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12000" windowHeight="9948" tabRatio="815" activeTab="13"/>
  </bookViews>
  <sheets>
    <sheet name="COMPARABILITY FY13 " sheetId="1" r:id="rId1"/>
    <sheet name="Proportionality FTE" sheetId="2" r:id="rId2"/>
    <sheet name="Proportionality" sheetId="6" r:id="rId3"/>
    <sheet name="Peoplesoft-FY13" sheetId="10" r:id="rId4"/>
    <sheet name="Enrollment FY13" sheetId="7" r:id="rId5"/>
    <sheet name="FY 2012 vs FY 2013 (2)" sheetId="8" r:id="rId6"/>
    <sheet name="101" sheetId="13" state="hidden" r:id="rId7"/>
    <sheet name="602 - ROTC" sheetId="15" r:id="rId8"/>
    <sheet name="731" sheetId="18" state="hidden" r:id="rId9"/>
    <sheet name="733 - Title I" sheetId="14" r:id="rId10"/>
    <sheet name="735 - Title II" sheetId="16" r:id="rId11"/>
    <sheet name="773" sheetId="17" state="hidden" r:id="rId12"/>
    <sheet name="794" sheetId="19" state="hidden" r:id="rId13"/>
    <sheet name="8110 - Federal Payments" sheetId="20" r:id="rId14"/>
    <sheet name="FY13 Budget 10-1-12" sheetId="2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11" hidden="1">'773'!$B$1:$C$117</definedName>
    <definedName name="_xlnm._FilterDatabase" localSheetId="0" hidden="1">'COMPARABILITY FY13 '!$B$2:$R$130</definedName>
    <definedName name="_xlnm._FilterDatabase" localSheetId="4" hidden="1">'Enrollment FY13'!$A$3:$C$135</definedName>
    <definedName name="_xlnm._FilterDatabase" localSheetId="5" hidden="1">'FY 2012 vs FY 2013 (2)'!$A$4:$W$4</definedName>
    <definedName name="_xlnm._FilterDatabase" localSheetId="14" hidden="1">'FY13 Budget 10-1-12'!$A$1:$I$559</definedName>
    <definedName name="_xlnm._FilterDatabase" localSheetId="3" hidden="1">'Peoplesoft-FY13'!$A$6:$U$6152</definedName>
    <definedName name="_xlnm._FilterDatabase" localSheetId="2" hidden="1">Proportionality!$B$2:$GS$70</definedName>
    <definedName name="_xlnm._FilterDatabase" localSheetId="1" hidden="1">'Proportionality FTE'!$A$2:$GR$2</definedName>
    <definedName name="Big_Table" localSheetId="0">#REF!</definedName>
    <definedName name="Big_Table" localSheetId="2">#REF!</definedName>
    <definedName name="Big_Table" localSheetId="1">#REF!</definedName>
    <definedName name="Big_Table">#REF!</definedName>
    <definedName name="erol" localSheetId="0">#REF!</definedName>
    <definedName name="erol" localSheetId="2">#REF!</definedName>
    <definedName name="erol" localSheetId="1">#REF!</definedName>
    <definedName name="erol">#REF!</definedName>
    <definedName name="Foundation" localSheetId="0">#REF!</definedName>
    <definedName name="Foundation" localSheetId="2">#REF!</definedName>
    <definedName name="Foundation" localSheetId="1">#REF!</definedName>
    <definedName name="Foundation">#REF!</definedName>
    <definedName name="Little_Table" localSheetId="0">#REF!</definedName>
    <definedName name="Little_Table" localSheetId="2">#REF!</definedName>
    <definedName name="Little_Table" localSheetId="1">#REF!</definedName>
    <definedName name="Little_Table">#REF!</definedName>
    <definedName name="Ninety_Percent" localSheetId="0">#REF!</definedName>
    <definedName name="Ninety_Percent" localSheetId="2">#REF!</definedName>
    <definedName name="Ninety_Percent" localSheetId="1">#REF!</definedName>
    <definedName name="Ninety_Percent">#REF!</definedName>
    <definedName name="Ninety_Percent_Sum" localSheetId="0">'[1]Allocation Sheet'!#REF!</definedName>
    <definedName name="Ninety_Percent_Sum" localSheetId="2">'[1]Allocation Sheet'!#REF!</definedName>
    <definedName name="Ninety_Percent_Sum" localSheetId="1">'[1]Allocation Sheet'!#REF!</definedName>
    <definedName name="Ninety_Percent_Sum">'[1]Allocation Sheet'!#REF!</definedName>
    <definedName name="_xlnm.Print_Area" localSheetId="0">'COMPARABILITY FY13 '!$A$4:$R$131</definedName>
    <definedName name="_xlnm.Print_Area" localSheetId="5">'FY 2012 vs FY 2013 (2)'!$A$5:$O$140</definedName>
    <definedName name="_xlnm.Print_Area" localSheetId="2">Proportionality!$B$2:$T$129</definedName>
    <definedName name="_xlnm.Print_Area" localSheetId="1">'Proportionality FTE'!$A$2:$S$129</definedName>
    <definedName name="Print_Schools" localSheetId="0">#REF!</definedName>
    <definedName name="Print_Schools" localSheetId="2">#REF!</definedName>
    <definedName name="Print_Schools" localSheetId="1">#REF!</definedName>
    <definedName name="Print_Schools">#REF!</definedName>
    <definedName name="_xlnm.Print_Titles" localSheetId="0">'COMPARABILITY FY13 '!$2:$2</definedName>
    <definedName name="_xlnm.Print_Titles" localSheetId="5">'FY 2012 vs FY 2013 (2)'!$1:$4</definedName>
    <definedName name="_xlnm.Print_Titles" localSheetId="2">Proportionality!$2:$2</definedName>
    <definedName name="_xlnm.Print_Titles" localSheetId="1">'Proportionality FTE'!$2:$2</definedName>
    <definedName name="Range_LL" localSheetId="0">#REF!</definedName>
    <definedName name="Range_LL" localSheetId="2">#REF!</definedName>
    <definedName name="Range_LL" localSheetId="1">#REF!</definedName>
    <definedName name="Range_LL">#REF!</definedName>
    <definedName name="RangeLL" localSheetId="0">#REF!</definedName>
    <definedName name="RangeLL" localSheetId="2">#REF!</definedName>
    <definedName name="RangeLL" localSheetId="1">#REF!</definedName>
    <definedName name="RangeLL">#REF!</definedName>
  </definedNames>
  <calcPr calcId="145621"/>
</workbook>
</file>

<file path=xl/calcChain.xml><?xml version="1.0" encoding="utf-8"?>
<calcChain xmlns="http://schemas.openxmlformats.org/spreadsheetml/2006/main">
  <c r="D2" i="16" l="1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H118" i="8" l="1"/>
  <c r="C3" i="16"/>
  <c r="C4" i="16"/>
  <c r="C5" i="16"/>
  <c r="C6" i="16"/>
  <c r="C7" i="16"/>
  <c r="J109" i="6" s="1"/>
  <c r="C8" i="16"/>
  <c r="C9" i="16"/>
  <c r="C10" i="16"/>
  <c r="C11" i="16"/>
  <c r="C12" i="16"/>
  <c r="C13" i="16"/>
  <c r="C14" i="16"/>
  <c r="C15" i="16"/>
  <c r="C16" i="16"/>
  <c r="C17" i="16"/>
  <c r="J110" i="6" s="1"/>
  <c r="C18" i="16"/>
  <c r="C19" i="16"/>
  <c r="C20" i="16"/>
  <c r="C21" i="16"/>
  <c r="C22" i="16"/>
  <c r="C23" i="16"/>
  <c r="J111" i="6" s="1"/>
  <c r="C24" i="16"/>
  <c r="C25" i="16"/>
  <c r="C26" i="16"/>
  <c r="J112" i="6" s="1"/>
  <c r="C27" i="16"/>
  <c r="J113" i="6" s="1"/>
  <c r="C28" i="16"/>
  <c r="C29" i="16"/>
  <c r="C30" i="16"/>
  <c r="J114" i="6" s="1"/>
  <c r="C31" i="16"/>
  <c r="C32" i="16"/>
  <c r="C33" i="16"/>
  <c r="J115" i="6" s="1"/>
  <c r="C34" i="16"/>
  <c r="C35" i="16"/>
  <c r="C36" i="16"/>
  <c r="C37" i="16"/>
  <c r="C38" i="16"/>
  <c r="C39" i="16"/>
  <c r="J116" i="6" s="1"/>
  <c r="C40" i="16"/>
  <c r="C41" i="16"/>
  <c r="C42" i="16"/>
  <c r="C43" i="16"/>
  <c r="C44" i="16"/>
  <c r="J117" i="6" s="1"/>
  <c r="C45" i="16"/>
  <c r="C46" i="16"/>
  <c r="C47" i="16"/>
  <c r="C48" i="16"/>
  <c r="J118" i="6" s="1"/>
  <c r="C49" i="16"/>
  <c r="C50" i="16"/>
  <c r="C51" i="16"/>
  <c r="J119" i="6" s="1"/>
  <c r="C52" i="16"/>
  <c r="J120" i="6" s="1"/>
  <c r="C53" i="16"/>
  <c r="C54" i="16"/>
  <c r="C55" i="16"/>
  <c r="C56" i="16"/>
  <c r="C57" i="16"/>
  <c r="C59" i="16"/>
  <c r="C60" i="16"/>
  <c r="C61" i="16"/>
  <c r="C62" i="16"/>
  <c r="J121" i="6" s="1"/>
  <c r="C63" i="16"/>
  <c r="C64" i="16"/>
  <c r="C65" i="16"/>
  <c r="C66" i="16"/>
  <c r="J122" i="6" s="1"/>
  <c r="C67" i="16"/>
  <c r="C68" i="16"/>
  <c r="C69" i="16"/>
  <c r="C70" i="16"/>
  <c r="C71" i="16"/>
  <c r="C72" i="16"/>
  <c r="C73" i="16"/>
  <c r="C74" i="16"/>
  <c r="C75" i="16"/>
  <c r="C76" i="16"/>
  <c r="J123" i="6" s="1"/>
  <c r="C77" i="16"/>
  <c r="C78" i="16"/>
  <c r="C79" i="16"/>
  <c r="C80" i="16"/>
  <c r="C81" i="16"/>
  <c r="C82" i="16"/>
  <c r="J124" i="6" s="1"/>
  <c r="C83" i="16"/>
  <c r="C84" i="16"/>
  <c r="J125" i="6" s="1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J126" i="6" s="1"/>
  <c r="C106" i="16"/>
  <c r="C107" i="16"/>
  <c r="C108" i="16"/>
  <c r="C109" i="16"/>
  <c r="J127" i="6" s="1"/>
  <c r="C110" i="16"/>
  <c r="C111" i="16"/>
  <c r="C112" i="16"/>
  <c r="C113" i="16"/>
  <c r="C114" i="16"/>
  <c r="C115" i="16"/>
  <c r="C117" i="16"/>
  <c r="C118" i="16"/>
  <c r="C119" i="16"/>
  <c r="C120" i="16"/>
  <c r="C121" i="16"/>
  <c r="C2" i="16"/>
  <c r="I105" i="6" l="1"/>
  <c r="D106" i="6"/>
  <c r="J105" i="6"/>
  <c r="K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S6150" i="10"/>
  <c r="Q6150" i="10"/>
  <c r="P6150" i="10"/>
  <c r="O6150" i="10"/>
  <c r="M6150" i="10"/>
  <c r="B6150" i="10"/>
  <c r="S6149" i="10"/>
  <c r="Q6149" i="10"/>
  <c r="P6149" i="10"/>
  <c r="O6149" i="10"/>
  <c r="M6149" i="10"/>
  <c r="E6149" i="10"/>
  <c r="B6149" i="10"/>
  <c r="S6148" i="10"/>
  <c r="Q6148" i="10"/>
  <c r="P6148" i="10"/>
  <c r="O6148" i="10"/>
  <c r="M6148" i="10"/>
  <c r="E6148" i="10"/>
  <c r="B6148" i="10"/>
  <c r="S6147" i="10"/>
  <c r="Q6147" i="10"/>
  <c r="P6147" i="10"/>
  <c r="O6147" i="10"/>
  <c r="M6147" i="10"/>
  <c r="E6147" i="10"/>
  <c r="B6147" i="10"/>
  <c r="S6146" i="10"/>
  <c r="Q6146" i="10"/>
  <c r="P6146" i="10"/>
  <c r="O6146" i="10"/>
  <c r="M6146" i="10"/>
  <c r="E6146" i="10"/>
  <c r="B6146" i="10"/>
  <c r="S6145" i="10"/>
  <c r="Q6145" i="10"/>
  <c r="P6145" i="10"/>
  <c r="O6145" i="10"/>
  <c r="M6145" i="10"/>
  <c r="E6145" i="10"/>
  <c r="B6145" i="10"/>
  <c r="S6144" i="10"/>
  <c r="Q6144" i="10"/>
  <c r="P6144" i="10"/>
  <c r="O6144" i="10"/>
  <c r="M6144" i="10"/>
  <c r="E6144" i="10"/>
  <c r="B6144" i="10"/>
  <c r="S6143" i="10"/>
  <c r="Q6143" i="10"/>
  <c r="P6143" i="10"/>
  <c r="O6143" i="10"/>
  <c r="M6143" i="10"/>
  <c r="E6143" i="10"/>
  <c r="B6143" i="10"/>
  <c r="S6142" i="10"/>
  <c r="Q6142" i="10"/>
  <c r="P6142" i="10"/>
  <c r="O6142" i="10"/>
  <c r="M6142" i="10"/>
  <c r="E6142" i="10"/>
  <c r="B6142" i="10"/>
  <c r="S6141" i="10"/>
  <c r="Q6141" i="10"/>
  <c r="P6141" i="10"/>
  <c r="O6141" i="10"/>
  <c r="M6141" i="10"/>
  <c r="E6141" i="10"/>
  <c r="B6141" i="10"/>
  <c r="S6140" i="10"/>
  <c r="Q6140" i="10"/>
  <c r="P6140" i="10"/>
  <c r="O6140" i="10"/>
  <c r="M6140" i="10"/>
  <c r="E6140" i="10"/>
  <c r="B6140" i="10"/>
  <c r="S6139" i="10"/>
  <c r="Q6139" i="10"/>
  <c r="P6139" i="10"/>
  <c r="O6139" i="10"/>
  <c r="M6139" i="10"/>
  <c r="E6139" i="10"/>
  <c r="B6139" i="10"/>
  <c r="S6138" i="10"/>
  <c r="Q6138" i="10"/>
  <c r="P6138" i="10"/>
  <c r="O6138" i="10"/>
  <c r="M6138" i="10"/>
  <c r="E6138" i="10"/>
  <c r="B6138" i="10"/>
  <c r="S6137" i="10"/>
  <c r="Q6137" i="10"/>
  <c r="P6137" i="10"/>
  <c r="O6137" i="10"/>
  <c r="M6137" i="10"/>
  <c r="E6137" i="10"/>
  <c r="B6137" i="10"/>
  <c r="S6136" i="10"/>
  <c r="Q6136" i="10"/>
  <c r="P6136" i="10"/>
  <c r="O6136" i="10"/>
  <c r="M6136" i="10"/>
  <c r="B6136" i="10"/>
  <c r="S6135" i="10"/>
  <c r="Q6135" i="10"/>
  <c r="P6135" i="10"/>
  <c r="O6135" i="10"/>
  <c r="M6135" i="10"/>
  <c r="E6135" i="10"/>
  <c r="B6135" i="10"/>
  <c r="S6134" i="10"/>
  <c r="Q6134" i="10"/>
  <c r="P6134" i="10"/>
  <c r="O6134" i="10"/>
  <c r="M6134" i="10"/>
  <c r="E6134" i="10"/>
  <c r="B6134" i="10"/>
  <c r="S6133" i="10"/>
  <c r="Q6133" i="10"/>
  <c r="P6133" i="10"/>
  <c r="O6133" i="10"/>
  <c r="M6133" i="10"/>
  <c r="E6133" i="10"/>
  <c r="B6133" i="10"/>
  <c r="S6132" i="10"/>
  <c r="Q6132" i="10"/>
  <c r="P6132" i="10"/>
  <c r="O6132" i="10"/>
  <c r="M6132" i="10"/>
  <c r="E6132" i="10"/>
  <c r="B6132" i="10"/>
  <c r="S6131" i="10"/>
  <c r="Q6131" i="10"/>
  <c r="P6131" i="10"/>
  <c r="O6131" i="10"/>
  <c r="M6131" i="10"/>
  <c r="E6131" i="10"/>
  <c r="B6131" i="10"/>
  <c r="S6130" i="10"/>
  <c r="Q6130" i="10"/>
  <c r="P6130" i="10"/>
  <c r="O6130" i="10"/>
  <c r="M6130" i="10"/>
  <c r="E6130" i="10"/>
  <c r="B6130" i="10"/>
  <c r="S6129" i="10"/>
  <c r="Q6129" i="10"/>
  <c r="P6129" i="10"/>
  <c r="O6129" i="10"/>
  <c r="M6129" i="10"/>
  <c r="E6129" i="10"/>
  <c r="B6129" i="10"/>
  <c r="S6128" i="10"/>
  <c r="Q6128" i="10"/>
  <c r="P6128" i="10"/>
  <c r="O6128" i="10"/>
  <c r="M6128" i="10"/>
  <c r="B6128" i="10"/>
  <c r="S6127" i="10"/>
  <c r="Q6127" i="10"/>
  <c r="P6127" i="10"/>
  <c r="O6127" i="10"/>
  <c r="M6127" i="10"/>
  <c r="E6127" i="10"/>
  <c r="B6127" i="10"/>
  <c r="S6126" i="10"/>
  <c r="Q6126" i="10"/>
  <c r="P6126" i="10"/>
  <c r="O6126" i="10"/>
  <c r="M6126" i="10"/>
  <c r="B6126" i="10"/>
  <c r="S6125" i="10"/>
  <c r="Q6125" i="10"/>
  <c r="P6125" i="10"/>
  <c r="O6125" i="10"/>
  <c r="M6125" i="10"/>
  <c r="E6125" i="10"/>
  <c r="B6125" i="10"/>
  <c r="S6124" i="10"/>
  <c r="Q6124" i="10"/>
  <c r="P6124" i="10"/>
  <c r="O6124" i="10"/>
  <c r="M6124" i="10"/>
  <c r="E6124" i="10"/>
  <c r="B6124" i="10"/>
  <c r="S6123" i="10"/>
  <c r="Q6123" i="10"/>
  <c r="P6123" i="10"/>
  <c r="O6123" i="10"/>
  <c r="M6123" i="10"/>
  <c r="B6123" i="10"/>
  <c r="S6122" i="10"/>
  <c r="Q6122" i="10"/>
  <c r="P6122" i="10"/>
  <c r="O6122" i="10"/>
  <c r="M6122" i="10"/>
  <c r="B6122" i="10"/>
  <c r="S6121" i="10"/>
  <c r="Q6121" i="10"/>
  <c r="P6121" i="10"/>
  <c r="O6121" i="10"/>
  <c r="M6121" i="10"/>
  <c r="B6121" i="10"/>
  <c r="S6120" i="10"/>
  <c r="Q6120" i="10"/>
  <c r="P6120" i="10"/>
  <c r="O6120" i="10"/>
  <c r="M6120" i="10"/>
  <c r="B6120" i="10"/>
  <c r="S6119" i="10"/>
  <c r="Q6119" i="10"/>
  <c r="P6119" i="10"/>
  <c r="O6119" i="10"/>
  <c r="M6119" i="10"/>
  <c r="E6119" i="10"/>
  <c r="B6119" i="10"/>
  <c r="S6118" i="10"/>
  <c r="Q6118" i="10"/>
  <c r="P6118" i="10"/>
  <c r="O6118" i="10"/>
  <c r="M6118" i="10"/>
  <c r="E6118" i="10"/>
  <c r="B6118" i="10"/>
  <c r="S6117" i="10"/>
  <c r="Q6117" i="10"/>
  <c r="P6117" i="10"/>
  <c r="O6117" i="10"/>
  <c r="M6117" i="10"/>
  <c r="B6117" i="10"/>
  <c r="S6116" i="10"/>
  <c r="Q6116" i="10"/>
  <c r="P6116" i="10"/>
  <c r="O6116" i="10"/>
  <c r="M6116" i="10"/>
  <c r="B6116" i="10"/>
  <c r="S6115" i="10"/>
  <c r="Q6115" i="10"/>
  <c r="P6115" i="10"/>
  <c r="O6115" i="10"/>
  <c r="M6115" i="10"/>
  <c r="E6115" i="10"/>
  <c r="B6115" i="10"/>
  <c r="S6114" i="10"/>
  <c r="Q6114" i="10"/>
  <c r="P6114" i="10"/>
  <c r="O6114" i="10"/>
  <c r="M6114" i="10"/>
  <c r="E6114" i="10"/>
  <c r="B6114" i="10"/>
  <c r="S6113" i="10"/>
  <c r="Q6113" i="10"/>
  <c r="P6113" i="10"/>
  <c r="O6113" i="10"/>
  <c r="M6113" i="10"/>
  <c r="E6113" i="10"/>
  <c r="B6113" i="10"/>
  <c r="S6112" i="10"/>
  <c r="Q6112" i="10"/>
  <c r="P6112" i="10"/>
  <c r="O6112" i="10"/>
  <c r="M6112" i="10"/>
  <c r="E6112" i="10"/>
  <c r="B6112" i="10"/>
  <c r="S6111" i="10"/>
  <c r="Q6111" i="10"/>
  <c r="P6111" i="10"/>
  <c r="O6111" i="10"/>
  <c r="M6111" i="10"/>
  <c r="E6111" i="10"/>
  <c r="B6111" i="10"/>
  <c r="S6110" i="10"/>
  <c r="Q6110" i="10"/>
  <c r="P6110" i="10"/>
  <c r="O6110" i="10"/>
  <c r="M6110" i="10"/>
  <c r="E6110" i="10"/>
  <c r="B6110" i="10"/>
  <c r="S6109" i="10"/>
  <c r="Q6109" i="10"/>
  <c r="P6109" i="10"/>
  <c r="O6109" i="10"/>
  <c r="M6109" i="10"/>
  <c r="B6109" i="10"/>
  <c r="S6108" i="10"/>
  <c r="Q6108" i="10"/>
  <c r="P6108" i="10"/>
  <c r="O6108" i="10"/>
  <c r="M6108" i="10"/>
  <c r="E6108" i="10"/>
  <c r="B6108" i="10"/>
  <c r="S6107" i="10"/>
  <c r="Q6107" i="10"/>
  <c r="P6107" i="10"/>
  <c r="O6107" i="10"/>
  <c r="M6107" i="10"/>
  <c r="B6107" i="10"/>
  <c r="S6106" i="10"/>
  <c r="Q6106" i="10"/>
  <c r="P6106" i="10"/>
  <c r="O6106" i="10"/>
  <c r="M6106" i="10"/>
  <c r="E6106" i="10"/>
  <c r="B6106" i="10"/>
  <c r="S6105" i="10"/>
  <c r="Q6105" i="10"/>
  <c r="P6105" i="10"/>
  <c r="O6105" i="10"/>
  <c r="M6105" i="10"/>
  <c r="E6105" i="10"/>
  <c r="B6105" i="10"/>
  <c r="S6104" i="10"/>
  <c r="Q6104" i="10"/>
  <c r="P6104" i="10"/>
  <c r="O6104" i="10"/>
  <c r="M6104" i="10"/>
  <c r="E6104" i="10"/>
  <c r="B6104" i="10"/>
  <c r="S6103" i="10"/>
  <c r="Q6103" i="10"/>
  <c r="P6103" i="10"/>
  <c r="O6103" i="10"/>
  <c r="M6103" i="10"/>
  <c r="E6103" i="10"/>
  <c r="B6103" i="10"/>
  <c r="S6102" i="10"/>
  <c r="Q6102" i="10"/>
  <c r="P6102" i="10"/>
  <c r="O6102" i="10"/>
  <c r="M6102" i="10"/>
  <c r="E6102" i="10"/>
  <c r="B6102" i="10"/>
  <c r="S6101" i="10"/>
  <c r="Q6101" i="10"/>
  <c r="P6101" i="10"/>
  <c r="O6101" i="10"/>
  <c r="M6101" i="10"/>
  <c r="E6101" i="10"/>
  <c r="B6101" i="10"/>
  <c r="S6100" i="10"/>
  <c r="Q6100" i="10"/>
  <c r="P6100" i="10"/>
  <c r="O6100" i="10"/>
  <c r="M6100" i="10"/>
  <c r="B6100" i="10"/>
  <c r="S6099" i="10"/>
  <c r="Q6099" i="10"/>
  <c r="P6099" i="10"/>
  <c r="O6099" i="10"/>
  <c r="M6099" i="10"/>
  <c r="E6099" i="10"/>
  <c r="B6099" i="10"/>
  <c r="S6098" i="10"/>
  <c r="Q6098" i="10"/>
  <c r="P6098" i="10"/>
  <c r="O6098" i="10"/>
  <c r="M6098" i="10"/>
  <c r="E6098" i="10"/>
  <c r="B6098" i="10"/>
  <c r="S6097" i="10"/>
  <c r="Q6097" i="10"/>
  <c r="P6097" i="10"/>
  <c r="O6097" i="10"/>
  <c r="M6097" i="10"/>
  <c r="E6097" i="10"/>
  <c r="B6097" i="10"/>
  <c r="S6096" i="10"/>
  <c r="Q6096" i="10"/>
  <c r="P6096" i="10"/>
  <c r="O6096" i="10"/>
  <c r="M6096" i="10"/>
  <c r="E6096" i="10"/>
  <c r="B6096" i="10"/>
  <c r="S6095" i="10"/>
  <c r="Q6095" i="10"/>
  <c r="P6095" i="10"/>
  <c r="O6095" i="10"/>
  <c r="M6095" i="10"/>
  <c r="E6095" i="10"/>
  <c r="B6095" i="10"/>
  <c r="S6094" i="10"/>
  <c r="Q6094" i="10"/>
  <c r="P6094" i="10"/>
  <c r="O6094" i="10"/>
  <c r="M6094" i="10"/>
  <c r="E6094" i="10"/>
  <c r="B6094" i="10"/>
  <c r="S6093" i="10"/>
  <c r="Q6093" i="10"/>
  <c r="P6093" i="10"/>
  <c r="O6093" i="10"/>
  <c r="M6093" i="10"/>
  <c r="E6093" i="10"/>
  <c r="B6093" i="10"/>
  <c r="S6092" i="10"/>
  <c r="Q6092" i="10"/>
  <c r="P6092" i="10"/>
  <c r="O6092" i="10"/>
  <c r="M6092" i="10"/>
  <c r="E6092" i="10"/>
  <c r="B6092" i="10"/>
  <c r="S6091" i="10"/>
  <c r="Q6091" i="10"/>
  <c r="P6091" i="10"/>
  <c r="O6091" i="10"/>
  <c r="M6091" i="10"/>
  <c r="E6091" i="10"/>
  <c r="B6091" i="10"/>
  <c r="S6090" i="10"/>
  <c r="Q6090" i="10"/>
  <c r="P6090" i="10"/>
  <c r="O6090" i="10"/>
  <c r="M6090" i="10"/>
  <c r="E6090" i="10"/>
  <c r="B6090" i="10"/>
  <c r="S6089" i="10"/>
  <c r="Q6089" i="10"/>
  <c r="P6089" i="10"/>
  <c r="O6089" i="10"/>
  <c r="M6089" i="10"/>
  <c r="E6089" i="10"/>
  <c r="B6089" i="10"/>
  <c r="S6088" i="10"/>
  <c r="Q6088" i="10"/>
  <c r="P6088" i="10"/>
  <c r="O6088" i="10"/>
  <c r="M6088" i="10"/>
  <c r="E6088" i="10"/>
  <c r="B6088" i="10"/>
  <c r="S6087" i="10"/>
  <c r="Q6087" i="10"/>
  <c r="P6087" i="10"/>
  <c r="O6087" i="10"/>
  <c r="M6087" i="10"/>
  <c r="E6087" i="10"/>
  <c r="B6087" i="10"/>
  <c r="S6086" i="10"/>
  <c r="Q6086" i="10"/>
  <c r="P6086" i="10"/>
  <c r="O6086" i="10"/>
  <c r="M6086" i="10"/>
  <c r="E6086" i="10"/>
  <c r="B6086" i="10"/>
  <c r="S6085" i="10"/>
  <c r="Q6085" i="10"/>
  <c r="P6085" i="10"/>
  <c r="O6085" i="10"/>
  <c r="M6085" i="10"/>
  <c r="E6085" i="10"/>
  <c r="B6085" i="10"/>
  <c r="S6084" i="10"/>
  <c r="Q6084" i="10"/>
  <c r="P6084" i="10"/>
  <c r="O6084" i="10"/>
  <c r="M6084" i="10"/>
  <c r="E6084" i="10"/>
  <c r="B6084" i="10"/>
  <c r="S6083" i="10"/>
  <c r="Q6083" i="10"/>
  <c r="P6083" i="10"/>
  <c r="O6083" i="10"/>
  <c r="M6083" i="10"/>
  <c r="B6083" i="10"/>
  <c r="S6082" i="10"/>
  <c r="Q6082" i="10"/>
  <c r="P6082" i="10"/>
  <c r="O6082" i="10"/>
  <c r="M6082" i="10"/>
  <c r="E6082" i="10"/>
  <c r="B6082" i="10"/>
  <c r="S6081" i="10"/>
  <c r="Q6081" i="10"/>
  <c r="P6081" i="10"/>
  <c r="O6081" i="10"/>
  <c r="M6081" i="10"/>
  <c r="E6081" i="10"/>
  <c r="B6081" i="10"/>
  <c r="S6080" i="10"/>
  <c r="Q6080" i="10"/>
  <c r="P6080" i="10"/>
  <c r="O6080" i="10"/>
  <c r="M6080" i="10"/>
  <c r="E6080" i="10"/>
  <c r="B6080" i="10"/>
  <c r="S6079" i="10"/>
  <c r="Q6079" i="10"/>
  <c r="P6079" i="10"/>
  <c r="O6079" i="10"/>
  <c r="M6079" i="10"/>
  <c r="B6079" i="10"/>
  <c r="S6078" i="10"/>
  <c r="Q6078" i="10"/>
  <c r="P6078" i="10"/>
  <c r="O6078" i="10"/>
  <c r="M6078" i="10"/>
  <c r="E6078" i="10"/>
  <c r="B6078" i="10"/>
  <c r="S6077" i="10"/>
  <c r="Q6077" i="10"/>
  <c r="P6077" i="10"/>
  <c r="O6077" i="10"/>
  <c r="M6077" i="10"/>
  <c r="E6077" i="10"/>
  <c r="B6077" i="10"/>
  <c r="S6076" i="10"/>
  <c r="Q6076" i="10"/>
  <c r="P6076" i="10"/>
  <c r="O6076" i="10"/>
  <c r="M6076" i="10"/>
  <c r="E6076" i="10"/>
  <c r="B6076" i="10"/>
  <c r="S6075" i="10"/>
  <c r="Q6075" i="10"/>
  <c r="P6075" i="10"/>
  <c r="O6075" i="10"/>
  <c r="M6075" i="10"/>
  <c r="E6075" i="10"/>
  <c r="B6075" i="10"/>
  <c r="S6074" i="10"/>
  <c r="Q6074" i="10"/>
  <c r="P6074" i="10"/>
  <c r="O6074" i="10"/>
  <c r="M6074" i="10"/>
  <c r="E6074" i="10"/>
  <c r="B6074" i="10"/>
  <c r="S6073" i="10"/>
  <c r="Q6073" i="10"/>
  <c r="P6073" i="10"/>
  <c r="O6073" i="10"/>
  <c r="M6073" i="10"/>
  <c r="E6073" i="10"/>
  <c r="B6073" i="10"/>
  <c r="S6072" i="10"/>
  <c r="Q6072" i="10"/>
  <c r="P6072" i="10"/>
  <c r="O6072" i="10"/>
  <c r="M6072" i="10"/>
  <c r="E6072" i="10"/>
  <c r="B6072" i="10"/>
  <c r="S6071" i="10"/>
  <c r="Q6071" i="10"/>
  <c r="P6071" i="10"/>
  <c r="O6071" i="10"/>
  <c r="M6071" i="10"/>
  <c r="E6071" i="10"/>
  <c r="B6071" i="10"/>
  <c r="S6070" i="10"/>
  <c r="Q6070" i="10"/>
  <c r="P6070" i="10"/>
  <c r="O6070" i="10"/>
  <c r="M6070" i="10"/>
  <c r="E6070" i="10"/>
  <c r="B6070" i="10"/>
  <c r="S6069" i="10"/>
  <c r="Q6069" i="10"/>
  <c r="P6069" i="10"/>
  <c r="O6069" i="10"/>
  <c r="M6069" i="10"/>
  <c r="E6069" i="10"/>
  <c r="B6069" i="10"/>
  <c r="S6068" i="10"/>
  <c r="Q6068" i="10"/>
  <c r="P6068" i="10"/>
  <c r="O6068" i="10"/>
  <c r="M6068" i="10"/>
  <c r="E6068" i="10"/>
  <c r="B6068" i="10"/>
  <c r="S6067" i="10"/>
  <c r="Q6067" i="10"/>
  <c r="P6067" i="10"/>
  <c r="O6067" i="10"/>
  <c r="M6067" i="10"/>
  <c r="E6067" i="10"/>
  <c r="B6067" i="10"/>
  <c r="S6066" i="10"/>
  <c r="Q6066" i="10"/>
  <c r="P6066" i="10"/>
  <c r="O6066" i="10"/>
  <c r="M6066" i="10"/>
  <c r="E6066" i="10"/>
  <c r="B6066" i="10"/>
  <c r="S6065" i="10"/>
  <c r="Q6065" i="10"/>
  <c r="P6065" i="10"/>
  <c r="O6065" i="10"/>
  <c r="M6065" i="10"/>
  <c r="E6065" i="10"/>
  <c r="B6065" i="10"/>
  <c r="S6064" i="10"/>
  <c r="Q6064" i="10"/>
  <c r="P6064" i="10"/>
  <c r="O6064" i="10"/>
  <c r="M6064" i="10"/>
  <c r="E6064" i="10"/>
  <c r="B6064" i="10"/>
  <c r="S6063" i="10"/>
  <c r="Q6063" i="10"/>
  <c r="P6063" i="10"/>
  <c r="O6063" i="10"/>
  <c r="M6063" i="10"/>
  <c r="E6063" i="10"/>
  <c r="B6063" i="10"/>
  <c r="S6062" i="10"/>
  <c r="Q6062" i="10"/>
  <c r="P6062" i="10"/>
  <c r="O6062" i="10"/>
  <c r="M6062" i="10"/>
  <c r="E6062" i="10"/>
  <c r="B6062" i="10"/>
  <c r="S6061" i="10"/>
  <c r="Q6061" i="10"/>
  <c r="P6061" i="10"/>
  <c r="O6061" i="10"/>
  <c r="M6061" i="10"/>
  <c r="E6061" i="10"/>
  <c r="B6061" i="10"/>
  <c r="S6060" i="10"/>
  <c r="Q6060" i="10"/>
  <c r="P6060" i="10"/>
  <c r="O6060" i="10"/>
  <c r="M6060" i="10"/>
  <c r="E6060" i="10"/>
  <c r="B6060" i="10"/>
  <c r="S6059" i="10"/>
  <c r="Q6059" i="10"/>
  <c r="P6059" i="10"/>
  <c r="O6059" i="10"/>
  <c r="M6059" i="10"/>
  <c r="E6059" i="10"/>
  <c r="B6059" i="10"/>
  <c r="S6058" i="10"/>
  <c r="Q6058" i="10"/>
  <c r="P6058" i="10"/>
  <c r="O6058" i="10"/>
  <c r="M6058" i="10"/>
  <c r="E6058" i="10"/>
  <c r="B6058" i="10"/>
  <c r="S6057" i="10"/>
  <c r="Q6057" i="10"/>
  <c r="P6057" i="10"/>
  <c r="O6057" i="10"/>
  <c r="M6057" i="10"/>
  <c r="E6057" i="10"/>
  <c r="B6057" i="10"/>
  <c r="S6056" i="10"/>
  <c r="Q6056" i="10"/>
  <c r="P6056" i="10"/>
  <c r="O6056" i="10"/>
  <c r="M6056" i="10"/>
  <c r="E6056" i="10"/>
  <c r="B6056" i="10"/>
  <c r="S6055" i="10"/>
  <c r="Q6055" i="10"/>
  <c r="P6055" i="10"/>
  <c r="O6055" i="10"/>
  <c r="M6055" i="10"/>
  <c r="E6055" i="10"/>
  <c r="B6055" i="10"/>
  <c r="S6054" i="10"/>
  <c r="Q6054" i="10"/>
  <c r="P6054" i="10"/>
  <c r="O6054" i="10"/>
  <c r="M6054" i="10"/>
  <c r="E6054" i="10"/>
  <c r="B6054" i="10"/>
  <c r="S6053" i="10"/>
  <c r="Q6053" i="10"/>
  <c r="P6053" i="10"/>
  <c r="O6053" i="10"/>
  <c r="M6053" i="10"/>
  <c r="E6053" i="10"/>
  <c r="B6053" i="10"/>
  <c r="S6052" i="10"/>
  <c r="Q6052" i="10"/>
  <c r="P6052" i="10"/>
  <c r="O6052" i="10"/>
  <c r="M6052" i="10"/>
  <c r="E6052" i="10"/>
  <c r="B6052" i="10"/>
  <c r="S6051" i="10"/>
  <c r="Q6051" i="10"/>
  <c r="P6051" i="10"/>
  <c r="O6051" i="10"/>
  <c r="M6051" i="10"/>
  <c r="E6051" i="10"/>
  <c r="B6051" i="10"/>
  <c r="S6050" i="10"/>
  <c r="Q6050" i="10"/>
  <c r="P6050" i="10"/>
  <c r="O6050" i="10"/>
  <c r="M6050" i="10"/>
  <c r="E6050" i="10"/>
  <c r="B6050" i="10"/>
  <c r="S6049" i="10"/>
  <c r="Q6049" i="10"/>
  <c r="P6049" i="10"/>
  <c r="O6049" i="10"/>
  <c r="M6049" i="10"/>
  <c r="E6049" i="10"/>
  <c r="B6049" i="10"/>
  <c r="S6048" i="10"/>
  <c r="Q6048" i="10"/>
  <c r="P6048" i="10"/>
  <c r="O6048" i="10"/>
  <c r="M6048" i="10"/>
  <c r="E6048" i="10"/>
  <c r="B6048" i="10"/>
  <c r="S6047" i="10"/>
  <c r="Q6047" i="10"/>
  <c r="P6047" i="10"/>
  <c r="O6047" i="10"/>
  <c r="M6047" i="10"/>
  <c r="E6047" i="10"/>
  <c r="B6047" i="10"/>
  <c r="S6046" i="10"/>
  <c r="Q6046" i="10"/>
  <c r="P6046" i="10"/>
  <c r="O6046" i="10"/>
  <c r="M6046" i="10"/>
  <c r="E6046" i="10"/>
  <c r="B6046" i="10"/>
  <c r="S6045" i="10"/>
  <c r="Q6045" i="10"/>
  <c r="P6045" i="10"/>
  <c r="O6045" i="10"/>
  <c r="M6045" i="10"/>
  <c r="E6045" i="10"/>
  <c r="B6045" i="10"/>
  <c r="S6044" i="10"/>
  <c r="Q6044" i="10"/>
  <c r="P6044" i="10"/>
  <c r="O6044" i="10"/>
  <c r="M6044" i="10"/>
  <c r="E6044" i="10"/>
  <c r="B6044" i="10"/>
  <c r="S6043" i="10"/>
  <c r="Q6043" i="10"/>
  <c r="P6043" i="10"/>
  <c r="O6043" i="10"/>
  <c r="M6043" i="10"/>
  <c r="E6043" i="10"/>
  <c r="B6043" i="10"/>
  <c r="S6042" i="10"/>
  <c r="Q6042" i="10"/>
  <c r="P6042" i="10"/>
  <c r="O6042" i="10"/>
  <c r="M6042" i="10"/>
  <c r="E6042" i="10"/>
  <c r="B6042" i="10"/>
  <c r="S6041" i="10"/>
  <c r="Q6041" i="10"/>
  <c r="P6041" i="10"/>
  <c r="O6041" i="10"/>
  <c r="M6041" i="10"/>
  <c r="E6041" i="10"/>
  <c r="B6041" i="10"/>
  <c r="S6040" i="10"/>
  <c r="Q6040" i="10"/>
  <c r="P6040" i="10"/>
  <c r="O6040" i="10"/>
  <c r="M6040" i="10"/>
  <c r="E6040" i="10"/>
  <c r="B6040" i="10"/>
  <c r="S6039" i="10"/>
  <c r="Q6039" i="10"/>
  <c r="P6039" i="10"/>
  <c r="O6039" i="10"/>
  <c r="M6039" i="10"/>
  <c r="E6039" i="10"/>
  <c r="B6039" i="10"/>
  <c r="S6038" i="10"/>
  <c r="Q6038" i="10"/>
  <c r="P6038" i="10"/>
  <c r="O6038" i="10"/>
  <c r="M6038" i="10"/>
  <c r="E6038" i="10"/>
  <c r="B6038" i="10"/>
  <c r="S6037" i="10"/>
  <c r="Q6037" i="10"/>
  <c r="P6037" i="10"/>
  <c r="O6037" i="10"/>
  <c r="M6037" i="10"/>
  <c r="E6037" i="10"/>
  <c r="B6037" i="10"/>
  <c r="S6036" i="10"/>
  <c r="Q6036" i="10"/>
  <c r="P6036" i="10"/>
  <c r="O6036" i="10"/>
  <c r="M6036" i="10"/>
  <c r="E6036" i="10"/>
  <c r="B6036" i="10"/>
  <c r="S6035" i="10"/>
  <c r="Q6035" i="10"/>
  <c r="P6035" i="10"/>
  <c r="O6035" i="10"/>
  <c r="M6035" i="10"/>
  <c r="E6035" i="10"/>
  <c r="B6035" i="10"/>
  <c r="S6034" i="10"/>
  <c r="Q6034" i="10"/>
  <c r="P6034" i="10"/>
  <c r="O6034" i="10"/>
  <c r="M6034" i="10"/>
  <c r="E6034" i="10"/>
  <c r="B6034" i="10"/>
  <c r="S6033" i="10"/>
  <c r="Q6033" i="10"/>
  <c r="P6033" i="10"/>
  <c r="O6033" i="10"/>
  <c r="M6033" i="10"/>
  <c r="E6033" i="10"/>
  <c r="B6033" i="10"/>
  <c r="S6032" i="10"/>
  <c r="Q6032" i="10"/>
  <c r="P6032" i="10"/>
  <c r="O6032" i="10"/>
  <c r="M6032" i="10"/>
  <c r="E6032" i="10"/>
  <c r="B6032" i="10"/>
  <c r="S6031" i="10"/>
  <c r="Q6031" i="10"/>
  <c r="P6031" i="10"/>
  <c r="O6031" i="10"/>
  <c r="M6031" i="10"/>
  <c r="B6031" i="10"/>
  <c r="S6030" i="10"/>
  <c r="Q6030" i="10"/>
  <c r="P6030" i="10"/>
  <c r="O6030" i="10"/>
  <c r="M6030" i="10"/>
  <c r="E6030" i="10"/>
  <c r="B6030" i="10"/>
  <c r="S6029" i="10"/>
  <c r="Q6029" i="10"/>
  <c r="P6029" i="10"/>
  <c r="O6029" i="10"/>
  <c r="M6029" i="10"/>
  <c r="B6029" i="10"/>
  <c r="S6028" i="10"/>
  <c r="Q6028" i="10"/>
  <c r="P6028" i="10"/>
  <c r="O6028" i="10"/>
  <c r="M6028" i="10"/>
  <c r="E6028" i="10"/>
  <c r="B6028" i="10"/>
  <c r="S6027" i="10"/>
  <c r="Q6027" i="10"/>
  <c r="P6027" i="10"/>
  <c r="O6027" i="10"/>
  <c r="M6027" i="10"/>
  <c r="E6027" i="10"/>
  <c r="B6027" i="10"/>
  <c r="S6026" i="10"/>
  <c r="Q6026" i="10"/>
  <c r="P6026" i="10"/>
  <c r="O6026" i="10"/>
  <c r="M6026" i="10"/>
  <c r="E6026" i="10"/>
  <c r="B6026" i="10"/>
  <c r="S6025" i="10"/>
  <c r="Q6025" i="10"/>
  <c r="P6025" i="10"/>
  <c r="O6025" i="10"/>
  <c r="M6025" i="10"/>
  <c r="E6025" i="10"/>
  <c r="B6025" i="10"/>
  <c r="S6024" i="10"/>
  <c r="Q6024" i="10"/>
  <c r="P6024" i="10"/>
  <c r="O6024" i="10"/>
  <c r="M6024" i="10"/>
  <c r="B6024" i="10"/>
  <c r="S6023" i="10"/>
  <c r="Q6023" i="10"/>
  <c r="P6023" i="10"/>
  <c r="O6023" i="10"/>
  <c r="M6023" i="10"/>
  <c r="E6023" i="10"/>
  <c r="B6023" i="10"/>
  <c r="S6022" i="10"/>
  <c r="Q6022" i="10"/>
  <c r="P6022" i="10"/>
  <c r="O6022" i="10"/>
  <c r="M6022" i="10"/>
  <c r="E6022" i="10"/>
  <c r="B6022" i="10"/>
  <c r="S6021" i="10"/>
  <c r="Q6021" i="10"/>
  <c r="P6021" i="10"/>
  <c r="O6021" i="10"/>
  <c r="M6021" i="10"/>
  <c r="B6021" i="10"/>
  <c r="S6020" i="10"/>
  <c r="Q6020" i="10"/>
  <c r="P6020" i="10"/>
  <c r="O6020" i="10"/>
  <c r="M6020" i="10"/>
  <c r="B6020" i="10"/>
  <c r="S6019" i="10"/>
  <c r="Q6019" i="10"/>
  <c r="P6019" i="10"/>
  <c r="O6019" i="10"/>
  <c r="M6019" i="10"/>
  <c r="B6019" i="10"/>
  <c r="S6018" i="10"/>
  <c r="Q6018" i="10"/>
  <c r="P6018" i="10"/>
  <c r="O6018" i="10"/>
  <c r="M6018" i="10"/>
  <c r="B6018" i="10"/>
  <c r="S6017" i="10"/>
  <c r="Q6017" i="10"/>
  <c r="P6017" i="10"/>
  <c r="O6017" i="10"/>
  <c r="M6017" i="10"/>
  <c r="B6017" i="10"/>
  <c r="S6016" i="10"/>
  <c r="Q6016" i="10"/>
  <c r="P6016" i="10"/>
  <c r="O6016" i="10"/>
  <c r="M6016" i="10"/>
  <c r="B6016" i="10"/>
  <c r="S6015" i="10"/>
  <c r="Q6015" i="10"/>
  <c r="P6015" i="10"/>
  <c r="O6015" i="10"/>
  <c r="M6015" i="10"/>
  <c r="E6015" i="10"/>
  <c r="B6015" i="10"/>
  <c r="S6014" i="10"/>
  <c r="Q6014" i="10"/>
  <c r="P6014" i="10"/>
  <c r="O6014" i="10"/>
  <c r="M6014" i="10"/>
  <c r="B6014" i="10"/>
  <c r="S6013" i="10"/>
  <c r="Q6013" i="10"/>
  <c r="P6013" i="10"/>
  <c r="O6013" i="10"/>
  <c r="M6013" i="10"/>
  <c r="E6013" i="10"/>
  <c r="B6013" i="10"/>
  <c r="S6012" i="10"/>
  <c r="Q6012" i="10"/>
  <c r="P6012" i="10"/>
  <c r="O6012" i="10"/>
  <c r="M6012" i="10"/>
  <c r="B6012" i="10"/>
  <c r="S6011" i="10"/>
  <c r="Q6011" i="10"/>
  <c r="P6011" i="10"/>
  <c r="O6011" i="10"/>
  <c r="M6011" i="10"/>
  <c r="E6011" i="10"/>
  <c r="B6011" i="10"/>
  <c r="S6010" i="10"/>
  <c r="Q6010" i="10"/>
  <c r="P6010" i="10"/>
  <c r="O6010" i="10"/>
  <c r="M6010" i="10"/>
  <c r="E6010" i="10"/>
  <c r="B6010" i="10"/>
  <c r="S6009" i="10"/>
  <c r="Q6009" i="10"/>
  <c r="P6009" i="10"/>
  <c r="O6009" i="10"/>
  <c r="M6009" i="10"/>
  <c r="E6009" i="10"/>
  <c r="B6009" i="10"/>
  <c r="S6008" i="10"/>
  <c r="Q6008" i="10"/>
  <c r="P6008" i="10"/>
  <c r="O6008" i="10"/>
  <c r="M6008" i="10"/>
  <c r="E6008" i="10"/>
  <c r="B6008" i="10"/>
  <c r="S6007" i="10"/>
  <c r="Q6007" i="10"/>
  <c r="P6007" i="10"/>
  <c r="O6007" i="10"/>
  <c r="M6007" i="10"/>
  <c r="B6007" i="10"/>
  <c r="S6006" i="10"/>
  <c r="Q6006" i="10"/>
  <c r="P6006" i="10"/>
  <c r="O6006" i="10"/>
  <c r="M6006" i="10"/>
  <c r="E6006" i="10"/>
  <c r="B6006" i="10"/>
  <c r="S6005" i="10"/>
  <c r="Q6005" i="10"/>
  <c r="P6005" i="10"/>
  <c r="O6005" i="10"/>
  <c r="M6005" i="10"/>
  <c r="B6005" i="10"/>
  <c r="S6004" i="10"/>
  <c r="Q6004" i="10"/>
  <c r="P6004" i="10"/>
  <c r="O6004" i="10"/>
  <c r="M6004" i="10"/>
  <c r="E6004" i="10"/>
  <c r="B6004" i="10"/>
  <c r="S6003" i="10"/>
  <c r="Q6003" i="10"/>
  <c r="P6003" i="10"/>
  <c r="O6003" i="10"/>
  <c r="M6003" i="10"/>
  <c r="E6003" i="10"/>
  <c r="B6003" i="10"/>
  <c r="S6002" i="10"/>
  <c r="Q6002" i="10"/>
  <c r="P6002" i="10"/>
  <c r="O6002" i="10"/>
  <c r="M6002" i="10"/>
  <c r="E6002" i="10"/>
  <c r="B6002" i="10"/>
  <c r="S6001" i="10"/>
  <c r="Q6001" i="10"/>
  <c r="P6001" i="10"/>
  <c r="O6001" i="10"/>
  <c r="M6001" i="10"/>
  <c r="B6001" i="10"/>
  <c r="S6000" i="10"/>
  <c r="Q6000" i="10"/>
  <c r="P6000" i="10"/>
  <c r="O6000" i="10"/>
  <c r="M6000" i="10"/>
  <c r="E6000" i="10"/>
  <c r="B6000" i="10"/>
  <c r="S5999" i="10"/>
  <c r="Q5999" i="10"/>
  <c r="P5999" i="10"/>
  <c r="O5999" i="10"/>
  <c r="M5999" i="10"/>
  <c r="E5999" i="10"/>
  <c r="B5999" i="10"/>
  <c r="S5998" i="10"/>
  <c r="Q5998" i="10"/>
  <c r="P5998" i="10"/>
  <c r="O5998" i="10"/>
  <c r="M5998" i="10"/>
  <c r="E5998" i="10"/>
  <c r="B5998" i="10"/>
  <c r="S5997" i="10"/>
  <c r="Q5997" i="10"/>
  <c r="P5997" i="10"/>
  <c r="O5997" i="10"/>
  <c r="M5997" i="10"/>
  <c r="E5997" i="10"/>
  <c r="B5997" i="10"/>
  <c r="S5996" i="10"/>
  <c r="Q5996" i="10"/>
  <c r="P5996" i="10"/>
  <c r="O5996" i="10"/>
  <c r="M5996" i="10"/>
  <c r="E5996" i="10"/>
  <c r="B5996" i="10"/>
  <c r="S5995" i="10"/>
  <c r="Q5995" i="10"/>
  <c r="P5995" i="10"/>
  <c r="O5995" i="10"/>
  <c r="M5995" i="10"/>
  <c r="B5995" i="10"/>
  <c r="S5994" i="10"/>
  <c r="Q5994" i="10"/>
  <c r="P5994" i="10"/>
  <c r="O5994" i="10"/>
  <c r="M5994" i="10"/>
  <c r="E5994" i="10"/>
  <c r="B5994" i="10"/>
  <c r="S5993" i="10"/>
  <c r="Q5993" i="10"/>
  <c r="P5993" i="10"/>
  <c r="O5993" i="10"/>
  <c r="M5993" i="10"/>
  <c r="B5993" i="10"/>
  <c r="S5992" i="10"/>
  <c r="Q5992" i="10"/>
  <c r="P5992" i="10"/>
  <c r="O5992" i="10"/>
  <c r="M5992" i="10"/>
  <c r="B5992" i="10"/>
  <c r="S5991" i="10"/>
  <c r="Q5991" i="10"/>
  <c r="P5991" i="10"/>
  <c r="O5991" i="10"/>
  <c r="M5991" i="10"/>
  <c r="E5991" i="10"/>
  <c r="B5991" i="10"/>
  <c r="S5990" i="10"/>
  <c r="Q5990" i="10"/>
  <c r="P5990" i="10"/>
  <c r="O5990" i="10"/>
  <c r="M5990" i="10"/>
  <c r="E5990" i="10"/>
  <c r="B5990" i="10"/>
  <c r="S5989" i="10"/>
  <c r="Q5989" i="10"/>
  <c r="P5989" i="10"/>
  <c r="O5989" i="10"/>
  <c r="M5989" i="10"/>
  <c r="E5989" i="10"/>
  <c r="B5989" i="10"/>
  <c r="S5988" i="10"/>
  <c r="Q5988" i="10"/>
  <c r="P5988" i="10"/>
  <c r="O5988" i="10"/>
  <c r="M5988" i="10"/>
  <c r="E5988" i="10"/>
  <c r="B5988" i="10"/>
  <c r="S5987" i="10"/>
  <c r="Q5987" i="10"/>
  <c r="P5987" i="10"/>
  <c r="O5987" i="10"/>
  <c r="M5987" i="10"/>
  <c r="E5987" i="10"/>
  <c r="B5987" i="10"/>
  <c r="S5986" i="10"/>
  <c r="Q5986" i="10"/>
  <c r="P5986" i="10"/>
  <c r="O5986" i="10"/>
  <c r="M5986" i="10"/>
  <c r="E5986" i="10"/>
  <c r="B5986" i="10"/>
  <c r="S5985" i="10"/>
  <c r="Q5985" i="10"/>
  <c r="P5985" i="10"/>
  <c r="O5985" i="10"/>
  <c r="M5985" i="10"/>
  <c r="E5985" i="10"/>
  <c r="B5985" i="10"/>
  <c r="S5984" i="10"/>
  <c r="Q5984" i="10"/>
  <c r="P5984" i="10"/>
  <c r="O5984" i="10"/>
  <c r="M5984" i="10"/>
  <c r="E5984" i="10"/>
  <c r="B5984" i="10"/>
  <c r="S5983" i="10"/>
  <c r="Q5983" i="10"/>
  <c r="P5983" i="10"/>
  <c r="O5983" i="10"/>
  <c r="M5983" i="10"/>
  <c r="E5983" i="10"/>
  <c r="B5983" i="10"/>
  <c r="S5982" i="10"/>
  <c r="Q5982" i="10"/>
  <c r="P5982" i="10"/>
  <c r="O5982" i="10"/>
  <c r="M5982" i="10"/>
  <c r="E5982" i="10"/>
  <c r="B5982" i="10"/>
  <c r="S5981" i="10"/>
  <c r="Q5981" i="10"/>
  <c r="P5981" i="10"/>
  <c r="O5981" i="10"/>
  <c r="M5981" i="10"/>
  <c r="E5981" i="10"/>
  <c r="B5981" i="10"/>
  <c r="S5980" i="10"/>
  <c r="Q5980" i="10"/>
  <c r="P5980" i="10"/>
  <c r="O5980" i="10"/>
  <c r="M5980" i="10"/>
  <c r="E5980" i="10"/>
  <c r="B5980" i="10"/>
  <c r="S5979" i="10"/>
  <c r="Q5979" i="10"/>
  <c r="P5979" i="10"/>
  <c r="O5979" i="10"/>
  <c r="M5979" i="10"/>
  <c r="E5979" i="10"/>
  <c r="B5979" i="10"/>
  <c r="S5978" i="10"/>
  <c r="Q5978" i="10"/>
  <c r="P5978" i="10"/>
  <c r="O5978" i="10"/>
  <c r="M5978" i="10"/>
  <c r="E5978" i="10"/>
  <c r="B5978" i="10"/>
  <c r="S5977" i="10"/>
  <c r="Q5977" i="10"/>
  <c r="P5977" i="10"/>
  <c r="O5977" i="10"/>
  <c r="M5977" i="10"/>
  <c r="E5977" i="10"/>
  <c r="B5977" i="10"/>
  <c r="S5976" i="10"/>
  <c r="Q5976" i="10"/>
  <c r="P5976" i="10"/>
  <c r="O5976" i="10"/>
  <c r="M5976" i="10"/>
  <c r="E5976" i="10"/>
  <c r="B5976" i="10"/>
  <c r="S5975" i="10"/>
  <c r="Q5975" i="10"/>
  <c r="P5975" i="10"/>
  <c r="O5975" i="10"/>
  <c r="M5975" i="10"/>
  <c r="E5975" i="10"/>
  <c r="B5975" i="10"/>
  <c r="S5974" i="10"/>
  <c r="Q5974" i="10"/>
  <c r="P5974" i="10"/>
  <c r="O5974" i="10"/>
  <c r="M5974" i="10"/>
  <c r="B5974" i="10"/>
  <c r="S5973" i="10"/>
  <c r="Q5973" i="10"/>
  <c r="P5973" i="10"/>
  <c r="O5973" i="10"/>
  <c r="M5973" i="10"/>
  <c r="E5973" i="10"/>
  <c r="B5973" i="10"/>
  <c r="S5972" i="10"/>
  <c r="Q5972" i="10"/>
  <c r="P5972" i="10"/>
  <c r="O5972" i="10"/>
  <c r="M5972" i="10"/>
  <c r="E5972" i="10"/>
  <c r="B5972" i="10"/>
  <c r="S5971" i="10"/>
  <c r="Q5971" i="10"/>
  <c r="P5971" i="10"/>
  <c r="O5971" i="10"/>
  <c r="M5971" i="10"/>
  <c r="E5971" i="10"/>
  <c r="B5971" i="10"/>
  <c r="S5970" i="10"/>
  <c r="Q5970" i="10"/>
  <c r="P5970" i="10"/>
  <c r="O5970" i="10"/>
  <c r="M5970" i="10"/>
  <c r="E5970" i="10"/>
  <c r="B5970" i="10"/>
  <c r="S5969" i="10"/>
  <c r="Q5969" i="10"/>
  <c r="P5969" i="10"/>
  <c r="O5969" i="10"/>
  <c r="M5969" i="10"/>
  <c r="E5969" i="10"/>
  <c r="B5969" i="10"/>
  <c r="S5968" i="10"/>
  <c r="Q5968" i="10"/>
  <c r="P5968" i="10"/>
  <c r="O5968" i="10"/>
  <c r="M5968" i="10"/>
  <c r="E5968" i="10"/>
  <c r="B5968" i="10"/>
  <c r="S5967" i="10"/>
  <c r="Q5967" i="10"/>
  <c r="P5967" i="10"/>
  <c r="O5967" i="10"/>
  <c r="M5967" i="10"/>
  <c r="E5967" i="10"/>
  <c r="B5967" i="10"/>
  <c r="S5966" i="10"/>
  <c r="Q5966" i="10"/>
  <c r="P5966" i="10"/>
  <c r="O5966" i="10"/>
  <c r="M5966" i="10"/>
  <c r="E5966" i="10"/>
  <c r="B5966" i="10"/>
  <c r="S5965" i="10"/>
  <c r="Q5965" i="10"/>
  <c r="P5965" i="10"/>
  <c r="O5965" i="10"/>
  <c r="M5965" i="10"/>
  <c r="E5965" i="10"/>
  <c r="B5965" i="10"/>
  <c r="S5964" i="10"/>
  <c r="Q5964" i="10"/>
  <c r="P5964" i="10"/>
  <c r="O5964" i="10"/>
  <c r="M5964" i="10"/>
  <c r="E5964" i="10"/>
  <c r="B5964" i="10"/>
  <c r="S5963" i="10"/>
  <c r="Q5963" i="10"/>
  <c r="P5963" i="10"/>
  <c r="O5963" i="10"/>
  <c r="M5963" i="10"/>
  <c r="E5963" i="10"/>
  <c r="B5963" i="10"/>
  <c r="S5962" i="10"/>
  <c r="Q5962" i="10"/>
  <c r="P5962" i="10"/>
  <c r="O5962" i="10"/>
  <c r="M5962" i="10"/>
  <c r="E5962" i="10"/>
  <c r="B5962" i="10"/>
  <c r="S5961" i="10"/>
  <c r="Q5961" i="10"/>
  <c r="P5961" i="10"/>
  <c r="O5961" i="10"/>
  <c r="M5961" i="10"/>
  <c r="E5961" i="10"/>
  <c r="B5961" i="10"/>
  <c r="S5960" i="10"/>
  <c r="Q5960" i="10"/>
  <c r="P5960" i="10"/>
  <c r="O5960" i="10"/>
  <c r="M5960" i="10"/>
  <c r="E5960" i="10"/>
  <c r="B5960" i="10"/>
  <c r="S5959" i="10"/>
  <c r="Q5959" i="10"/>
  <c r="P5959" i="10"/>
  <c r="O5959" i="10"/>
  <c r="M5959" i="10"/>
  <c r="E5959" i="10"/>
  <c r="B5959" i="10"/>
  <c r="S5958" i="10"/>
  <c r="Q5958" i="10"/>
  <c r="P5958" i="10"/>
  <c r="O5958" i="10"/>
  <c r="M5958" i="10"/>
  <c r="E5958" i="10"/>
  <c r="B5958" i="10"/>
  <c r="S5957" i="10"/>
  <c r="Q5957" i="10"/>
  <c r="P5957" i="10"/>
  <c r="O5957" i="10"/>
  <c r="M5957" i="10"/>
  <c r="E5957" i="10"/>
  <c r="B5957" i="10"/>
  <c r="S5956" i="10"/>
  <c r="Q5956" i="10"/>
  <c r="P5956" i="10"/>
  <c r="O5956" i="10"/>
  <c r="M5956" i="10"/>
  <c r="E5956" i="10"/>
  <c r="B5956" i="10"/>
  <c r="S5955" i="10"/>
  <c r="Q5955" i="10"/>
  <c r="P5955" i="10"/>
  <c r="O5955" i="10"/>
  <c r="M5955" i="10"/>
  <c r="E5955" i="10"/>
  <c r="B5955" i="10"/>
  <c r="S5954" i="10"/>
  <c r="Q5954" i="10"/>
  <c r="P5954" i="10"/>
  <c r="O5954" i="10"/>
  <c r="M5954" i="10"/>
  <c r="E5954" i="10"/>
  <c r="B5954" i="10"/>
  <c r="S5953" i="10"/>
  <c r="Q5953" i="10"/>
  <c r="P5953" i="10"/>
  <c r="O5953" i="10"/>
  <c r="M5953" i="10"/>
  <c r="E5953" i="10"/>
  <c r="B5953" i="10"/>
  <c r="S5952" i="10"/>
  <c r="Q5952" i="10"/>
  <c r="P5952" i="10"/>
  <c r="O5952" i="10"/>
  <c r="M5952" i="10"/>
  <c r="E5952" i="10"/>
  <c r="B5952" i="10"/>
  <c r="S5951" i="10"/>
  <c r="Q5951" i="10"/>
  <c r="P5951" i="10"/>
  <c r="O5951" i="10"/>
  <c r="M5951" i="10"/>
  <c r="E5951" i="10"/>
  <c r="B5951" i="10"/>
  <c r="S5950" i="10"/>
  <c r="Q5950" i="10"/>
  <c r="P5950" i="10"/>
  <c r="O5950" i="10"/>
  <c r="M5950" i="10"/>
  <c r="E5950" i="10"/>
  <c r="B5950" i="10"/>
  <c r="S5949" i="10"/>
  <c r="Q5949" i="10"/>
  <c r="P5949" i="10"/>
  <c r="O5949" i="10"/>
  <c r="M5949" i="10"/>
  <c r="E5949" i="10"/>
  <c r="B5949" i="10"/>
  <c r="S5948" i="10"/>
  <c r="Q5948" i="10"/>
  <c r="P5948" i="10"/>
  <c r="O5948" i="10"/>
  <c r="M5948" i="10"/>
  <c r="E5948" i="10"/>
  <c r="B5948" i="10"/>
  <c r="S5947" i="10"/>
  <c r="Q5947" i="10"/>
  <c r="P5947" i="10"/>
  <c r="O5947" i="10"/>
  <c r="M5947" i="10"/>
  <c r="E5947" i="10"/>
  <c r="B5947" i="10"/>
  <c r="S5946" i="10"/>
  <c r="Q5946" i="10"/>
  <c r="P5946" i="10"/>
  <c r="O5946" i="10"/>
  <c r="M5946" i="10"/>
  <c r="E5946" i="10"/>
  <c r="B5946" i="10"/>
  <c r="S5945" i="10"/>
  <c r="Q5945" i="10"/>
  <c r="P5945" i="10"/>
  <c r="O5945" i="10"/>
  <c r="M5945" i="10"/>
  <c r="E5945" i="10"/>
  <c r="B5945" i="10"/>
  <c r="S5944" i="10"/>
  <c r="Q5944" i="10"/>
  <c r="P5944" i="10"/>
  <c r="O5944" i="10"/>
  <c r="M5944" i="10"/>
  <c r="E5944" i="10"/>
  <c r="B5944" i="10"/>
  <c r="S5943" i="10"/>
  <c r="Q5943" i="10"/>
  <c r="P5943" i="10"/>
  <c r="O5943" i="10"/>
  <c r="M5943" i="10"/>
  <c r="E5943" i="10"/>
  <c r="B5943" i="10"/>
  <c r="S5942" i="10"/>
  <c r="Q5942" i="10"/>
  <c r="P5942" i="10"/>
  <c r="O5942" i="10"/>
  <c r="M5942" i="10"/>
  <c r="E5942" i="10"/>
  <c r="B5942" i="10"/>
  <c r="S5941" i="10"/>
  <c r="Q5941" i="10"/>
  <c r="P5941" i="10"/>
  <c r="O5941" i="10"/>
  <c r="M5941" i="10"/>
  <c r="E5941" i="10"/>
  <c r="B5941" i="10"/>
  <c r="S5940" i="10"/>
  <c r="Q5940" i="10"/>
  <c r="P5940" i="10"/>
  <c r="O5940" i="10"/>
  <c r="M5940" i="10"/>
  <c r="E5940" i="10"/>
  <c r="B5940" i="10"/>
  <c r="S5939" i="10"/>
  <c r="Q5939" i="10"/>
  <c r="P5939" i="10"/>
  <c r="O5939" i="10"/>
  <c r="M5939" i="10"/>
  <c r="E5939" i="10"/>
  <c r="B5939" i="10"/>
  <c r="S5938" i="10"/>
  <c r="Q5938" i="10"/>
  <c r="P5938" i="10"/>
  <c r="O5938" i="10"/>
  <c r="M5938" i="10"/>
  <c r="B5938" i="10"/>
  <c r="S5937" i="10"/>
  <c r="Q5937" i="10"/>
  <c r="P5937" i="10"/>
  <c r="O5937" i="10"/>
  <c r="M5937" i="10"/>
  <c r="B5937" i="10"/>
  <c r="S5936" i="10"/>
  <c r="Q5936" i="10"/>
  <c r="P5936" i="10"/>
  <c r="O5936" i="10"/>
  <c r="M5936" i="10"/>
  <c r="E5936" i="10"/>
  <c r="B5936" i="10"/>
  <c r="S5935" i="10"/>
  <c r="Q5935" i="10"/>
  <c r="P5935" i="10"/>
  <c r="O5935" i="10"/>
  <c r="M5935" i="10"/>
  <c r="E5935" i="10"/>
  <c r="B5935" i="10"/>
  <c r="S5934" i="10"/>
  <c r="Q5934" i="10"/>
  <c r="P5934" i="10"/>
  <c r="O5934" i="10"/>
  <c r="M5934" i="10"/>
  <c r="E5934" i="10"/>
  <c r="B5934" i="10"/>
  <c r="S5933" i="10"/>
  <c r="Q5933" i="10"/>
  <c r="P5933" i="10"/>
  <c r="O5933" i="10"/>
  <c r="M5933" i="10"/>
  <c r="B5933" i="10"/>
  <c r="S5932" i="10"/>
  <c r="Q5932" i="10"/>
  <c r="P5932" i="10"/>
  <c r="O5932" i="10"/>
  <c r="M5932" i="10"/>
  <c r="E5932" i="10"/>
  <c r="B5932" i="10"/>
  <c r="S5931" i="10"/>
  <c r="Q5931" i="10"/>
  <c r="P5931" i="10"/>
  <c r="O5931" i="10"/>
  <c r="M5931" i="10"/>
  <c r="E5931" i="10"/>
  <c r="B5931" i="10"/>
  <c r="S5930" i="10"/>
  <c r="Q5930" i="10"/>
  <c r="P5930" i="10"/>
  <c r="O5930" i="10"/>
  <c r="M5930" i="10"/>
  <c r="E5930" i="10"/>
  <c r="B5930" i="10"/>
  <c r="S5929" i="10"/>
  <c r="Q5929" i="10"/>
  <c r="P5929" i="10"/>
  <c r="O5929" i="10"/>
  <c r="M5929" i="10"/>
  <c r="E5929" i="10"/>
  <c r="B5929" i="10"/>
  <c r="S5928" i="10"/>
  <c r="Q5928" i="10"/>
  <c r="P5928" i="10"/>
  <c r="O5928" i="10"/>
  <c r="M5928" i="10"/>
  <c r="E5928" i="10"/>
  <c r="B5928" i="10"/>
  <c r="S5927" i="10"/>
  <c r="Q5927" i="10"/>
  <c r="P5927" i="10"/>
  <c r="O5927" i="10"/>
  <c r="M5927" i="10"/>
  <c r="E5927" i="10"/>
  <c r="B5927" i="10"/>
  <c r="S5926" i="10"/>
  <c r="Q5926" i="10"/>
  <c r="P5926" i="10"/>
  <c r="O5926" i="10"/>
  <c r="M5926" i="10"/>
  <c r="E5926" i="10"/>
  <c r="B5926" i="10"/>
  <c r="S5925" i="10"/>
  <c r="Q5925" i="10"/>
  <c r="P5925" i="10"/>
  <c r="O5925" i="10"/>
  <c r="M5925" i="10"/>
  <c r="E5925" i="10"/>
  <c r="B5925" i="10"/>
  <c r="S5924" i="10"/>
  <c r="Q5924" i="10"/>
  <c r="P5924" i="10"/>
  <c r="O5924" i="10"/>
  <c r="M5924" i="10"/>
  <c r="E5924" i="10"/>
  <c r="B5924" i="10"/>
  <c r="S5923" i="10"/>
  <c r="Q5923" i="10"/>
  <c r="P5923" i="10"/>
  <c r="O5923" i="10"/>
  <c r="M5923" i="10"/>
  <c r="E5923" i="10"/>
  <c r="B5923" i="10"/>
  <c r="S5922" i="10"/>
  <c r="Q5922" i="10"/>
  <c r="P5922" i="10"/>
  <c r="O5922" i="10"/>
  <c r="M5922" i="10"/>
  <c r="E5922" i="10"/>
  <c r="B5922" i="10"/>
  <c r="S5921" i="10"/>
  <c r="Q5921" i="10"/>
  <c r="P5921" i="10"/>
  <c r="O5921" i="10"/>
  <c r="M5921" i="10"/>
  <c r="B5921" i="10"/>
  <c r="S5920" i="10"/>
  <c r="Q5920" i="10"/>
  <c r="P5920" i="10"/>
  <c r="O5920" i="10"/>
  <c r="M5920" i="10"/>
  <c r="E5920" i="10"/>
  <c r="B5920" i="10"/>
  <c r="S5919" i="10"/>
  <c r="Q5919" i="10"/>
  <c r="P5919" i="10"/>
  <c r="O5919" i="10"/>
  <c r="M5919" i="10"/>
  <c r="E5919" i="10"/>
  <c r="B5919" i="10"/>
  <c r="S5918" i="10"/>
  <c r="Q5918" i="10"/>
  <c r="P5918" i="10"/>
  <c r="O5918" i="10"/>
  <c r="M5918" i="10"/>
  <c r="E5918" i="10"/>
  <c r="B5918" i="10"/>
  <c r="S5917" i="10"/>
  <c r="Q5917" i="10"/>
  <c r="P5917" i="10"/>
  <c r="O5917" i="10"/>
  <c r="M5917" i="10"/>
  <c r="B5917" i="10"/>
  <c r="S5916" i="10"/>
  <c r="Q5916" i="10"/>
  <c r="P5916" i="10"/>
  <c r="O5916" i="10"/>
  <c r="M5916" i="10"/>
  <c r="B5916" i="10"/>
  <c r="S5915" i="10"/>
  <c r="Q5915" i="10"/>
  <c r="P5915" i="10"/>
  <c r="O5915" i="10"/>
  <c r="M5915" i="10"/>
  <c r="E5915" i="10"/>
  <c r="B5915" i="10"/>
  <c r="S5914" i="10"/>
  <c r="Q5914" i="10"/>
  <c r="P5914" i="10"/>
  <c r="O5914" i="10"/>
  <c r="M5914" i="10"/>
  <c r="E5914" i="10"/>
  <c r="B5914" i="10"/>
  <c r="S5913" i="10"/>
  <c r="Q5913" i="10"/>
  <c r="P5913" i="10"/>
  <c r="O5913" i="10"/>
  <c r="M5913" i="10"/>
  <c r="E5913" i="10"/>
  <c r="B5913" i="10"/>
  <c r="S5912" i="10"/>
  <c r="Q5912" i="10"/>
  <c r="P5912" i="10"/>
  <c r="O5912" i="10"/>
  <c r="M5912" i="10"/>
  <c r="E5912" i="10"/>
  <c r="B5912" i="10"/>
  <c r="S5911" i="10"/>
  <c r="Q5911" i="10"/>
  <c r="P5911" i="10"/>
  <c r="O5911" i="10"/>
  <c r="M5911" i="10"/>
  <c r="E5911" i="10"/>
  <c r="B5911" i="10"/>
  <c r="S5910" i="10"/>
  <c r="Q5910" i="10"/>
  <c r="P5910" i="10"/>
  <c r="O5910" i="10"/>
  <c r="M5910" i="10"/>
  <c r="E5910" i="10"/>
  <c r="B5910" i="10"/>
  <c r="S5909" i="10"/>
  <c r="Q5909" i="10"/>
  <c r="P5909" i="10"/>
  <c r="O5909" i="10"/>
  <c r="M5909" i="10"/>
  <c r="E5909" i="10"/>
  <c r="B5909" i="10"/>
  <c r="S5908" i="10"/>
  <c r="Q5908" i="10"/>
  <c r="P5908" i="10"/>
  <c r="O5908" i="10"/>
  <c r="M5908" i="10"/>
  <c r="B5908" i="10"/>
  <c r="S5907" i="10"/>
  <c r="Q5907" i="10"/>
  <c r="P5907" i="10"/>
  <c r="O5907" i="10"/>
  <c r="M5907" i="10"/>
  <c r="B5907" i="10"/>
  <c r="S5906" i="10"/>
  <c r="Q5906" i="10"/>
  <c r="P5906" i="10"/>
  <c r="O5906" i="10"/>
  <c r="M5906" i="10"/>
  <c r="E5906" i="10"/>
  <c r="B5906" i="10"/>
  <c r="S5905" i="10"/>
  <c r="Q5905" i="10"/>
  <c r="P5905" i="10"/>
  <c r="O5905" i="10"/>
  <c r="M5905" i="10"/>
  <c r="E5905" i="10"/>
  <c r="B5905" i="10"/>
  <c r="S5904" i="10"/>
  <c r="Q5904" i="10"/>
  <c r="P5904" i="10"/>
  <c r="O5904" i="10"/>
  <c r="M5904" i="10"/>
  <c r="E5904" i="10"/>
  <c r="B5904" i="10"/>
  <c r="S5903" i="10"/>
  <c r="Q5903" i="10"/>
  <c r="P5903" i="10"/>
  <c r="O5903" i="10"/>
  <c r="M5903" i="10"/>
  <c r="B5903" i="10"/>
  <c r="S5902" i="10"/>
  <c r="Q5902" i="10"/>
  <c r="P5902" i="10"/>
  <c r="O5902" i="10"/>
  <c r="M5902" i="10"/>
  <c r="E5902" i="10"/>
  <c r="B5902" i="10"/>
  <c r="S5901" i="10"/>
  <c r="Q5901" i="10"/>
  <c r="P5901" i="10"/>
  <c r="O5901" i="10"/>
  <c r="M5901" i="10"/>
  <c r="E5901" i="10"/>
  <c r="B5901" i="10"/>
  <c r="S5900" i="10"/>
  <c r="Q5900" i="10"/>
  <c r="P5900" i="10"/>
  <c r="O5900" i="10"/>
  <c r="M5900" i="10"/>
  <c r="E5900" i="10"/>
  <c r="B5900" i="10"/>
  <c r="S5899" i="10"/>
  <c r="Q5899" i="10"/>
  <c r="P5899" i="10"/>
  <c r="O5899" i="10"/>
  <c r="M5899" i="10"/>
  <c r="E5899" i="10"/>
  <c r="B5899" i="10"/>
  <c r="S5898" i="10"/>
  <c r="Q5898" i="10"/>
  <c r="P5898" i="10"/>
  <c r="O5898" i="10"/>
  <c r="M5898" i="10"/>
  <c r="E5898" i="10"/>
  <c r="B5898" i="10"/>
  <c r="S5897" i="10"/>
  <c r="Q5897" i="10"/>
  <c r="P5897" i="10"/>
  <c r="O5897" i="10"/>
  <c r="M5897" i="10"/>
  <c r="E5897" i="10"/>
  <c r="B5897" i="10"/>
  <c r="S5896" i="10"/>
  <c r="Q5896" i="10"/>
  <c r="P5896" i="10"/>
  <c r="O5896" i="10"/>
  <c r="M5896" i="10"/>
  <c r="E5896" i="10"/>
  <c r="B5896" i="10"/>
  <c r="S5895" i="10"/>
  <c r="Q5895" i="10"/>
  <c r="P5895" i="10"/>
  <c r="O5895" i="10"/>
  <c r="M5895" i="10"/>
  <c r="E5895" i="10"/>
  <c r="B5895" i="10"/>
  <c r="S5894" i="10"/>
  <c r="Q5894" i="10"/>
  <c r="P5894" i="10"/>
  <c r="O5894" i="10"/>
  <c r="M5894" i="10"/>
  <c r="E5894" i="10"/>
  <c r="B5894" i="10"/>
  <c r="S5893" i="10"/>
  <c r="Q5893" i="10"/>
  <c r="P5893" i="10"/>
  <c r="O5893" i="10"/>
  <c r="M5893" i="10"/>
  <c r="E5893" i="10"/>
  <c r="B5893" i="10"/>
  <c r="S5892" i="10"/>
  <c r="Q5892" i="10"/>
  <c r="P5892" i="10"/>
  <c r="O5892" i="10"/>
  <c r="M5892" i="10"/>
  <c r="E5892" i="10"/>
  <c r="B5892" i="10"/>
  <c r="S5891" i="10"/>
  <c r="Q5891" i="10"/>
  <c r="P5891" i="10"/>
  <c r="O5891" i="10"/>
  <c r="M5891" i="10"/>
  <c r="E5891" i="10"/>
  <c r="B5891" i="10"/>
  <c r="S5890" i="10"/>
  <c r="Q5890" i="10"/>
  <c r="P5890" i="10"/>
  <c r="O5890" i="10"/>
  <c r="M5890" i="10"/>
  <c r="E5890" i="10"/>
  <c r="B5890" i="10"/>
  <c r="S5889" i="10"/>
  <c r="Q5889" i="10"/>
  <c r="P5889" i="10"/>
  <c r="O5889" i="10"/>
  <c r="M5889" i="10"/>
  <c r="E5889" i="10"/>
  <c r="B5889" i="10"/>
  <c r="S5888" i="10"/>
  <c r="Q5888" i="10"/>
  <c r="P5888" i="10"/>
  <c r="O5888" i="10"/>
  <c r="M5888" i="10"/>
  <c r="E5888" i="10"/>
  <c r="B5888" i="10"/>
  <c r="S5887" i="10"/>
  <c r="Q5887" i="10"/>
  <c r="P5887" i="10"/>
  <c r="O5887" i="10"/>
  <c r="M5887" i="10"/>
  <c r="E5887" i="10"/>
  <c r="B5887" i="10"/>
  <c r="S5886" i="10"/>
  <c r="Q5886" i="10"/>
  <c r="P5886" i="10"/>
  <c r="O5886" i="10"/>
  <c r="M5886" i="10"/>
  <c r="E5886" i="10"/>
  <c r="B5886" i="10"/>
  <c r="S5885" i="10"/>
  <c r="Q5885" i="10"/>
  <c r="P5885" i="10"/>
  <c r="O5885" i="10"/>
  <c r="M5885" i="10"/>
  <c r="E5885" i="10"/>
  <c r="B5885" i="10"/>
  <c r="S5884" i="10"/>
  <c r="Q5884" i="10"/>
  <c r="P5884" i="10"/>
  <c r="O5884" i="10"/>
  <c r="M5884" i="10"/>
  <c r="B5884" i="10"/>
  <c r="S5883" i="10"/>
  <c r="Q5883" i="10"/>
  <c r="P5883" i="10"/>
  <c r="O5883" i="10"/>
  <c r="M5883" i="10"/>
  <c r="B5883" i="10"/>
  <c r="S5882" i="10"/>
  <c r="Q5882" i="10"/>
  <c r="P5882" i="10"/>
  <c r="O5882" i="10"/>
  <c r="M5882" i="10"/>
  <c r="E5882" i="10"/>
  <c r="B5882" i="10"/>
  <c r="S5881" i="10"/>
  <c r="Q5881" i="10"/>
  <c r="P5881" i="10"/>
  <c r="O5881" i="10"/>
  <c r="M5881" i="10"/>
  <c r="E5881" i="10"/>
  <c r="B5881" i="10"/>
  <c r="S5880" i="10"/>
  <c r="Q5880" i="10"/>
  <c r="P5880" i="10"/>
  <c r="O5880" i="10"/>
  <c r="M5880" i="10"/>
  <c r="E5880" i="10"/>
  <c r="B5880" i="10"/>
  <c r="S5879" i="10"/>
  <c r="Q5879" i="10"/>
  <c r="P5879" i="10"/>
  <c r="O5879" i="10"/>
  <c r="M5879" i="10"/>
  <c r="E5879" i="10"/>
  <c r="B5879" i="10"/>
  <c r="S5878" i="10"/>
  <c r="Q5878" i="10"/>
  <c r="P5878" i="10"/>
  <c r="O5878" i="10"/>
  <c r="M5878" i="10"/>
  <c r="B5878" i="10"/>
  <c r="S5877" i="10"/>
  <c r="Q5877" i="10"/>
  <c r="P5877" i="10"/>
  <c r="O5877" i="10"/>
  <c r="M5877" i="10"/>
  <c r="E5877" i="10"/>
  <c r="B5877" i="10"/>
  <c r="S5876" i="10"/>
  <c r="Q5876" i="10"/>
  <c r="P5876" i="10"/>
  <c r="O5876" i="10"/>
  <c r="M5876" i="10"/>
  <c r="E5876" i="10"/>
  <c r="B5876" i="10"/>
  <c r="S5875" i="10"/>
  <c r="Q5875" i="10"/>
  <c r="P5875" i="10"/>
  <c r="O5875" i="10"/>
  <c r="M5875" i="10"/>
  <c r="E5875" i="10"/>
  <c r="B5875" i="10"/>
  <c r="S5874" i="10"/>
  <c r="Q5874" i="10"/>
  <c r="P5874" i="10"/>
  <c r="O5874" i="10"/>
  <c r="M5874" i="10"/>
  <c r="E5874" i="10"/>
  <c r="B5874" i="10"/>
  <c r="S5873" i="10"/>
  <c r="Q5873" i="10"/>
  <c r="P5873" i="10"/>
  <c r="O5873" i="10"/>
  <c r="M5873" i="10"/>
  <c r="E5873" i="10"/>
  <c r="B5873" i="10"/>
  <c r="S5872" i="10"/>
  <c r="Q5872" i="10"/>
  <c r="P5872" i="10"/>
  <c r="O5872" i="10"/>
  <c r="M5872" i="10"/>
  <c r="B5872" i="10"/>
  <c r="S5871" i="10"/>
  <c r="Q5871" i="10"/>
  <c r="P5871" i="10"/>
  <c r="O5871" i="10"/>
  <c r="M5871" i="10"/>
  <c r="E5871" i="10"/>
  <c r="B5871" i="10"/>
  <c r="S5870" i="10"/>
  <c r="Q5870" i="10"/>
  <c r="P5870" i="10"/>
  <c r="O5870" i="10"/>
  <c r="M5870" i="10"/>
  <c r="E5870" i="10"/>
  <c r="B5870" i="10"/>
  <c r="S5869" i="10"/>
  <c r="Q5869" i="10"/>
  <c r="P5869" i="10"/>
  <c r="O5869" i="10"/>
  <c r="M5869" i="10"/>
  <c r="E5869" i="10"/>
  <c r="B5869" i="10"/>
  <c r="S5868" i="10"/>
  <c r="Q5868" i="10"/>
  <c r="P5868" i="10"/>
  <c r="O5868" i="10"/>
  <c r="M5868" i="10"/>
  <c r="E5868" i="10"/>
  <c r="B5868" i="10"/>
  <c r="S5867" i="10"/>
  <c r="Q5867" i="10"/>
  <c r="P5867" i="10"/>
  <c r="O5867" i="10"/>
  <c r="M5867" i="10"/>
  <c r="E5867" i="10"/>
  <c r="B5867" i="10"/>
  <c r="S5866" i="10"/>
  <c r="Q5866" i="10"/>
  <c r="P5866" i="10"/>
  <c r="O5866" i="10"/>
  <c r="M5866" i="10"/>
  <c r="E5866" i="10"/>
  <c r="B5866" i="10"/>
  <c r="S5865" i="10"/>
  <c r="Q5865" i="10"/>
  <c r="P5865" i="10"/>
  <c r="O5865" i="10"/>
  <c r="M5865" i="10"/>
  <c r="E5865" i="10"/>
  <c r="B5865" i="10"/>
  <c r="S5864" i="10"/>
  <c r="Q5864" i="10"/>
  <c r="P5864" i="10"/>
  <c r="O5864" i="10"/>
  <c r="M5864" i="10"/>
  <c r="E5864" i="10"/>
  <c r="B5864" i="10"/>
  <c r="S5863" i="10"/>
  <c r="Q5863" i="10"/>
  <c r="P5863" i="10"/>
  <c r="O5863" i="10"/>
  <c r="M5863" i="10"/>
  <c r="E5863" i="10"/>
  <c r="B5863" i="10"/>
  <c r="S5862" i="10"/>
  <c r="Q5862" i="10"/>
  <c r="P5862" i="10"/>
  <c r="O5862" i="10"/>
  <c r="M5862" i="10"/>
  <c r="B5862" i="10"/>
  <c r="S5861" i="10"/>
  <c r="Q5861" i="10"/>
  <c r="P5861" i="10"/>
  <c r="O5861" i="10"/>
  <c r="M5861" i="10"/>
  <c r="E5861" i="10"/>
  <c r="B5861" i="10"/>
  <c r="S5860" i="10"/>
  <c r="Q5860" i="10"/>
  <c r="P5860" i="10"/>
  <c r="O5860" i="10"/>
  <c r="M5860" i="10"/>
  <c r="E5860" i="10"/>
  <c r="B5860" i="10"/>
  <c r="S5859" i="10"/>
  <c r="Q5859" i="10"/>
  <c r="P5859" i="10"/>
  <c r="O5859" i="10"/>
  <c r="M5859" i="10"/>
  <c r="E5859" i="10"/>
  <c r="B5859" i="10"/>
  <c r="S5858" i="10"/>
  <c r="Q5858" i="10"/>
  <c r="P5858" i="10"/>
  <c r="O5858" i="10"/>
  <c r="M5858" i="10"/>
  <c r="E5858" i="10"/>
  <c r="B5858" i="10"/>
  <c r="S5857" i="10"/>
  <c r="Q5857" i="10"/>
  <c r="P5857" i="10"/>
  <c r="O5857" i="10"/>
  <c r="M5857" i="10"/>
  <c r="E5857" i="10"/>
  <c r="B5857" i="10"/>
  <c r="S5856" i="10"/>
  <c r="Q5856" i="10"/>
  <c r="P5856" i="10"/>
  <c r="O5856" i="10"/>
  <c r="M5856" i="10"/>
  <c r="E5856" i="10"/>
  <c r="B5856" i="10"/>
  <c r="S5855" i="10"/>
  <c r="Q5855" i="10"/>
  <c r="P5855" i="10"/>
  <c r="O5855" i="10"/>
  <c r="M5855" i="10"/>
  <c r="E5855" i="10"/>
  <c r="B5855" i="10"/>
  <c r="S5854" i="10"/>
  <c r="Q5854" i="10"/>
  <c r="P5854" i="10"/>
  <c r="O5854" i="10"/>
  <c r="M5854" i="10"/>
  <c r="E5854" i="10"/>
  <c r="B5854" i="10"/>
  <c r="S5853" i="10"/>
  <c r="Q5853" i="10"/>
  <c r="P5853" i="10"/>
  <c r="O5853" i="10"/>
  <c r="M5853" i="10"/>
  <c r="E5853" i="10"/>
  <c r="B5853" i="10"/>
  <c r="S5852" i="10"/>
  <c r="Q5852" i="10"/>
  <c r="P5852" i="10"/>
  <c r="O5852" i="10"/>
  <c r="M5852" i="10"/>
  <c r="E5852" i="10"/>
  <c r="B5852" i="10"/>
  <c r="S5851" i="10"/>
  <c r="Q5851" i="10"/>
  <c r="P5851" i="10"/>
  <c r="O5851" i="10"/>
  <c r="M5851" i="10"/>
  <c r="E5851" i="10"/>
  <c r="B5851" i="10"/>
  <c r="S5850" i="10"/>
  <c r="Q5850" i="10"/>
  <c r="P5850" i="10"/>
  <c r="O5850" i="10"/>
  <c r="M5850" i="10"/>
  <c r="E5850" i="10"/>
  <c r="B5850" i="10"/>
  <c r="S5849" i="10"/>
  <c r="Q5849" i="10"/>
  <c r="P5849" i="10"/>
  <c r="O5849" i="10"/>
  <c r="M5849" i="10"/>
  <c r="E5849" i="10"/>
  <c r="B5849" i="10"/>
  <c r="S5848" i="10"/>
  <c r="Q5848" i="10"/>
  <c r="P5848" i="10"/>
  <c r="O5848" i="10"/>
  <c r="M5848" i="10"/>
  <c r="E5848" i="10"/>
  <c r="B5848" i="10"/>
  <c r="S5847" i="10"/>
  <c r="Q5847" i="10"/>
  <c r="P5847" i="10"/>
  <c r="O5847" i="10"/>
  <c r="M5847" i="10"/>
  <c r="E5847" i="10"/>
  <c r="B5847" i="10"/>
  <c r="S5846" i="10"/>
  <c r="Q5846" i="10"/>
  <c r="P5846" i="10"/>
  <c r="O5846" i="10"/>
  <c r="M5846" i="10"/>
  <c r="B5846" i="10"/>
  <c r="S5845" i="10"/>
  <c r="Q5845" i="10"/>
  <c r="P5845" i="10"/>
  <c r="O5845" i="10"/>
  <c r="M5845" i="10"/>
  <c r="E5845" i="10"/>
  <c r="B5845" i="10"/>
  <c r="S5844" i="10"/>
  <c r="Q5844" i="10"/>
  <c r="P5844" i="10"/>
  <c r="O5844" i="10"/>
  <c r="M5844" i="10"/>
  <c r="E5844" i="10"/>
  <c r="B5844" i="10"/>
  <c r="S5843" i="10"/>
  <c r="Q5843" i="10"/>
  <c r="P5843" i="10"/>
  <c r="O5843" i="10"/>
  <c r="M5843" i="10"/>
  <c r="E5843" i="10"/>
  <c r="B5843" i="10"/>
  <c r="S5842" i="10"/>
  <c r="Q5842" i="10"/>
  <c r="P5842" i="10"/>
  <c r="O5842" i="10"/>
  <c r="M5842" i="10"/>
  <c r="E5842" i="10"/>
  <c r="B5842" i="10"/>
  <c r="S5841" i="10"/>
  <c r="Q5841" i="10"/>
  <c r="P5841" i="10"/>
  <c r="O5841" i="10"/>
  <c r="M5841" i="10"/>
  <c r="E5841" i="10"/>
  <c r="B5841" i="10"/>
  <c r="S5840" i="10"/>
  <c r="Q5840" i="10"/>
  <c r="P5840" i="10"/>
  <c r="O5840" i="10"/>
  <c r="M5840" i="10"/>
  <c r="E5840" i="10"/>
  <c r="B5840" i="10"/>
  <c r="S5839" i="10"/>
  <c r="Q5839" i="10"/>
  <c r="P5839" i="10"/>
  <c r="O5839" i="10"/>
  <c r="M5839" i="10"/>
  <c r="E5839" i="10"/>
  <c r="B5839" i="10"/>
  <c r="S5838" i="10"/>
  <c r="Q5838" i="10"/>
  <c r="P5838" i="10"/>
  <c r="O5838" i="10"/>
  <c r="M5838" i="10"/>
  <c r="E5838" i="10"/>
  <c r="B5838" i="10"/>
  <c r="S5837" i="10"/>
  <c r="Q5837" i="10"/>
  <c r="P5837" i="10"/>
  <c r="O5837" i="10"/>
  <c r="M5837" i="10"/>
  <c r="E5837" i="10"/>
  <c r="B5837" i="10"/>
  <c r="S5836" i="10"/>
  <c r="Q5836" i="10"/>
  <c r="P5836" i="10"/>
  <c r="O5836" i="10"/>
  <c r="M5836" i="10"/>
  <c r="E5836" i="10"/>
  <c r="B5836" i="10"/>
  <c r="S5835" i="10"/>
  <c r="Q5835" i="10"/>
  <c r="P5835" i="10"/>
  <c r="O5835" i="10"/>
  <c r="M5835" i="10"/>
  <c r="E5835" i="10"/>
  <c r="B5835" i="10"/>
  <c r="S5834" i="10"/>
  <c r="Q5834" i="10"/>
  <c r="P5834" i="10"/>
  <c r="O5834" i="10"/>
  <c r="M5834" i="10"/>
  <c r="E5834" i="10"/>
  <c r="B5834" i="10"/>
  <c r="S5833" i="10"/>
  <c r="Q5833" i="10"/>
  <c r="P5833" i="10"/>
  <c r="O5833" i="10"/>
  <c r="M5833" i="10"/>
  <c r="E5833" i="10"/>
  <c r="B5833" i="10"/>
  <c r="S5832" i="10"/>
  <c r="Q5832" i="10"/>
  <c r="P5832" i="10"/>
  <c r="O5832" i="10"/>
  <c r="M5832" i="10"/>
  <c r="B5832" i="10"/>
  <c r="S5831" i="10"/>
  <c r="Q5831" i="10"/>
  <c r="P5831" i="10"/>
  <c r="O5831" i="10"/>
  <c r="M5831" i="10"/>
  <c r="E5831" i="10"/>
  <c r="B5831" i="10"/>
  <c r="S5830" i="10"/>
  <c r="Q5830" i="10"/>
  <c r="P5830" i="10"/>
  <c r="O5830" i="10"/>
  <c r="M5830" i="10"/>
  <c r="E5830" i="10"/>
  <c r="B5830" i="10"/>
  <c r="S5829" i="10"/>
  <c r="Q5829" i="10"/>
  <c r="P5829" i="10"/>
  <c r="O5829" i="10"/>
  <c r="M5829" i="10"/>
  <c r="E5829" i="10"/>
  <c r="B5829" i="10"/>
  <c r="S5828" i="10"/>
  <c r="Q5828" i="10"/>
  <c r="P5828" i="10"/>
  <c r="O5828" i="10"/>
  <c r="M5828" i="10"/>
  <c r="B5828" i="10"/>
  <c r="S5827" i="10"/>
  <c r="Q5827" i="10"/>
  <c r="P5827" i="10"/>
  <c r="O5827" i="10"/>
  <c r="M5827" i="10"/>
  <c r="E5827" i="10"/>
  <c r="B5827" i="10"/>
  <c r="S5826" i="10"/>
  <c r="Q5826" i="10"/>
  <c r="P5826" i="10"/>
  <c r="O5826" i="10"/>
  <c r="M5826" i="10"/>
  <c r="B5826" i="10"/>
  <c r="S5825" i="10"/>
  <c r="Q5825" i="10"/>
  <c r="P5825" i="10"/>
  <c r="O5825" i="10"/>
  <c r="M5825" i="10"/>
  <c r="E5825" i="10"/>
  <c r="B5825" i="10"/>
  <c r="S5824" i="10"/>
  <c r="Q5824" i="10"/>
  <c r="P5824" i="10"/>
  <c r="O5824" i="10"/>
  <c r="M5824" i="10"/>
  <c r="E5824" i="10"/>
  <c r="B5824" i="10"/>
  <c r="S5823" i="10"/>
  <c r="Q5823" i="10"/>
  <c r="P5823" i="10"/>
  <c r="O5823" i="10"/>
  <c r="M5823" i="10"/>
  <c r="E5823" i="10"/>
  <c r="B5823" i="10"/>
  <c r="S5822" i="10"/>
  <c r="Q5822" i="10"/>
  <c r="P5822" i="10"/>
  <c r="O5822" i="10"/>
  <c r="M5822" i="10"/>
  <c r="E5822" i="10"/>
  <c r="B5822" i="10"/>
  <c r="S5821" i="10"/>
  <c r="Q5821" i="10"/>
  <c r="P5821" i="10"/>
  <c r="O5821" i="10"/>
  <c r="M5821" i="10"/>
  <c r="E5821" i="10"/>
  <c r="B5821" i="10"/>
  <c r="S5820" i="10"/>
  <c r="Q5820" i="10"/>
  <c r="P5820" i="10"/>
  <c r="O5820" i="10"/>
  <c r="M5820" i="10"/>
  <c r="E5820" i="10"/>
  <c r="B5820" i="10"/>
  <c r="S5819" i="10"/>
  <c r="Q5819" i="10"/>
  <c r="P5819" i="10"/>
  <c r="O5819" i="10"/>
  <c r="M5819" i="10"/>
  <c r="E5819" i="10"/>
  <c r="B5819" i="10"/>
  <c r="S5818" i="10"/>
  <c r="Q5818" i="10"/>
  <c r="P5818" i="10"/>
  <c r="O5818" i="10"/>
  <c r="M5818" i="10"/>
  <c r="E5818" i="10"/>
  <c r="B5818" i="10"/>
  <c r="S5817" i="10"/>
  <c r="Q5817" i="10"/>
  <c r="P5817" i="10"/>
  <c r="O5817" i="10"/>
  <c r="M5817" i="10"/>
  <c r="E5817" i="10"/>
  <c r="B5817" i="10"/>
  <c r="S5816" i="10"/>
  <c r="Q5816" i="10"/>
  <c r="P5816" i="10"/>
  <c r="O5816" i="10"/>
  <c r="M5816" i="10"/>
  <c r="E5816" i="10"/>
  <c r="B5816" i="10"/>
  <c r="S5815" i="10"/>
  <c r="Q5815" i="10"/>
  <c r="P5815" i="10"/>
  <c r="O5815" i="10"/>
  <c r="M5815" i="10"/>
  <c r="E5815" i="10"/>
  <c r="B5815" i="10"/>
  <c r="S5814" i="10"/>
  <c r="Q5814" i="10"/>
  <c r="P5814" i="10"/>
  <c r="O5814" i="10"/>
  <c r="M5814" i="10"/>
  <c r="E5814" i="10"/>
  <c r="B5814" i="10"/>
  <c r="S5813" i="10"/>
  <c r="Q5813" i="10"/>
  <c r="P5813" i="10"/>
  <c r="O5813" i="10"/>
  <c r="M5813" i="10"/>
  <c r="B5813" i="10"/>
  <c r="S5812" i="10"/>
  <c r="Q5812" i="10"/>
  <c r="P5812" i="10"/>
  <c r="O5812" i="10"/>
  <c r="M5812" i="10"/>
  <c r="E5812" i="10"/>
  <c r="B5812" i="10"/>
  <c r="S5811" i="10"/>
  <c r="Q5811" i="10"/>
  <c r="P5811" i="10"/>
  <c r="O5811" i="10"/>
  <c r="M5811" i="10"/>
  <c r="E5811" i="10"/>
  <c r="B5811" i="10"/>
  <c r="S5810" i="10"/>
  <c r="Q5810" i="10"/>
  <c r="P5810" i="10"/>
  <c r="O5810" i="10"/>
  <c r="M5810" i="10"/>
  <c r="E5810" i="10"/>
  <c r="B5810" i="10"/>
  <c r="S5809" i="10"/>
  <c r="Q5809" i="10"/>
  <c r="P5809" i="10"/>
  <c r="O5809" i="10"/>
  <c r="M5809" i="10"/>
  <c r="E5809" i="10"/>
  <c r="B5809" i="10"/>
  <c r="S5808" i="10"/>
  <c r="Q5808" i="10"/>
  <c r="P5808" i="10"/>
  <c r="O5808" i="10"/>
  <c r="M5808" i="10"/>
  <c r="E5808" i="10"/>
  <c r="B5808" i="10"/>
  <c r="S5807" i="10"/>
  <c r="Q5807" i="10"/>
  <c r="P5807" i="10"/>
  <c r="O5807" i="10"/>
  <c r="M5807" i="10"/>
  <c r="E5807" i="10"/>
  <c r="B5807" i="10"/>
  <c r="S5806" i="10"/>
  <c r="Q5806" i="10"/>
  <c r="P5806" i="10"/>
  <c r="O5806" i="10"/>
  <c r="M5806" i="10"/>
  <c r="E5806" i="10"/>
  <c r="B5806" i="10"/>
  <c r="S5805" i="10"/>
  <c r="Q5805" i="10"/>
  <c r="P5805" i="10"/>
  <c r="O5805" i="10"/>
  <c r="M5805" i="10"/>
  <c r="B5805" i="10"/>
  <c r="S5804" i="10"/>
  <c r="Q5804" i="10"/>
  <c r="P5804" i="10"/>
  <c r="O5804" i="10"/>
  <c r="M5804" i="10"/>
  <c r="E5804" i="10"/>
  <c r="B5804" i="10"/>
  <c r="S5803" i="10"/>
  <c r="Q5803" i="10"/>
  <c r="P5803" i="10"/>
  <c r="O5803" i="10"/>
  <c r="M5803" i="10"/>
  <c r="E5803" i="10"/>
  <c r="B5803" i="10"/>
  <c r="S5802" i="10"/>
  <c r="Q5802" i="10"/>
  <c r="P5802" i="10"/>
  <c r="O5802" i="10"/>
  <c r="M5802" i="10"/>
  <c r="E5802" i="10"/>
  <c r="B5802" i="10"/>
  <c r="S5801" i="10"/>
  <c r="Q5801" i="10"/>
  <c r="P5801" i="10"/>
  <c r="O5801" i="10"/>
  <c r="M5801" i="10"/>
  <c r="E5801" i="10"/>
  <c r="B5801" i="10"/>
  <c r="S5800" i="10"/>
  <c r="Q5800" i="10"/>
  <c r="P5800" i="10"/>
  <c r="O5800" i="10"/>
  <c r="M5800" i="10"/>
  <c r="E5800" i="10"/>
  <c r="B5800" i="10"/>
  <c r="S5799" i="10"/>
  <c r="Q5799" i="10"/>
  <c r="P5799" i="10"/>
  <c r="O5799" i="10"/>
  <c r="M5799" i="10"/>
  <c r="E5799" i="10"/>
  <c r="B5799" i="10"/>
  <c r="S5798" i="10"/>
  <c r="Q5798" i="10"/>
  <c r="P5798" i="10"/>
  <c r="O5798" i="10"/>
  <c r="M5798" i="10"/>
  <c r="E5798" i="10"/>
  <c r="B5798" i="10"/>
  <c r="S5797" i="10"/>
  <c r="Q5797" i="10"/>
  <c r="P5797" i="10"/>
  <c r="O5797" i="10"/>
  <c r="M5797" i="10"/>
  <c r="E5797" i="10"/>
  <c r="B5797" i="10"/>
  <c r="S5796" i="10"/>
  <c r="Q5796" i="10"/>
  <c r="P5796" i="10"/>
  <c r="O5796" i="10"/>
  <c r="M5796" i="10"/>
  <c r="E5796" i="10"/>
  <c r="B5796" i="10"/>
  <c r="S5795" i="10"/>
  <c r="Q5795" i="10"/>
  <c r="P5795" i="10"/>
  <c r="O5795" i="10"/>
  <c r="M5795" i="10"/>
  <c r="E5795" i="10"/>
  <c r="B5795" i="10"/>
  <c r="S5794" i="10"/>
  <c r="Q5794" i="10"/>
  <c r="P5794" i="10"/>
  <c r="O5794" i="10"/>
  <c r="M5794" i="10"/>
  <c r="B5794" i="10"/>
  <c r="S5793" i="10"/>
  <c r="Q5793" i="10"/>
  <c r="P5793" i="10"/>
  <c r="O5793" i="10"/>
  <c r="M5793" i="10"/>
  <c r="E5793" i="10"/>
  <c r="B5793" i="10"/>
  <c r="S5792" i="10"/>
  <c r="Q5792" i="10"/>
  <c r="P5792" i="10"/>
  <c r="O5792" i="10"/>
  <c r="M5792" i="10"/>
  <c r="E5792" i="10"/>
  <c r="B5792" i="10"/>
  <c r="S5791" i="10"/>
  <c r="Q5791" i="10"/>
  <c r="P5791" i="10"/>
  <c r="O5791" i="10"/>
  <c r="M5791" i="10"/>
  <c r="E5791" i="10"/>
  <c r="B5791" i="10"/>
  <c r="S5790" i="10"/>
  <c r="Q5790" i="10"/>
  <c r="P5790" i="10"/>
  <c r="O5790" i="10"/>
  <c r="M5790" i="10"/>
  <c r="E5790" i="10"/>
  <c r="B5790" i="10"/>
  <c r="S5789" i="10"/>
  <c r="Q5789" i="10"/>
  <c r="P5789" i="10"/>
  <c r="O5789" i="10"/>
  <c r="M5789" i="10"/>
  <c r="E5789" i="10"/>
  <c r="B5789" i="10"/>
  <c r="S5788" i="10"/>
  <c r="Q5788" i="10"/>
  <c r="P5788" i="10"/>
  <c r="O5788" i="10"/>
  <c r="M5788" i="10"/>
  <c r="E5788" i="10"/>
  <c r="B5788" i="10"/>
  <c r="S5787" i="10"/>
  <c r="Q5787" i="10"/>
  <c r="P5787" i="10"/>
  <c r="O5787" i="10"/>
  <c r="M5787" i="10"/>
  <c r="E5787" i="10"/>
  <c r="B5787" i="10"/>
  <c r="S5786" i="10"/>
  <c r="Q5786" i="10"/>
  <c r="P5786" i="10"/>
  <c r="O5786" i="10"/>
  <c r="M5786" i="10"/>
  <c r="E5786" i="10"/>
  <c r="B5786" i="10"/>
  <c r="S5785" i="10"/>
  <c r="Q5785" i="10"/>
  <c r="P5785" i="10"/>
  <c r="O5785" i="10"/>
  <c r="M5785" i="10"/>
  <c r="B5785" i="10"/>
  <c r="S5784" i="10"/>
  <c r="Q5784" i="10"/>
  <c r="P5784" i="10"/>
  <c r="O5784" i="10"/>
  <c r="M5784" i="10"/>
  <c r="E5784" i="10"/>
  <c r="B5784" i="10"/>
  <c r="S5783" i="10"/>
  <c r="Q5783" i="10"/>
  <c r="P5783" i="10"/>
  <c r="O5783" i="10"/>
  <c r="M5783" i="10"/>
  <c r="B5783" i="10"/>
  <c r="S5782" i="10"/>
  <c r="Q5782" i="10"/>
  <c r="P5782" i="10"/>
  <c r="O5782" i="10"/>
  <c r="M5782" i="10"/>
  <c r="E5782" i="10"/>
  <c r="B5782" i="10"/>
  <c r="S5781" i="10"/>
  <c r="Q5781" i="10"/>
  <c r="P5781" i="10"/>
  <c r="O5781" i="10"/>
  <c r="M5781" i="10"/>
  <c r="B5781" i="10"/>
  <c r="S5780" i="10"/>
  <c r="Q5780" i="10"/>
  <c r="P5780" i="10"/>
  <c r="O5780" i="10"/>
  <c r="M5780" i="10"/>
  <c r="E5780" i="10"/>
  <c r="B5780" i="10"/>
  <c r="S5779" i="10"/>
  <c r="Q5779" i="10"/>
  <c r="P5779" i="10"/>
  <c r="O5779" i="10"/>
  <c r="M5779" i="10"/>
  <c r="B5779" i="10"/>
  <c r="S5778" i="10"/>
  <c r="Q5778" i="10"/>
  <c r="P5778" i="10"/>
  <c r="O5778" i="10"/>
  <c r="M5778" i="10"/>
  <c r="B5778" i="10"/>
  <c r="S5777" i="10"/>
  <c r="Q5777" i="10"/>
  <c r="P5777" i="10"/>
  <c r="O5777" i="10"/>
  <c r="M5777" i="10"/>
  <c r="E5777" i="10"/>
  <c r="B5777" i="10"/>
  <c r="S5776" i="10"/>
  <c r="Q5776" i="10"/>
  <c r="P5776" i="10"/>
  <c r="O5776" i="10"/>
  <c r="M5776" i="10"/>
  <c r="B5776" i="10"/>
  <c r="S5775" i="10"/>
  <c r="Q5775" i="10"/>
  <c r="P5775" i="10"/>
  <c r="O5775" i="10"/>
  <c r="M5775" i="10"/>
  <c r="E5775" i="10"/>
  <c r="B5775" i="10"/>
  <c r="S5774" i="10"/>
  <c r="Q5774" i="10"/>
  <c r="P5774" i="10"/>
  <c r="O5774" i="10"/>
  <c r="M5774" i="10"/>
  <c r="B5774" i="10"/>
  <c r="S5773" i="10"/>
  <c r="Q5773" i="10"/>
  <c r="P5773" i="10"/>
  <c r="O5773" i="10"/>
  <c r="M5773" i="10"/>
  <c r="E5773" i="10"/>
  <c r="B5773" i="10"/>
  <c r="S5772" i="10"/>
  <c r="Q5772" i="10"/>
  <c r="P5772" i="10"/>
  <c r="O5772" i="10"/>
  <c r="M5772" i="10"/>
  <c r="B5772" i="10"/>
  <c r="S5771" i="10"/>
  <c r="Q5771" i="10"/>
  <c r="P5771" i="10"/>
  <c r="O5771" i="10"/>
  <c r="M5771" i="10"/>
  <c r="B5771" i="10"/>
  <c r="S5770" i="10"/>
  <c r="Q5770" i="10"/>
  <c r="P5770" i="10"/>
  <c r="O5770" i="10"/>
  <c r="M5770" i="10"/>
  <c r="B5770" i="10"/>
  <c r="S5769" i="10"/>
  <c r="Q5769" i="10"/>
  <c r="P5769" i="10"/>
  <c r="O5769" i="10"/>
  <c r="M5769" i="10"/>
  <c r="E5769" i="10"/>
  <c r="B5769" i="10"/>
  <c r="S5768" i="10"/>
  <c r="Q5768" i="10"/>
  <c r="P5768" i="10"/>
  <c r="O5768" i="10"/>
  <c r="M5768" i="10"/>
  <c r="E5768" i="10"/>
  <c r="B5768" i="10"/>
  <c r="S5767" i="10"/>
  <c r="Q5767" i="10"/>
  <c r="P5767" i="10"/>
  <c r="O5767" i="10"/>
  <c r="M5767" i="10"/>
  <c r="B5767" i="10"/>
  <c r="S5766" i="10"/>
  <c r="Q5766" i="10"/>
  <c r="P5766" i="10"/>
  <c r="O5766" i="10"/>
  <c r="M5766" i="10"/>
  <c r="E5766" i="10"/>
  <c r="B5766" i="10"/>
  <c r="S5765" i="10"/>
  <c r="Q5765" i="10"/>
  <c r="P5765" i="10"/>
  <c r="O5765" i="10"/>
  <c r="M5765" i="10"/>
  <c r="E5765" i="10"/>
  <c r="B5765" i="10"/>
  <c r="S5764" i="10"/>
  <c r="Q5764" i="10"/>
  <c r="P5764" i="10"/>
  <c r="O5764" i="10"/>
  <c r="M5764" i="10"/>
  <c r="E5764" i="10"/>
  <c r="B5764" i="10"/>
  <c r="S5763" i="10"/>
  <c r="Q5763" i="10"/>
  <c r="P5763" i="10"/>
  <c r="O5763" i="10"/>
  <c r="M5763" i="10"/>
  <c r="E5763" i="10"/>
  <c r="B5763" i="10"/>
  <c r="S5762" i="10"/>
  <c r="Q5762" i="10"/>
  <c r="P5762" i="10"/>
  <c r="O5762" i="10"/>
  <c r="M5762" i="10"/>
  <c r="E5762" i="10"/>
  <c r="B5762" i="10"/>
  <c r="S5761" i="10"/>
  <c r="Q5761" i="10"/>
  <c r="P5761" i="10"/>
  <c r="O5761" i="10"/>
  <c r="M5761" i="10"/>
  <c r="E5761" i="10"/>
  <c r="B5761" i="10"/>
  <c r="S5760" i="10"/>
  <c r="Q5760" i="10"/>
  <c r="P5760" i="10"/>
  <c r="O5760" i="10"/>
  <c r="M5760" i="10"/>
  <c r="E5760" i="10"/>
  <c r="B5760" i="10"/>
  <c r="S5759" i="10"/>
  <c r="Q5759" i="10"/>
  <c r="P5759" i="10"/>
  <c r="O5759" i="10"/>
  <c r="M5759" i="10"/>
  <c r="E5759" i="10"/>
  <c r="B5759" i="10"/>
  <c r="S5758" i="10"/>
  <c r="Q5758" i="10"/>
  <c r="P5758" i="10"/>
  <c r="O5758" i="10"/>
  <c r="M5758" i="10"/>
  <c r="E5758" i="10"/>
  <c r="B5758" i="10"/>
  <c r="S5757" i="10"/>
  <c r="Q5757" i="10"/>
  <c r="P5757" i="10"/>
  <c r="O5757" i="10"/>
  <c r="M5757" i="10"/>
  <c r="E5757" i="10"/>
  <c r="B5757" i="10"/>
  <c r="S5756" i="10"/>
  <c r="Q5756" i="10"/>
  <c r="P5756" i="10"/>
  <c r="O5756" i="10"/>
  <c r="M5756" i="10"/>
  <c r="E5756" i="10"/>
  <c r="B5756" i="10"/>
  <c r="S5755" i="10"/>
  <c r="Q5755" i="10"/>
  <c r="P5755" i="10"/>
  <c r="O5755" i="10"/>
  <c r="M5755" i="10"/>
  <c r="B5755" i="10"/>
  <c r="S5754" i="10"/>
  <c r="Q5754" i="10"/>
  <c r="P5754" i="10"/>
  <c r="O5754" i="10"/>
  <c r="M5754" i="10"/>
  <c r="E5754" i="10"/>
  <c r="B5754" i="10"/>
  <c r="S5753" i="10"/>
  <c r="Q5753" i="10"/>
  <c r="P5753" i="10"/>
  <c r="O5753" i="10"/>
  <c r="M5753" i="10"/>
  <c r="E5753" i="10"/>
  <c r="B5753" i="10"/>
  <c r="S5752" i="10"/>
  <c r="Q5752" i="10"/>
  <c r="P5752" i="10"/>
  <c r="O5752" i="10"/>
  <c r="M5752" i="10"/>
  <c r="E5752" i="10"/>
  <c r="B5752" i="10"/>
  <c r="S5751" i="10"/>
  <c r="Q5751" i="10"/>
  <c r="P5751" i="10"/>
  <c r="O5751" i="10"/>
  <c r="M5751" i="10"/>
  <c r="B5751" i="10"/>
  <c r="S5750" i="10"/>
  <c r="Q5750" i="10"/>
  <c r="P5750" i="10"/>
  <c r="O5750" i="10"/>
  <c r="M5750" i="10"/>
  <c r="E5750" i="10"/>
  <c r="B5750" i="10"/>
  <c r="S5749" i="10"/>
  <c r="Q5749" i="10"/>
  <c r="P5749" i="10"/>
  <c r="O5749" i="10"/>
  <c r="M5749" i="10"/>
  <c r="E5749" i="10"/>
  <c r="B5749" i="10"/>
  <c r="S5748" i="10"/>
  <c r="Q5748" i="10"/>
  <c r="P5748" i="10"/>
  <c r="O5748" i="10"/>
  <c r="M5748" i="10"/>
  <c r="B5748" i="10"/>
  <c r="S5747" i="10"/>
  <c r="Q5747" i="10"/>
  <c r="P5747" i="10"/>
  <c r="O5747" i="10"/>
  <c r="M5747" i="10"/>
  <c r="B5747" i="10"/>
  <c r="S5746" i="10"/>
  <c r="Q5746" i="10"/>
  <c r="P5746" i="10"/>
  <c r="O5746" i="10"/>
  <c r="M5746" i="10"/>
  <c r="E5746" i="10"/>
  <c r="B5746" i="10"/>
  <c r="S5745" i="10"/>
  <c r="Q5745" i="10"/>
  <c r="P5745" i="10"/>
  <c r="O5745" i="10"/>
  <c r="M5745" i="10"/>
  <c r="B5745" i="10"/>
  <c r="S5744" i="10"/>
  <c r="Q5744" i="10"/>
  <c r="P5744" i="10"/>
  <c r="O5744" i="10"/>
  <c r="M5744" i="10"/>
  <c r="E5744" i="10"/>
  <c r="B5744" i="10"/>
  <c r="S5743" i="10"/>
  <c r="Q5743" i="10"/>
  <c r="P5743" i="10"/>
  <c r="O5743" i="10"/>
  <c r="M5743" i="10"/>
  <c r="B5743" i="10"/>
  <c r="S5742" i="10"/>
  <c r="Q5742" i="10"/>
  <c r="P5742" i="10"/>
  <c r="O5742" i="10"/>
  <c r="M5742" i="10"/>
  <c r="E5742" i="10"/>
  <c r="B5742" i="10"/>
  <c r="S5741" i="10"/>
  <c r="Q5741" i="10"/>
  <c r="P5741" i="10"/>
  <c r="O5741" i="10"/>
  <c r="M5741" i="10"/>
  <c r="B5741" i="10"/>
  <c r="S5740" i="10"/>
  <c r="Q5740" i="10"/>
  <c r="P5740" i="10"/>
  <c r="O5740" i="10"/>
  <c r="M5740" i="10"/>
  <c r="E5740" i="10"/>
  <c r="B5740" i="10"/>
  <c r="S5739" i="10"/>
  <c r="Q5739" i="10"/>
  <c r="P5739" i="10"/>
  <c r="O5739" i="10"/>
  <c r="M5739" i="10"/>
  <c r="E5739" i="10"/>
  <c r="B5739" i="10"/>
  <c r="S5738" i="10"/>
  <c r="Q5738" i="10"/>
  <c r="P5738" i="10"/>
  <c r="O5738" i="10"/>
  <c r="M5738" i="10"/>
  <c r="B5738" i="10"/>
  <c r="S5737" i="10"/>
  <c r="Q5737" i="10"/>
  <c r="P5737" i="10"/>
  <c r="O5737" i="10"/>
  <c r="M5737" i="10"/>
  <c r="E5737" i="10"/>
  <c r="B5737" i="10"/>
  <c r="S5736" i="10"/>
  <c r="Q5736" i="10"/>
  <c r="P5736" i="10"/>
  <c r="O5736" i="10"/>
  <c r="M5736" i="10"/>
  <c r="E5736" i="10"/>
  <c r="B5736" i="10"/>
  <c r="S5735" i="10"/>
  <c r="Q5735" i="10"/>
  <c r="P5735" i="10"/>
  <c r="O5735" i="10"/>
  <c r="M5735" i="10"/>
  <c r="E5735" i="10"/>
  <c r="B5735" i="10"/>
  <c r="S5734" i="10"/>
  <c r="Q5734" i="10"/>
  <c r="P5734" i="10"/>
  <c r="O5734" i="10"/>
  <c r="M5734" i="10"/>
  <c r="B5734" i="10"/>
  <c r="S5733" i="10"/>
  <c r="Q5733" i="10"/>
  <c r="P5733" i="10"/>
  <c r="O5733" i="10"/>
  <c r="M5733" i="10"/>
  <c r="B5733" i="10"/>
  <c r="S5732" i="10"/>
  <c r="Q5732" i="10"/>
  <c r="P5732" i="10"/>
  <c r="O5732" i="10"/>
  <c r="M5732" i="10"/>
  <c r="B5732" i="10"/>
  <c r="S5731" i="10"/>
  <c r="Q5731" i="10"/>
  <c r="P5731" i="10"/>
  <c r="O5731" i="10"/>
  <c r="M5731" i="10"/>
  <c r="E5731" i="10"/>
  <c r="B5731" i="10"/>
  <c r="S5730" i="10"/>
  <c r="Q5730" i="10"/>
  <c r="P5730" i="10"/>
  <c r="O5730" i="10"/>
  <c r="M5730" i="10"/>
  <c r="E5730" i="10"/>
  <c r="B5730" i="10"/>
  <c r="S5729" i="10"/>
  <c r="Q5729" i="10"/>
  <c r="P5729" i="10"/>
  <c r="O5729" i="10"/>
  <c r="M5729" i="10"/>
  <c r="E5729" i="10"/>
  <c r="B5729" i="10"/>
  <c r="S5728" i="10"/>
  <c r="Q5728" i="10"/>
  <c r="P5728" i="10"/>
  <c r="O5728" i="10"/>
  <c r="M5728" i="10"/>
  <c r="B5728" i="10"/>
  <c r="S5727" i="10"/>
  <c r="Q5727" i="10"/>
  <c r="P5727" i="10"/>
  <c r="O5727" i="10"/>
  <c r="M5727" i="10"/>
  <c r="E5727" i="10"/>
  <c r="B5727" i="10"/>
  <c r="S5726" i="10"/>
  <c r="Q5726" i="10"/>
  <c r="P5726" i="10"/>
  <c r="O5726" i="10"/>
  <c r="M5726" i="10"/>
  <c r="E5726" i="10"/>
  <c r="B5726" i="10"/>
  <c r="S5725" i="10"/>
  <c r="Q5725" i="10"/>
  <c r="P5725" i="10"/>
  <c r="O5725" i="10"/>
  <c r="M5725" i="10"/>
  <c r="E5725" i="10"/>
  <c r="B5725" i="10"/>
  <c r="S5724" i="10"/>
  <c r="Q5724" i="10"/>
  <c r="P5724" i="10"/>
  <c r="O5724" i="10"/>
  <c r="M5724" i="10"/>
  <c r="E5724" i="10"/>
  <c r="B5724" i="10"/>
  <c r="S5723" i="10"/>
  <c r="Q5723" i="10"/>
  <c r="P5723" i="10"/>
  <c r="O5723" i="10"/>
  <c r="M5723" i="10"/>
  <c r="B5723" i="10"/>
  <c r="S5722" i="10"/>
  <c r="Q5722" i="10"/>
  <c r="P5722" i="10"/>
  <c r="O5722" i="10"/>
  <c r="M5722" i="10"/>
  <c r="E5722" i="10"/>
  <c r="B5722" i="10"/>
  <c r="S5721" i="10"/>
  <c r="Q5721" i="10"/>
  <c r="P5721" i="10"/>
  <c r="O5721" i="10"/>
  <c r="M5721" i="10"/>
  <c r="B5721" i="10"/>
  <c r="S5720" i="10"/>
  <c r="Q5720" i="10"/>
  <c r="P5720" i="10"/>
  <c r="O5720" i="10"/>
  <c r="M5720" i="10"/>
  <c r="E5720" i="10"/>
  <c r="B5720" i="10"/>
  <c r="S5719" i="10"/>
  <c r="Q5719" i="10"/>
  <c r="P5719" i="10"/>
  <c r="O5719" i="10"/>
  <c r="M5719" i="10"/>
  <c r="B5719" i="10"/>
  <c r="S5718" i="10"/>
  <c r="Q5718" i="10"/>
  <c r="P5718" i="10"/>
  <c r="O5718" i="10"/>
  <c r="M5718" i="10"/>
  <c r="E5718" i="10"/>
  <c r="B5718" i="10"/>
  <c r="S5717" i="10"/>
  <c r="Q5717" i="10"/>
  <c r="P5717" i="10"/>
  <c r="O5717" i="10"/>
  <c r="M5717" i="10"/>
  <c r="B5717" i="10"/>
  <c r="S5716" i="10"/>
  <c r="Q5716" i="10"/>
  <c r="P5716" i="10"/>
  <c r="O5716" i="10"/>
  <c r="M5716" i="10"/>
  <c r="E5716" i="10"/>
  <c r="B5716" i="10"/>
  <c r="S5715" i="10"/>
  <c r="Q5715" i="10"/>
  <c r="P5715" i="10"/>
  <c r="O5715" i="10"/>
  <c r="M5715" i="10"/>
  <c r="B5715" i="10"/>
  <c r="S5714" i="10"/>
  <c r="Q5714" i="10"/>
  <c r="P5714" i="10"/>
  <c r="O5714" i="10"/>
  <c r="M5714" i="10"/>
  <c r="E5714" i="10"/>
  <c r="B5714" i="10"/>
  <c r="S5713" i="10"/>
  <c r="Q5713" i="10"/>
  <c r="P5713" i="10"/>
  <c r="O5713" i="10"/>
  <c r="M5713" i="10"/>
  <c r="E5713" i="10"/>
  <c r="B5713" i="10"/>
  <c r="S5712" i="10"/>
  <c r="Q5712" i="10"/>
  <c r="P5712" i="10"/>
  <c r="O5712" i="10"/>
  <c r="M5712" i="10"/>
  <c r="E5712" i="10"/>
  <c r="B5712" i="10"/>
  <c r="S5711" i="10"/>
  <c r="Q5711" i="10"/>
  <c r="P5711" i="10"/>
  <c r="O5711" i="10"/>
  <c r="M5711" i="10"/>
  <c r="E5711" i="10"/>
  <c r="B5711" i="10"/>
  <c r="S5710" i="10"/>
  <c r="Q5710" i="10"/>
  <c r="P5710" i="10"/>
  <c r="O5710" i="10"/>
  <c r="M5710" i="10"/>
  <c r="E5710" i="10"/>
  <c r="B5710" i="10"/>
  <c r="S5709" i="10"/>
  <c r="Q5709" i="10"/>
  <c r="P5709" i="10"/>
  <c r="O5709" i="10"/>
  <c r="M5709" i="10"/>
  <c r="E5709" i="10"/>
  <c r="B5709" i="10"/>
  <c r="S5708" i="10"/>
  <c r="Q5708" i="10"/>
  <c r="P5708" i="10"/>
  <c r="O5708" i="10"/>
  <c r="M5708" i="10"/>
  <c r="E5708" i="10"/>
  <c r="B5708" i="10"/>
  <c r="S5707" i="10"/>
  <c r="Q5707" i="10"/>
  <c r="P5707" i="10"/>
  <c r="O5707" i="10"/>
  <c r="M5707" i="10"/>
  <c r="B5707" i="10"/>
  <c r="S5706" i="10"/>
  <c r="Q5706" i="10"/>
  <c r="P5706" i="10"/>
  <c r="O5706" i="10"/>
  <c r="M5706" i="10"/>
  <c r="E5706" i="10"/>
  <c r="B5706" i="10"/>
  <c r="S5705" i="10"/>
  <c r="Q5705" i="10"/>
  <c r="P5705" i="10"/>
  <c r="O5705" i="10"/>
  <c r="M5705" i="10"/>
  <c r="B5705" i="10"/>
  <c r="S5704" i="10"/>
  <c r="Q5704" i="10"/>
  <c r="P5704" i="10"/>
  <c r="O5704" i="10"/>
  <c r="M5704" i="10"/>
  <c r="E5704" i="10"/>
  <c r="B5704" i="10"/>
  <c r="S5703" i="10"/>
  <c r="Q5703" i="10"/>
  <c r="P5703" i="10"/>
  <c r="O5703" i="10"/>
  <c r="M5703" i="10"/>
  <c r="E5703" i="10"/>
  <c r="B5703" i="10"/>
  <c r="S5702" i="10"/>
  <c r="Q5702" i="10"/>
  <c r="P5702" i="10"/>
  <c r="O5702" i="10"/>
  <c r="M5702" i="10"/>
  <c r="B5702" i="10"/>
  <c r="S5701" i="10"/>
  <c r="Q5701" i="10"/>
  <c r="P5701" i="10"/>
  <c r="O5701" i="10"/>
  <c r="M5701" i="10"/>
  <c r="E5701" i="10"/>
  <c r="B5701" i="10"/>
  <c r="S5700" i="10"/>
  <c r="Q5700" i="10"/>
  <c r="P5700" i="10"/>
  <c r="O5700" i="10"/>
  <c r="M5700" i="10"/>
  <c r="E5700" i="10"/>
  <c r="B5700" i="10"/>
  <c r="S5699" i="10"/>
  <c r="Q5699" i="10"/>
  <c r="P5699" i="10"/>
  <c r="O5699" i="10"/>
  <c r="M5699" i="10"/>
  <c r="B5699" i="10"/>
  <c r="S5698" i="10"/>
  <c r="Q5698" i="10"/>
  <c r="P5698" i="10"/>
  <c r="O5698" i="10"/>
  <c r="M5698" i="10"/>
  <c r="E5698" i="10"/>
  <c r="B5698" i="10"/>
  <c r="S5697" i="10"/>
  <c r="Q5697" i="10"/>
  <c r="P5697" i="10"/>
  <c r="O5697" i="10"/>
  <c r="M5697" i="10"/>
  <c r="E5697" i="10"/>
  <c r="B5697" i="10"/>
  <c r="S5696" i="10"/>
  <c r="Q5696" i="10"/>
  <c r="P5696" i="10"/>
  <c r="O5696" i="10"/>
  <c r="M5696" i="10"/>
  <c r="E5696" i="10"/>
  <c r="B5696" i="10"/>
  <c r="S5695" i="10"/>
  <c r="Q5695" i="10"/>
  <c r="P5695" i="10"/>
  <c r="O5695" i="10"/>
  <c r="M5695" i="10"/>
  <c r="E5695" i="10"/>
  <c r="B5695" i="10"/>
  <c r="S5694" i="10"/>
  <c r="Q5694" i="10"/>
  <c r="P5694" i="10"/>
  <c r="O5694" i="10"/>
  <c r="M5694" i="10"/>
  <c r="E5694" i="10"/>
  <c r="B5694" i="10"/>
  <c r="S5693" i="10"/>
  <c r="Q5693" i="10"/>
  <c r="P5693" i="10"/>
  <c r="O5693" i="10"/>
  <c r="M5693" i="10"/>
  <c r="E5693" i="10"/>
  <c r="B5693" i="10"/>
  <c r="S5692" i="10"/>
  <c r="Q5692" i="10"/>
  <c r="P5692" i="10"/>
  <c r="O5692" i="10"/>
  <c r="M5692" i="10"/>
  <c r="E5692" i="10"/>
  <c r="B5692" i="10"/>
  <c r="S5691" i="10"/>
  <c r="Q5691" i="10"/>
  <c r="P5691" i="10"/>
  <c r="O5691" i="10"/>
  <c r="M5691" i="10"/>
  <c r="B5691" i="10"/>
  <c r="S5690" i="10"/>
  <c r="Q5690" i="10"/>
  <c r="P5690" i="10"/>
  <c r="O5690" i="10"/>
  <c r="M5690" i="10"/>
  <c r="E5690" i="10"/>
  <c r="B5690" i="10"/>
  <c r="S5689" i="10"/>
  <c r="Q5689" i="10"/>
  <c r="P5689" i="10"/>
  <c r="O5689" i="10"/>
  <c r="M5689" i="10"/>
  <c r="E5689" i="10"/>
  <c r="B5689" i="10"/>
  <c r="S5688" i="10"/>
  <c r="Q5688" i="10"/>
  <c r="P5688" i="10"/>
  <c r="O5688" i="10"/>
  <c r="M5688" i="10"/>
  <c r="E5688" i="10"/>
  <c r="B5688" i="10"/>
  <c r="S5687" i="10"/>
  <c r="Q5687" i="10"/>
  <c r="P5687" i="10"/>
  <c r="O5687" i="10"/>
  <c r="M5687" i="10"/>
  <c r="E5687" i="10"/>
  <c r="B5687" i="10"/>
  <c r="S5686" i="10"/>
  <c r="Q5686" i="10"/>
  <c r="P5686" i="10"/>
  <c r="O5686" i="10"/>
  <c r="M5686" i="10"/>
  <c r="E5686" i="10"/>
  <c r="B5686" i="10"/>
  <c r="S5685" i="10"/>
  <c r="Q5685" i="10"/>
  <c r="P5685" i="10"/>
  <c r="O5685" i="10"/>
  <c r="M5685" i="10"/>
  <c r="E5685" i="10"/>
  <c r="B5685" i="10"/>
  <c r="S5684" i="10"/>
  <c r="Q5684" i="10"/>
  <c r="P5684" i="10"/>
  <c r="O5684" i="10"/>
  <c r="M5684" i="10"/>
  <c r="E5684" i="10"/>
  <c r="B5684" i="10"/>
  <c r="S5683" i="10"/>
  <c r="Q5683" i="10"/>
  <c r="P5683" i="10"/>
  <c r="O5683" i="10"/>
  <c r="M5683" i="10"/>
  <c r="E5683" i="10"/>
  <c r="B5683" i="10"/>
  <c r="S5682" i="10"/>
  <c r="Q5682" i="10"/>
  <c r="P5682" i="10"/>
  <c r="O5682" i="10"/>
  <c r="M5682" i="10"/>
  <c r="E5682" i="10"/>
  <c r="B5682" i="10"/>
  <c r="S5681" i="10"/>
  <c r="Q5681" i="10"/>
  <c r="P5681" i="10"/>
  <c r="O5681" i="10"/>
  <c r="M5681" i="10"/>
  <c r="E5681" i="10"/>
  <c r="B5681" i="10"/>
  <c r="S5680" i="10"/>
  <c r="Q5680" i="10"/>
  <c r="P5680" i="10"/>
  <c r="O5680" i="10"/>
  <c r="M5680" i="10"/>
  <c r="E5680" i="10"/>
  <c r="B5680" i="10"/>
  <c r="S5679" i="10"/>
  <c r="Q5679" i="10"/>
  <c r="P5679" i="10"/>
  <c r="O5679" i="10"/>
  <c r="M5679" i="10"/>
  <c r="E5679" i="10"/>
  <c r="B5679" i="10"/>
  <c r="S5678" i="10"/>
  <c r="Q5678" i="10"/>
  <c r="P5678" i="10"/>
  <c r="O5678" i="10"/>
  <c r="M5678" i="10"/>
  <c r="E5678" i="10"/>
  <c r="B5678" i="10"/>
  <c r="S5677" i="10"/>
  <c r="Q5677" i="10"/>
  <c r="P5677" i="10"/>
  <c r="O5677" i="10"/>
  <c r="M5677" i="10"/>
  <c r="E5677" i="10"/>
  <c r="B5677" i="10"/>
  <c r="S5676" i="10"/>
  <c r="Q5676" i="10"/>
  <c r="P5676" i="10"/>
  <c r="O5676" i="10"/>
  <c r="M5676" i="10"/>
  <c r="E5676" i="10"/>
  <c r="B5676" i="10"/>
  <c r="S5675" i="10"/>
  <c r="Q5675" i="10"/>
  <c r="P5675" i="10"/>
  <c r="O5675" i="10"/>
  <c r="M5675" i="10"/>
  <c r="E5675" i="10"/>
  <c r="B5675" i="10"/>
  <c r="S5674" i="10"/>
  <c r="Q5674" i="10"/>
  <c r="P5674" i="10"/>
  <c r="O5674" i="10"/>
  <c r="M5674" i="10"/>
  <c r="E5674" i="10"/>
  <c r="B5674" i="10"/>
  <c r="S5673" i="10"/>
  <c r="Q5673" i="10"/>
  <c r="P5673" i="10"/>
  <c r="O5673" i="10"/>
  <c r="M5673" i="10"/>
  <c r="E5673" i="10"/>
  <c r="B5673" i="10"/>
  <c r="S5672" i="10"/>
  <c r="Q5672" i="10"/>
  <c r="P5672" i="10"/>
  <c r="O5672" i="10"/>
  <c r="M5672" i="10"/>
  <c r="E5672" i="10"/>
  <c r="B5672" i="10"/>
  <c r="S5671" i="10"/>
  <c r="Q5671" i="10"/>
  <c r="P5671" i="10"/>
  <c r="O5671" i="10"/>
  <c r="M5671" i="10"/>
  <c r="E5671" i="10"/>
  <c r="B5671" i="10"/>
  <c r="S5670" i="10"/>
  <c r="Q5670" i="10"/>
  <c r="P5670" i="10"/>
  <c r="O5670" i="10"/>
  <c r="M5670" i="10"/>
  <c r="E5670" i="10"/>
  <c r="B5670" i="10"/>
  <c r="S5669" i="10"/>
  <c r="Q5669" i="10"/>
  <c r="P5669" i="10"/>
  <c r="O5669" i="10"/>
  <c r="M5669" i="10"/>
  <c r="E5669" i="10"/>
  <c r="B5669" i="10"/>
  <c r="S5668" i="10"/>
  <c r="Q5668" i="10"/>
  <c r="P5668" i="10"/>
  <c r="O5668" i="10"/>
  <c r="M5668" i="10"/>
  <c r="E5668" i="10"/>
  <c r="B5668" i="10"/>
  <c r="S5667" i="10"/>
  <c r="Q5667" i="10"/>
  <c r="P5667" i="10"/>
  <c r="O5667" i="10"/>
  <c r="M5667" i="10"/>
  <c r="E5667" i="10"/>
  <c r="B5667" i="10"/>
  <c r="S5666" i="10"/>
  <c r="Q5666" i="10"/>
  <c r="P5666" i="10"/>
  <c r="O5666" i="10"/>
  <c r="M5666" i="10"/>
  <c r="E5666" i="10"/>
  <c r="B5666" i="10"/>
  <c r="S5665" i="10"/>
  <c r="Q5665" i="10"/>
  <c r="P5665" i="10"/>
  <c r="O5665" i="10"/>
  <c r="M5665" i="10"/>
  <c r="E5665" i="10"/>
  <c r="B5665" i="10"/>
  <c r="S5664" i="10"/>
  <c r="Q5664" i="10"/>
  <c r="P5664" i="10"/>
  <c r="O5664" i="10"/>
  <c r="M5664" i="10"/>
  <c r="E5664" i="10"/>
  <c r="B5664" i="10"/>
  <c r="S5663" i="10"/>
  <c r="Q5663" i="10"/>
  <c r="P5663" i="10"/>
  <c r="O5663" i="10"/>
  <c r="M5663" i="10"/>
  <c r="E5663" i="10"/>
  <c r="B5663" i="10"/>
  <c r="S5662" i="10"/>
  <c r="Q5662" i="10"/>
  <c r="P5662" i="10"/>
  <c r="O5662" i="10"/>
  <c r="M5662" i="10"/>
  <c r="E5662" i="10"/>
  <c r="B5662" i="10"/>
  <c r="S5661" i="10"/>
  <c r="Q5661" i="10"/>
  <c r="P5661" i="10"/>
  <c r="O5661" i="10"/>
  <c r="M5661" i="10"/>
  <c r="E5661" i="10"/>
  <c r="B5661" i="10"/>
  <c r="S5660" i="10"/>
  <c r="Q5660" i="10"/>
  <c r="P5660" i="10"/>
  <c r="O5660" i="10"/>
  <c r="M5660" i="10"/>
  <c r="E5660" i="10"/>
  <c r="B5660" i="10"/>
  <c r="S5659" i="10"/>
  <c r="Q5659" i="10"/>
  <c r="P5659" i="10"/>
  <c r="O5659" i="10"/>
  <c r="M5659" i="10"/>
  <c r="E5659" i="10"/>
  <c r="B5659" i="10"/>
  <c r="S5658" i="10"/>
  <c r="Q5658" i="10"/>
  <c r="P5658" i="10"/>
  <c r="O5658" i="10"/>
  <c r="M5658" i="10"/>
  <c r="E5658" i="10"/>
  <c r="B5658" i="10"/>
  <c r="S5657" i="10"/>
  <c r="Q5657" i="10"/>
  <c r="P5657" i="10"/>
  <c r="O5657" i="10"/>
  <c r="M5657" i="10"/>
  <c r="E5657" i="10"/>
  <c r="B5657" i="10"/>
  <c r="S5656" i="10"/>
  <c r="Q5656" i="10"/>
  <c r="P5656" i="10"/>
  <c r="O5656" i="10"/>
  <c r="M5656" i="10"/>
  <c r="E5656" i="10"/>
  <c r="B5656" i="10"/>
  <c r="S5655" i="10"/>
  <c r="Q5655" i="10"/>
  <c r="P5655" i="10"/>
  <c r="O5655" i="10"/>
  <c r="M5655" i="10"/>
  <c r="E5655" i="10"/>
  <c r="B5655" i="10"/>
  <c r="S5654" i="10"/>
  <c r="Q5654" i="10"/>
  <c r="P5654" i="10"/>
  <c r="O5654" i="10"/>
  <c r="M5654" i="10"/>
  <c r="E5654" i="10"/>
  <c r="B5654" i="10"/>
  <c r="S5653" i="10"/>
  <c r="Q5653" i="10"/>
  <c r="P5653" i="10"/>
  <c r="O5653" i="10"/>
  <c r="M5653" i="10"/>
  <c r="E5653" i="10"/>
  <c r="B5653" i="10"/>
  <c r="S5652" i="10"/>
  <c r="Q5652" i="10"/>
  <c r="P5652" i="10"/>
  <c r="O5652" i="10"/>
  <c r="M5652" i="10"/>
  <c r="E5652" i="10"/>
  <c r="B5652" i="10"/>
  <c r="S5651" i="10"/>
  <c r="Q5651" i="10"/>
  <c r="P5651" i="10"/>
  <c r="O5651" i="10"/>
  <c r="M5651" i="10"/>
  <c r="E5651" i="10"/>
  <c r="B5651" i="10"/>
  <c r="S5650" i="10"/>
  <c r="Q5650" i="10"/>
  <c r="P5650" i="10"/>
  <c r="O5650" i="10"/>
  <c r="M5650" i="10"/>
  <c r="E5650" i="10"/>
  <c r="B5650" i="10"/>
  <c r="S5649" i="10"/>
  <c r="Q5649" i="10"/>
  <c r="P5649" i="10"/>
  <c r="O5649" i="10"/>
  <c r="M5649" i="10"/>
  <c r="E5649" i="10"/>
  <c r="B5649" i="10"/>
  <c r="S5648" i="10"/>
  <c r="Q5648" i="10"/>
  <c r="P5648" i="10"/>
  <c r="O5648" i="10"/>
  <c r="M5648" i="10"/>
  <c r="E5648" i="10"/>
  <c r="B5648" i="10"/>
  <c r="S5647" i="10"/>
  <c r="Q5647" i="10"/>
  <c r="P5647" i="10"/>
  <c r="O5647" i="10"/>
  <c r="M5647" i="10"/>
  <c r="E5647" i="10"/>
  <c r="B5647" i="10"/>
  <c r="S5646" i="10"/>
  <c r="Q5646" i="10"/>
  <c r="P5646" i="10"/>
  <c r="O5646" i="10"/>
  <c r="M5646" i="10"/>
  <c r="E5646" i="10"/>
  <c r="B5646" i="10"/>
  <c r="S5645" i="10"/>
  <c r="Q5645" i="10"/>
  <c r="P5645" i="10"/>
  <c r="O5645" i="10"/>
  <c r="M5645" i="10"/>
  <c r="E5645" i="10"/>
  <c r="B5645" i="10"/>
  <c r="S5644" i="10"/>
  <c r="Q5644" i="10"/>
  <c r="P5644" i="10"/>
  <c r="O5644" i="10"/>
  <c r="M5644" i="10"/>
  <c r="E5644" i="10"/>
  <c r="B5644" i="10"/>
  <c r="S5643" i="10"/>
  <c r="Q5643" i="10"/>
  <c r="P5643" i="10"/>
  <c r="O5643" i="10"/>
  <c r="M5643" i="10"/>
  <c r="E5643" i="10"/>
  <c r="B5643" i="10"/>
  <c r="S5642" i="10"/>
  <c r="Q5642" i="10"/>
  <c r="P5642" i="10"/>
  <c r="O5642" i="10"/>
  <c r="M5642" i="10"/>
  <c r="B5642" i="10"/>
  <c r="S5641" i="10"/>
  <c r="Q5641" i="10"/>
  <c r="P5641" i="10"/>
  <c r="O5641" i="10"/>
  <c r="M5641" i="10"/>
  <c r="E5641" i="10"/>
  <c r="B5641" i="10"/>
  <c r="S5640" i="10"/>
  <c r="Q5640" i="10"/>
  <c r="P5640" i="10"/>
  <c r="O5640" i="10"/>
  <c r="M5640" i="10"/>
  <c r="E5640" i="10"/>
  <c r="B5640" i="10"/>
  <c r="S5639" i="10"/>
  <c r="Q5639" i="10"/>
  <c r="P5639" i="10"/>
  <c r="O5639" i="10"/>
  <c r="M5639" i="10"/>
  <c r="B5639" i="10"/>
  <c r="S5638" i="10"/>
  <c r="Q5638" i="10"/>
  <c r="P5638" i="10"/>
  <c r="O5638" i="10"/>
  <c r="M5638" i="10"/>
  <c r="E5638" i="10"/>
  <c r="B5638" i="10"/>
  <c r="S5637" i="10"/>
  <c r="Q5637" i="10"/>
  <c r="P5637" i="10"/>
  <c r="O5637" i="10"/>
  <c r="M5637" i="10"/>
  <c r="E5637" i="10"/>
  <c r="B5637" i="10"/>
  <c r="S5636" i="10"/>
  <c r="Q5636" i="10"/>
  <c r="P5636" i="10"/>
  <c r="O5636" i="10"/>
  <c r="M5636" i="10"/>
  <c r="E5636" i="10"/>
  <c r="B5636" i="10"/>
  <c r="S5635" i="10"/>
  <c r="Q5635" i="10"/>
  <c r="P5635" i="10"/>
  <c r="O5635" i="10"/>
  <c r="M5635" i="10"/>
  <c r="E5635" i="10"/>
  <c r="B5635" i="10"/>
  <c r="S5634" i="10"/>
  <c r="Q5634" i="10"/>
  <c r="P5634" i="10"/>
  <c r="O5634" i="10"/>
  <c r="M5634" i="10"/>
  <c r="E5634" i="10"/>
  <c r="B5634" i="10"/>
  <c r="S5633" i="10"/>
  <c r="Q5633" i="10"/>
  <c r="P5633" i="10"/>
  <c r="O5633" i="10"/>
  <c r="M5633" i="10"/>
  <c r="E5633" i="10"/>
  <c r="B5633" i="10"/>
  <c r="S5632" i="10"/>
  <c r="Q5632" i="10"/>
  <c r="P5632" i="10"/>
  <c r="O5632" i="10"/>
  <c r="M5632" i="10"/>
  <c r="E5632" i="10"/>
  <c r="B5632" i="10"/>
  <c r="S5631" i="10"/>
  <c r="Q5631" i="10"/>
  <c r="P5631" i="10"/>
  <c r="O5631" i="10"/>
  <c r="M5631" i="10"/>
  <c r="E5631" i="10"/>
  <c r="B5631" i="10"/>
  <c r="S5630" i="10"/>
  <c r="Q5630" i="10"/>
  <c r="P5630" i="10"/>
  <c r="O5630" i="10"/>
  <c r="M5630" i="10"/>
  <c r="E5630" i="10"/>
  <c r="B5630" i="10"/>
  <c r="S5629" i="10"/>
  <c r="Q5629" i="10"/>
  <c r="P5629" i="10"/>
  <c r="O5629" i="10"/>
  <c r="M5629" i="10"/>
  <c r="E5629" i="10"/>
  <c r="B5629" i="10"/>
  <c r="S5628" i="10"/>
  <c r="Q5628" i="10"/>
  <c r="P5628" i="10"/>
  <c r="O5628" i="10"/>
  <c r="M5628" i="10"/>
  <c r="E5628" i="10"/>
  <c r="B5628" i="10"/>
  <c r="S5627" i="10"/>
  <c r="Q5627" i="10"/>
  <c r="P5627" i="10"/>
  <c r="O5627" i="10"/>
  <c r="M5627" i="10"/>
  <c r="E5627" i="10"/>
  <c r="B5627" i="10"/>
  <c r="S5626" i="10"/>
  <c r="Q5626" i="10"/>
  <c r="P5626" i="10"/>
  <c r="O5626" i="10"/>
  <c r="M5626" i="10"/>
  <c r="E5626" i="10"/>
  <c r="B5626" i="10"/>
  <c r="S5625" i="10"/>
  <c r="Q5625" i="10"/>
  <c r="P5625" i="10"/>
  <c r="O5625" i="10"/>
  <c r="M5625" i="10"/>
  <c r="E5625" i="10"/>
  <c r="B5625" i="10"/>
  <c r="S5624" i="10"/>
  <c r="Q5624" i="10"/>
  <c r="P5624" i="10"/>
  <c r="O5624" i="10"/>
  <c r="M5624" i="10"/>
  <c r="E5624" i="10"/>
  <c r="B5624" i="10"/>
  <c r="S5623" i="10"/>
  <c r="Q5623" i="10"/>
  <c r="P5623" i="10"/>
  <c r="O5623" i="10"/>
  <c r="M5623" i="10"/>
  <c r="E5623" i="10"/>
  <c r="B5623" i="10"/>
  <c r="S5622" i="10"/>
  <c r="Q5622" i="10"/>
  <c r="P5622" i="10"/>
  <c r="O5622" i="10"/>
  <c r="M5622" i="10"/>
  <c r="E5622" i="10"/>
  <c r="B5622" i="10"/>
  <c r="S5621" i="10"/>
  <c r="Q5621" i="10"/>
  <c r="P5621" i="10"/>
  <c r="O5621" i="10"/>
  <c r="M5621" i="10"/>
  <c r="E5621" i="10"/>
  <c r="B5621" i="10"/>
  <c r="S5620" i="10"/>
  <c r="Q5620" i="10"/>
  <c r="P5620" i="10"/>
  <c r="O5620" i="10"/>
  <c r="M5620" i="10"/>
  <c r="E5620" i="10"/>
  <c r="B5620" i="10"/>
  <c r="S5619" i="10"/>
  <c r="Q5619" i="10"/>
  <c r="P5619" i="10"/>
  <c r="O5619" i="10"/>
  <c r="M5619" i="10"/>
  <c r="E5619" i="10"/>
  <c r="B5619" i="10"/>
  <c r="S5618" i="10"/>
  <c r="Q5618" i="10"/>
  <c r="P5618" i="10"/>
  <c r="O5618" i="10"/>
  <c r="M5618" i="10"/>
  <c r="E5618" i="10"/>
  <c r="B5618" i="10"/>
  <c r="S5617" i="10"/>
  <c r="Q5617" i="10"/>
  <c r="P5617" i="10"/>
  <c r="O5617" i="10"/>
  <c r="M5617" i="10"/>
  <c r="E5617" i="10"/>
  <c r="B5617" i="10"/>
  <c r="S5616" i="10"/>
  <c r="Q5616" i="10"/>
  <c r="P5616" i="10"/>
  <c r="O5616" i="10"/>
  <c r="M5616" i="10"/>
  <c r="E5616" i="10"/>
  <c r="B5616" i="10"/>
  <c r="S5615" i="10"/>
  <c r="Q5615" i="10"/>
  <c r="P5615" i="10"/>
  <c r="O5615" i="10"/>
  <c r="M5615" i="10"/>
  <c r="E5615" i="10"/>
  <c r="B5615" i="10"/>
  <c r="S5614" i="10"/>
  <c r="Q5614" i="10"/>
  <c r="P5614" i="10"/>
  <c r="O5614" i="10"/>
  <c r="M5614" i="10"/>
  <c r="E5614" i="10"/>
  <c r="B5614" i="10"/>
  <c r="S5613" i="10"/>
  <c r="Q5613" i="10"/>
  <c r="P5613" i="10"/>
  <c r="O5613" i="10"/>
  <c r="M5613" i="10"/>
  <c r="B5613" i="10"/>
  <c r="S5612" i="10"/>
  <c r="Q5612" i="10"/>
  <c r="P5612" i="10"/>
  <c r="O5612" i="10"/>
  <c r="M5612" i="10"/>
  <c r="B5612" i="10"/>
  <c r="S5611" i="10"/>
  <c r="Q5611" i="10"/>
  <c r="P5611" i="10"/>
  <c r="O5611" i="10"/>
  <c r="M5611" i="10"/>
  <c r="E5611" i="10"/>
  <c r="B5611" i="10"/>
  <c r="S5610" i="10"/>
  <c r="Q5610" i="10"/>
  <c r="P5610" i="10"/>
  <c r="O5610" i="10"/>
  <c r="M5610" i="10"/>
  <c r="E5610" i="10"/>
  <c r="B5610" i="10"/>
  <c r="S5609" i="10"/>
  <c r="Q5609" i="10"/>
  <c r="P5609" i="10"/>
  <c r="O5609" i="10"/>
  <c r="M5609" i="10"/>
  <c r="E5609" i="10"/>
  <c r="B5609" i="10"/>
  <c r="S5608" i="10"/>
  <c r="Q5608" i="10"/>
  <c r="P5608" i="10"/>
  <c r="O5608" i="10"/>
  <c r="M5608" i="10"/>
  <c r="E5608" i="10"/>
  <c r="B5608" i="10"/>
  <c r="S5607" i="10"/>
  <c r="Q5607" i="10"/>
  <c r="P5607" i="10"/>
  <c r="O5607" i="10"/>
  <c r="M5607" i="10"/>
  <c r="E5607" i="10"/>
  <c r="B5607" i="10"/>
  <c r="S5606" i="10"/>
  <c r="Q5606" i="10"/>
  <c r="P5606" i="10"/>
  <c r="O5606" i="10"/>
  <c r="M5606" i="10"/>
  <c r="E5606" i="10"/>
  <c r="B5606" i="10"/>
  <c r="S5605" i="10"/>
  <c r="Q5605" i="10"/>
  <c r="P5605" i="10"/>
  <c r="O5605" i="10"/>
  <c r="M5605" i="10"/>
  <c r="E5605" i="10"/>
  <c r="B5605" i="10"/>
  <c r="S5604" i="10"/>
  <c r="Q5604" i="10"/>
  <c r="P5604" i="10"/>
  <c r="O5604" i="10"/>
  <c r="M5604" i="10"/>
  <c r="E5604" i="10"/>
  <c r="B5604" i="10"/>
  <c r="S5603" i="10"/>
  <c r="Q5603" i="10"/>
  <c r="P5603" i="10"/>
  <c r="O5603" i="10"/>
  <c r="M5603" i="10"/>
  <c r="E5603" i="10"/>
  <c r="B5603" i="10"/>
  <c r="S5602" i="10"/>
  <c r="Q5602" i="10"/>
  <c r="P5602" i="10"/>
  <c r="O5602" i="10"/>
  <c r="M5602" i="10"/>
  <c r="E5602" i="10"/>
  <c r="B5602" i="10"/>
  <c r="S5601" i="10"/>
  <c r="Q5601" i="10"/>
  <c r="P5601" i="10"/>
  <c r="O5601" i="10"/>
  <c r="M5601" i="10"/>
  <c r="E5601" i="10"/>
  <c r="B5601" i="10"/>
  <c r="S5600" i="10"/>
  <c r="Q5600" i="10"/>
  <c r="P5600" i="10"/>
  <c r="O5600" i="10"/>
  <c r="M5600" i="10"/>
  <c r="E5600" i="10"/>
  <c r="B5600" i="10"/>
  <c r="S5599" i="10"/>
  <c r="Q5599" i="10"/>
  <c r="P5599" i="10"/>
  <c r="O5599" i="10"/>
  <c r="M5599" i="10"/>
  <c r="B5599" i="10"/>
  <c r="S5598" i="10"/>
  <c r="Q5598" i="10"/>
  <c r="P5598" i="10"/>
  <c r="O5598" i="10"/>
  <c r="M5598" i="10"/>
  <c r="E5598" i="10"/>
  <c r="B5598" i="10"/>
  <c r="S5597" i="10"/>
  <c r="Q5597" i="10"/>
  <c r="P5597" i="10"/>
  <c r="O5597" i="10"/>
  <c r="M5597" i="10"/>
  <c r="B5597" i="10"/>
  <c r="S5596" i="10"/>
  <c r="Q5596" i="10"/>
  <c r="P5596" i="10"/>
  <c r="O5596" i="10"/>
  <c r="M5596" i="10"/>
  <c r="E5596" i="10"/>
  <c r="B5596" i="10"/>
  <c r="S5595" i="10"/>
  <c r="Q5595" i="10"/>
  <c r="P5595" i="10"/>
  <c r="O5595" i="10"/>
  <c r="M5595" i="10"/>
  <c r="E5595" i="10"/>
  <c r="B5595" i="10"/>
  <c r="S5594" i="10"/>
  <c r="Q5594" i="10"/>
  <c r="P5594" i="10"/>
  <c r="O5594" i="10"/>
  <c r="M5594" i="10"/>
  <c r="E5594" i="10"/>
  <c r="B5594" i="10"/>
  <c r="S5593" i="10"/>
  <c r="Q5593" i="10"/>
  <c r="P5593" i="10"/>
  <c r="O5593" i="10"/>
  <c r="M5593" i="10"/>
  <c r="E5593" i="10"/>
  <c r="B5593" i="10"/>
  <c r="S5592" i="10"/>
  <c r="Q5592" i="10"/>
  <c r="P5592" i="10"/>
  <c r="O5592" i="10"/>
  <c r="M5592" i="10"/>
  <c r="E5592" i="10"/>
  <c r="B5592" i="10"/>
  <c r="S5591" i="10"/>
  <c r="Q5591" i="10"/>
  <c r="P5591" i="10"/>
  <c r="O5591" i="10"/>
  <c r="M5591" i="10"/>
  <c r="E5591" i="10"/>
  <c r="B5591" i="10"/>
  <c r="S5590" i="10"/>
  <c r="Q5590" i="10"/>
  <c r="P5590" i="10"/>
  <c r="O5590" i="10"/>
  <c r="M5590" i="10"/>
  <c r="E5590" i="10"/>
  <c r="B5590" i="10"/>
  <c r="S5589" i="10"/>
  <c r="Q5589" i="10"/>
  <c r="P5589" i="10"/>
  <c r="O5589" i="10"/>
  <c r="M5589" i="10"/>
  <c r="E5589" i="10"/>
  <c r="B5589" i="10"/>
  <c r="S5588" i="10"/>
  <c r="Q5588" i="10"/>
  <c r="P5588" i="10"/>
  <c r="O5588" i="10"/>
  <c r="M5588" i="10"/>
  <c r="E5588" i="10"/>
  <c r="B5588" i="10"/>
  <c r="S5587" i="10"/>
  <c r="Q5587" i="10"/>
  <c r="P5587" i="10"/>
  <c r="O5587" i="10"/>
  <c r="M5587" i="10"/>
  <c r="E5587" i="10"/>
  <c r="B5587" i="10"/>
  <c r="S5586" i="10"/>
  <c r="Q5586" i="10"/>
  <c r="P5586" i="10"/>
  <c r="O5586" i="10"/>
  <c r="M5586" i="10"/>
  <c r="E5586" i="10"/>
  <c r="B5586" i="10"/>
  <c r="S5585" i="10"/>
  <c r="Q5585" i="10"/>
  <c r="P5585" i="10"/>
  <c r="O5585" i="10"/>
  <c r="M5585" i="10"/>
  <c r="E5585" i="10"/>
  <c r="B5585" i="10"/>
  <c r="S5584" i="10"/>
  <c r="Q5584" i="10"/>
  <c r="P5584" i="10"/>
  <c r="O5584" i="10"/>
  <c r="M5584" i="10"/>
  <c r="E5584" i="10"/>
  <c r="B5584" i="10"/>
  <c r="S5583" i="10"/>
  <c r="Q5583" i="10"/>
  <c r="P5583" i="10"/>
  <c r="O5583" i="10"/>
  <c r="M5583" i="10"/>
  <c r="E5583" i="10"/>
  <c r="B5583" i="10"/>
  <c r="S5582" i="10"/>
  <c r="Q5582" i="10"/>
  <c r="P5582" i="10"/>
  <c r="O5582" i="10"/>
  <c r="M5582" i="10"/>
  <c r="E5582" i="10"/>
  <c r="B5582" i="10"/>
  <c r="S5581" i="10"/>
  <c r="Q5581" i="10"/>
  <c r="P5581" i="10"/>
  <c r="O5581" i="10"/>
  <c r="M5581" i="10"/>
  <c r="E5581" i="10"/>
  <c r="B5581" i="10"/>
  <c r="S5580" i="10"/>
  <c r="Q5580" i="10"/>
  <c r="P5580" i="10"/>
  <c r="O5580" i="10"/>
  <c r="M5580" i="10"/>
  <c r="E5580" i="10"/>
  <c r="B5580" i="10"/>
  <c r="S5579" i="10"/>
  <c r="Q5579" i="10"/>
  <c r="P5579" i="10"/>
  <c r="O5579" i="10"/>
  <c r="M5579" i="10"/>
  <c r="E5579" i="10"/>
  <c r="B5579" i="10"/>
  <c r="S5578" i="10"/>
  <c r="Q5578" i="10"/>
  <c r="P5578" i="10"/>
  <c r="O5578" i="10"/>
  <c r="M5578" i="10"/>
  <c r="E5578" i="10"/>
  <c r="B5578" i="10"/>
  <c r="S5577" i="10"/>
  <c r="Q5577" i="10"/>
  <c r="P5577" i="10"/>
  <c r="O5577" i="10"/>
  <c r="M5577" i="10"/>
  <c r="E5577" i="10"/>
  <c r="B5577" i="10"/>
  <c r="S5576" i="10"/>
  <c r="Q5576" i="10"/>
  <c r="P5576" i="10"/>
  <c r="O5576" i="10"/>
  <c r="M5576" i="10"/>
  <c r="E5576" i="10"/>
  <c r="B5576" i="10"/>
  <c r="S5575" i="10"/>
  <c r="Q5575" i="10"/>
  <c r="P5575" i="10"/>
  <c r="O5575" i="10"/>
  <c r="M5575" i="10"/>
  <c r="E5575" i="10"/>
  <c r="B5575" i="10"/>
  <c r="S5574" i="10"/>
  <c r="Q5574" i="10"/>
  <c r="P5574" i="10"/>
  <c r="O5574" i="10"/>
  <c r="M5574" i="10"/>
  <c r="E5574" i="10"/>
  <c r="B5574" i="10"/>
  <c r="S5573" i="10"/>
  <c r="Q5573" i="10"/>
  <c r="P5573" i="10"/>
  <c r="O5573" i="10"/>
  <c r="M5573" i="10"/>
  <c r="E5573" i="10"/>
  <c r="B5573" i="10"/>
  <c r="S5572" i="10"/>
  <c r="Q5572" i="10"/>
  <c r="P5572" i="10"/>
  <c r="O5572" i="10"/>
  <c r="M5572" i="10"/>
  <c r="E5572" i="10"/>
  <c r="B5572" i="10"/>
  <c r="S5571" i="10"/>
  <c r="Q5571" i="10"/>
  <c r="P5571" i="10"/>
  <c r="O5571" i="10"/>
  <c r="M5571" i="10"/>
  <c r="E5571" i="10"/>
  <c r="B5571" i="10"/>
  <c r="S5570" i="10"/>
  <c r="Q5570" i="10"/>
  <c r="P5570" i="10"/>
  <c r="O5570" i="10"/>
  <c r="M5570" i="10"/>
  <c r="E5570" i="10"/>
  <c r="B5570" i="10"/>
  <c r="S5569" i="10"/>
  <c r="Q5569" i="10"/>
  <c r="P5569" i="10"/>
  <c r="O5569" i="10"/>
  <c r="M5569" i="10"/>
  <c r="E5569" i="10"/>
  <c r="B5569" i="10"/>
  <c r="S5568" i="10"/>
  <c r="Q5568" i="10"/>
  <c r="P5568" i="10"/>
  <c r="O5568" i="10"/>
  <c r="M5568" i="10"/>
  <c r="E5568" i="10"/>
  <c r="B5568" i="10"/>
  <c r="S5567" i="10"/>
  <c r="Q5567" i="10"/>
  <c r="P5567" i="10"/>
  <c r="O5567" i="10"/>
  <c r="M5567" i="10"/>
  <c r="E5567" i="10"/>
  <c r="B5567" i="10"/>
  <c r="S5566" i="10"/>
  <c r="Q5566" i="10"/>
  <c r="P5566" i="10"/>
  <c r="O5566" i="10"/>
  <c r="M5566" i="10"/>
  <c r="E5566" i="10"/>
  <c r="B5566" i="10"/>
  <c r="S5565" i="10"/>
  <c r="Q5565" i="10"/>
  <c r="P5565" i="10"/>
  <c r="O5565" i="10"/>
  <c r="M5565" i="10"/>
  <c r="E5565" i="10"/>
  <c r="B5565" i="10"/>
  <c r="S5564" i="10"/>
  <c r="Q5564" i="10"/>
  <c r="P5564" i="10"/>
  <c r="O5564" i="10"/>
  <c r="M5564" i="10"/>
  <c r="E5564" i="10"/>
  <c r="B5564" i="10"/>
  <c r="S5563" i="10"/>
  <c r="Q5563" i="10"/>
  <c r="P5563" i="10"/>
  <c r="O5563" i="10"/>
  <c r="M5563" i="10"/>
  <c r="E5563" i="10"/>
  <c r="B5563" i="10"/>
  <c r="S5562" i="10"/>
  <c r="Q5562" i="10"/>
  <c r="P5562" i="10"/>
  <c r="O5562" i="10"/>
  <c r="M5562" i="10"/>
  <c r="E5562" i="10"/>
  <c r="B5562" i="10"/>
  <c r="S5561" i="10"/>
  <c r="Q5561" i="10"/>
  <c r="P5561" i="10"/>
  <c r="O5561" i="10"/>
  <c r="M5561" i="10"/>
  <c r="E5561" i="10"/>
  <c r="B5561" i="10"/>
  <c r="S5560" i="10"/>
  <c r="Q5560" i="10"/>
  <c r="P5560" i="10"/>
  <c r="O5560" i="10"/>
  <c r="M5560" i="10"/>
  <c r="E5560" i="10"/>
  <c r="B5560" i="10"/>
  <c r="S5559" i="10"/>
  <c r="Q5559" i="10"/>
  <c r="P5559" i="10"/>
  <c r="O5559" i="10"/>
  <c r="M5559" i="10"/>
  <c r="E5559" i="10"/>
  <c r="B5559" i="10"/>
  <c r="S5558" i="10"/>
  <c r="Q5558" i="10"/>
  <c r="P5558" i="10"/>
  <c r="O5558" i="10"/>
  <c r="M5558" i="10"/>
  <c r="E5558" i="10"/>
  <c r="B5558" i="10"/>
  <c r="S5557" i="10"/>
  <c r="Q5557" i="10"/>
  <c r="P5557" i="10"/>
  <c r="O5557" i="10"/>
  <c r="M5557" i="10"/>
  <c r="E5557" i="10"/>
  <c r="B5557" i="10"/>
  <c r="S5556" i="10"/>
  <c r="Q5556" i="10"/>
  <c r="P5556" i="10"/>
  <c r="O5556" i="10"/>
  <c r="M5556" i="10"/>
  <c r="E5556" i="10"/>
  <c r="B5556" i="10"/>
  <c r="S5555" i="10"/>
  <c r="Q5555" i="10"/>
  <c r="P5555" i="10"/>
  <c r="O5555" i="10"/>
  <c r="M5555" i="10"/>
  <c r="E5555" i="10"/>
  <c r="B5555" i="10"/>
  <c r="S5554" i="10"/>
  <c r="Q5554" i="10"/>
  <c r="P5554" i="10"/>
  <c r="O5554" i="10"/>
  <c r="M5554" i="10"/>
  <c r="E5554" i="10"/>
  <c r="B5554" i="10"/>
  <c r="S5553" i="10"/>
  <c r="Q5553" i="10"/>
  <c r="P5553" i="10"/>
  <c r="O5553" i="10"/>
  <c r="M5553" i="10"/>
  <c r="E5553" i="10"/>
  <c r="B5553" i="10"/>
  <c r="S5552" i="10"/>
  <c r="Q5552" i="10"/>
  <c r="P5552" i="10"/>
  <c r="O5552" i="10"/>
  <c r="M5552" i="10"/>
  <c r="E5552" i="10"/>
  <c r="B5552" i="10"/>
  <c r="S5551" i="10"/>
  <c r="Q5551" i="10"/>
  <c r="P5551" i="10"/>
  <c r="O5551" i="10"/>
  <c r="M5551" i="10"/>
  <c r="E5551" i="10"/>
  <c r="B5551" i="10"/>
  <c r="S5550" i="10"/>
  <c r="Q5550" i="10"/>
  <c r="P5550" i="10"/>
  <c r="O5550" i="10"/>
  <c r="M5550" i="10"/>
  <c r="E5550" i="10"/>
  <c r="B5550" i="10"/>
  <c r="S5549" i="10"/>
  <c r="Q5549" i="10"/>
  <c r="P5549" i="10"/>
  <c r="O5549" i="10"/>
  <c r="M5549" i="10"/>
  <c r="E5549" i="10"/>
  <c r="B5549" i="10"/>
  <c r="S5548" i="10"/>
  <c r="Q5548" i="10"/>
  <c r="P5548" i="10"/>
  <c r="O5548" i="10"/>
  <c r="M5548" i="10"/>
  <c r="E5548" i="10"/>
  <c r="B5548" i="10"/>
  <c r="S5547" i="10"/>
  <c r="Q5547" i="10"/>
  <c r="P5547" i="10"/>
  <c r="O5547" i="10"/>
  <c r="M5547" i="10"/>
  <c r="E5547" i="10"/>
  <c r="B5547" i="10"/>
  <c r="S5546" i="10"/>
  <c r="Q5546" i="10"/>
  <c r="P5546" i="10"/>
  <c r="O5546" i="10"/>
  <c r="M5546" i="10"/>
  <c r="E5546" i="10"/>
  <c r="B5546" i="10"/>
  <c r="S5545" i="10"/>
  <c r="Q5545" i="10"/>
  <c r="P5545" i="10"/>
  <c r="O5545" i="10"/>
  <c r="M5545" i="10"/>
  <c r="E5545" i="10"/>
  <c r="B5545" i="10"/>
  <c r="S5544" i="10"/>
  <c r="Q5544" i="10"/>
  <c r="P5544" i="10"/>
  <c r="O5544" i="10"/>
  <c r="M5544" i="10"/>
  <c r="E5544" i="10"/>
  <c r="B5544" i="10"/>
  <c r="S5543" i="10"/>
  <c r="Q5543" i="10"/>
  <c r="P5543" i="10"/>
  <c r="O5543" i="10"/>
  <c r="M5543" i="10"/>
  <c r="E5543" i="10"/>
  <c r="B5543" i="10"/>
  <c r="S5542" i="10"/>
  <c r="Q5542" i="10"/>
  <c r="P5542" i="10"/>
  <c r="O5542" i="10"/>
  <c r="M5542" i="10"/>
  <c r="E5542" i="10"/>
  <c r="B5542" i="10"/>
  <c r="S5541" i="10"/>
  <c r="Q5541" i="10"/>
  <c r="P5541" i="10"/>
  <c r="O5541" i="10"/>
  <c r="M5541" i="10"/>
  <c r="E5541" i="10"/>
  <c r="B5541" i="10"/>
  <c r="S5540" i="10"/>
  <c r="Q5540" i="10"/>
  <c r="P5540" i="10"/>
  <c r="O5540" i="10"/>
  <c r="M5540" i="10"/>
  <c r="E5540" i="10"/>
  <c r="B5540" i="10"/>
  <c r="S5539" i="10"/>
  <c r="Q5539" i="10"/>
  <c r="P5539" i="10"/>
  <c r="O5539" i="10"/>
  <c r="M5539" i="10"/>
  <c r="E5539" i="10"/>
  <c r="B5539" i="10"/>
  <c r="S5538" i="10"/>
  <c r="Q5538" i="10"/>
  <c r="P5538" i="10"/>
  <c r="O5538" i="10"/>
  <c r="M5538" i="10"/>
  <c r="B5538" i="10"/>
  <c r="S5537" i="10"/>
  <c r="Q5537" i="10"/>
  <c r="P5537" i="10"/>
  <c r="O5537" i="10"/>
  <c r="M5537" i="10"/>
  <c r="E5537" i="10"/>
  <c r="B5537" i="10"/>
  <c r="S5536" i="10"/>
  <c r="Q5536" i="10"/>
  <c r="P5536" i="10"/>
  <c r="O5536" i="10"/>
  <c r="M5536" i="10"/>
  <c r="E5536" i="10"/>
  <c r="B5536" i="10"/>
  <c r="S5535" i="10"/>
  <c r="Q5535" i="10"/>
  <c r="P5535" i="10"/>
  <c r="O5535" i="10"/>
  <c r="M5535" i="10"/>
  <c r="E5535" i="10"/>
  <c r="B5535" i="10"/>
  <c r="S5534" i="10"/>
  <c r="Q5534" i="10"/>
  <c r="P5534" i="10"/>
  <c r="O5534" i="10"/>
  <c r="M5534" i="10"/>
  <c r="E5534" i="10"/>
  <c r="B5534" i="10"/>
  <c r="S5533" i="10"/>
  <c r="Q5533" i="10"/>
  <c r="P5533" i="10"/>
  <c r="O5533" i="10"/>
  <c r="M5533" i="10"/>
  <c r="E5533" i="10"/>
  <c r="B5533" i="10"/>
  <c r="S5532" i="10"/>
  <c r="Q5532" i="10"/>
  <c r="P5532" i="10"/>
  <c r="O5532" i="10"/>
  <c r="M5532" i="10"/>
  <c r="E5532" i="10"/>
  <c r="B5532" i="10"/>
  <c r="S5531" i="10"/>
  <c r="Q5531" i="10"/>
  <c r="P5531" i="10"/>
  <c r="O5531" i="10"/>
  <c r="M5531" i="10"/>
  <c r="E5531" i="10"/>
  <c r="B5531" i="10"/>
  <c r="S5530" i="10"/>
  <c r="Q5530" i="10"/>
  <c r="P5530" i="10"/>
  <c r="O5530" i="10"/>
  <c r="M5530" i="10"/>
  <c r="E5530" i="10"/>
  <c r="B5530" i="10"/>
  <c r="S5529" i="10"/>
  <c r="Q5529" i="10"/>
  <c r="P5529" i="10"/>
  <c r="O5529" i="10"/>
  <c r="M5529" i="10"/>
  <c r="E5529" i="10"/>
  <c r="B5529" i="10"/>
  <c r="S5528" i="10"/>
  <c r="Q5528" i="10"/>
  <c r="P5528" i="10"/>
  <c r="O5528" i="10"/>
  <c r="M5528" i="10"/>
  <c r="E5528" i="10"/>
  <c r="B5528" i="10"/>
  <c r="S5527" i="10"/>
  <c r="Q5527" i="10"/>
  <c r="P5527" i="10"/>
  <c r="O5527" i="10"/>
  <c r="M5527" i="10"/>
  <c r="E5527" i="10"/>
  <c r="B5527" i="10"/>
  <c r="S5526" i="10"/>
  <c r="Q5526" i="10"/>
  <c r="P5526" i="10"/>
  <c r="O5526" i="10"/>
  <c r="M5526" i="10"/>
  <c r="E5526" i="10"/>
  <c r="B5526" i="10"/>
  <c r="S5525" i="10"/>
  <c r="Q5525" i="10"/>
  <c r="P5525" i="10"/>
  <c r="O5525" i="10"/>
  <c r="M5525" i="10"/>
  <c r="E5525" i="10"/>
  <c r="B5525" i="10"/>
  <c r="S5524" i="10"/>
  <c r="Q5524" i="10"/>
  <c r="P5524" i="10"/>
  <c r="O5524" i="10"/>
  <c r="M5524" i="10"/>
  <c r="E5524" i="10"/>
  <c r="B5524" i="10"/>
  <c r="S5523" i="10"/>
  <c r="Q5523" i="10"/>
  <c r="P5523" i="10"/>
  <c r="O5523" i="10"/>
  <c r="M5523" i="10"/>
  <c r="E5523" i="10"/>
  <c r="B5523" i="10"/>
  <c r="S5522" i="10"/>
  <c r="Q5522" i="10"/>
  <c r="P5522" i="10"/>
  <c r="O5522" i="10"/>
  <c r="M5522" i="10"/>
  <c r="E5522" i="10"/>
  <c r="B5522" i="10"/>
  <c r="S5521" i="10"/>
  <c r="Q5521" i="10"/>
  <c r="P5521" i="10"/>
  <c r="O5521" i="10"/>
  <c r="M5521" i="10"/>
  <c r="E5521" i="10"/>
  <c r="B5521" i="10"/>
  <c r="S5520" i="10"/>
  <c r="Q5520" i="10"/>
  <c r="P5520" i="10"/>
  <c r="O5520" i="10"/>
  <c r="M5520" i="10"/>
  <c r="E5520" i="10"/>
  <c r="B5520" i="10"/>
  <c r="S5519" i="10"/>
  <c r="Q5519" i="10"/>
  <c r="P5519" i="10"/>
  <c r="O5519" i="10"/>
  <c r="M5519" i="10"/>
  <c r="B5519" i="10"/>
  <c r="S5518" i="10"/>
  <c r="Q5518" i="10"/>
  <c r="P5518" i="10"/>
  <c r="O5518" i="10"/>
  <c r="M5518" i="10"/>
  <c r="E5518" i="10"/>
  <c r="B5518" i="10"/>
  <c r="S5517" i="10"/>
  <c r="Q5517" i="10"/>
  <c r="P5517" i="10"/>
  <c r="O5517" i="10"/>
  <c r="M5517" i="10"/>
  <c r="E5517" i="10"/>
  <c r="B5517" i="10"/>
  <c r="S5516" i="10"/>
  <c r="Q5516" i="10"/>
  <c r="P5516" i="10"/>
  <c r="O5516" i="10"/>
  <c r="M5516" i="10"/>
  <c r="E5516" i="10"/>
  <c r="B5516" i="10"/>
  <c r="S5515" i="10"/>
  <c r="Q5515" i="10"/>
  <c r="P5515" i="10"/>
  <c r="O5515" i="10"/>
  <c r="M5515" i="10"/>
  <c r="E5515" i="10"/>
  <c r="B5515" i="10"/>
  <c r="S5514" i="10"/>
  <c r="Q5514" i="10"/>
  <c r="P5514" i="10"/>
  <c r="O5514" i="10"/>
  <c r="M5514" i="10"/>
  <c r="B5514" i="10"/>
  <c r="S5513" i="10"/>
  <c r="Q5513" i="10"/>
  <c r="P5513" i="10"/>
  <c r="O5513" i="10"/>
  <c r="M5513" i="10"/>
  <c r="E5513" i="10"/>
  <c r="B5513" i="10"/>
  <c r="S5512" i="10"/>
  <c r="Q5512" i="10"/>
  <c r="P5512" i="10"/>
  <c r="O5512" i="10"/>
  <c r="M5512" i="10"/>
  <c r="E5512" i="10"/>
  <c r="B5512" i="10"/>
  <c r="S5511" i="10"/>
  <c r="Q5511" i="10"/>
  <c r="P5511" i="10"/>
  <c r="O5511" i="10"/>
  <c r="M5511" i="10"/>
  <c r="E5511" i="10"/>
  <c r="B5511" i="10"/>
  <c r="S5510" i="10"/>
  <c r="Q5510" i="10"/>
  <c r="P5510" i="10"/>
  <c r="O5510" i="10"/>
  <c r="M5510" i="10"/>
  <c r="E5510" i="10"/>
  <c r="B5510" i="10"/>
  <c r="S5509" i="10"/>
  <c r="Q5509" i="10"/>
  <c r="P5509" i="10"/>
  <c r="O5509" i="10"/>
  <c r="M5509" i="10"/>
  <c r="E5509" i="10"/>
  <c r="B5509" i="10"/>
  <c r="S5508" i="10"/>
  <c r="Q5508" i="10"/>
  <c r="P5508" i="10"/>
  <c r="O5508" i="10"/>
  <c r="M5508" i="10"/>
  <c r="E5508" i="10"/>
  <c r="B5508" i="10"/>
  <c r="S5507" i="10"/>
  <c r="Q5507" i="10"/>
  <c r="P5507" i="10"/>
  <c r="O5507" i="10"/>
  <c r="M5507" i="10"/>
  <c r="E5507" i="10"/>
  <c r="B5507" i="10"/>
  <c r="S5506" i="10"/>
  <c r="Q5506" i="10"/>
  <c r="P5506" i="10"/>
  <c r="O5506" i="10"/>
  <c r="M5506" i="10"/>
  <c r="E5506" i="10"/>
  <c r="B5506" i="10"/>
  <c r="S5505" i="10"/>
  <c r="Q5505" i="10"/>
  <c r="P5505" i="10"/>
  <c r="O5505" i="10"/>
  <c r="M5505" i="10"/>
  <c r="E5505" i="10"/>
  <c r="B5505" i="10"/>
  <c r="S5504" i="10"/>
  <c r="Q5504" i="10"/>
  <c r="P5504" i="10"/>
  <c r="O5504" i="10"/>
  <c r="M5504" i="10"/>
  <c r="E5504" i="10"/>
  <c r="B5504" i="10"/>
  <c r="S5503" i="10"/>
  <c r="Q5503" i="10"/>
  <c r="P5503" i="10"/>
  <c r="O5503" i="10"/>
  <c r="M5503" i="10"/>
  <c r="E5503" i="10"/>
  <c r="B5503" i="10"/>
  <c r="S5502" i="10"/>
  <c r="Q5502" i="10"/>
  <c r="P5502" i="10"/>
  <c r="O5502" i="10"/>
  <c r="M5502" i="10"/>
  <c r="E5502" i="10"/>
  <c r="B5502" i="10"/>
  <c r="S5501" i="10"/>
  <c r="Q5501" i="10"/>
  <c r="P5501" i="10"/>
  <c r="O5501" i="10"/>
  <c r="M5501" i="10"/>
  <c r="E5501" i="10"/>
  <c r="B5501" i="10"/>
  <c r="S5500" i="10"/>
  <c r="Q5500" i="10"/>
  <c r="P5500" i="10"/>
  <c r="O5500" i="10"/>
  <c r="M5500" i="10"/>
  <c r="E5500" i="10"/>
  <c r="B5500" i="10"/>
  <c r="S5499" i="10"/>
  <c r="Q5499" i="10"/>
  <c r="P5499" i="10"/>
  <c r="O5499" i="10"/>
  <c r="M5499" i="10"/>
  <c r="B5499" i="10"/>
  <c r="S5498" i="10"/>
  <c r="Q5498" i="10"/>
  <c r="P5498" i="10"/>
  <c r="O5498" i="10"/>
  <c r="M5498" i="10"/>
  <c r="E5498" i="10"/>
  <c r="B5498" i="10"/>
  <c r="S5497" i="10"/>
  <c r="Q5497" i="10"/>
  <c r="P5497" i="10"/>
  <c r="O5497" i="10"/>
  <c r="M5497" i="10"/>
  <c r="E5497" i="10"/>
  <c r="B5497" i="10"/>
  <c r="S5496" i="10"/>
  <c r="Q5496" i="10"/>
  <c r="P5496" i="10"/>
  <c r="O5496" i="10"/>
  <c r="M5496" i="10"/>
  <c r="E5496" i="10"/>
  <c r="B5496" i="10"/>
  <c r="S5495" i="10"/>
  <c r="Q5495" i="10"/>
  <c r="P5495" i="10"/>
  <c r="O5495" i="10"/>
  <c r="M5495" i="10"/>
  <c r="E5495" i="10"/>
  <c r="B5495" i="10"/>
  <c r="S5494" i="10"/>
  <c r="Q5494" i="10"/>
  <c r="P5494" i="10"/>
  <c r="O5494" i="10"/>
  <c r="M5494" i="10"/>
  <c r="E5494" i="10"/>
  <c r="B5494" i="10"/>
  <c r="S5493" i="10"/>
  <c r="Q5493" i="10"/>
  <c r="P5493" i="10"/>
  <c r="O5493" i="10"/>
  <c r="M5493" i="10"/>
  <c r="E5493" i="10"/>
  <c r="B5493" i="10"/>
  <c r="S5492" i="10"/>
  <c r="Q5492" i="10"/>
  <c r="P5492" i="10"/>
  <c r="O5492" i="10"/>
  <c r="M5492" i="10"/>
  <c r="E5492" i="10"/>
  <c r="B5492" i="10"/>
  <c r="S5491" i="10"/>
  <c r="Q5491" i="10"/>
  <c r="P5491" i="10"/>
  <c r="O5491" i="10"/>
  <c r="M5491" i="10"/>
  <c r="E5491" i="10"/>
  <c r="B5491" i="10"/>
  <c r="S5490" i="10"/>
  <c r="Q5490" i="10"/>
  <c r="P5490" i="10"/>
  <c r="O5490" i="10"/>
  <c r="M5490" i="10"/>
  <c r="E5490" i="10"/>
  <c r="B5490" i="10"/>
  <c r="S5489" i="10"/>
  <c r="Q5489" i="10"/>
  <c r="P5489" i="10"/>
  <c r="O5489" i="10"/>
  <c r="M5489" i="10"/>
  <c r="E5489" i="10"/>
  <c r="B5489" i="10"/>
  <c r="S5488" i="10"/>
  <c r="Q5488" i="10"/>
  <c r="P5488" i="10"/>
  <c r="O5488" i="10"/>
  <c r="M5488" i="10"/>
  <c r="E5488" i="10"/>
  <c r="B5488" i="10"/>
  <c r="S5487" i="10"/>
  <c r="Q5487" i="10"/>
  <c r="P5487" i="10"/>
  <c r="O5487" i="10"/>
  <c r="M5487" i="10"/>
  <c r="E5487" i="10"/>
  <c r="B5487" i="10"/>
  <c r="S5486" i="10"/>
  <c r="Q5486" i="10"/>
  <c r="P5486" i="10"/>
  <c r="O5486" i="10"/>
  <c r="M5486" i="10"/>
  <c r="E5486" i="10"/>
  <c r="B5486" i="10"/>
  <c r="S5485" i="10"/>
  <c r="Q5485" i="10"/>
  <c r="P5485" i="10"/>
  <c r="O5485" i="10"/>
  <c r="M5485" i="10"/>
  <c r="E5485" i="10"/>
  <c r="B5485" i="10"/>
  <c r="S5484" i="10"/>
  <c r="Q5484" i="10"/>
  <c r="P5484" i="10"/>
  <c r="O5484" i="10"/>
  <c r="M5484" i="10"/>
  <c r="E5484" i="10"/>
  <c r="B5484" i="10"/>
  <c r="S5483" i="10"/>
  <c r="Q5483" i="10"/>
  <c r="P5483" i="10"/>
  <c r="O5483" i="10"/>
  <c r="M5483" i="10"/>
  <c r="E5483" i="10"/>
  <c r="B5483" i="10"/>
  <c r="S5482" i="10"/>
  <c r="Q5482" i="10"/>
  <c r="P5482" i="10"/>
  <c r="O5482" i="10"/>
  <c r="M5482" i="10"/>
  <c r="E5482" i="10"/>
  <c r="B5482" i="10"/>
  <c r="S5481" i="10"/>
  <c r="Q5481" i="10"/>
  <c r="P5481" i="10"/>
  <c r="O5481" i="10"/>
  <c r="M5481" i="10"/>
  <c r="E5481" i="10"/>
  <c r="B5481" i="10"/>
  <c r="S5480" i="10"/>
  <c r="Q5480" i="10"/>
  <c r="P5480" i="10"/>
  <c r="O5480" i="10"/>
  <c r="M5480" i="10"/>
  <c r="E5480" i="10"/>
  <c r="B5480" i="10"/>
  <c r="S5479" i="10"/>
  <c r="Q5479" i="10"/>
  <c r="P5479" i="10"/>
  <c r="O5479" i="10"/>
  <c r="M5479" i="10"/>
  <c r="E5479" i="10"/>
  <c r="B5479" i="10"/>
  <c r="S5478" i="10"/>
  <c r="Q5478" i="10"/>
  <c r="P5478" i="10"/>
  <c r="O5478" i="10"/>
  <c r="M5478" i="10"/>
  <c r="E5478" i="10"/>
  <c r="B5478" i="10"/>
  <c r="S5477" i="10"/>
  <c r="Q5477" i="10"/>
  <c r="P5477" i="10"/>
  <c r="O5477" i="10"/>
  <c r="M5477" i="10"/>
  <c r="E5477" i="10"/>
  <c r="B5477" i="10"/>
  <c r="S5476" i="10"/>
  <c r="Q5476" i="10"/>
  <c r="P5476" i="10"/>
  <c r="O5476" i="10"/>
  <c r="M5476" i="10"/>
  <c r="E5476" i="10"/>
  <c r="B5476" i="10"/>
  <c r="S5475" i="10"/>
  <c r="Q5475" i="10"/>
  <c r="P5475" i="10"/>
  <c r="O5475" i="10"/>
  <c r="M5475" i="10"/>
  <c r="E5475" i="10"/>
  <c r="B5475" i="10"/>
  <c r="S5474" i="10"/>
  <c r="Q5474" i="10"/>
  <c r="P5474" i="10"/>
  <c r="O5474" i="10"/>
  <c r="M5474" i="10"/>
  <c r="E5474" i="10"/>
  <c r="B5474" i="10"/>
  <c r="S5473" i="10"/>
  <c r="Q5473" i="10"/>
  <c r="P5473" i="10"/>
  <c r="O5473" i="10"/>
  <c r="M5473" i="10"/>
  <c r="E5473" i="10"/>
  <c r="B5473" i="10"/>
  <c r="S5472" i="10"/>
  <c r="Q5472" i="10"/>
  <c r="P5472" i="10"/>
  <c r="O5472" i="10"/>
  <c r="M5472" i="10"/>
  <c r="E5472" i="10"/>
  <c r="B5472" i="10"/>
  <c r="S5471" i="10"/>
  <c r="Q5471" i="10"/>
  <c r="P5471" i="10"/>
  <c r="O5471" i="10"/>
  <c r="M5471" i="10"/>
  <c r="B5471" i="10"/>
  <c r="S5470" i="10"/>
  <c r="Q5470" i="10"/>
  <c r="P5470" i="10"/>
  <c r="O5470" i="10"/>
  <c r="M5470" i="10"/>
  <c r="B5470" i="10"/>
  <c r="S5469" i="10"/>
  <c r="Q5469" i="10"/>
  <c r="P5469" i="10"/>
  <c r="O5469" i="10"/>
  <c r="M5469" i="10"/>
  <c r="E5469" i="10"/>
  <c r="B5469" i="10"/>
  <c r="S5468" i="10"/>
  <c r="Q5468" i="10"/>
  <c r="P5468" i="10"/>
  <c r="O5468" i="10"/>
  <c r="M5468" i="10"/>
  <c r="E5468" i="10"/>
  <c r="B5468" i="10"/>
  <c r="S5467" i="10"/>
  <c r="Q5467" i="10"/>
  <c r="P5467" i="10"/>
  <c r="O5467" i="10"/>
  <c r="M5467" i="10"/>
  <c r="E5467" i="10"/>
  <c r="B5467" i="10"/>
  <c r="S5466" i="10"/>
  <c r="Q5466" i="10"/>
  <c r="P5466" i="10"/>
  <c r="O5466" i="10"/>
  <c r="M5466" i="10"/>
  <c r="E5466" i="10"/>
  <c r="B5466" i="10"/>
  <c r="S5465" i="10"/>
  <c r="Q5465" i="10"/>
  <c r="P5465" i="10"/>
  <c r="O5465" i="10"/>
  <c r="M5465" i="10"/>
  <c r="B5465" i="10"/>
  <c r="S5464" i="10"/>
  <c r="Q5464" i="10"/>
  <c r="P5464" i="10"/>
  <c r="O5464" i="10"/>
  <c r="M5464" i="10"/>
  <c r="E5464" i="10"/>
  <c r="B5464" i="10"/>
  <c r="S5463" i="10"/>
  <c r="Q5463" i="10"/>
  <c r="P5463" i="10"/>
  <c r="O5463" i="10"/>
  <c r="M5463" i="10"/>
  <c r="E5463" i="10"/>
  <c r="B5463" i="10"/>
  <c r="S5462" i="10"/>
  <c r="Q5462" i="10"/>
  <c r="P5462" i="10"/>
  <c r="O5462" i="10"/>
  <c r="M5462" i="10"/>
  <c r="E5462" i="10"/>
  <c r="B5462" i="10"/>
  <c r="S5461" i="10"/>
  <c r="Q5461" i="10"/>
  <c r="P5461" i="10"/>
  <c r="O5461" i="10"/>
  <c r="M5461" i="10"/>
  <c r="E5461" i="10"/>
  <c r="B5461" i="10"/>
  <c r="S5460" i="10"/>
  <c r="Q5460" i="10"/>
  <c r="P5460" i="10"/>
  <c r="O5460" i="10"/>
  <c r="M5460" i="10"/>
  <c r="E5460" i="10"/>
  <c r="B5460" i="10"/>
  <c r="S5459" i="10"/>
  <c r="Q5459" i="10"/>
  <c r="P5459" i="10"/>
  <c r="O5459" i="10"/>
  <c r="M5459" i="10"/>
  <c r="E5459" i="10"/>
  <c r="B5459" i="10"/>
  <c r="S5458" i="10"/>
  <c r="Q5458" i="10"/>
  <c r="P5458" i="10"/>
  <c r="O5458" i="10"/>
  <c r="M5458" i="10"/>
  <c r="E5458" i="10"/>
  <c r="B5458" i="10"/>
  <c r="S5457" i="10"/>
  <c r="Q5457" i="10"/>
  <c r="P5457" i="10"/>
  <c r="O5457" i="10"/>
  <c r="M5457" i="10"/>
  <c r="E5457" i="10"/>
  <c r="B5457" i="10"/>
  <c r="S5456" i="10"/>
  <c r="Q5456" i="10"/>
  <c r="P5456" i="10"/>
  <c r="O5456" i="10"/>
  <c r="M5456" i="10"/>
  <c r="E5456" i="10"/>
  <c r="B5456" i="10"/>
  <c r="S5455" i="10"/>
  <c r="Q5455" i="10"/>
  <c r="P5455" i="10"/>
  <c r="O5455" i="10"/>
  <c r="M5455" i="10"/>
  <c r="E5455" i="10"/>
  <c r="B5455" i="10"/>
  <c r="S5454" i="10"/>
  <c r="Q5454" i="10"/>
  <c r="P5454" i="10"/>
  <c r="O5454" i="10"/>
  <c r="M5454" i="10"/>
  <c r="E5454" i="10"/>
  <c r="B5454" i="10"/>
  <c r="S5453" i="10"/>
  <c r="Q5453" i="10"/>
  <c r="P5453" i="10"/>
  <c r="O5453" i="10"/>
  <c r="M5453" i="10"/>
  <c r="E5453" i="10"/>
  <c r="B5453" i="10"/>
  <c r="S5452" i="10"/>
  <c r="Q5452" i="10"/>
  <c r="P5452" i="10"/>
  <c r="O5452" i="10"/>
  <c r="M5452" i="10"/>
  <c r="E5452" i="10"/>
  <c r="B5452" i="10"/>
  <c r="S5451" i="10"/>
  <c r="Q5451" i="10"/>
  <c r="P5451" i="10"/>
  <c r="O5451" i="10"/>
  <c r="M5451" i="10"/>
  <c r="E5451" i="10"/>
  <c r="B5451" i="10"/>
  <c r="S5450" i="10"/>
  <c r="Q5450" i="10"/>
  <c r="P5450" i="10"/>
  <c r="O5450" i="10"/>
  <c r="M5450" i="10"/>
  <c r="E5450" i="10"/>
  <c r="B5450" i="10"/>
  <c r="S5449" i="10"/>
  <c r="Q5449" i="10"/>
  <c r="P5449" i="10"/>
  <c r="O5449" i="10"/>
  <c r="M5449" i="10"/>
  <c r="E5449" i="10"/>
  <c r="B5449" i="10"/>
  <c r="S5448" i="10"/>
  <c r="Q5448" i="10"/>
  <c r="P5448" i="10"/>
  <c r="O5448" i="10"/>
  <c r="M5448" i="10"/>
  <c r="E5448" i="10"/>
  <c r="B5448" i="10"/>
  <c r="S5447" i="10"/>
  <c r="Q5447" i="10"/>
  <c r="P5447" i="10"/>
  <c r="O5447" i="10"/>
  <c r="M5447" i="10"/>
  <c r="E5447" i="10"/>
  <c r="B5447" i="10"/>
  <c r="S5446" i="10"/>
  <c r="Q5446" i="10"/>
  <c r="P5446" i="10"/>
  <c r="O5446" i="10"/>
  <c r="M5446" i="10"/>
  <c r="E5446" i="10"/>
  <c r="B5446" i="10"/>
  <c r="S5445" i="10"/>
  <c r="Q5445" i="10"/>
  <c r="P5445" i="10"/>
  <c r="O5445" i="10"/>
  <c r="M5445" i="10"/>
  <c r="E5445" i="10"/>
  <c r="B5445" i="10"/>
  <c r="S5444" i="10"/>
  <c r="Q5444" i="10"/>
  <c r="P5444" i="10"/>
  <c r="O5444" i="10"/>
  <c r="M5444" i="10"/>
  <c r="E5444" i="10"/>
  <c r="B5444" i="10"/>
  <c r="S5443" i="10"/>
  <c r="Q5443" i="10"/>
  <c r="P5443" i="10"/>
  <c r="O5443" i="10"/>
  <c r="M5443" i="10"/>
  <c r="E5443" i="10"/>
  <c r="B5443" i="10"/>
  <c r="S5442" i="10"/>
  <c r="Q5442" i="10"/>
  <c r="P5442" i="10"/>
  <c r="O5442" i="10"/>
  <c r="M5442" i="10"/>
  <c r="E5442" i="10"/>
  <c r="B5442" i="10"/>
  <c r="S5441" i="10"/>
  <c r="Q5441" i="10"/>
  <c r="P5441" i="10"/>
  <c r="O5441" i="10"/>
  <c r="M5441" i="10"/>
  <c r="E5441" i="10"/>
  <c r="B5441" i="10"/>
  <c r="S5440" i="10"/>
  <c r="Q5440" i="10"/>
  <c r="P5440" i="10"/>
  <c r="O5440" i="10"/>
  <c r="M5440" i="10"/>
  <c r="E5440" i="10"/>
  <c r="B5440" i="10"/>
  <c r="S5439" i="10"/>
  <c r="Q5439" i="10"/>
  <c r="P5439" i="10"/>
  <c r="O5439" i="10"/>
  <c r="M5439" i="10"/>
  <c r="E5439" i="10"/>
  <c r="B5439" i="10"/>
  <c r="S5438" i="10"/>
  <c r="Q5438" i="10"/>
  <c r="P5438" i="10"/>
  <c r="O5438" i="10"/>
  <c r="M5438" i="10"/>
  <c r="E5438" i="10"/>
  <c r="B5438" i="10"/>
  <c r="S5437" i="10"/>
  <c r="Q5437" i="10"/>
  <c r="P5437" i="10"/>
  <c r="O5437" i="10"/>
  <c r="M5437" i="10"/>
  <c r="B5437" i="10"/>
  <c r="S5436" i="10"/>
  <c r="Q5436" i="10"/>
  <c r="P5436" i="10"/>
  <c r="O5436" i="10"/>
  <c r="M5436" i="10"/>
  <c r="E5436" i="10"/>
  <c r="B5436" i="10"/>
  <c r="S5435" i="10"/>
  <c r="Q5435" i="10"/>
  <c r="P5435" i="10"/>
  <c r="O5435" i="10"/>
  <c r="M5435" i="10"/>
  <c r="E5435" i="10"/>
  <c r="B5435" i="10"/>
  <c r="S5434" i="10"/>
  <c r="Q5434" i="10"/>
  <c r="P5434" i="10"/>
  <c r="O5434" i="10"/>
  <c r="M5434" i="10"/>
  <c r="E5434" i="10"/>
  <c r="B5434" i="10"/>
  <c r="S5433" i="10"/>
  <c r="Q5433" i="10"/>
  <c r="P5433" i="10"/>
  <c r="O5433" i="10"/>
  <c r="M5433" i="10"/>
  <c r="E5433" i="10"/>
  <c r="B5433" i="10"/>
  <c r="S5432" i="10"/>
  <c r="Q5432" i="10"/>
  <c r="P5432" i="10"/>
  <c r="O5432" i="10"/>
  <c r="M5432" i="10"/>
  <c r="B5432" i="10"/>
  <c r="S5431" i="10"/>
  <c r="Q5431" i="10"/>
  <c r="P5431" i="10"/>
  <c r="O5431" i="10"/>
  <c r="M5431" i="10"/>
  <c r="E5431" i="10"/>
  <c r="B5431" i="10"/>
  <c r="S5430" i="10"/>
  <c r="Q5430" i="10"/>
  <c r="P5430" i="10"/>
  <c r="O5430" i="10"/>
  <c r="M5430" i="10"/>
  <c r="E5430" i="10"/>
  <c r="B5430" i="10"/>
  <c r="S5429" i="10"/>
  <c r="Q5429" i="10"/>
  <c r="P5429" i="10"/>
  <c r="O5429" i="10"/>
  <c r="M5429" i="10"/>
  <c r="E5429" i="10"/>
  <c r="B5429" i="10"/>
  <c r="S5428" i="10"/>
  <c r="Q5428" i="10"/>
  <c r="P5428" i="10"/>
  <c r="O5428" i="10"/>
  <c r="M5428" i="10"/>
  <c r="E5428" i="10"/>
  <c r="B5428" i="10"/>
  <c r="S5427" i="10"/>
  <c r="Q5427" i="10"/>
  <c r="P5427" i="10"/>
  <c r="O5427" i="10"/>
  <c r="M5427" i="10"/>
  <c r="E5427" i="10"/>
  <c r="B5427" i="10"/>
  <c r="S5426" i="10"/>
  <c r="Q5426" i="10"/>
  <c r="P5426" i="10"/>
  <c r="O5426" i="10"/>
  <c r="M5426" i="10"/>
  <c r="E5426" i="10"/>
  <c r="B5426" i="10"/>
  <c r="S5425" i="10"/>
  <c r="Q5425" i="10"/>
  <c r="P5425" i="10"/>
  <c r="O5425" i="10"/>
  <c r="M5425" i="10"/>
  <c r="B5425" i="10"/>
  <c r="S5424" i="10"/>
  <c r="Q5424" i="10"/>
  <c r="P5424" i="10"/>
  <c r="O5424" i="10"/>
  <c r="M5424" i="10"/>
  <c r="E5424" i="10"/>
  <c r="B5424" i="10"/>
  <c r="S5423" i="10"/>
  <c r="Q5423" i="10"/>
  <c r="P5423" i="10"/>
  <c r="O5423" i="10"/>
  <c r="M5423" i="10"/>
  <c r="B5423" i="10"/>
  <c r="S5422" i="10"/>
  <c r="Q5422" i="10"/>
  <c r="P5422" i="10"/>
  <c r="O5422" i="10"/>
  <c r="M5422" i="10"/>
  <c r="E5422" i="10"/>
  <c r="B5422" i="10"/>
  <c r="S5421" i="10"/>
  <c r="Q5421" i="10"/>
  <c r="P5421" i="10"/>
  <c r="O5421" i="10"/>
  <c r="M5421" i="10"/>
  <c r="E5421" i="10"/>
  <c r="B5421" i="10"/>
  <c r="S5420" i="10"/>
  <c r="Q5420" i="10"/>
  <c r="P5420" i="10"/>
  <c r="O5420" i="10"/>
  <c r="M5420" i="10"/>
  <c r="E5420" i="10"/>
  <c r="B5420" i="10"/>
  <c r="S5419" i="10"/>
  <c r="Q5419" i="10"/>
  <c r="P5419" i="10"/>
  <c r="O5419" i="10"/>
  <c r="M5419" i="10"/>
  <c r="E5419" i="10"/>
  <c r="B5419" i="10"/>
  <c r="S5418" i="10"/>
  <c r="Q5418" i="10"/>
  <c r="P5418" i="10"/>
  <c r="O5418" i="10"/>
  <c r="M5418" i="10"/>
  <c r="E5418" i="10"/>
  <c r="B5418" i="10"/>
  <c r="S5417" i="10"/>
  <c r="Q5417" i="10"/>
  <c r="P5417" i="10"/>
  <c r="O5417" i="10"/>
  <c r="M5417" i="10"/>
  <c r="E5417" i="10"/>
  <c r="B5417" i="10"/>
  <c r="S5416" i="10"/>
  <c r="Q5416" i="10"/>
  <c r="P5416" i="10"/>
  <c r="O5416" i="10"/>
  <c r="M5416" i="10"/>
  <c r="E5416" i="10"/>
  <c r="B5416" i="10"/>
  <c r="S5415" i="10"/>
  <c r="Q5415" i="10"/>
  <c r="P5415" i="10"/>
  <c r="O5415" i="10"/>
  <c r="M5415" i="10"/>
  <c r="E5415" i="10"/>
  <c r="B5415" i="10"/>
  <c r="S5414" i="10"/>
  <c r="Q5414" i="10"/>
  <c r="P5414" i="10"/>
  <c r="O5414" i="10"/>
  <c r="M5414" i="10"/>
  <c r="B5414" i="10"/>
  <c r="S5413" i="10"/>
  <c r="Q5413" i="10"/>
  <c r="P5413" i="10"/>
  <c r="O5413" i="10"/>
  <c r="M5413" i="10"/>
  <c r="B5413" i="10"/>
  <c r="S5412" i="10"/>
  <c r="Q5412" i="10"/>
  <c r="P5412" i="10"/>
  <c r="O5412" i="10"/>
  <c r="M5412" i="10"/>
  <c r="E5412" i="10"/>
  <c r="B5412" i="10"/>
  <c r="S5411" i="10"/>
  <c r="Q5411" i="10"/>
  <c r="P5411" i="10"/>
  <c r="O5411" i="10"/>
  <c r="M5411" i="10"/>
  <c r="E5411" i="10"/>
  <c r="B5411" i="10"/>
  <c r="S5410" i="10"/>
  <c r="Q5410" i="10"/>
  <c r="P5410" i="10"/>
  <c r="O5410" i="10"/>
  <c r="M5410" i="10"/>
  <c r="E5410" i="10"/>
  <c r="B5410" i="10"/>
  <c r="S5409" i="10"/>
  <c r="Q5409" i="10"/>
  <c r="P5409" i="10"/>
  <c r="O5409" i="10"/>
  <c r="M5409" i="10"/>
  <c r="E5409" i="10"/>
  <c r="B5409" i="10"/>
  <c r="S5408" i="10"/>
  <c r="Q5408" i="10"/>
  <c r="P5408" i="10"/>
  <c r="O5408" i="10"/>
  <c r="M5408" i="10"/>
  <c r="E5408" i="10"/>
  <c r="B5408" i="10"/>
  <c r="S5407" i="10"/>
  <c r="Q5407" i="10"/>
  <c r="P5407" i="10"/>
  <c r="O5407" i="10"/>
  <c r="M5407" i="10"/>
  <c r="E5407" i="10"/>
  <c r="B5407" i="10"/>
  <c r="S5406" i="10"/>
  <c r="Q5406" i="10"/>
  <c r="P5406" i="10"/>
  <c r="O5406" i="10"/>
  <c r="M5406" i="10"/>
  <c r="E5406" i="10"/>
  <c r="B5406" i="10"/>
  <c r="S5405" i="10"/>
  <c r="Q5405" i="10"/>
  <c r="P5405" i="10"/>
  <c r="O5405" i="10"/>
  <c r="M5405" i="10"/>
  <c r="E5405" i="10"/>
  <c r="B5405" i="10"/>
  <c r="S5404" i="10"/>
  <c r="Q5404" i="10"/>
  <c r="P5404" i="10"/>
  <c r="O5404" i="10"/>
  <c r="M5404" i="10"/>
  <c r="E5404" i="10"/>
  <c r="B5404" i="10"/>
  <c r="S5403" i="10"/>
  <c r="Q5403" i="10"/>
  <c r="P5403" i="10"/>
  <c r="O5403" i="10"/>
  <c r="M5403" i="10"/>
  <c r="E5403" i="10"/>
  <c r="B5403" i="10"/>
  <c r="S5402" i="10"/>
  <c r="Q5402" i="10"/>
  <c r="P5402" i="10"/>
  <c r="O5402" i="10"/>
  <c r="M5402" i="10"/>
  <c r="B5402" i="10"/>
  <c r="S5401" i="10"/>
  <c r="Q5401" i="10"/>
  <c r="P5401" i="10"/>
  <c r="O5401" i="10"/>
  <c r="M5401" i="10"/>
  <c r="E5401" i="10"/>
  <c r="B5401" i="10"/>
  <c r="S5400" i="10"/>
  <c r="Q5400" i="10"/>
  <c r="P5400" i="10"/>
  <c r="O5400" i="10"/>
  <c r="M5400" i="10"/>
  <c r="E5400" i="10"/>
  <c r="B5400" i="10"/>
  <c r="S5399" i="10"/>
  <c r="Q5399" i="10"/>
  <c r="P5399" i="10"/>
  <c r="O5399" i="10"/>
  <c r="M5399" i="10"/>
  <c r="E5399" i="10"/>
  <c r="B5399" i="10"/>
  <c r="S5398" i="10"/>
  <c r="Q5398" i="10"/>
  <c r="P5398" i="10"/>
  <c r="O5398" i="10"/>
  <c r="M5398" i="10"/>
  <c r="B5398" i="10"/>
  <c r="S5397" i="10"/>
  <c r="Q5397" i="10"/>
  <c r="P5397" i="10"/>
  <c r="O5397" i="10"/>
  <c r="M5397" i="10"/>
  <c r="E5397" i="10"/>
  <c r="B5397" i="10"/>
  <c r="S5396" i="10"/>
  <c r="Q5396" i="10"/>
  <c r="P5396" i="10"/>
  <c r="O5396" i="10"/>
  <c r="M5396" i="10"/>
  <c r="E5396" i="10"/>
  <c r="B5396" i="10"/>
  <c r="S5395" i="10"/>
  <c r="Q5395" i="10"/>
  <c r="P5395" i="10"/>
  <c r="O5395" i="10"/>
  <c r="M5395" i="10"/>
  <c r="E5395" i="10"/>
  <c r="B5395" i="10"/>
  <c r="S5394" i="10"/>
  <c r="Q5394" i="10"/>
  <c r="P5394" i="10"/>
  <c r="O5394" i="10"/>
  <c r="M5394" i="10"/>
  <c r="E5394" i="10"/>
  <c r="B5394" i="10"/>
  <c r="S5393" i="10"/>
  <c r="Q5393" i="10"/>
  <c r="P5393" i="10"/>
  <c r="O5393" i="10"/>
  <c r="M5393" i="10"/>
  <c r="E5393" i="10"/>
  <c r="B5393" i="10"/>
  <c r="S5392" i="10"/>
  <c r="Q5392" i="10"/>
  <c r="P5392" i="10"/>
  <c r="O5392" i="10"/>
  <c r="M5392" i="10"/>
  <c r="E5392" i="10"/>
  <c r="B5392" i="10"/>
  <c r="S5391" i="10"/>
  <c r="Q5391" i="10"/>
  <c r="P5391" i="10"/>
  <c r="O5391" i="10"/>
  <c r="M5391" i="10"/>
  <c r="E5391" i="10"/>
  <c r="B5391" i="10"/>
  <c r="S5390" i="10"/>
  <c r="Q5390" i="10"/>
  <c r="P5390" i="10"/>
  <c r="O5390" i="10"/>
  <c r="M5390" i="10"/>
  <c r="E5390" i="10"/>
  <c r="B5390" i="10"/>
  <c r="S5389" i="10"/>
  <c r="Q5389" i="10"/>
  <c r="P5389" i="10"/>
  <c r="O5389" i="10"/>
  <c r="M5389" i="10"/>
  <c r="E5389" i="10"/>
  <c r="B5389" i="10"/>
  <c r="S5388" i="10"/>
  <c r="Q5388" i="10"/>
  <c r="P5388" i="10"/>
  <c r="O5388" i="10"/>
  <c r="M5388" i="10"/>
  <c r="B5388" i="10"/>
  <c r="S5387" i="10"/>
  <c r="Q5387" i="10"/>
  <c r="P5387" i="10"/>
  <c r="O5387" i="10"/>
  <c r="M5387" i="10"/>
  <c r="E5387" i="10"/>
  <c r="B5387" i="10"/>
  <c r="S5386" i="10"/>
  <c r="Q5386" i="10"/>
  <c r="P5386" i="10"/>
  <c r="O5386" i="10"/>
  <c r="M5386" i="10"/>
  <c r="E5386" i="10"/>
  <c r="B5386" i="10"/>
  <c r="S5385" i="10"/>
  <c r="Q5385" i="10"/>
  <c r="P5385" i="10"/>
  <c r="O5385" i="10"/>
  <c r="M5385" i="10"/>
  <c r="E5385" i="10"/>
  <c r="B5385" i="10"/>
  <c r="S5384" i="10"/>
  <c r="Q5384" i="10"/>
  <c r="P5384" i="10"/>
  <c r="O5384" i="10"/>
  <c r="M5384" i="10"/>
  <c r="E5384" i="10"/>
  <c r="B5384" i="10"/>
  <c r="S5383" i="10"/>
  <c r="Q5383" i="10"/>
  <c r="P5383" i="10"/>
  <c r="O5383" i="10"/>
  <c r="M5383" i="10"/>
  <c r="B5383" i="10"/>
  <c r="S5382" i="10"/>
  <c r="Q5382" i="10"/>
  <c r="P5382" i="10"/>
  <c r="O5382" i="10"/>
  <c r="M5382" i="10"/>
  <c r="E5382" i="10"/>
  <c r="B5382" i="10"/>
  <c r="S5381" i="10"/>
  <c r="Q5381" i="10"/>
  <c r="P5381" i="10"/>
  <c r="O5381" i="10"/>
  <c r="M5381" i="10"/>
  <c r="E5381" i="10"/>
  <c r="B5381" i="10"/>
  <c r="S5380" i="10"/>
  <c r="Q5380" i="10"/>
  <c r="P5380" i="10"/>
  <c r="O5380" i="10"/>
  <c r="M5380" i="10"/>
  <c r="E5380" i="10"/>
  <c r="B5380" i="10"/>
  <c r="S5379" i="10"/>
  <c r="Q5379" i="10"/>
  <c r="P5379" i="10"/>
  <c r="O5379" i="10"/>
  <c r="M5379" i="10"/>
  <c r="E5379" i="10"/>
  <c r="B5379" i="10"/>
  <c r="S5378" i="10"/>
  <c r="Q5378" i="10"/>
  <c r="P5378" i="10"/>
  <c r="O5378" i="10"/>
  <c r="M5378" i="10"/>
  <c r="E5378" i="10"/>
  <c r="B5378" i="10"/>
  <c r="S5377" i="10"/>
  <c r="Q5377" i="10"/>
  <c r="P5377" i="10"/>
  <c r="O5377" i="10"/>
  <c r="M5377" i="10"/>
  <c r="E5377" i="10"/>
  <c r="B5377" i="10"/>
  <c r="S5376" i="10"/>
  <c r="Q5376" i="10"/>
  <c r="P5376" i="10"/>
  <c r="O5376" i="10"/>
  <c r="M5376" i="10"/>
  <c r="E5376" i="10"/>
  <c r="B5376" i="10"/>
  <c r="S5375" i="10"/>
  <c r="Q5375" i="10"/>
  <c r="P5375" i="10"/>
  <c r="O5375" i="10"/>
  <c r="M5375" i="10"/>
  <c r="B5375" i="10"/>
  <c r="S5374" i="10"/>
  <c r="Q5374" i="10"/>
  <c r="P5374" i="10"/>
  <c r="O5374" i="10"/>
  <c r="M5374" i="10"/>
  <c r="E5374" i="10"/>
  <c r="B5374" i="10"/>
  <c r="S5373" i="10"/>
  <c r="Q5373" i="10"/>
  <c r="P5373" i="10"/>
  <c r="O5373" i="10"/>
  <c r="M5373" i="10"/>
  <c r="B5373" i="10"/>
  <c r="S5372" i="10"/>
  <c r="Q5372" i="10"/>
  <c r="P5372" i="10"/>
  <c r="O5372" i="10"/>
  <c r="M5372" i="10"/>
  <c r="E5372" i="10"/>
  <c r="B5372" i="10"/>
  <c r="S5371" i="10"/>
  <c r="Q5371" i="10"/>
  <c r="P5371" i="10"/>
  <c r="O5371" i="10"/>
  <c r="M5371" i="10"/>
  <c r="E5371" i="10"/>
  <c r="B5371" i="10"/>
  <c r="S5370" i="10"/>
  <c r="Q5370" i="10"/>
  <c r="P5370" i="10"/>
  <c r="O5370" i="10"/>
  <c r="M5370" i="10"/>
  <c r="E5370" i="10"/>
  <c r="B5370" i="10"/>
  <c r="S5369" i="10"/>
  <c r="Q5369" i="10"/>
  <c r="P5369" i="10"/>
  <c r="O5369" i="10"/>
  <c r="M5369" i="10"/>
  <c r="E5369" i="10"/>
  <c r="B5369" i="10"/>
  <c r="S5368" i="10"/>
  <c r="Q5368" i="10"/>
  <c r="P5368" i="10"/>
  <c r="O5368" i="10"/>
  <c r="M5368" i="10"/>
  <c r="E5368" i="10"/>
  <c r="B5368" i="10"/>
  <c r="S5367" i="10"/>
  <c r="Q5367" i="10"/>
  <c r="P5367" i="10"/>
  <c r="O5367" i="10"/>
  <c r="M5367" i="10"/>
  <c r="E5367" i="10"/>
  <c r="B5367" i="10"/>
  <c r="S5366" i="10"/>
  <c r="Q5366" i="10"/>
  <c r="P5366" i="10"/>
  <c r="O5366" i="10"/>
  <c r="M5366" i="10"/>
  <c r="E5366" i="10"/>
  <c r="B5366" i="10"/>
  <c r="S5365" i="10"/>
  <c r="Q5365" i="10"/>
  <c r="P5365" i="10"/>
  <c r="O5365" i="10"/>
  <c r="M5365" i="10"/>
  <c r="E5365" i="10"/>
  <c r="B5365" i="10"/>
  <c r="S5364" i="10"/>
  <c r="Q5364" i="10"/>
  <c r="P5364" i="10"/>
  <c r="O5364" i="10"/>
  <c r="M5364" i="10"/>
  <c r="E5364" i="10"/>
  <c r="B5364" i="10"/>
  <c r="S5363" i="10"/>
  <c r="Q5363" i="10"/>
  <c r="P5363" i="10"/>
  <c r="O5363" i="10"/>
  <c r="M5363" i="10"/>
  <c r="E5363" i="10"/>
  <c r="B5363" i="10"/>
  <c r="S5362" i="10"/>
  <c r="Q5362" i="10"/>
  <c r="P5362" i="10"/>
  <c r="O5362" i="10"/>
  <c r="M5362" i="10"/>
  <c r="E5362" i="10"/>
  <c r="B5362" i="10"/>
  <c r="S5361" i="10"/>
  <c r="Q5361" i="10"/>
  <c r="P5361" i="10"/>
  <c r="O5361" i="10"/>
  <c r="M5361" i="10"/>
  <c r="E5361" i="10"/>
  <c r="B5361" i="10"/>
  <c r="S5360" i="10"/>
  <c r="Q5360" i="10"/>
  <c r="P5360" i="10"/>
  <c r="O5360" i="10"/>
  <c r="M5360" i="10"/>
  <c r="E5360" i="10"/>
  <c r="B5360" i="10"/>
  <c r="S5359" i="10"/>
  <c r="Q5359" i="10"/>
  <c r="P5359" i="10"/>
  <c r="O5359" i="10"/>
  <c r="M5359" i="10"/>
  <c r="E5359" i="10"/>
  <c r="B5359" i="10"/>
  <c r="S5358" i="10"/>
  <c r="Q5358" i="10"/>
  <c r="P5358" i="10"/>
  <c r="O5358" i="10"/>
  <c r="M5358" i="10"/>
  <c r="E5358" i="10"/>
  <c r="B5358" i="10"/>
  <c r="S5357" i="10"/>
  <c r="Q5357" i="10"/>
  <c r="P5357" i="10"/>
  <c r="O5357" i="10"/>
  <c r="M5357" i="10"/>
  <c r="B5357" i="10"/>
  <c r="S5356" i="10"/>
  <c r="Q5356" i="10"/>
  <c r="P5356" i="10"/>
  <c r="O5356" i="10"/>
  <c r="M5356" i="10"/>
  <c r="E5356" i="10"/>
  <c r="B5356" i="10"/>
  <c r="S5355" i="10"/>
  <c r="Q5355" i="10"/>
  <c r="P5355" i="10"/>
  <c r="O5355" i="10"/>
  <c r="M5355" i="10"/>
  <c r="E5355" i="10"/>
  <c r="B5355" i="10"/>
  <c r="S5354" i="10"/>
  <c r="Q5354" i="10"/>
  <c r="P5354" i="10"/>
  <c r="O5354" i="10"/>
  <c r="M5354" i="10"/>
  <c r="E5354" i="10"/>
  <c r="B5354" i="10"/>
  <c r="S5353" i="10"/>
  <c r="Q5353" i="10"/>
  <c r="P5353" i="10"/>
  <c r="O5353" i="10"/>
  <c r="M5353" i="10"/>
  <c r="E5353" i="10"/>
  <c r="B5353" i="10"/>
  <c r="S5352" i="10"/>
  <c r="Q5352" i="10"/>
  <c r="P5352" i="10"/>
  <c r="O5352" i="10"/>
  <c r="M5352" i="10"/>
  <c r="E5352" i="10"/>
  <c r="B5352" i="10"/>
  <c r="S5351" i="10"/>
  <c r="Q5351" i="10"/>
  <c r="P5351" i="10"/>
  <c r="O5351" i="10"/>
  <c r="M5351" i="10"/>
  <c r="E5351" i="10"/>
  <c r="B5351" i="10"/>
  <c r="S5350" i="10"/>
  <c r="Q5350" i="10"/>
  <c r="P5350" i="10"/>
  <c r="O5350" i="10"/>
  <c r="M5350" i="10"/>
  <c r="E5350" i="10"/>
  <c r="B5350" i="10"/>
  <c r="S5349" i="10"/>
  <c r="Q5349" i="10"/>
  <c r="P5349" i="10"/>
  <c r="O5349" i="10"/>
  <c r="M5349" i="10"/>
  <c r="E5349" i="10"/>
  <c r="B5349" i="10"/>
  <c r="S5348" i="10"/>
  <c r="Q5348" i="10"/>
  <c r="P5348" i="10"/>
  <c r="O5348" i="10"/>
  <c r="M5348" i="10"/>
  <c r="E5348" i="10"/>
  <c r="B5348" i="10"/>
  <c r="S5347" i="10"/>
  <c r="Q5347" i="10"/>
  <c r="P5347" i="10"/>
  <c r="O5347" i="10"/>
  <c r="M5347" i="10"/>
  <c r="E5347" i="10"/>
  <c r="B5347" i="10"/>
  <c r="S5346" i="10"/>
  <c r="Q5346" i="10"/>
  <c r="P5346" i="10"/>
  <c r="O5346" i="10"/>
  <c r="M5346" i="10"/>
  <c r="E5346" i="10"/>
  <c r="B5346" i="10"/>
  <c r="S5345" i="10"/>
  <c r="Q5345" i="10"/>
  <c r="P5345" i="10"/>
  <c r="O5345" i="10"/>
  <c r="M5345" i="10"/>
  <c r="E5345" i="10"/>
  <c r="B5345" i="10"/>
  <c r="S5344" i="10"/>
  <c r="Q5344" i="10"/>
  <c r="P5344" i="10"/>
  <c r="O5344" i="10"/>
  <c r="M5344" i="10"/>
  <c r="E5344" i="10"/>
  <c r="B5344" i="10"/>
  <c r="S5343" i="10"/>
  <c r="Q5343" i="10"/>
  <c r="P5343" i="10"/>
  <c r="O5343" i="10"/>
  <c r="M5343" i="10"/>
  <c r="E5343" i="10"/>
  <c r="B5343" i="10"/>
  <c r="S5342" i="10"/>
  <c r="Q5342" i="10"/>
  <c r="P5342" i="10"/>
  <c r="O5342" i="10"/>
  <c r="M5342" i="10"/>
  <c r="E5342" i="10"/>
  <c r="B5342" i="10"/>
  <c r="S5341" i="10"/>
  <c r="Q5341" i="10"/>
  <c r="P5341" i="10"/>
  <c r="O5341" i="10"/>
  <c r="M5341" i="10"/>
  <c r="E5341" i="10"/>
  <c r="B5341" i="10"/>
  <c r="S5340" i="10"/>
  <c r="Q5340" i="10"/>
  <c r="P5340" i="10"/>
  <c r="O5340" i="10"/>
  <c r="M5340" i="10"/>
  <c r="E5340" i="10"/>
  <c r="B5340" i="10"/>
  <c r="S5339" i="10"/>
  <c r="Q5339" i="10"/>
  <c r="P5339" i="10"/>
  <c r="O5339" i="10"/>
  <c r="M5339" i="10"/>
  <c r="E5339" i="10"/>
  <c r="B5339" i="10"/>
  <c r="S5338" i="10"/>
  <c r="Q5338" i="10"/>
  <c r="P5338" i="10"/>
  <c r="O5338" i="10"/>
  <c r="M5338" i="10"/>
  <c r="E5338" i="10"/>
  <c r="B5338" i="10"/>
  <c r="S5337" i="10"/>
  <c r="Q5337" i="10"/>
  <c r="P5337" i="10"/>
  <c r="O5337" i="10"/>
  <c r="M5337" i="10"/>
  <c r="E5337" i="10"/>
  <c r="B5337" i="10"/>
  <c r="S5336" i="10"/>
  <c r="Q5336" i="10"/>
  <c r="P5336" i="10"/>
  <c r="O5336" i="10"/>
  <c r="M5336" i="10"/>
  <c r="E5336" i="10"/>
  <c r="B5336" i="10"/>
  <c r="S5335" i="10"/>
  <c r="Q5335" i="10"/>
  <c r="P5335" i="10"/>
  <c r="O5335" i="10"/>
  <c r="M5335" i="10"/>
  <c r="E5335" i="10"/>
  <c r="B5335" i="10"/>
  <c r="S5334" i="10"/>
  <c r="Q5334" i="10"/>
  <c r="P5334" i="10"/>
  <c r="O5334" i="10"/>
  <c r="M5334" i="10"/>
  <c r="E5334" i="10"/>
  <c r="B5334" i="10"/>
  <c r="S5333" i="10"/>
  <c r="Q5333" i="10"/>
  <c r="P5333" i="10"/>
  <c r="O5333" i="10"/>
  <c r="M5333" i="10"/>
  <c r="E5333" i="10"/>
  <c r="B5333" i="10"/>
  <c r="S5332" i="10"/>
  <c r="Q5332" i="10"/>
  <c r="P5332" i="10"/>
  <c r="O5332" i="10"/>
  <c r="M5332" i="10"/>
  <c r="E5332" i="10"/>
  <c r="B5332" i="10"/>
  <c r="S5331" i="10"/>
  <c r="Q5331" i="10"/>
  <c r="P5331" i="10"/>
  <c r="O5331" i="10"/>
  <c r="M5331" i="10"/>
  <c r="E5331" i="10"/>
  <c r="B5331" i="10"/>
  <c r="S5330" i="10"/>
  <c r="Q5330" i="10"/>
  <c r="P5330" i="10"/>
  <c r="O5330" i="10"/>
  <c r="M5330" i="10"/>
  <c r="E5330" i="10"/>
  <c r="B5330" i="10"/>
  <c r="S5329" i="10"/>
  <c r="Q5329" i="10"/>
  <c r="P5329" i="10"/>
  <c r="O5329" i="10"/>
  <c r="M5329" i="10"/>
  <c r="E5329" i="10"/>
  <c r="B5329" i="10"/>
  <c r="S5328" i="10"/>
  <c r="Q5328" i="10"/>
  <c r="P5328" i="10"/>
  <c r="O5328" i="10"/>
  <c r="M5328" i="10"/>
  <c r="E5328" i="10"/>
  <c r="B5328" i="10"/>
  <c r="S5327" i="10"/>
  <c r="Q5327" i="10"/>
  <c r="P5327" i="10"/>
  <c r="O5327" i="10"/>
  <c r="M5327" i="10"/>
  <c r="E5327" i="10"/>
  <c r="B5327" i="10"/>
  <c r="S5326" i="10"/>
  <c r="Q5326" i="10"/>
  <c r="P5326" i="10"/>
  <c r="O5326" i="10"/>
  <c r="M5326" i="10"/>
  <c r="E5326" i="10"/>
  <c r="B5326" i="10"/>
  <c r="S5325" i="10"/>
  <c r="Q5325" i="10"/>
  <c r="P5325" i="10"/>
  <c r="O5325" i="10"/>
  <c r="M5325" i="10"/>
  <c r="B5325" i="10"/>
  <c r="S5324" i="10"/>
  <c r="Q5324" i="10"/>
  <c r="P5324" i="10"/>
  <c r="O5324" i="10"/>
  <c r="M5324" i="10"/>
  <c r="B5324" i="10"/>
  <c r="S5323" i="10"/>
  <c r="Q5323" i="10"/>
  <c r="P5323" i="10"/>
  <c r="O5323" i="10"/>
  <c r="M5323" i="10"/>
  <c r="E5323" i="10"/>
  <c r="B5323" i="10"/>
  <c r="S5322" i="10"/>
  <c r="Q5322" i="10"/>
  <c r="P5322" i="10"/>
  <c r="O5322" i="10"/>
  <c r="M5322" i="10"/>
  <c r="E5322" i="10"/>
  <c r="B5322" i="10"/>
  <c r="S5321" i="10"/>
  <c r="Q5321" i="10"/>
  <c r="P5321" i="10"/>
  <c r="O5321" i="10"/>
  <c r="M5321" i="10"/>
  <c r="B5321" i="10"/>
  <c r="S5320" i="10"/>
  <c r="Q5320" i="10"/>
  <c r="P5320" i="10"/>
  <c r="O5320" i="10"/>
  <c r="M5320" i="10"/>
  <c r="E5320" i="10"/>
  <c r="B5320" i="10"/>
  <c r="S5319" i="10"/>
  <c r="Q5319" i="10"/>
  <c r="P5319" i="10"/>
  <c r="O5319" i="10"/>
  <c r="M5319" i="10"/>
  <c r="E5319" i="10"/>
  <c r="B5319" i="10"/>
  <c r="S5318" i="10"/>
  <c r="Q5318" i="10"/>
  <c r="P5318" i="10"/>
  <c r="O5318" i="10"/>
  <c r="M5318" i="10"/>
  <c r="E5318" i="10"/>
  <c r="B5318" i="10"/>
  <c r="S5317" i="10"/>
  <c r="Q5317" i="10"/>
  <c r="P5317" i="10"/>
  <c r="O5317" i="10"/>
  <c r="M5317" i="10"/>
  <c r="E5317" i="10"/>
  <c r="B5317" i="10"/>
  <c r="S5316" i="10"/>
  <c r="Q5316" i="10"/>
  <c r="P5316" i="10"/>
  <c r="O5316" i="10"/>
  <c r="M5316" i="10"/>
  <c r="E5316" i="10"/>
  <c r="B5316" i="10"/>
  <c r="S5315" i="10"/>
  <c r="Q5315" i="10"/>
  <c r="P5315" i="10"/>
  <c r="O5315" i="10"/>
  <c r="M5315" i="10"/>
  <c r="E5315" i="10"/>
  <c r="B5315" i="10"/>
  <c r="S5314" i="10"/>
  <c r="Q5314" i="10"/>
  <c r="P5314" i="10"/>
  <c r="O5314" i="10"/>
  <c r="M5314" i="10"/>
  <c r="E5314" i="10"/>
  <c r="B5314" i="10"/>
  <c r="S5313" i="10"/>
  <c r="Q5313" i="10"/>
  <c r="P5313" i="10"/>
  <c r="O5313" i="10"/>
  <c r="M5313" i="10"/>
  <c r="B5313" i="10"/>
  <c r="S5312" i="10"/>
  <c r="Q5312" i="10"/>
  <c r="P5312" i="10"/>
  <c r="O5312" i="10"/>
  <c r="M5312" i="10"/>
  <c r="E5312" i="10"/>
  <c r="B5312" i="10"/>
  <c r="S5311" i="10"/>
  <c r="Q5311" i="10"/>
  <c r="P5311" i="10"/>
  <c r="O5311" i="10"/>
  <c r="M5311" i="10"/>
  <c r="E5311" i="10"/>
  <c r="B5311" i="10"/>
  <c r="S5310" i="10"/>
  <c r="Q5310" i="10"/>
  <c r="P5310" i="10"/>
  <c r="O5310" i="10"/>
  <c r="M5310" i="10"/>
  <c r="E5310" i="10"/>
  <c r="B5310" i="10"/>
  <c r="S5309" i="10"/>
  <c r="Q5309" i="10"/>
  <c r="P5309" i="10"/>
  <c r="O5309" i="10"/>
  <c r="M5309" i="10"/>
  <c r="E5309" i="10"/>
  <c r="B5309" i="10"/>
  <c r="S5308" i="10"/>
  <c r="Q5308" i="10"/>
  <c r="P5308" i="10"/>
  <c r="O5308" i="10"/>
  <c r="M5308" i="10"/>
  <c r="E5308" i="10"/>
  <c r="B5308" i="10"/>
  <c r="S5307" i="10"/>
  <c r="Q5307" i="10"/>
  <c r="P5307" i="10"/>
  <c r="O5307" i="10"/>
  <c r="M5307" i="10"/>
  <c r="E5307" i="10"/>
  <c r="B5307" i="10"/>
  <c r="S5306" i="10"/>
  <c r="Q5306" i="10"/>
  <c r="P5306" i="10"/>
  <c r="O5306" i="10"/>
  <c r="M5306" i="10"/>
  <c r="E5306" i="10"/>
  <c r="B5306" i="10"/>
  <c r="S5305" i="10"/>
  <c r="Q5305" i="10"/>
  <c r="P5305" i="10"/>
  <c r="O5305" i="10"/>
  <c r="M5305" i="10"/>
  <c r="E5305" i="10"/>
  <c r="B5305" i="10"/>
  <c r="S5304" i="10"/>
  <c r="Q5304" i="10"/>
  <c r="P5304" i="10"/>
  <c r="O5304" i="10"/>
  <c r="M5304" i="10"/>
  <c r="E5304" i="10"/>
  <c r="B5304" i="10"/>
  <c r="S5303" i="10"/>
  <c r="Q5303" i="10"/>
  <c r="P5303" i="10"/>
  <c r="O5303" i="10"/>
  <c r="M5303" i="10"/>
  <c r="B5303" i="10"/>
  <c r="S5302" i="10"/>
  <c r="Q5302" i="10"/>
  <c r="P5302" i="10"/>
  <c r="O5302" i="10"/>
  <c r="M5302" i="10"/>
  <c r="E5302" i="10"/>
  <c r="B5302" i="10"/>
  <c r="S5301" i="10"/>
  <c r="Q5301" i="10"/>
  <c r="P5301" i="10"/>
  <c r="O5301" i="10"/>
  <c r="M5301" i="10"/>
  <c r="E5301" i="10"/>
  <c r="B5301" i="10"/>
  <c r="S5300" i="10"/>
  <c r="Q5300" i="10"/>
  <c r="P5300" i="10"/>
  <c r="O5300" i="10"/>
  <c r="M5300" i="10"/>
  <c r="E5300" i="10"/>
  <c r="B5300" i="10"/>
  <c r="S5299" i="10"/>
  <c r="Q5299" i="10"/>
  <c r="P5299" i="10"/>
  <c r="O5299" i="10"/>
  <c r="M5299" i="10"/>
  <c r="E5299" i="10"/>
  <c r="B5299" i="10"/>
  <c r="S5298" i="10"/>
  <c r="Q5298" i="10"/>
  <c r="P5298" i="10"/>
  <c r="O5298" i="10"/>
  <c r="M5298" i="10"/>
  <c r="E5298" i="10"/>
  <c r="B5298" i="10"/>
  <c r="S5297" i="10"/>
  <c r="Q5297" i="10"/>
  <c r="P5297" i="10"/>
  <c r="O5297" i="10"/>
  <c r="M5297" i="10"/>
  <c r="E5297" i="10"/>
  <c r="B5297" i="10"/>
  <c r="S5296" i="10"/>
  <c r="Q5296" i="10"/>
  <c r="P5296" i="10"/>
  <c r="O5296" i="10"/>
  <c r="M5296" i="10"/>
  <c r="E5296" i="10"/>
  <c r="B5296" i="10"/>
  <c r="S5295" i="10"/>
  <c r="Q5295" i="10"/>
  <c r="P5295" i="10"/>
  <c r="O5295" i="10"/>
  <c r="M5295" i="10"/>
  <c r="E5295" i="10"/>
  <c r="B5295" i="10"/>
  <c r="S5294" i="10"/>
  <c r="Q5294" i="10"/>
  <c r="P5294" i="10"/>
  <c r="O5294" i="10"/>
  <c r="M5294" i="10"/>
  <c r="E5294" i="10"/>
  <c r="B5294" i="10"/>
  <c r="S5293" i="10"/>
  <c r="Q5293" i="10"/>
  <c r="P5293" i="10"/>
  <c r="O5293" i="10"/>
  <c r="M5293" i="10"/>
  <c r="E5293" i="10"/>
  <c r="B5293" i="10"/>
  <c r="S5292" i="10"/>
  <c r="Q5292" i="10"/>
  <c r="P5292" i="10"/>
  <c r="O5292" i="10"/>
  <c r="M5292" i="10"/>
  <c r="E5292" i="10"/>
  <c r="B5292" i="10"/>
  <c r="S5291" i="10"/>
  <c r="Q5291" i="10"/>
  <c r="P5291" i="10"/>
  <c r="O5291" i="10"/>
  <c r="M5291" i="10"/>
  <c r="E5291" i="10"/>
  <c r="B5291" i="10"/>
  <c r="S5290" i="10"/>
  <c r="Q5290" i="10"/>
  <c r="P5290" i="10"/>
  <c r="O5290" i="10"/>
  <c r="M5290" i="10"/>
  <c r="E5290" i="10"/>
  <c r="B5290" i="10"/>
  <c r="S5289" i="10"/>
  <c r="Q5289" i="10"/>
  <c r="P5289" i="10"/>
  <c r="O5289" i="10"/>
  <c r="M5289" i="10"/>
  <c r="E5289" i="10"/>
  <c r="B5289" i="10"/>
  <c r="S5288" i="10"/>
  <c r="Q5288" i="10"/>
  <c r="P5288" i="10"/>
  <c r="O5288" i="10"/>
  <c r="M5288" i="10"/>
  <c r="B5288" i="10"/>
  <c r="S5287" i="10"/>
  <c r="Q5287" i="10"/>
  <c r="P5287" i="10"/>
  <c r="O5287" i="10"/>
  <c r="M5287" i="10"/>
  <c r="E5287" i="10"/>
  <c r="B5287" i="10"/>
  <c r="S5286" i="10"/>
  <c r="Q5286" i="10"/>
  <c r="P5286" i="10"/>
  <c r="O5286" i="10"/>
  <c r="M5286" i="10"/>
  <c r="E5286" i="10"/>
  <c r="B5286" i="10"/>
  <c r="S5285" i="10"/>
  <c r="Q5285" i="10"/>
  <c r="P5285" i="10"/>
  <c r="O5285" i="10"/>
  <c r="M5285" i="10"/>
  <c r="E5285" i="10"/>
  <c r="B5285" i="10"/>
  <c r="S5284" i="10"/>
  <c r="Q5284" i="10"/>
  <c r="P5284" i="10"/>
  <c r="O5284" i="10"/>
  <c r="M5284" i="10"/>
  <c r="E5284" i="10"/>
  <c r="B5284" i="10"/>
  <c r="S5283" i="10"/>
  <c r="Q5283" i="10"/>
  <c r="P5283" i="10"/>
  <c r="O5283" i="10"/>
  <c r="M5283" i="10"/>
  <c r="E5283" i="10"/>
  <c r="B5283" i="10"/>
  <c r="S5282" i="10"/>
  <c r="Q5282" i="10"/>
  <c r="P5282" i="10"/>
  <c r="O5282" i="10"/>
  <c r="M5282" i="10"/>
  <c r="B5282" i="10"/>
  <c r="S5281" i="10"/>
  <c r="Q5281" i="10"/>
  <c r="P5281" i="10"/>
  <c r="O5281" i="10"/>
  <c r="M5281" i="10"/>
  <c r="E5281" i="10"/>
  <c r="B5281" i="10"/>
  <c r="S5280" i="10"/>
  <c r="Q5280" i="10"/>
  <c r="P5280" i="10"/>
  <c r="O5280" i="10"/>
  <c r="M5280" i="10"/>
  <c r="E5280" i="10"/>
  <c r="B5280" i="10"/>
  <c r="S5279" i="10"/>
  <c r="Q5279" i="10"/>
  <c r="P5279" i="10"/>
  <c r="O5279" i="10"/>
  <c r="M5279" i="10"/>
  <c r="E5279" i="10"/>
  <c r="B5279" i="10"/>
  <c r="S5278" i="10"/>
  <c r="Q5278" i="10"/>
  <c r="P5278" i="10"/>
  <c r="O5278" i="10"/>
  <c r="M5278" i="10"/>
  <c r="E5278" i="10"/>
  <c r="B5278" i="10"/>
  <c r="S5277" i="10"/>
  <c r="Q5277" i="10"/>
  <c r="P5277" i="10"/>
  <c r="O5277" i="10"/>
  <c r="M5277" i="10"/>
  <c r="E5277" i="10"/>
  <c r="B5277" i="10"/>
  <c r="S5276" i="10"/>
  <c r="Q5276" i="10"/>
  <c r="P5276" i="10"/>
  <c r="O5276" i="10"/>
  <c r="M5276" i="10"/>
  <c r="E5276" i="10"/>
  <c r="B5276" i="10"/>
  <c r="S5275" i="10"/>
  <c r="Q5275" i="10"/>
  <c r="P5275" i="10"/>
  <c r="O5275" i="10"/>
  <c r="M5275" i="10"/>
  <c r="E5275" i="10"/>
  <c r="B5275" i="10"/>
  <c r="S5274" i="10"/>
  <c r="Q5274" i="10"/>
  <c r="P5274" i="10"/>
  <c r="O5274" i="10"/>
  <c r="M5274" i="10"/>
  <c r="B5274" i="10"/>
  <c r="S5273" i="10"/>
  <c r="Q5273" i="10"/>
  <c r="P5273" i="10"/>
  <c r="O5273" i="10"/>
  <c r="M5273" i="10"/>
  <c r="E5273" i="10"/>
  <c r="B5273" i="10"/>
  <c r="S5272" i="10"/>
  <c r="Q5272" i="10"/>
  <c r="P5272" i="10"/>
  <c r="O5272" i="10"/>
  <c r="M5272" i="10"/>
  <c r="B5272" i="10"/>
  <c r="S5271" i="10"/>
  <c r="Q5271" i="10"/>
  <c r="P5271" i="10"/>
  <c r="O5271" i="10"/>
  <c r="M5271" i="10"/>
  <c r="E5271" i="10"/>
  <c r="B5271" i="10"/>
  <c r="S5270" i="10"/>
  <c r="Q5270" i="10"/>
  <c r="P5270" i="10"/>
  <c r="O5270" i="10"/>
  <c r="M5270" i="10"/>
  <c r="B5270" i="10"/>
  <c r="S5269" i="10"/>
  <c r="Q5269" i="10"/>
  <c r="P5269" i="10"/>
  <c r="O5269" i="10"/>
  <c r="M5269" i="10"/>
  <c r="E5269" i="10"/>
  <c r="B5269" i="10"/>
  <c r="S5268" i="10"/>
  <c r="Q5268" i="10"/>
  <c r="P5268" i="10"/>
  <c r="O5268" i="10"/>
  <c r="M5268" i="10"/>
  <c r="E5268" i="10"/>
  <c r="B5268" i="10"/>
  <c r="S5267" i="10"/>
  <c r="Q5267" i="10"/>
  <c r="P5267" i="10"/>
  <c r="O5267" i="10"/>
  <c r="M5267" i="10"/>
  <c r="E5267" i="10"/>
  <c r="B5267" i="10"/>
  <c r="S5266" i="10"/>
  <c r="Q5266" i="10"/>
  <c r="P5266" i="10"/>
  <c r="O5266" i="10"/>
  <c r="M5266" i="10"/>
  <c r="E5266" i="10"/>
  <c r="B5266" i="10"/>
  <c r="S5265" i="10"/>
  <c r="Q5265" i="10"/>
  <c r="P5265" i="10"/>
  <c r="O5265" i="10"/>
  <c r="M5265" i="10"/>
  <c r="E5265" i="10"/>
  <c r="B5265" i="10"/>
  <c r="S5264" i="10"/>
  <c r="Q5264" i="10"/>
  <c r="P5264" i="10"/>
  <c r="O5264" i="10"/>
  <c r="M5264" i="10"/>
  <c r="E5264" i="10"/>
  <c r="B5264" i="10"/>
  <c r="S5263" i="10"/>
  <c r="Q5263" i="10"/>
  <c r="P5263" i="10"/>
  <c r="O5263" i="10"/>
  <c r="M5263" i="10"/>
  <c r="E5263" i="10"/>
  <c r="B5263" i="10"/>
  <c r="S5262" i="10"/>
  <c r="Q5262" i="10"/>
  <c r="P5262" i="10"/>
  <c r="O5262" i="10"/>
  <c r="M5262" i="10"/>
  <c r="E5262" i="10"/>
  <c r="B5262" i="10"/>
  <c r="S5261" i="10"/>
  <c r="Q5261" i="10"/>
  <c r="P5261" i="10"/>
  <c r="O5261" i="10"/>
  <c r="M5261" i="10"/>
  <c r="E5261" i="10"/>
  <c r="B5261" i="10"/>
  <c r="S5260" i="10"/>
  <c r="Q5260" i="10"/>
  <c r="P5260" i="10"/>
  <c r="O5260" i="10"/>
  <c r="M5260" i="10"/>
  <c r="E5260" i="10"/>
  <c r="B5260" i="10"/>
  <c r="S5259" i="10"/>
  <c r="Q5259" i="10"/>
  <c r="P5259" i="10"/>
  <c r="O5259" i="10"/>
  <c r="M5259" i="10"/>
  <c r="E5259" i="10"/>
  <c r="B5259" i="10"/>
  <c r="S5258" i="10"/>
  <c r="Q5258" i="10"/>
  <c r="P5258" i="10"/>
  <c r="O5258" i="10"/>
  <c r="M5258" i="10"/>
  <c r="E5258" i="10"/>
  <c r="B5258" i="10"/>
  <c r="S5257" i="10"/>
  <c r="Q5257" i="10"/>
  <c r="P5257" i="10"/>
  <c r="O5257" i="10"/>
  <c r="M5257" i="10"/>
  <c r="E5257" i="10"/>
  <c r="B5257" i="10"/>
  <c r="S5256" i="10"/>
  <c r="Q5256" i="10"/>
  <c r="P5256" i="10"/>
  <c r="O5256" i="10"/>
  <c r="M5256" i="10"/>
  <c r="E5256" i="10"/>
  <c r="B5256" i="10"/>
  <c r="S5255" i="10"/>
  <c r="Q5255" i="10"/>
  <c r="P5255" i="10"/>
  <c r="O5255" i="10"/>
  <c r="M5255" i="10"/>
  <c r="B5255" i="10"/>
  <c r="S5254" i="10"/>
  <c r="Q5254" i="10"/>
  <c r="P5254" i="10"/>
  <c r="O5254" i="10"/>
  <c r="M5254" i="10"/>
  <c r="E5254" i="10"/>
  <c r="B5254" i="10"/>
  <c r="S5253" i="10"/>
  <c r="Q5253" i="10"/>
  <c r="P5253" i="10"/>
  <c r="O5253" i="10"/>
  <c r="M5253" i="10"/>
  <c r="E5253" i="10"/>
  <c r="B5253" i="10"/>
  <c r="S5252" i="10"/>
  <c r="Q5252" i="10"/>
  <c r="P5252" i="10"/>
  <c r="O5252" i="10"/>
  <c r="M5252" i="10"/>
  <c r="E5252" i="10"/>
  <c r="B5252" i="10"/>
  <c r="S5251" i="10"/>
  <c r="Q5251" i="10"/>
  <c r="P5251" i="10"/>
  <c r="O5251" i="10"/>
  <c r="M5251" i="10"/>
  <c r="E5251" i="10"/>
  <c r="B5251" i="10"/>
  <c r="S5250" i="10"/>
  <c r="Q5250" i="10"/>
  <c r="P5250" i="10"/>
  <c r="O5250" i="10"/>
  <c r="M5250" i="10"/>
  <c r="B5250" i="10"/>
  <c r="S5249" i="10"/>
  <c r="Q5249" i="10"/>
  <c r="P5249" i="10"/>
  <c r="O5249" i="10"/>
  <c r="M5249" i="10"/>
  <c r="E5249" i="10"/>
  <c r="B5249" i="10"/>
  <c r="S5248" i="10"/>
  <c r="Q5248" i="10"/>
  <c r="P5248" i="10"/>
  <c r="O5248" i="10"/>
  <c r="M5248" i="10"/>
  <c r="B5248" i="10"/>
  <c r="S5247" i="10"/>
  <c r="Q5247" i="10"/>
  <c r="P5247" i="10"/>
  <c r="O5247" i="10"/>
  <c r="M5247" i="10"/>
  <c r="E5247" i="10"/>
  <c r="B5247" i="10"/>
  <c r="S5246" i="10"/>
  <c r="Q5246" i="10"/>
  <c r="P5246" i="10"/>
  <c r="O5246" i="10"/>
  <c r="M5246" i="10"/>
  <c r="E5246" i="10"/>
  <c r="B5246" i="10"/>
  <c r="S5245" i="10"/>
  <c r="Q5245" i="10"/>
  <c r="P5245" i="10"/>
  <c r="O5245" i="10"/>
  <c r="M5245" i="10"/>
  <c r="E5245" i="10"/>
  <c r="B5245" i="10"/>
  <c r="S5244" i="10"/>
  <c r="Q5244" i="10"/>
  <c r="P5244" i="10"/>
  <c r="O5244" i="10"/>
  <c r="M5244" i="10"/>
  <c r="E5244" i="10"/>
  <c r="B5244" i="10"/>
  <c r="S5243" i="10"/>
  <c r="Q5243" i="10"/>
  <c r="P5243" i="10"/>
  <c r="O5243" i="10"/>
  <c r="M5243" i="10"/>
  <c r="B5243" i="10"/>
  <c r="S5242" i="10"/>
  <c r="Q5242" i="10"/>
  <c r="P5242" i="10"/>
  <c r="O5242" i="10"/>
  <c r="M5242" i="10"/>
  <c r="E5242" i="10"/>
  <c r="B5242" i="10"/>
  <c r="S5241" i="10"/>
  <c r="Q5241" i="10"/>
  <c r="P5241" i="10"/>
  <c r="O5241" i="10"/>
  <c r="M5241" i="10"/>
  <c r="E5241" i="10"/>
  <c r="B5241" i="10"/>
  <c r="S5240" i="10"/>
  <c r="Q5240" i="10"/>
  <c r="P5240" i="10"/>
  <c r="O5240" i="10"/>
  <c r="M5240" i="10"/>
  <c r="E5240" i="10"/>
  <c r="B5240" i="10"/>
  <c r="S5239" i="10"/>
  <c r="Q5239" i="10"/>
  <c r="P5239" i="10"/>
  <c r="O5239" i="10"/>
  <c r="M5239" i="10"/>
  <c r="E5239" i="10"/>
  <c r="B5239" i="10"/>
  <c r="S5238" i="10"/>
  <c r="Q5238" i="10"/>
  <c r="P5238" i="10"/>
  <c r="O5238" i="10"/>
  <c r="M5238" i="10"/>
  <c r="E5238" i="10"/>
  <c r="B5238" i="10"/>
  <c r="S5237" i="10"/>
  <c r="Q5237" i="10"/>
  <c r="P5237" i="10"/>
  <c r="O5237" i="10"/>
  <c r="M5237" i="10"/>
  <c r="B5237" i="10"/>
  <c r="S5236" i="10"/>
  <c r="Q5236" i="10"/>
  <c r="P5236" i="10"/>
  <c r="O5236" i="10"/>
  <c r="M5236" i="10"/>
  <c r="E5236" i="10"/>
  <c r="B5236" i="10"/>
  <c r="S5235" i="10"/>
  <c r="Q5235" i="10"/>
  <c r="P5235" i="10"/>
  <c r="O5235" i="10"/>
  <c r="M5235" i="10"/>
  <c r="E5235" i="10"/>
  <c r="B5235" i="10"/>
  <c r="S5234" i="10"/>
  <c r="Q5234" i="10"/>
  <c r="P5234" i="10"/>
  <c r="O5234" i="10"/>
  <c r="M5234" i="10"/>
  <c r="E5234" i="10"/>
  <c r="B5234" i="10"/>
  <c r="S5233" i="10"/>
  <c r="Q5233" i="10"/>
  <c r="P5233" i="10"/>
  <c r="O5233" i="10"/>
  <c r="M5233" i="10"/>
  <c r="E5233" i="10"/>
  <c r="B5233" i="10"/>
  <c r="S5232" i="10"/>
  <c r="Q5232" i="10"/>
  <c r="P5232" i="10"/>
  <c r="O5232" i="10"/>
  <c r="M5232" i="10"/>
  <c r="E5232" i="10"/>
  <c r="B5232" i="10"/>
  <c r="S5231" i="10"/>
  <c r="Q5231" i="10"/>
  <c r="P5231" i="10"/>
  <c r="O5231" i="10"/>
  <c r="M5231" i="10"/>
  <c r="E5231" i="10"/>
  <c r="B5231" i="10"/>
  <c r="S5230" i="10"/>
  <c r="Q5230" i="10"/>
  <c r="P5230" i="10"/>
  <c r="O5230" i="10"/>
  <c r="M5230" i="10"/>
  <c r="E5230" i="10"/>
  <c r="B5230" i="10"/>
  <c r="S5229" i="10"/>
  <c r="Q5229" i="10"/>
  <c r="P5229" i="10"/>
  <c r="O5229" i="10"/>
  <c r="M5229" i="10"/>
  <c r="E5229" i="10"/>
  <c r="B5229" i="10"/>
  <c r="S5228" i="10"/>
  <c r="Q5228" i="10"/>
  <c r="P5228" i="10"/>
  <c r="O5228" i="10"/>
  <c r="M5228" i="10"/>
  <c r="E5228" i="10"/>
  <c r="B5228" i="10"/>
  <c r="S5227" i="10"/>
  <c r="Q5227" i="10"/>
  <c r="P5227" i="10"/>
  <c r="O5227" i="10"/>
  <c r="M5227" i="10"/>
  <c r="E5227" i="10"/>
  <c r="B5227" i="10"/>
  <c r="S5226" i="10"/>
  <c r="Q5226" i="10"/>
  <c r="P5226" i="10"/>
  <c r="O5226" i="10"/>
  <c r="M5226" i="10"/>
  <c r="E5226" i="10"/>
  <c r="B5226" i="10"/>
  <c r="S5225" i="10"/>
  <c r="Q5225" i="10"/>
  <c r="P5225" i="10"/>
  <c r="O5225" i="10"/>
  <c r="M5225" i="10"/>
  <c r="E5225" i="10"/>
  <c r="B5225" i="10"/>
  <c r="S5224" i="10"/>
  <c r="Q5224" i="10"/>
  <c r="P5224" i="10"/>
  <c r="O5224" i="10"/>
  <c r="M5224" i="10"/>
  <c r="E5224" i="10"/>
  <c r="B5224" i="10"/>
  <c r="S5223" i="10"/>
  <c r="Q5223" i="10"/>
  <c r="P5223" i="10"/>
  <c r="O5223" i="10"/>
  <c r="M5223" i="10"/>
  <c r="E5223" i="10"/>
  <c r="B5223" i="10"/>
  <c r="S5222" i="10"/>
  <c r="Q5222" i="10"/>
  <c r="P5222" i="10"/>
  <c r="O5222" i="10"/>
  <c r="M5222" i="10"/>
  <c r="E5222" i="10"/>
  <c r="B5222" i="10"/>
  <c r="S5221" i="10"/>
  <c r="Q5221" i="10"/>
  <c r="P5221" i="10"/>
  <c r="O5221" i="10"/>
  <c r="M5221" i="10"/>
  <c r="E5221" i="10"/>
  <c r="B5221" i="10"/>
  <c r="S5220" i="10"/>
  <c r="Q5220" i="10"/>
  <c r="P5220" i="10"/>
  <c r="O5220" i="10"/>
  <c r="M5220" i="10"/>
  <c r="B5220" i="10"/>
  <c r="S5219" i="10"/>
  <c r="Q5219" i="10"/>
  <c r="P5219" i="10"/>
  <c r="O5219" i="10"/>
  <c r="M5219" i="10"/>
  <c r="E5219" i="10"/>
  <c r="B5219" i="10"/>
  <c r="S5218" i="10"/>
  <c r="Q5218" i="10"/>
  <c r="P5218" i="10"/>
  <c r="O5218" i="10"/>
  <c r="M5218" i="10"/>
  <c r="E5218" i="10"/>
  <c r="B5218" i="10"/>
  <c r="S5217" i="10"/>
  <c r="Q5217" i="10"/>
  <c r="P5217" i="10"/>
  <c r="O5217" i="10"/>
  <c r="M5217" i="10"/>
  <c r="E5217" i="10"/>
  <c r="B5217" i="10"/>
  <c r="S5216" i="10"/>
  <c r="Q5216" i="10"/>
  <c r="P5216" i="10"/>
  <c r="O5216" i="10"/>
  <c r="M5216" i="10"/>
  <c r="E5216" i="10"/>
  <c r="B5216" i="10"/>
  <c r="S5215" i="10"/>
  <c r="Q5215" i="10"/>
  <c r="P5215" i="10"/>
  <c r="O5215" i="10"/>
  <c r="M5215" i="10"/>
  <c r="B5215" i="10"/>
  <c r="S5214" i="10"/>
  <c r="Q5214" i="10"/>
  <c r="P5214" i="10"/>
  <c r="O5214" i="10"/>
  <c r="M5214" i="10"/>
  <c r="E5214" i="10"/>
  <c r="B5214" i="10"/>
  <c r="S5213" i="10"/>
  <c r="Q5213" i="10"/>
  <c r="P5213" i="10"/>
  <c r="O5213" i="10"/>
  <c r="M5213" i="10"/>
  <c r="E5213" i="10"/>
  <c r="B5213" i="10"/>
  <c r="S5212" i="10"/>
  <c r="Q5212" i="10"/>
  <c r="P5212" i="10"/>
  <c r="O5212" i="10"/>
  <c r="M5212" i="10"/>
  <c r="B5212" i="10"/>
  <c r="S5211" i="10"/>
  <c r="Q5211" i="10"/>
  <c r="P5211" i="10"/>
  <c r="O5211" i="10"/>
  <c r="M5211" i="10"/>
  <c r="E5211" i="10"/>
  <c r="B5211" i="10"/>
  <c r="S5210" i="10"/>
  <c r="Q5210" i="10"/>
  <c r="P5210" i="10"/>
  <c r="O5210" i="10"/>
  <c r="M5210" i="10"/>
  <c r="E5210" i="10"/>
  <c r="B5210" i="10"/>
  <c r="S5209" i="10"/>
  <c r="Q5209" i="10"/>
  <c r="P5209" i="10"/>
  <c r="O5209" i="10"/>
  <c r="M5209" i="10"/>
  <c r="E5209" i="10"/>
  <c r="B5209" i="10"/>
  <c r="S5208" i="10"/>
  <c r="Q5208" i="10"/>
  <c r="P5208" i="10"/>
  <c r="O5208" i="10"/>
  <c r="M5208" i="10"/>
  <c r="E5208" i="10"/>
  <c r="B5208" i="10"/>
  <c r="S5207" i="10"/>
  <c r="Q5207" i="10"/>
  <c r="P5207" i="10"/>
  <c r="O5207" i="10"/>
  <c r="M5207" i="10"/>
  <c r="E5207" i="10"/>
  <c r="B5207" i="10"/>
  <c r="S5206" i="10"/>
  <c r="Q5206" i="10"/>
  <c r="P5206" i="10"/>
  <c r="O5206" i="10"/>
  <c r="M5206" i="10"/>
  <c r="E5206" i="10"/>
  <c r="B5206" i="10"/>
  <c r="S5205" i="10"/>
  <c r="Q5205" i="10"/>
  <c r="P5205" i="10"/>
  <c r="O5205" i="10"/>
  <c r="M5205" i="10"/>
  <c r="E5205" i="10"/>
  <c r="B5205" i="10"/>
  <c r="S5204" i="10"/>
  <c r="Q5204" i="10"/>
  <c r="P5204" i="10"/>
  <c r="O5204" i="10"/>
  <c r="M5204" i="10"/>
  <c r="E5204" i="10"/>
  <c r="B5204" i="10"/>
  <c r="S5203" i="10"/>
  <c r="Q5203" i="10"/>
  <c r="P5203" i="10"/>
  <c r="O5203" i="10"/>
  <c r="M5203" i="10"/>
  <c r="E5203" i="10"/>
  <c r="B5203" i="10"/>
  <c r="S5202" i="10"/>
  <c r="Q5202" i="10"/>
  <c r="P5202" i="10"/>
  <c r="O5202" i="10"/>
  <c r="M5202" i="10"/>
  <c r="E5202" i="10"/>
  <c r="B5202" i="10"/>
  <c r="S5201" i="10"/>
  <c r="Q5201" i="10"/>
  <c r="P5201" i="10"/>
  <c r="O5201" i="10"/>
  <c r="M5201" i="10"/>
  <c r="E5201" i="10"/>
  <c r="B5201" i="10"/>
  <c r="S5200" i="10"/>
  <c r="Q5200" i="10"/>
  <c r="P5200" i="10"/>
  <c r="O5200" i="10"/>
  <c r="M5200" i="10"/>
  <c r="E5200" i="10"/>
  <c r="B5200" i="10"/>
  <c r="S5199" i="10"/>
  <c r="Q5199" i="10"/>
  <c r="P5199" i="10"/>
  <c r="O5199" i="10"/>
  <c r="M5199" i="10"/>
  <c r="E5199" i="10"/>
  <c r="B5199" i="10"/>
  <c r="S5198" i="10"/>
  <c r="Q5198" i="10"/>
  <c r="P5198" i="10"/>
  <c r="O5198" i="10"/>
  <c r="M5198" i="10"/>
  <c r="E5198" i="10"/>
  <c r="B5198" i="10"/>
  <c r="S5197" i="10"/>
  <c r="Q5197" i="10"/>
  <c r="P5197" i="10"/>
  <c r="O5197" i="10"/>
  <c r="M5197" i="10"/>
  <c r="E5197" i="10"/>
  <c r="B5197" i="10"/>
  <c r="S5196" i="10"/>
  <c r="Q5196" i="10"/>
  <c r="P5196" i="10"/>
  <c r="O5196" i="10"/>
  <c r="M5196" i="10"/>
  <c r="E5196" i="10"/>
  <c r="B5196" i="10"/>
  <c r="S5195" i="10"/>
  <c r="Q5195" i="10"/>
  <c r="P5195" i="10"/>
  <c r="O5195" i="10"/>
  <c r="M5195" i="10"/>
  <c r="E5195" i="10"/>
  <c r="B5195" i="10"/>
  <c r="S5194" i="10"/>
  <c r="Q5194" i="10"/>
  <c r="P5194" i="10"/>
  <c r="O5194" i="10"/>
  <c r="M5194" i="10"/>
  <c r="E5194" i="10"/>
  <c r="B5194" i="10"/>
  <c r="S5193" i="10"/>
  <c r="Q5193" i="10"/>
  <c r="P5193" i="10"/>
  <c r="O5193" i="10"/>
  <c r="M5193" i="10"/>
  <c r="E5193" i="10"/>
  <c r="B5193" i="10"/>
  <c r="S5192" i="10"/>
  <c r="Q5192" i="10"/>
  <c r="P5192" i="10"/>
  <c r="O5192" i="10"/>
  <c r="M5192" i="10"/>
  <c r="E5192" i="10"/>
  <c r="B5192" i="10"/>
  <c r="S5191" i="10"/>
  <c r="Q5191" i="10"/>
  <c r="P5191" i="10"/>
  <c r="O5191" i="10"/>
  <c r="M5191" i="10"/>
  <c r="E5191" i="10"/>
  <c r="B5191" i="10"/>
  <c r="S5190" i="10"/>
  <c r="Q5190" i="10"/>
  <c r="P5190" i="10"/>
  <c r="O5190" i="10"/>
  <c r="M5190" i="10"/>
  <c r="E5190" i="10"/>
  <c r="B5190" i="10"/>
  <c r="S5189" i="10"/>
  <c r="Q5189" i="10"/>
  <c r="P5189" i="10"/>
  <c r="O5189" i="10"/>
  <c r="M5189" i="10"/>
  <c r="E5189" i="10"/>
  <c r="B5189" i="10"/>
  <c r="S5188" i="10"/>
  <c r="Q5188" i="10"/>
  <c r="P5188" i="10"/>
  <c r="O5188" i="10"/>
  <c r="M5188" i="10"/>
  <c r="E5188" i="10"/>
  <c r="B5188" i="10"/>
  <c r="S5187" i="10"/>
  <c r="Q5187" i="10"/>
  <c r="P5187" i="10"/>
  <c r="O5187" i="10"/>
  <c r="M5187" i="10"/>
  <c r="B5187" i="10"/>
  <c r="S5186" i="10"/>
  <c r="Q5186" i="10"/>
  <c r="P5186" i="10"/>
  <c r="O5186" i="10"/>
  <c r="M5186" i="10"/>
  <c r="E5186" i="10"/>
  <c r="B5186" i="10"/>
  <c r="S5185" i="10"/>
  <c r="Q5185" i="10"/>
  <c r="P5185" i="10"/>
  <c r="O5185" i="10"/>
  <c r="M5185" i="10"/>
  <c r="B5185" i="10"/>
  <c r="S5184" i="10"/>
  <c r="Q5184" i="10"/>
  <c r="P5184" i="10"/>
  <c r="O5184" i="10"/>
  <c r="M5184" i="10"/>
  <c r="E5184" i="10"/>
  <c r="B5184" i="10"/>
  <c r="S5183" i="10"/>
  <c r="Q5183" i="10"/>
  <c r="P5183" i="10"/>
  <c r="O5183" i="10"/>
  <c r="M5183" i="10"/>
  <c r="E5183" i="10"/>
  <c r="B5183" i="10"/>
  <c r="S5182" i="10"/>
  <c r="Q5182" i="10"/>
  <c r="P5182" i="10"/>
  <c r="O5182" i="10"/>
  <c r="M5182" i="10"/>
  <c r="E5182" i="10"/>
  <c r="B5182" i="10"/>
  <c r="S5181" i="10"/>
  <c r="Q5181" i="10"/>
  <c r="P5181" i="10"/>
  <c r="O5181" i="10"/>
  <c r="M5181" i="10"/>
  <c r="E5181" i="10"/>
  <c r="B5181" i="10"/>
  <c r="S5180" i="10"/>
  <c r="Q5180" i="10"/>
  <c r="P5180" i="10"/>
  <c r="O5180" i="10"/>
  <c r="M5180" i="10"/>
  <c r="E5180" i="10"/>
  <c r="B5180" i="10"/>
  <c r="S5179" i="10"/>
  <c r="Q5179" i="10"/>
  <c r="P5179" i="10"/>
  <c r="O5179" i="10"/>
  <c r="M5179" i="10"/>
  <c r="E5179" i="10"/>
  <c r="B5179" i="10"/>
  <c r="S5178" i="10"/>
  <c r="Q5178" i="10"/>
  <c r="P5178" i="10"/>
  <c r="O5178" i="10"/>
  <c r="M5178" i="10"/>
  <c r="E5178" i="10"/>
  <c r="B5178" i="10"/>
  <c r="S5177" i="10"/>
  <c r="Q5177" i="10"/>
  <c r="P5177" i="10"/>
  <c r="O5177" i="10"/>
  <c r="M5177" i="10"/>
  <c r="E5177" i="10"/>
  <c r="B5177" i="10"/>
  <c r="S5176" i="10"/>
  <c r="Q5176" i="10"/>
  <c r="P5176" i="10"/>
  <c r="O5176" i="10"/>
  <c r="M5176" i="10"/>
  <c r="E5176" i="10"/>
  <c r="B5176" i="10"/>
  <c r="S5175" i="10"/>
  <c r="Q5175" i="10"/>
  <c r="P5175" i="10"/>
  <c r="O5175" i="10"/>
  <c r="M5175" i="10"/>
  <c r="E5175" i="10"/>
  <c r="B5175" i="10"/>
  <c r="S5174" i="10"/>
  <c r="Q5174" i="10"/>
  <c r="P5174" i="10"/>
  <c r="O5174" i="10"/>
  <c r="M5174" i="10"/>
  <c r="E5174" i="10"/>
  <c r="B5174" i="10"/>
  <c r="S5173" i="10"/>
  <c r="Q5173" i="10"/>
  <c r="P5173" i="10"/>
  <c r="O5173" i="10"/>
  <c r="M5173" i="10"/>
  <c r="E5173" i="10"/>
  <c r="B5173" i="10"/>
  <c r="S5172" i="10"/>
  <c r="Q5172" i="10"/>
  <c r="P5172" i="10"/>
  <c r="O5172" i="10"/>
  <c r="M5172" i="10"/>
  <c r="E5172" i="10"/>
  <c r="B5172" i="10"/>
  <c r="S5171" i="10"/>
  <c r="Q5171" i="10"/>
  <c r="P5171" i="10"/>
  <c r="O5171" i="10"/>
  <c r="M5171" i="10"/>
  <c r="E5171" i="10"/>
  <c r="B5171" i="10"/>
  <c r="S5170" i="10"/>
  <c r="Q5170" i="10"/>
  <c r="P5170" i="10"/>
  <c r="O5170" i="10"/>
  <c r="M5170" i="10"/>
  <c r="E5170" i="10"/>
  <c r="B5170" i="10"/>
  <c r="S5169" i="10"/>
  <c r="Q5169" i="10"/>
  <c r="P5169" i="10"/>
  <c r="O5169" i="10"/>
  <c r="M5169" i="10"/>
  <c r="E5169" i="10"/>
  <c r="B5169" i="10"/>
  <c r="S5168" i="10"/>
  <c r="Q5168" i="10"/>
  <c r="P5168" i="10"/>
  <c r="O5168" i="10"/>
  <c r="M5168" i="10"/>
  <c r="E5168" i="10"/>
  <c r="B5168" i="10"/>
  <c r="S5167" i="10"/>
  <c r="Q5167" i="10"/>
  <c r="P5167" i="10"/>
  <c r="O5167" i="10"/>
  <c r="M5167" i="10"/>
  <c r="E5167" i="10"/>
  <c r="B5167" i="10"/>
  <c r="S5166" i="10"/>
  <c r="Q5166" i="10"/>
  <c r="P5166" i="10"/>
  <c r="O5166" i="10"/>
  <c r="M5166" i="10"/>
  <c r="E5166" i="10"/>
  <c r="B5166" i="10"/>
  <c r="S5165" i="10"/>
  <c r="Q5165" i="10"/>
  <c r="P5165" i="10"/>
  <c r="O5165" i="10"/>
  <c r="M5165" i="10"/>
  <c r="E5165" i="10"/>
  <c r="B5165" i="10"/>
  <c r="S5164" i="10"/>
  <c r="Q5164" i="10"/>
  <c r="P5164" i="10"/>
  <c r="O5164" i="10"/>
  <c r="M5164" i="10"/>
  <c r="B5164" i="10"/>
  <c r="S5163" i="10"/>
  <c r="Q5163" i="10"/>
  <c r="P5163" i="10"/>
  <c r="O5163" i="10"/>
  <c r="M5163" i="10"/>
  <c r="B5163" i="10"/>
  <c r="S5162" i="10"/>
  <c r="Q5162" i="10"/>
  <c r="P5162" i="10"/>
  <c r="O5162" i="10"/>
  <c r="M5162" i="10"/>
  <c r="E5162" i="10"/>
  <c r="B5162" i="10"/>
  <c r="S5161" i="10"/>
  <c r="Q5161" i="10"/>
  <c r="P5161" i="10"/>
  <c r="O5161" i="10"/>
  <c r="M5161" i="10"/>
  <c r="E5161" i="10"/>
  <c r="B5161" i="10"/>
  <c r="S5160" i="10"/>
  <c r="Q5160" i="10"/>
  <c r="P5160" i="10"/>
  <c r="O5160" i="10"/>
  <c r="M5160" i="10"/>
  <c r="E5160" i="10"/>
  <c r="B5160" i="10"/>
  <c r="S5159" i="10"/>
  <c r="Q5159" i="10"/>
  <c r="P5159" i="10"/>
  <c r="O5159" i="10"/>
  <c r="M5159" i="10"/>
  <c r="E5159" i="10"/>
  <c r="B5159" i="10"/>
  <c r="S5158" i="10"/>
  <c r="Q5158" i="10"/>
  <c r="P5158" i="10"/>
  <c r="O5158" i="10"/>
  <c r="M5158" i="10"/>
  <c r="E5158" i="10"/>
  <c r="B5158" i="10"/>
  <c r="S5157" i="10"/>
  <c r="Q5157" i="10"/>
  <c r="P5157" i="10"/>
  <c r="O5157" i="10"/>
  <c r="M5157" i="10"/>
  <c r="E5157" i="10"/>
  <c r="B5157" i="10"/>
  <c r="S5156" i="10"/>
  <c r="Q5156" i="10"/>
  <c r="P5156" i="10"/>
  <c r="O5156" i="10"/>
  <c r="M5156" i="10"/>
  <c r="E5156" i="10"/>
  <c r="B5156" i="10"/>
  <c r="S5155" i="10"/>
  <c r="Q5155" i="10"/>
  <c r="P5155" i="10"/>
  <c r="O5155" i="10"/>
  <c r="M5155" i="10"/>
  <c r="E5155" i="10"/>
  <c r="B5155" i="10"/>
  <c r="S5154" i="10"/>
  <c r="Q5154" i="10"/>
  <c r="P5154" i="10"/>
  <c r="O5154" i="10"/>
  <c r="M5154" i="10"/>
  <c r="E5154" i="10"/>
  <c r="B5154" i="10"/>
  <c r="S5153" i="10"/>
  <c r="Q5153" i="10"/>
  <c r="P5153" i="10"/>
  <c r="O5153" i="10"/>
  <c r="M5153" i="10"/>
  <c r="E5153" i="10"/>
  <c r="B5153" i="10"/>
  <c r="S5152" i="10"/>
  <c r="Q5152" i="10"/>
  <c r="P5152" i="10"/>
  <c r="O5152" i="10"/>
  <c r="M5152" i="10"/>
  <c r="E5152" i="10"/>
  <c r="B5152" i="10"/>
  <c r="S5151" i="10"/>
  <c r="Q5151" i="10"/>
  <c r="P5151" i="10"/>
  <c r="O5151" i="10"/>
  <c r="M5151" i="10"/>
  <c r="E5151" i="10"/>
  <c r="B5151" i="10"/>
  <c r="S5150" i="10"/>
  <c r="Q5150" i="10"/>
  <c r="P5150" i="10"/>
  <c r="O5150" i="10"/>
  <c r="M5150" i="10"/>
  <c r="E5150" i="10"/>
  <c r="B5150" i="10"/>
  <c r="S5149" i="10"/>
  <c r="Q5149" i="10"/>
  <c r="P5149" i="10"/>
  <c r="O5149" i="10"/>
  <c r="M5149" i="10"/>
  <c r="E5149" i="10"/>
  <c r="B5149" i="10"/>
  <c r="S5148" i="10"/>
  <c r="Q5148" i="10"/>
  <c r="P5148" i="10"/>
  <c r="O5148" i="10"/>
  <c r="M5148" i="10"/>
  <c r="E5148" i="10"/>
  <c r="B5148" i="10"/>
  <c r="S5147" i="10"/>
  <c r="Q5147" i="10"/>
  <c r="P5147" i="10"/>
  <c r="O5147" i="10"/>
  <c r="M5147" i="10"/>
  <c r="E5147" i="10"/>
  <c r="B5147" i="10"/>
  <c r="S5146" i="10"/>
  <c r="Q5146" i="10"/>
  <c r="P5146" i="10"/>
  <c r="O5146" i="10"/>
  <c r="M5146" i="10"/>
  <c r="E5146" i="10"/>
  <c r="B5146" i="10"/>
  <c r="S5145" i="10"/>
  <c r="Q5145" i="10"/>
  <c r="P5145" i="10"/>
  <c r="O5145" i="10"/>
  <c r="M5145" i="10"/>
  <c r="E5145" i="10"/>
  <c r="B5145" i="10"/>
  <c r="S5144" i="10"/>
  <c r="Q5144" i="10"/>
  <c r="P5144" i="10"/>
  <c r="O5144" i="10"/>
  <c r="M5144" i="10"/>
  <c r="E5144" i="10"/>
  <c r="B5144" i="10"/>
  <c r="S5143" i="10"/>
  <c r="Q5143" i="10"/>
  <c r="P5143" i="10"/>
  <c r="O5143" i="10"/>
  <c r="M5143" i="10"/>
  <c r="E5143" i="10"/>
  <c r="B5143" i="10"/>
  <c r="S5142" i="10"/>
  <c r="Q5142" i="10"/>
  <c r="P5142" i="10"/>
  <c r="O5142" i="10"/>
  <c r="M5142" i="10"/>
  <c r="E5142" i="10"/>
  <c r="B5142" i="10"/>
  <c r="S5141" i="10"/>
  <c r="Q5141" i="10"/>
  <c r="P5141" i="10"/>
  <c r="O5141" i="10"/>
  <c r="M5141" i="10"/>
  <c r="E5141" i="10"/>
  <c r="B5141" i="10"/>
  <c r="S5140" i="10"/>
  <c r="Q5140" i="10"/>
  <c r="P5140" i="10"/>
  <c r="O5140" i="10"/>
  <c r="M5140" i="10"/>
  <c r="E5140" i="10"/>
  <c r="B5140" i="10"/>
  <c r="S5139" i="10"/>
  <c r="Q5139" i="10"/>
  <c r="P5139" i="10"/>
  <c r="O5139" i="10"/>
  <c r="M5139" i="10"/>
  <c r="E5139" i="10"/>
  <c r="B5139" i="10"/>
  <c r="S5138" i="10"/>
  <c r="Q5138" i="10"/>
  <c r="P5138" i="10"/>
  <c r="O5138" i="10"/>
  <c r="M5138" i="10"/>
  <c r="E5138" i="10"/>
  <c r="B5138" i="10"/>
  <c r="S5137" i="10"/>
  <c r="Q5137" i="10"/>
  <c r="P5137" i="10"/>
  <c r="O5137" i="10"/>
  <c r="M5137" i="10"/>
  <c r="E5137" i="10"/>
  <c r="B5137" i="10"/>
  <c r="S5136" i="10"/>
  <c r="Q5136" i="10"/>
  <c r="P5136" i="10"/>
  <c r="O5136" i="10"/>
  <c r="M5136" i="10"/>
  <c r="E5136" i="10"/>
  <c r="B5136" i="10"/>
  <c r="S5135" i="10"/>
  <c r="Q5135" i="10"/>
  <c r="P5135" i="10"/>
  <c r="O5135" i="10"/>
  <c r="M5135" i="10"/>
  <c r="E5135" i="10"/>
  <c r="B5135" i="10"/>
  <c r="S5134" i="10"/>
  <c r="Q5134" i="10"/>
  <c r="P5134" i="10"/>
  <c r="O5134" i="10"/>
  <c r="M5134" i="10"/>
  <c r="E5134" i="10"/>
  <c r="B5134" i="10"/>
  <c r="S5133" i="10"/>
  <c r="Q5133" i="10"/>
  <c r="P5133" i="10"/>
  <c r="O5133" i="10"/>
  <c r="M5133" i="10"/>
  <c r="B5133" i="10"/>
  <c r="S5132" i="10"/>
  <c r="Q5132" i="10"/>
  <c r="P5132" i="10"/>
  <c r="O5132" i="10"/>
  <c r="M5132" i="10"/>
  <c r="E5132" i="10"/>
  <c r="B5132" i="10"/>
  <c r="S5131" i="10"/>
  <c r="Q5131" i="10"/>
  <c r="P5131" i="10"/>
  <c r="O5131" i="10"/>
  <c r="M5131" i="10"/>
  <c r="E5131" i="10"/>
  <c r="B5131" i="10"/>
  <c r="S5130" i="10"/>
  <c r="Q5130" i="10"/>
  <c r="P5130" i="10"/>
  <c r="O5130" i="10"/>
  <c r="M5130" i="10"/>
  <c r="E5130" i="10"/>
  <c r="B5130" i="10"/>
  <c r="S5129" i="10"/>
  <c r="Q5129" i="10"/>
  <c r="P5129" i="10"/>
  <c r="O5129" i="10"/>
  <c r="M5129" i="10"/>
  <c r="E5129" i="10"/>
  <c r="B5129" i="10"/>
  <c r="S5128" i="10"/>
  <c r="Q5128" i="10"/>
  <c r="P5128" i="10"/>
  <c r="O5128" i="10"/>
  <c r="M5128" i="10"/>
  <c r="E5128" i="10"/>
  <c r="B5128" i="10"/>
  <c r="S5127" i="10"/>
  <c r="Q5127" i="10"/>
  <c r="P5127" i="10"/>
  <c r="O5127" i="10"/>
  <c r="M5127" i="10"/>
  <c r="E5127" i="10"/>
  <c r="B5127" i="10"/>
  <c r="S5126" i="10"/>
  <c r="Q5126" i="10"/>
  <c r="P5126" i="10"/>
  <c r="O5126" i="10"/>
  <c r="M5126" i="10"/>
  <c r="E5126" i="10"/>
  <c r="B5126" i="10"/>
  <c r="S5125" i="10"/>
  <c r="Q5125" i="10"/>
  <c r="P5125" i="10"/>
  <c r="O5125" i="10"/>
  <c r="M5125" i="10"/>
  <c r="E5125" i="10"/>
  <c r="B5125" i="10"/>
  <c r="S5124" i="10"/>
  <c r="Q5124" i="10"/>
  <c r="P5124" i="10"/>
  <c r="O5124" i="10"/>
  <c r="M5124" i="10"/>
  <c r="E5124" i="10"/>
  <c r="B5124" i="10"/>
  <c r="S5123" i="10"/>
  <c r="Q5123" i="10"/>
  <c r="P5123" i="10"/>
  <c r="O5123" i="10"/>
  <c r="M5123" i="10"/>
  <c r="E5123" i="10"/>
  <c r="B5123" i="10"/>
  <c r="S5122" i="10"/>
  <c r="Q5122" i="10"/>
  <c r="P5122" i="10"/>
  <c r="O5122" i="10"/>
  <c r="M5122" i="10"/>
  <c r="E5122" i="10"/>
  <c r="B5122" i="10"/>
  <c r="S5121" i="10"/>
  <c r="Q5121" i="10"/>
  <c r="P5121" i="10"/>
  <c r="O5121" i="10"/>
  <c r="M5121" i="10"/>
  <c r="E5121" i="10"/>
  <c r="B5121" i="10"/>
  <c r="S5120" i="10"/>
  <c r="Q5120" i="10"/>
  <c r="P5120" i="10"/>
  <c r="O5120" i="10"/>
  <c r="M5120" i="10"/>
  <c r="E5120" i="10"/>
  <c r="B5120" i="10"/>
  <c r="S5119" i="10"/>
  <c r="Q5119" i="10"/>
  <c r="P5119" i="10"/>
  <c r="O5119" i="10"/>
  <c r="M5119" i="10"/>
  <c r="E5119" i="10"/>
  <c r="B5119" i="10"/>
  <c r="S5118" i="10"/>
  <c r="Q5118" i="10"/>
  <c r="P5118" i="10"/>
  <c r="O5118" i="10"/>
  <c r="M5118" i="10"/>
  <c r="B5118" i="10"/>
  <c r="S5117" i="10"/>
  <c r="Q5117" i="10"/>
  <c r="P5117" i="10"/>
  <c r="O5117" i="10"/>
  <c r="M5117" i="10"/>
  <c r="E5117" i="10"/>
  <c r="B5117" i="10"/>
  <c r="S5116" i="10"/>
  <c r="Q5116" i="10"/>
  <c r="P5116" i="10"/>
  <c r="O5116" i="10"/>
  <c r="M5116" i="10"/>
  <c r="E5116" i="10"/>
  <c r="B5116" i="10"/>
  <c r="S5115" i="10"/>
  <c r="Q5115" i="10"/>
  <c r="P5115" i="10"/>
  <c r="O5115" i="10"/>
  <c r="M5115" i="10"/>
  <c r="E5115" i="10"/>
  <c r="B5115" i="10"/>
  <c r="S5114" i="10"/>
  <c r="Q5114" i="10"/>
  <c r="P5114" i="10"/>
  <c r="O5114" i="10"/>
  <c r="M5114" i="10"/>
  <c r="E5114" i="10"/>
  <c r="B5114" i="10"/>
  <c r="S5113" i="10"/>
  <c r="Q5113" i="10"/>
  <c r="P5113" i="10"/>
  <c r="O5113" i="10"/>
  <c r="M5113" i="10"/>
  <c r="E5113" i="10"/>
  <c r="B5113" i="10"/>
  <c r="S5112" i="10"/>
  <c r="Q5112" i="10"/>
  <c r="P5112" i="10"/>
  <c r="O5112" i="10"/>
  <c r="M5112" i="10"/>
  <c r="E5112" i="10"/>
  <c r="B5112" i="10"/>
  <c r="S5111" i="10"/>
  <c r="Q5111" i="10"/>
  <c r="P5111" i="10"/>
  <c r="O5111" i="10"/>
  <c r="M5111" i="10"/>
  <c r="E5111" i="10"/>
  <c r="B5111" i="10"/>
  <c r="S5110" i="10"/>
  <c r="Q5110" i="10"/>
  <c r="P5110" i="10"/>
  <c r="O5110" i="10"/>
  <c r="M5110" i="10"/>
  <c r="E5110" i="10"/>
  <c r="B5110" i="10"/>
  <c r="S5109" i="10"/>
  <c r="Q5109" i="10"/>
  <c r="P5109" i="10"/>
  <c r="O5109" i="10"/>
  <c r="M5109" i="10"/>
  <c r="E5109" i="10"/>
  <c r="B5109" i="10"/>
  <c r="S5108" i="10"/>
  <c r="Q5108" i="10"/>
  <c r="P5108" i="10"/>
  <c r="O5108" i="10"/>
  <c r="M5108" i="10"/>
  <c r="E5108" i="10"/>
  <c r="B5108" i="10"/>
  <c r="S5107" i="10"/>
  <c r="Q5107" i="10"/>
  <c r="P5107" i="10"/>
  <c r="O5107" i="10"/>
  <c r="M5107" i="10"/>
  <c r="E5107" i="10"/>
  <c r="B5107" i="10"/>
  <c r="S5106" i="10"/>
  <c r="Q5106" i="10"/>
  <c r="P5106" i="10"/>
  <c r="O5106" i="10"/>
  <c r="M5106" i="10"/>
  <c r="E5106" i="10"/>
  <c r="B5106" i="10"/>
  <c r="S5105" i="10"/>
  <c r="Q5105" i="10"/>
  <c r="P5105" i="10"/>
  <c r="O5105" i="10"/>
  <c r="M5105" i="10"/>
  <c r="B5105" i="10"/>
  <c r="S5104" i="10"/>
  <c r="Q5104" i="10"/>
  <c r="P5104" i="10"/>
  <c r="O5104" i="10"/>
  <c r="M5104" i="10"/>
  <c r="E5104" i="10"/>
  <c r="B5104" i="10"/>
  <c r="S5103" i="10"/>
  <c r="Q5103" i="10"/>
  <c r="P5103" i="10"/>
  <c r="O5103" i="10"/>
  <c r="M5103" i="10"/>
  <c r="E5103" i="10"/>
  <c r="B5103" i="10"/>
  <c r="S5102" i="10"/>
  <c r="Q5102" i="10"/>
  <c r="P5102" i="10"/>
  <c r="O5102" i="10"/>
  <c r="M5102" i="10"/>
  <c r="E5102" i="10"/>
  <c r="B5102" i="10"/>
  <c r="S5101" i="10"/>
  <c r="Q5101" i="10"/>
  <c r="P5101" i="10"/>
  <c r="O5101" i="10"/>
  <c r="M5101" i="10"/>
  <c r="E5101" i="10"/>
  <c r="B5101" i="10"/>
  <c r="S5100" i="10"/>
  <c r="Q5100" i="10"/>
  <c r="P5100" i="10"/>
  <c r="O5100" i="10"/>
  <c r="M5100" i="10"/>
  <c r="E5100" i="10"/>
  <c r="B5100" i="10"/>
  <c r="S5099" i="10"/>
  <c r="Q5099" i="10"/>
  <c r="P5099" i="10"/>
  <c r="O5099" i="10"/>
  <c r="M5099" i="10"/>
  <c r="E5099" i="10"/>
  <c r="B5099" i="10"/>
  <c r="S5098" i="10"/>
  <c r="Q5098" i="10"/>
  <c r="P5098" i="10"/>
  <c r="O5098" i="10"/>
  <c r="M5098" i="10"/>
  <c r="E5098" i="10"/>
  <c r="B5098" i="10"/>
  <c r="S5097" i="10"/>
  <c r="Q5097" i="10"/>
  <c r="P5097" i="10"/>
  <c r="O5097" i="10"/>
  <c r="M5097" i="10"/>
  <c r="E5097" i="10"/>
  <c r="B5097" i="10"/>
  <c r="S5096" i="10"/>
  <c r="Q5096" i="10"/>
  <c r="P5096" i="10"/>
  <c r="O5096" i="10"/>
  <c r="M5096" i="10"/>
  <c r="E5096" i="10"/>
  <c r="B5096" i="10"/>
  <c r="S5095" i="10"/>
  <c r="Q5095" i="10"/>
  <c r="P5095" i="10"/>
  <c r="O5095" i="10"/>
  <c r="M5095" i="10"/>
  <c r="E5095" i="10"/>
  <c r="B5095" i="10"/>
  <c r="S5094" i="10"/>
  <c r="Q5094" i="10"/>
  <c r="P5094" i="10"/>
  <c r="O5094" i="10"/>
  <c r="M5094" i="10"/>
  <c r="B5094" i="10"/>
  <c r="S5093" i="10"/>
  <c r="Q5093" i="10"/>
  <c r="P5093" i="10"/>
  <c r="O5093" i="10"/>
  <c r="M5093" i="10"/>
  <c r="B5093" i="10"/>
  <c r="S5092" i="10"/>
  <c r="Q5092" i="10"/>
  <c r="P5092" i="10"/>
  <c r="O5092" i="10"/>
  <c r="M5092" i="10"/>
  <c r="E5092" i="10"/>
  <c r="B5092" i="10"/>
  <c r="S5091" i="10"/>
  <c r="Q5091" i="10"/>
  <c r="P5091" i="10"/>
  <c r="O5091" i="10"/>
  <c r="M5091" i="10"/>
  <c r="E5091" i="10"/>
  <c r="B5091" i="10"/>
  <c r="S5090" i="10"/>
  <c r="Q5090" i="10"/>
  <c r="P5090" i="10"/>
  <c r="O5090" i="10"/>
  <c r="M5090" i="10"/>
  <c r="E5090" i="10"/>
  <c r="B5090" i="10"/>
  <c r="S5089" i="10"/>
  <c r="Q5089" i="10"/>
  <c r="P5089" i="10"/>
  <c r="O5089" i="10"/>
  <c r="M5089" i="10"/>
  <c r="E5089" i="10"/>
  <c r="B5089" i="10"/>
  <c r="S5088" i="10"/>
  <c r="Q5088" i="10"/>
  <c r="P5088" i="10"/>
  <c r="O5088" i="10"/>
  <c r="M5088" i="10"/>
  <c r="E5088" i="10"/>
  <c r="B5088" i="10"/>
  <c r="S5087" i="10"/>
  <c r="Q5087" i="10"/>
  <c r="P5087" i="10"/>
  <c r="O5087" i="10"/>
  <c r="M5087" i="10"/>
  <c r="E5087" i="10"/>
  <c r="B5087" i="10"/>
  <c r="S5086" i="10"/>
  <c r="Q5086" i="10"/>
  <c r="P5086" i="10"/>
  <c r="O5086" i="10"/>
  <c r="M5086" i="10"/>
  <c r="E5086" i="10"/>
  <c r="B5086" i="10"/>
  <c r="S5085" i="10"/>
  <c r="Q5085" i="10"/>
  <c r="P5085" i="10"/>
  <c r="O5085" i="10"/>
  <c r="M5085" i="10"/>
  <c r="E5085" i="10"/>
  <c r="B5085" i="10"/>
  <c r="S5084" i="10"/>
  <c r="Q5084" i="10"/>
  <c r="P5084" i="10"/>
  <c r="O5084" i="10"/>
  <c r="M5084" i="10"/>
  <c r="E5084" i="10"/>
  <c r="B5084" i="10"/>
  <c r="S5083" i="10"/>
  <c r="Q5083" i="10"/>
  <c r="P5083" i="10"/>
  <c r="O5083" i="10"/>
  <c r="M5083" i="10"/>
  <c r="B5083" i="10"/>
  <c r="S5082" i="10"/>
  <c r="Q5082" i="10"/>
  <c r="P5082" i="10"/>
  <c r="O5082" i="10"/>
  <c r="M5082" i="10"/>
  <c r="E5082" i="10"/>
  <c r="B5082" i="10"/>
  <c r="S5081" i="10"/>
  <c r="Q5081" i="10"/>
  <c r="P5081" i="10"/>
  <c r="O5081" i="10"/>
  <c r="M5081" i="10"/>
  <c r="E5081" i="10"/>
  <c r="B5081" i="10"/>
  <c r="S5080" i="10"/>
  <c r="Q5080" i="10"/>
  <c r="P5080" i="10"/>
  <c r="O5080" i="10"/>
  <c r="M5080" i="10"/>
  <c r="E5080" i="10"/>
  <c r="B5080" i="10"/>
  <c r="S5079" i="10"/>
  <c r="Q5079" i="10"/>
  <c r="P5079" i="10"/>
  <c r="O5079" i="10"/>
  <c r="M5079" i="10"/>
  <c r="E5079" i="10"/>
  <c r="B5079" i="10"/>
  <c r="S5078" i="10"/>
  <c r="Q5078" i="10"/>
  <c r="P5078" i="10"/>
  <c r="O5078" i="10"/>
  <c r="M5078" i="10"/>
  <c r="E5078" i="10"/>
  <c r="B5078" i="10"/>
  <c r="S5077" i="10"/>
  <c r="Q5077" i="10"/>
  <c r="P5077" i="10"/>
  <c r="O5077" i="10"/>
  <c r="M5077" i="10"/>
  <c r="E5077" i="10"/>
  <c r="B5077" i="10"/>
  <c r="S5076" i="10"/>
  <c r="Q5076" i="10"/>
  <c r="P5076" i="10"/>
  <c r="O5076" i="10"/>
  <c r="M5076" i="10"/>
  <c r="E5076" i="10"/>
  <c r="B5076" i="10"/>
  <c r="S5075" i="10"/>
  <c r="Q5075" i="10"/>
  <c r="P5075" i="10"/>
  <c r="O5075" i="10"/>
  <c r="M5075" i="10"/>
  <c r="E5075" i="10"/>
  <c r="B5075" i="10"/>
  <c r="S5074" i="10"/>
  <c r="Q5074" i="10"/>
  <c r="P5074" i="10"/>
  <c r="O5074" i="10"/>
  <c r="M5074" i="10"/>
  <c r="E5074" i="10"/>
  <c r="B5074" i="10"/>
  <c r="S5073" i="10"/>
  <c r="Q5073" i="10"/>
  <c r="P5073" i="10"/>
  <c r="O5073" i="10"/>
  <c r="M5073" i="10"/>
  <c r="E5073" i="10"/>
  <c r="B5073" i="10"/>
  <c r="S5072" i="10"/>
  <c r="Q5072" i="10"/>
  <c r="P5072" i="10"/>
  <c r="O5072" i="10"/>
  <c r="M5072" i="10"/>
  <c r="E5072" i="10"/>
  <c r="B5072" i="10"/>
  <c r="S5071" i="10"/>
  <c r="Q5071" i="10"/>
  <c r="P5071" i="10"/>
  <c r="O5071" i="10"/>
  <c r="M5071" i="10"/>
  <c r="E5071" i="10"/>
  <c r="B5071" i="10"/>
  <c r="S5070" i="10"/>
  <c r="Q5070" i="10"/>
  <c r="P5070" i="10"/>
  <c r="O5070" i="10"/>
  <c r="M5070" i="10"/>
  <c r="E5070" i="10"/>
  <c r="B5070" i="10"/>
  <c r="S5069" i="10"/>
  <c r="Q5069" i="10"/>
  <c r="P5069" i="10"/>
  <c r="O5069" i="10"/>
  <c r="M5069" i="10"/>
  <c r="E5069" i="10"/>
  <c r="B5069" i="10"/>
  <c r="S5068" i="10"/>
  <c r="Q5068" i="10"/>
  <c r="P5068" i="10"/>
  <c r="O5068" i="10"/>
  <c r="M5068" i="10"/>
  <c r="E5068" i="10"/>
  <c r="B5068" i="10"/>
  <c r="S5067" i="10"/>
  <c r="Q5067" i="10"/>
  <c r="P5067" i="10"/>
  <c r="O5067" i="10"/>
  <c r="M5067" i="10"/>
  <c r="B5067" i="10"/>
  <c r="S5066" i="10"/>
  <c r="Q5066" i="10"/>
  <c r="P5066" i="10"/>
  <c r="O5066" i="10"/>
  <c r="M5066" i="10"/>
  <c r="E5066" i="10"/>
  <c r="B5066" i="10"/>
  <c r="S5065" i="10"/>
  <c r="Q5065" i="10"/>
  <c r="P5065" i="10"/>
  <c r="O5065" i="10"/>
  <c r="M5065" i="10"/>
  <c r="E5065" i="10"/>
  <c r="B5065" i="10"/>
  <c r="S5064" i="10"/>
  <c r="Q5064" i="10"/>
  <c r="P5064" i="10"/>
  <c r="O5064" i="10"/>
  <c r="M5064" i="10"/>
  <c r="B5064" i="10"/>
  <c r="S5063" i="10"/>
  <c r="Q5063" i="10"/>
  <c r="P5063" i="10"/>
  <c r="O5063" i="10"/>
  <c r="M5063" i="10"/>
  <c r="E5063" i="10"/>
  <c r="B5063" i="10"/>
  <c r="S5062" i="10"/>
  <c r="Q5062" i="10"/>
  <c r="P5062" i="10"/>
  <c r="O5062" i="10"/>
  <c r="M5062" i="10"/>
  <c r="E5062" i="10"/>
  <c r="B5062" i="10"/>
  <c r="S5061" i="10"/>
  <c r="Q5061" i="10"/>
  <c r="P5061" i="10"/>
  <c r="O5061" i="10"/>
  <c r="M5061" i="10"/>
  <c r="E5061" i="10"/>
  <c r="B5061" i="10"/>
  <c r="S5060" i="10"/>
  <c r="Q5060" i="10"/>
  <c r="P5060" i="10"/>
  <c r="O5060" i="10"/>
  <c r="M5060" i="10"/>
  <c r="E5060" i="10"/>
  <c r="B5060" i="10"/>
  <c r="S5059" i="10"/>
  <c r="Q5059" i="10"/>
  <c r="P5059" i="10"/>
  <c r="O5059" i="10"/>
  <c r="M5059" i="10"/>
  <c r="E5059" i="10"/>
  <c r="B5059" i="10"/>
  <c r="S5058" i="10"/>
  <c r="Q5058" i="10"/>
  <c r="P5058" i="10"/>
  <c r="O5058" i="10"/>
  <c r="M5058" i="10"/>
  <c r="B5058" i="10"/>
  <c r="S5057" i="10"/>
  <c r="Q5057" i="10"/>
  <c r="P5057" i="10"/>
  <c r="O5057" i="10"/>
  <c r="M5057" i="10"/>
  <c r="B5057" i="10"/>
  <c r="S5056" i="10"/>
  <c r="Q5056" i="10"/>
  <c r="P5056" i="10"/>
  <c r="O5056" i="10"/>
  <c r="M5056" i="10"/>
  <c r="E5056" i="10"/>
  <c r="B5056" i="10"/>
  <c r="S5055" i="10"/>
  <c r="Q5055" i="10"/>
  <c r="P5055" i="10"/>
  <c r="O5055" i="10"/>
  <c r="M5055" i="10"/>
  <c r="B5055" i="10"/>
  <c r="S5054" i="10"/>
  <c r="Q5054" i="10"/>
  <c r="P5054" i="10"/>
  <c r="O5054" i="10"/>
  <c r="M5054" i="10"/>
  <c r="B5054" i="10"/>
  <c r="S5053" i="10"/>
  <c r="Q5053" i="10"/>
  <c r="P5053" i="10"/>
  <c r="O5053" i="10"/>
  <c r="M5053" i="10"/>
  <c r="E5053" i="10"/>
  <c r="B5053" i="10"/>
  <c r="S5052" i="10"/>
  <c r="Q5052" i="10"/>
  <c r="P5052" i="10"/>
  <c r="O5052" i="10"/>
  <c r="M5052" i="10"/>
  <c r="E5052" i="10"/>
  <c r="B5052" i="10"/>
  <c r="S5051" i="10"/>
  <c r="Q5051" i="10"/>
  <c r="P5051" i="10"/>
  <c r="O5051" i="10"/>
  <c r="M5051" i="10"/>
  <c r="E5051" i="10"/>
  <c r="B5051" i="10"/>
  <c r="S5050" i="10"/>
  <c r="Q5050" i="10"/>
  <c r="P5050" i="10"/>
  <c r="O5050" i="10"/>
  <c r="M5050" i="10"/>
  <c r="E5050" i="10"/>
  <c r="B5050" i="10"/>
  <c r="S5049" i="10"/>
  <c r="Q5049" i="10"/>
  <c r="P5049" i="10"/>
  <c r="O5049" i="10"/>
  <c r="M5049" i="10"/>
  <c r="E5049" i="10"/>
  <c r="B5049" i="10"/>
  <c r="S5048" i="10"/>
  <c r="Q5048" i="10"/>
  <c r="P5048" i="10"/>
  <c r="O5048" i="10"/>
  <c r="M5048" i="10"/>
  <c r="E5048" i="10"/>
  <c r="B5048" i="10"/>
  <c r="S5047" i="10"/>
  <c r="Q5047" i="10"/>
  <c r="P5047" i="10"/>
  <c r="O5047" i="10"/>
  <c r="M5047" i="10"/>
  <c r="B5047" i="10"/>
  <c r="S5046" i="10"/>
  <c r="Q5046" i="10"/>
  <c r="P5046" i="10"/>
  <c r="O5046" i="10"/>
  <c r="M5046" i="10"/>
  <c r="E5046" i="10"/>
  <c r="B5046" i="10"/>
  <c r="S5045" i="10"/>
  <c r="Q5045" i="10"/>
  <c r="P5045" i="10"/>
  <c r="O5045" i="10"/>
  <c r="M5045" i="10"/>
  <c r="E5045" i="10"/>
  <c r="B5045" i="10"/>
  <c r="S5044" i="10"/>
  <c r="Q5044" i="10"/>
  <c r="P5044" i="10"/>
  <c r="O5044" i="10"/>
  <c r="M5044" i="10"/>
  <c r="B5044" i="10"/>
  <c r="S5043" i="10"/>
  <c r="Q5043" i="10"/>
  <c r="P5043" i="10"/>
  <c r="O5043" i="10"/>
  <c r="M5043" i="10"/>
  <c r="E5043" i="10"/>
  <c r="B5043" i="10"/>
  <c r="S5042" i="10"/>
  <c r="Q5042" i="10"/>
  <c r="P5042" i="10"/>
  <c r="O5042" i="10"/>
  <c r="M5042" i="10"/>
  <c r="E5042" i="10"/>
  <c r="B5042" i="10"/>
  <c r="S5041" i="10"/>
  <c r="Q5041" i="10"/>
  <c r="P5041" i="10"/>
  <c r="O5041" i="10"/>
  <c r="M5041" i="10"/>
  <c r="E5041" i="10"/>
  <c r="B5041" i="10"/>
  <c r="S5040" i="10"/>
  <c r="Q5040" i="10"/>
  <c r="P5040" i="10"/>
  <c r="O5040" i="10"/>
  <c r="M5040" i="10"/>
  <c r="E5040" i="10"/>
  <c r="B5040" i="10"/>
  <c r="S5039" i="10"/>
  <c r="Q5039" i="10"/>
  <c r="P5039" i="10"/>
  <c r="O5039" i="10"/>
  <c r="M5039" i="10"/>
  <c r="B5039" i="10"/>
  <c r="S5038" i="10"/>
  <c r="Q5038" i="10"/>
  <c r="P5038" i="10"/>
  <c r="O5038" i="10"/>
  <c r="M5038" i="10"/>
  <c r="E5038" i="10"/>
  <c r="B5038" i="10"/>
  <c r="S5037" i="10"/>
  <c r="Q5037" i="10"/>
  <c r="P5037" i="10"/>
  <c r="O5037" i="10"/>
  <c r="M5037" i="10"/>
  <c r="E5037" i="10"/>
  <c r="B5037" i="10"/>
  <c r="S5036" i="10"/>
  <c r="Q5036" i="10"/>
  <c r="P5036" i="10"/>
  <c r="O5036" i="10"/>
  <c r="M5036" i="10"/>
  <c r="B5036" i="10"/>
  <c r="S5035" i="10"/>
  <c r="Q5035" i="10"/>
  <c r="P5035" i="10"/>
  <c r="O5035" i="10"/>
  <c r="M5035" i="10"/>
  <c r="B5035" i="10"/>
  <c r="S5034" i="10"/>
  <c r="Q5034" i="10"/>
  <c r="P5034" i="10"/>
  <c r="O5034" i="10"/>
  <c r="M5034" i="10"/>
  <c r="E5034" i="10"/>
  <c r="B5034" i="10"/>
  <c r="S5033" i="10"/>
  <c r="Q5033" i="10"/>
  <c r="P5033" i="10"/>
  <c r="O5033" i="10"/>
  <c r="M5033" i="10"/>
  <c r="E5033" i="10"/>
  <c r="B5033" i="10"/>
  <c r="S5032" i="10"/>
  <c r="Q5032" i="10"/>
  <c r="P5032" i="10"/>
  <c r="O5032" i="10"/>
  <c r="M5032" i="10"/>
  <c r="E5032" i="10"/>
  <c r="B5032" i="10"/>
  <c r="S5031" i="10"/>
  <c r="Q5031" i="10"/>
  <c r="P5031" i="10"/>
  <c r="O5031" i="10"/>
  <c r="M5031" i="10"/>
  <c r="E5031" i="10"/>
  <c r="B5031" i="10"/>
  <c r="S5030" i="10"/>
  <c r="Q5030" i="10"/>
  <c r="P5030" i="10"/>
  <c r="O5030" i="10"/>
  <c r="M5030" i="10"/>
  <c r="E5030" i="10"/>
  <c r="B5030" i="10"/>
  <c r="S5029" i="10"/>
  <c r="Q5029" i="10"/>
  <c r="P5029" i="10"/>
  <c r="O5029" i="10"/>
  <c r="M5029" i="10"/>
  <c r="E5029" i="10"/>
  <c r="B5029" i="10"/>
  <c r="S5028" i="10"/>
  <c r="Q5028" i="10"/>
  <c r="P5028" i="10"/>
  <c r="O5028" i="10"/>
  <c r="M5028" i="10"/>
  <c r="E5028" i="10"/>
  <c r="B5028" i="10"/>
  <c r="S5027" i="10"/>
  <c r="Q5027" i="10"/>
  <c r="P5027" i="10"/>
  <c r="O5027" i="10"/>
  <c r="M5027" i="10"/>
  <c r="B5027" i="10"/>
  <c r="S5026" i="10"/>
  <c r="Q5026" i="10"/>
  <c r="P5026" i="10"/>
  <c r="O5026" i="10"/>
  <c r="M5026" i="10"/>
  <c r="E5026" i="10"/>
  <c r="B5026" i="10"/>
  <c r="S5025" i="10"/>
  <c r="Q5025" i="10"/>
  <c r="P5025" i="10"/>
  <c r="O5025" i="10"/>
  <c r="M5025" i="10"/>
  <c r="E5025" i="10"/>
  <c r="B5025" i="10"/>
  <c r="S5024" i="10"/>
  <c r="Q5024" i="10"/>
  <c r="P5024" i="10"/>
  <c r="O5024" i="10"/>
  <c r="M5024" i="10"/>
  <c r="E5024" i="10"/>
  <c r="B5024" i="10"/>
  <c r="S5023" i="10"/>
  <c r="Q5023" i="10"/>
  <c r="P5023" i="10"/>
  <c r="O5023" i="10"/>
  <c r="M5023" i="10"/>
  <c r="E5023" i="10"/>
  <c r="B5023" i="10"/>
  <c r="S5022" i="10"/>
  <c r="Q5022" i="10"/>
  <c r="P5022" i="10"/>
  <c r="O5022" i="10"/>
  <c r="M5022" i="10"/>
  <c r="E5022" i="10"/>
  <c r="B5022" i="10"/>
  <c r="S5021" i="10"/>
  <c r="Q5021" i="10"/>
  <c r="P5021" i="10"/>
  <c r="O5021" i="10"/>
  <c r="M5021" i="10"/>
  <c r="E5021" i="10"/>
  <c r="B5021" i="10"/>
  <c r="S5020" i="10"/>
  <c r="Q5020" i="10"/>
  <c r="P5020" i="10"/>
  <c r="O5020" i="10"/>
  <c r="M5020" i="10"/>
  <c r="E5020" i="10"/>
  <c r="B5020" i="10"/>
  <c r="S5019" i="10"/>
  <c r="Q5019" i="10"/>
  <c r="P5019" i="10"/>
  <c r="O5019" i="10"/>
  <c r="M5019" i="10"/>
  <c r="E5019" i="10"/>
  <c r="B5019" i="10"/>
  <c r="S5018" i="10"/>
  <c r="Q5018" i="10"/>
  <c r="P5018" i="10"/>
  <c r="O5018" i="10"/>
  <c r="M5018" i="10"/>
  <c r="E5018" i="10"/>
  <c r="B5018" i="10"/>
  <c r="S5017" i="10"/>
  <c r="Q5017" i="10"/>
  <c r="P5017" i="10"/>
  <c r="O5017" i="10"/>
  <c r="M5017" i="10"/>
  <c r="E5017" i="10"/>
  <c r="B5017" i="10"/>
  <c r="S5016" i="10"/>
  <c r="Q5016" i="10"/>
  <c r="P5016" i="10"/>
  <c r="O5016" i="10"/>
  <c r="M5016" i="10"/>
  <c r="E5016" i="10"/>
  <c r="B5016" i="10"/>
  <c r="S5015" i="10"/>
  <c r="Q5015" i="10"/>
  <c r="P5015" i="10"/>
  <c r="O5015" i="10"/>
  <c r="M5015" i="10"/>
  <c r="E5015" i="10"/>
  <c r="B5015" i="10"/>
  <c r="S5014" i="10"/>
  <c r="Q5014" i="10"/>
  <c r="P5014" i="10"/>
  <c r="O5014" i="10"/>
  <c r="M5014" i="10"/>
  <c r="E5014" i="10"/>
  <c r="B5014" i="10"/>
  <c r="S5013" i="10"/>
  <c r="Q5013" i="10"/>
  <c r="P5013" i="10"/>
  <c r="O5013" i="10"/>
  <c r="M5013" i="10"/>
  <c r="E5013" i="10"/>
  <c r="B5013" i="10"/>
  <c r="S5012" i="10"/>
  <c r="Q5012" i="10"/>
  <c r="P5012" i="10"/>
  <c r="O5012" i="10"/>
  <c r="M5012" i="10"/>
  <c r="E5012" i="10"/>
  <c r="B5012" i="10"/>
  <c r="S5011" i="10"/>
  <c r="Q5011" i="10"/>
  <c r="P5011" i="10"/>
  <c r="O5011" i="10"/>
  <c r="M5011" i="10"/>
  <c r="E5011" i="10"/>
  <c r="B5011" i="10"/>
  <c r="S5010" i="10"/>
  <c r="Q5010" i="10"/>
  <c r="P5010" i="10"/>
  <c r="O5010" i="10"/>
  <c r="M5010" i="10"/>
  <c r="E5010" i="10"/>
  <c r="B5010" i="10"/>
  <c r="S5009" i="10"/>
  <c r="Q5009" i="10"/>
  <c r="P5009" i="10"/>
  <c r="O5009" i="10"/>
  <c r="M5009" i="10"/>
  <c r="E5009" i="10"/>
  <c r="B5009" i="10"/>
  <c r="S5008" i="10"/>
  <c r="Q5008" i="10"/>
  <c r="P5008" i="10"/>
  <c r="O5008" i="10"/>
  <c r="M5008" i="10"/>
  <c r="E5008" i="10"/>
  <c r="B5008" i="10"/>
  <c r="S5007" i="10"/>
  <c r="Q5007" i="10"/>
  <c r="P5007" i="10"/>
  <c r="O5007" i="10"/>
  <c r="M5007" i="10"/>
  <c r="E5007" i="10"/>
  <c r="B5007" i="10"/>
  <c r="S5006" i="10"/>
  <c r="Q5006" i="10"/>
  <c r="P5006" i="10"/>
  <c r="O5006" i="10"/>
  <c r="M5006" i="10"/>
  <c r="E5006" i="10"/>
  <c r="B5006" i="10"/>
  <c r="S5005" i="10"/>
  <c r="Q5005" i="10"/>
  <c r="P5005" i="10"/>
  <c r="O5005" i="10"/>
  <c r="M5005" i="10"/>
  <c r="E5005" i="10"/>
  <c r="B5005" i="10"/>
  <c r="S5004" i="10"/>
  <c r="Q5004" i="10"/>
  <c r="P5004" i="10"/>
  <c r="O5004" i="10"/>
  <c r="M5004" i="10"/>
  <c r="E5004" i="10"/>
  <c r="B5004" i="10"/>
  <c r="S5003" i="10"/>
  <c r="Q5003" i="10"/>
  <c r="P5003" i="10"/>
  <c r="O5003" i="10"/>
  <c r="M5003" i="10"/>
  <c r="E5003" i="10"/>
  <c r="B5003" i="10"/>
  <c r="S5002" i="10"/>
  <c r="Q5002" i="10"/>
  <c r="P5002" i="10"/>
  <c r="O5002" i="10"/>
  <c r="M5002" i="10"/>
  <c r="E5002" i="10"/>
  <c r="B5002" i="10"/>
  <c r="S5001" i="10"/>
  <c r="Q5001" i="10"/>
  <c r="P5001" i="10"/>
  <c r="O5001" i="10"/>
  <c r="M5001" i="10"/>
  <c r="E5001" i="10"/>
  <c r="B5001" i="10"/>
  <c r="S5000" i="10"/>
  <c r="Q5000" i="10"/>
  <c r="P5000" i="10"/>
  <c r="O5000" i="10"/>
  <c r="M5000" i="10"/>
  <c r="E5000" i="10"/>
  <c r="B5000" i="10"/>
  <c r="S4999" i="10"/>
  <c r="Q4999" i="10"/>
  <c r="P4999" i="10"/>
  <c r="O4999" i="10"/>
  <c r="M4999" i="10"/>
  <c r="E4999" i="10"/>
  <c r="B4999" i="10"/>
  <c r="S4998" i="10"/>
  <c r="Q4998" i="10"/>
  <c r="P4998" i="10"/>
  <c r="O4998" i="10"/>
  <c r="M4998" i="10"/>
  <c r="E4998" i="10"/>
  <c r="B4998" i="10"/>
  <c r="S4997" i="10"/>
  <c r="Q4997" i="10"/>
  <c r="P4997" i="10"/>
  <c r="O4997" i="10"/>
  <c r="M4997" i="10"/>
  <c r="E4997" i="10"/>
  <c r="B4997" i="10"/>
  <c r="S4996" i="10"/>
  <c r="Q4996" i="10"/>
  <c r="P4996" i="10"/>
  <c r="O4996" i="10"/>
  <c r="M4996" i="10"/>
  <c r="E4996" i="10"/>
  <c r="B4996" i="10"/>
  <c r="S4995" i="10"/>
  <c r="Q4995" i="10"/>
  <c r="P4995" i="10"/>
  <c r="O4995" i="10"/>
  <c r="M4995" i="10"/>
  <c r="B4995" i="10"/>
  <c r="S4994" i="10"/>
  <c r="Q4994" i="10"/>
  <c r="P4994" i="10"/>
  <c r="O4994" i="10"/>
  <c r="M4994" i="10"/>
  <c r="E4994" i="10"/>
  <c r="B4994" i="10"/>
  <c r="S4993" i="10"/>
  <c r="Q4993" i="10"/>
  <c r="P4993" i="10"/>
  <c r="O4993" i="10"/>
  <c r="M4993" i="10"/>
  <c r="E4993" i="10"/>
  <c r="B4993" i="10"/>
  <c r="S4992" i="10"/>
  <c r="Q4992" i="10"/>
  <c r="P4992" i="10"/>
  <c r="O4992" i="10"/>
  <c r="M4992" i="10"/>
  <c r="E4992" i="10"/>
  <c r="B4992" i="10"/>
  <c r="S4991" i="10"/>
  <c r="Q4991" i="10"/>
  <c r="P4991" i="10"/>
  <c r="O4991" i="10"/>
  <c r="M4991" i="10"/>
  <c r="E4991" i="10"/>
  <c r="B4991" i="10"/>
  <c r="S4990" i="10"/>
  <c r="Q4990" i="10"/>
  <c r="P4990" i="10"/>
  <c r="O4990" i="10"/>
  <c r="M4990" i="10"/>
  <c r="E4990" i="10"/>
  <c r="B4990" i="10"/>
  <c r="S4989" i="10"/>
  <c r="Q4989" i="10"/>
  <c r="P4989" i="10"/>
  <c r="O4989" i="10"/>
  <c r="M4989" i="10"/>
  <c r="E4989" i="10"/>
  <c r="B4989" i="10"/>
  <c r="S4988" i="10"/>
  <c r="Q4988" i="10"/>
  <c r="P4988" i="10"/>
  <c r="O4988" i="10"/>
  <c r="M4988" i="10"/>
  <c r="E4988" i="10"/>
  <c r="B4988" i="10"/>
  <c r="S4987" i="10"/>
  <c r="Q4987" i="10"/>
  <c r="P4987" i="10"/>
  <c r="O4987" i="10"/>
  <c r="M4987" i="10"/>
  <c r="E4987" i="10"/>
  <c r="B4987" i="10"/>
  <c r="S4986" i="10"/>
  <c r="Q4986" i="10"/>
  <c r="P4986" i="10"/>
  <c r="O4986" i="10"/>
  <c r="M4986" i="10"/>
  <c r="E4986" i="10"/>
  <c r="B4986" i="10"/>
  <c r="S4985" i="10"/>
  <c r="Q4985" i="10"/>
  <c r="P4985" i="10"/>
  <c r="O4985" i="10"/>
  <c r="M4985" i="10"/>
  <c r="E4985" i="10"/>
  <c r="B4985" i="10"/>
  <c r="S4984" i="10"/>
  <c r="Q4984" i="10"/>
  <c r="P4984" i="10"/>
  <c r="O4984" i="10"/>
  <c r="M4984" i="10"/>
  <c r="E4984" i="10"/>
  <c r="B4984" i="10"/>
  <c r="S4983" i="10"/>
  <c r="Q4983" i="10"/>
  <c r="P4983" i="10"/>
  <c r="O4983" i="10"/>
  <c r="M4983" i="10"/>
  <c r="E4983" i="10"/>
  <c r="B4983" i="10"/>
  <c r="S4982" i="10"/>
  <c r="Q4982" i="10"/>
  <c r="P4982" i="10"/>
  <c r="O4982" i="10"/>
  <c r="M4982" i="10"/>
  <c r="E4982" i="10"/>
  <c r="B4982" i="10"/>
  <c r="S4981" i="10"/>
  <c r="Q4981" i="10"/>
  <c r="P4981" i="10"/>
  <c r="O4981" i="10"/>
  <c r="M4981" i="10"/>
  <c r="E4981" i="10"/>
  <c r="B4981" i="10"/>
  <c r="S4980" i="10"/>
  <c r="Q4980" i="10"/>
  <c r="P4980" i="10"/>
  <c r="O4980" i="10"/>
  <c r="M4980" i="10"/>
  <c r="B4980" i="10"/>
  <c r="S4979" i="10"/>
  <c r="Q4979" i="10"/>
  <c r="P4979" i="10"/>
  <c r="O4979" i="10"/>
  <c r="M4979" i="10"/>
  <c r="E4979" i="10"/>
  <c r="B4979" i="10"/>
  <c r="S4978" i="10"/>
  <c r="Q4978" i="10"/>
  <c r="P4978" i="10"/>
  <c r="O4978" i="10"/>
  <c r="M4978" i="10"/>
  <c r="B4978" i="10"/>
  <c r="S4977" i="10"/>
  <c r="Q4977" i="10"/>
  <c r="P4977" i="10"/>
  <c r="O4977" i="10"/>
  <c r="M4977" i="10"/>
  <c r="E4977" i="10"/>
  <c r="B4977" i="10"/>
  <c r="S4976" i="10"/>
  <c r="Q4976" i="10"/>
  <c r="P4976" i="10"/>
  <c r="O4976" i="10"/>
  <c r="M4976" i="10"/>
  <c r="E4976" i="10"/>
  <c r="B4976" i="10"/>
  <c r="S4975" i="10"/>
  <c r="Q4975" i="10"/>
  <c r="P4975" i="10"/>
  <c r="O4975" i="10"/>
  <c r="M4975" i="10"/>
  <c r="E4975" i="10"/>
  <c r="B4975" i="10"/>
  <c r="S4974" i="10"/>
  <c r="Q4974" i="10"/>
  <c r="P4974" i="10"/>
  <c r="O4974" i="10"/>
  <c r="M4974" i="10"/>
  <c r="E4974" i="10"/>
  <c r="B4974" i="10"/>
  <c r="S4973" i="10"/>
  <c r="Q4973" i="10"/>
  <c r="P4973" i="10"/>
  <c r="O4973" i="10"/>
  <c r="M4973" i="10"/>
  <c r="E4973" i="10"/>
  <c r="B4973" i="10"/>
  <c r="S4972" i="10"/>
  <c r="Q4972" i="10"/>
  <c r="P4972" i="10"/>
  <c r="O4972" i="10"/>
  <c r="M4972" i="10"/>
  <c r="E4972" i="10"/>
  <c r="B4972" i="10"/>
  <c r="S4971" i="10"/>
  <c r="Q4971" i="10"/>
  <c r="P4971" i="10"/>
  <c r="O4971" i="10"/>
  <c r="M4971" i="10"/>
  <c r="E4971" i="10"/>
  <c r="B4971" i="10"/>
  <c r="S4970" i="10"/>
  <c r="Q4970" i="10"/>
  <c r="P4970" i="10"/>
  <c r="O4970" i="10"/>
  <c r="M4970" i="10"/>
  <c r="E4970" i="10"/>
  <c r="B4970" i="10"/>
  <c r="S4969" i="10"/>
  <c r="Q4969" i="10"/>
  <c r="P4969" i="10"/>
  <c r="O4969" i="10"/>
  <c r="M4969" i="10"/>
  <c r="E4969" i="10"/>
  <c r="B4969" i="10"/>
  <c r="S4968" i="10"/>
  <c r="Q4968" i="10"/>
  <c r="P4968" i="10"/>
  <c r="O4968" i="10"/>
  <c r="M4968" i="10"/>
  <c r="E4968" i="10"/>
  <c r="B4968" i="10"/>
  <c r="S4967" i="10"/>
  <c r="Q4967" i="10"/>
  <c r="P4967" i="10"/>
  <c r="O4967" i="10"/>
  <c r="M4967" i="10"/>
  <c r="E4967" i="10"/>
  <c r="B4967" i="10"/>
  <c r="S4966" i="10"/>
  <c r="Q4966" i="10"/>
  <c r="P4966" i="10"/>
  <c r="O4966" i="10"/>
  <c r="M4966" i="10"/>
  <c r="E4966" i="10"/>
  <c r="B4966" i="10"/>
  <c r="S4965" i="10"/>
  <c r="Q4965" i="10"/>
  <c r="P4965" i="10"/>
  <c r="O4965" i="10"/>
  <c r="M4965" i="10"/>
  <c r="E4965" i="10"/>
  <c r="B4965" i="10"/>
  <c r="S4964" i="10"/>
  <c r="Q4964" i="10"/>
  <c r="P4964" i="10"/>
  <c r="O4964" i="10"/>
  <c r="M4964" i="10"/>
  <c r="E4964" i="10"/>
  <c r="B4964" i="10"/>
  <c r="S4963" i="10"/>
  <c r="Q4963" i="10"/>
  <c r="P4963" i="10"/>
  <c r="O4963" i="10"/>
  <c r="M4963" i="10"/>
  <c r="E4963" i="10"/>
  <c r="B4963" i="10"/>
  <c r="S4962" i="10"/>
  <c r="Q4962" i="10"/>
  <c r="P4962" i="10"/>
  <c r="O4962" i="10"/>
  <c r="M4962" i="10"/>
  <c r="E4962" i="10"/>
  <c r="B4962" i="10"/>
  <c r="S4961" i="10"/>
  <c r="Q4961" i="10"/>
  <c r="P4961" i="10"/>
  <c r="O4961" i="10"/>
  <c r="M4961" i="10"/>
  <c r="E4961" i="10"/>
  <c r="B4961" i="10"/>
  <c r="S4960" i="10"/>
  <c r="Q4960" i="10"/>
  <c r="P4960" i="10"/>
  <c r="O4960" i="10"/>
  <c r="M4960" i="10"/>
  <c r="B4960" i="10"/>
  <c r="S4959" i="10"/>
  <c r="Q4959" i="10"/>
  <c r="P4959" i="10"/>
  <c r="O4959" i="10"/>
  <c r="M4959" i="10"/>
  <c r="B4959" i="10"/>
  <c r="S4958" i="10"/>
  <c r="Q4958" i="10"/>
  <c r="P4958" i="10"/>
  <c r="O4958" i="10"/>
  <c r="M4958" i="10"/>
  <c r="E4958" i="10"/>
  <c r="B4958" i="10"/>
  <c r="S4957" i="10"/>
  <c r="Q4957" i="10"/>
  <c r="P4957" i="10"/>
  <c r="O4957" i="10"/>
  <c r="M4957" i="10"/>
  <c r="B4957" i="10"/>
  <c r="S4956" i="10"/>
  <c r="Q4956" i="10"/>
  <c r="P4956" i="10"/>
  <c r="O4956" i="10"/>
  <c r="M4956" i="10"/>
  <c r="B4956" i="10"/>
  <c r="S4955" i="10"/>
  <c r="Q4955" i="10"/>
  <c r="P4955" i="10"/>
  <c r="O4955" i="10"/>
  <c r="M4955" i="10"/>
  <c r="B4955" i="10"/>
  <c r="S4954" i="10"/>
  <c r="Q4954" i="10"/>
  <c r="P4954" i="10"/>
  <c r="O4954" i="10"/>
  <c r="M4954" i="10"/>
  <c r="B4954" i="10"/>
  <c r="S4953" i="10"/>
  <c r="Q4953" i="10"/>
  <c r="P4953" i="10"/>
  <c r="O4953" i="10"/>
  <c r="M4953" i="10"/>
  <c r="B4953" i="10"/>
  <c r="S4952" i="10"/>
  <c r="Q4952" i="10"/>
  <c r="P4952" i="10"/>
  <c r="O4952" i="10"/>
  <c r="M4952" i="10"/>
  <c r="E4952" i="10"/>
  <c r="B4952" i="10"/>
  <c r="S4951" i="10"/>
  <c r="Q4951" i="10"/>
  <c r="P4951" i="10"/>
  <c r="O4951" i="10"/>
  <c r="M4951" i="10"/>
  <c r="E4951" i="10"/>
  <c r="B4951" i="10"/>
  <c r="S4950" i="10"/>
  <c r="Q4950" i="10"/>
  <c r="P4950" i="10"/>
  <c r="O4950" i="10"/>
  <c r="M4950" i="10"/>
  <c r="E4950" i="10"/>
  <c r="B4950" i="10"/>
  <c r="S4949" i="10"/>
  <c r="Q4949" i="10"/>
  <c r="P4949" i="10"/>
  <c r="O4949" i="10"/>
  <c r="M4949" i="10"/>
  <c r="E4949" i="10"/>
  <c r="B4949" i="10"/>
  <c r="S4948" i="10"/>
  <c r="Q4948" i="10"/>
  <c r="P4948" i="10"/>
  <c r="O4948" i="10"/>
  <c r="M4948" i="10"/>
  <c r="E4948" i="10"/>
  <c r="B4948" i="10"/>
  <c r="S4947" i="10"/>
  <c r="Q4947" i="10"/>
  <c r="P4947" i="10"/>
  <c r="O4947" i="10"/>
  <c r="M4947" i="10"/>
  <c r="E4947" i="10"/>
  <c r="B4947" i="10"/>
  <c r="S4946" i="10"/>
  <c r="Q4946" i="10"/>
  <c r="P4946" i="10"/>
  <c r="O4946" i="10"/>
  <c r="M4946" i="10"/>
  <c r="B4946" i="10"/>
  <c r="S4945" i="10"/>
  <c r="Q4945" i="10"/>
  <c r="P4945" i="10"/>
  <c r="O4945" i="10"/>
  <c r="M4945" i="10"/>
  <c r="E4945" i="10"/>
  <c r="B4945" i="10"/>
  <c r="S4944" i="10"/>
  <c r="Q4944" i="10"/>
  <c r="P4944" i="10"/>
  <c r="O4944" i="10"/>
  <c r="M4944" i="10"/>
  <c r="B4944" i="10"/>
  <c r="S4943" i="10"/>
  <c r="Q4943" i="10"/>
  <c r="P4943" i="10"/>
  <c r="O4943" i="10"/>
  <c r="M4943" i="10"/>
  <c r="B4943" i="10"/>
  <c r="S4942" i="10"/>
  <c r="Q4942" i="10"/>
  <c r="P4942" i="10"/>
  <c r="O4942" i="10"/>
  <c r="M4942" i="10"/>
  <c r="E4942" i="10"/>
  <c r="B4942" i="10"/>
  <c r="S4941" i="10"/>
  <c r="Q4941" i="10"/>
  <c r="P4941" i="10"/>
  <c r="O4941" i="10"/>
  <c r="M4941" i="10"/>
  <c r="E4941" i="10"/>
  <c r="B4941" i="10"/>
  <c r="S4940" i="10"/>
  <c r="Q4940" i="10"/>
  <c r="P4940" i="10"/>
  <c r="O4940" i="10"/>
  <c r="M4940" i="10"/>
  <c r="E4940" i="10"/>
  <c r="B4940" i="10"/>
  <c r="S4939" i="10"/>
  <c r="Q4939" i="10"/>
  <c r="P4939" i="10"/>
  <c r="O4939" i="10"/>
  <c r="M4939" i="10"/>
  <c r="E4939" i="10"/>
  <c r="B4939" i="10"/>
  <c r="S4938" i="10"/>
  <c r="Q4938" i="10"/>
  <c r="P4938" i="10"/>
  <c r="O4938" i="10"/>
  <c r="M4938" i="10"/>
  <c r="B4938" i="10"/>
  <c r="S4937" i="10"/>
  <c r="Q4937" i="10"/>
  <c r="P4937" i="10"/>
  <c r="O4937" i="10"/>
  <c r="M4937" i="10"/>
  <c r="E4937" i="10"/>
  <c r="B4937" i="10"/>
  <c r="S4936" i="10"/>
  <c r="Q4936" i="10"/>
  <c r="P4936" i="10"/>
  <c r="O4936" i="10"/>
  <c r="M4936" i="10"/>
  <c r="E4936" i="10"/>
  <c r="B4936" i="10"/>
  <c r="S4935" i="10"/>
  <c r="Q4935" i="10"/>
  <c r="P4935" i="10"/>
  <c r="O4935" i="10"/>
  <c r="M4935" i="10"/>
  <c r="E4935" i="10"/>
  <c r="B4935" i="10"/>
  <c r="S4934" i="10"/>
  <c r="Q4934" i="10"/>
  <c r="P4934" i="10"/>
  <c r="O4934" i="10"/>
  <c r="M4934" i="10"/>
  <c r="E4934" i="10"/>
  <c r="B4934" i="10"/>
  <c r="S4933" i="10"/>
  <c r="Q4933" i="10"/>
  <c r="P4933" i="10"/>
  <c r="O4933" i="10"/>
  <c r="M4933" i="10"/>
  <c r="E4933" i="10"/>
  <c r="B4933" i="10"/>
  <c r="S4932" i="10"/>
  <c r="Q4932" i="10"/>
  <c r="P4932" i="10"/>
  <c r="O4932" i="10"/>
  <c r="M4932" i="10"/>
  <c r="B4932" i="10"/>
  <c r="S4931" i="10"/>
  <c r="Q4931" i="10"/>
  <c r="P4931" i="10"/>
  <c r="O4931" i="10"/>
  <c r="M4931" i="10"/>
  <c r="E4931" i="10"/>
  <c r="B4931" i="10"/>
  <c r="S4930" i="10"/>
  <c r="Q4930" i="10"/>
  <c r="P4930" i="10"/>
  <c r="O4930" i="10"/>
  <c r="M4930" i="10"/>
  <c r="E4930" i="10"/>
  <c r="B4930" i="10"/>
  <c r="S4929" i="10"/>
  <c r="Q4929" i="10"/>
  <c r="P4929" i="10"/>
  <c r="O4929" i="10"/>
  <c r="M4929" i="10"/>
  <c r="E4929" i="10"/>
  <c r="B4929" i="10"/>
  <c r="S4928" i="10"/>
  <c r="Q4928" i="10"/>
  <c r="P4928" i="10"/>
  <c r="O4928" i="10"/>
  <c r="M4928" i="10"/>
  <c r="E4928" i="10"/>
  <c r="B4928" i="10"/>
  <c r="S4927" i="10"/>
  <c r="Q4927" i="10"/>
  <c r="P4927" i="10"/>
  <c r="O4927" i="10"/>
  <c r="M4927" i="10"/>
  <c r="E4927" i="10"/>
  <c r="B4927" i="10"/>
  <c r="S4926" i="10"/>
  <c r="Q4926" i="10"/>
  <c r="P4926" i="10"/>
  <c r="O4926" i="10"/>
  <c r="M4926" i="10"/>
  <c r="E4926" i="10"/>
  <c r="B4926" i="10"/>
  <c r="S4925" i="10"/>
  <c r="Q4925" i="10"/>
  <c r="P4925" i="10"/>
  <c r="O4925" i="10"/>
  <c r="M4925" i="10"/>
  <c r="E4925" i="10"/>
  <c r="B4925" i="10"/>
  <c r="S4924" i="10"/>
  <c r="Q4924" i="10"/>
  <c r="P4924" i="10"/>
  <c r="O4924" i="10"/>
  <c r="M4924" i="10"/>
  <c r="E4924" i="10"/>
  <c r="B4924" i="10"/>
  <c r="S4923" i="10"/>
  <c r="Q4923" i="10"/>
  <c r="P4923" i="10"/>
  <c r="O4923" i="10"/>
  <c r="M4923" i="10"/>
  <c r="E4923" i="10"/>
  <c r="B4923" i="10"/>
  <c r="S4922" i="10"/>
  <c r="Q4922" i="10"/>
  <c r="P4922" i="10"/>
  <c r="O4922" i="10"/>
  <c r="M4922" i="10"/>
  <c r="E4922" i="10"/>
  <c r="B4922" i="10"/>
  <c r="S4921" i="10"/>
  <c r="Q4921" i="10"/>
  <c r="P4921" i="10"/>
  <c r="O4921" i="10"/>
  <c r="M4921" i="10"/>
  <c r="E4921" i="10"/>
  <c r="B4921" i="10"/>
  <c r="S4920" i="10"/>
  <c r="Q4920" i="10"/>
  <c r="P4920" i="10"/>
  <c r="O4920" i="10"/>
  <c r="M4920" i="10"/>
  <c r="E4920" i="10"/>
  <c r="B4920" i="10"/>
  <c r="S4919" i="10"/>
  <c r="Q4919" i="10"/>
  <c r="P4919" i="10"/>
  <c r="O4919" i="10"/>
  <c r="M4919" i="10"/>
  <c r="B4919" i="10"/>
  <c r="S4918" i="10"/>
  <c r="Q4918" i="10"/>
  <c r="P4918" i="10"/>
  <c r="O4918" i="10"/>
  <c r="M4918" i="10"/>
  <c r="E4918" i="10"/>
  <c r="B4918" i="10"/>
  <c r="S4917" i="10"/>
  <c r="Q4917" i="10"/>
  <c r="P4917" i="10"/>
  <c r="O4917" i="10"/>
  <c r="M4917" i="10"/>
  <c r="E4917" i="10"/>
  <c r="B4917" i="10"/>
  <c r="S4916" i="10"/>
  <c r="Q4916" i="10"/>
  <c r="P4916" i="10"/>
  <c r="O4916" i="10"/>
  <c r="M4916" i="10"/>
  <c r="E4916" i="10"/>
  <c r="B4916" i="10"/>
  <c r="S4915" i="10"/>
  <c r="Q4915" i="10"/>
  <c r="P4915" i="10"/>
  <c r="O4915" i="10"/>
  <c r="M4915" i="10"/>
  <c r="B4915" i="10"/>
  <c r="S4914" i="10"/>
  <c r="Q4914" i="10"/>
  <c r="P4914" i="10"/>
  <c r="O4914" i="10"/>
  <c r="M4914" i="10"/>
  <c r="E4914" i="10"/>
  <c r="B4914" i="10"/>
  <c r="S4913" i="10"/>
  <c r="Q4913" i="10"/>
  <c r="P4913" i="10"/>
  <c r="O4913" i="10"/>
  <c r="M4913" i="10"/>
  <c r="E4913" i="10"/>
  <c r="B4913" i="10"/>
  <c r="S4912" i="10"/>
  <c r="Q4912" i="10"/>
  <c r="P4912" i="10"/>
  <c r="O4912" i="10"/>
  <c r="M4912" i="10"/>
  <c r="E4912" i="10"/>
  <c r="B4912" i="10"/>
  <c r="S4911" i="10"/>
  <c r="Q4911" i="10"/>
  <c r="P4911" i="10"/>
  <c r="O4911" i="10"/>
  <c r="M4911" i="10"/>
  <c r="E4911" i="10"/>
  <c r="B4911" i="10"/>
  <c r="S4910" i="10"/>
  <c r="Q4910" i="10"/>
  <c r="P4910" i="10"/>
  <c r="O4910" i="10"/>
  <c r="M4910" i="10"/>
  <c r="E4910" i="10"/>
  <c r="B4910" i="10"/>
  <c r="S4909" i="10"/>
  <c r="Q4909" i="10"/>
  <c r="P4909" i="10"/>
  <c r="O4909" i="10"/>
  <c r="M4909" i="10"/>
  <c r="E4909" i="10"/>
  <c r="B4909" i="10"/>
  <c r="S4908" i="10"/>
  <c r="Q4908" i="10"/>
  <c r="P4908" i="10"/>
  <c r="O4908" i="10"/>
  <c r="M4908" i="10"/>
  <c r="E4908" i="10"/>
  <c r="B4908" i="10"/>
  <c r="S4907" i="10"/>
  <c r="Q4907" i="10"/>
  <c r="P4907" i="10"/>
  <c r="O4907" i="10"/>
  <c r="M4907" i="10"/>
  <c r="B4907" i="10"/>
  <c r="S4906" i="10"/>
  <c r="Q4906" i="10"/>
  <c r="P4906" i="10"/>
  <c r="O4906" i="10"/>
  <c r="M4906" i="10"/>
  <c r="E4906" i="10"/>
  <c r="B4906" i="10"/>
  <c r="S4905" i="10"/>
  <c r="Q4905" i="10"/>
  <c r="P4905" i="10"/>
  <c r="O4905" i="10"/>
  <c r="M4905" i="10"/>
  <c r="E4905" i="10"/>
  <c r="B4905" i="10"/>
  <c r="S4904" i="10"/>
  <c r="Q4904" i="10"/>
  <c r="P4904" i="10"/>
  <c r="O4904" i="10"/>
  <c r="M4904" i="10"/>
  <c r="E4904" i="10"/>
  <c r="B4904" i="10"/>
  <c r="S4903" i="10"/>
  <c r="Q4903" i="10"/>
  <c r="P4903" i="10"/>
  <c r="O4903" i="10"/>
  <c r="M4903" i="10"/>
  <c r="B4903" i="10"/>
  <c r="S4902" i="10"/>
  <c r="Q4902" i="10"/>
  <c r="P4902" i="10"/>
  <c r="O4902" i="10"/>
  <c r="M4902" i="10"/>
  <c r="E4902" i="10"/>
  <c r="B4902" i="10"/>
  <c r="S4901" i="10"/>
  <c r="Q4901" i="10"/>
  <c r="P4901" i="10"/>
  <c r="O4901" i="10"/>
  <c r="M4901" i="10"/>
  <c r="E4901" i="10"/>
  <c r="B4901" i="10"/>
  <c r="S4900" i="10"/>
  <c r="Q4900" i="10"/>
  <c r="P4900" i="10"/>
  <c r="O4900" i="10"/>
  <c r="M4900" i="10"/>
  <c r="E4900" i="10"/>
  <c r="B4900" i="10"/>
  <c r="S4899" i="10"/>
  <c r="Q4899" i="10"/>
  <c r="P4899" i="10"/>
  <c r="O4899" i="10"/>
  <c r="M4899" i="10"/>
  <c r="E4899" i="10"/>
  <c r="B4899" i="10"/>
  <c r="S4898" i="10"/>
  <c r="Q4898" i="10"/>
  <c r="P4898" i="10"/>
  <c r="O4898" i="10"/>
  <c r="M4898" i="10"/>
  <c r="E4898" i="10"/>
  <c r="B4898" i="10"/>
  <c r="S4897" i="10"/>
  <c r="Q4897" i="10"/>
  <c r="P4897" i="10"/>
  <c r="O4897" i="10"/>
  <c r="M4897" i="10"/>
  <c r="E4897" i="10"/>
  <c r="B4897" i="10"/>
  <c r="S4896" i="10"/>
  <c r="Q4896" i="10"/>
  <c r="P4896" i="10"/>
  <c r="O4896" i="10"/>
  <c r="M4896" i="10"/>
  <c r="E4896" i="10"/>
  <c r="B4896" i="10"/>
  <c r="S4895" i="10"/>
  <c r="Q4895" i="10"/>
  <c r="P4895" i="10"/>
  <c r="O4895" i="10"/>
  <c r="M4895" i="10"/>
  <c r="B4895" i="10"/>
  <c r="S4894" i="10"/>
  <c r="Q4894" i="10"/>
  <c r="P4894" i="10"/>
  <c r="O4894" i="10"/>
  <c r="M4894" i="10"/>
  <c r="E4894" i="10"/>
  <c r="B4894" i="10"/>
  <c r="S4893" i="10"/>
  <c r="Q4893" i="10"/>
  <c r="P4893" i="10"/>
  <c r="O4893" i="10"/>
  <c r="M4893" i="10"/>
  <c r="E4893" i="10"/>
  <c r="B4893" i="10"/>
  <c r="S4892" i="10"/>
  <c r="Q4892" i="10"/>
  <c r="P4892" i="10"/>
  <c r="O4892" i="10"/>
  <c r="M4892" i="10"/>
  <c r="E4892" i="10"/>
  <c r="B4892" i="10"/>
  <c r="S4891" i="10"/>
  <c r="Q4891" i="10"/>
  <c r="P4891" i="10"/>
  <c r="O4891" i="10"/>
  <c r="M4891" i="10"/>
  <c r="E4891" i="10"/>
  <c r="B4891" i="10"/>
  <c r="S4890" i="10"/>
  <c r="Q4890" i="10"/>
  <c r="P4890" i="10"/>
  <c r="O4890" i="10"/>
  <c r="M4890" i="10"/>
  <c r="E4890" i="10"/>
  <c r="B4890" i="10"/>
  <c r="S4889" i="10"/>
  <c r="Q4889" i="10"/>
  <c r="P4889" i="10"/>
  <c r="O4889" i="10"/>
  <c r="M4889" i="10"/>
  <c r="E4889" i="10"/>
  <c r="B4889" i="10"/>
  <c r="S4888" i="10"/>
  <c r="Q4888" i="10"/>
  <c r="P4888" i="10"/>
  <c r="O4888" i="10"/>
  <c r="M4888" i="10"/>
  <c r="E4888" i="10"/>
  <c r="B4888" i="10"/>
  <c r="S4887" i="10"/>
  <c r="Q4887" i="10"/>
  <c r="P4887" i="10"/>
  <c r="O4887" i="10"/>
  <c r="M4887" i="10"/>
  <c r="E4887" i="10"/>
  <c r="B4887" i="10"/>
  <c r="S4886" i="10"/>
  <c r="Q4886" i="10"/>
  <c r="P4886" i="10"/>
  <c r="O4886" i="10"/>
  <c r="M4886" i="10"/>
  <c r="E4886" i="10"/>
  <c r="B4886" i="10"/>
  <c r="S4885" i="10"/>
  <c r="Q4885" i="10"/>
  <c r="P4885" i="10"/>
  <c r="O4885" i="10"/>
  <c r="M4885" i="10"/>
  <c r="E4885" i="10"/>
  <c r="B4885" i="10"/>
  <c r="S4884" i="10"/>
  <c r="Q4884" i="10"/>
  <c r="P4884" i="10"/>
  <c r="O4884" i="10"/>
  <c r="M4884" i="10"/>
  <c r="E4884" i="10"/>
  <c r="B4884" i="10"/>
  <c r="S4883" i="10"/>
  <c r="Q4883" i="10"/>
  <c r="P4883" i="10"/>
  <c r="O4883" i="10"/>
  <c r="M4883" i="10"/>
  <c r="E4883" i="10"/>
  <c r="B4883" i="10"/>
  <c r="S4882" i="10"/>
  <c r="Q4882" i="10"/>
  <c r="P4882" i="10"/>
  <c r="O4882" i="10"/>
  <c r="M4882" i="10"/>
  <c r="B4882" i="10"/>
  <c r="S4881" i="10"/>
  <c r="Q4881" i="10"/>
  <c r="P4881" i="10"/>
  <c r="O4881" i="10"/>
  <c r="M4881" i="10"/>
  <c r="B4881" i="10"/>
  <c r="S4880" i="10"/>
  <c r="Q4880" i="10"/>
  <c r="P4880" i="10"/>
  <c r="O4880" i="10"/>
  <c r="M4880" i="10"/>
  <c r="B4880" i="10"/>
  <c r="S4879" i="10"/>
  <c r="Q4879" i="10"/>
  <c r="P4879" i="10"/>
  <c r="O4879" i="10"/>
  <c r="M4879" i="10"/>
  <c r="B4879" i="10"/>
  <c r="S4878" i="10"/>
  <c r="Q4878" i="10"/>
  <c r="P4878" i="10"/>
  <c r="O4878" i="10"/>
  <c r="M4878" i="10"/>
  <c r="B4878" i="10"/>
  <c r="S4877" i="10"/>
  <c r="Q4877" i="10"/>
  <c r="P4877" i="10"/>
  <c r="O4877" i="10"/>
  <c r="M4877" i="10"/>
  <c r="E4877" i="10"/>
  <c r="B4877" i="10"/>
  <c r="S4876" i="10"/>
  <c r="Q4876" i="10"/>
  <c r="P4876" i="10"/>
  <c r="O4876" i="10"/>
  <c r="M4876" i="10"/>
  <c r="E4876" i="10"/>
  <c r="B4876" i="10"/>
  <c r="S4875" i="10"/>
  <c r="Q4875" i="10"/>
  <c r="P4875" i="10"/>
  <c r="O4875" i="10"/>
  <c r="M4875" i="10"/>
  <c r="E4875" i="10"/>
  <c r="B4875" i="10"/>
  <c r="S4874" i="10"/>
  <c r="Q4874" i="10"/>
  <c r="P4874" i="10"/>
  <c r="O4874" i="10"/>
  <c r="M4874" i="10"/>
  <c r="E4874" i="10"/>
  <c r="B4874" i="10"/>
  <c r="S4873" i="10"/>
  <c r="Q4873" i="10"/>
  <c r="P4873" i="10"/>
  <c r="O4873" i="10"/>
  <c r="M4873" i="10"/>
  <c r="E4873" i="10"/>
  <c r="B4873" i="10"/>
  <c r="S4872" i="10"/>
  <c r="Q4872" i="10"/>
  <c r="P4872" i="10"/>
  <c r="O4872" i="10"/>
  <c r="M4872" i="10"/>
  <c r="E4872" i="10"/>
  <c r="B4872" i="10"/>
  <c r="S4871" i="10"/>
  <c r="Q4871" i="10"/>
  <c r="P4871" i="10"/>
  <c r="O4871" i="10"/>
  <c r="M4871" i="10"/>
  <c r="E4871" i="10"/>
  <c r="B4871" i="10"/>
  <c r="S4870" i="10"/>
  <c r="Q4870" i="10"/>
  <c r="P4870" i="10"/>
  <c r="O4870" i="10"/>
  <c r="M4870" i="10"/>
  <c r="E4870" i="10"/>
  <c r="B4870" i="10"/>
  <c r="S4869" i="10"/>
  <c r="Q4869" i="10"/>
  <c r="P4869" i="10"/>
  <c r="O4869" i="10"/>
  <c r="M4869" i="10"/>
  <c r="E4869" i="10"/>
  <c r="B4869" i="10"/>
  <c r="S4868" i="10"/>
  <c r="Q4868" i="10"/>
  <c r="P4868" i="10"/>
  <c r="O4868" i="10"/>
  <c r="M4868" i="10"/>
  <c r="E4868" i="10"/>
  <c r="B4868" i="10"/>
  <c r="S4867" i="10"/>
  <c r="Q4867" i="10"/>
  <c r="P4867" i="10"/>
  <c r="O4867" i="10"/>
  <c r="M4867" i="10"/>
  <c r="B4867" i="10"/>
  <c r="S4866" i="10"/>
  <c r="Q4866" i="10"/>
  <c r="P4866" i="10"/>
  <c r="O4866" i="10"/>
  <c r="M4866" i="10"/>
  <c r="B4866" i="10"/>
  <c r="S4865" i="10"/>
  <c r="Q4865" i="10"/>
  <c r="P4865" i="10"/>
  <c r="O4865" i="10"/>
  <c r="M4865" i="10"/>
  <c r="E4865" i="10"/>
  <c r="B4865" i="10"/>
  <c r="S4864" i="10"/>
  <c r="Q4864" i="10"/>
  <c r="P4864" i="10"/>
  <c r="O4864" i="10"/>
  <c r="M4864" i="10"/>
  <c r="E4864" i="10"/>
  <c r="B4864" i="10"/>
  <c r="S4863" i="10"/>
  <c r="Q4863" i="10"/>
  <c r="P4863" i="10"/>
  <c r="O4863" i="10"/>
  <c r="M4863" i="10"/>
  <c r="E4863" i="10"/>
  <c r="B4863" i="10"/>
  <c r="S4862" i="10"/>
  <c r="Q4862" i="10"/>
  <c r="P4862" i="10"/>
  <c r="O4862" i="10"/>
  <c r="M4862" i="10"/>
  <c r="B4862" i="10"/>
  <c r="S4861" i="10"/>
  <c r="Q4861" i="10"/>
  <c r="P4861" i="10"/>
  <c r="O4861" i="10"/>
  <c r="M4861" i="10"/>
  <c r="E4861" i="10"/>
  <c r="B4861" i="10"/>
  <c r="S4860" i="10"/>
  <c r="Q4860" i="10"/>
  <c r="P4860" i="10"/>
  <c r="O4860" i="10"/>
  <c r="M4860" i="10"/>
  <c r="E4860" i="10"/>
  <c r="B4860" i="10"/>
  <c r="S4859" i="10"/>
  <c r="Q4859" i="10"/>
  <c r="P4859" i="10"/>
  <c r="O4859" i="10"/>
  <c r="M4859" i="10"/>
  <c r="E4859" i="10"/>
  <c r="B4859" i="10"/>
  <c r="S4858" i="10"/>
  <c r="Q4858" i="10"/>
  <c r="P4858" i="10"/>
  <c r="O4858" i="10"/>
  <c r="M4858" i="10"/>
  <c r="E4858" i="10"/>
  <c r="B4858" i="10"/>
  <c r="S4857" i="10"/>
  <c r="Q4857" i="10"/>
  <c r="P4857" i="10"/>
  <c r="O4857" i="10"/>
  <c r="M4857" i="10"/>
  <c r="E4857" i="10"/>
  <c r="B4857" i="10"/>
  <c r="S4856" i="10"/>
  <c r="Q4856" i="10"/>
  <c r="P4856" i="10"/>
  <c r="O4856" i="10"/>
  <c r="M4856" i="10"/>
  <c r="E4856" i="10"/>
  <c r="B4856" i="10"/>
  <c r="S4855" i="10"/>
  <c r="Q4855" i="10"/>
  <c r="P4855" i="10"/>
  <c r="O4855" i="10"/>
  <c r="M4855" i="10"/>
  <c r="E4855" i="10"/>
  <c r="B4855" i="10"/>
  <c r="S4854" i="10"/>
  <c r="Q4854" i="10"/>
  <c r="P4854" i="10"/>
  <c r="O4854" i="10"/>
  <c r="M4854" i="10"/>
  <c r="E4854" i="10"/>
  <c r="B4854" i="10"/>
  <c r="S4853" i="10"/>
  <c r="Q4853" i="10"/>
  <c r="P4853" i="10"/>
  <c r="O4853" i="10"/>
  <c r="M4853" i="10"/>
  <c r="E4853" i="10"/>
  <c r="B4853" i="10"/>
  <c r="S4852" i="10"/>
  <c r="Q4852" i="10"/>
  <c r="P4852" i="10"/>
  <c r="O4852" i="10"/>
  <c r="M4852" i="10"/>
  <c r="E4852" i="10"/>
  <c r="B4852" i="10"/>
  <c r="S4851" i="10"/>
  <c r="Q4851" i="10"/>
  <c r="P4851" i="10"/>
  <c r="O4851" i="10"/>
  <c r="M4851" i="10"/>
  <c r="E4851" i="10"/>
  <c r="B4851" i="10"/>
  <c r="S4850" i="10"/>
  <c r="Q4850" i="10"/>
  <c r="P4850" i="10"/>
  <c r="O4850" i="10"/>
  <c r="M4850" i="10"/>
  <c r="E4850" i="10"/>
  <c r="B4850" i="10"/>
  <c r="S4849" i="10"/>
  <c r="Q4849" i="10"/>
  <c r="P4849" i="10"/>
  <c r="O4849" i="10"/>
  <c r="M4849" i="10"/>
  <c r="E4849" i="10"/>
  <c r="B4849" i="10"/>
  <c r="S4848" i="10"/>
  <c r="Q4848" i="10"/>
  <c r="P4848" i="10"/>
  <c r="O4848" i="10"/>
  <c r="M4848" i="10"/>
  <c r="E4848" i="10"/>
  <c r="B4848" i="10"/>
  <c r="S4847" i="10"/>
  <c r="Q4847" i="10"/>
  <c r="P4847" i="10"/>
  <c r="O4847" i="10"/>
  <c r="M4847" i="10"/>
  <c r="E4847" i="10"/>
  <c r="B4847" i="10"/>
  <c r="S4846" i="10"/>
  <c r="Q4846" i="10"/>
  <c r="P4846" i="10"/>
  <c r="O4846" i="10"/>
  <c r="M4846" i="10"/>
  <c r="E4846" i="10"/>
  <c r="B4846" i="10"/>
  <c r="S4845" i="10"/>
  <c r="Q4845" i="10"/>
  <c r="P4845" i="10"/>
  <c r="O4845" i="10"/>
  <c r="M4845" i="10"/>
  <c r="B4845" i="10"/>
  <c r="S4844" i="10"/>
  <c r="Q4844" i="10"/>
  <c r="P4844" i="10"/>
  <c r="O4844" i="10"/>
  <c r="M4844" i="10"/>
  <c r="E4844" i="10"/>
  <c r="B4844" i="10"/>
  <c r="S4843" i="10"/>
  <c r="Q4843" i="10"/>
  <c r="P4843" i="10"/>
  <c r="O4843" i="10"/>
  <c r="M4843" i="10"/>
  <c r="E4843" i="10"/>
  <c r="B4843" i="10"/>
  <c r="S4842" i="10"/>
  <c r="Q4842" i="10"/>
  <c r="P4842" i="10"/>
  <c r="O4842" i="10"/>
  <c r="M4842" i="10"/>
  <c r="E4842" i="10"/>
  <c r="B4842" i="10"/>
  <c r="S4841" i="10"/>
  <c r="Q4841" i="10"/>
  <c r="P4841" i="10"/>
  <c r="O4841" i="10"/>
  <c r="M4841" i="10"/>
  <c r="B4841" i="10"/>
  <c r="S4840" i="10"/>
  <c r="Q4840" i="10"/>
  <c r="P4840" i="10"/>
  <c r="O4840" i="10"/>
  <c r="M4840" i="10"/>
  <c r="B4840" i="10"/>
  <c r="S4839" i="10"/>
  <c r="Q4839" i="10"/>
  <c r="P4839" i="10"/>
  <c r="O4839" i="10"/>
  <c r="M4839" i="10"/>
  <c r="E4839" i="10"/>
  <c r="B4839" i="10"/>
  <c r="S4838" i="10"/>
  <c r="Q4838" i="10"/>
  <c r="P4838" i="10"/>
  <c r="O4838" i="10"/>
  <c r="M4838" i="10"/>
  <c r="E4838" i="10"/>
  <c r="B4838" i="10"/>
  <c r="S4837" i="10"/>
  <c r="Q4837" i="10"/>
  <c r="P4837" i="10"/>
  <c r="O4837" i="10"/>
  <c r="M4837" i="10"/>
  <c r="E4837" i="10"/>
  <c r="B4837" i="10"/>
  <c r="S4836" i="10"/>
  <c r="Q4836" i="10"/>
  <c r="P4836" i="10"/>
  <c r="O4836" i="10"/>
  <c r="M4836" i="10"/>
  <c r="E4836" i="10"/>
  <c r="B4836" i="10"/>
  <c r="S4835" i="10"/>
  <c r="Q4835" i="10"/>
  <c r="P4835" i="10"/>
  <c r="O4835" i="10"/>
  <c r="M4835" i="10"/>
  <c r="B4835" i="10"/>
  <c r="S4834" i="10"/>
  <c r="Q4834" i="10"/>
  <c r="P4834" i="10"/>
  <c r="O4834" i="10"/>
  <c r="M4834" i="10"/>
  <c r="B4834" i="10"/>
  <c r="S4833" i="10"/>
  <c r="Q4833" i="10"/>
  <c r="P4833" i="10"/>
  <c r="O4833" i="10"/>
  <c r="M4833" i="10"/>
  <c r="E4833" i="10"/>
  <c r="B4833" i="10"/>
  <c r="S4832" i="10"/>
  <c r="Q4832" i="10"/>
  <c r="P4832" i="10"/>
  <c r="O4832" i="10"/>
  <c r="M4832" i="10"/>
  <c r="E4832" i="10"/>
  <c r="B4832" i="10"/>
  <c r="S4831" i="10"/>
  <c r="Q4831" i="10"/>
  <c r="P4831" i="10"/>
  <c r="O4831" i="10"/>
  <c r="M4831" i="10"/>
  <c r="E4831" i="10"/>
  <c r="B4831" i="10"/>
  <c r="S4830" i="10"/>
  <c r="Q4830" i="10"/>
  <c r="P4830" i="10"/>
  <c r="O4830" i="10"/>
  <c r="M4830" i="10"/>
  <c r="E4830" i="10"/>
  <c r="B4830" i="10"/>
  <c r="S4829" i="10"/>
  <c r="Q4829" i="10"/>
  <c r="P4829" i="10"/>
  <c r="O4829" i="10"/>
  <c r="M4829" i="10"/>
  <c r="E4829" i="10"/>
  <c r="B4829" i="10"/>
  <c r="S4828" i="10"/>
  <c r="Q4828" i="10"/>
  <c r="P4828" i="10"/>
  <c r="O4828" i="10"/>
  <c r="M4828" i="10"/>
  <c r="E4828" i="10"/>
  <c r="B4828" i="10"/>
  <c r="S4827" i="10"/>
  <c r="Q4827" i="10"/>
  <c r="P4827" i="10"/>
  <c r="O4827" i="10"/>
  <c r="M4827" i="10"/>
  <c r="E4827" i="10"/>
  <c r="B4827" i="10"/>
  <c r="S4826" i="10"/>
  <c r="Q4826" i="10"/>
  <c r="P4826" i="10"/>
  <c r="O4826" i="10"/>
  <c r="M4826" i="10"/>
  <c r="E4826" i="10"/>
  <c r="B4826" i="10"/>
  <c r="S4825" i="10"/>
  <c r="Q4825" i="10"/>
  <c r="P4825" i="10"/>
  <c r="O4825" i="10"/>
  <c r="M4825" i="10"/>
  <c r="E4825" i="10"/>
  <c r="B4825" i="10"/>
  <c r="S4824" i="10"/>
  <c r="Q4824" i="10"/>
  <c r="P4824" i="10"/>
  <c r="O4824" i="10"/>
  <c r="M4824" i="10"/>
  <c r="E4824" i="10"/>
  <c r="B4824" i="10"/>
  <c r="S4823" i="10"/>
  <c r="Q4823" i="10"/>
  <c r="P4823" i="10"/>
  <c r="O4823" i="10"/>
  <c r="M4823" i="10"/>
  <c r="E4823" i="10"/>
  <c r="B4823" i="10"/>
  <c r="S4822" i="10"/>
  <c r="Q4822" i="10"/>
  <c r="P4822" i="10"/>
  <c r="O4822" i="10"/>
  <c r="M4822" i="10"/>
  <c r="E4822" i="10"/>
  <c r="B4822" i="10"/>
  <c r="S4821" i="10"/>
  <c r="Q4821" i="10"/>
  <c r="P4821" i="10"/>
  <c r="O4821" i="10"/>
  <c r="M4821" i="10"/>
  <c r="E4821" i="10"/>
  <c r="B4821" i="10"/>
  <c r="S4820" i="10"/>
  <c r="Q4820" i="10"/>
  <c r="P4820" i="10"/>
  <c r="O4820" i="10"/>
  <c r="M4820" i="10"/>
  <c r="E4820" i="10"/>
  <c r="B4820" i="10"/>
  <c r="S4819" i="10"/>
  <c r="Q4819" i="10"/>
  <c r="P4819" i="10"/>
  <c r="O4819" i="10"/>
  <c r="M4819" i="10"/>
  <c r="E4819" i="10"/>
  <c r="B4819" i="10"/>
  <c r="S4818" i="10"/>
  <c r="Q4818" i="10"/>
  <c r="P4818" i="10"/>
  <c r="O4818" i="10"/>
  <c r="M4818" i="10"/>
  <c r="E4818" i="10"/>
  <c r="B4818" i="10"/>
  <c r="S4817" i="10"/>
  <c r="Q4817" i="10"/>
  <c r="P4817" i="10"/>
  <c r="O4817" i="10"/>
  <c r="M4817" i="10"/>
  <c r="E4817" i="10"/>
  <c r="B4817" i="10"/>
  <c r="S4816" i="10"/>
  <c r="Q4816" i="10"/>
  <c r="P4816" i="10"/>
  <c r="O4816" i="10"/>
  <c r="M4816" i="10"/>
  <c r="E4816" i="10"/>
  <c r="B4816" i="10"/>
  <c r="S4815" i="10"/>
  <c r="Q4815" i="10"/>
  <c r="P4815" i="10"/>
  <c r="O4815" i="10"/>
  <c r="M4815" i="10"/>
  <c r="E4815" i="10"/>
  <c r="B4815" i="10"/>
  <c r="S4814" i="10"/>
  <c r="Q4814" i="10"/>
  <c r="P4814" i="10"/>
  <c r="O4814" i="10"/>
  <c r="M4814" i="10"/>
  <c r="E4814" i="10"/>
  <c r="B4814" i="10"/>
  <c r="S4813" i="10"/>
  <c r="Q4813" i="10"/>
  <c r="P4813" i="10"/>
  <c r="O4813" i="10"/>
  <c r="M4813" i="10"/>
  <c r="E4813" i="10"/>
  <c r="B4813" i="10"/>
  <c r="S4812" i="10"/>
  <c r="Q4812" i="10"/>
  <c r="P4812" i="10"/>
  <c r="O4812" i="10"/>
  <c r="M4812" i="10"/>
  <c r="E4812" i="10"/>
  <c r="B4812" i="10"/>
  <c r="S4811" i="10"/>
  <c r="Q4811" i="10"/>
  <c r="P4811" i="10"/>
  <c r="O4811" i="10"/>
  <c r="M4811" i="10"/>
  <c r="E4811" i="10"/>
  <c r="B4811" i="10"/>
  <c r="S4810" i="10"/>
  <c r="Q4810" i="10"/>
  <c r="P4810" i="10"/>
  <c r="O4810" i="10"/>
  <c r="M4810" i="10"/>
  <c r="E4810" i="10"/>
  <c r="B4810" i="10"/>
  <c r="S4809" i="10"/>
  <c r="Q4809" i="10"/>
  <c r="P4809" i="10"/>
  <c r="O4809" i="10"/>
  <c r="M4809" i="10"/>
  <c r="E4809" i="10"/>
  <c r="B4809" i="10"/>
  <c r="S4808" i="10"/>
  <c r="Q4808" i="10"/>
  <c r="P4808" i="10"/>
  <c r="O4808" i="10"/>
  <c r="M4808" i="10"/>
  <c r="E4808" i="10"/>
  <c r="B4808" i="10"/>
  <c r="S4807" i="10"/>
  <c r="Q4807" i="10"/>
  <c r="P4807" i="10"/>
  <c r="O4807" i="10"/>
  <c r="M4807" i="10"/>
  <c r="E4807" i="10"/>
  <c r="B4807" i="10"/>
  <c r="S4806" i="10"/>
  <c r="Q4806" i="10"/>
  <c r="P4806" i="10"/>
  <c r="O4806" i="10"/>
  <c r="M4806" i="10"/>
  <c r="E4806" i="10"/>
  <c r="B4806" i="10"/>
  <c r="S4805" i="10"/>
  <c r="Q4805" i="10"/>
  <c r="P4805" i="10"/>
  <c r="O4805" i="10"/>
  <c r="M4805" i="10"/>
  <c r="E4805" i="10"/>
  <c r="B4805" i="10"/>
  <c r="S4804" i="10"/>
  <c r="Q4804" i="10"/>
  <c r="P4804" i="10"/>
  <c r="O4804" i="10"/>
  <c r="M4804" i="10"/>
  <c r="E4804" i="10"/>
  <c r="B4804" i="10"/>
  <c r="S4803" i="10"/>
  <c r="Q4803" i="10"/>
  <c r="P4803" i="10"/>
  <c r="O4803" i="10"/>
  <c r="M4803" i="10"/>
  <c r="E4803" i="10"/>
  <c r="B4803" i="10"/>
  <c r="S4802" i="10"/>
  <c r="Q4802" i="10"/>
  <c r="P4802" i="10"/>
  <c r="O4802" i="10"/>
  <c r="M4802" i="10"/>
  <c r="E4802" i="10"/>
  <c r="B4802" i="10"/>
  <c r="S4801" i="10"/>
  <c r="Q4801" i="10"/>
  <c r="P4801" i="10"/>
  <c r="O4801" i="10"/>
  <c r="M4801" i="10"/>
  <c r="E4801" i="10"/>
  <c r="B4801" i="10"/>
  <c r="S4800" i="10"/>
  <c r="Q4800" i="10"/>
  <c r="P4800" i="10"/>
  <c r="O4800" i="10"/>
  <c r="M4800" i="10"/>
  <c r="E4800" i="10"/>
  <c r="B4800" i="10"/>
  <c r="S4799" i="10"/>
  <c r="Q4799" i="10"/>
  <c r="P4799" i="10"/>
  <c r="O4799" i="10"/>
  <c r="M4799" i="10"/>
  <c r="B4799" i="10"/>
  <c r="S4798" i="10"/>
  <c r="Q4798" i="10"/>
  <c r="P4798" i="10"/>
  <c r="O4798" i="10"/>
  <c r="M4798" i="10"/>
  <c r="E4798" i="10"/>
  <c r="B4798" i="10"/>
  <c r="S4797" i="10"/>
  <c r="Q4797" i="10"/>
  <c r="P4797" i="10"/>
  <c r="O4797" i="10"/>
  <c r="M4797" i="10"/>
  <c r="E4797" i="10"/>
  <c r="B4797" i="10"/>
  <c r="S4796" i="10"/>
  <c r="Q4796" i="10"/>
  <c r="P4796" i="10"/>
  <c r="O4796" i="10"/>
  <c r="M4796" i="10"/>
  <c r="E4796" i="10"/>
  <c r="B4796" i="10"/>
  <c r="S4795" i="10"/>
  <c r="Q4795" i="10"/>
  <c r="P4795" i="10"/>
  <c r="O4795" i="10"/>
  <c r="M4795" i="10"/>
  <c r="E4795" i="10"/>
  <c r="B4795" i="10"/>
  <c r="S4794" i="10"/>
  <c r="Q4794" i="10"/>
  <c r="P4794" i="10"/>
  <c r="O4794" i="10"/>
  <c r="M4794" i="10"/>
  <c r="E4794" i="10"/>
  <c r="B4794" i="10"/>
  <c r="S4793" i="10"/>
  <c r="Q4793" i="10"/>
  <c r="P4793" i="10"/>
  <c r="O4793" i="10"/>
  <c r="M4793" i="10"/>
  <c r="E4793" i="10"/>
  <c r="B4793" i="10"/>
  <c r="S4792" i="10"/>
  <c r="Q4792" i="10"/>
  <c r="P4792" i="10"/>
  <c r="O4792" i="10"/>
  <c r="M4792" i="10"/>
  <c r="E4792" i="10"/>
  <c r="B4792" i="10"/>
  <c r="S4791" i="10"/>
  <c r="Q4791" i="10"/>
  <c r="P4791" i="10"/>
  <c r="O4791" i="10"/>
  <c r="M4791" i="10"/>
  <c r="E4791" i="10"/>
  <c r="B4791" i="10"/>
  <c r="S4790" i="10"/>
  <c r="Q4790" i="10"/>
  <c r="P4790" i="10"/>
  <c r="O4790" i="10"/>
  <c r="M4790" i="10"/>
  <c r="E4790" i="10"/>
  <c r="B4790" i="10"/>
  <c r="S4789" i="10"/>
  <c r="Q4789" i="10"/>
  <c r="P4789" i="10"/>
  <c r="O4789" i="10"/>
  <c r="M4789" i="10"/>
  <c r="E4789" i="10"/>
  <c r="B4789" i="10"/>
  <c r="S4788" i="10"/>
  <c r="Q4788" i="10"/>
  <c r="P4788" i="10"/>
  <c r="O4788" i="10"/>
  <c r="M4788" i="10"/>
  <c r="E4788" i="10"/>
  <c r="B4788" i="10"/>
  <c r="S4787" i="10"/>
  <c r="Q4787" i="10"/>
  <c r="P4787" i="10"/>
  <c r="O4787" i="10"/>
  <c r="M4787" i="10"/>
  <c r="E4787" i="10"/>
  <c r="B4787" i="10"/>
  <c r="S4786" i="10"/>
  <c r="Q4786" i="10"/>
  <c r="P4786" i="10"/>
  <c r="O4786" i="10"/>
  <c r="M4786" i="10"/>
  <c r="E4786" i="10"/>
  <c r="B4786" i="10"/>
  <c r="S4785" i="10"/>
  <c r="Q4785" i="10"/>
  <c r="P4785" i="10"/>
  <c r="O4785" i="10"/>
  <c r="M4785" i="10"/>
  <c r="E4785" i="10"/>
  <c r="B4785" i="10"/>
  <c r="S4784" i="10"/>
  <c r="Q4784" i="10"/>
  <c r="P4784" i="10"/>
  <c r="O4784" i="10"/>
  <c r="M4784" i="10"/>
  <c r="E4784" i="10"/>
  <c r="B4784" i="10"/>
  <c r="S4783" i="10"/>
  <c r="Q4783" i="10"/>
  <c r="P4783" i="10"/>
  <c r="O4783" i="10"/>
  <c r="M4783" i="10"/>
  <c r="E4783" i="10"/>
  <c r="B4783" i="10"/>
  <c r="S4782" i="10"/>
  <c r="Q4782" i="10"/>
  <c r="P4782" i="10"/>
  <c r="O4782" i="10"/>
  <c r="M4782" i="10"/>
  <c r="E4782" i="10"/>
  <c r="B4782" i="10"/>
  <c r="S4781" i="10"/>
  <c r="Q4781" i="10"/>
  <c r="P4781" i="10"/>
  <c r="O4781" i="10"/>
  <c r="M4781" i="10"/>
  <c r="E4781" i="10"/>
  <c r="B4781" i="10"/>
  <c r="S4780" i="10"/>
  <c r="Q4780" i="10"/>
  <c r="P4780" i="10"/>
  <c r="O4780" i="10"/>
  <c r="M4780" i="10"/>
  <c r="E4780" i="10"/>
  <c r="B4780" i="10"/>
  <c r="S4779" i="10"/>
  <c r="Q4779" i="10"/>
  <c r="P4779" i="10"/>
  <c r="O4779" i="10"/>
  <c r="M4779" i="10"/>
  <c r="E4779" i="10"/>
  <c r="B4779" i="10"/>
  <c r="S4778" i="10"/>
  <c r="Q4778" i="10"/>
  <c r="P4778" i="10"/>
  <c r="O4778" i="10"/>
  <c r="M4778" i="10"/>
  <c r="E4778" i="10"/>
  <c r="B4778" i="10"/>
  <c r="S4777" i="10"/>
  <c r="Q4777" i="10"/>
  <c r="P4777" i="10"/>
  <c r="O4777" i="10"/>
  <c r="M4777" i="10"/>
  <c r="E4777" i="10"/>
  <c r="B4777" i="10"/>
  <c r="S4776" i="10"/>
  <c r="Q4776" i="10"/>
  <c r="P4776" i="10"/>
  <c r="O4776" i="10"/>
  <c r="M4776" i="10"/>
  <c r="E4776" i="10"/>
  <c r="B4776" i="10"/>
  <c r="S4775" i="10"/>
  <c r="Q4775" i="10"/>
  <c r="P4775" i="10"/>
  <c r="O4775" i="10"/>
  <c r="M4775" i="10"/>
  <c r="E4775" i="10"/>
  <c r="B4775" i="10"/>
  <c r="S4774" i="10"/>
  <c r="Q4774" i="10"/>
  <c r="P4774" i="10"/>
  <c r="O4774" i="10"/>
  <c r="M4774" i="10"/>
  <c r="E4774" i="10"/>
  <c r="B4774" i="10"/>
  <c r="S4773" i="10"/>
  <c r="Q4773" i="10"/>
  <c r="P4773" i="10"/>
  <c r="O4773" i="10"/>
  <c r="M4773" i="10"/>
  <c r="E4773" i="10"/>
  <c r="B4773" i="10"/>
  <c r="S4772" i="10"/>
  <c r="Q4772" i="10"/>
  <c r="P4772" i="10"/>
  <c r="O4772" i="10"/>
  <c r="M4772" i="10"/>
  <c r="B4772" i="10"/>
  <c r="S4771" i="10"/>
  <c r="Q4771" i="10"/>
  <c r="P4771" i="10"/>
  <c r="O4771" i="10"/>
  <c r="M4771" i="10"/>
  <c r="E4771" i="10"/>
  <c r="B4771" i="10"/>
  <c r="S4770" i="10"/>
  <c r="Q4770" i="10"/>
  <c r="P4770" i="10"/>
  <c r="O4770" i="10"/>
  <c r="M4770" i="10"/>
  <c r="E4770" i="10"/>
  <c r="B4770" i="10"/>
  <c r="S4769" i="10"/>
  <c r="Q4769" i="10"/>
  <c r="P4769" i="10"/>
  <c r="O4769" i="10"/>
  <c r="M4769" i="10"/>
  <c r="E4769" i="10"/>
  <c r="B4769" i="10"/>
  <c r="S4768" i="10"/>
  <c r="Q4768" i="10"/>
  <c r="P4768" i="10"/>
  <c r="O4768" i="10"/>
  <c r="M4768" i="10"/>
  <c r="E4768" i="10"/>
  <c r="B4768" i="10"/>
  <c r="S4767" i="10"/>
  <c r="Q4767" i="10"/>
  <c r="P4767" i="10"/>
  <c r="O4767" i="10"/>
  <c r="M4767" i="10"/>
  <c r="E4767" i="10"/>
  <c r="B4767" i="10"/>
  <c r="S4766" i="10"/>
  <c r="Q4766" i="10"/>
  <c r="P4766" i="10"/>
  <c r="O4766" i="10"/>
  <c r="M4766" i="10"/>
  <c r="E4766" i="10"/>
  <c r="B4766" i="10"/>
  <c r="S4765" i="10"/>
  <c r="Q4765" i="10"/>
  <c r="P4765" i="10"/>
  <c r="O4765" i="10"/>
  <c r="M4765" i="10"/>
  <c r="E4765" i="10"/>
  <c r="B4765" i="10"/>
  <c r="S4764" i="10"/>
  <c r="Q4764" i="10"/>
  <c r="P4764" i="10"/>
  <c r="O4764" i="10"/>
  <c r="M4764" i="10"/>
  <c r="E4764" i="10"/>
  <c r="B4764" i="10"/>
  <c r="S4763" i="10"/>
  <c r="Q4763" i="10"/>
  <c r="P4763" i="10"/>
  <c r="O4763" i="10"/>
  <c r="M4763" i="10"/>
  <c r="E4763" i="10"/>
  <c r="B4763" i="10"/>
  <c r="S4762" i="10"/>
  <c r="Q4762" i="10"/>
  <c r="P4762" i="10"/>
  <c r="O4762" i="10"/>
  <c r="M4762" i="10"/>
  <c r="E4762" i="10"/>
  <c r="B4762" i="10"/>
  <c r="S4761" i="10"/>
  <c r="Q4761" i="10"/>
  <c r="P4761" i="10"/>
  <c r="O4761" i="10"/>
  <c r="M4761" i="10"/>
  <c r="E4761" i="10"/>
  <c r="B4761" i="10"/>
  <c r="S4760" i="10"/>
  <c r="Q4760" i="10"/>
  <c r="P4760" i="10"/>
  <c r="O4760" i="10"/>
  <c r="M4760" i="10"/>
  <c r="E4760" i="10"/>
  <c r="B4760" i="10"/>
  <c r="S4759" i="10"/>
  <c r="Q4759" i="10"/>
  <c r="P4759" i="10"/>
  <c r="O4759" i="10"/>
  <c r="M4759" i="10"/>
  <c r="E4759" i="10"/>
  <c r="B4759" i="10"/>
  <c r="S4758" i="10"/>
  <c r="Q4758" i="10"/>
  <c r="P4758" i="10"/>
  <c r="O4758" i="10"/>
  <c r="M4758" i="10"/>
  <c r="E4758" i="10"/>
  <c r="B4758" i="10"/>
  <c r="S4757" i="10"/>
  <c r="Q4757" i="10"/>
  <c r="P4757" i="10"/>
  <c r="O4757" i="10"/>
  <c r="M4757" i="10"/>
  <c r="E4757" i="10"/>
  <c r="B4757" i="10"/>
  <c r="S4756" i="10"/>
  <c r="Q4756" i="10"/>
  <c r="P4756" i="10"/>
  <c r="O4756" i="10"/>
  <c r="M4756" i="10"/>
  <c r="E4756" i="10"/>
  <c r="B4756" i="10"/>
  <c r="S4755" i="10"/>
  <c r="Q4755" i="10"/>
  <c r="P4755" i="10"/>
  <c r="O4755" i="10"/>
  <c r="M4755" i="10"/>
  <c r="E4755" i="10"/>
  <c r="B4755" i="10"/>
  <c r="S4754" i="10"/>
  <c r="Q4754" i="10"/>
  <c r="P4754" i="10"/>
  <c r="O4754" i="10"/>
  <c r="M4754" i="10"/>
  <c r="E4754" i="10"/>
  <c r="B4754" i="10"/>
  <c r="S4753" i="10"/>
  <c r="Q4753" i="10"/>
  <c r="P4753" i="10"/>
  <c r="O4753" i="10"/>
  <c r="M4753" i="10"/>
  <c r="E4753" i="10"/>
  <c r="B4753" i="10"/>
  <c r="S4752" i="10"/>
  <c r="Q4752" i="10"/>
  <c r="P4752" i="10"/>
  <c r="O4752" i="10"/>
  <c r="M4752" i="10"/>
  <c r="E4752" i="10"/>
  <c r="B4752" i="10"/>
  <c r="S4751" i="10"/>
  <c r="Q4751" i="10"/>
  <c r="P4751" i="10"/>
  <c r="O4751" i="10"/>
  <c r="M4751" i="10"/>
  <c r="E4751" i="10"/>
  <c r="B4751" i="10"/>
  <c r="S4750" i="10"/>
  <c r="Q4750" i="10"/>
  <c r="P4750" i="10"/>
  <c r="O4750" i="10"/>
  <c r="M4750" i="10"/>
  <c r="E4750" i="10"/>
  <c r="B4750" i="10"/>
  <c r="S4749" i="10"/>
  <c r="Q4749" i="10"/>
  <c r="P4749" i="10"/>
  <c r="O4749" i="10"/>
  <c r="M4749" i="10"/>
  <c r="E4749" i="10"/>
  <c r="B4749" i="10"/>
  <c r="S4748" i="10"/>
  <c r="Q4748" i="10"/>
  <c r="P4748" i="10"/>
  <c r="O4748" i="10"/>
  <c r="M4748" i="10"/>
  <c r="E4748" i="10"/>
  <c r="B4748" i="10"/>
  <c r="S4747" i="10"/>
  <c r="Q4747" i="10"/>
  <c r="P4747" i="10"/>
  <c r="O4747" i="10"/>
  <c r="M4747" i="10"/>
  <c r="E4747" i="10"/>
  <c r="B4747" i="10"/>
  <c r="S4746" i="10"/>
  <c r="Q4746" i="10"/>
  <c r="P4746" i="10"/>
  <c r="O4746" i="10"/>
  <c r="M4746" i="10"/>
  <c r="E4746" i="10"/>
  <c r="B4746" i="10"/>
  <c r="S4745" i="10"/>
  <c r="Q4745" i="10"/>
  <c r="P4745" i="10"/>
  <c r="O4745" i="10"/>
  <c r="M4745" i="10"/>
  <c r="E4745" i="10"/>
  <c r="B4745" i="10"/>
  <c r="S4744" i="10"/>
  <c r="Q4744" i="10"/>
  <c r="P4744" i="10"/>
  <c r="O4744" i="10"/>
  <c r="M4744" i="10"/>
  <c r="E4744" i="10"/>
  <c r="B4744" i="10"/>
  <c r="S4743" i="10"/>
  <c r="Q4743" i="10"/>
  <c r="P4743" i="10"/>
  <c r="O4743" i="10"/>
  <c r="M4743" i="10"/>
  <c r="E4743" i="10"/>
  <c r="B4743" i="10"/>
  <c r="S4742" i="10"/>
  <c r="Q4742" i="10"/>
  <c r="P4742" i="10"/>
  <c r="O4742" i="10"/>
  <c r="M4742" i="10"/>
  <c r="B4742" i="10"/>
  <c r="S4741" i="10"/>
  <c r="Q4741" i="10"/>
  <c r="P4741" i="10"/>
  <c r="O4741" i="10"/>
  <c r="M4741" i="10"/>
  <c r="E4741" i="10"/>
  <c r="B4741" i="10"/>
  <c r="S4740" i="10"/>
  <c r="Q4740" i="10"/>
  <c r="P4740" i="10"/>
  <c r="O4740" i="10"/>
  <c r="M4740" i="10"/>
  <c r="E4740" i="10"/>
  <c r="B4740" i="10"/>
  <c r="S4739" i="10"/>
  <c r="Q4739" i="10"/>
  <c r="P4739" i="10"/>
  <c r="O4739" i="10"/>
  <c r="M4739" i="10"/>
  <c r="E4739" i="10"/>
  <c r="B4739" i="10"/>
  <c r="S4738" i="10"/>
  <c r="Q4738" i="10"/>
  <c r="P4738" i="10"/>
  <c r="O4738" i="10"/>
  <c r="M4738" i="10"/>
  <c r="E4738" i="10"/>
  <c r="B4738" i="10"/>
  <c r="S4737" i="10"/>
  <c r="Q4737" i="10"/>
  <c r="P4737" i="10"/>
  <c r="O4737" i="10"/>
  <c r="M4737" i="10"/>
  <c r="B4737" i="10"/>
  <c r="S4736" i="10"/>
  <c r="Q4736" i="10"/>
  <c r="P4736" i="10"/>
  <c r="O4736" i="10"/>
  <c r="M4736" i="10"/>
  <c r="B4736" i="10"/>
  <c r="S4735" i="10"/>
  <c r="Q4735" i="10"/>
  <c r="P4735" i="10"/>
  <c r="O4735" i="10"/>
  <c r="M4735" i="10"/>
  <c r="E4735" i="10"/>
  <c r="B4735" i="10"/>
  <c r="S4734" i="10"/>
  <c r="Q4734" i="10"/>
  <c r="P4734" i="10"/>
  <c r="O4734" i="10"/>
  <c r="M4734" i="10"/>
  <c r="B4734" i="10"/>
  <c r="S4733" i="10"/>
  <c r="Q4733" i="10"/>
  <c r="P4733" i="10"/>
  <c r="O4733" i="10"/>
  <c r="M4733" i="10"/>
  <c r="E4733" i="10"/>
  <c r="B4733" i="10"/>
  <c r="S4732" i="10"/>
  <c r="Q4732" i="10"/>
  <c r="P4732" i="10"/>
  <c r="O4732" i="10"/>
  <c r="M4732" i="10"/>
  <c r="E4732" i="10"/>
  <c r="B4732" i="10"/>
  <c r="S4731" i="10"/>
  <c r="Q4731" i="10"/>
  <c r="P4731" i="10"/>
  <c r="O4731" i="10"/>
  <c r="M4731" i="10"/>
  <c r="B4731" i="10"/>
  <c r="S4730" i="10"/>
  <c r="Q4730" i="10"/>
  <c r="P4730" i="10"/>
  <c r="O4730" i="10"/>
  <c r="M4730" i="10"/>
  <c r="E4730" i="10"/>
  <c r="B4730" i="10"/>
  <c r="S4729" i="10"/>
  <c r="Q4729" i="10"/>
  <c r="P4729" i="10"/>
  <c r="O4729" i="10"/>
  <c r="M4729" i="10"/>
  <c r="E4729" i="10"/>
  <c r="B4729" i="10"/>
  <c r="S4728" i="10"/>
  <c r="Q4728" i="10"/>
  <c r="P4728" i="10"/>
  <c r="O4728" i="10"/>
  <c r="M4728" i="10"/>
  <c r="E4728" i="10"/>
  <c r="B4728" i="10"/>
  <c r="S4727" i="10"/>
  <c r="Q4727" i="10"/>
  <c r="P4727" i="10"/>
  <c r="O4727" i="10"/>
  <c r="M4727" i="10"/>
  <c r="E4727" i="10"/>
  <c r="B4727" i="10"/>
  <c r="S4726" i="10"/>
  <c r="Q4726" i="10"/>
  <c r="P4726" i="10"/>
  <c r="O4726" i="10"/>
  <c r="M4726" i="10"/>
  <c r="E4726" i="10"/>
  <c r="B4726" i="10"/>
  <c r="S4725" i="10"/>
  <c r="Q4725" i="10"/>
  <c r="P4725" i="10"/>
  <c r="O4725" i="10"/>
  <c r="M4725" i="10"/>
  <c r="E4725" i="10"/>
  <c r="B4725" i="10"/>
  <c r="S4724" i="10"/>
  <c r="Q4724" i="10"/>
  <c r="P4724" i="10"/>
  <c r="O4724" i="10"/>
  <c r="M4724" i="10"/>
  <c r="E4724" i="10"/>
  <c r="B4724" i="10"/>
  <c r="S4723" i="10"/>
  <c r="Q4723" i="10"/>
  <c r="P4723" i="10"/>
  <c r="O4723" i="10"/>
  <c r="M4723" i="10"/>
  <c r="E4723" i="10"/>
  <c r="B4723" i="10"/>
  <c r="S4722" i="10"/>
  <c r="Q4722" i="10"/>
  <c r="P4722" i="10"/>
  <c r="O4722" i="10"/>
  <c r="M4722" i="10"/>
  <c r="E4722" i="10"/>
  <c r="B4722" i="10"/>
  <c r="S4721" i="10"/>
  <c r="Q4721" i="10"/>
  <c r="P4721" i="10"/>
  <c r="O4721" i="10"/>
  <c r="M4721" i="10"/>
  <c r="E4721" i="10"/>
  <c r="B4721" i="10"/>
  <c r="S4720" i="10"/>
  <c r="Q4720" i="10"/>
  <c r="P4720" i="10"/>
  <c r="O4720" i="10"/>
  <c r="M4720" i="10"/>
  <c r="E4720" i="10"/>
  <c r="B4720" i="10"/>
  <c r="S4719" i="10"/>
  <c r="Q4719" i="10"/>
  <c r="P4719" i="10"/>
  <c r="O4719" i="10"/>
  <c r="M4719" i="10"/>
  <c r="E4719" i="10"/>
  <c r="B4719" i="10"/>
  <c r="S4718" i="10"/>
  <c r="Q4718" i="10"/>
  <c r="P4718" i="10"/>
  <c r="O4718" i="10"/>
  <c r="M4718" i="10"/>
  <c r="E4718" i="10"/>
  <c r="B4718" i="10"/>
  <c r="S4717" i="10"/>
  <c r="Q4717" i="10"/>
  <c r="P4717" i="10"/>
  <c r="O4717" i="10"/>
  <c r="M4717" i="10"/>
  <c r="E4717" i="10"/>
  <c r="B4717" i="10"/>
  <c r="S4716" i="10"/>
  <c r="Q4716" i="10"/>
  <c r="P4716" i="10"/>
  <c r="O4716" i="10"/>
  <c r="M4716" i="10"/>
  <c r="E4716" i="10"/>
  <c r="B4716" i="10"/>
  <c r="S4715" i="10"/>
  <c r="Q4715" i="10"/>
  <c r="P4715" i="10"/>
  <c r="O4715" i="10"/>
  <c r="M4715" i="10"/>
  <c r="E4715" i="10"/>
  <c r="B4715" i="10"/>
  <c r="S4714" i="10"/>
  <c r="Q4714" i="10"/>
  <c r="P4714" i="10"/>
  <c r="O4714" i="10"/>
  <c r="M4714" i="10"/>
  <c r="E4714" i="10"/>
  <c r="B4714" i="10"/>
  <c r="S4713" i="10"/>
  <c r="Q4713" i="10"/>
  <c r="P4713" i="10"/>
  <c r="O4713" i="10"/>
  <c r="M4713" i="10"/>
  <c r="E4713" i="10"/>
  <c r="B4713" i="10"/>
  <c r="S4712" i="10"/>
  <c r="Q4712" i="10"/>
  <c r="P4712" i="10"/>
  <c r="O4712" i="10"/>
  <c r="M4712" i="10"/>
  <c r="E4712" i="10"/>
  <c r="B4712" i="10"/>
  <c r="S4711" i="10"/>
  <c r="Q4711" i="10"/>
  <c r="P4711" i="10"/>
  <c r="O4711" i="10"/>
  <c r="M4711" i="10"/>
  <c r="E4711" i="10"/>
  <c r="B4711" i="10"/>
  <c r="S4710" i="10"/>
  <c r="Q4710" i="10"/>
  <c r="P4710" i="10"/>
  <c r="O4710" i="10"/>
  <c r="M4710" i="10"/>
  <c r="B4710" i="10"/>
  <c r="S4709" i="10"/>
  <c r="Q4709" i="10"/>
  <c r="P4709" i="10"/>
  <c r="O4709" i="10"/>
  <c r="M4709" i="10"/>
  <c r="E4709" i="10"/>
  <c r="B4709" i="10"/>
  <c r="S4708" i="10"/>
  <c r="Q4708" i="10"/>
  <c r="P4708" i="10"/>
  <c r="O4708" i="10"/>
  <c r="M4708" i="10"/>
  <c r="E4708" i="10"/>
  <c r="B4708" i="10"/>
  <c r="S4707" i="10"/>
  <c r="Q4707" i="10"/>
  <c r="P4707" i="10"/>
  <c r="O4707" i="10"/>
  <c r="M4707" i="10"/>
  <c r="E4707" i="10"/>
  <c r="B4707" i="10"/>
  <c r="S4706" i="10"/>
  <c r="Q4706" i="10"/>
  <c r="P4706" i="10"/>
  <c r="O4706" i="10"/>
  <c r="M4706" i="10"/>
  <c r="E4706" i="10"/>
  <c r="B4706" i="10"/>
  <c r="S4705" i="10"/>
  <c r="Q4705" i="10"/>
  <c r="P4705" i="10"/>
  <c r="O4705" i="10"/>
  <c r="M4705" i="10"/>
  <c r="E4705" i="10"/>
  <c r="B4705" i="10"/>
  <c r="S4704" i="10"/>
  <c r="Q4704" i="10"/>
  <c r="P4704" i="10"/>
  <c r="O4704" i="10"/>
  <c r="M4704" i="10"/>
  <c r="B4704" i="10"/>
  <c r="S4703" i="10"/>
  <c r="Q4703" i="10"/>
  <c r="P4703" i="10"/>
  <c r="O4703" i="10"/>
  <c r="M4703" i="10"/>
  <c r="B4703" i="10"/>
  <c r="S4702" i="10"/>
  <c r="Q4702" i="10"/>
  <c r="P4702" i="10"/>
  <c r="O4702" i="10"/>
  <c r="M4702" i="10"/>
  <c r="E4702" i="10"/>
  <c r="B4702" i="10"/>
  <c r="S4701" i="10"/>
  <c r="Q4701" i="10"/>
  <c r="P4701" i="10"/>
  <c r="O4701" i="10"/>
  <c r="M4701" i="10"/>
  <c r="E4701" i="10"/>
  <c r="B4701" i="10"/>
  <c r="S4700" i="10"/>
  <c r="Q4700" i="10"/>
  <c r="P4700" i="10"/>
  <c r="O4700" i="10"/>
  <c r="M4700" i="10"/>
  <c r="E4700" i="10"/>
  <c r="B4700" i="10"/>
  <c r="S4699" i="10"/>
  <c r="Q4699" i="10"/>
  <c r="P4699" i="10"/>
  <c r="O4699" i="10"/>
  <c r="M4699" i="10"/>
  <c r="E4699" i="10"/>
  <c r="B4699" i="10"/>
  <c r="S4698" i="10"/>
  <c r="Q4698" i="10"/>
  <c r="P4698" i="10"/>
  <c r="O4698" i="10"/>
  <c r="M4698" i="10"/>
  <c r="E4698" i="10"/>
  <c r="B4698" i="10"/>
  <c r="S4697" i="10"/>
  <c r="Q4697" i="10"/>
  <c r="P4697" i="10"/>
  <c r="O4697" i="10"/>
  <c r="M4697" i="10"/>
  <c r="E4697" i="10"/>
  <c r="B4697" i="10"/>
  <c r="S4696" i="10"/>
  <c r="Q4696" i="10"/>
  <c r="P4696" i="10"/>
  <c r="O4696" i="10"/>
  <c r="M4696" i="10"/>
  <c r="E4696" i="10"/>
  <c r="B4696" i="10"/>
  <c r="S4695" i="10"/>
  <c r="Q4695" i="10"/>
  <c r="P4695" i="10"/>
  <c r="O4695" i="10"/>
  <c r="M4695" i="10"/>
  <c r="E4695" i="10"/>
  <c r="B4695" i="10"/>
  <c r="S4694" i="10"/>
  <c r="Q4694" i="10"/>
  <c r="P4694" i="10"/>
  <c r="O4694" i="10"/>
  <c r="M4694" i="10"/>
  <c r="E4694" i="10"/>
  <c r="B4694" i="10"/>
  <c r="S4693" i="10"/>
  <c r="Q4693" i="10"/>
  <c r="P4693" i="10"/>
  <c r="O4693" i="10"/>
  <c r="M4693" i="10"/>
  <c r="E4693" i="10"/>
  <c r="B4693" i="10"/>
  <c r="S4692" i="10"/>
  <c r="Q4692" i="10"/>
  <c r="P4692" i="10"/>
  <c r="O4692" i="10"/>
  <c r="M4692" i="10"/>
  <c r="E4692" i="10"/>
  <c r="B4692" i="10"/>
  <c r="S4691" i="10"/>
  <c r="Q4691" i="10"/>
  <c r="P4691" i="10"/>
  <c r="O4691" i="10"/>
  <c r="M4691" i="10"/>
  <c r="E4691" i="10"/>
  <c r="B4691" i="10"/>
  <c r="S4690" i="10"/>
  <c r="Q4690" i="10"/>
  <c r="P4690" i="10"/>
  <c r="O4690" i="10"/>
  <c r="M4690" i="10"/>
  <c r="E4690" i="10"/>
  <c r="B4690" i="10"/>
  <c r="S4689" i="10"/>
  <c r="Q4689" i="10"/>
  <c r="P4689" i="10"/>
  <c r="O4689" i="10"/>
  <c r="M4689" i="10"/>
  <c r="E4689" i="10"/>
  <c r="B4689" i="10"/>
  <c r="S4688" i="10"/>
  <c r="Q4688" i="10"/>
  <c r="P4688" i="10"/>
  <c r="O4688" i="10"/>
  <c r="M4688" i="10"/>
  <c r="E4688" i="10"/>
  <c r="B4688" i="10"/>
  <c r="S4687" i="10"/>
  <c r="Q4687" i="10"/>
  <c r="P4687" i="10"/>
  <c r="O4687" i="10"/>
  <c r="M4687" i="10"/>
  <c r="E4687" i="10"/>
  <c r="B4687" i="10"/>
  <c r="S4686" i="10"/>
  <c r="Q4686" i="10"/>
  <c r="P4686" i="10"/>
  <c r="O4686" i="10"/>
  <c r="M4686" i="10"/>
  <c r="B4686" i="10"/>
  <c r="S4685" i="10"/>
  <c r="Q4685" i="10"/>
  <c r="P4685" i="10"/>
  <c r="O4685" i="10"/>
  <c r="M4685" i="10"/>
  <c r="E4685" i="10"/>
  <c r="B4685" i="10"/>
  <c r="S4684" i="10"/>
  <c r="Q4684" i="10"/>
  <c r="P4684" i="10"/>
  <c r="O4684" i="10"/>
  <c r="M4684" i="10"/>
  <c r="E4684" i="10"/>
  <c r="B4684" i="10"/>
  <c r="S4683" i="10"/>
  <c r="Q4683" i="10"/>
  <c r="P4683" i="10"/>
  <c r="O4683" i="10"/>
  <c r="M4683" i="10"/>
  <c r="E4683" i="10"/>
  <c r="B4683" i="10"/>
  <c r="S4682" i="10"/>
  <c r="Q4682" i="10"/>
  <c r="P4682" i="10"/>
  <c r="O4682" i="10"/>
  <c r="M4682" i="10"/>
  <c r="E4682" i="10"/>
  <c r="B4682" i="10"/>
  <c r="S4681" i="10"/>
  <c r="Q4681" i="10"/>
  <c r="P4681" i="10"/>
  <c r="O4681" i="10"/>
  <c r="M4681" i="10"/>
  <c r="E4681" i="10"/>
  <c r="B4681" i="10"/>
  <c r="S4680" i="10"/>
  <c r="Q4680" i="10"/>
  <c r="P4680" i="10"/>
  <c r="O4680" i="10"/>
  <c r="M4680" i="10"/>
  <c r="E4680" i="10"/>
  <c r="B4680" i="10"/>
  <c r="S4679" i="10"/>
  <c r="Q4679" i="10"/>
  <c r="P4679" i="10"/>
  <c r="O4679" i="10"/>
  <c r="M4679" i="10"/>
  <c r="E4679" i="10"/>
  <c r="B4679" i="10"/>
  <c r="S4678" i="10"/>
  <c r="Q4678" i="10"/>
  <c r="P4678" i="10"/>
  <c r="O4678" i="10"/>
  <c r="M4678" i="10"/>
  <c r="E4678" i="10"/>
  <c r="B4678" i="10"/>
  <c r="S4677" i="10"/>
  <c r="Q4677" i="10"/>
  <c r="P4677" i="10"/>
  <c r="O4677" i="10"/>
  <c r="M4677" i="10"/>
  <c r="E4677" i="10"/>
  <c r="B4677" i="10"/>
  <c r="S4676" i="10"/>
  <c r="Q4676" i="10"/>
  <c r="P4676" i="10"/>
  <c r="O4676" i="10"/>
  <c r="M4676" i="10"/>
  <c r="B4676" i="10"/>
  <c r="S4675" i="10"/>
  <c r="Q4675" i="10"/>
  <c r="P4675" i="10"/>
  <c r="O4675" i="10"/>
  <c r="M4675" i="10"/>
  <c r="E4675" i="10"/>
  <c r="B4675" i="10"/>
  <c r="S4674" i="10"/>
  <c r="Q4674" i="10"/>
  <c r="P4674" i="10"/>
  <c r="O4674" i="10"/>
  <c r="M4674" i="10"/>
  <c r="E4674" i="10"/>
  <c r="B4674" i="10"/>
  <c r="S4673" i="10"/>
  <c r="Q4673" i="10"/>
  <c r="P4673" i="10"/>
  <c r="O4673" i="10"/>
  <c r="M4673" i="10"/>
  <c r="E4673" i="10"/>
  <c r="B4673" i="10"/>
  <c r="S4672" i="10"/>
  <c r="Q4672" i="10"/>
  <c r="P4672" i="10"/>
  <c r="O4672" i="10"/>
  <c r="M4672" i="10"/>
  <c r="E4672" i="10"/>
  <c r="B4672" i="10"/>
  <c r="S4671" i="10"/>
  <c r="Q4671" i="10"/>
  <c r="P4671" i="10"/>
  <c r="O4671" i="10"/>
  <c r="M4671" i="10"/>
  <c r="E4671" i="10"/>
  <c r="B4671" i="10"/>
  <c r="S4670" i="10"/>
  <c r="Q4670" i="10"/>
  <c r="P4670" i="10"/>
  <c r="O4670" i="10"/>
  <c r="M4670" i="10"/>
  <c r="E4670" i="10"/>
  <c r="B4670" i="10"/>
  <c r="S4669" i="10"/>
  <c r="Q4669" i="10"/>
  <c r="P4669" i="10"/>
  <c r="O4669" i="10"/>
  <c r="M4669" i="10"/>
  <c r="E4669" i="10"/>
  <c r="B4669" i="10"/>
  <c r="S4668" i="10"/>
  <c r="Q4668" i="10"/>
  <c r="P4668" i="10"/>
  <c r="O4668" i="10"/>
  <c r="M4668" i="10"/>
  <c r="E4668" i="10"/>
  <c r="B4668" i="10"/>
  <c r="S4667" i="10"/>
  <c r="Q4667" i="10"/>
  <c r="P4667" i="10"/>
  <c r="O4667" i="10"/>
  <c r="M4667" i="10"/>
  <c r="E4667" i="10"/>
  <c r="B4667" i="10"/>
  <c r="S4666" i="10"/>
  <c r="Q4666" i="10"/>
  <c r="P4666" i="10"/>
  <c r="O4666" i="10"/>
  <c r="M4666" i="10"/>
  <c r="B4666" i="10"/>
  <c r="S4665" i="10"/>
  <c r="Q4665" i="10"/>
  <c r="P4665" i="10"/>
  <c r="O4665" i="10"/>
  <c r="M4665" i="10"/>
  <c r="E4665" i="10"/>
  <c r="B4665" i="10"/>
  <c r="S4664" i="10"/>
  <c r="Q4664" i="10"/>
  <c r="P4664" i="10"/>
  <c r="O4664" i="10"/>
  <c r="M4664" i="10"/>
  <c r="E4664" i="10"/>
  <c r="B4664" i="10"/>
  <c r="S4663" i="10"/>
  <c r="Q4663" i="10"/>
  <c r="P4663" i="10"/>
  <c r="O4663" i="10"/>
  <c r="M4663" i="10"/>
  <c r="B4663" i="10"/>
  <c r="S4662" i="10"/>
  <c r="Q4662" i="10"/>
  <c r="P4662" i="10"/>
  <c r="O4662" i="10"/>
  <c r="M4662" i="10"/>
  <c r="E4662" i="10"/>
  <c r="B4662" i="10"/>
  <c r="S4661" i="10"/>
  <c r="Q4661" i="10"/>
  <c r="P4661" i="10"/>
  <c r="O4661" i="10"/>
  <c r="M4661" i="10"/>
  <c r="E4661" i="10"/>
  <c r="B4661" i="10"/>
  <c r="S4660" i="10"/>
  <c r="Q4660" i="10"/>
  <c r="P4660" i="10"/>
  <c r="O4660" i="10"/>
  <c r="M4660" i="10"/>
  <c r="B4660" i="10"/>
  <c r="S4659" i="10"/>
  <c r="Q4659" i="10"/>
  <c r="P4659" i="10"/>
  <c r="O4659" i="10"/>
  <c r="M4659" i="10"/>
  <c r="E4659" i="10"/>
  <c r="B4659" i="10"/>
  <c r="S4658" i="10"/>
  <c r="Q4658" i="10"/>
  <c r="P4658" i="10"/>
  <c r="O4658" i="10"/>
  <c r="M4658" i="10"/>
  <c r="E4658" i="10"/>
  <c r="B4658" i="10"/>
  <c r="S4657" i="10"/>
  <c r="Q4657" i="10"/>
  <c r="P4657" i="10"/>
  <c r="O4657" i="10"/>
  <c r="M4657" i="10"/>
  <c r="B4657" i="10"/>
  <c r="S4656" i="10"/>
  <c r="Q4656" i="10"/>
  <c r="P4656" i="10"/>
  <c r="O4656" i="10"/>
  <c r="M4656" i="10"/>
  <c r="E4656" i="10"/>
  <c r="B4656" i="10"/>
  <c r="S4655" i="10"/>
  <c r="Q4655" i="10"/>
  <c r="P4655" i="10"/>
  <c r="O4655" i="10"/>
  <c r="M4655" i="10"/>
  <c r="E4655" i="10"/>
  <c r="B4655" i="10"/>
  <c r="S4654" i="10"/>
  <c r="Q4654" i="10"/>
  <c r="P4654" i="10"/>
  <c r="O4654" i="10"/>
  <c r="M4654" i="10"/>
  <c r="B4654" i="10"/>
  <c r="S4653" i="10"/>
  <c r="Q4653" i="10"/>
  <c r="P4653" i="10"/>
  <c r="O4653" i="10"/>
  <c r="M4653" i="10"/>
  <c r="B4653" i="10"/>
  <c r="S4652" i="10"/>
  <c r="Q4652" i="10"/>
  <c r="P4652" i="10"/>
  <c r="O4652" i="10"/>
  <c r="M4652" i="10"/>
  <c r="B4652" i="10"/>
  <c r="S4651" i="10"/>
  <c r="Q4651" i="10"/>
  <c r="P4651" i="10"/>
  <c r="O4651" i="10"/>
  <c r="M4651" i="10"/>
  <c r="E4651" i="10"/>
  <c r="B4651" i="10"/>
  <c r="S4650" i="10"/>
  <c r="Q4650" i="10"/>
  <c r="P4650" i="10"/>
  <c r="O4650" i="10"/>
  <c r="M4650" i="10"/>
  <c r="E4650" i="10"/>
  <c r="B4650" i="10"/>
  <c r="S4649" i="10"/>
  <c r="Q4649" i="10"/>
  <c r="P4649" i="10"/>
  <c r="O4649" i="10"/>
  <c r="M4649" i="10"/>
  <c r="E4649" i="10"/>
  <c r="B4649" i="10"/>
  <c r="S4648" i="10"/>
  <c r="Q4648" i="10"/>
  <c r="P4648" i="10"/>
  <c r="O4648" i="10"/>
  <c r="M4648" i="10"/>
  <c r="E4648" i="10"/>
  <c r="B4648" i="10"/>
  <c r="S4647" i="10"/>
  <c r="Q4647" i="10"/>
  <c r="P4647" i="10"/>
  <c r="O4647" i="10"/>
  <c r="M4647" i="10"/>
  <c r="E4647" i="10"/>
  <c r="B4647" i="10"/>
  <c r="S4646" i="10"/>
  <c r="Q4646" i="10"/>
  <c r="P4646" i="10"/>
  <c r="O4646" i="10"/>
  <c r="M4646" i="10"/>
  <c r="E4646" i="10"/>
  <c r="B4646" i="10"/>
  <c r="S4645" i="10"/>
  <c r="Q4645" i="10"/>
  <c r="P4645" i="10"/>
  <c r="O4645" i="10"/>
  <c r="M4645" i="10"/>
  <c r="E4645" i="10"/>
  <c r="B4645" i="10"/>
  <c r="S4644" i="10"/>
  <c r="Q4644" i="10"/>
  <c r="P4644" i="10"/>
  <c r="O4644" i="10"/>
  <c r="M4644" i="10"/>
  <c r="E4644" i="10"/>
  <c r="B4644" i="10"/>
  <c r="S4643" i="10"/>
  <c r="Q4643" i="10"/>
  <c r="P4643" i="10"/>
  <c r="O4643" i="10"/>
  <c r="M4643" i="10"/>
  <c r="B4643" i="10"/>
  <c r="S4642" i="10"/>
  <c r="Q4642" i="10"/>
  <c r="P4642" i="10"/>
  <c r="O4642" i="10"/>
  <c r="M4642" i="10"/>
  <c r="E4642" i="10"/>
  <c r="B4642" i="10"/>
  <c r="S4641" i="10"/>
  <c r="Q4641" i="10"/>
  <c r="P4641" i="10"/>
  <c r="O4641" i="10"/>
  <c r="M4641" i="10"/>
  <c r="B4641" i="10"/>
  <c r="S4640" i="10"/>
  <c r="Q4640" i="10"/>
  <c r="P4640" i="10"/>
  <c r="O4640" i="10"/>
  <c r="M4640" i="10"/>
  <c r="E4640" i="10"/>
  <c r="B4640" i="10"/>
  <c r="S4639" i="10"/>
  <c r="Q4639" i="10"/>
  <c r="P4639" i="10"/>
  <c r="O4639" i="10"/>
  <c r="M4639" i="10"/>
  <c r="E4639" i="10"/>
  <c r="B4639" i="10"/>
  <c r="S4638" i="10"/>
  <c r="Q4638" i="10"/>
  <c r="P4638" i="10"/>
  <c r="O4638" i="10"/>
  <c r="M4638" i="10"/>
  <c r="E4638" i="10"/>
  <c r="B4638" i="10"/>
  <c r="S4637" i="10"/>
  <c r="Q4637" i="10"/>
  <c r="P4637" i="10"/>
  <c r="O4637" i="10"/>
  <c r="M4637" i="10"/>
  <c r="E4637" i="10"/>
  <c r="B4637" i="10"/>
  <c r="S4636" i="10"/>
  <c r="Q4636" i="10"/>
  <c r="P4636" i="10"/>
  <c r="O4636" i="10"/>
  <c r="M4636" i="10"/>
  <c r="B4636" i="10"/>
  <c r="S4635" i="10"/>
  <c r="Q4635" i="10"/>
  <c r="P4635" i="10"/>
  <c r="O4635" i="10"/>
  <c r="M4635" i="10"/>
  <c r="E4635" i="10"/>
  <c r="B4635" i="10"/>
  <c r="S4634" i="10"/>
  <c r="Q4634" i="10"/>
  <c r="P4634" i="10"/>
  <c r="O4634" i="10"/>
  <c r="M4634" i="10"/>
  <c r="E4634" i="10"/>
  <c r="B4634" i="10"/>
  <c r="S4633" i="10"/>
  <c r="Q4633" i="10"/>
  <c r="P4633" i="10"/>
  <c r="O4633" i="10"/>
  <c r="M4633" i="10"/>
  <c r="E4633" i="10"/>
  <c r="B4633" i="10"/>
  <c r="S4632" i="10"/>
  <c r="Q4632" i="10"/>
  <c r="P4632" i="10"/>
  <c r="O4632" i="10"/>
  <c r="M4632" i="10"/>
  <c r="E4632" i="10"/>
  <c r="B4632" i="10"/>
  <c r="S4631" i="10"/>
  <c r="Q4631" i="10"/>
  <c r="P4631" i="10"/>
  <c r="O4631" i="10"/>
  <c r="M4631" i="10"/>
  <c r="E4631" i="10"/>
  <c r="B4631" i="10"/>
  <c r="S4630" i="10"/>
  <c r="Q4630" i="10"/>
  <c r="P4630" i="10"/>
  <c r="O4630" i="10"/>
  <c r="M4630" i="10"/>
  <c r="E4630" i="10"/>
  <c r="B4630" i="10"/>
  <c r="S4629" i="10"/>
  <c r="Q4629" i="10"/>
  <c r="P4629" i="10"/>
  <c r="O4629" i="10"/>
  <c r="M4629" i="10"/>
  <c r="E4629" i="10"/>
  <c r="B4629" i="10"/>
  <c r="S4628" i="10"/>
  <c r="Q4628" i="10"/>
  <c r="P4628" i="10"/>
  <c r="O4628" i="10"/>
  <c r="M4628" i="10"/>
  <c r="B4628" i="10"/>
  <c r="S4627" i="10"/>
  <c r="Q4627" i="10"/>
  <c r="P4627" i="10"/>
  <c r="O4627" i="10"/>
  <c r="M4627" i="10"/>
  <c r="E4627" i="10"/>
  <c r="B4627" i="10"/>
  <c r="S4626" i="10"/>
  <c r="Q4626" i="10"/>
  <c r="P4626" i="10"/>
  <c r="O4626" i="10"/>
  <c r="M4626" i="10"/>
  <c r="B4626" i="10"/>
  <c r="S4625" i="10"/>
  <c r="Q4625" i="10"/>
  <c r="P4625" i="10"/>
  <c r="O4625" i="10"/>
  <c r="M4625" i="10"/>
  <c r="E4625" i="10"/>
  <c r="B4625" i="10"/>
  <c r="S4624" i="10"/>
  <c r="Q4624" i="10"/>
  <c r="P4624" i="10"/>
  <c r="O4624" i="10"/>
  <c r="M4624" i="10"/>
  <c r="E4624" i="10"/>
  <c r="B4624" i="10"/>
  <c r="S4623" i="10"/>
  <c r="Q4623" i="10"/>
  <c r="P4623" i="10"/>
  <c r="O4623" i="10"/>
  <c r="M4623" i="10"/>
  <c r="E4623" i="10"/>
  <c r="B4623" i="10"/>
  <c r="S4622" i="10"/>
  <c r="Q4622" i="10"/>
  <c r="P4622" i="10"/>
  <c r="O4622" i="10"/>
  <c r="M4622" i="10"/>
  <c r="E4622" i="10"/>
  <c r="B4622" i="10"/>
  <c r="S4621" i="10"/>
  <c r="Q4621" i="10"/>
  <c r="P4621" i="10"/>
  <c r="O4621" i="10"/>
  <c r="M4621" i="10"/>
  <c r="E4621" i="10"/>
  <c r="B4621" i="10"/>
  <c r="S4620" i="10"/>
  <c r="Q4620" i="10"/>
  <c r="P4620" i="10"/>
  <c r="O4620" i="10"/>
  <c r="M4620" i="10"/>
  <c r="E4620" i="10"/>
  <c r="B4620" i="10"/>
  <c r="S4619" i="10"/>
  <c r="Q4619" i="10"/>
  <c r="P4619" i="10"/>
  <c r="O4619" i="10"/>
  <c r="M4619" i="10"/>
  <c r="E4619" i="10"/>
  <c r="B4619" i="10"/>
  <c r="S4618" i="10"/>
  <c r="Q4618" i="10"/>
  <c r="P4618" i="10"/>
  <c r="O4618" i="10"/>
  <c r="M4618" i="10"/>
  <c r="E4618" i="10"/>
  <c r="B4618" i="10"/>
  <c r="S4617" i="10"/>
  <c r="Q4617" i="10"/>
  <c r="P4617" i="10"/>
  <c r="O4617" i="10"/>
  <c r="M4617" i="10"/>
  <c r="E4617" i="10"/>
  <c r="B4617" i="10"/>
  <c r="S4616" i="10"/>
  <c r="Q4616" i="10"/>
  <c r="P4616" i="10"/>
  <c r="O4616" i="10"/>
  <c r="M4616" i="10"/>
  <c r="E4616" i="10"/>
  <c r="B4616" i="10"/>
  <c r="S4615" i="10"/>
  <c r="Q4615" i="10"/>
  <c r="P4615" i="10"/>
  <c r="O4615" i="10"/>
  <c r="M4615" i="10"/>
  <c r="E4615" i="10"/>
  <c r="B4615" i="10"/>
  <c r="S4614" i="10"/>
  <c r="Q4614" i="10"/>
  <c r="P4614" i="10"/>
  <c r="O4614" i="10"/>
  <c r="M4614" i="10"/>
  <c r="E4614" i="10"/>
  <c r="B4614" i="10"/>
  <c r="S4613" i="10"/>
  <c r="Q4613" i="10"/>
  <c r="P4613" i="10"/>
  <c r="O4613" i="10"/>
  <c r="M4613" i="10"/>
  <c r="E4613" i="10"/>
  <c r="B4613" i="10"/>
  <c r="S4612" i="10"/>
  <c r="Q4612" i="10"/>
  <c r="P4612" i="10"/>
  <c r="O4612" i="10"/>
  <c r="M4612" i="10"/>
  <c r="E4612" i="10"/>
  <c r="B4612" i="10"/>
  <c r="S4611" i="10"/>
  <c r="Q4611" i="10"/>
  <c r="P4611" i="10"/>
  <c r="O4611" i="10"/>
  <c r="M4611" i="10"/>
  <c r="E4611" i="10"/>
  <c r="B4611" i="10"/>
  <c r="S4610" i="10"/>
  <c r="Q4610" i="10"/>
  <c r="P4610" i="10"/>
  <c r="O4610" i="10"/>
  <c r="M4610" i="10"/>
  <c r="E4610" i="10"/>
  <c r="B4610" i="10"/>
  <c r="S4609" i="10"/>
  <c r="Q4609" i="10"/>
  <c r="P4609" i="10"/>
  <c r="O4609" i="10"/>
  <c r="M4609" i="10"/>
  <c r="E4609" i="10"/>
  <c r="B4609" i="10"/>
  <c r="S4608" i="10"/>
  <c r="Q4608" i="10"/>
  <c r="P4608" i="10"/>
  <c r="O4608" i="10"/>
  <c r="M4608" i="10"/>
  <c r="B4608" i="10"/>
  <c r="S4607" i="10"/>
  <c r="Q4607" i="10"/>
  <c r="P4607" i="10"/>
  <c r="O4607" i="10"/>
  <c r="M4607" i="10"/>
  <c r="B4607" i="10"/>
  <c r="S4606" i="10"/>
  <c r="Q4606" i="10"/>
  <c r="P4606" i="10"/>
  <c r="O4606" i="10"/>
  <c r="M4606" i="10"/>
  <c r="E4606" i="10"/>
  <c r="B4606" i="10"/>
  <c r="S4605" i="10"/>
  <c r="Q4605" i="10"/>
  <c r="P4605" i="10"/>
  <c r="O4605" i="10"/>
  <c r="M4605" i="10"/>
  <c r="E4605" i="10"/>
  <c r="B4605" i="10"/>
  <c r="S4604" i="10"/>
  <c r="Q4604" i="10"/>
  <c r="P4604" i="10"/>
  <c r="O4604" i="10"/>
  <c r="M4604" i="10"/>
  <c r="E4604" i="10"/>
  <c r="B4604" i="10"/>
  <c r="S4603" i="10"/>
  <c r="Q4603" i="10"/>
  <c r="P4603" i="10"/>
  <c r="O4603" i="10"/>
  <c r="M4603" i="10"/>
  <c r="E4603" i="10"/>
  <c r="B4603" i="10"/>
  <c r="S4602" i="10"/>
  <c r="Q4602" i="10"/>
  <c r="P4602" i="10"/>
  <c r="O4602" i="10"/>
  <c r="M4602" i="10"/>
  <c r="E4602" i="10"/>
  <c r="B4602" i="10"/>
  <c r="S4601" i="10"/>
  <c r="Q4601" i="10"/>
  <c r="P4601" i="10"/>
  <c r="O4601" i="10"/>
  <c r="M4601" i="10"/>
  <c r="B4601" i="10"/>
  <c r="S4600" i="10"/>
  <c r="Q4600" i="10"/>
  <c r="P4600" i="10"/>
  <c r="O4600" i="10"/>
  <c r="M4600" i="10"/>
  <c r="B4600" i="10"/>
  <c r="S4599" i="10"/>
  <c r="Q4599" i="10"/>
  <c r="P4599" i="10"/>
  <c r="O4599" i="10"/>
  <c r="M4599" i="10"/>
  <c r="E4599" i="10"/>
  <c r="B4599" i="10"/>
  <c r="S4598" i="10"/>
  <c r="Q4598" i="10"/>
  <c r="P4598" i="10"/>
  <c r="O4598" i="10"/>
  <c r="M4598" i="10"/>
  <c r="B4598" i="10"/>
  <c r="S4597" i="10"/>
  <c r="Q4597" i="10"/>
  <c r="P4597" i="10"/>
  <c r="O4597" i="10"/>
  <c r="M4597" i="10"/>
  <c r="E4597" i="10"/>
  <c r="B4597" i="10"/>
  <c r="S4596" i="10"/>
  <c r="Q4596" i="10"/>
  <c r="P4596" i="10"/>
  <c r="O4596" i="10"/>
  <c r="M4596" i="10"/>
  <c r="E4596" i="10"/>
  <c r="B4596" i="10"/>
  <c r="S4595" i="10"/>
  <c r="Q4595" i="10"/>
  <c r="P4595" i="10"/>
  <c r="O4595" i="10"/>
  <c r="M4595" i="10"/>
  <c r="E4595" i="10"/>
  <c r="B4595" i="10"/>
  <c r="S4594" i="10"/>
  <c r="Q4594" i="10"/>
  <c r="P4594" i="10"/>
  <c r="O4594" i="10"/>
  <c r="M4594" i="10"/>
  <c r="E4594" i="10"/>
  <c r="B4594" i="10"/>
  <c r="S4593" i="10"/>
  <c r="Q4593" i="10"/>
  <c r="P4593" i="10"/>
  <c r="O4593" i="10"/>
  <c r="M4593" i="10"/>
  <c r="E4593" i="10"/>
  <c r="B4593" i="10"/>
  <c r="S4592" i="10"/>
  <c r="Q4592" i="10"/>
  <c r="P4592" i="10"/>
  <c r="O4592" i="10"/>
  <c r="M4592" i="10"/>
  <c r="E4592" i="10"/>
  <c r="B4592" i="10"/>
  <c r="S4591" i="10"/>
  <c r="Q4591" i="10"/>
  <c r="P4591" i="10"/>
  <c r="O4591" i="10"/>
  <c r="M4591" i="10"/>
  <c r="B4591" i="10"/>
  <c r="S4590" i="10"/>
  <c r="Q4590" i="10"/>
  <c r="P4590" i="10"/>
  <c r="O4590" i="10"/>
  <c r="M4590" i="10"/>
  <c r="E4590" i="10"/>
  <c r="B4590" i="10"/>
  <c r="S4589" i="10"/>
  <c r="Q4589" i="10"/>
  <c r="P4589" i="10"/>
  <c r="O4589" i="10"/>
  <c r="M4589" i="10"/>
  <c r="E4589" i="10"/>
  <c r="B4589" i="10"/>
  <c r="S4588" i="10"/>
  <c r="Q4588" i="10"/>
  <c r="P4588" i="10"/>
  <c r="O4588" i="10"/>
  <c r="M4588" i="10"/>
  <c r="E4588" i="10"/>
  <c r="B4588" i="10"/>
  <c r="S4587" i="10"/>
  <c r="Q4587" i="10"/>
  <c r="P4587" i="10"/>
  <c r="O4587" i="10"/>
  <c r="M4587" i="10"/>
  <c r="E4587" i="10"/>
  <c r="B4587" i="10"/>
  <c r="S4586" i="10"/>
  <c r="Q4586" i="10"/>
  <c r="P4586" i="10"/>
  <c r="O4586" i="10"/>
  <c r="M4586" i="10"/>
  <c r="E4586" i="10"/>
  <c r="B4586" i="10"/>
  <c r="S4585" i="10"/>
  <c r="Q4585" i="10"/>
  <c r="P4585" i="10"/>
  <c r="O4585" i="10"/>
  <c r="M4585" i="10"/>
  <c r="E4585" i="10"/>
  <c r="B4585" i="10"/>
  <c r="S4584" i="10"/>
  <c r="Q4584" i="10"/>
  <c r="P4584" i="10"/>
  <c r="O4584" i="10"/>
  <c r="M4584" i="10"/>
  <c r="B4584" i="10"/>
  <c r="S4583" i="10"/>
  <c r="Q4583" i="10"/>
  <c r="P4583" i="10"/>
  <c r="O4583" i="10"/>
  <c r="M4583" i="10"/>
  <c r="E4583" i="10"/>
  <c r="B4583" i="10"/>
  <c r="S4582" i="10"/>
  <c r="Q4582" i="10"/>
  <c r="P4582" i="10"/>
  <c r="O4582" i="10"/>
  <c r="M4582" i="10"/>
  <c r="E4582" i="10"/>
  <c r="B4582" i="10"/>
  <c r="S4581" i="10"/>
  <c r="Q4581" i="10"/>
  <c r="P4581" i="10"/>
  <c r="O4581" i="10"/>
  <c r="M4581" i="10"/>
  <c r="E4581" i="10"/>
  <c r="B4581" i="10"/>
  <c r="S4580" i="10"/>
  <c r="Q4580" i="10"/>
  <c r="P4580" i="10"/>
  <c r="O4580" i="10"/>
  <c r="M4580" i="10"/>
  <c r="E4580" i="10"/>
  <c r="B4580" i="10"/>
  <c r="S4579" i="10"/>
  <c r="Q4579" i="10"/>
  <c r="P4579" i="10"/>
  <c r="O4579" i="10"/>
  <c r="M4579" i="10"/>
  <c r="E4579" i="10"/>
  <c r="B4579" i="10"/>
  <c r="S4578" i="10"/>
  <c r="Q4578" i="10"/>
  <c r="P4578" i="10"/>
  <c r="O4578" i="10"/>
  <c r="M4578" i="10"/>
  <c r="E4578" i="10"/>
  <c r="B4578" i="10"/>
  <c r="S4577" i="10"/>
  <c r="Q4577" i="10"/>
  <c r="P4577" i="10"/>
  <c r="O4577" i="10"/>
  <c r="M4577" i="10"/>
  <c r="E4577" i="10"/>
  <c r="B4577" i="10"/>
  <c r="S4576" i="10"/>
  <c r="Q4576" i="10"/>
  <c r="P4576" i="10"/>
  <c r="O4576" i="10"/>
  <c r="M4576" i="10"/>
  <c r="E4576" i="10"/>
  <c r="B4576" i="10"/>
  <c r="S4575" i="10"/>
  <c r="Q4575" i="10"/>
  <c r="P4575" i="10"/>
  <c r="O4575" i="10"/>
  <c r="M4575" i="10"/>
  <c r="E4575" i="10"/>
  <c r="B4575" i="10"/>
  <c r="S4574" i="10"/>
  <c r="Q4574" i="10"/>
  <c r="P4574" i="10"/>
  <c r="O4574" i="10"/>
  <c r="M4574" i="10"/>
  <c r="E4574" i="10"/>
  <c r="B4574" i="10"/>
  <c r="S4573" i="10"/>
  <c r="Q4573" i="10"/>
  <c r="P4573" i="10"/>
  <c r="O4573" i="10"/>
  <c r="M4573" i="10"/>
  <c r="E4573" i="10"/>
  <c r="B4573" i="10"/>
  <c r="S4572" i="10"/>
  <c r="Q4572" i="10"/>
  <c r="P4572" i="10"/>
  <c r="O4572" i="10"/>
  <c r="M4572" i="10"/>
  <c r="E4572" i="10"/>
  <c r="B4572" i="10"/>
  <c r="S4571" i="10"/>
  <c r="Q4571" i="10"/>
  <c r="P4571" i="10"/>
  <c r="O4571" i="10"/>
  <c r="M4571" i="10"/>
  <c r="E4571" i="10"/>
  <c r="B4571" i="10"/>
  <c r="S4570" i="10"/>
  <c r="Q4570" i="10"/>
  <c r="P4570" i="10"/>
  <c r="O4570" i="10"/>
  <c r="M4570" i="10"/>
  <c r="B4570" i="10"/>
  <c r="S4569" i="10"/>
  <c r="Q4569" i="10"/>
  <c r="P4569" i="10"/>
  <c r="O4569" i="10"/>
  <c r="M4569" i="10"/>
  <c r="E4569" i="10"/>
  <c r="B4569" i="10"/>
  <c r="S4568" i="10"/>
  <c r="Q4568" i="10"/>
  <c r="P4568" i="10"/>
  <c r="O4568" i="10"/>
  <c r="M4568" i="10"/>
  <c r="E4568" i="10"/>
  <c r="B4568" i="10"/>
  <c r="S4567" i="10"/>
  <c r="Q4567" i="10"/>
  <c r="P4567" i="10"/>
  <c r="O4567" i="10"/>
  <c r="M4567" i="10"/>
  <c r="B4567" i="10"/>
  <c r="S4566" i="10"/>
  <c r="Q4566" i="10"/>
  <c r="P4566" i="10"/>
  <c r="O4566" i="10"/>
  <c r="M4566" i="10"/>
  <c r="E4566" i="10"/>
  <c r="B4566" i="10"/>
  <c r="S4565" i="10"/>
  <c r="Q4565" i="10"/>
  <c r="P4565" i="10"/>
  <c r="O4565" i="10"/>
  <c r="M4565" i="10"/>
  <c r="E4565" i="10"/>
  <c r="B4565" i="10"/>
  <c r="S4564" i="10"/>
  <c r="Q4564" i="10"/>
  <c r="P4564" i="10"/>
  <c r="O4564" i="10"/>
  <c r="M4564" i="10"/>
  <c r="E4564" i="10"/>
  <c r="B4564" i="10"/>
  <c r="S4563" i="10"/>
  <c r="Q4563" i="10"/>
  <c r="P4563" i="10"/>
  <c r="O4563" i="10"/>
  <c r="M4563" i="10"/>
  <c r="B4563" i="10"/>
  <c r="S4562" i="10"/>
  <c r="Q4562" i="10"/>
  <c r="P4562" i="10"/>
  <c r="O4562" i="10"/>
  <c r="M4562" i="10"/>
  <c r="E4562" i="10"/>
  <c r="B4562" i="10"/>
  <c r="S4561" i="10"/>
  <c r="Q4561" i="10"/>
  <c r="P4561" i="10"/>
  <c r="O4561" i="10"/>
  <c r="M4561" i="10"/>
  <c r="E4561" i="10"/>
  <c r="B4561" i="10"/>
  <c r="S4560" i="10"/>
  <c r="Q4560" i="10"/>
  <c r="P4560" i="10"/>
  <c r="O4560" i="10"/>
  <c r="M4560" i="10"/>
  <c r="E4560" i="10"/>
  <c r="B4560" i="10"/>
  <c r="S4559" i="10"/>
  <c r="Q4559" i="10"/>
  <c r="P4559" i="10"/>
  <c r="O4559" i="10"/>
  <c r="M4559" i="10"/>
  <c r="E4559" i="10"/>
  <c r="B4559" i="10"/>
  <c r="S4558" i="10"/>
  <c r="Q4558" i="10"/>
  <c r="P4558" i="10"/>
  <c r="O4558" i="10"/>
  <c r="M4558" i="10"/>
  <c r="E4558" i="10"/>
  <c r="B4558" i="10"/>
  <c r="S4557" i="10"/>
  <c r="Q4557" i="10"/>
  <c r="P4557" i="10"/>
  <c r="O4557" i="10"/>
  <c r="M4557" i="10"/>
  <c r="E4557" i="10"/>
  <c r="B4557" i="10"/>
  <c r="S4556" i="10"/>
  <c r="Q4556" i="10"/>
  <c r="P4556" i="10"/>
  <c r="O4556" i="10"/>
  <c r="M4556" i="10"/>
  <c r="E4556" i="10"/>
  <c r="B4556" i="10"/>
  <c r="S4555" i="10"/>
  <c r="Q4555" i="10"/>
  <c r="P4555" i="10"/>
  <c r="O4555" i="10"/>
  <c r="M4555" i="10"/>
  <c r="E4555" i="10"/>
  <c r="B4555" i="10"/>
  <c r="S4554" i="10"/>
  <c r="Q4554" i="10"/>
  <c r="P4554" i="10"/>
  <c r="O4554" i="10"/>
  <c r="M4554" i="10"/>
  <c r="B4554" i="10"/>
  <c r="S4553" i="10"/>
  <c r="Q4553" i="10"/>
  <c r="P4553" i="10"/>
  <c r="O4553" i="10"/>
  <c r="M4553" i="10"/>
  <c r="B4553" i="10"/>
  <c r="S4552" i="10"/>
  <c r="Q4552" i="10"/>
  <c r="P4552" i="10"/>
  <c r="O4552" i="10"/>
  <c r="M4552" i="10"/>
  <c r="E4552" i="10"/>
  <c r="B4552" i="10"/>
  <c r="S4551" i="10"/>
  <c r="Q4551" i="10"/>
  <c r="P4551" i="10"/>
  <c r="O4551" i="10"/>
  <c r="M4551" i="10"/>
  <c r="E4551" i="10"/>
  <c r="B4551" i="10"/>
  <c r="S4550" i="10"/>
  <c r="Q4550" i="10"/>
  <c r="P4550" i="10"/>
  <c r="O4550" i="10"/>
  <c r="M4550" i="10"/>
  <c r="E4550" i="10"/>
  <c r="B4550" i="10"/>
  <c r="S4549" i="10"/>
  <c r="Q4549" i="10"/>
  <c r="P4549" i="10"/>
  <c r="O4549" i="10"/>
  <c r="M4549" i="10"/>
  <c r="B4549" i="10"/>
  <c r="S4548" i="10"/>
  <c r="Q4548" i="10"/>
  <c r="P4548" i="10"/>
  <c r="O4548" i="10"/>
  <c r="M4548" i="10"/>
  <c r="E4548" i="10"/>
  <c r="B4548" i="10"/>
  <c r="S4547" i="10"/>
  <c r="Q4547" i="10"/>
  <c r="P4547" i="10"/>
  <c r="O4547" i="10"/>
  <c r="M4547" i="10"/>
  <c r="E4547" i="10"/>
  <c r="B4547" i="10"/>
  <c r="S4546" i="10"/>
  <c r="Q4546" i="10"/>
  <c r="P4546" i="10"/>
  <c r="O4546" i="10"/>
  <c r="M4546" i="10"/>
  <c r="E4546" i="10"/>
  <c r="B4546" i="10"/>
  <c r="S4545" i="10"/>
  <c r="Q4545" i="10"/>
  <c r="P4545" i="10"/>
  <c r="O4545" i="10"/>
  <c r="M4545" i="10"/>
  <c r="E4545" i="10"/>
  <c r="B4545" i="10"/>
  <c r="S4544" i="10"/>
  <c r="Q4544" i="10"/>
  <c r="P4544" i="10"/>
  <c r="O4544" i="10"/>
  <c r="M4544" i="10"/>
  <c r="E4544" i="10"/>
  <c r="B4544" i="10"/>
  <c r="S4543" i="10"/>
  <c r="Q4543" i="10"/>
  <c r="P4543" i="10"/>
  <c r="O4543" i="10"/>
  <c r="M4543" i="10"/>
  <c r="E4543" i="10"/>
  <c r="B4543" i="10"/>
  <c r="S4542" i="10"/>
  <c r="Q4542" i="10"/>
  <c r="P4542" i="10"/>
  <c r="O4542" i="10"/>
  <c r="M4542" i="10"/>
  <c r="E4542" i="10"/>
  <c r="B4542" i="10"/>
  <c r="S4541" i="10"/>
  <c r="Q4541" i="10"/>
  <c r="P4541" i="10"/>
  <c r="O4541" i="10"/>
  <c r="M4541" i="10"/>
  <c r="E4541" i="10"/>
  <c r="B4541" i="10"/>
  <c r="S4540" i="10"/>
  <c r="Q4540" i="10"/>
  <c r="P4540" i="10"/>
  <c r="O4540" i="10"/>
  <c r="M4540" i="10"/>
  <c r="E4540" i="10"/>
  <c r="B4540" i="10"/>
  <c r="S4539" i="10"/>
  <c r="Q4539" i="10"/>
  <c r="P4539" i="10"/>
  <c r="O4539" i="10"/>
  <c r="M4539" i="10"/>
  <c r="E4539" i="10"/>
  <c r="B4539" i="10"/>
  <c r="S4538" i="10"/>
  <c r="Q4538" i="10"/>
  <c r="P4538" i="10"/>
  <c r="O4538" i="10"/>
  <c r="M4538" i="10"/>
  <c r="E4538" i="10"/>
  <c r="B4538" i="10"/>
  <c r="S4537" i="10"/>
  <c r="Q4537" i="10"/>
  <c r="P4537" i="10"/>
  <c r="O4537" i="10"/>
  <c r="M4537" i="10"/>
  <c r="E4537" i="10"/>
  <c r="B4537" i="10"/>
  <c r="S4536" i="10"/>
  <c r="Q4536" i="10"/>
  <c r="P4536" i="10"/>
  <c r="O4536" i="10"/>
  <c r="M4536" i="10"/>
  <c r="E4536" i="10"/>
  <c r="B4536" i="10"/>
  <c r="S4535" i="10"/>
  <c r="Q4535" i="10"/>
  <c r="P4535" i="10"/>
  <c r="O4535" i="10"/>
  <c r="M4535" i="10"/>
  <c r="E4535" i="10"/>
  <c r="B4535" i="10"/>
  <c r="S4534" i="10"/>
  <c r="Q4534" i="10"/>
  <c r="P4534" i="10"/>
  <c r="O4534" i="10"/>
  <c r="M4534" i="10"/>
  <c r="E4534" i="10"/>
  <c r="B4534" i="10"/>
  <c r="S4533" i="10"/>
  <c r="Q4533" i="10"/>
  <c r="P4533" i="10"/>
  <c r="O4533" i="10"/>
  <c r="M4533" i="10"/>
  <c r="E4533" i="10"/>
  <c r="B4533" i="10"/>
  <c r="S4532" i="10"/>
  <c r="Q4532" i="10"/>
  <c r="P4532" i="10"/>
  <c r="O4532" i="10"/>
  <c r="M4532" i="10"/>
  <c r="E4532" i="10"/>
  <c r="B4532" i="10"/>
  <c r="S4531" i="10"/>
  <c r="Q4531" i="10"/>
  <c r="P4531" i="10"/>
  <c r="O4531" i="10"/>
  <c r="M4531" i="10"/>
  <c r="E4531" i="10"/>
  <c r="B4531" i="10"/>
  <c r="S4530" i="10"/>
  <c r="Q4530" i="10"/>
  <c r="P4530" i="10"/>
  <c r="O4530" i="10"/>
  <c r="M4530" i="10"/>
  <c r="E4530" i="10"/>
  <c r="B4530" i="10"/>
  <c r="S4529" i="10"/>
  <c r="Q4529" i="10"/>
  <c r="P4529" i="10"/>
  <c r="O4529" i="10"/>
  <c r="M4529" i="10"/>
  <c r="E4529" i="10"/>
  <c r="B4529" i="10"/>
  <c r="S4528" i="10"/>
  <c r="Q4528" i="10"/>
  <c r="P4528" i="10"/>
  <c r="O4528" i="10"/>
  <c r="M4528" i="10"/>
  <c r="E4528" i="10"/>
  <c r="B4528" i="10"/>
  <c r="S4527" i="10"/>
  <c r="Q4527" i="10"/>
  <c r="P4527" i="10"/>
  <c r="O4527" i="10"/>
  <c r="M4527" i="10"/>
  <c r="E4527" i="10"/>
  <c r="B4527" i="10"/>
  <c r="S4526" i="10"/>
  <c r="Q4526" i="10"/>
  <c r="P4526" i="10"/>
  <c r="O4526" i="10"/>
  <c r="M4526" i="10"/>
  <c r="E4526" i="10"/>
  <c r="B4526" i="10"/>
  <c r="S4525" i="10"/>
  <c r="Q4525" i="10"/>
  <c r="P4525" i="10"/>
  <c r="O4525" i="10"/>
  <c r="M4525" i="10"/>
  <c r="E4525" i="10"/>
  <c r="B4525" i="10"/>
  <c r="S4524" i="10"/>
  <c r="Q4524" i="10"/>
  <c r="P4524" i="10"/>
  <c r="O4524" i="10"/>
  <c r="M4524" i="10"/>
  <c r="E4524" i="10"/>
  <c r="B4524" i="10"/>
  <c r="S4523" i="10"/>
  <c r="Q4523" i="10"/>
  <c r="P4523" i="10"/>
  <c r="O4523" i="10"/>
  <c r="M4523" i="10"/>
  <c r="E4523" i="10"/>
  <c r="B4523" i="10"/>
  <c r="S4522" i="10"/>
  <c r="Q4522" i="10"/>
  <c r="P4522" i="10"/>
  <c r="O4522" i="10"/>
  <c r="M4522" i="10"/>
  <c r="E4522" i="10"/>
  <c r="B4522" i="10"/>
  <c r="S4521" i="10"/>
  <c r="Q4521" i="10"/>
  <c r="P4521" i="10"/>
  <c r="O4521" i="10"/>
  <c r="M4521" i="10"/>
  <c r="E4521" i="10"/>
  <c r="B4521" i="10"/>
  <c r="S4520" i="10"/>
  <c r="Q4520" i="10"/>
  <c r="P4520" i="10"/>
  <c r="O4520" i="10"/>
  <c r="M4520" i="10"/>
  <c r="B4520" i="10"/>
  <c r="S4519" i="10"/>
  <c r="Q4519" i="10"/>
  <c r="P4519" i="10"/>
  <c r="O4519" i="10"/>
  <c r="M4519" i="10"/>
  <c r="B4519" i="10"/>
  <c r="S4518" i="10"/>
  <c r="Q4518" i="10"/>
  <c r="P4518" i="10"/>
  <c r="O4518" i="10"/>
  <c r="M4518" i="10"/>
  <c r="E4518" i="10"/>
  <c r="B4518" i="10"/>
  <c r="S4517" i="10"/>
  <c r="Q4517" i="10"/>
  <c r="P4517" i="10"/>
  <c r="O4517" i="10"/>
  <c r="M4517" i="10"/>
  <c r="E4517" i="10"/>
  <c r="B4517" i="10"/>
  <c r="S4516" i="10"/>
  <c r="Q4516" i="10"/>
  <c r="P4516" i="10"/>
  <c r="O4516" i="10"/>
  <c r="M4516" i="10"/>
  <c r="E4516" i="10"/>
  <c r="B4516" i="10"/>
  <c r="S4515" i="10"/>
  <c r="Q4515" i="10"/>
  <c r="P4515" i="10"/>
  <c r="O4515" i="10"/>
  <c r="M4515" i="10"/>
  <c r="E4515" i="10"/>
  <c r="B4515" i="10"/>
  <c r="S4514" i="10"/>
  <c r="Q4514" i="10"/>
  <c r="P4514" i="10"/>
  <c r="O4514" i="10"/>
  <c r="M4514" i="10"/>
  <c r="E4514" i="10"/>
  <c r="B4514" i="10"/>
  <c r="S4513" i="10"/>
  <c r="Q4513" i="10"/>
  <c r="P4513" i="10"/>
  <c r="O4513" i="10"/>
  <c r="M4513" i="10"/>
  <c r="E4513" i="10"/>
  <c r="B4513" i="10"/>
  <c r="S4512" i="10"/>
  <c r="Q4512" i="10"/>
  <c r="P4512" i="10"/>
  <c r="O4512" i="10"/>
  <c r="M4512" i="10"/>
  <c r="E4512" i="10"/>
  <c r="B4512" i="10"/>
  <c r="S4511" i="10"/>
  <c r="Q4511" i="10"/>
  <c r="P4511" i="10"/>
  <c r="O4511" i="10"/>
  <c r="M4511" i="10"/>
  <c r="E4511" i="10"/>
  <c r="B4511" i="10"/>
  <c r="S4510" i="10"/>
  <c r="Q4510" i="10"/>
  <c r="P4510" i="10"/>
  <c r="O4510" i="10"/>
  <c r="M4510" i="10"/>
  <c r="E4510" i="10"/>
  <c r="B4510" i="10"/>
  <c r="S4509" i="10"/>
  <c r="Q4509" i="10"/>
  <c r="P4509" i="10"/>
  <c r="O4509" i="10"/>
  <c r="M4509" i="10"/>
  <c r="E4509" i="10"/>
  <c r="B4509" i="10"/>
  <c r="S4508" i="10"/>
  <c r="Q4508" i="10"/>
  <c r="P4508" i="10"/>
  <c r="O4508" i="10"/>
  <c r="M4508" i="10"/>
  <c r="E4508" i="10"/>
  <c r="B4508" i="10"/>
  <c r="S4507" i="10"/>
  <c r="Q4507" i="10"/>
  <c r="P4507" i="10"/>
  <c r="O4507" i="10"/>
  <c r="M4507" i="10"/>
  <c r="B4507" i="10"/>
  <c r="S4506" i="10"/>
  <c r="Q4506" i="10"/>
  <c r="P4506" i="10"/>
  <c r="O4506" i="10"/>
  <c r="M4506" i="10"/>
  <c r="E4506" i="10"/>
  <c r="B4506" i="10"/>
  <c r="S4505" i="10"/>
  <c r="Q4505" i="10"/>
  <c r="P4505" i="10"/>
  <c r="O4505" i="10"/>
  <c r="M4505" i="10"/>
  <c r="E4505" i="10"/>
  <c r="B4505" i="10"/>
  <c r="S4504" i="10"/>
  <c r="Q4504" i="10"/>
  <c r="P4504" i="10"/>
  <c r="O4504" i="10"/>
  <c r="M4504" i="10"/>
  <c r="E4504" i="10"/>
  <c r="B4504" i="10"/>
  <c r="S4503" i="10"/>
  <c r="Q4503" i="10"/>
  <c r="P4503" i="10"/>
  <c r="O4503" i="10"/>
  <c r="M4503" i="10"/>
  <c r="E4503" i="10"/>
  <c r="B4503" i="10"/>
  <c r="S4502" i="10"/>
  <c r="Q4502" i="10"/>
  <c r="P4502" i="10"/>
  <c r="O4502" i="10"/>
  <c r="M4502" i="10"/>
  <c r="E4502" i="10"/>
  <c r="B4502" i="10"/>
  <c r="S4501" i="10"/>
  <c r="Q4501" i="10"/>
  <c r="P4501" i="10"/>
  <c r="O4501" i="10"/>
  <c r="M4501" i="10"/>
  <c r="E4501" i="10"/>
  <c r="B4501" i="10"/>
  <c r="S4500" i="10"/>
  <c r="Q4500" i="10"/>
  <c r="P4500" i="10"/>
  <c r="O4500" i="10"/>
  <c r="M4500" i="10"/>
  <c r="E4500" i="10"/>
  <c r="B4500" i="10"/>
  <c r="S4499" i="10"/>
  <c r="Q4499" i="10"/>
  <c r="P4499" i="10"/>
  <c r="O4499" i="10"/>
  <c r="M4499" i="10"/>
  <c r="E4499" i="10"/>
  <c r="B4499" i="10"/>
  <c r="S4498" i="10"/>
  <c r="Q4498" i="10"/>
  <c r="P4498" i="10"/>
  <c r="O4498" i="10"/>
  <c r="M4498" i="10"/>
  <c r="E4498" i="10"/>
  <c r="B4498" i="10"/>
  <c r="S4497" i="10"/>
  <c r="Q4497" i="10"/>
  <c r="P4497" i="10"/>
  <c r="O4497" i="10"/>
  <c r="M4497" i="10"/>
  <c r="E4497" i="10"/>
  <c r="B4497" i="10"/>
  <c r="S4496" i="10"/>
  <c r="Q4496" i="10"/>
  <c r="P4496" i="10"/>
  <c r="O4496" i="10"/>
  <c r="M4496" i="10"/>
  <c r="E4496" i="10"/>
  <c r="B4496" i="10"/>
  <c r="S4495" i="10"/>
  <c r="Q4495" i="10"/>
  <c r="P4495" i="10"/>
  <c r="O4495" i="10"/>
  <c r="M4495" i="10"/>
  <c r="E4495" i="10"/>
  <c r="B4495" i="10"/>
  <c r="S4494" i="10"/>
  <c r="Q4494" i="10"/>
  <c r="P4494" i="10"/>
  <c r="O4494" i="10"/>
  <c r="M4494" i="10"/>
  <c r="E4494" i="10"/>
  <c r="B4494" i="10"/>
  <c r="S4493" i="10"/>
  <c r="Q4493" i="10"/>
  <c r="P4493" i="10"/>
  <c r="O4493" i="10"/>
  <c r="M4493" i="10"/>
  <c r="E4493" i="10"/>
  <c r="B4493" i="10"/>
  <c r="S4492" i="10"/>
  <c r="Q4492" i="10"/>
  <c r="P4492" i="10"/>
  <c r="O4492" i="10"/>
  <c r="M4492" i="10"/>
  <c r="E4492" i="10"/>
  <c r="B4492" i="10"/>
  <c r="S4491" i="10"/>
  <c r="Q4491" i="10"/>
  <c r="P4491" i="10"/>
  <c r="O4491" i="10"/>
  <c r="M4491" i="10"/>
  <c r="E4491" i="10"/>
  <c r="B4491" i="10"/>
  <c r="S4490" i="10"/>
  <c r="Q4490" i="10"/>
  <c r="P4490" i="10"/>
  <c r="O4490" i="10"/>
  <c r="M4490" i="10"/>
  <c r="E4490" i="10"/>
  <c r="B4490" i="10"/>
  <c r="S4489" i="10"/>
  <c r="Q4489" i="10"/>
  <c r="P4489" i="10"/>
  <c r="O4489" i="10"/>
  <c r="M4489" i="10"/>
  <c r="B4489" i="10"/>
  <c r="S4488" i="10"/>
  <c r="Q4488" i="10"/>
  <c r="P4488" i="10"/>
  <c r="O4488" i="10"/>
  <c r="M4488" i="10"/>
  <c r="E4488" i="10"/>
  <c r="B4488" i="10"/>
  <c r="S4487" i="10"/>
  <c r="Q4487" i="10"/>
  <c r="P4487" i="10"/>
  <c r="O4487" i="10"/>
  <c r="M4487" i="10"/>
  <c r="E4487" i="10"/>
  <c r="B4487" i="10"/>
  <c r="S4486" i="10"/>
  <c r="Q4486" i="10"/>
  <c r="P4486" i="10"/>
  <c r="O4486" i="10"/>
  <c r="M4486" i="10"/>
  <c r="E4486" i="10"/>
  <c r="B4486" i="10"/>
  <c r="S4485" i="10"/>
  <c r="Q4485" i="10"/>
  <c r="P4485" i="10"/>
  <c r="O4485" i="10"/>
  <c r="M4485" i="10"/>
  <c r="B4485" i="10"/>
  <c r="S4484" i="10"/>
  <c r="Q4484" i="10"/>
  <c r="P4484" i="10"/>
  <c r="O4484" i="10"/>
  <c r="M4484" i="10"/>
  <c r="E4484" i="10"/>
  <c r="B4484" i="10"/>
  <c r="S4483" i="10"/>
  <c r="Q4483" i="10"/>
  <c r="P4483" i="10"/>
  <c r="O4483" i="10"/>
  <c r="M4483" i="10"/>
  <c r="E4483" i="10"/>
  <c r="B4483" i="10"/>
  <c r="S4482" i="10"/>
  <c r="Q4482" i="10"/>
  <c r="P4482" i="10"/>
  <c r="O4482" i="10"/>
  <c r="M4482" i="10"/>
  <c r="E4482" i="10"/>
  <c r="B4482" i="10"/>
  <c r="S4481" i="10"/>
  <c r="Q4481" i="10"/>
  <c r="P4481" i="10"/>
  <c r="O4481" i="10"/>
  <c r="M4481" i="10"/>
  <c r="E4481" i="10"/>
  <c r="B4481" i="10"/>
  <c r="S4480" i="10"/>
  <c r="Q4480" i="10"/>
  <c r="P4480" i="10"/>
  <c r="O4480" i="10"/>
  <c r="M4480" i="10"/>
  <c r="E4480" i="10"/>
  <c r="B4480" i="10"/>
  <c r="S4479" i="10"/>
  <c r="Q4479" i="10"/>
  <c r="P4479" i="10"/>
  <c r="O4479" i="10"/>
  <c r="M4479" i="10"/>
  <c r="E4479" i="10"/>
  <c r="B4479" i="10"/>
  <c r="S4478" i="10"/>
  <c r="Q4478" i="10"/>
  <c r="P4478" i="10"/>
  <c r="O4478" i="10"/>
  <c r="M4478" i="10"/>
  <c r="E4478" i="10"/>
  <c r="B4478" i="10"/>
  <c r="S4477" i="10"/>
  <c r="Q4477" i="10"/>
  <c r="P4477" i="10"/>
  <c r="O4477" i="10"/>
  <c r="M4477" i="10"/>
  <c r="B4477" i="10"/>
  <c r="S4476" i="10"/>
  <c r="Q4476" i="10"/>
  <c r="P4476" i="10"/>
  <c r="O4476" i="10"/>
  <c r="M4476" i="10"/>
  <c r="B4476" i="10"/>
  <c r="S4475" i="10"/>
  <c r="Q4475" i="10"/>
  <c r="P4475" i="10"/>
  <c r="O4475" i="10"/>
  <c r="M4475" i="10"/>
  <c r="E4475" i="10"/>
  <c r="B4475" i="10"/>
  <c r="S4474" i="10"/>
  <c r="Q4474" i="10"/>
  <c r="P4474" i="10"/>
  <c r="O4474" i="10"/>
  <c r="M4474" i="10"/>
  <c r="E4474" i="10"/>
  <c r="B4474" i="10"/>
  <c r="S4473" i="10"/>
  <c r="Q4473" i="10"/>
  <c r="P4473" i="10"/>
  <c r="O4473" i="10"/>
  <c r="M4473" i="10"/>
  <c r="E4473" i="10"/>
  <c r="B4473" i="10"/>
  <c r="S4472" i="10"/>
  <c r="Q4472" i="10"/>
  <c r="P4472" i="10"/>
  <c r="O4472" i="10"/>
  <c r="M4472" i="10"/>
  <c r="E4472" i="10"/>
  <c r="B4472" i="10"/>
  <c r="S4471" i="10"/>
  <c r="Q4471" i="10"/>
  <c r="P4471" i="10"/>
  <c r="O4471" i="10"/>
  <c r="M4471" i="10"/>
  <c r="E4471" i="10"/>
  <c r="B4471" i="10"/>
  <c r="S4470" i="10"/>
  <c r="Q4470" i="10"/>
  <c r="P4470" i="10"/>
  <c r="O4470" i="10"/>
  <c r="M4470" i="10"/>
  <c r="E4470" i="10"/>
  <c r="B4470" i="10"/>
  <c r="S4469" i="10"/>
  <c r="Q4469" i="10"/>
  <c r="P4469" i="10"/>
  <c r="O4469" i="10"/>
  <c r="M4469" i="10"/>
  <c r="E4469" i="10"/>
  <c r="B4469" i="10"/>
  <c r="S4468" i="10"/>
  <c r="Q4468" i="10"/>
  <c r="P4468" i="10"/>
  <c r="O4468" i="10"/>
  <c r="M4468" i="10"/>
  <c r="E4468" i="10"/>
  <c r="B4468" i="10"/>
  <c r="S4467" i="10"/>
  <c r="Q4467" i="10"/>
  <c r="P4467" i="10"/>
  <c r="O4467" i="10"/>
  <c r="M4467" i="10"/>
  <c r="E4467" i="10"/>
  <c r="B4467" i="10"/>
  <c r="S4466" i="10"/>
  <c r="Q4466" i="10"/>
  <c r="P4466" i="10"/>
  <c r="O4466" i="10"/>
  <c r="M4466" i="10"/>
  <c r="E4466" i="10"/>
  <c r="B4466" i="10"/>
  <c r="S4465" i="10"/>
  <c r="Q4465" i="10"/>
  <c r="P4465" i="10"/>
  <c r="O4465" i="10"/>
  <c r="M4465" i="10"/>
  <c r="E4465" i="10"/>
  <c r="B4465" i="10"/>
  <c r="S4464" i="10"/>
  <c r="Q4464" i="10"/>
  <c r="P4464" i="10"/>
  <c r="O4464" i="10"/>
  <c r="M4464" i="10"/>
  <c r="E4464" i="10"/>
  <c r="B4464" i="10"/>
  <c r="S4463" i="10"/>
  <c r="Q4463" i="10"/>
  <c r="P4463" i="10"/>
  <c r="O4463" i="10"/>
  <c r="M4463" i="10"/>
  <c r="B4463" i="10"/>
  <c r="S4462" i="10"/>
  <c r="Q4462" i="10"/>
  <c r="P4462" i="10"/>
  <c r="O4462" i="10"/>
  <c r="M4462" i="10"/>
  <c r="E4462" i="10"/>
  <c r="B4462" i="10"/>
  <c r="S4461" i="10"/>
  <c r="Q4461" i="10"/>
  <c r="P4461" i="10"/>
  <c r="O4461" i="10"/>
  <c r="M4461" i="10"/>
  <c r="E4461" i="10"/>
  <c r="B4461" i="10"/>
  <c r="S4460" i="10"/>
  <c r="Q4460" i="10"/>
  <c r="P4460" i="10"/>
  <c r="O4460" i="10"/>
  <c r="M4460" i="10"/>
  <c r="B4460" i="10"/>
  <c r="S4459" i="10"/>
  <c r="Q4459" i="10"/>
  <c r="P4459" i="10"/>
  <c r="O4459" i="10"/>
  <c r="M4459" i="10"/>
  <c r="E4459" i="10"/>
  <c r="B4459" i="10"/>
  <c r="S4458" i="10"/>
  <c r="Q4458" i="10"/>
  <c r="P4458" i="10"/>
  <c r="O4458" i="10"/>
  <c r="M4458" i="10"/>
  <c r="E4458" i="10"/>
  <c r="B4458" i="10"/>
  <c r="S4457" i="10"/>
  <c r="Q4457" i="10"/>
  <c r="P4457" i="10"/>
  <c r="O4457" i="10"/>
  <c r="M4457" i="10"/>
  <c r="E4457" i="10"/>
  <c r="B4457" i="10"/>
  <c r="S4456" i="10"/>
  <c r="Q4456" i="10"/>
  <c r="P4456" i="10"/>
  <c r="O4456" i="10"/>
  <c r="M4456" i="10"/>
  <c r="E4456" i="10"/>
  <c r="B4456" i="10"/>
  <c r="S4455" i="10"/>
  <c r="Q4455" i="10"/>
  <c r="P4455" i="10"/>
  <c r="O4455" i="10"/>
  <c r="M4455" i="10"/>
  <c r="E4455" i="10"/>
  <c r="B4455" i="10"/>
  <c r="S4454" i="10"/>
  <c r="Q4454" i="10"/>
  <c r="P4454" i="10"/>
  <c r="O4454" i="10"/>
  <c r="M4454" i="10"/>
  <c r="E4454" i="10"/>
  <c r="B4454" i="10"/>
  <c r="S4453" i="10"/>
  <c r="Q4453" i="10"/>
  <c r="P4453" i="10"/>
  <c r="O4453" i="10"/>
  <c r="M4453" i="10"/>
  <c r="E4453" i="10"/>
  <c r="B4453" i="10"/>
  <c r="S4452" i="10"/>
  <c r="Q4452" i="10"/>
  <c r="P4452" i="10"/>
  <c r="O4452" i="10"/>
  <c r="M4452" i="10"/>
  <c r="E4452" i="10"/>
  <c r="B4452" i="10"/>
  <c r="S4451" i="10"/>
  <c r="Q4451" i="10"/>
  <c r="P4451" i="10"/>
  <c r="O4451" i="10"/>
  <c r="M4451" i="10"/>
  <c r="E4451" i="10"/>
  <c r="B4451" i="10"/>
  <c r="S4450" i="10"/>
  <c r="Q4450" i="10"/>
  <c r="P4450" i="10"/>
  <c r="O4450" i="10"/>
  <c r="M4450" i="10"/>
  <c r="B4450" i="10"/>
  <c r="S4449" i="10"/>
  <c r="Q4449" i="10"/>
  <c r="P4449" i="10"/>
  <c r="O4449" i="10"/>
  <c r="M4449" i="10"/>
  <c r="E4449" i="10"/>
  <c r="B4449" i="10"/>
  <c r="S4448" i="10"/>
  <c r="Q4448" i="10"/>
  <c r="P4448" i="10"/>
  <c r="O4448" i="10"/>
  <c r="M4448" i="10"/>
  <c r="E4448" i="10"/>
  <c r="B4448" i="10"/>
  <c r="S4447" i="10"/>
  <c r="Q4447" i="10"/>
  <c r="P4447" i="10"/>
  <c r="O4447" i="10"/>
  <c r="M4447" i="10"/>
  <c r="E4447" i="10"/>
  <c r="B4447" i="10"/>
  <c r="S4446" i="10"/>
  <c r="Q4446" i="10"/>
  <c r="P4446" i="10"/>
  <c r="O4446" i="10"/>
  <c r="M4446" i="10"/>
  <c r="E4446" i="10"/>
  <c r="B4446" i="10"/>
  <c r="S4445" i="10"/>
  <c r="Q4445" i="10"/>
  <c r="P4445" i="10"/>
  <c r="O4445" i="10"/>
  <c r="M4445" i="10"/>
  <c r="B4445" i="10"/>
  <c r="S4444" i="10"/>
  <c r="Q4444" i="10"/>
  <c r="P4444" i="10"/>
  <c r="O4444" i="10"/>
  <c r="M4444" i="10"/>
  <c r="E4444" i="10"/>
  <c r="B4444" i="10"/>
  <c r="S4443" i="10"/>
  <c r="Q4443" i="10"/>
  <c r="P4443" i="10"/>
  <c r="O4443" i="10"/>
  <c r="M4443" i="10"/>
  <c r="E4443" i="10"/>
  <c r="B4443" i="10"/>
  <c r="S4442" i="10"/>
  <c r="Q4442" i="10"/>
  <c r="P4442" i="10"/>
  <c r="O4442" i="10"/>
  <c r="M4442" i="10"/>
  <c r="E4442" i="10"/>
  <c r="B4442" i="10"/>
  <c r="S4441" i="10"/>
  <c r="Q4441" i="10"/>
  <c r="P4441" i="10"/>
  <c r="O4441" i="10"/>
  <c r="M4441" i="10"/>
  <c r="E4441" i="10"/>
  <c r="B4441" i="10"/>
  <c r="S4440" i="10"/>
  <c r="Q4440" i="10"/>
  <c r="P4440" i="10"/>
  <c r="O4440" i="10"/>
  <c r="M4440" i="10"/>
  <c r="E4440" i="10"/>
  <c r="B4440" i="10"/>
  <c r="S4439" i="10"/>
  <c r="Q4439" i="10"/>
  <c r="P4439" i="10"/>
  <c r="O4439" i="10"/>
  <c r="M4439" i="10"/>
  <c r="E4439" i="10"/>
  <c r="B4439" i="10"/>
  <c r="S4438" i="10"/>
  <c r="Q4438" i="10"/>
  <c r="P4438" i="10"/>
  <c r="O4438" i="10"/>
  <c r="M4438" i="10"/>
  <c r="E4438" i="10"/>
  <c r="B4438" i="10"/>
  <c r="S4437" i="10"/>
  <c r="Q4437" i="10"/>
  <c r="P4437" i="10"/>
  <c r="O4437" i="10"/>
  <c r="M4437" i="10"/>
  <c r="E4437" i="10"/>
  <c r="B4437" i="10"/>
  <c r="S4436" i="10"/>
  <c r="Q4436" i="10"/>
  <c r="P4436" i="10"/>
  <c r="O4436" i="10"/>
  <c r="M4436" i="10"/>
  <c r="E4436" i="10"/>
  <c r="B4436" i="10"/>
  <c r="S4435" i="10"/>
  <c r="Q4435" i="10"/>
  <c r="P4435" i="10"/>
  <c r="O4435" i="10"/>
  <c r="M4435" i="10"/>
  <c r="E4435" i="10"/>
  <c r="B4435" i="10"/>
  <c r="S4434" i="10"/>
  <c r="Q4434" i="10"/>
  <c r="P4434" i="10"/>
  <c r="O4434" i="10"/>
  <c r="M4434" i="10"/>
  <c r="B4434" i="10"/>
  <c r="S4433" i="10"/>
  <c r="Q4433" i="10"/>
  <c r="P4433" i="10"/>
  <c r="O4433" i="10"/>
  <c r="M4433" i="10"/>
  <c r="E4433" i="10"/>
  <c r="B4433" i="10"/>
  <c r="S4432" i="10"/>
  <c r="Q4432" i="10"/>
  <c r="P4432" i="10"/>
  <c r="O4432" i="10"/>
  <c r="M4432" i="10"/>
  <c r="E4432" i="10"/>
  <c r="B4432" i="10"/>
  <c r="S4431" i="10"/>
  <c r="Q4431" i="10"/>
  <c r="P4431" i="10"/>
  <c r="O4431" i="10"/>
  <c r="M4431" i="10"/>
  <c r="E4431" i="10"/>
  <c r="B4431" i="10"/>
  <c r="S4430" i="10"/>
  <c r="Q4430" i="10"/>
  <c r="P4430" i="10"/>
  <c r="O4430" i="10"/>
  <c r="M4430" i="10"/>
  <c r="E4430" i="10"/>
  <c r="B4430" i="10"/>
  <c r="S4429" i="10"/>
  <c r="Q4429" i="10"/>
  <c r="P4429" i="10"/>
  <c r="O4429" i="10"/>
  <c r="M4429" i="10"/>
  <c r="E4429" i="10"/>
  <c r="B4429" i="10"/>
  <c r="S4428" i="10"/>
  <c r="Q4428" i="10"/>
  <c r="P4428" i="10"/>
  <c r="O4428" i="10"/>
  <c r="M4428" i="10"/>
  <c r="E4428" i="10"/>
  <c r="B4428" i="10"/>
  <c r="S4427" i="10"/>
  <c r="Q4427" i="10"/>
  <c r="P4427" i="10"/>
  <c r="O4427" i="10"/>
  <c r="M4427" i="10"/>
  <c r="E4427" i="10"/>
  <c r="B4427" i="10"/>
  <c r="S4426" i="10"/>
  <c r="Q4426" i="10"/>
  <c r="P4426" i="10"/>
  <c r="O4426" i="10"/>
  <c r="M4426" i="10"/>
  <c r="E4426" i="10"/>
  <c r="B4426" i="10"/>
  <c r="S4425" i="10"/>
  <c r="Q4425" i="10"/>
  <c r="P4425" i="10"/>
  <c r="O4425" i="10"/>
  <c r="M4425" i="10"/>
  <c r="E4425" i="10"/>
  <c r="B4425" i="10"/>
  <c r="S4424" i="10"/>
  <c r="Q4424" i="10"/>
  <c r="P4424" i="10"/>
  <c r="O4424" i="10"/>
  <c r="M4424" i="10"/>
  <c r="E4424" i="10"/>
  <c r="B4424" i="10"/>
  <c r="S4423" i="10"/>
  <c r="Q4423" i="10"/>
  <c r="P4423" i="10"/>
  <c r="O4423" i="10"/>
  <c r="M4423" i="10"/>
  <c r="E4423" i="10"/>
  <c r="B4423" i="10"/>
  <c r="S4422" i="10"/>
  <c r="Q4422" i="10"/>
  <c r="P4422" i="10"/>
  <c r="O4422" i="10"/>
  <c r="M4422" i="10"/>
  <c r="E4422" i="10"/>
  <c r="B4422" i="10"/>
  <c r="S4421" i="10"/>
  <c r="Q4421" i="10"/>
  <c r="P4421" i="10"/>
  <c r="O4421" i="10"/>
  <c r="M4421" i="10"/>
  <c r="E4421" i="10"/>
  <c r="B4421" i="10"/>
  <c r="S4420" i="10"/>
  <c r="Q4420" i="10"/>
  <c r="P4420" i="10"/>
  <c r="O4420" i="10"/>
  <c r="M4420" i="10"/>
  <c r="E4420" i="10"/>
  <c r="B4420" i="10"/>
  <c r="S4419" i="10"/>
  <c r="Q4419" i="10"/>
  <c r="P4419" i="10"/>
  <c r="O4419" i="10"/>
  <c r="M4419" i="10"/>
  <c r="E4419" i="10"/>
  <c r="B4419" i="10"/>
  <c r="S4418" i="10"/>
  <c r="Q4418" i="10"/>
  <c r="P4418" i="10"/>
  <c r="O4418" i="10"/>
  <c r="M4418" i="10"/>
  <c r="E4418" i="10"/>
  <c r="B4418" i="10"/>
  <c r="S4417" i="10"/>
  <c r="Q4417" i="10"/>
  <c r="P4417" i="10"/>
  <c r="O4417" i="10"/>
  <c r="M4417" i="10"/>
  <c r="E4417" i="10"/>
  <c r="B4417" i="10"/>
  <c r="S4416" i="10"/>
  <c r="Q4416" i="10"/>
  <c r="P4416" i="10"/>
  <c r="O4416" i="10"/>
  <c r="M4416" i="10"/>
  <c r="B4416" i="10"/>
  <c r="S4415" i="10"/>
  <c r="Q4415" i="10"/>
  <c r="P4415" i="10"/>
  <c r="O4415" i="10"/>
  <c r="M4415" i="10"/>
  <c r="E4415" i="10"/>
  <c r="B4415" i="10"/>
  <c r="S4414" i="10"/>
  <c r="Q4414" i="10"/>
  <c r="P4414" i="10"/>
  <c r="O4414" i="10"/>
  <c r="M4414" i="10"/>
  <c r="B4414" i="10"/>
  <c r="S4413" i="10"/>
  <c r="Q4413" i="10"/>
  <c r="P4413" i="10"/>
  <c r="O4413" i="10"/>
  <c r="M4413" i="10"/>
  <c r="E4413" i="10"/>
  <c r="B4413" i="10"/>
  <c r="S4412" i="10"/>
  <c r="Q4412" i="10"/>
  <c r="P4412" i="10"/>
  <c r="O4412" i="10"/>
  <c r="M4412" i="10"/>
  <c r="E4412" i="10"/>
  <c r="B4412" i="10"/>
  <c r="S4411" i="10"/>
  <c r="Q4411" i="10"/>
  <c r="P4411" i="10"/>
  <c r="O4411" i="10"/>
  <c r="M4411" i="10"/>
  <c r="E4411" i="10"/>
  <c r="B4411" i="10"/>
  <c r="S4410" i="10"/>
  <c r="Q4410" i="10"/>
  <c r="P4410" i="10"/>
  <c r="O4410" i="10"/>
  <c r="M4410" i="10"/>
  <c r="B4410" i="10"/>
  <c r="S4409" i="10"/>
  <c r="Q4409" i="10"/>
  <c r="P4409" i="10"/>
  <c r="O4409" i="10"/>
  <c r="M4409" i="10"/>
  <c r="E4409" i="10"/>
  <c r="B4409" i="10"/>
  <c r="S4408" i="10"/>
  <c r="Q4408" i="10"/>
  <c r="P4408" i="10"/>
  <c r="O4408" i="10"/>
  <c r="M4408" i="10"/>
  <c r="E4408" i="10"/>
  <c r="B4408" i="10"/>
  <c r="S4407" i="10"/>
  <c r="Q4407" i="10"/>
  <c r="P4407" i="10"/>
  <c r="O4407" i="10"/>
  <c r="M4407" i="10"/>
  <c r="B4407" i="10"/>
  <c r="S4406" i="10"/>
  <c r="Q4406" i="10"/>
  <c r="P4406" i="10"/>
  <c r="O4406" i="10"/>
  <c r="M4406" i="10"/>
  <c r="B4406" i="10"/>
  <c r="S4405" i="10"/>
  <c r="Q4405" i="10"/>
  <c r="P4405" i="10"/>
  <c r="O4405" i="10"/>
  <c r="M4405" i="10"/>
  <c r="E4405" i="10"/>
  <c r="B4405" i="10"/>
  <c r="S4404" i="10"/>
  <c r="Q4404" i="10"/>
  <c r="P4404" i="10"/>
  <c r="O4404" i="10"/>
  <c r="M4404" i="10"/>
  <c r="E4404" i="10"/>
  <c r="B4404" i="10"/>
  <c r="S4403" i="10"/>
  <c r="Q4403" i="10"/>
  <c r="P4403" i="10"/>
  <c r="O4403" i="10"/>
  <c r="M4403" i="10"/>
  <c r="E4403" i="10"/>
  <c r="B4403" i="10"/>
  <c r="S4402" i="10"/>
  <c r="Q4402" i="10"/>
  <c r="P4402" i="10"/>
  <c r="O4402" i="10"/>
  <c r="M4402" i="10"/>
  <c r="E4402" i="10"/>
  <c r="B4402" i="10"/>
  <c r="S4401" i="10"/>
  <c r="Q4401" i="10"/>
  <c r="P4401" i="10"/>
  <c r="O4401" i="10"/>
  <c r="M4401" i="10"/>
  <c r="E4401" i="10"/>
  <c r="B4401" i="10"/>
  <c r="S4400" i="10"/>
  <c r="Q4400" i="10"/>
  <c r="P4400" i="10"/>
  <c r="O4400" i="10"/>
  <c r="M4400" i="10"/>
  <c r="E4400" i="10"/>
  <c r="B4400" i="10"/>
  <c r="S4399" i="10"/>
  <c r="Q4399" i="10"/>
  <c r="P4399" i="10"/>
  <c r="O4399" i="10"/>
  <c r="M4399" i="10"/>
  <c r="E4399" i="10"/>
  <c r="B4399" i="10"/>
  <c r="S4398" i="10"/>
  <c r="Q4398" i="10"/>
  <c r="P4398" i="10"/>
  <c r="O4398" i="10"/>
  <c r="M4398" i="10"/>
  <c r="E4398" i="10"/>
  <c r="B4398" i="10"/>
  <c r="S4397" i="10"/>
  <c r="Q4397" i="10"/>
  <c r="P4397" i="10"/>
  <c r="O4397" i="10"/>
  <c r="M4397" i="10"/>
  <c r="B4397" i="10"/>
  <c r="S4396" i="10"/>
  <c r="Q4396" i="10"/>
  <c r="P4396" i="10"/>
  <c r="O4396" i="10"/>
  <c r="M4396" i="10"/>
  <c r="E4396" i="10"/>
  <c r="B4396" i="10"/>
  <c r="S4395" i="10"/>
  <c r="Q4395" i="10"/>
  <c r="P4395" i="10"/>
  <c r="O4395" i="10"/>
  <c r="M4395" i="10"/>
  <c r="E4395" i="10"/>
  <c r="B4395" i="10"/>
  <c r="S4394" i="10"/>
  <c r="Q4394" i="10"/>
  <c r="P4394" i="10"/>
  <c r="O4394" i="10"/>
  <c r="M4394" i="10"/>
  <c r="E4394" i="10"/>
  <c r="B4394" i="10"/>
  <c r="S4393" i="10"/>
  <c r="Q4393" i="10"/>
  <c r="P4393" i="10"/>
  <c r="O4393" i="10"/>
  <c r="M4393" i="10"/>
  <c r="E4393" i="10"/>
  <c r="B4393" i="10"/>
  <c r="S4392" i="10"/>
  <c r="Q4392" i="10"/>
  <c r="P4392" i="10"/>
  <c r="O4392" i="10"/>
  <c r="M4392" i="10"/>
  <c r="E4392" i="10"/>
  <c r="B4392" i="10"/>
  <c r="S4391" i="10"/>
  <c r="Q4391" i="10"/>
  <c r="P4391" i="10"/>
  <c r="O4391" i="10"/>
  <c r="M4391" i="10"/>
  <c r="E4391" i="10"/>
  <c r="B4391" i="10"/>
  <c r="S4390" i="10"/>
  <c r="Q4390" i="10"/>
  <c r="P4390" i="10"/>
  <c r="O4390" i="10"/>
  <c r="M4390" i="10"/>
  <c r="E4390" i="10"/>
  <c r="B4390" i="10"/>
  <c r="S4389" i="10"/>
  <c r="Q4389" i="10"/>
  <c r="P4389" i="10"/>
  <c r="O4389" i="10"/>
  <c r="M4389" i="10"/>
  <c r="E4389" i="10"/>
  <c r="B4389" i="10"/>
  <c r="S4388" i="10"/>
  <c r="Q4388" i="10"/>
  <c r="P4388" i="10"/>
  <c r="O4388" i="10"/>
  <c r="M4388" i="10"/>
  <c r="E4388" i="10"/>
  <c r="B4388" i="10"/>
  <c r="S4387" i="10"/>
  <c r="Q4387" i="10"/>
  <c r="P4387" i="10"/>
  <c r="O4387" i="10"/>
  <c r="M4387" i="10"/>
  <c r="E4387" i="10"/>
  <c r="B4387" i="10"/>
  <c r="S4386" i="10"/>
  <c r="Q4386" i="10"/>
  <c r="P4386" i="10"/>
  <c r="O4386" i="10"/>
  <c r="M4386" i="10"/>
  <c r="E4386" i="10"/>
  <c r="B4386" i="10"/>
  <c r="S4385" i="10"/>
  <c r="Q4385" i="10"/>
  <c r="P4385" i="10"/>
  <c r="O4385" i="10"/>
  <c r="M4385" i="10"/>
  <c r="E4385" i="10"/>
  <c r="B4385" i="10"/>
  <c r="S4384" i="10"/>
  <c r="Q4384" i="10"/>
  <c r="P4384" i="10"/>
  <c r="O4384" i="10"/>
  <c r="M4384" i="10"/>
  <c r="E4384" i="10"/>
  <c r="B4384" i="10"/>
  <c r="S4383" i="10"/>
  <c r="Q4383" i="10"/>
  <c r="P4383" i="10"/>
  <c r="O4383" i="10"/>
  <c r="M4383" i="10"/>
  <c r="E4383" i="10"/>
  <c r="B4383" i="10"/>
  <c r="S4382" i="10"/>
  <c r="Q4382" i="10"/>
  <c r="P4382" i="10"/>
  <c r="O4382" i="10"/>
  <c r="M4382" i="10"/>
  <c r="E4382" i="10"/>
  <c r="B4382" i="10"/>
  <c r="S4381" i="10"/>
  <c r="Q4381" i="10"/>
  <c r="P4381" i="10"/>
  <c r="O4381" i="10"/>
  <c r="M4381" i="10"/>
  <c r="E4381" i="10"/>
  <c r="B4381" i="10"/>
  <c r="S4380" i="10"/>
  <c r="Q4380" i="10"/>
  <c r="P4380" i="10"/>
  <c r="O4380" i="10"/>
  <c r="M4380" i="10"/>
  <c r="E4380" i="10"/>
  <c r="B4380" i="10"/>
  <c r="S4379" i="10"/>
  <c r="Q4379" i="10"/>
  <c r="P4379" i="10"/>
  <c r="O4379" i="10"/>
  <c r="M4379" i="10"/>
  <c r="E4379" i="10"/>
  <c r="B4379" i="10"/>
  <c r="S4378" i="10"/>
  <c r="Q4378" i="10"/>
  <c r="P4378" i="10"/>
  <c r="O4378" i="10"/>
  <c r="M4378" i="10"/>
  <c r="E4378" i="10"/>
  <c r="B4378" i="10"/>
  <c r="S4377" i="10"/>
  <c r="Q4377" i="10"/>
  <c r="P4377" i="10"/>
  <c r="O4377" i="10"/>
  <c r="M4377" i="10"/>
  <c r="E4377" i="10"/>
  <c r="B4377" i="10"/>
  <c r="S4376" i="10"/>
  <c r="Q4376" i="10"/>
  <c r="P4376" i="10"/>
  <c r="O4376" i="10"/>
  <c r="M4376" i="10"/>
  <c r="E4376" i="10"/>
  <c r="B4376" i="10"/>
  <c r="S4375" i="10"/>
  <c r="Q4375" i="10"/>
  <c r="P4375" i="10"/>
  <c r="O4375" i="10"/>
  <c r="M4375" i="10"/>
  <c r="E4375" i="10"/>
  <c r="B4375" i="10"/>
  <c r="S4374" i="10"/>
  <c r="Q4374" i="10"/>
  <c r="P4374" i="10"/>
  <c r="O4374" i="10"/>
  <c r="M4374" i="10"/>
  <c r="E4374" i="10"/>
  <c r="B4374" i="10"/>
  <c r="S4373" i="10"/>
  <c r="Q4373" i="10"/>
  <c r="P4373" i="10"/>
  <c r="O4373" i="10"/>
  <c r="M4373" i="10"/>
  <c r="E4373" i="10"/>
  <c r="B4373" i="10"/>
  <c r="S4372" i="10"/>
  <c r="Q4372" i="10"/>
  <c r="P4372" i="10"/>
  <c r="O4372" i="10"/>
  <c r="M4372" i="10"/>
  <c r="E4372" i="10"/>
  <c r="B4372" i="10"/>
  <c r="S4371" i="10"/>
  <c r="Q4371" i="10"/>
  <c r="P4371" i="10"/>
  <c r="O4371" i="10"/>
  <c r="M4371" i="10"/>
  <c r="E4371" i="10"/>
  <c r="B4371" i="10"/>
  <c r="S4370" i="10"/>
  <c r="Q4370" i="10"/>
  <c r="P4370" i="10"/>
  <c r="O4370" i="10"/>
  <c r="M4370" i="10"/>
  <c r="E4370" i="10"/>
  <c r="B4370" i="10"/>
  <c r="S4369" i="10"/>
  <c r="Q4369" i="10"/>
  <c r="P4369" i="10"/>
  <c r="O4369" i="10"/>
  <c r="M4369" i="10"/>
  <c r="B4369" i="10"/>
  <c r="S4368" i="10"/>
  <c r="Q4368" i="10"/>
  <c r="P4368" i="10"/>
  <c r="O4368" i="10"/>
  <c r="M4368" i="10"/>
  <c r="E4368" i="10"/>
  <c r="B4368" i="10"/>
  <c r="S4367" i="10"/>
  <c r="Q4367" i="10"/>
  <c r="P4367" i="10"/>
  <c r="O4367" i="10"/>
  <c r="M4367" i="10"/>
  <c r="B4367" i="10"/>
  <c r="S4366" i="10"/>
  <c r="Q4366" i="10"/>
  <c r="P4366" i="10"/>
  <c r="O4366" i="10"/>
  <c r="M4366" i="10"/>
  <c r="E4366" i="10"/>
  <c r="B4366" i="10"/>
  <c r="S4365" i="10"/>
  <c r="Q4365" i="10"/>
  <c r="P4365" i="10"/>
  <c r="O4365" i="10"/>
  <c r="M4365" i="10"/>
  <c r="E4365" i="10"/>
  <c r="B4365" i="10"/>
  <c r="S4364" i="10"/>
  <c r="Q4364" i="10"/>
  <c r="P4364" i="10"/>
  <c r="O4364" i="10"/>
  <c r="M4364" i="10"/>
  <c r="E4364" i="10"/>
  <c r="B4364" i="10"/>
  <c r="S4363" i="10"/>
  <c r="Q4363" i="10"/>
  <c r="P4363" i="10"/>
  <c r="O4363" i="10"/>
  <c r="M4363" i="10"/>
  <c r="E4363" i="10"/>
  <c r="B4363" i="10"/>
  <c r="S4362" i="10"/>
  <c r="Q4362" i="10"/>
  <c r="P4362" i="10"/>
  <c r="O4362" i="10"/>
  <c r="M4362" i="10"/>
  <c r="E4362" i="10"/>
  <c r="B4362" i="10"/>
  <c r="S4361" i="10"/>
  <c r="Q4361" i="10"/>
  <c r="P4361" i="10"/>
  <c r="O4361" i="10"/>
  <c r="M4361" i="10"/>
  <c r="E4361" i="10"/>
  <c r="B4361" i="10"/>
  <c r="S4360" i="10"/>
  <c r="Q4360" i="10"/>
  <c r="P4360" i="10"/>
  <c r="O4360" i="10"/>
  <c r="M4360" i="10"/>
  <c r="E4360" i="10"/>
  <c r="B4360" i="10"/>
  <c r="S4359" i="10"/>
  <c r="Q4359" i="10"/>
  <c r="P4359" i="10"/>
  <c r="O4359" i="10"/>
  <c r="M4359" i="10"/>
  <c r="E4359" i="10"/>
  <c r="B4359" i="10"/>
  <c r="S4358" i="10"/>
  <c r="Q4358" i="10"/>
  <c r="P4358" i="10"/>
  <c r="O4358" i="10"/>
  <c r="M4358" i="10"/>
  <c r="E4358" i="10"/>
  <c r="B4358" i="10"/>
  <c r="S4357" i="10"/>
  <c r="Q4357" i="10"/>
  <c r="P4357" i="10"/>
  <c r="O4357" i="10"/>
  <c r="M4357" i="10"/>
  <c r="B4357" i="10"/>
  <c r="S4356" i="10"/>
  <c r="Q4356" i="10"/>
  <c r="P4356" i="10"/>
  <c r="O4356" i="10"/>
  <c r="M4356" i="10"/>
  <c r="E4356" i="10"/>
  <c r="B4356" i="10"/>
  <c r="S4355" i="10"/>
  <c r="Q4355" i="10"/>
  <c r="P4355" i="10"/>
  <c r="O4355" i="10"/>
  <c r="M4355" i="10"/>
  <c r="E4355" i="10"/>
  <c r="B4355" i="10"/>
  <c r="S4354" i="10"/>
  <c r="Q4354" i="10"/>
  <c r="P4354" i="10"/>
  <c r="O4354" i="10"/>
  <c r="M4354" i="10"/>
  <c r="E4354" i="10"/>
  <c r="B4354" i="10"/>
  <c r="S4353" i="10"/>
  <c r="Q4353" i="10"/>
  <c r="P4353" i="10"/>
  <c r="O4353" i="10"/>
  <c r="M4353" i="10"/>
  <c r="E4353" i="10"/>
  <c r="B4353" i="10"/>
  <c r="S4352" i="10"/>
  <c r="Q4352" i="10"/>
  <c r="P4352" i="10"/>
  <c r="O4352" i="10"/>
  <c r="M4352" i="10"/>
  <c r="E4352" i="10"/>
  <c r="B4352" i="10"/>
  <c r="S4351" i="10"/>
  <c r="Q4351" i="10"/>
  <c r="P4351" i="10"/>
  <c r="O4351" i="10"/>
  <c r="M4351" i="10"/>
  <c r="E4351" i="10"/>
  <c r="B4351" i="10"/>
  <c r="S4350" i="10"/>
  <c r="Q4350" i="10"/>
  <c r="P4350" i="10"/>
  <c r="O4350" i="10"/>
  <c r="M4350" i="10"/>
  <c r="E4350" i="10"/>
  <c r="B4350" i="10"/>
  <c r="S4349" i="10"/>
  <c r="Q4349" i="10"/>
  <c r="P4349" i="10"/>
  <c r="O4349" i="10"/>
  <c r="M4349" i="10"/>
  <c r="E4349" i="10"/>
  <c r="B4349" i="10"/>
  <c r="S4348" i="10"/>
  <c r="Q4348" i="10"/>
  <c r="P4348" i="10"/>
  <c r="O4348" i="10"/>
  <c r="M4348" i="10"/>
  <c r="E4348" i="10"/>
  <c r="B4348" i="10"/>
  <c r="S4347" i="10"/>
  <c r="Q4347" i="10"/>
  <c r="P4347" i="10"/>
  <c r="O4347" i="10"/>
  <c r="M4347" i="10"/>
  <c r="E4347" i="10"/>
  <c r="B4347" i="10"/>
  <c r="S4346" i="10"/>
  <c r="Q4346" i="10"/>
  <c r="P4346" i="10"/>
  <c r="O4346" i="10"/>
  <c r="M4346" i="10"/>
  <c r="E4346" i="10"/>
  <c r="B4346" i="10"/>
  <c r="S4345" i="10"/>
  <c r="Q4345" i="10"/>
  <c r="P4345" i="10"/>
  <c r="O4345" i="10"/>
  <c r="M4345" i="10"/>
  <c r="E4345" i="10"/>
  <c r="B4345" i="10"/>
  <c r="S4344" i="10"/>
  <c r="Q4344" i="10"/>
  <c r="P4344" i="10"/>
  <c r="O4344" i="10"/>
  <c r="M4344" i="10"/>
  <c r="E4344" i="10"/>
  <c r="B4344" i="10"/>
  <c r="S4343" i="10"/>
  <c r="Q4343" i="10"/>
  <c r="P4343" i="10"/>
  <c r="O4343" i="10"/>
  <c r="M4343" i="10"/>
  <c r="E4343" i="10"/>
  <c r="B4343" i="10"/>
  <c r="S4342" i="10"/>
  <c r="Q4342" i="10"/>
  <c r="P4342" i="10"/>
  <c r="O4342" i="10"/>
  <c r="M4342" i="10"/>
  <c r="E4342" i="10"/>
  <c r="B4342" i="10"/>
  <c r="S4341" i="10"/>
  <c r="Q4341" i="10"/>
  <c r="P4341" i="10"/>
  <c r="O4341" i="10"/>
  <c r="M4341" i="10"/>
  <c r="E4341" i="10"/>
  <c r="B4341" i="10"/>
  <c r="S4340" i="10"/>
  <c r="Q4340" i="10"/>
  <c r="P4340" i="10"/>
  <c r="O4340" i="10"/>
  <c r="M4340" i="10"/>
  <c r="E4340" i="10"/>
  <c r="B4340" i="10"/>
  <c r="S4339" i="10"/>
  <c r="Q4339" i="10"/>
  <c r="P4339" i="10"/>
  <c r="O4339" i="10"/>
  <c r="M4339" i="10"/>
  <c r="E4339" i="10"/>
  <c r="B4339" i="10"/>
  <c r="S4338" i="10"/>
  <c r="Q4338" i="10"/>
  <c r="P4338" i="10"/>
  <c r="O4338" i="10"/>
  <c r="M4338" i="10"/>
  <c r="E4338" i="10"/>
  <c r="B4338" i="10"/>
  <c r="S4337" i="10"/>
  <c r="Q4337" i="10"/>
  <c r="P4337" i="10"/>
  <c r="O4337" i="10"/>
  <c r="M4337" i="10"/>
  <c r="E4337" i="10"/>
  <c r="B4337" i="10"/>
  <c r="S4336" i="10"/>
  <c r="Q4336" i="10"/>
  <c r="P4336" i="10"/>
  <c r="O4336" i="10"/>
  <c r="M4336" i="10"/>
  <c r="E4336" i="10"/>
  <c r="B4336" i="10"/>
  <c r="S4335" i="10"/>
  <c r="Q4335" i="10"/>
  <c r="P4335" i="10"/>
  <c r="O4335" i="10"/>
  <c r="M4335" i="10"/>
  <c r="E4335" i="10"/>
  <c r="B4335" i="10"/>
  <c r="S4334" i="10"/>
  <c r="Q4334" i="10"/>
  <c r="P4334" i="10"/>
  <c r="O4334" i="10"/>
  <c r="M4334" i="10"/>
  <c r="E4334" i="10"/>
  <c r="B4334" i="10"/>
  <c r="S4333" i="10"/>
  <c r="Q4333" i="10"/>
  <c r="P4333" i="10"/>
  <c r="O4333" i="10"/>
  <c r="M4333" i="10"/>
  <c r="E4333" i="10"/>
  <c r="B4333" i="10"/>
  <c r="S4332" i="10"/>
  <c r="Q4332" i="10"/>
  <c r="P4332" i="10"/>
  <c r="O4332" i="10"/>
  <c r="M4332" i="10"/>
  <c r="E4332" i="10"/>
  <c r="B4332" i="10"/>
  <c r="S4331" i="10"/>
  <c r="Q4331" i="10"/>
  <c r="P4331" i="10"/>
  <c r="O4331" i="10"/>
  <c r="M4331" i="10"/>
  <c r="B4331" i="10"/>
  <c r="S4330" i="10"/>
  <c r="Q4330" i="10"/>
  <c r="P4330" i="10"/>
  <c r="O4330" i="10"/>
  <c r="M4330" i="10"/>
  <c r="B4330" i="10"/>
  <c r="S4329" i="10"/>
  <c r="Q4329" i="10"/>
  <c r="P4329" i="10"/>
  <c r="O4329" i="10"/>
  <c r="M4329" i="10"/>
  <c r="E4329" i="10"/>
  <c r="B4329" i="10"/>
  <c r="S4328" i="10"/>
  <c r="Q4328" i="10"/>
  <c r="P4328" i="10"/>
  <c r="O4328" i="10"/>
  <c r="M4328" i="10"/>
  <c r="E4328" i="10"/>
  <c r="B4328" i="10"/>
  <c r="S4327" i="10"/>
  <c r="Q4327" i="10"/>
  <c r="P4327" i="10"/>
  <c r="O4327" i="10"/>
  <c r="M4327" i="10"/>
  <c r="E4327" i="10"/>
  <c r="B4327" i="10"/>
  <c r="S4326" i="10"/>
  <c r="Q4326" i="10"/>
  <c r="P4326" i="10"/>
  <c r="O4326" i="10"/>
  <c r="M4326" i="10"/>
  <c r="E4326" i="10"/>
  <c r="B4326" i="10"/>
  <c r="S4325" i="10"/>
  <c r="Q4325" i="10"/>
  <c r="P4325" i="10"/>
  <c r="O4325" i="10"/>
  <c r="M4325" i="10"/>
  <c r="E4325" i="10"/>
  <c r="B4325" i="10"/>
  <c r="S4324" i="10"/>
  <c r="Q4324" i="10"/>
  <c r="P4324" i="10"/>
  <c r="O4324" i="10"/>
  <c r="M4324" i="10"/>
  <c r="E4324" i="10"/>
  <c r="B4324" i="10"/>
  <c r="S4323" i="10"/>
  <c r="Q4323" i="10"/>
  <c r="P4323" i="10"/>
  <c r="O4323" i="10"/>
  <c r="M4323" i="10"/>
  <c r="B4323" i="10"/>
  <c r="S4322" i="10"/>
  <c r="Q4322" i="10"/>
  <c r="P4322" i="10"/>
  <c r="O4322" i="10"/>
  <c r="M4322" i="10"/>
  <c r="B4322" i="10"/>
  <c r="S4321" i="10"/>
  <c r="Q4321" i="10"/>
  <c r="P4321" i="10"/>
  <c r="O4321" i="10"/>
  <c r="M4321" i="10"/>
  <c r="E4321" i="10"/>
  <c r="B4321" i="10"/>
  <c r="S4320" i="10"/>
  <c r="Q4320" i="10"/>
  <c r="P4320" i="10"/>
  <c r="O4320" i="10"/>
  <c r="M4320" i="10"/>
  <c r="E4320" i="10"/>
  <c r="B4320" i="10"/>
  <c r="S4319" i="10"/>
  <c r="Q4319" i="10"/>
  <c r="P4319" i="10"/>
  <c r="O4319" i="10"/>
  <c r="M4319" i="10"/>
  <c r="B4319" i="10"/>
  <c r="S4318" i="10"/>
  <c r="Q4318" i="10"/>
  <c r="P4318" i="10"/>
  <c r="O4318" i="10"/>
  <c r="M4318" i="10"/>
  <c r="E4318" i="10"/>
  <c r="B4318" i="10"/>
  <c r="S4317" i="10"/>
  <c r="Q4317" i="10"/>
  <c r="P4317" i="10"/>
  <c r="O4317" i="10"/>
  <c r="M4317" i="10"/>
  <c r="E4317" i="10"/>
  <c r="B4317" i="10"/>
  <c r="S4316" i="10"/>
  <c r="Q4316" i="10"/>
  <c r="P4316" i="10"/>
  <c r="O4316" i="10"/>
  <c r="M4316" i="10"/>
  <c r="B4316" i="10"/>
  <c r="S4315" i="10"/>
  <c r="Q4315" i="10"/>
  <c r="P4315" i="10"/>
  <c r="O4315" i="10"/>
  <c r="M4315" i="10"/>
  <c r="B4315" i="10"/>
  <c r="S4314" i="10"/>
  <c r="Q4314" i="10"/>
  <c r="P4314" i="10"/>
  <c r="O4314" i="10"/>
  <c r="M4314" i="10"/>
  <c r="B4314" i="10"/>
  <c r="S4313" i="10"/>
  <c r="Q4313" i="10"/>
  <c r="P4313" i="10"/>
  <c r="O4313" i="10"/>
  <c r="M4313" i="10"/>
  <c r="E4313" i="10"/>
  <c r="B4313" i="10"/>
  <c r="S4312" i="10"/>
  <c r="Q4312" i="10"/>
  <c r="P4312" i="10"/>
  <c r="O4312" i="10"/>
  <c r="M4312" i="10"/>
  <c r="E4312" i="10"/>
  <c r="B4312" i="10"/>
  <c r="S4311" i="10"/>
  <c r="Q4311" i="10"/>
  <c r="P4311" i="10"/>
  <c r="O4311" i="10"/>
  <c r="M4311" i="10"/>
  <c r="E4311" i="10"/>
  <c r="B4311" i="10"/>
  <c r="S4310" i="10"/>
  <c r="Q4310" i="10"/>
  <c r="P4310" i="10"/>
  <c r="O4310" i="10"/>
  <c r="M4310" i="10"/>
  <c r="E4310" i="10"/>
  <c r="B4310" i="10"/>
  <c r="S4309" i="10"/>
  <c r="Q4309" i="10"/>
  <c r="P4309" i="10"/>
  <c r="O4309" i="10"/>
  <c r="M4309" i="10"/>
  <c r="E4309" i="10"/>
  <c r="B4309" i="10"/>
  <c r="S4308" i="10"/>
  <c r="Q4308" i="10"/>
  <c r="P4308" i="10"/>
  <c r="O4308" i="10"/>
  <c r="M4308" i="10"/>
  <c r="B4308" i="10"/>
  <c r="S4307" i="10"/>
  <c r="Q4307" i="10"/>
  <c r="P4307" i="10"/>
  <c r="O4307" i="10"/>
  <c r="M4307" i="10"/>
  <c r="B4307" i="10"/>
  <c r="S4306" i="10"/>
  <c r="Q4306" i="10"/>
  <c r="P4306" i="10"/>
  <c r="O4306" i="10"/>
  <c r="M4306" i="10"/>
  <c r="B4306" i="10"/>
  <c r="S4305" i="10"/>
  <c r="Q4305" i="10"/>
  <c r="P4305" i="10"/>
  <c r="O4305" i="10"/>
  <c r="M4305" i="10"/>
  <c r="E4305" i="10"/>
  <c r="B4305" i="10"/>
  <c r="S4304" i="10"/>
  <c r="Q4304" i="10"/>
  <c r="P4304" i="10"/>
  <c r="O4304" i="10"/>
  <c r="M4304" i="10"/>
  <c r="B4304" i="10"/>
  <c r="S4303" i="10"/>
  <c r="Q4303" i="10"/>
  <c r="P4303" i="10"/>
  <c r="O4303" i="10"/>
  <c r="M4303" i="10"/>
  <c r="E4303" i="10"/>
  <c r="B4303" i="10"/>
  <c r="S4302" i="10"/>
  <c r="Q4302" i="10"/>
  <c r="P4302" i="10"/>
  <c r="O4302" i="10"/>
  <c r="M4302" i="10"/>
  <c r="E4302" i="10"/>
  <c r="B4302" i="10"/>
  <c r="S4301" i="10"/>
  <c r="Q4301" i="10"/>
  <c r="P4301" i="10"/>
  <c r="O4301" i="10"/>
  <c r="M4301" i="10"/>
  <c r="E4301" i="10"/>
  <c r="B4301" i="10"/>
  <c r="S4300" i="10"/>
  <c r="Q4300" i="10"/>
  <c r="P4300" i="10"/>
  <c r="O4300" i="10"/>
  <c r="M4300" i="10"/>
  <c r="E4300" i="10"/>
  <c r="B4300" i="10"/>
  <c r="S4299" i="10"/>
  <c r="Q4299" i="10"/>
  <c r="P4299" i="10"/>
  <c r="O4299" i="10"/>
  <c r="M4299" i="10"/>
  <c r="E4299" i="10"/>
  <c r="B4299" i="10"/>
  <c r="S4298" i="10"/>
  <c r="Q4298" i="10"/>
  <c r="P4298" i="10"/>
  <c r="O4298" i="10"/>
  <c r="M4298" i="10"/>
  <c r="B4298" i="10"/>
  <c r="S4297" i="10"/>
  <c r="Q4297" i="10"/>
  <c r="P4297" i="10"/>
  <c r="O4297" i="10"/>
  <c r="M4297" i="10"/>
  <c r="E4297" i="10"/>
  <c r="B4297" i="10"/>
  <c r="S4296" i="10"/>
  <c r="Q4296" i="10"/>
  <c r="P4296" i="10"/>
  <c r="O4296" i="10"/>
  <c r="M4296" i="10"/>
  <c r="E4296" i="10"/>
  <c r="B4296" i="10"/>
  <c r="S4295" i="10"/>
  <c r="Q4295" i="10"/>
  <c r="P4295" i="10"/>
  <c r="O4295" i="10"/>
  <c r="M4295" i="10"/>
  <c r="E4295" i="10"/>
  <c r="B4295" i="10"/>
  <c r="S4294" i="10"/>
  <c r="Q4294" i="10"/>
  <c r="P4294" i="10"/>
  <c r="O4294" i="10"/>
  <c r="M4294" i="10"/>
  <c r="B4294" i="10"/>
  <c r="S4293" i="10"/>
  <c r="Q4293" i="10"/>
  <c r="P4293" i="10"/>
  <c r="O4293" i="10"/>
  <c r="M4293" i="10"/>
  <c r="B4293" i="10"/>
  <c r="S4292" i="10"/>
  <c r="Q4292" i="10"/>
  <c r="P4292" i="10"/>
  <c r="O4292" i="10"/>
  <c r="M4292" i="10"/>
  <c r="B4292" i="10"/>
  <c r="S4291" i="10"/>
  <c r="Q4291" i="10"/>
  <c r="P4291" i="10"/>
  <c r="O4291" i="10"/>
  <c r="M4291" i="10"/>
  <c r="B4291" i="10"/>
  <c r="S4290" i="10"/>
  <c r="Q4290" i="10"/>
  <c r="P4290" i="10"/>
  <c r="O4290" i="10"/>
  <c r="M4290" i="10"/>
  <c r="E4290" i="10"/>
  <c r="B4290" i="10"/>
  <c r="S4289" i="10"/>
  <c r="Q4289" i="10"/>
  <c r="P4289" i="10"/>
  <c r="O4289" i="10"/>
  <c r="M4289" i="10"/>
  <c r="E4289" i="10"/>
  <c r="B4289" i="10"/>
  <c r="S4288" i="10"/>
  <c r="Q4288" i="10"/>
  <c r="P4288" i="10"/>
  <c r="O4288" i="10"/>
  <c r="M4288" i="10"/>
  <c r="E4288" i="10"/>
  <c r="B4288" i="10"/>
  <c r="S4287" i="10"/>
  <c r="Q4287" i="10"/>
  <c r="P4287" i="10"/>
  <c r="O4287" i="10"/>
  <c r="M4287" i="10"/>
  <c r="E4287" i="10"/>
  <c r="B4287" i="10"/>
  <c r="S4286" i="10"/>
  <c r="Q4286" i="10"/>
  <c r="P4286" i="10"/>
  <c r="O4286" i="10"/>
  <c r="M4286" i="10"/>
  <c r="E4286" i="10"/>
  <c r="B4286" i="10"/>
  <c r="S4285" i="10"/>
  <c r="Q4285" i="10"/>
  <c r="P4285" i="10"/>
  <c r="O4285" i="10"/>
  <c r="M4285" i="10"/>
  <c r="E4285" i="10"/>
  <c r="B4285" i="10"/>
  <c r="S4284" i="10"/>
  <c r="Q4284" i="10"/>
  <c r="P4284" i="10"/>
  <c r="O4284" i="10"/>
  <c r="M4284" i="10"/>
  <c r="E4284" i="10"/>
  <c r="B4284" i="10"/>
  <c r="S4283" i="10"/>
  <c r="Q4283" i="10"/>
  <c r="P4283" i="10"/>
  <c r="O4283" i="10"/>
  <c r="M4283" i="10"/>
  <c r="B4283" i="10"/>
  <c r="S4282" i="10"/>
  <c r="Q4282" i="10"/>
  <c r="P4282" i="10"/>
  <c r="O4282" i="10"/>
  <c r="M4282" i="10"/>
  <c r="B4282" i="10"/>
  <c r="S4281" i="10"/>
  <c r="Q4281" i="10"/>
  <c r="P4281" i="10"/>
  <c r="O4281" i="10"/>
  <c r="M4281" i="10"/>
  <c r="E4281" i="10"/>
  <c r="B4281" i="10"/>
  <c r="S4280" i="10"/>
  <c r="Q4280" i="10"/>
  <c r="P4280" i="10"/>
  <c r="O4280" i="10"/>
  <c r="M4280" i="10"/>
  <c r="B4280" i="10"/>
  <c r="S4279" i="10"/>
  <c r="Q4279" i="10"/>
  <c r="P4279" i="10"/>
  <c r="O4279" i="10"/>
  <c r="M4279" i="10"/>
  <c r="E4279" i="10"/>
  <c r="B4279" i="10"/>
  <c r="S4278" i="10"/>
  <c r="Q4278" i="10"/>
  <c r="P4278" i="10"/>
  <c r="O4278" i="10"/>
  <c r="M4278" i="10"/>
  <c r="E4278" i="10"/>
  <c r="B4278" i="10"/>
  <c r="S4277" i="10"/>
  <c r="Q4277" i="10"/>
  <c r="P4277" i="10"/>
  <c r="O4277" i="10"/>
  <c r="M4277" i="10"/>
  <c r="E4277" i="10"/>
  <c r="B4277" i="10"/>
  <c r="S4276" i="10"/>
  <c r="Q4276" i="10"/>
  <c r="P4276" i="10"/>
  <c r="O4276" i="10"/>
  <c r="M4276" i="10"/>
  <c r="E4276" i="10"/>
  <c r="B4276" i="10"/>
  <c r="S4275" i="10"/>
  <c r="Q4275" i="10"/>
  <c r="P4275" i="10"/>
  <c r="O4275" i="10"/>
  <c r="M4275" i="10"/>
  <c r="B4275" i="10"/>
  <c r="S4274" i="10"/>
  <c r="Q4274" i="10"/>
  <c r="P4274" i="10"/>
  <c r="O4274" i="10"/>
  <c r="M4274" i="10"/>
  <c r="E4274" i="10"/>
  <c r="B4274" i="10"/>
  <c r="S4273" i="10"/>
  <c r="Q4273" i="10"/>
  <c r="P4273" i="10"/>
  <c r="O4273" i="10"/>
  <c r="M4273" i="10"/>
  <c r="E4273" i="10"/>
  <c r="B4273" i="10"/>
  <c r="S4272" i="10"/>
  <c r="Q4272" i="10"/>
  <c r="P4272" i="10"/>
  <c r="O4272" i="10"/>
  <c r="M4272" i="10"/>
  <c r="E4272" i="10"/>
  <c r="B4272" i="10"/>
  <c r="S4271" i="10"/>
  <c r="Q4271" i="10"/>
  <c r="P4271" i="10"/>
  <c r="O4271" i="10"/>
  <c r="M4271" i="10"/>
  <c r="E4271" i="10"/>
  <c r="B4271" i="10"/>
  <c r="S4270" i="10"/>
  <c r="Q4270" i="10"/>
  <c r="P4270" i="10"/>
  <c r="O4270" i="10"/>
  <c r="M4270" i="10"/>
  <c r="B4270" i="10"/>
  <c r="S4269" i="10"/>
  <c r="Q4269" i="10"/>
  <c r="P4269" i="10"/>
  <c r="O4269" i="10"/>
  <c r="M4269" i="10"/>
  <c r="E4269" i="10"/>
  <c r="B4269" i="10"/>
  <c r="S4268" i="10"/>
  <c r="Q4268" i="10"/>
  <c r="P4268" i="10"/>
  <c r="O4268" i="10"/>
  <c r="M4268" i="10"/>
  <c r="E4268" i="10"/>
  <c r="B4268" i="10"/>
  <c r="S4267" i="10"/>
  <c r="Q4267" i="10"/>
  <c r="P4267" i="10"/>
  <c r="O4267" i="10"/>
  <c r="M4267" i="10"/>
  <c r="B4267" i="10"/>
  <c r="S4266" i="10"/>
  <c r="Q4266" i="10"/>
  <c r="P4266" i="10"/>
  <c r="O4266" i="10"/>
  <c r="M4266" i="10"/>
  <c r="E4266" i="10"/>
  <c r="B4266" i="10"/>
  <c r="S4265" i="10"/>
  <c r="Q4265" i="10"/>
  <c r="P4265" i="10"/>
  <c r="O4265" i="10"/>
  <c r="M4265" i="10"/>
  <c r="E4265" i="10"/>
  <c r="B4265" i="10"/>
  <c r="S4264" i="10"/>
  <c r="Q4264" i="10"/>
  <c r="P4264" i="10"/>
  <c r="O4264" i="10"/>
  <c r="M4264" i="10"/>
  <c r="E4264" i="10"/>
  <c r="B4264" i="10"/>
  <c r="S4263" i="10"/>
  <c r="Q4263" i="10"/>
  <c r="P4263" i="10"/>
  <c r="O4263" i="10"/>
  <c r="M4263" i="10"/>
  <c r="E4263" i="10"/>
  <c r="B4263" i="10"/>
  <c r="S4262" i="10"/>
  <c r="Q4262" i="10"/>
  <c r="P4262" i="10"/>
  <c r="O4262" i="10"/>
  <c r="M4262" i="10"/>
  <c r="E4262" i="10"/>
  <c r="B4262" i="10"/>
  <c r="S4261" i="10"/>
  <c r="Q4261" i="10"/>
  <c r="P4261" i="10"/>
  <c r="O4261" i="10"/>
  <c r="M4261" i="10"/>
  <c r="E4261" i="10"/>
  <c r="B4261" i="10"/>
  <c r="S4260" i="10"/>
  <c r="Q4260" i="10"/>
  <c r="P4260" i="10"/>
  <c r="O4260" i="10"/>
  <c r="M4260" i="10"/>
  <c r="E4260" i="10"/>
  <c r="B4260" i="10"/>
  <c r="S4259" i="10"/>
  <c r="Q4259" i="10"/>
  <c r="P4259" i="10"/>
  <c r="O4259" i="10"/>
  <c r="M4259" i="10"/>
  <c r="B4259" i="10"/>
  <c r="S4258" i="10"/>
  <c r="Q4258" i="10"/>
  <c r="P4258" i="10"/>
  <c r="O4258" i="10"/>
  <c r="M4258" i="10"/>
  <c r="E4258" i="10"/>
  <c r="B4258" i="10"/>
  <c r="S4257" i="10"/>
  <c r="Q4257" i="10"/>
  <c r="P4257" i="10"/>
  <c r="O4257" i="10"/>
  <c r="M4257" i="10"/>
  <c r="E4257" i="10"/>
  <c r="B4257" i="10"/>
  <c r="S4256" i="10"/>
  <c r="Q4256" i="10"/>
  <c r="P4256" i="10"/>
  <c r="O4256" i="10"/>
  <c r="M4256" i="10"/>
  <c r="E4256" i="10"/>
  <c r="B4256" i="10"/>
  <c r="S4255" i="10"/>
  <c r="Q4255" i="10"/>
  <c r="P4255" i="10"/>
  <c r="O4255" i="10"/>
  <c r="M4255" i="10"/>
  <c r="E4255" i="10"/>
  <c r="B4255" i="10"/>
  <c r="S4254" i="10"/>
  <c r="Q4254" i="10"/>
  <c r="P4254" i="10"/>
  <c r="O4254" i="10"/>
  <c r="M4254" i="10"/>
  <c r="E4254" i="10"/>
  <c r="B4254" i="10"/>
  <c r="S4253" i="10"/>
  <c r="Q4253" i="10"/>
  <c r="P4253" i="10"/>
  <c r="O4253" i="10"/>
  <c r="M4253" i="10"/>
  <c r="E4253" i="10"/>
  <c r="B4253" i="10"/>
  <c r="S4252" i="10"/>
  <c r="Q4252" i="10"/>
  <c r="P4252" i="10"/>
  <c r="O4252" i="10"/>
  <c r="M4252" i="10"/>
  <c r="B4252" i="10"/>
  <c r="S4251" i="10"/>
  <c r="Q4251" i="10"/>
  <c r="P4251" i="10"/>
  <c r="O4251" i="10"/>
  <c r="M4251" i="10"/>
  <c r="E4251" i="10"/>
  <c r="B4251" i="10"/>
  <c r="S4250" i="10"/>
  <c r="Q4250" i="10"/>
  <c r="P4250" i="10"/>
  <c r="O4250" i="10"/>
  <c r="M4250" i="10"/>
  <c r="E4250" i="10"/>
  <c r="B4250" i="10"/>
  <c r="S4249" i="10"/>
  <c r="Q4249" i="10"/>
  <c r="P4249" i="10"/>
  <c r="O4249" i="10"/>
  <c r="M4249" i="10"/>
  <c r="E4249" i="10"/>
  <c r="B4249" i="10"/>
  <c r="S4248" i="10"/>
  <c r="Q4248" i="10"/>
  <c r="P4248" i="10"/>
  <c r="O4248" i="10"/>
  <c r="M4248" i="10"/>
  <c r="E4248" i="10"/>
  <c r="B4248" i="10"/>
  <c r="S4247" i="10"/>
  <c r="Q4247" i="10"/>
  <c r="P4247" i="10"/>
  <c r="O4247" i="10"/>
  <c r="M4247" i="10"/>
  <c r="E4247" i="10"/>
  <c r="B4247" i="10"/>
  <c r="S4246" i="10"/>
  <c r="Q4246" i="10"/>
  <c r="P4246" i="10"/>
  <c r="O4246" i="10"/>
  <c r="M4246" i="10"/>
  <c r="E4246" i="10"/>
  <c r="B4246" i="10"/>
  <c r="S4245" i="10"/>
  <c r="Q4245" i="10"/>
  <c r="P4245" i="10"/>
  <c r="O4245" i="10"/>
  <c r="M4245" i="10"/>
  <c r="E4245" i="10"/>
  <c r="B4245" i="10"/>
  <c r="S4244" i="10"/>
  <c r="Q4244" i="10"/>
  <c r="P4244" i="10"/>
  <c r="O4244" i="10"/>
  <c r="M4244" i="10"/>
  <c r="B4244" i="10"/>
  <c r="S4243" i="10"/>
  <c r="Q4243" i="10"/>
  <c r="P4243" i="10"/>
  <c r="O4243" i="10"/>
  <c r="M4243" i="10"/>
  <c r="E4243" i="10"/>
  <c r="B4243" i="10"/>
  <c r="S4242" i="10"/>
  <c r="Q4242" i="10"/>
  <c r="P4242" i="10"/>
  <c r="O4242" i="10"/>
  <c r="M4242" i="10"/>
  <c r="B4242" i="10"/>
  <c r="S4241" i="10"/>
  <c r="Q4241" i="10"/>
  <c r="P4241" i="10"/>
  <c r="O4241" i="10"/>
  <c r="M4241" i="10"/>
  <c r="B4241" i="10"/>
  <c r="S4240" i="10"/>
  <c r="Q4240" i="10"/>
  <c r="P4240" i="10"/>
  <c r="O4240" i="10"/>
  <c r="M4240" i="10"/>
  <c r="E4240" i="10"/>
  <c r="B4240" i="10"/>
  <c r="S4239" i="10"/>
  <c r="Q4239" i="10"/>
  <c r="P4239" i="10"/>
  <c r="O4239" i="10"/>
  <c r="M4239" i="10"/>
  <c r="E4239" i="10"/>
  <c r="B4239" i="10"/>
  <c r="S4238" i="10"/>
  <c r="Q4238" i="10"/>
  <c r="P4238" i="10"/>
  <c r="O4238" i="10"/>
  <c r="M4238" i="10"/>
  <c r="E4238" i="10"/>
  <c r="B4238" i="10"/>
  <c r="S4237" i="10"/>
  <c r="Q4237" i="10"/>
  <c r="P4237" i="10"/>
  <c r="O4237" i="10"/>
  <c r="M4237" i="10"/>
  <c r="E4237" i="10"/>
  <c r="B4237" i="10"/>
  <c r="S4236" i="10"/>
  <c r="Q4236" i="10"/>
  <c r="P4236" i="10"/>
  <c r="O4236" i="10"/>
  <c r="M4236" i="10"/>
  <c r="E4236" i="10"/>
  <c r="B4236" i="10"/>
  <c r="S4235" i="10"/>
  <c r="Q4235" i="10"/>
  <c r="P4235" i="10"/>
  <c r="O4235" i="10"/>
  <c r="M4235" i="10"/>
  <c r="B4235" i="10"/>
  <c r="S4234" i="10"/>
  <c r="Q4234" i="10"/>
  <c r="P4234" i="10"/>
  <c r="O4234" i="10"/>
  <c r="M4234" i="10"/>
  <c r="E4234" i="10"/>
  <c r="B4234" i="10"/>
  <c r="S4233" i="10"/>
  <c r="Q4233" i="10"/>
  <c r="P4233" i="10"/>
  <c r="O4233" i="10"/>
  <c r="M4233" i="10"/>
  <c r="B4233" i="10"/>
  <c r="S4232" i="10"/>
  <c r="Q4232" i="10"/>
  <c r="P4232" i="10"/>
  <c r="O4232" i="10"/>
  <c r="M4232" i="10"/>
  <c r="B4232" i="10"/>
  <c r="S4231" i="10"/>
  <c r="Q4231" i="10"/>
  <c r="P4231" i="10"/>
  <c r="O4231" i="10"/>
  <c r="M4231" i="10"/>
  <c r="E4231" i="10"/>
  <c r="B4231" i="10"/>
  <c r="S4230" i="10"/>
  <c r="Q4230" i="10"/>
  <c r="P4230" i="10"/>
  <c r="O4230" i="10"/>
  <c r="M4230" i="10"/>
  <c r="E4230" i="10"/>
  <c r="B4230" i="10"/>
  <c r="S4229" i="10"/>
  <c r="Q4229" i="10"/>
  <c r="P4229" i="10"/>
  <c r="O4229" i="10"/>
  <c r="M4229" i="10"/>
  <c r="E4229" i="10"/>
  <c r="B4229" i="10"/>
  <c r="S4228" i="10"/>
  <c r="Q4228" i="10"/>
  <c r="P4228" i="10"/>
  <c r="O4228" i="10"/>
  <c r="M4228" i="10"/>
  <c r="B4228" i="10"/>
  <c r="S4227" i="10"/>
  <c r="Q4227" i="10"/>
  <c r="P4227" i="10"/>
  <c r="O4227" i="10"/>
  <c r="M4227" i="10"/>
  <c r="B4227" i="10"/>
  <c r="S4226" i="10"/>
  <c r="Q4226" i="10"/>
  <c r="P4226" i="10"/>
  <c r="O4226" i="10"/>
  <c r="M4226" i="10"/>
  <c r="E4226" i="10"/>
  <c r="B4226" i="10"/>
  <c r="S4225" i="10"/>
  <c r="Q4225" i="10"/>
  <c r="P4225" i="10"/>
  <c r="O4225" i="10"/>
  <c r="M4225" i="10"/>
  <c r="E4225" i="10"/>
  <c r="B4225" i="10"/>
  <c r="S4224" i="10"/>
  <c r="Q4224" i="10"/>
  <c r="P4224" i="10"/>
  <c r="O4224" i="10"/>
  <c r="M4224" i="10"/>
  <c r="E4224" i="10"/>
  <c r="B4224" i="10"/>
  <c r="S4223" i="10"/>
  <c r="Q4223" i="10"/>
  <c r="P4223" i="10"/>
  <c r="O4223" i="10"/>
  <c r="M4223" i="10"/>
  <c r="E4223" i="10"/>
  <c r="B4223" i="10"/>
  <c r="S4222" i="10"/>
  <c r="Q4222" i="10"/>
  <c r="P4222" i="10"/>
  <c r="O4222" i="10"/>
  <c r="M4222" i="10"/>
  <c r="B4222" i="10"/>
  <c r="S4221" i="10"/>
  <c r="Q4221" i="10"/>
  <c r="P4221" i="10"/>
  <c r="O4221" i="10"/>
  <c r="M4221" i="10"/>
  <c r="E4221" i="10"/>
  <c r="B4221" i="10"/>
  <c r="S4220" i="10"/>
  <c r="Q4220" i="10"/>
  <c r="P4220" i="10"/>
  <c r="O4220" i="10"/>
  <c r="M4220" i="10"/>
  <c r="E4220" i="10"/>
  <c r="B4220" i="10"/>
  <c r="S4219" i="10"/>
  <c r="Q4219" i="10"/>
  <c r="P4219" i="10"/>
  <c r="O4219" i="10"/>
  <c r="M4219" i="10"/>
  <c r="B4219" i="10"/>
  <c r="S4218" i="10"/>
  <c r="Q4218" i="10"/>
  <c r="P4218" i="10"/>
  <c r="O4218" i="10"/>
  <c r="M4218" i="10"/>
  <c r="B4218" i="10"/>
  <c r="S4217" i="10"/>
  <c r="Q4217" i="10"/>
  <c r="P4217" i="10"/>
  <c r="O4217" i="10"/>
  <c r="M4217" i="10"/>
  <c r="E4217" i="10"/>
  <c r="B4217" i="10"/>
  <c r="S4216" i="10"/>
  <c r="Q4216" i="10"/>
  <c r="P4216" i="10"/>
  <c r="O4216" i="10"/>
  <c r="M4216" i="10"/>
  <c r="E4216" i="10"/>
  <c r="B4216" i="10"/>
  <c r="S4215" i="10"/>
  <c r="Q4215" i="10"/>
  <c r="P4215" i="10"/>
  <c r="O4215" i="10"/>
  <c r="M4215" i="10"/>
  <c r="E4215" i="10"/>
  <c r="B4215" i="10"/>
  <c r="S4214" i="10"/>
  <c r="Q4214" i="10"/>
  <c r="P4214" i="10"/>
  <c r="O4214" i="10"/>
  <c r="M4214" i="10"/>
  <c r="E4214" i="10"/>
  <c r="B4214" i="10"/>
  <c r="S4213" i="10"/>
  <c r="Q4213" i="10"/>
  <c r="P4213" i="10"/>
  <c r="O4213" i="10"/>
  <c r="M4213" i="10"/>
  <c r="E4213" i="10"/>
  <c r="B4213" i="10"/>
  <c r="S4212" i="10"/>
  <c r="Q4212" i="10"/>
  <c r="P4212" i="10"/>
  <c r="O4212" i="10"/>
  <c r="M4212" i="10"/>
  <c r="E4212" i="10"/>
  <c r="B4212" i="10"/>
  <c r="S4211" i="10"/>
  <c r="Q4211" i="10"/>
  <c r="P4211" i="10"/>
  <c r="O4211" i="10"/>
  <c r="M4211" i="10"/>
  <c r="E4211" i="10"/>
  <c r="B4211" i="10"/>
  <c r="S4210" i="10"/>
  <c r="Q4210" i="10"/>
  <c r="P4210" i="10"/>
  <c r="O4210" i="10"/>
  <c r="M4210" i="10"/>
  <c r="E4210" i="10"/>
  <c r="B4210" i="10"/>
  <c r="S4209" i="10"/>
  <c r="Q4209" i="10"/>
  <c r="P4209" i="10"/>
  <c r="O4209" i="10"/>
  <c r="M4209" i="10"/>
  <c r="E4209" i="10"/>
  <c r="B4209" i="10"/>
  <c r="S4208" i="10"/>
  <c r="Q4208" i="10"/>
  <c r="P4208" i="10"/>
  <c r="O4208" i="10"/>
  <c r="M4208" i="10"/>
  <c r="E4208" i="10"/>
  <c r="B4208" i="10"/>
  <c r="S4207" i="10"/>
  <c r="Q4207" i="10"/>
  <c r="P4207" i="10"/>
  <c r="O4207" i="10"/>
  <c r="M4207" i="10"/>
  <c r="B4207" i="10"/>
  <c r="S4206" i="10"/>
  <c r="Q4206" i="10"/>
  <c r="P4206" i="10"/>
  <c r="O4206" i="10"/>
  <c r="M4206" i="10"/>
  <c r="E4206" i="10"/>
  <c r="B4206" i="10"/>
  <c r="S4205" i="10"/>
  <c r="Q4205" i="10"/>
  <c r="P4205" i="10"/>
  <c r="O4205" i="10"/>
  <c r="M4205" i="10"/>
  <c r="E4205" i="10"/>
  <c r="B4205" i="10"/>
  <c r="S4204" i="10"/>
  <c r="Q4204" i="10"/>
  <c r="P4204" i="10"/>
  <c r="O4204" i="10"/>
  <c r="M4204" i="10"/>
  <c r="E4204" i="10"/>
  <c r="B4204" i="10"/>
  <c r="S4203" i="10"/>
  <c r="Q4203" i="10"/>
  <c r="P4203" i="10"/>
  <c r="O4203" i="10"/>
  <c r="M4203" i="10"/>
  <c r="E4203" i="10"/>
  <c r="B4203" i="10"/>
  <c r="S4202" i="10"/>
  <c r="Q4202" i="10"/>
  <c r="P4202" i="10"/>
  <c r="O4202" i="10"/>
  <c r="M4202" i="10"/>
  <c r="B4202" i="10"/>
  <c r="S4201" i="10"/>
  <c r="Q4201" i="10"/>
  <c r="P4201" i="10"/>
  <c r="O4201" i="10"/>
  <c r="M4201" i="10"/>
  <c r="E4201" i="10"/>
  <c r="B4201" i="10"/>
  <c r="S4200" i="10"/>
  <c r="Q4200" i="10"/>
  <c r="P4200" i="10"/>
  <c r="O4200" i="10"/>
  <c r="M4200" i="10"/>
  <c r="E4200" i="10"/>
  <c r="B4200" i="10"/>
  <c r="S4199" i="10"/>
  <c r="Q4199" i="10"/>
  <c r="P4199" i="10"/>
  <c r="O4199" i="10"/>
  <c r="M4199" i="10"/>
  <c r="E4199" i="10"/>
  <c r="B4199" i="10"/>
  <c r="S4198" i="10"/>
  <c r="Q4198" i="10"/>
  <c r="P4198" i="10"/>
  <c r="O4198" i="10"/>
  <c r="M4198" i="10"/>
  <c r="B4198" i="10"/>
  <c r="S4197" i="10"/>
  <c r="Q4197" i="10"/>
  <c r="P4197" i="10"/>
  <c r="O4197" i="10"/>
  <c r="M4197" i="10"/>
  <c r="B4197" i="10"/>
  <c r="S4196" i="10"/>
  <c r="Q4196" i="10"/>
  <c r="P4196" i="10"/>
  <c r="O4196" i="10"/>
  <c r="M4196" i="10"/>
  <c r="B4196" i="10"/>
  <c r="S4195" i="10"/>
  <c r="Q4195" i="10"/>
  <c r="P4195" i="10"/>
  <c r="O4195" i="10"/>
  <c r="M4195" i="10"/>
  <c r="B4195" i="10"/>
  <c r="S4194" i="10"/>
  <c r="Q4194" i="10"/>
  <c r="P4194" i="10"/>
  <c r="O4194" i="10"/>
  <c r="M4194" i="10"/>
  <c r="E4194" i="10"/>
  <c r="B4194" i="10"/>
  <c r="S4193" i="10"/>
  <c r="Q4193" i="10"/>
  <c r="P4193" i="10"/>
  <c r="O4193" i="10"/>
  <c r="M4193" i="10"/>
  <c r="E4193" i="10"/>
  <c r="B4193" i="10"/>
  <c r="S4192" i="10"/>
  <c r="Q4192" i="10"/>
  <c r="P4192" i="10"/>
  <c r="O4192" i="10"/>
  <c r="M4192" i="10"/>
  <c r="E4192" i="10"/>
  <c r="B4192" i="10"/>
  <c r="S4191" i="10"/>
  <c r="Q4191" i="10"/>
  <c r="P4191" i="10"/>
  <c r="O4191" i="10"/>
  <c r="M4191" i="10"/>
  <c r="E4191" i="10"/>
  <c r="B4191" i="10"/>
  <c r="S4190" i="10"/>
  <c r="Q4190" i="10"/>
  <c r="P4190" i="10"/>
  <c r="O4190" i="10"/>
  <c r="M4190" i="10"/>
  <c r="E4190" i="10"/>
  <c r="B4190" i="10"/>
  <c r="S4189" i="10"/>
  <c r="Q4189" i="10"/>
  <c r="P4189" i="10"/>
  <c r="O4189" i="10"/>
  <c r="M4189" i="10"/>
  <c r="E4189" i="10"/>
  <c r="B4189" i="10"/>
  <c r="S4188" i="10"/>
  <c r="Q4188" i="10"/>
  <c r="P4188" i="10"/>
  <c r="O4188" i="10"/>
  <c r="M4188" i="10"/>
  <c r="E4188" i="10"/>
  <c r="B4188" i="10"/>
  <c r="S4187" i="10"/>
  <c r="Q4187" i="10"/>
  <c r="P4187" i="10"/>
  <c r="O4187" i="10"/>
  <c r="M4187" i="10"/>
  <c r="E4187" i="10"/>
  <c r="B4187" i="10"/>
  <c r="S4186" i="10"/>
  <c r="Q4186" i="10"/>
  <c r="P4186" i="10"/>
  <c r="O4186" i="10"/>
  <c r="M4186" i="10"/>
  <c r="E4186" i="10"/>
  <c r="B4186" i="10"/>
  <c r="S4185" i="10"/>
  <c r="Q4185" i="10"/>
  <c r="P4185" i="10"/>
  <c r="O4185" i="10"/>
  <c r="M4185" i="10"/>
  <c r="B4185" i="10"/>
  <c r="S4184" i="10"/>
  <c r="Q4184" i="10"/>
  <c r="P4184" i="10"/>
  <c r="O4184" i="10"/>
  <c r="M4184" i="10"/>
  <c r="E4184" i="10"/>
  <c r="B4184" i="10"/>
  <c r="S4183" i="10"/>
  <c r="Q4183" i="10"/>
  <c r="P4183" i="10"/>
  <c r="O4183" i="10"/>
  <c r="M4183" i="10"/>
  <c r="E4183" i="10"/>
  <c r="B4183" i="10"/>
  <c r="S4182" i="10"/>
  <c r="Q4182" i="10"/>
  <c r="P4182" i="10"/>
  <c r="O4182" i="10"/>
  <c r="M4182" i="10"/>
  <c r="E4182" i="10"/>
  <c r="B4182" i="10"/>
  <c r="S4181" i="10"/>
  <c r="Q4181" i="10"/>
  <c r="P4181" i="10"/>
  <c r="O4181" i="10"/>
  <c r="M4181" i="10"/>
  <c r="E4181" i="10"/>
  <c r="B4181" i="10"/>
  <c r="S4180" i="10"/>
  <c r="Q4180" i="10"/>
  <c r="P4180" i="10"/>
  <c r="O4180" i="10"/>
  <c r="M4180" i="10"/>
  <c r="E4180" i="10"/>
  <c r="B4180" i="10"/>
  <c r="S4179" i="10"/>
  <c r="Q4179" i="10"/>
  <c r="P4179" i="10"/>
  <c r="O4179" i="10"/>
  <c r="M4179" i="10"/>
  <c r="E4179" i="10"/>
  <c r="B4179" i="10"/>
  <c r="S4178" i="10"/>
  <c r="Q4178" i="10"/>
  <c r="P4178" i="10"/>
  <c r="O4178" i="10"/>
  <c r="M4178" i="10"/>
  <c r="E4178" i="10"/>
  <c r="B4178" i="10"/>
  <c r="S4177" i="10"/>
  <c r="Q4177" i="10"/>
  <c r="P4177" i="10"/>
  <c r="O4177" i="10"/>
  <c r="M4177" i="10"/>
  <c r="E4177" i="10"/>
  <c r="B4177" i="10"/>
  <c r="S4176" i="10"/>
  <c r="Q4176" i="10"/>
  <c r="P4176" i="10"/>
  <c r="O4176" i="10"/>
  <c r="M4176" i="10"/>
  <c r="E4176" i="10"/>
  <c r="B4176" i="10"/>
  <c r="S4175" i="10"/>
  <c r="Q4175" i="10"/>
  <c r="P4175" i="10"/>
  <c r="O4175" i="10"/>
  <c r="M4175" i="10"/>
  <c r="E4175" i="10"/>
  <c r="B4175" i="10"/>
  <c r="S4174" i="10"/>
  <c r="Q4174" i="10"/>
  <c r="P4174" i="10"/>
  <c r="O4174" i="10"/>
  <c r="M4174" i="10"/>
  <c r="E4174" i="10"/>
  <c r="B4174" i="10"/>
  <c r="S4173" i="10"/>
  <c r="Q4173" i="10"/>
  <c r="P4173" i="10"/>
  <c r="O4173" i="10"/>
  <c r="M4173" i="10"/>
  <c r="E4173" i="10"/>
  <c r="B4173" i="10"/>
  <c r="S4172" i="10"/>
  <c r="Q4172" i="10"/>
  <c r="P4172" i="10"/>
  <c r="O4172" i="10"/>
  <c r="M4172" i="10"/>
  <c r="B4172" i="10"/>
  <c r="S4171" i="10"/>
  <c r="Q4171" i="10"/>
  <c r="P4171" i="10"/>
  <c r="O4171" i="10"/>
  <c r="M4171" i="10"/>
  <c r="B4171" i="10"/>
  <c r="S4170" i="10"/>
  <c r="Q4170" i="10"/>
  <c r="P4170" i="10"/>
  <c r="O4170" i="10"/>
  <c r="M4170" i="10"/>
  <c r="E4170" i="10"/>
  <c r="B4170" i="10"/>
  <c r="S4169" i="10"/>
  <c r="Q4169" i="10"/>
  <c r="P4169" i="10"/>
  <c r="O4169" i="10"/>
  <c r="M4169" i="10"/>
  <c r="B4169" i="10"/>
  <c r="S4168" i="10"/>
  <c r="Q4168" i="10"/>
  <c r="P4168" i="10"/>
  <c r="O4168" i="10"/>
  <c r="M4168" i="10"/>
  <c r="B4168" i="10"/>
  <c r="S4167" i="10"/>
  <c r="Q4167" i="10"/>
  <c r="P4167" i="10"/>
  <c r="O4167" i="10"/>
  <c r="M4167" i="10"/>
  <c r="E4167" i="10"/>
  <c r="B4167" i="10"/>
  <c r="S4166" i="10"/>
  <c r="Q4166" i="10"/>
  <c r="P4166" i="10"/>
  <c r="O4166" i="10"/>
  <c r="M4166" i="10"/>
  <c r="B4166" i="10"/>
  <c r="S4165" i="10"/>
  <c r="Q4165" i="10"/>
  <c r="P4165" i="10"/>
  <c r="O4165" i="10"/>
  <c r="M4165" i="10"/>
  <c r="E4165" i="10"/>
  <c r="B4165" i="10"/>
  <c r="S4164" i="10"/>
  <c r="Q4164" i="10"/>
  <c r="P4164" i="10"/>
  <c r="O4164" i="10"/>
  <c r="M4164" i="10"/>
  <c r="E4164" i="10"/>
  <c r="B4164" i="10"/>
  <c r="S4163" i="10"/>
  <c r="Q4163" i="10"/>
  <c r="P4163" i="10"/>
  <c r="O4163" i="10"/>
  <c r="M4163" i="10"/>
  <c r="E4163" i="10"/>
  <c r="B4163" i="10"/>
  <c r="S4162" i="10"/>
  <c r="Q4162" i="10"/>
  <c r="P4162" i="10"/>
  <c r="O4162" i="10"/>
  <c r="M4162" i="10"/>
  <c r="E4162" i="10"/>
  <c r="B4162" i="10"/>
  <c r="S4161" i="10"/>
  <c r="Q4161" i="10"/>
  <c r="P4161" i="10"/>
  <c r="O4161" i="10"/>
  <c r="M4161" i="10"/>
  <c r="B4161" i="10"/>
  <c r="S4160" i="10"/>
  <c r="Q4160" i="10"/>
  <c r="P4160" i="10"/>
  <c r="O4160" i="10"/>
  <c r="M4160" i="10"/>
  <c r="E4160" i="10"/>
  <c r="B4160" i="10"/>
  <c r="S4159" i="10"/>
  <c r="Q4159" i="10"/>
  <c r="P4159" i="10"/>
  <c r="O4159" i="10"/>
  <c r="M4159" i="10"/>
  <c r="E4159" i="10"/>
  <c r="B4159" i="10"/>
  <c r="S4158" i="10"/>
  <c r="Q4158" i="10"/>
  <c r="P4158" i="10"/>
  <c r="O4158" i="10"/>
  <c r="M4158" i="10"/>
  <c r="E4158" i="10"/>
  <c r="B4158" i="10"/>
  <c r="S4157" i="10"/>
  <c r="Q4157" i="10"/>
  <c r="P4157" i="10"/>
  <c r="O4157" i="10"/>
  <c r="M4157" i="10"/>
  <c r="E4157" i="10"/>
  <c r="B4157" i="10"/>
  <c r="S4156" i="10"/>
  <c r="Q4156" i="10"/>
  <c r="P4156" i="10"/>
  <c r="O4156" i="10"/>
  <c r="M4156" i="10"/>
  <c r="E4156" i="10"/>
  <c r="B4156" i="10"/>
  <c r="S4155" i="10"/>
  <c r="Q4155" i="10"/>
  <c r="P4155" i="10"/>
  <c r="O4155" i="10"/>
  <c r="M4155" i="10"/>
  <c r="B4155" i="10"/>
  <c r="S4154" i="10"/>
  <c r="Q4154" i="10"/>
  <c r="P4154" i="10"/>
  <c r="O4154" i="10"/>
  <c r="M4154" i="10"/>
  <c r="E4154" i="10"/>
  <c r="B4154" i="10"/>
  <c r="S4153" i="10"/>
  <c r="Q4153" i="10"/>
  <c r="P4153" i="10"/>
  <c r="O4153" i="10"/>
  <c r="M4153" i="10"/>
  <c r="E4153" i="10"/>
  <c r="B4153" i="10"/>
  <c r="S4152" i="10"/>
  <c r="Q4152" i="10"/>
  <c r="P4152" i="10"/>
  <c r="O4152" i="10"/>
  <c r="M4152" i="10"/>
  <c r="E4152" i="10"/>
  <c r="B4152" i="10"/>
  <c r="S4151" i="10"/>
  <c r="Q4151" i="10"/>
  <c r="P4151" i="10"/>
  <c r="O4151" i="10"/>
  <c r="M4151" i="10"/>
  <c r="E4151" i="10"/>
  <c r="B4151" i="10"/>
  <c r="S4150" i="10"/>
  <c r="Q4150" i="10"/>
  <c r="P4150" i="10"/>
  <c r="O4150" i="10"/>
  <c r="M4150" i="10"/>
  <c r="E4150" i="10"/>
  <c r="B4150" i="10"/>
  <c r="S4149" i="10"/>
  <c r="Q4149" i="10"/>
  <c r="P4149" i="10"/>
  <c r="O4149" i="10"/>
  <c r="M4149" i="10"/>
  <c r="E4149" i="10"/>
  <c r="B4149" i="10"/>
  <c r="S4148" i="10"/>
  <c r="Q4148" i="10"/>
  <c r="P4148" i="10"/>
  <c r="O4148" i="10"/>
  <c r="M4148" i="10"/>
  <c r="B4148" i="10"/>
  <c r="S4147" i="10"/>
  <c r="Q4147" i="10"/>
  <c r="P4147" i="10"/>
  <c r="O4147" i="10"/>
  <c r="M4147" i="10"/>
  <c r="E4147" i="10"/>
  <c r="B4147" i="10"/>
  <c r="S4146" i="10"/>
  <c r="Q4146" i="10"/>
  <c r="P4146" i="10"/>
  <c r="O4146" i="10"/>
  <c r="M4146" i="10"/>
  <c r="B4146" i="10"/>
  <c r="S4145" i="10"/>
  <c r="Q4145" i="10"/>
  <c r="P4145" i="10"/>
  <c r="O4145" i="10"/>
  <c r="M4145" i="10"/>
  <c r="E4145" i="10"/>
  <c r="B4145" i="10"/>
  <c r="S4144" i="10"/>
  <c r="Q4144" i="10"/>
  <c r="P4144" i="10"/>
  <c r="O4144" i="10"/>
  <c r="M4144" i="10"/>
  <c r="E4144" i="10"/>
  <c r="B4144" i="10"/>
  <c r="S4143" i="10"/>
  <c r="Q4143" i="10"/>
  <c r="P4143" i="10"/>
  <c r="O4143" i="10"/>
  <c r="M4143" i="10"/>
  <c r="E4143" i="10"/>
  <c r="B4143" i="10"/>
  <c r="S4142" i="10"/>
  <c r="Q4142" i="10"/>
  <c r="P4142" i="10"/>
  <c r="O4142" i="10"/>
  <c r="M4142" i="10"/>
  <c r="E4142" i="10"/>
  <c r="B4142" i="10"/>
  <c r="S4141" i="10"/>
  <c r="Q4141" i="10"/>
  <c r="P4141" i="10"/>
  <c r="O4141" i="10"/>
  <c r="M4141" i="10"/>
  <c r="E4141" i="10"/>
  <c r="B4141" i="10"/>
  <c r="S4140" i="10"/>
  <c r="Q4140" i="10"/>
  <c r="P4140" i="10"/>
  <c r="O4140" i="10"/>
  <c r="M4140" i="10"/>
  <c r="E4140" i="10"/>
  <c r="B4140" i="10"/>
  <c r="S4139" i="10"/>
  <c r="Q4139" i="10"/>
  <c r="P4139" i="10"/>
  <c r="O4139" i="10"/>
  <c r="M4139" i="10"/>
  <c r="E4139" i="10"/>
  <c r="B4139" i="10"/>
  <c r="S4138" i="10"/>
  <c r="Q4138" i="10"/>
  <c r="P4138" i="10"/>
  <c r="O4138" i="10"/>
  <c r="M4138" i="10"/>
  <c r="E4138" i="10"/>
  <c r="B4138" i="10"/>
  <c r="S4137" i="10"/>
  <c r="Q4137" i="10"/>
  <c r="P4137" i="10"/>
  <c r="O4137" i="10"/>
  <c r="M4137" i="10"/>
  <c r="E4137" i="10"/>
  <c r="B4137" i="10"/>
  <c r="S4136" i="10"/>
  <c r="Q4136" i="10"/>
  <c r="P4136" i="10"/>
  <c r="O4136" i="10"/>
  <c r="M4136" i="10"/>
  <c r="E4136" i="10"/>
  <c r="B4136" i="10"/>
  <c r="S4135" i="10"/>
  <c r="Q4135" i="10"/>
  <c r="P4135" i="10"/>
  <c r="O4135" i="10"/>
  <c r="M4135" i="10"/>
  <c r="B4135" i="10"/>
  <c r="S4134" i="10"/>
  <c r="Q4134" i="10"/>
  <c r="P4134" i="10"/>
  <c r="O4134" i="10"/>
  <c r="M4134" i="10"/>
  <c r="E4134" i="10"/>
  <c r="B4134" i="10"/>
  <c r="S4133" i="10"/>
  <c r="Q4133" i="10"/>
  <c r="P4133" i="10"/>
  <c r="O4133" i="10"/>
  <c r="M4133" i="10"/>
  <c r="E4133" i="10"/>
  <c r="B4133" i="10"/>
  <c r="S4132" i="10"/>
  <c r="Q4132" i="10"/>
  <c r="P4132" i="10"/>
  <c r="O4132" i="10"/>
  <c r="M4132" i="10"/>
  <c r="E4132" i="10"/>
  <c r="B4132" i="10"/>
  <c r="S4131" i="10"/>
  <c r="Q4131" i="10"/>
  <c r="P4131" i="10"/>
  <c r="O4131" i="10"/>
  <c r="M4131" i="10"/>
  <c r="E4131" i="10"/>
  <c r="B4131" i="10"/>
  <c r="S4130" i="10"/>
  <c r="Q4130" i="10"/>
  <c r="P4130" i="10"/>
  <c r="O4130" i="10"/>
  <c r="M4130" i="10"/>
  <c r="E4130" i="10"/>
  <c r="B4130" i="10"/>
  <c r="S4129" i="10"/>
  <c r="Q4129" i="10"/>
  <c r="P4129" i="10"/>
  <c r="O4129" i="10"/>
  <c r="M4129" i="10"/>
  <c r="B4129" i="10"/>
  <c r="S4128" i="10"/>
  <c r="Q4128" i="10"/>
  <c r="P4128" i="10"/>
  <c r="O4128" i="10"/>
  <c r="M4128" i="10"/>
  <c r="E4128" i="10"/>
  <c r="B4128" i="10"/>
  <c r="S4127" i="10"/>
  <c r="Q4127" i="10"/>
  <c r="P4127" i="10"/>
  <c r="O4127" i="10"/>
  <c r="M4127" i="10"/>
  <c r="B4127" i="10"/>
  <c r="S4126" i="10"/>
  <c r="Q4126" i="10"/>
  <c r="P4126" i="10"/>
  <c r="O4126" i="10"/>
  <c r="M4126" i="10"/>
  <c r="E4126" i="10"/>
  <c r="B4126" i="10"/>
  <c r="S4125" i="10"/>
  <c r="Q4125" i="10"/>
  <c r="P4125" i="10"/>
  <c r="O4125" i="10"/>
  <c r="M4125" i="10"/>
  <c r="B4125" i="10"/>
  <c r="S4124" i="10"/>
  <c r="Q4124" i="10"/>
  <c r="P4124" i="10"/>
  <c r="O4124" i="10"/>
  <c r="M4124" i="10"/>
  <c r="B4124" i="10"/>
  <c r="S4123" i="10"/>
  <c r="Q4123" i="10"/>
  <c r="P4123" i="10"/>
  <c r="O4123" i="10"/>
  <c r="M4123" i="10"/>
  <c r="B4123" i="10"/>
  <c r="S4122" i="10"/>
  <c r="Q4122" i="10"/>
  <c r="P4122" i="10"/>
  <c r="O4122" i="10"/>
  <c r="M4122" i="10"/>
  <c r="E4122" i="10"/>
  <c r="B4122" i="10"/>
  <c r="S4121" i="10"/>
  <c r="Q4121" i="10"/>
  <c r="P4121" i="10"/>
  <c r="O4121" i="10"/>
  <c r="M4121" i="10"/>
  <c r="E4121" i="10"/>
  <c r="B4121" i="10"/>
  <c r="S4120" i="10"/>
  <c r="Q4120" i="10"/>
  <c r="P4120" i="10"/>
  <c r="O4120" i="10"/>
  <c r="M4120" i="10"/>
  <c r="E4120" i="10"/>
  <c r="B4120" i="10"/>
  <c r="S4119" i="10"/>
  <c r="Q4119" i="10"/>
  <c r="P4119" i="10"/>
  <c r="O4119" i="10"/>
  <c r="M4119" i="10"/>
  <c r="E4119" i="10"/>
  <c r="B4119" i="10"/>
  <c r="S4118" i="10"/>
  <c r="Q4118" i="10"/>
  <c r="P4118" i="10"/>
  <c r="O4118" i="10"/>
  <c r="M4118" i="10"/>
  <c r="E4118" i="10"/>
  <c r="B4118" i="10"/>
  <c r="S4117" i="10"/>
  <c r="Q4117" i="10"/>
  <c r="P4117" i="10"/>
  <c r="O4117" i="10"/>
  <c r="M4117" i="10"/>
  <c r="E4117" i="10"/>
  <c r="B4117" i="10"/>
  <c r="S4116" i="10"/>
  <c r="Q4116" i="10"/>
  <c r="P4116" i="10"/>
  <c r="O4116" i="10"/>
  <c r="M4116" i="10"/>
  <c r="B4116" i="10"/>
  <c r="S4115" i="10"/>
  <c r="Q4115" i="10"/>
  <c r="P4115" i="10"/>
  <c r="O4115" i="10"/>
  <c r="M4115" i="10"/>
  <c r="E4115" i="10"/>
  <c r="B4115" i="10"/>
  <c r="S4114" i="10"/>
  <c r="Q4114" i="10"/>
  <c r="P4114" i="10"/>
  <c r="O4114" i="10"/>
  <c r="M4114" i="10"/>
  <c r="E4114" i="10"/>
  <c r="B4114" i="10"/>
  <c r="S4113" i="10"/>
  <c r="Q4113" i="10"/>
  <c r="P4113" i="10"/>
  <c r="O4113" i="10"/>
  <c r="M4113" i="10"/>
  <c r="E4113" i="10"/>
  <c r="B4113" i="10"/>
  <c r="S4112" i="10"/>
  <c r="Q4112" i="10"/>
  <c r="P4112" i="10"/>
  <c r="O4112" i="10"/>
  <c r="M4112" i="10"/>
  <c r="E4112" i="10"/>
  <c r="B4112" i="10"/>
  <c r="S4111" i="10"/>
  <c r="Q4111" i="10"/>
  <c r="P4111" i="10"/>
  <c r="O4111" i="10"/>
  <c r="M4111" i="10"/>
  <c r="E4111" i="10"/>
  <c r="B4111" i="10"/>
  <c r="S4110" i="10"/>
  <c r="Q4110" i="10"/>
  <c r="P4110" i="10"/>
  <c r="O4110" i="10"/>
  <c r="M4110" i="10"/>
  <c r="E4110" i="10"/>
  <c r="B4110" i="10"/>
  <c r="S4109" i="10"/>
  <c r="Q4109" i="10"/>
  <c r="P4109" i="10"/>
  <c r="O4109" i="10"/>
  <c r="M4109" i="10"/>
  <c r="E4109" i="10"/>
  <c r="B4109" i="10"/>
  <c r="S4108" i="10"/>
  <c r="Q4108" i="10"/>
  <c r="P4108" i="10"/>
  <c r="O4108" i="10"/>
  <c r="M4108" i="10"/>
  <c r="E4108" i="10"/>
  <c r="B4108" i="10"/>
  <c r="S4107" i="10"/>
  <c r="Q4107" i="10"/>
  <c r="P4107" i="10"/>
  <c r="O4107" i="10"/>
  <c r="M4107" i="10"/>
  <c r="E4107" i="10"/>
  <c r="B4107" i="10"/>
  <c r="S4106" i="10"/>
  <c r="Q4106" i="10"/>
  <c r="P4106" i="10"/>
  <c r="O4106" i="10"/>
  <c r="M4106" i="10"/>
  <c r="E4106" i="10"/>
  <c r="B4106" i="10"/>
  <c r="S4105" i="10"/>
  <c r="Q4105" i="10"/>
  <c r="P4105" i="10"/>
  <c r="O4105" i="10"/>
  <c r="M4105" i="10"/>
  <c r="B4105" i="10"/>
  <c r="S4104" i="10"/>
  <c r="Q4104" i="10"/>
  <c r="P4104" i="10"/>
  <c r="O4104" i="10"/>
  <c r="M4104" i="10"/>
  <c r="E4104" i="10"/>
  <c r="B4104" i="10"/>
  <c r="S4103" i="10"/>
  <c r="Q4103" i="10"/>
  <c r="P4103" i="10"/>
  <c r="O4103" i="10"/>
  <c r="M4103" i="10"/>
  <c r="E4103" i="10"/>
  <c r="B4103" i="10"/>
  <c r="S4102" i="10"/>
  <c r="Q4102" i="10"/>
  <c r="P4102" i="10"/>
  <c r="O4102" i="10"/>
  <c r="M4102" i="10"/>
  <c r="B4102" i="10"/>
  <c r="S4101" i="10"/>
  <c r="Q4101" i="10"/>
  <c r="P4101" i="10"/>
  <c r="O4101" i="10"/>
  <c r="M4101" i="10"/>
  <c r="E4101" i="10"/>
  <c r="B4101" i="10"/>
  <c r="S4100" i="10"/>
  <c r="Q4100" i="10"/>
  <c r="P4100" i="10"/>
  <c r="O4100" i="10"/>
  <c r="M4100" i="10"/>
  <c r="E4100" i="10"/>
  <c r="B4100" i="10"/>
  <c r="S4099" i="10"/>
  <c r="Q4099" i="10"/>
  <c r="P4099" i="10"/>
  <c r="O4099" i="10"/>
  <c r="M4099" i="10"/>
  <c r="B4099" i="10"/>
  <c r="S4098" i="10"/>
  <c r="Q4098" i="10"/>
  <c r="P4098" i="10"/>
  <c r="O4098" i="10"/>
  <c r="M4098" i="10"/>
  <c r="B4098" i="10"/>
  <c r="S4097" i="10"/>
  <c r="Q4097" i="10"/>
  <c r="P4097" i="10"/>
  <c r="O4097" i="10"/>
  <c r="M4097" i="10"/>
  <c r="E4097" i="10"/>
  <c r="B4097" i="10"/>
  <c r="S4096" i="10"/>
  <c r="Q4096" i="10"/>
  <c r="P4096" i="10"/>
  <c r="O4096" i="10"/>
  <c r="M4096" i="10"/>
  <c r="B4096" i="10"/>
  <c r="S4095" i="10"/>
  <c r="Q4095" i="10"/>
  <c r="P4095" i="10"/>
  <c r="O4095" i="10"/>
  <c r="M4095" i="10"/>
  <c r="E4095" i="10"/>
  <c r="B4095" i="10"/>
  <c r="S4094" i="10"/>
  <c r="Q4094" i="10"/>
  <c r="P4094" i="10"/>
  <c r="O4094" i="10"/>
  <c r="M4094" i="10"/>
  <c r="E4094" i="10"/>
  <c r="B4094" i="10"/>
  <c r="S4093" i="10"/>
  <c r="Q4093" i="10"/>
  <c r="P4093" i="10"/>
  <c r="O4093" i="10"/>
  <c r="M4093" i="10"/>
  <c r="E4093" i="10"/>
  <c r="B4093" i="10"/>
  <c r="S4092" i="10"/>
  <c r="Q4092" i="10"/>
  <c r="P4092" i="10"/>
  <c r="O4092" i="10"/>
  <c r="M4092" i="10"/>
  <c r="B4092" i="10"/>
  <c r="S4091" i="10"/>
  <c r="Q4091" i="10"/>
  <c r="P4091" i="10"/>
  <c r="O4091" i="10"/>
  <c r="M4091" i="10"/>
  <c r="E4091" i="10"/>
  <c r="B4091" i="10"/>
  <c r="S4090" i="10"/>
  <c r="Q4090" i="10"/>
  <c r="P4090" i="10"/>
  <c r="O4090" i="10"/>
  <c r="M4090" i="10"/>
  <c r="E4090" i="10"/>
  <c r="B4090" i="10"/>
  <c r="S4089" i="10"/>
  <c r="Q4089" i="10"/>
  <c r="P4089" i="10"/>
  <c r="O4089" i="10"/>
  <c r="M4089" i="10"/>
  <c r="E4089" i="10"/>
  <c r="B4089" i="10"/>
  <c r="S4088" i="10"/>
  <c r="Q4088" i="10"/>
  <c r="P4088" i="10"/>
  <c r="O4088" i="10"/>
  <c r="M4088" i="10"/>
  <c r="E4088" i="10"/>
  <c r="B4088" i="10"/>
  <c r="S4087" i="10"/>
  <c r="Q4087" i="10"/>
  <c r="P4087" i="10"/>
  <c r="O4087" i="10"/>
  <c r="M4087" i="10"/>
  <c r="E4087" i="10"/>
  <c r="B4087" i="10"/>
  <c r="S4086" i="10"/>
  <c r="Q4086" i="10"/>
  <c r="P4086" i="10"/>
  <c r="O4086" i="10"/>
  <c r="M4086" i="10"/>
  <c r="E4086" i="10"/>
  <c r="B4086" i="10"/>
  <c r="S4085" i="10"/>
  <c r="Q4085" i="10"/>
  <c r="P4085" i="10"/>
  <c r="O4085" i="10"/>
  <c r="M4085" i="10"/>
  <c r="E4085" i="10"/>
  <c r="B4085" i="10"/>
  <c r="S4084" i="10"/>
  <c r="Q4084" i="10"/>
  <c r="P4084" i="10"/>
  <c r="O4084" i="10"/>
  <c r="M4084" i="10"/>
  <c r="E4084" i="10"/>
  <c r="B4084" i="10"/>
  <c r="S4083" i="10"/>
  <c r="Q4083" i="10"/>
  <c r="P4083" i="10"/>
  <c r="O4083" i="10"/>
  <c r="M4083" i="10"/>
  <c r="E4083" i="10"/>
  <c r="B4083" i="10"/>
  <c r="S4082" i="10"/>
  <c r="Q4082" i="10"/>
  <c r="P4082" i="10"/>
  <c r="O4082" i="10"/>
  <c r="M4082" i="10"/>
  <c r="E4082" i="10"/>
  <c r="B4082" i="10"/>
  <c r="S4081" i="10"/>
  <c r="Q4081" i="10"/>
  <c r="P4081" i="10"/>
  <c r="O4081" i="10"/>
  <c r="M4081" i="10"/>
  <c r="E4081" i="10"/>
  <c r="B4081" i="10"/>
  <c r="S4080" i="10"/>
  <c r="Q4080" i="10"/>
  <c r="P4080" i="10"/>
  <c r="O4080" i="10"/>
  <c r="M4080" i="10"/>
  <c r="E4080" i="10"/>
  <c r="B4080" i="10"/>
  <c r="S4079" i="10"/>
  <c r="Q4079" i="10"/>
  <c r="P4079" i="10"/>
  <c r="O4079" i="10"/>
  <c r="M4079" i="10"/>
  <c r="E4079" i="10"/>
  <c r="B4079" i="10"/>
  <c r="S4078" i="10"/>
  <c r="Q4078" i="10"/>
  <c r="P4078" i="10"/>
  <c r="O4078" i="10"/>
  <c r="M4078" i="10"/>
  <c r="E4078" i="10"/>
  <c r="B4078" i="10"/>
  <c r="S4077" i="10"/>
  <c r="Q4077" i="10"/>
  <c r="P4077" i="10"/>
  <c r="O4077" i="10"/>
  <c r="M4077" i="10"/>
  <c r="E4077" i="10"/>
  <c r="B4077" i="10"/>
  <c r="S4076" i="10"/>
  <c r="Q4076" i="10"/>
  <c r="P4076" i="10"/>
  <c r="O4076" i="10"/>
  <c r="M4076" i="10"/>
  <c r="E4076" i="10"/>
  <c r="B4076" i="10"/>
  <c r="S4075" i="10"/>
  <c r="Q4075" i="10"/>
  <c r="P4075" i="10"/>
  <c r="O4075" i="10"/>
  <c r="M4075" i="10"/>
  <c r="E4075" i="10"/>
  <c r="B4075" i="10"/>
  <c r="S4074" i="10"/>
  <c r="Q4074" i="10"/>
  <c r="P4074" i="10"/>
  <c r="O4074" i="10"/>
  <c r="M4074" i="10"/>
  <c r="E4074" i="10"/>
  <c r="B4074" i="10"/>
  <c r="S4073" i="10"/>
  <c r="Q4073" i="10"/>
  <c r="P4073" i="10"/>
  <c r="O4073" i="10"/>
  <c r="M4073" i="10"/>
  <c r="E4073" i="10"/>
  <c r="B4073" i="10"/>
  <c r="S4072" i="10"/>
  <c r="Q4072" i="10"/>
  <c r="P4072" i="10"/>
  <c r="O4072" i="10"/>
  <c r="M4072" i="10"/>
  <c r="E4072" i="10"/>
  <c r="B4072" i="10"/>
  <c r="S4071" i="10"/>
  <c r="Q4071" i="10"/>
  <c r="P4071" i="10"/>
  <c r="O4071" i="10"/>
  <c r="M4071" i="10"/>
  <c r="E4071" i="10"/>
  <c r="B4071" i="10"/>
  <c r="S4070" i="10"/>
  <c r="Q4070" i="10"/>
  <c r="P4070" i="10"/>
  <c r="O4070" i="10"/>
  <c r="M4070" i="10"/>
  <c r="E4070" i="10"/>
  <c r="B4070" i="10"/>
  <c r="S4069" i="10"/>
  <c r="Q4069" i="10"/>
  <c r="P4069" i="10"/>
  <c r="O4069" i="10"/>
  <c r="M4069" i="10"/>
  <c r="E4069" i="10"/>
  <c r="B4069" i="10"/>
  <c r="S4068" i="10"/>
  <c r="Q4068" i="10"/>
  <c r="P4068" i="10"/>
  <c r="O4068" i="10"/>
  <c r="M4068" i="10"/>
  <c r="E4068" i="10"/>
  <c r="B4068" i="10"/>
  <c r="S4067" i="10"/>
  <c r="Q4067" i="10"/>
  <c r="P4067" i="10"/>
  <c r="O4067" i="10"/>
  <c r="M4067" i="10"/>
  <c r="E4067" i="10"/>
  <c r="B4067" i="10"/>
  <c r="S4066" i="10"/>
  <c r="Q4066" i="10"/>
  <c r="P4066" i="10"/>
  <c r="O4066" i="10"/>
  <c r="M4066" i="10"/>
  <c r="B4066" i="10"/>
  <c r="S4065" i="10"/>
  <c r="Q4065" i="10"/>
  <c r="P4065" i="10"/>
  <c r="O4065" i="10"/>
  <c r="M4065" i="10"/>
  <c r="E4065" i="10"/>
  <c r="B4065" i="10"/>
  <c r="S4064" i="10"/>
  <c r="Q4064" i="10"/>
  <c r="P4064" i="10"/>
  <c r="O4064" i="10"/>
  <c r="M4064" i="10"/>
  <c r="E4064" i="10"/>
  <c r="B4064" i="10"/>
  <c r="S4063" i="10"/>
  <c r="Q4063" i="10"/>
  <c r="P4063" i="10"/>
  <c r="O4063" i="10"/>
  <c r="M4063" i="10"/>
  <c r="E4063" i="10"/>
  <c r="B4063" i="10"/>
  <c r="S4062" i="10"/>
  <c r="Q4062" i="10"/>
  <c r="P4062" i="10"/>
  <c r="O4062" i="10"/>
  <c r="M4062" i="10"/>
  <c r="E4062" i="10"/>
  <c r="B4062" i="10"/>
  <c r="S4061" i="10"/>
  <c r="Q4061" i="10"/>
  <c r="P4061" i="10"/>
  <c r="O4061" i="10"/>
  <c r="M4061" i="10"/>
  <c r="E4061" i="10"/>
  <c r="B4061" i="10"/>
  <c r="S4060" i="10"/>
  <c r="Q4060" i="10"/>
  <c r="P4060" i="10"/>
  <c r="O4060" i="10"/>
  <c r="M4060" i="10"/>
  <c r="E4060" i="10"/>
  <c r="B4060" i="10"/>
  <c r="S4059" i="10"/>
  <c r="Q4059" i="10"/>
  <c r="P4059" i="10"/>
  <c r="O4059" i="10"/>
  <c r="M4059" i="10"/>
  <c r="E4059" i="10"/>
  <c r="B4059" i="10"/>
  <c r="S4058" i="10"/>
  <c r="Q4058" i="10"/>
  <c r="P4058" i="10"/>
  <c r="O4058" i="10"/>
  <c r="M4058" i="10"/>
  <c r="E4058" i="10"/>
  <c r="B4058" i="10"/>
  <c r="S4057" i="10"/>
  <c r="Q4057" i="10"/>
  <c r="P4057" i="10"/>
  <c r="O4057" i="10"/>
  <c r="M4057" i="10"/>
  <c r="E4057" i="10"/>
  <c r="B4057" i="10"/>
  <c r="S4056" i="10"/>
  <c r="Q4056" i="10"/>
  <c r="P4056" i="10"/>
  <c r="O4056" i="10"/>
  <c r="M4056" i="10"/>
  <c r="E4056" i="10"/>
  <c r="B4056" i="10"/>
  <c r="S4055" i="10"/>
  <c r="Q4055" i="10"/>
  <c r="P4055" i="10"/>
  <c r="O4055" i="10"/>
  <c r="M4055" i="10"/>
  <c r="E4055" i="10"/>
  <c r="B4055" i="10"/>
  <c r="S4054" i="10"/>
  <c r="Q4054" i="10"/>
  <c r="P4054" i="10"/>
  <c r="O4054" i="10"/>
  <c r="M4054" i="10"/>
  <c r="E4054" i="10"/>
  <c r="B4054" i="10"/>
  <c r="S4053" i="10"/>
  <c r="Q4053" i="10"/>
  <c r="P4053" i="10"/>
  <c r="O4053" i="10"/>
  <c r="M4053" i="10"/>
  <c r="E4053" i="10"/>
  <c r="B4053" i="10"/>
  <c r="S4052" i="10"/>
  <c r="Q4052" i="10"/>
  <c r="P4052" i="10"/>
  <c r="O4052" i="10"/>
  <c r="M4052" i="10"/>
  <c r="E4052" i="10"/>
  <c r="B4052" i="10"/>
  <c r="S4051" i="10"/>
  <c r="Q4051" i="10"/>
  <c r="P4051" i="10"/>
  <c r="O4051" i="10"/>
  <c r="M4051" i="10"/>
  <c r="E4051" i="10"/>
  <c r="B4051" i="10"/>
  <c r="S4050" i="10"/>
  <c r="Q4050" i="10"/>
  <c r="P4050" i="10"/>
  <c r="O4050" i="10"/>
  <c r="M4050" i="10"/>
  <c r="E4050" i="10"/>
  <c r="B4050" i="10"/>
  <c r="S4049" i="10"/>
  <c r="Q4049" i="10"/>
  <c r="P4049" i="10"/>
  <c r="O4049" i="10"/>
  <c r="M4049" i="10"/>
  <c r="E4049" i="10"/>
  <c r="B4049" i="10"/>
  <c r="S4048" i="10"/>
  <c r="Q4048" i="10"/>
  <c r="P4048" i="10"/>
  <c r="O4048" i="10"/>
  <c r="M4048" i="10"/>
  <c r="E4048" i="10"/>
  <c r="B4048" i="10"/>
  <c r="S4047" i="10"/>
  <c r="Q4047" i="10"/>
  <c r="P4047" i="10"/>
  <c r="O4047" i="10"/>
  <c r="M4047" i="10"/>
  <c r="E4047" i="10"/>
  <c r="B4047" i="10"/>
  <c r="S4046" i="10"/>
  <c r="Q4046" i="10"/>
  <c r="P4046" i="10"/>
  <c r="O4046" i="10"/>
  <c r="M4046" i="10"/>
  <c r="B4046" i="10"/>
  <c r="S4045" i="10"/>
  <c r="Q4045" i="10"/>
  <c r="P4045" i="10"/>
  <c r="O4045" i="10"/>
  <c r="M4045" i="10"/>
  <c r="B4045" i="10"/>
  <c r="S4044" i="10"/>
  <c r="Q4044" i="10"/>
  <c r="P4044" i="10"/>
  <c r="O4044" i="10"/>
  <c r="M4044" i="10"/>
  <c r="E4044" i="10"/>
  <c r="B4044" i="10"/>
  <c r="S4043" i="10"/>
  <c r="Q4043" i="10"/>
  <c r="P4043" i="10"/>
  <c r="O4043" i="10"/>
  <c r="M4043" i="10"/>
  <c r="E4043" i="10"/>
  <c r="B4043" i="10"/>
  <c r="S4042" i="10"/>
  <c r="Q4042" i="10"/>
  <c r="P4042" i="10"/>
  <c r="O4042" i="10"/>
  <c r="M4042" i="10"/>
  <c r="E4042" i="10"/>
  <c r="B4042" i="10"/>
  <c r="S4041" i="10"/>
  <c r="Q4041" i="10"/>
  <c r="P4041" i="10"/>
  <c r="O4041" i="10"/>
  <c r="M4041" i="10"/>
  <c r="E4041" i="10"/>
  <c r="B4041" i="10"/>
  <c r="S4040" i="10"/>
  <c r="Q4040" i="10"/>
  <c r="P4040" i="10"/>
  <c r="O4040" i="10"/>
  <c r="M4040" i="10"/>
  <c r="B4040" i="10"/>
  <c r="S4039" i="10"/>
  <c r="Q4039" i="10"/>
  <c r="P4039" i="10"/>
  <c r="O4039" i="10"/>
  <c r="M4039" i="10"/>
  <c r="E4039" i="10"/>
  <c r="B4039" i="10"/>
  <c r="S4038" i="10"/>
  <c r="Q4038" i="10"/>
  <c r="P4038" i="10"/>
  <c r="O4038" i="10"/>
  <c r="M4038" i="10"/>
  <c r="E4038" i="10"/>
  <c r="B4038" i="10"/>
  <c r="S4037" i="10"/>
  <c r="Q4037" i="10"/>
  <c r="P4037" i="10"/>
  <c r="O4037" i="10"/>
  <c r="M4037" i="10"/>
  <c r="E4037" i="10"/>
  <c r="B4037" i="10"/>
  <c r="S4036" i="10"/>
  <c r="Q4036" i="10"/>
  <c r="P4036" i="10"/>
  <c r="O4036" i="10"/>
  <c r="M4036" i="10"/>
  <c r="E4036" i="10"/>
  <c r="B4036" i="10"/>
  <c r="S4035" i="10"/>
  <c r="Q4035" i="10"/>
  <c r="P4035" i="10"/>
  <c r="O4035" i="10"/>
  <c r="M4035" i="10"/>
  <c r="E4035" i="10"/>
  <c r="B4035" i="10"/>
  <c r="S4034" i="10"/>
  <c r="Q4034" i="10"/>
  <c r="P4034" i="10"/>
  <c r="O4034" i="10"/>
  <c r="M4034" i="10"/>
  <c r="E4034" i="10"/>
  <c r="B4034" i="10"/>
  <c r="S4033" i="10"/>
  <c r="Q4033" i="10"/>
  <c r="P4033" i="10"/>
  <c r="O4033" i="10"/>
  <c r="M4033" i="10"/>
  <c r="E4033" i="10"/>
  <c r="B4033" i="10"/>
  <c r="S4032" i="10"/>
  <c r="Q4032" i="10"/>
  <c r="P4032" i="10"/>
  <c r="O4032" i="10"/>
  <c r="M4032" i="10"/>
  <c r="E4032" i="10"/>
  <c r="B4032" i="10"/>
  <c r="S4031" i="10"/>
  <c r="Q4031" i="10"/>
  <c r="P4031" i="10"/>
  <c r="O4031" i="10"/>
  <c r="M4031" i="10"/>
  <c r="E4031" i="10"/>
  <c r="B4031" i="10"/>
  <c r="S4030" i="10"/>
  <c r="Q4030" i="10"/>
  <c r="P4030" i="10"/>
  <c r="O4030" i="10"/>
  <c r="M4030" i="10"/>
  <c r="E4030" i="10"/>
  <c r="B4030" i="10"/>
  <c r="S4029" i="10"/>
  <c r="Q4029" i="10"/>
  <c r="P4029" i="10"/>
  <c r="O4029" i="10"/>
  <c r="M4029" i="10"/>
  <c r="E4029" i="10"/>
  <c r="B4029" i="10"/>
  <c r="S4028" i="10"/>
  <c r="Q4028" i="10"/>
  <c r="P4028" i="10"/>
  <c r="O4028" i="10"/>
  <c r="M4028" i="10"/>
  <c r="E4028" i="10"/>
  <c r="B4028" i="10"/>
  <c r="S4027" i="10"/>
  <c r="Q4027" i="10"/>
  <c r="P4027" i="10"/>
  <c r="O4027" i="10"/>
  <c r="M4027" i="10"/>
  <c r="E4027" i="10"/>
  <c r="B4027" i="10"/>
  <c r="S4026" i="10"/>
  <c r="Q4026" i="10"/>
  <c r="P4026" i="10"/>
  <c r="O4026" i="10"/>
  <c r="M4026" i="10"/>
  <c r="E4026" i="10"/>
  <c r="B4026" i="10"/>
  <c r="S4025" i="10"/>
  <c r="Q4025" i="10"/>
  <c r="P4025" i="10"/>
  <c r="O4025" i="10"/>
  <c r="M4025" i="10"/>
  <c r="E4025" i="10"/>
  <c r="B4025" i="10"/>
  <c r="S4024" i="10"/>
  <c r="Q4024" i="10"/>
  <c r="P4024" i="10"/>
  <c r="O4024" i="10"/>
  <c r="M4024" i="10"/>
  <c r="E4024" i="10"/>
  <c r="B4024" i="10"/>
  <c r="S4023" i="10"/>
  <c r="Q4023" i="10"/>
  <c r="P4023" i="10"/>
  <c r="O4023" i="10"/>
  <c r="M4023" i="10"/>
  <c r="E4023" i="10"/>
  <c r="B4023" i="10"/>
  <c r="S4022" i="10"/>
  <c r="Q4022" i="10"/>
  <c r="P4022" i="10"/>
  <c r="O4022" i="10"/>
  <c r="M4022" i="10"/>
  <c r="E4022" i="10"/>
  <c r="B4022" i="10"/>
  <c r="S4021" i="10"/>
  <c r="Q4021" i="10"/>
  <c r="P4021" i="10"/>
  <c r="O4021" i="10"/>
  <c r="M4021" i="10"/>
  <c r="E4021" i="10"/>
  <c r="B4021" i="10"/>
  <c r="S4020" i="10"/>
  <c r="Q4020" i="10"/>
  <c r="P4020" i="10"/>
  <c r="O4020" i="10"/>
  <c r="M4020" i="10"/>
  <c r="B4020" i="10"/>
  <c r="S4019" i="10"/>
  <c r="Q4019" i="10"/>
  <c r="P4019" i="10"/>
  <c r="O4019" i="10"/>
  <c r="M4019" i="10"/>
  <c r="E4019" i="10"/>
  <c r="B4019" i="10"/>
  <c r="S4018" i="10"/>
  <c r="Q4018" i="10"/>
  <c r="P4018" i="10"/>
  <c r="O4018" i="10"/>
  <c r="M4018" i="10"/>
  <c r="B4018" i="10"/>
  <c r="S4017" i="10"/>
  <c r="Q4017" i="10"/>
  <c r="P4017" i="10"/>
  <c r="O4017" i="10"/>
  <c r="M4017" i="10"/>
  <c r="E4017" i="10"/>
  <c r="B4017" i="10"/>
  <c r="S4016" i="10"/>
  <c r="Q4016" i="10"/>
  <c r="P4016" i="10"/>
  <c r="O4016" i="10"/>
  <c r="M4016" i="10"/>
  <c r="E4016" i="10"/>
  <c r="B4016" i="10"/>
  <c r="S4015" i="10"/>
  <c r="Q4015" i="10"/>
  <c r="P4015" i="10"/>
  <c r="O4015" i="10"/>
  <c r="M4015" i="10"/>
  <c r="E4015" i="10"/>
  <c r="B4015" i="10"/>
  <c r="S4014" i="10"/>
  <c r="Q4014" i="10"/>
  <c r="P4014" i="10"/>
  <c r="O4014" i="10"/>
  <c r="M4014" i="10"/>
  <c r="E4014" i="10"/>
  <c r="B4014" i="10"/>
  <c r="S4013" i="10"/>
  <c r="Q4013" i="10"/>
  <c r="P4013" i="10"/>
  <c r="O4013" i="10"/>
  <c r="M4013" i="10"/>
  <c r="E4013" i="10"/>
  <c r="B4013" i="10"/>
  <c r="S4012" i="10"/>
  <c r="Q4012" i="10"/>
  <c r="P4012" i="10"/>
  <c r="O4012" i="10"/>
  <c r="M4012" i="10"/>
  <c r="E4012" i="10"/>
  <c r="B4012" i="10"/>
  <c r="S4011" i="10"/>
  <c r="Q4011" i="10"/>
  <c r="P4011" i="10"/>
  <c r="O4011" i="10"/>
  <c r="M4011" i="10"/>
  <c r="E4011" i="10"/>
  <c r="B4011" i="10"/>
  <c r="S4010" i="10"/>
  <c r="Q4010" i="10"/>
  <c r="P4010" i="10"/>
  <c r="O4010" i="10"/>
  <c r="M4010" i="10"/>
  <c r="E4010" i="10"/>
  <c r="B4010" i="10"/>
  <c r="S4009" i="10"/>
  <c r="Q4009" i="10"/>
  <c r="P4009" i="10"/>
  <c r="O4009" i="10"/>
  <c r="M4009" i="10"/>
  <c r="E4009" i="10"/>
  <c r="B4009" i="10"/>
  <c r="S4008" i="10"/>
  <c r="Q4008" i="10"/>
  <c r="P4008" i="10"/>
  <c r="O4008" i="10"/>
  <c r="M4008" i="10"/>
  <c r="E4008" i="10"/>
  <c r="B4008" i="10"/>
  <c r="S4007" i="10"/>
  <c r="Q4007" i="10"/>
  <c r="P4007" i="10"/>
  <c r="O4007" i="10"/>
  <c r="M4007" i="10"/>
  <c r="E4007" i="10"/>
  <c r="B4007" i="10"/>
  <c r="S4006" i="10"/>
  <c r="Q4006" i="10"/>
  <c r="P4006" i="10"/>
  <c r="O4006" i="10"/>
  <c r="M4006" i="10"/>
  <c r="E4006" i="10"/>
  <c r="B4006" i="10"/>
  <c r="S4005" i="10"/>
  <c r="Q4005" i="10"/>
  <c r="P4005" i="10"/>
  <c r="O4005" i="10"/>
  <c r="M4005" i="10"/>
  <c r="E4005" i="10"/>
  <c r="B4005" i="10"/>
  <c r="S4004" i="10"/>
  <c r="Q4004" i="10"/>
  <c r="P4004" i="10"/>
  <c r="O4004" i="10"/>
  <c r="M4004" i="10"/>
  <c r="E4004" i="10"/>
  <c r="B4004" i="10"/>
  <c r="S4003" i="10"/>
  <c r="Q4003" i="10"/>
  <c r="P4003" i="10"/>
  <c r="O4003" i="10"/>
  <c r="M4003" i="10"/>
  <c r="E4003" i="10"/>
  <c r="B4003" i="10"/>
  <c r="S4002" i="10"/>
  <c r="Q4002" i="10"/>
  <c r="P4002" i="10"/>
  <c r="O4002" i="10"/>
  <c r="M4002" i="10"/>
  <c r="E4002" i="10"/>
  <c r="B4002" i="10"/>
  <c r="S4001" i="10"/>
  <c r="Q4001" i="10"/>
  <c r="P4001" i="10"/>
  <c r="O4001" i="10"/>
  <c r="M4001" i="10"/>
  <c r="E4001" i="10"/>
  <c r="B4001" i="10"/>
  <c r="S4000" i="10"/>
  <c r="Q4000" i="10"/>
  <c r="P4000" i="10"/>
  <c r="O4000" i="10"/>
  <c r="M4000" i="10"/>
  <c r="E4000" i="10"/>
  <c r="B4000" i="10"/>
  <c r="S3999" i="10"/>
  <c r="Q3999" i="10"/>
  <c r="P3999" i="10"/>
  <c r="O3999" i="10"/>
  <c r="M3999" i="10"/>
  <c r="E3999" i="10"/>
  <c r="B3999" i="10"/>
  <c r="S3998" i="10"/>
  <c r="Q3998" i="10"/>
  <c r="P3998" i="10"/>
  <c r="O3998" i="10"/>
  <c r="M3998" i="10"/>
  <c r="E3998" i="10"/>
  <c r="B3998" i="10"/>
  <c r="S3997" i="10"/>
  <c r="Q3997" i="10"/>
  <c r="P3997" i="10"/>
  <c r="O3997" i="10"/>
  <c r="M3997" i="10"/>
  <c r="E3997" i="10"/>
  <c r="B3997" i="10"/>
  <c r="S3996" i="10"/>
  <c r="Q3996" i="10"/>
  <c r="P3996" i="10"/>
  <c r="O3996" i="10"/>
  <c r="M3996" i="10"/>
  <c r="E3996" i="10"/>
  <c r="B3996" i="10"/>
  <c r="S3995" i="10"/>
  <c r="Q3995" i="10"/>
  <c r="P3995" i="10"/>
  <c r="O3995" i="10"/>
  <c r="M3995" i="10"/>
  <c r="E3995" i="10"/>
  <c r="B3995" i="10"/>
  <c r="S3994" i="10"/>
  <c r="Q3994" i="10"/>
  <c r="P3994" i="10"/>
  <c r="O3994" i="10"/>
  <c r="M3994" i="10"/>
  <c r="E3994" i="10"/>
  <c r="B3994" i="10"/>
  <c r="S3993" i="10"/>
  <c r="Q3993" i="10"/>
  <c r="P3993" i="10"/>
  <c r="O3993" i="10"/>
  <c r="M3993" i="10"/>
  <c r="E3993" i="10"/>
  <c r="B3993" i="10"/>
  <c r="S3992" i="10"/>
  <c r="Q3992" i="10"/>
  <c r="P3992" i="10"/>
  <c r="O3992" i="10"/>
  <c r="M3992" i="10"/>
  <c r="E3992" i="10"/>
  <c r="B3992" i="10"/>
  <c r="S3991" i="10"/>
  <c r="Q3991" i="10"/>
  <c r="P3991" i="10"/>
  <c r="O3991" i="10"/>
  <c r="M3991" i="10"/>
  <c r="E3991" i="10"/>
  <c r="B3991" i="10"/>
  <c r="S3990" i="10"/>
  <c r="Q3990" i="10"/>
  <c r="P3990" i="10"/>
  <c r="O3990" i="10"/>
  <c r="M3990" i="10"/>
  <c r="E3990" i="10"/>
  <c r="B3990" i="10"/>
  <c r="S3989" i="10"/>
  <c r="Q3989" i="10"/>
  <c r="P3989" i="10"/>
  <c r="O3989" i="10"/>
  <c r="M3989" i="10"/>
  <c r="E3989" i="10"/>
  <c r="B3989" i="10"/>
  <c r="S3988" i="10"/>
  <c r="Q3988" i="10"/>
  <c r="P3988" i="10"/>
  <c r="O3988" i="10"/>
  <c r="M3988" i="10"/>
  <c r="E3988" i="10"/>
  <c r="B3988" i="10"/>
  <c r="S3987" i="10"/>
  <c r="Q3987" i="10"/>
  <c r="P3987" i="10"/>
  <c r="O3987" i="10"/>
  <c r="M3987" i="10"/>
  <c r="E3987" i="10"/>
  <c r="B3987" i="10"/>
  <c r="S3986" i="10"/>
  <c r="Q3986" i="10"/>
  <c r="P3986" i="10"/>
  <c r="O3986" i="10"/>
  <c r="M3986" i="10"/>
  <c r="E3986" i="10"/>
  <c r="B3986" i="10"/>
  <c r="S3985" i="10"/>
  <c r="Q3985" i="10"/>
  <c r="P3985" i="10"/>
  <c r="O3985" i="10"/>
  <c r="M3985" i="10"/>
  <c r="E3985" i="10"/>
  <c r="B3985" i="10"/>
  <c r="S3984" i="10"/>
  <c r="Q3984" i="10"/>
  <c r="P3984" i="10"/>
  <c r="O3984" i="10"/>
  <c r="M3984" i="10"/>
  <c r="E3984" i="10"/>
  <c r="B3984" i="10"/>
  <c r="S3983" i="10"/>
  <c r="Q3983" i="10"/>
  <c r="P3983" i="10"/>
  <c r="O3983" i="10"/>
  <c r="M3983" i="10"/>
  <c r="E3983" i="10"/>
  <c r="B3983" i="10"/>
  <c r="S3982" i="10"/>
  <c r="Q3982" i="10"/>
  <c r="P3982" i="10"/>
  <c r="O3982" i="10"/>
  <c r="M3982" i="10"/>
  <c r="E3982" i="10"/>
  <c r="B3982" i="10"/>
  <c r="S3981" i="10"/>
  <c r="Q3981" i="10"/>
  <c r="P3981" i="10"/>
  <c r="O3981" i="10"/>
  <c r="M3981" i="10"/>
  <c r="E3981" i="10"/>
  <c r="B3981" i="10"/>
  <c r="S3980" i="10"/>
  <c r="Q3980" i="10"/>
  <c r="P3980" i="10"/>
  <c r="O3980" i="10"/>
  <c r="M3980" i="10"/>
  <c r="E3980" i="10"/>
  <c r="B3980" i="10"/>
  <c r="S3979" i="10"/>
  <c r="Q3979" i="10"/>
  <c r="P3979" i="10"/>
  <c r="O3979" i="10"/>
  <c r="M3979" i="10"/>
  <c r="E3979" i="10"/>
  <c r="B3979" i="10"/>
  <c r="S3978" i="10"/>
  <c r="Q3978" i="10"/>
  <c r="P3978" i="10"/>
  <c r="O3978" i="10"/>
  <c r="M3978" i="10"/>
  <c r="E3978" i="10"/>
  <c r="B3978" i="10"/>
  <c r="S3977" i="10"/>
  <c r="Q3977" i="10"/>
  <c r="P3977" i="10"/>
  <c r="O3977" i="10"/>
  <c r="M3977" i="10"/>
  <c r="E3977" i="10"/>
  <c r="B3977" i="10"/>
  <c r="S3976" i="10"/>
  <c r="Q3976" i="10"/>
  <c r="P3976" i="10"/>
  <c r="O3976" i="10"/>
  <c r="M3976" i="10"/>
  <c r="E3976" i="10"/>
  <c r="B3976" i="10"/>
  <c r="S3975" i="10"/>
  <c r="Q3975" i="10"/>
  <c r="P3975" i="10"/>
  <c r="O3975" i="10"/>
  <c r="M3975" i="10"/>
  <c r="E3975" i="10"/>
  <c r="B3975" i="10"/>
  <c r="S3974" i="10"/>
  <c r="Q3974" i="10"/>
  <c r="P3974" i="10"/>
  <c r="O3974" i="10"/>
  <c r="M3974" i="10"/>
  <c r="B3974" i="10"/>
  <c r="S3973" i="10"/>
  <c r="Q3973" i="10"/>
  <c r="P3973" i="10"/>
  <c r="O3973" i="10"/>
  <c r="M3973" i="10"/>
  <c r="E3973" i="10"/>
  <c r="B3973" i="10"/>
  <c r="S3972" i="10"/>
  <c r="Q3972" i="10"/>
  <c r="P3972" i="10"/>
  <c r="O3972" i="10"/>
  <c r="M3972" i="10"/>
  <c r="E3972" i="10"/>
  <c r="B3972" i="10"/>
  <c r="S3971" i="10"/>
  <c r="Q3971" i="10"/>
  <c r="P3971" i="10"/>
  <c r="O3971" i="10"/>
  <c r="M3971" i="10"/>
  <c r="E3971" i="10"/>
  <c r="B3971" i="10"/>
  <c r="S3970" i="10"/>
  <c r="Q3970" i="10"/>
  <c r="P3970" i="10"/>
  <c r="O3970" i="10"/>
  <c r="M3970" i="10"/>
  <c r="E3970" i="10"/>
  <c r="B3970" i="10"/>
  <c r="S3969" i="10"/>
  <c r="Q3969" i="10"/>
  <c r="P3969" i="10"/>
  <c r="O3969" i="10"/>
  <c r="M3969" i="10"/>
  <c r="E3969" i="10"/>
  <c r="B3969" i="10"/>
  <c r="S3968" i="10"/>
  <c r="Q3968" i="10"/>
  <c r="P3968" i="10"/>
  <c r="O3968" i="10"/>
  <c r="M3968" i="10"/>
  <c r="E3968" i="10"/>
  <c r="B3968" i="10"/>
  <c r="S3967" i="10"/>
  <c r="Q3967" i="10"/>
  <c r="P3967" i="10"/>
  <c r="O3967" i="10"/>
  <c r="M3967" i="10"/>
  <c r="E3967" i="10"/>
  <c r="B3967" i="10"/>
  <c r="S3966" i="10"/>
  <c r="Q3966" i="10"/>
  <c r="P3966" i="10"/>
  <c r="O3966" i="10"/>
  <c r="M3966" i="10"/>
  <c r="E3966" i="10"/>
  <c r="B3966" i="10"/>
  <c r="S3965" i="10"/>
  <c r="Q3965" i="10"/>
  <c r="P3965" i="10"/>
  <c r="O3965" i="10"/>
  <c r="M3965" i="10"/>
  <c r="E3965" i="10"/>
  <c r="B3965" i="10"/>
  <c r="S3964" i="10"/>
  <c r="Q3964" i="10"/>
  <c r="P3964" i="10"/>
  <c r="O3964" i="10"/>
  <c r="M3964" i="10"/>
  <c r="E3964" i="10"/>
  <c r="B3964" i="10"/>
  <c r="S3963" i="10"/>
  <c r="Q3963" i="10"/>
  <c r="P3963" i="10"/>
  <c r="O3963" i="10"/>
  <c r="M3963" i="10"/>
  <c r="E3963" i="10"/>
  <c r="B3963" i="10"/>
  <c r="S3962" i="10"/>
  <c r="Q3962" i="10"/>
  <c r="P3962" i="10"/>
  <c r="O3962" i="10"/>
  <c r="M3962" i="10"/>
  <c r="E3962" i="10"/>
  <c r="B3962" i="10"/>
  <c r="S3961" i="10"/>
  <c r="Q3961" i="10"/>
  <c r="P3961" i="10"/>
  <c r="O3961" i="10"/>
  <c r="M3961" i="10"/>
  <c r="E3961" i="10"/>
  <c r="B3961" i="10"/>
  <c r="S3960" i="10"/>
  <c r="Q3960" i="10"/>
  <c r="P3960" i="10"/>
  <c r="O3960" i="10"/>
  <c r="M3960" i="10"/>
  <c r="E3960" i="10"/>
  <c r="B3960" i="10"/>
  <c r="S3959" i="10"/>
  <c r="Q3959" i="10"/>
  <c r="P3959" i="10"/>
  <c r="O3959" i="10"/>
  <c r="M3959" i="10"/>
  <c r="E3959" i="10"/>
  <c r="B3959" i="10"/>
  <c r="S3958" i="10"/>
  <c r="Q3958" i="10"/>
  <c r="P3958" i="10"/>
  <c r="O3958" i="10"/>
  <c r="M3958" i="10"/>
  <c r="E3958" i="10"/>
  <c r="B3958" i="10"/>
  <c r="S3957" i="10"/>
  <c r="Q3957" i="10"/>
  <c r="P3957" i="10"/>
  <c r="O3957" i="10"/>
  <c r="M3957" i="10"/>
  <c r="E3957" i="10"/>
  <c r="B3957" i="10"/>
  <c r="S3956" i="10"/>
  <c r="Q3956" i="10"/>
  <c r="P3956" i="10"/>
  <c r="O3956" i="10"/>
  <c r="M3956" i="10"/>
  <c r="B3956" i="10"/>
  <c r="S3955" i="10"/>
  <c r="Q3955" i="10"/>
  <c r="P3955" i="10"/>
  <c r="O3955" i="10"/>
  <c r="M3955" i="10"/>
  <c r="B3955" i="10"/>
  <c r="S3954" i="10"/>
  <c r="Q3954" i="10"/>
  <c r="P3954" i="10"/>
  <c r="O3954" i="10"/>
  <c r="M3954" i="10"/>
  <c r="E3954" i="10"/>
  <c r="B3954" i="10"/>
  <c r="S3953" i="10"/>
  <c r="Q3953" i="10"/>
  <c r="P3953" i="10"/>
  <c r="O3953" i="10"/>
  <c r="M3953" i="10"/>
  <c r="E3953" i="10"/>
  <c r="B3953" i="10"/>
  <c r="S3952" i="10"/>
  <c r="Q3952" i="10"/>
  <c r="P3952" i="10"/>
  <c r="O3952" i="10"/>
  <c r="M3952" i="10"/>
  <c r="E3952" i="10"/>
  <c r="B3952" i="10"/>
  <c r="S3951" i="10"/>
  <c r="Q3951" i="10"/>
  <c r="P3951" i="10"/>
  <c r="O3951" i="10"/>
  <c r="M3951" i="10"/>
  <c r="E3951" i="10"/>
  <c r="B3951" i="10"/>
  <c r="S3950" i="10"/>
  <c r="Q3950" i="10"/>
  <c r="P3950" i="10"/>
  <c r="O3950" i="10"/>
  <c r="M3950" i="10"/>
  <c r="E3950" i="10"/>
  <c r="B3950" i="10"/>
  <c r="S3949" i="10"/>
  <c r="Q3949" i="10"/>
  <c r="P3949" i="10"/>
  <c r="O3949" i="10"/>
  <c r="M3949" i="10"/>
  <c r="B3949" i="10"/>
  <c r="S3948" i="10"/>
  <c r="Q3948" i="10"/>
  <c r="P3948" i="10"/>
  <c r="O3948" i="10"/>
  <c r="M3948" i="10"/>
  <c r="E3948" i="10"/>
  <c r="B3948" i="10"/>
  <c r="S3947" i="10"/>
  <c r="Q3947" i="10"/>
  <c r="P3947" i="10"/>
  <c r="O3947" i="10"/>
  <c r="M3947" i="10"/>
  <c r="B3947" i="10"/>
  <c r="S3946" i="10"/>
  <c r="Q3946" i="10"/>
  <c r="P3946" i="10"/>
  <c r="O3946" i="10"/>
  <c r="M3946" i="10"/>
  <c r="B3946" i="10"/>
  <c r="S3945" i="10"/>
  <c r="Q3945" i="10"/>
  <c r="P3945" i="10"/>
  <c r="O3945" i="10"/>
  <c r="M3945" i="10"/>
  <c r="E3945" i="10"/>
  <c r="B3945" i="10"/>
  <c r="S3944" i="10"/>
  <c r="Q3944" i="10"/>
  <c r="P3944" i="10"/>
  <c r="O3944" i="10"/>
  <c r="M3944" i="10"/>
  <c r="E3944" i="10"/>
  <c r="B3944" i="10"/>
  <c r="S3943" i="10"/>
  <c r="Q3943" i="10"/>
  <c r="P3943" i="10"/>
  <c r="O3943" i="10"/>
  <c r="M3943" i="10"/>
  <c r="E3943" i="10"/>
  <c r="B3943" i="10"/>
  <c r="S3942" i="10"/>
  <c r="Q3942" i="10"/>
  <c r="P3942" i="10"/>
  <c r="O3942" i="10"/>
  <c r="M3942" i="10"/>
  <c r="E3942" i="10"/>
  <c r="B3942" i="10"/>
  <c r="S3941" i="10"/>
  <c r="Q3941" i="10"/>
  <c r="P3941" i="10"/>
  <c r="O3941" i="10"/>
  <c r="M3941" i="10"/>
  <c r="E3941" i="10"/>
  <c r="B3941" i="10"/>
  <c r="S3940" i="10"/>
  <c r="Q3940" i="10"/>
  <c r="P3940" i="10"/>
  <c r="O3940" i="10"/>
  <c r="M3940" i="10"/>
  <c r="E3940" i="10"/>
  <c r="B3940" i="10"/>
  <c r="S3939" i="10"/>
  <c r="Q3939" i="10"/>
  <c r="P3939" i="10"/>
  <c r="O3939" i="10"/>
  <c r="M3939" i="10"/>
  <c r="B3939" i="10"/>
  <c r="S3938" i="10"/>
  <c r="Q3938" i="10"/>
  <c r="P3938" i="10"/>
  <c r="O3938" i="10"/>
  <c r="M3938" i="10"/>
  <c r="E3938" i="10"/>
  <c r="B3938" i="10"/>
  <c r="S3937" i="10"/>
  <c r="Q3937" i="10"/>
  <c r="P3937" i="10"/>
  <c r="O3937" i="10"/>
  <c r="M3937" i="10"/>
  <c r="E3937" i="10"/>
  <c r="B3937" i="10"/>
  <c r="S3936" i="10"/>
  <c r="Q3936" i="10"/>
  <c r="P3936" i="10"/>
  <c r="O3936" i="10"/>
  <c r="M3936" i="10"/>
  <c r="E3936" i="10"/>
  <c r="B3936" i="10"/>
  <c r="S3935" i="10"/>
  <c r="Q3935" i="10"/>
  <c r="P3935" i="10"/>
  <c r="O3935" i="10"/>
  <c r="M3935" i="10"/>
  <c r="E3935" i="10"/>
  <c r="B3935" i="10"/>
  <c r="S3934" i="10"/>
  <c r="Q3934" i="10"/>
  <c r="P3934" i="10"/>
  <c r="O3934" i="10"/>
  <c r="M3934" i="10"/>
  <c r="E3934" i="10"/>
  <c r="B3934" i="10"/>
  <c r="S3933" i="10"/>
  <c r="Q3933" i="10"/>
  <c r="P3933" i="10"/>
  <c r="O3933" i="10"/>
  <c r="M3933" i="10"/>
  <c r="E3933" i="10"/>
  <c r="B3933" i="10"/>
  <c r="S3932" i="10"/>
  <c r="Q3932" i="10"/>
  <c r="P3932" i="10"/>
  <c r="O3932" i="10"/>
  <c r="M3932" i="10"/>
  <c r="E3932" i="10"/>
  <c r="B3932" i="10"/>
  <c r="S3931" i="10"/>
  <c r="Q3931" i="10"/>
  <c r="P3931" i="10"/>
  <c r="O3931" i="10"/>
  <c r="M3931" i="10"/>
  <c r="E3931" i="10"/>
  <c r="B3931" i="10"/>
  <c r="S3930" i="10"/>
  <c r="Q3930" i="10"/>
  <c r="P3930" i="10"/>
  <c r="O3930" i="10"/>
  <c r="M3930" i="10"/>
  <c r="E3930" i="10"/>
  <c r="B3930" i="10"/>
  <c r="S3929" i="10"/>
  <c r="Q3929" i="10"/>
  <c r="P3929" i="10"/>
  <c r="O3929" i="10"/>
  <c r="M3929" i="10"/>
  <c r="E3929" i="10"/>
  <c r="B3929" i="10"/>
  <c r="S3928" i="10"/>
  <c r="Q3928" i="10"/>
  <c r="P3928" i="10"/>
  <c r="O3928" i="10"/>
  <c r="M3928" i="10"/>
  <c r="E3928" i="10"/>
  <c r="B3928" i="10"/>
  <c r="S3927" i="10"/>
  <c r="Q3927" i="10"/>
  <c r="P3927" i="10"/>
  <c r="O3927" i="10"/>
  <c r="M3927" i="10"/>
  <c r="E3927" i="10"/>
  <c r="B3927" i="10"/>
  <c r="S3926" i="10"/>
  <c r="Q3926" i="10"/>
  <c r="P3926" i="10"/>
  <c r="O3926" i="10"/>
  <c r="M3926" i="10"/>
  <c r="E3926" i="10"/>
  <c r="B3926" i="10"/>
  <c r="S3925" i="10"/>
  <c r="Q3925" i="10"/>
  <c r="P3925" i="10"/>
  <c r="O3925" i="10"/>
  <c r="M3925" i="10"/>
  <c r="E3925" i="10"/>
  <c r="B3925" i="10"/>
  <c r="S3924" i="10"/>
  <c r="Q3924" i="10"/>
  <c r="P3924" i="10"/>
  <c r="O3924" i="10"/>
  <c r="M3924" i="10"/>
  <c r="E3924" i="10"/>
  <c r="B3924" i="10"/>
  <c r="S3923" i="10"/>
  <c r="Q3923" i="10"/>
  <c r="P3923" i="10"/>
  <c r="O3923" i="10"/>
  <c r="M3923" i="10"/>
  <c r="E3923" i="10"/>
  <c r="B3923" i="10"/>
  <c r="S3922" i="10"/>
  <c r="Q3922" i="10"/>
  <c r="P3922" i="10"/>
  <c r="O3922" i="10"/>
  <c r="M3922" i="10"/>
  <c r="E3922" i="10"/>
  <c r="B3922" i="10"/>
  <c r="S3921" i="10"/>
  <c r="Q3921" i="10"/>
  <c r="P3921" i="10"/>
  <c r="O3921" i="10"/>
  <c r="M3921" i="10"/>
  <c r="E3921" i="10"/>
  <c r="B3921" i="10"/>
  <c r="S3920" i="10"/>
  <c r="Q3920" i="10"/>
  <c r="P3920" i="10"/>
  <c r="O3920" i="10"/>
  <c r="M3920" i="10"/>
  <c r="E3920" i="10"/>
  <c r="B3920" i="10"/>
  <c r="S3919" i="10"/>
  <c r="Q3919" i="10"/>
  <c r="P3919" i="10"/>
  <c r="O3919" i="10"/>
  <c r="M3919" i="10"/>
  <c r="E3919" i="10"/>
  <c r="B3919" i="10"/>
  <c r="S3918" i="10"/>
  <c r="Q3918" i="10"/>
  <c r="P3918" i="10"/>
  <c r="O3918" i="10"/>
  <c r="M3918" i="10"/>
  <c r="E3918" i="10"/>
  <c r="B3918" i="10"/>
  <c r="S3917" i="10"/>
  <c r="Q3917" i="10"/>
  <c r="P3917" i="10"/>
  <c r="O3917" i="10"/>
  <c r="M3917" i="10"/>
  <c r="E3917" i="10"/>
  <c r="B3917" i="10"/>
  <c r="S3916" i="10"/>
  <c r="Q3916" i="10"/>
  <c r="P3916" i="10"/>
  <c r="O3916" i="10"/>
  <c r="M3916" i="10"/>
  <c r="E3916" i="10"/>
  <c r="B3916" i="10"/>
  <c r="S3915" i="10"/>
  <c r="Q3915" i="10"/>
  <c r="P3915" i="10"/>
  <c r="O3915" i="10"/>
  <c r="M3915" i="10"/>
  <c r="E3915" i="10"/>
  <c r="B3915" i="10"/>
  <c r="S3914" i="10"/>
  <c r="Q3914" i="10"/>
  <c r="P3914" i="10"/>
  <c r="O3914" i="10"/>
  <c r="M3914" i="10"/>
  <c r="B3914" i="10"/>
  <c r="S3913" i="10"/>
  <c r="Q3913" i="10"/>
  <c r="P3913" i="10"/>
  <c r="O3913" i="10"/>
  <c r="M3913" i="10"/>
  <c r="E3913" i="10"/>
  <c r="B3913" i="10"/>
  <c r="S3912" i="10"/>
  <c r="Q3912" i="10"/>
  <c r="P3912" i="10"/>
  <c r="O3912" i="10"/>
  <c r="M3912" i="10"/>
  <c r="E3912" i="10"/>
  <c r="B3912" i="10"/>
  <c r="S3911" i="10"/>
  <c r="Q3911" i="10"/>
  <c r="P3911" i="10"/>
  <c r="O3911" i="10"/>
  <c r="M3911" i="10"/>
  <c r="E3911" i="10"/>
  <c r="B3911" i="10"/>
  <c r="S3910" i="10"/>
  <c r="Q3910" i="10"/>
  <c r="P3910" i="10"/>
  <c r="O3910" i="10"/>
  <c r="M3910" i="10"/>
  <c r="E3910" i="10"/>
  <c r="B3910" i="10"/>
  <c r="S3909" i="10"/>
  <c r="Q3909" i="10"/>
  <c r="P3909" i="10"/>
  <c r="O3909" i="10"/>
  <c r="M3909" i="10"/>
  <c r="E3909" i="10"/>
  <c r="B3909" i="10"/>
  <c r="S3908" i="10"/>
  <c r="Q3908" i="10"/>
  <c r="P3908" i="10"/>
  <c r="O3908" i="10"/>
  <c r="M3908" i="10"/>
  <c r="E3908" i="10"/>
  <c r="B3908" i="10"/>
  <c r="S3907" i="10"/>
  <c r="Q3907" i="10"/>
  <c r="P3907" i="10"/>
  <c r="O3907" i="10"/>
  <c r="M3907" i="10"/>
  <c r="E3907" i="10"/>
  <c r="B3907" i="10"/>
  <c r="S3906" i="10"/>
  <c r="Q3906" i="10"/>
  <c r="P3906" i="10"/>
  <c r="O3906" i="10"/>
  <c r="M3906" i="10"/>
  <c r="E3906" i="10"/>
  <c r="B3906" i="10"/>
  <c r="S3905" i="10"/>
  <c r="Q3905" i="10"/>
  <c r="P3905" i="10"/>
  <c r="O3905" i="10"/>
  <c r="M3905" i="10"/>
  <c r="E3905" i="10"/>
  <c r="B3905" i="10"/>
  <c r="S3904" i="10"/>
  <c r="Q3904" i="10"/>
  <c r="P3904" i="10"/>
  <c r="O3904" i="10"/>
  <c r="M3904" i="10"/>
  <c r="E3904" i="10"/>
  <c r="B3904" i="10"/>
  <c r="S3903" i="10"/>
  <c r="Q3903" i="10"/>
  <c r="P3903" i="10"/>
  <c r="O3903" i="10"/>
  <c r="M3903" i="10"/>
  <c r="E3903" i="10"/>
  <c r="B3903" i="10"/>
  <c r="S3902" i="10"/>
  <c r="Q3902" i="10"/>
  <c r="P3902" i="10"/>
  <c r="O3902" i="10"/>
  <c r="M3902" i="10"/>
  <c r="E3902" i="10"/>
  <c r="B3902" i="10"/>
  <c r="S3901" i="10"/>
  <c r="Q3901" i="10"/>
  <c r="P3901" i="10"/>
  <c r="O3901" i="10"/>
  <c r="M3901" i="10"/>
  <c r="E3901" i="10"/>
  <c r="B3901" i="10"/>
  <c r="S3900" i="10"/>
  <c r="Q3900" i="10"/>
  <c r="P3900" i="10"/>
  <c r="O3900" i="10"/>
  <c r="M3900" i="10"/>
  <c r="E3900" i="10"/>
  <c r="B3900" i="10"/>
  <c r="S3899" i="10"/>
  <c r="Q3899" i="10"/>
  <c r="P3899" i="10"/>
  <c r="O3899" i="10"/>
  <c r="M3899" i="10"/>
  <c r="E3899" i="10"/>
  <c r="B3899" i="10"/>
  <c r="S3898" i="10"/>
  <c r="Q3898" i="10"/>
  <c r="P3898" i="10"/>
  <c r="O3898" i="10"/>
  <c r="M3898" i="10"/>
  <c r="E3898" i="10"/>
  <c r="B3898" i="10"/>
  <c r="S3897" i="10"/>
  <c r="Q3897" i="10"/>
  <c r="P3897" i="10"/>
  <c r="O3897" i="10"/>
  <c r="M3897" i="10"/>
  <c r="B3897" i="10"/>
  <c r="S3896" i="10"/>
  <c r="Q3896" i="10"/>
  <c r="P3896" i="10"/>
  <c r="O3896" i="10"/>
  <c r="M3896" i="10"/>
  <c r="E3896" i="10"/>
  <c r="B3896" i="10"/>
  <c r="S3895" i="10"/>
  <c r="Q3895" i="10"/>
  <c r="P3895" i="10"/>
  <c r="O3895" i="10"/>
  <c r="M3895" i="10"/>
  <c r="E3895" i="10"/>
  <c r="B3895" i="10"/>
  <c r="S3894" i="10"/>
  <c r="Q3894" i="10"/>
  <c r="P3894" i="10"/>
  <c r="O3894" i="10"/>
  <c r="M3894" i="10"/>
  <c r="E3894" i="10"/>
  <c r="B3894" i="10"/>
  <c r="S3893" i="10"/>
  <c r="Q3893" i="10"/>
  <c r="P3893" i="10"/>
  <c r="O3893" i="10"/>
  <c r="M3893" i="10"/>
  <c r="E3893" i="10"/>
  <c r="B3893" i="10"/>
  <c r="S3892" i="10"/>
  <c r="Q3892" i="10"/>
  <c r="P3892" i="10"/>
  <c r="O3892" i="10"/>
  <c r="M3892" i="10"/>
  <c r="E3892" i="10"/>
  <c r="B3892" i="10"/>
  <c r="S3891" i="10"/>
  <c r="Q3891" i="10"/>
  <c r="P3891" i="10"/>
  <c r="O3891" i="10"/>
  <c r="M3891" i="10"/>
  <c r="E3891" i="10"/>
  <c r="B3891" i="10"/>
  <c r="S3890" i="10"/>
  <c r="Q3890" i="10"/>
  <c r="P3890" i="10"/>
  <c r="O3890" i="10"/>
  <c r="M3890" i="10"/>
  <c r="E3890" i="10"/>
  <c r="B3890" i="10"/>
  <c r="S3889" i="10"/>
  <c r="Q3889" i="10"/>
  <c r="P3889" i="10"/>
  <c r="O3889" i="10"/>
  <c r="M3889" i="10"/>
  <c r="B3889" i="10"/>
  <c r="S3888" i="10"/>
  <c r="Q3888" i="10"/>
  <c r="P3888" i="10"/>
  <c r="O3888" i="10"/>
  <c r="M3888" i="10"/>
  <c r="E3888" i="10"/>
  <c r="B3888" i="10"/>
  <c r="S3887" i="10"/>
  <c r="Q3887" i="10"/>
  <c r="P3887" i="10"/>
  <c r="O3887" i="10"/>
  <c r="M3887" i="10"/>
  <c r="E3887" i="10"/>
  <c r="B3887" i="10"/>
  <c r="S3886" i="10"/>
  <c r="Q3886" i="10"/>
  <c r="P3886" i="10"/>
  <c r="O3886" i="10"/>
  <c r="M3886" i="10"/>
  <c r="E3886" i="10"/>
  <c r="B3886" i="10"/>
  <c r="S3885" i="10"/>
  <c r="Q3885" i="10"/>
  <c r="P3885" i="10"/>
  <c r="O3885" i="10"/>
  <c r="M3885" i="10"/>
  <c r="E3885" i="10"/>
  <c r="B3885" i="10"/>
  <c r="S3884" i="10"/>
  <c r="Q3884" i="10"/>
  <c r="P3884" i="10"/>
  <c r="O3884" i="10"/>
  <c r="M3884" i="10"/>
  <c r="B3884" i="10"/>
  <c r="S3883" i="10"/>
  <c r="Q3883" i="10"/>
  <c r="P3883" i="10"/>
  <c r="O3883" i="10"/>
  <c r="M3883" i="10"/>
  <c r="E3883" i="10"/>
  <c r="B3883" i="10"/>
  <c r="S3882" i="10"/>
  <c r="Q3882" i="10"/>
  <c r="P3882" i="10"/>
  <c r="O3882" i="10"/>
  <c r="M3882" i="10"/>
  <c r="E3882" i="10"/>
  <c r="B3882" i="10"/>
  <c r="S3881" i="10"/>
  <c r="Q3881" i="10"/>
  <c r="P3881" i="10"/>
  <c r="O3881" i="10"/>
  <c r="M3881" i="10"/>
  <c r="E3881" i="10"/>
  <c r="B3881" i="10"/>
  <c r="S3880" i="10"/>
  <c r="Q3880" i="10"/>
  <c r="P3880" i="10"/>
  <c r="O3880" i="10"/>
  <c r="M3880" i="10"/>
  <c r="E3880" i="10"/>
  <c r="B3880" i="10"/>
  <c r="S3879" i="10"/>
  <c r="Q3879" i="10"/>
  <c r="P3879" i="10"/>
  <c r="O3879" i="10"/>
  <c r="M3879" i="10"/>
  <c r="E3879" i="10"/>
  <c r="B3879" i="10"/>
  <c r="S3878" i="10"/>
  <c r="Q3878" i="10"/>
  <c r="P3878" i="10"/>
  <c r="O3878" i="10"/>
  <c r="M3878" i="10"/>
  <c r="B3878" i="10"/>
  <c r="S3877" i="10"/>
  <c r="Q3877" i="10"/>
  <c r="P3877" i="10"/>
  <c r="O3877" i="10"/>
  <c r="M3877" i="10"/>
  <c r="B3877" i="10"/>
  <c r="S3876" i="10"/>
  <c r="Q3876" i="10"/>
  <c r="P3876" i="10"/>
  <c r="O3876" i="10"/>
  <c r="M3876" i="10"/>
  <c r="E3876" i="10"/>
  <c r="B3876" i="10"/>
  <c r="S3875" i="10"/>
  <c r="Q3875" i="10"/>
  <c r="P3875" i="10"/>
  <c r="O3875" i="10"/>
  <c r="M3875" i="10"/>
  <c r="E3875" i="10"/>
  <c r="B3875" i="10"/>
  <c r="S3874" i="10"/>
  <c r="Q3874" i="10"/>
  <c r="P3874" i="10"/>
  <c r="O3874" i="10"/>
  <c r="M3874" i="10"/>
  <c r="B3874" i="10"/>
  <c r="S3873" i="10"/>
  <c r="Q3873" i="10"/>
  <c r="P3873" i="10"/>
  <c r="O3873" i="10"/>
  <c r="M3873" i="10"/>
  <c r="E3873" i="10"/>
  <c r="B3873" i="10"/>
  <c r="S3872" i="10"/>
  <c r="Q3872" i="10"/>
  <c r="P3872" i="10"/>
  <c r="O3872" i="10"/>
  <c r="M3872" i="10"/>
  <c r="E3872" i="10"/>
  <c r="B3872" i="10"/>
  <c r="S3871" i="10"/>
  <c r="Q3871" i="10"/>
  <c r="P3871" i="10"/>
  <c r="O3871" i="10"/>
  <c r="M3871" i="10"/>
  <c r="E3871" i="10"/>
  <c r="B3871" i="10"/>
  <c r="S3870" i="10"/>
  <c r="Q3870" i="10"/>
  <c r="P3870" i="10"/>
  <c r="O3870" i="10"/>
  <c r="M3870" i="10"/>
  <c r="E3870" i="10"/>
  <c r="B3870" i="10"/>
  <c r="S3869" i="10"/>
  <c r="Q3869" i="10"/>
  <c r="P3869" i="10"/>
  <c r="O3869" i="10"/>
  <c r="M3869" i="10"/>
  <c r="E3869" i="10"/>
  <c r="B3869" i="10"/>
  <c r="S3868" i="10"/>
  <c r="Q3868" i="10"/>
  <c r="P3868" i="10"/>
  <c r="O3868" i="10"/>
  <c r="M3868" i="10"/>
  <c r="E3868" i="10"/>
  <c r="B3868" i="10"/>
  <c r="S3867" i="10"/>
  <c r="Q3867" i="10"/>
  <c r="P3867" i="10"/>
  <c r="O3867" i="10"/>
  <c r="M3867" i="10"/>
  <c r="E3867" i="10"/>
  <c r="B3867" i="10"/>
  <c r="S3866" i="10"/>
  <c r="Q3866" i="10"/>
  <c r="P3866" i="10"/>
  <c r="O3866" i="10"/>
  <c r="M3866" i="10"/>
  <c r="E3866" i="10"/>
  <c r="B3866" i="10"/>
  <c r="S3865" i="10"/>
  <c r="Q3865" i="10"/>
  <c r="P3865" i="10"/>
  <c r="O3865" i="10"/>
  <c r="M3865" i="10"/>
  <c r="E3865" i="10"/>
  <c r="B3865" i="10"/>
  <c r="S3864" i="10"/>
  <c r="Q3864" i="10"/>
  <c r="P3864" i="10"/>
  <c r="O3864" i="10"/>
  <c r="M3864" i="10"/>
  <c r="E3864" i="10"/>
  <c r="B3864" i="10"/>
  <c r="S3863" i="10"/>
  <c r="Q3863" i="10"/>
  <c r="P3863" i="10"/>
  <c r="O3863" i="10"/>
  <c r="M3863" i="10"/>
  <c r="E3863" i="10"/>
  <c r="B3863" i="10"/>
  <c r="S3862" i="10"/>
  <c r="Q3862" i="10"/>
  <c r="P3862" i="10"/>
  <c r="O3862" i="10"/>
  <c r="M3862" i="10"/>
  <c r="E3862" i="10"/>
  <c r="B3862" i="10"/>
  <c r="S3861" i="10"/>
  <c r="Q3861" i="10"/>
  <c r="P3861" i="10"/>
  <c r="O3861" i="10"/>
  <c r="M3861" i="10"/>
  <c r="E3861" i="10"/>
  <c r="B3861" i="10"/>
  <c r="S3860" i="10"/>
  <c r="Q3860" i="10"/>
  <c r="P3860" i="10"/>
  <c r="O3860" i="10"/>
  <c r="M3860" i="10"/>
  <c r="E3860" i="10"/>
  <c r="B3860" i="10"/>
  <c r="S3859" i="10"/>
  <c r="Q3859" i="10"/>
  <c r="P3859" i="10"/>
  <c r="O3859" i="10"/>
  <c r="M3859" i="10"/>
  <c r="E3859" i="10"/>
  <c r="B3859" i="10"/>
  <c r="S3858" i="10"/>
  <c r="Q3858" i="10"/>
  <c r="P3858" i="10"/>
  <c r="O3858" i="10"/>
  <c r="M3858" i="10"/>
  <c r="E3858" i="10"/>
  <c r="B3858" i="10"/>
  <c r="S3857" i="10"/>
  <c r="Q3857" i="10"/>
  <c r="P3857" i="10"/>
  <c r="O3857" i="10"/>
  <c r="M3857" i="10"/>
  <c r="E3857" i="10"/>
  <c r="B3857" i="10"/>
  <c r="S3856" i="10"/>
  <c r="Q3856" i="10"/>
  <c r="P3856" i="10"/>
  <c r="O3856" i="10"/>
  <c r="M3856" i="10"/>
  <c r="E3856" i="10"/>
  <c r="B3856" i="10"/>
  <c r="S3855" i="10"/>
  <c r="Q3855" i="10"/>
  <c r="P3855" i="10"/>
  <c r="O3855" i="10"/>
  <c r="M3855" i="10"/>
  <c r="E3855" i="10"/>
  <c r="B3855" i="10"/>
  <c r="S3854" i="10"/>
  <c r="Q3854" i="10"/>
  <c r="P3854" i="10"/>
  <c r="O3854" i="10"/>
  <c r="M3854" i="10"/>
  <c r="E3854" i="10"/>
  <c r="B3854" i="10"/>
  <c r="S3853" i="10"/>
  <c r="Q3853" i="10"/>
  <c r="P3853" i="10"/>
  <c r="O3853" i="10"/>
  <c r="M3853" i="10"/>
  <c r="E3853" i="10"/>
  <c r="B3853" i="10"/>
  <c r="S3852" i="10"/>
  <c r="Q3852" i="10"/>
  <c r="P3852" i="10"/>
  <c r="O3852" i="10"/>
  <c r="M3852" i="10"/>
  <c r="E3852" i="10"/>
  <c r="B3852" i="10"/>
  <c r="S3851" i="10"/>
  <c r="Q3851" i="10"/>
  <c r="P3851" i="10"/>
  <c r="O3851" i="10"/>
  <c r="M3851" i="10"/>
  <c r="E3851" i="10"/>
  <c r="B3851" i="10"/>
  <c r="S3850" i="10"/>
  <c r="Q3850" i="10"/>
  <c r="P3850" i="10"/>
  <c r="O3850" i="10"/>
  <c r="M3850" i="10"/>
  <c r="E3850" i="10"/>
  <c r="B3850" i="10"/>
  <c r="S3849" i="10"/>
  <c r="Q3849" i="10"/>
  <c r="P3849" i="10"/>
  <c r="O3849" i="10"/>
  <c r="M3849" i="10"/>
  <c r="E3849" i="10"/>
  <c r="B3849" i="10"/>
  <c r="S3848" i="10"/>
  <c r="Q3848" i="10"/>
  <c r="P3848" i="10"/>
  <c r="O3848" i="10"/>
  <c r="M3848" i="10"/>
  <c r="E3848" i="10"/>
  <c r="B3848" i="10"/>
  <c r="S3847" i="10"/>
  <c r="Q3847" i="10"/>
  <c r="P3847" i="10"/>
  <c r="O3847" i="10"/>
  <c r="M3847" i="10"/>
  <c r="E3847" i="10"/>
  <c r="B3847" i="10"/>
  <c r="S3846" i="10"/>
  <c r="Q3846" i="10"/>
  <c r="P3846" i="10"/>
  <c r="O3846" i="10"/>
  <c r="M3846" i="10"/>
  <c r="E3846" i="10"/>
  <c r="B3846" i="10"/>
  <c r="S3845" i="10"/>
  <c r="Q3845" i="10"/>
  <c r="P3845" i="10"/>
  <c r="O3845" i="10"/>
  <c r="M3845" i="10"/>
  <c r="E3845" i="10"/>
  <c r="B3845" i="10"/>
  <c r="S3844" i="10"/>
  <c r="Q3844" i="10"/>
  <c r="P3844" i="10"/>
  <c r="O3844" i="10"/>
  <c r="M3844" i="10"/>
  <c r="E3844" i="10"/>
  <c r="B3844" i="10"/>
  <c r="S3843" i="10"/>
  <c r="Q3843" i="10"/>
  <c r="P3843" i="10"/>
  <c r="O3843" i="10"/>
  <c r="M3843" i="10"/>
  <c r="E3843" i="10"/>
  <c r="B3843" i="10"/>
  <c r="S3842" i="10"/>
  <c r="Q3842" i="10"/>
  <c r="P3842" i="10"/>
  <c r="O3842" i="10"/>
  <c r="M3842" i="10"/>
  <c r="E3842" i="10"/>
  <c r="B3842" i="10"/>
  <c r="S3841" i="10"/>
  <c r="Q3841" i="10"/>
  <c r="P3841" i="10"/>
  <c r="O3841" i="10"/>
  <c r="M3841" i="10"/>
  <c r="E3841" i="10"/>
  <c r="B3841" i="10"/>
  <c r="S3840" i="10"/>
  <c r="Q3840" i="10"/>
  <c r="P3840" i="10"/>
  <c r="O3840" i="10"/>
  <c r="M3840" i="10"/>
  <c r="E3840" i="10"/>
  <c r="B3840" i="10"/>
  <c r="S3839" i="10"/>
  <c r="Q3839" i="10"/>
  <c r="P3839" i="10"/>
  <c r="O3839" i="10"/>
  <c r="M3839" i="10"/>
  <c r="E3839" i="10"/>
  <c r="B3839" i="10"/>
  <c r="S3838" i="10"/>
  <c r="Q3838" i="10"/>
  <c r="P3838" i="10"/>
  <c r="O3838" i="10"/>
  <c r="M3838" i="10"/>
  <c r="E3838" i="10"/>
  <c r="B3838" i="10"/>
  <c r="S3837" i="10"/>
  <c r="Q3837" i="10"/>
  <c r="P3837" i="10"/>
  <c r="O3837" i="10"/>
  <c r="M3837" i="10"/>
  <c r="E3837" i="10"/>
  <c r="B3837" i="10"/>
  <c r="S3836" i="10"/>
  <c r="Q3836" i="10"/>
  <c r="P3836" i="10"/>
  <c r="O3836" i="10"/>
  <c r="M3836" i="10"/>
  <c r="E3836" i="10"/>
  <c r="B3836" i="10"/>
  <c r="S3835" i="10"/>
  <c r="Q3835" i="10"/>
  <c r="P3835" i="10"/>
  <c r="O3835" i="10"/>
  <c r="M3835" i="10"/>
  <c r="E3835" i="10"/>
  <c r="B3835" i="10"/>
  <c r="S3834" i="10"/>
  <c r="Q3834" i="10"/>
  <c r="P3834" i="10"/>
  <c r="O3834" i="10"/>
  <c r="M3834" i="10"/>
  <c r="E3834" i="10"/>
  <c r="B3834" i="10"/>
  <c r="S3833" i="10"/>
  <c r="Q3833" i="10"/>
  <c r="P3833" i="10"/>
  <c r="O3833" i="10"/>
  <c r="M3833" i="10"/>
  <c r="E3833" i="10"/>
  <c r="B3833" i="10"/>
  <c r="S3832" i="10"/>
  <c r="Q3832" i="10"/>
  <c r="P3832" i="10"/>
  <c r="O3832" i="10"/>
  <c r="M3832" i="10"/>
  <c r="E3832" i="10"/>
  <c r="B3832" i="10"/>
  <c r="S3831" i="10"/>
  <c r="Q3831" i="10"/>
  <c r="P3831" i="10"/>
  <c r="O3831" i="10"/>
  <c r="M3831" i="10"/>
  <c r="E3831" i="10"/>
  <c r="B3831" i="10"/>
  <c r="S3830" i="10"/>
  <c r="Q3830" i="10"/>
  <c r="P3830" i="10"/>
  <c r="O3830" i="10"/>
  <c r="M3830" i="10"/>
  <c r="E3830" i="10"/>
  <c r="B3830" i="10"/>
  <c r="S3829" i="10"/>
  <c r="Q3829" i="10"/>
  <c r="P3829" i="10"/>
  <c r="O3829" i="10"/>
  <c r="M3829" i="10"/>
  <c r="E3829" i="10"/>
  <c r="B3829" i="10"/>
  <c r="S3828" i="10"/>
  <c r="Q3828" i="10"/>
  <c r="P3828" i="10"/>
  <c r="O3828" i="10"/>
  <c r="M3828" i="10"/>
  <c r="E3828" i="10"/>
  <c r="B3828" i="10"/>
  <c r="S3827" i="10"/>
  <c r="Q3827" i="10"/>
  <c r="P3827" i="10"/>
  <c r="O3827" i="10"/>
  <c r="M3827" i="10"/>
  <c r="E3827" i="10"/>
  <c r="B3827" i="10"/>
  <c r="S3826" i="10"/>
  <c r="Q3826" i="10"/>
  <c r="P3826" i="10"/>
  <c r="O3826" i="10"/>
  <c r="M3826" i="10"/>
  <c r="E3826" i="10"/>
  <c r="B3826" i="10"/>
  <c r="S3825" i="10"/>
  <c r="Q3825" i="10"/>
  <c r="P3825" i="10"/>
  <c r="O3825" i="10"/>
  <c r="M3825" i="10"/>
  <c r="E3825" i="10"/>
  <c r="B3825" i="10"/>
  <c r="S3824" i="10"/>
  <c r="Q3824" i="10"/>
  <c r="P3824" i="10"/>
  <c r="O3824" i="10"/>
  <c r="M3824" i="10"/>
  <c r="E3824" i="10"/>
  <c r="B3824" i="10"/>
  <c r="S3823" i="10"/>
  <c r="Q3823" i="10"/>
  <c r="P3823" i="10"/>
  <c r="O3823" i="10"/>
  <c r="M3823" i="10"/>
  <c r="E3823" i="10"/>
  <c r="B3823" i="10"/>
  <c r="S3822" i="10"/>
  <c r="Q3822" i="10"/>
  <c r="P3822" i="10"/>
  <c r="O3822" i="10"/>
  <c r="M3822" i="10"/>
  <c r="E3822" i="10"/>
  <c r="B3822" i="10"/>
  <c r="S3821" i="10"/>
  <c r="Q3821" i="10"/>
  <c r="P3821" i="10"/>
  <c r="O3821" i="10"/>
  <c r="M3821" i="10"/>
  <c r="E3821" i="10"/>
  <c r="B3821" i="10"/>
  <c r="S3820" i="10"/>
  <c r="Q3820" i="10"/>
  <c r="P3820" i="10"/>
  <c r="O3820" i="10"/>
  <c r="M3820" i="10"/>
  <c r="E3820" i="10"/>
  <c r="B3820" i="10"/>
  <c r="S3819" i="10"/>
  <c r="Q3819" i="10"/>
  <c r="P3819" i="10"/>
  <c r="O3819" i="10"/>
  <c r="M3819" i="10"/>
  <c r="E3819" i="10"/>
  <c r="B3819" i="10"/>
  <c r="S3818" i="10"/>
  <c r="Q3818" i="10"/>
  <c r="P3818" i="10"/>
  <c r="O3818" i="10"/>
  <c r="M3818" i="10"/>
  <c r="E3818" i="10"/>
  <c r="B3818" i="10"/>
  <c r="S3817" i="10"/>
  <c r="Q3817" i="10"/>
  <c r="P3817" i="10"/>
  <c r="O3817" i="10"/>
  <c r="M3817" i="10"/>
  <c r="E3817" i="10"/>
  <c r="B3817" i="10"/>
  <c r="S3816" i="10"/>
  <c r="Q3816" i="10"/>
  <c r="P3816" i="10"/>
  <c r="O3816" i="10"/>
  <c r="M3816" i="10"/>
  <c r="E3816" i="10"/>
  <c r="B3816" i="10"/>
  <c r="S3815" i="10"/>
  <c r="Q3815" i="10"/>
  <c r="P3815" i="10"/>
  <c r="O3815" i="10"/>
  <c r="M3815" i="10"/>
  <c r="E3815" i="10"/>
  <c r="B3815" i="10"/>
  <c r="S3814" i="10"/>
  <c r="Q3814" i="10"/>
  <c r="P3814" i="10"/>
  <c r="O3814" i="10"/>
  <c r="M3814" i="10"/>
  <c r="E3814" i="10"/>
  <c r="B3814" i="10"/>
  <c r="S3813" i="10"/>
  <c r="Q3813" i="10"/>
  <c r="P3813" i="10"/>
  <c r="O3813" i="10"/>
  <c r="M3813" i="10"/>
  <c r="E3813" i="10"/>
  <c r="B3813" i="10"/>
  <c r="S3812" i="10"/>
  <c r="Q3812" i="10"/>
  <c r="P3812" i="10"/>
  <c r="O3812" i="10"/>
  <c r="M3812" i="10"/>
  <c r="E3812" i="10"/>
  <c r="B3812" i="10"/>
  <c r="S3811" i="10"/>
  <c r="Q3811" i="10"/>
  <c r="P3811" i="10"/>
  <c r="O3811" i="10"/>
  <c r="M3811" i="10"/>
  <c r="E3811" i="10"/>
  <c r="B3811" i="10"/>
  <c r="S3810" i="10"/>
  <c r="Q3810" i="10"/>
  <c r="P3810" i="10"/>
  <c r="O3810" i="10"/>
  <c r="M3810" i="10"/>
  <c r="E3810" i="10"/>
  <c r="B3810" i="10"/>
  <c r="S3809" i="10"/>
  <c r="Q3809" i="10"/>
  <c r="P3809" i="10"/>
  <c r="O3809" i="10"/>
  <c r="M3809" i="10"/>
  <c r="E3809" i="10"/>
  <c r="B3809" i="10"/>
  <c r="S3808" i="10"/>
  <c r="Q3808" i="10"/>
  <c r="P3808" i="10"/>
  <c r="O3808" i="10"/>
  <c r="M3808" i="10"/>
  <c r="E3808" i="10"/>
  <c r="B3808" i="10"/>
  <c r="S3807" i="10"/>
  <c r="Q3807" i="10"/>
  <c r="P3807" i="10"/>
  <c r="O3807" i="10"/>
  <c r="M3807" i="10"/>
  <c r="E3807" i="10"/>
  <c r="B3807" i="10"/>
  <c r="S3806" i="10"/>
  <c r="Q3806" i="10"/>
  <c r="P3806" i="10"/>
  <c r="O3806" i="10"/>
  <c r="M3806" i="10"/>
  <c r="E3806" i="10"/>
  <c r="B3806" i="10"/>
  <c r="S3805" i="10"/>
  <c r="Q3805" i="10"/>
  <c r="P3805" i="10"/>
  <c r="O3805" i="10"/>
  <c r="M3805" i="10"/>
  <c r="E3805" i="10"/>
  <c r="B3805" i="10"/>
  <c r="S3804" i="10"/>
  <c r="Q3804" i="10"/>
  <c r="P3804" i="10"/>
  <c r="O3804" i="10"/>
  <c r="M3804" i="10"/>
  <c r="E3804" i="10"/>
  <c r="B3804" i="10"/>
  <c r="S3803" i="10"/>
  <c r="Q3803" i="10"/>
  <c r="P3803" i="10"/>
  <c r="O3803" i="10"/>
  <c r="M3803" i="10"/>
  <c r="E3803" i="10"/>
  <c r="B3803" i="10"/>
  <c r="S3802" i="10"/>
  <c r="Q3802" i="10"/>
  <c r="P3802" i="10"/>
  <c r="O3802" i="10"/>
  <c r="M3802" i="10"/>
  <c r="E3802" i="10"/>
  <c r="B3802" i="10"/>
  <c r="S3801" i="10"/>
  <c r="Q3801" i="10"/>
  <c r="P3801" i="10"/>
  <c r="O3801" i="10"/>
  <c r="M3801" i="10"/>
  <c r="E3801" i="10"/>
  <c r="B3801" i="10"/>
  <c r="S3800" i="10"/>
  <c r="Q3800" i="10"/>
  <c r="P3800" i="10"/>
  <c r="O3800" i="10"/>
  <c r="M3800" i="10"/>
  <c r="E3800" i="10"/>
  <c r="B3800" i="10"/>
  <c r="S3799" i="10"/>
  <c r="Q3799" i="10"/>
  <c r="P3799" i="10"/>
  <c r="O3799" i="10"/>
  <c r="M3799" i="10"/>
  <c r="E3799" i="10"/>
  <c r="B3799" i="10"/>
  <c r="S3798" i="10"/>
  <c r="Q3798" i="10"/>
  <c r="P3798" i="10"/>
  <c r="O3798" i="10"/>
  <c r="M3798" i="10"/>
  <c r="E3798" i="10"/>
  <c r="B3798" i="10"/>
  <c r="S3797" i="10"/>
  <c r="Q3797" i="10"/>
  <c r="P3797" i="10"/>
  <c r="O3797" i="10"/>
  <c r="M3797" i="10"/>
  <c r="E3797" i="10"/>
  <c r="B3797" i="10"/>
  <c r="S3796" i="10"/>
  <c r="Q3796" i="10"/>
  <c r="P3796" i="10"/>
  <c r="O3796" i="10"/>
  <c r="M3796" i="10"/>
  <c r="E3796" i="10"/>
  <c r="B3796" i="10"/>
  <c r="S3795" i="10"/>
  <c r="Q3795" i="10"/>
  <c r="P3795" i="10"/>
  <c r="O3795" i="10"/>
  <c r="M3795" i="10"/>
  <c r="E3795" i="10"/>
  <c r="B3795" i="10"/>
  <c r="S3794" i="10"/>
  <c r="Q3794" i="10"/>
  <c r="P3794" i="10"/>
  <c r="O3794" i="10"/>
  <c r="M3794" i="10"/>
  <c r="B3794" i="10"/>
  <c r="S3793" i="10"/>
  <c r="Q3793" i="10"/>
  <c r="P3793" i="10"/>
  <c r="O3793" i="10"/>
  <c r="M3793" i="10"/>
  <c r="E3793" i="10"/>
  <c r="B3793" i="10"/>
  <c r="S3792" i="10"/>
  <c r="Q3792" i="10"/>
  <c r="P3792" i="10"/>
  <c r="O3792" i="10"/>
  <c r="M3792" i="10"/>
  <c r="E3792" i="10"/>
  <c r="B3792" i="10"/>
  <c r="S3791" i="10"/>
  <c r="Q3791" i="10"/>
  <c r="P3791" i="10"/>
  <c r="O3791" i="10"/>
  <c r="M3791" i="10"/>
  <c r="E3791" i="10"/>
  <c r="B3791" i="10"/>
  <c r="S3790" i="10"/>
  <c r="Q3790" i="10"/>
  <c r="P3790" i="10"/>
  <c r="O3790" i="10"/>
  <c r="M3790" i="10"/>
  <c r="B3790" i="10"/>
  <c r="S3789" i="10"/>
  <c r="Q3789" i="10"/>
  <c r="P3789" i="10"/>
  <c r="O3789" i="10"/>
  <c r="M3789" i="10"/>
  <c r="B3789" i="10"/>
  <c r="S3788" i="10"/>
  <c r="Q3788" i="10"/>
  <c r="P3788" i="10"/>
  <c r="O3788" i="10"/>
  <c r="M3788" i="10"/>
  <c r="B3788" i="10"/>
  <c r="S3787" i="10"/>
  <c r="Q3787" i="10"/>
  <c r="P3787" i="10"/>
  <c r="O3787" i="10"/>
  <c r="M3787" i="10"/>
  <c r="E3787" i="10"/>
  <c r="B3787" i="10"/>
  <c r="S3786" i="10"/>
  <c r="Q3786" i="10"/>
  <c r="P3786" i="10"/>
  <c r="O3786" i="10"/>
  <c r="M3786" i="10"/>
  <c r="E3786" i="10"/>
  <c r="B3786" i="10"/>
  <c r="S3785" i="10"/>
  <c r="Q3785" i="10"/>
  <c r="P3785" i="10"/>
  <c r="O3785" i="10"/>
  <c r="M3785" i="10"/>
  <c r="E3785" i="10"/>
  <c r="B3785" i="10"/>
  <c r="S3784" i="10"/>
  <c r="Q3784" i="10"/>
  <c r="P3784" i="10"/>
  <c r="O3784" i="10"/>
  <c r="M3784" i="10"/>
  <c r="E3784" i="10"/>
  <c r="B3784" i="10"/>
  <c r="S3783" i="10"/>
  <c r="Q3783" i="10"/>
  <c r="P3783" i="10"/>
  <c r="O3783" i="10"/>
  <c r="M3783" i="10"/>
  <c r="E3783" i="10"/>
  <c r="B3783" i="10"/>
  <c r="S3782" i="10"/>
  <c r="Q3782" i="10"/>
  <c r="P3782" i="10"/>
  <c r="O3782" i="10"/>
  <c r="M3782" i="10"/>
  <c r="E3782" i="10"/>
  <c r="B3782" i="10"/>
  <c r="S3781" i="10"/>
  <c r="Q3781" i="10"/>
  <c r="P3781" i="10"/>
  <c r="O3781" i="10"/>
  <c r="M3781" i="10"/>
  <c r="E3781" i="10"/>
  <c r="B3781" i="10"/>
  <c r="S3780" i="10"/>
  <c r="Q3780" i="10"/>
  <c r="P3780" i="10"/>
  <c r="O3780" i="10"/>
  <c r="M3780" i="10"/>
  <c r="E3780" i="10"/>
  <c r="B3780" i="10"/>
  <c r="S3779" i="10"/>
  <c r="Q3779" i="10"/>
  <c r="P3779" i="10"/>
  <c r="O3779" i="10"/>
  <c r="M3779" i="10"/>
  <c r="E3779" i="10"/>
  <c r="B3779" i="10"/>
  <c r="S3778" i="10"/>
  <c r="Q3778" i="10"/>
  <c r="P3778" i="10"/>
  <c r="O3778" i="10"/>
  <c r="M3778" i="10"/>
  <c r="E3778" i="10"/>
  <c r="B3778" i="10"/>
  <c r="S3777" i="10"/>
  <c r="Q3777" i="10"/>
  <c r="P3777" i="10"/>
  <c r="O3777" i="10"/>
  <c r="M3777" i="10"/>
  <c r="E3777" i="10"/>
  <c r="B3777" i="10"/>
  <c r="S3776" i="10"/>
  <c r="Q3776" i="10"/>
  <c r="P3776" i="10"/>
  <c r="O3776" i="10"/>
  <c r="M3776" i="10"/>
  <c r="E3776" i="10"/>
  <c r="B3776" i="10"/>
  <c r="S3775" i="10"/>
  <c r="Q3775" i="10"/>
  <c r="P3775" i="10"/>
  <c r="O3775" i="10"/>
  <c r="M3775" i="10"/>
  <c r="E3775" i="10"/>
  <c r="B3775" i="10"/>
  <c r="S3774" i="10"/>
  <c r="Q3774" i="10"/>
  <c r="P3774" i="10"/>
  <c r="O3774" i="10"/>
  <c r="M3774" i="10"/>
  <c r="E3774" i="10"/>
  <c r="B3774" i="10"/>
  <c r="S3773" i="10"/>
  <c r="Q3773" i="10"/>
  <c r="P3773" i="10"/>
  <c r="O3773" i="10"/>
  <c r="M3773" i="10"/>
  <c r="B3773" i="10"/>
  <c r="S3772" i="10"/>
  <c r="Q3772" i="10"/>
  <c r="P3772" i="10"/>
  <c r="O3772" i="10"/>
  <c r="M3772" i="10"/>
  <c r="E3772" i="10"/>
  <c r="B3772" i="10"/>
  <c r="S3771" i="10"/>
  <c r="Q3771" i="10"/>
  <c r="P3771" i="10"/>
  <c r="O3771" i="10"/>
  <c r="M3771" i="10"/>
  <c r="E3771" i="10"/>
  <c r="B3771" i="10"/>
  <c r="S3770" i="10"/>
  <c r="Q3770" i="10"/>
  <c r="P3770" i="10"/>
  <c r="O3770" i="10"/>
  <c r="M3770" i="10"/>
  <c r="E3770" i="10"/>
  <c r="B3770" i="10"/>
  <c r="S3769" i="10"/>
  <c r="Q3769" i="10"/>
  <c r="P3769" i="10"/>
  <c r="O3769" i="10"/>
  <c r="M3769" i="10"/>
  <c r="E3769" i="10"/>
  <c r="B3769" i="10"/>
  <c r="S3768" i="10"/>
  <c r="Q3768" i="10"/>
  <c r="P3768" i="10"/>
  <c r="O3768" i="10"/>
  <c r="M3768" i="10"/>
  <c r="E3768" i="10"/>
  <c r="B3768" i="10"/>
  <c r="S3767" i="10"/>
  <c r="Q3767" i="10"/>
  <c r="P3767" i="10"/>
  <c r="O3767" i="10"/>
  <c r="M3767" i="10"/>
  <c r="E3767" i="10"/>
  <c r="B3767" i="10"/>
  <c r="S3766" i="10"/>
  <c r="Q3766" i="10"/>
  <c r="P3766" i="10"/>
  <c r="O3766" i="10"/>
  <c r="M3766" i="10"/>
  <c r="E3766" i="10"/>
  <c r="B3766" i="10"/>
  <c r="S3765" i="10"/>
  <c r="Q3765" i="10"/>
  <c r="P3765" i="10"/>
  <c r="O3765" i="10"/>
  <c r="M3765" i="10"/>
  <c r="E3765" i="10"/>
  <c r="B3765" i="10"/>
  <c r="S3764" i="10"/>
  <c r="Q3764" i="10"/>
  <c r="P3764" i="10"/>
  <c r="O3764" i="10"/>
  <c r="M3764" i="10"/>
  <c r="B3764" i="10"/>
  <c r="S3763" i="10"/>
  <c r="Q3763" i="10"/>
  <c r="P3763" i="10"/>
  <c r="O3763" i="10"/>
  <c r="M3763" i="10"/>
  <c r="E3763" i="10"/>
  <c r="B3763" i="10"/>
  <c r="S3762" i="10"/>
  <c r="Q3762" i="10"/>
  <c r="P3762" i="10"/>
  <c r="O3762" i="10"/>
  <c r="M3762" i="10"/>
  <c r="E3762" i="10"/>
  <c r="B3762" i="10"/>
  <c r="S3761" i="10"/>
  <c r="Q3761" i="10"/>
  <c r="P3761" i="10"/>
  <c r="O3761" i="10"/>
  <c r="M3761" i="10"/>
  <c r="E3761" i="10"/>
  <c r="B3761" i="10"/>
  <c r="S3760" i="10"/>
  <c r="Q3760" i="10"/>
  <c r="P3760" i="10"/>
  <c r="O3760" i="10"/>
  <c r="M3760" i="10"/>
  <c r="B3760" i="10"/>
  <c r="S3759" i="10"/>
  <c r="Q3759" i="10"/>
  <c r="P3759" i="10"/>
  <c r="O3759" i="10"/>
  <c r="M3759" i="10"/>
  <c r="E3759" i="10"/>
  <c r="B3759" i="10"/>
  <c r="S3758" i="10"/>
  <c r="Q3758" i="10"/>
  <c r="P3758" i="10"/>
  <c r="O3758" i="10"/>
  <c r="M3758" i="10"/>
  <c r="E3758" i="10"/>
  <c r="B3758" i="10"/>
  <c r="S3757" i="10"/>
  <c r="Q3757" i="10"/>
  <c r="P3757" i="10"/>
  <c r="O3757" i="10"/>
  <c r="M3757" i="10"/>
  <c r="E3757" i="10"/>
  <c r="B3757" i="10"/>
  <c r="S3756" i="10"/>
  <c r="Q3756" i="10"/>
  <c r="P3756" i="10"/>
  <c r="O3756" i="10"/>
  <c r="M3756" i="10"/>
  <c r="E3756" i="10"/>
  <c r="B3756" i="10"/>
  <c r="S3755" i="10"/>
  <c r="Q3755" i="10"/>
  <c r="P3755" i="10"/>
  <c r="O3755" i="10"/>
  <c r="M3755" i="10"/>
  <c r="E3755" i="10"/>
  <c r="B3755" i="10"/>
  <c r="S3754" i="10"/>
  <c r="Q3754" i="10"/>
  <c r="P3754" i="10"/>
  <c r="O3754" i="10"/>
  <c r="M3754" i="10"/>
  <c r="E3754" i="10"/>
  <c r="B3754" i="10"/>
  <c r="S3753" i="10"/>
  <c r="Q3753" i="10"/>
  <c r="P3753" i="10"/>
  <c r="O3753" i="10"/>
  <c r="M3753" i="10"/>
  <c r="E3753" i="10"/>
  <c r="B3753" i="10"/>
  <c r="S3752" i="10"/>
  <c r="Q3752" i="10"/>
  <c r="P3752" i="10"/>
  <c r="O3752" i="10"/>
  <c r="M3752" i="10"/>
  <c r="E3752" i="10"/>
  <c r="B3752" i="10"/>
  <c r="S3751" i="10"/>
  <c r="Q3751" i="10"/>
  <c r="P3751" i="10"/>
  <c r="O3751" i="10"/>
  <c r="M3751" i="10"/>
  <c r="E3751" i="10"/>
  <c r="B3751" i="10"/>
  <c r="S3750" i="10"/>
  <c r="Q3750" i="10"/>
  <c r="P3750" i="10"/>
  <c r="O3750" i="10"/>
  <c r="M3750" i="10"/>
  <c r="E3750" i="10"/>
  <c r="B3750" i="10"/>
  <c r="S3749" i="10"/>
  <c r="Q3749" i="10"/>
  <c r="P3749" i="10"/>
  <c r="O3749" i="10"/>
  <c r="M3749" i="10"/>
  <c r="E3749" i="10"/>
  <c r="B3749" i="10"/>
  <c r="S3748" i="10"/>
  <c r="Q3748" i="10"/>
  <c r="P3748" i="10"/>
  <c r="O3748" i="10"/>
  <c r="M3748" i="10"/>
  <c r="E3748" i="10"/>
  <c r="B3748" i="10"/>
  <c r="S3747" i="10"/>
  <c r="Q3747" i="10"/>
  <c r="P3747" i="10"/>
  <c r="O3747" i="10"/>
  <c r="M3747" i="10"/>
  <c r="E3747" i="10"/>
  <c r="B3747" i="10"/>
  <c r="S3746" i="10"/>
  <c r="Q3746" i="10"/>
  <c r="P3746" i="10"/>
  <c r="O3746" i="10"/>
  <c r="M3746" i="10"/>
  <c r="E3746" i="10"/>
  <c r="B3746" i="10"/>
  <c r="S3745" i="10"/>
  <c r="Q3745" i="10"/>
  <c r="P3745" i="10"/>
  <c r="O3745" i="10"/>
  <c r="M3745" i="10"/>
  <c r="E3745" i="10"/>
  <c r="B3745" i="10"/>
  <c r="S3744" i="10"/>
  <c r="Q3744" i="10"/>
  <c r="P3744" i="10"/>
  <c r="O3744" i="10"/>
  <c r="M3744" i="10"/>
  <c r="B3744" i="10"/>
  <c r="S3743" i="10"/>
  <c r="Q3743" i="10"/>
  <c r="P3743" i="10"/>
  <c r="O3743" i="10"/>
  <c r="M3743" i="10"/>
  <c r="B3743" i="10"/>
  <c r="S3742" i="10"/>
  <c r="Q3742" i="10"/>
  <c r="P3742" i="10"/>
  <c r="O3742" i="10"/>
  <c r="M3742" i="10"/>
  <c r="E3742" i="10"/>
  <c r="B3742" i="10"/>
  <c r="S3741" i="10"/>
  <c r="Q3741" i="10"/>
  <c r="P3741" i="10"/>
  <c r="O3741" i="10"/>
  <c r="M3741" i="10"/>
  <c r="E3741" i="10"/>
  <c r="B3741" i="10"/>
  <c r="S3740" i="10"/>
  <c r="Q3740" i="10"/>
  <c r="P3740" i="10"/>
  <c r="O3740" i="10"/>
  <c r="M3740" i="10"/>
  <c r="E3740" i="10"/>
  <c r="B3740" i="10"/>
  <c r="S3739" i="10"/>
  <c r="Q3739" i="10"/>
  <c r="P3739" i="10"/>
  <c r="O3739" i="10"/>
  <c r="M3739" i="10"/>
  <c r="B3739" i="10"/>
  <c r="S3738" i="10"/>
  <c r="Q3738" i="10"/>
  <c r="P3738" i="10"/>
  <c r="O3738" i="10"/>
  <c r="M3738" i="10"/>
  <c r="E3738" i="10"/>
  <c r="B3738" i="10"/>
  <c r="S3737" i="10"/>
  <c r="Q3737" i="10"/>
  <c r="P3737" i="10"/>
  <c r="O3737" i="10"/>
  <c r="M3737" i="10"/>
  <c r="E3737" i="10"/>
  <c r="B3737" i="10"/>
  <c r="S3736" i="10"/>
  <c r="Q3736" i="10"/>
  <c r="P3736" i="10"/>
  <c r="O3736" i="10"/>
  <c r="M3736" i="10"/>
  <c r="B3736" i="10"/>
  <c r="S3735" i="10"/>
  <c r="Q3735" i="10"/>
  <c r="P3735" i="10"/>
  <c r="O3735" i="10"/>
  <c r="M3735" i="10"/>
  <c r="E3735" i="10"/>
  <c r="B3735" i="10"/>
  <c r="S3734" i="10"/>
  <c r="Q3734" i="10"/>
  <c r="P3734" i="10"/>
  <c r="O3734" i="10"/>
  <c r="M3734" i="10"/>
  <c r="E3734" i="10"/>
  <c r="B3734" i="10"/>
  <c r="S3733" i="10"/>
  <c r="Q3733" i="10"/>
  <c r="P3733" i="10"/>
  <c r="O3733" i="10"/>
  <c r="M3733" i="10"/>
  <c r="E3733" i="10"/>
  <c r="B3733" i="10"/>
  <c r="S3732" i="10"/>
  <c r="Q3732" i="10"/>
  <c r="P3732" i="10"/>
  <c r="O3732" i="10"/>
  <c r="M3732" i="10"/>
  <c r="E3732" i="10"/>
  <c r="B3732" i="10"/>
  <c r="S3731" i="10"/>
  <c r="Q3731" i="10"/>
  <c r="P3731" i="10"/>
  <c r="O3731" i="10"/>
  <c r="M3731" i="10"/>
  <c r="E3731" i="10"/>
  <c r="B3731" i="10"/>
  <c r="S3730" i="10"/>
  <c r="Q3730" i="10"/>
  <c r="P3730" i="10"/>
  <c r="O3730" i="10"/>
  <c r="M3730" i="10"/>
  <c r="E3730" i="10"/>
  <c r="B3730" i="10"/>
  <c r="S3729" i="10"/>
  <c r="Q3729" i="10"/>
  <c r="P3729" i="10"/>
  <c r="O3729" i="10"/>
  <c r="M3729" i="10"/>
  <c r="E3729" i="10"/>
  <c r="B3729" i="10"/>
  <c r="S3728" i="10"/>
  <c r="Q3728" i="10"/>
  <c r="P3728" i="10"/>
  <c r="O3728" i="10"/>
  <c r="M3728" i="10"/>
  <c r="E3728" i="10"/>
  <c r="B3728" i="10"/>
  <c r="S3727" i="10"/>
  <c r="Q3727" i="10"/>
  <c r="P3727" i="10"/>
  <c r="O3727" i="10"/>
  <c r="M3727" i="10"/>
  <c r="E3727" i="10"/>
  <c r="B3727" i="10"/>
  <c r="S3726" i="10"/>
  <c r="Q3726" i="10"/>
  <c r="P3726" i="10"/>
  <c r="O3726" i="10"/>
  <c r="M3726" i="10"/>
  <c r="E3726" i="10"/>
  <c r="B3726" i="10"/>
  <c r="S3725" i="10"/>
  <c r="Q3725" i="10"/>
  <c r="P3725" i="10"/>
  <c r="O3725" i="10"/>
  <c r="M3725" i="10"/>
  <c r="E3725" i="10"/>
  <c r="B3725" i="10"/>
  <c r="S3724" i="10"/>
  <c r="Q3724" i="10"/>
  <c r="P3724" i="10"/>
  <c r="O3724" i="10"/>
  <c r="M3724" i="10"/>
  <c r="E3724" i="10"/>
  <c r="B3724" i="10"/>
  <c r="S3723" i="10"/>
  <c r="Q3723" i="10"/>
  <c r="P3723" i="10"/>
  <c r="O3723" i="10"/>
  <c r="M3723" i="10"/>
  <c r="E3723" i="10"/>
  <c r="B3723" i="10"/>
  <c r="S3722" i="10"/>
  <c r="Q3722" i="10"/>
  <c r="P3722" i="10"/>
  <c r="O3722" i="10"/>
  <c r="M3722" i="10"/>
  <c r="E3722" i="10"/>
  <c r="B3722" i="10"/>
  <c r="S3721" i="10"/>
  <c r="Q3721" i="10"/>
  <c r="P3721" i="10"/>
  <c r="O3721" i="10"/>
  <c r="M3721" i="10"/>
  <c r="E3721" i="10"/>
  <c r="B3721" i="10"/>
  <c r="S3720" i="10"/>
  <c r="Q3720" i="10"/>
  <c r="P3720" i="10"/>
  <c r="O3720" i="10"/>
  <c r="M3720" i="10"/>
  <c r="B3720" i="10"/>
  <c r="S3719" i="10"/>
  <c r="Q3719" i="10"/>
  <c r="P3719" i="10"/>
  <c r="O3719" i="10"/>
  <c r="M3719" i="10"/>
  <c r="E3719" i="10"/>
  <c r="B3719" i="10"/>
  <c r="S3718" i="10"/>
  <c r="Q3718" i="10"/>
  <c r="P3718" i="10"/>
  <c r="O3718" i="10"/>
  <c r="M3718" i="10"/>
  <c r="E3718" i="10"/>
  <c r="B3718" i="10"/>
  <c r="S3717" i="10"/>
  <c r="Q3717" i="10"/>
  <c r="P3717" i="10"/>
  <c r="O3717" i="10"/>
  <c r="M3717" i="10"/>
  <c r="E3717" i="10"/>
  <c r="B3717" i="10"/>
  <c r="S3716" i="10"/>
  <c r="Q3716" i="10"/>
  <c r="P3716" i="10"/>
  <c r="O3716" i="10"/>
  <c r="M3716" i="10"/>
  <c r="E3716" i="10"/>
  <c r="B3716" i="10"/>
  <c r="S3715" i="10"/>
  <c r="Q3715" i="10"/>
  <c r="P3715" i="10"/>
  <c r="O3715" i="10"/>
  <c r="M3715" i="10"/>
  <c r="E3715" i="10"/>
  <c r="B3715" i="10"/>
  <c r="S3714" i="10"/>
  <c r="Q3714" i="10"/>
  <c r="P3714" i="10"/>
  <c r="O3714" i="10"/>
  <c r="M3714" i="10"/>
  <c r="E3714" i="10"/>
  <c r="B3714" i="10"/>
  <c r="S3713" i="10"/>
  <c r="Q3713" i="10"/>
  <c r="P3713" i="10"/>
  <c r="O3713" i="10"/>
  <c r="M3713" i="10"/>
  <c r="E3713" i="10"/>
  <c r="B3713" i="10"/>
  <c r="S3712" i="10"/>
  <c r="Q3712" i="10"/>
  <c r="P3712" i="10"/>
  <c r="O3712" i="10"/>
  <c r="M3712" i="10"/>
  <c r="E3712" i="10"/>
  <c r="B3712" i="10"/>
  <c r="S3711" i="10"/>
  <c r="Q3711" i="10"/>
  <c r="P3711" i="10"/>
  <c r="O3711" i="10"/>
  <c r="M3711" i="10"/>
  <c r="B3711" i="10"/>
  <c r="S3710" i="10"/>
  <c r="Q3710" i="10"/>
  <c r="P3710" i="10"/>
  <c r="O3710" i="10"/>
  <c r="M3710" i="10"/>
  <c r="E3710" i="10"/>
  <c r="B3710" i="10"/>
  <c r="S3709" i="10"/>
  <c r="Q3709" i="10"/>
  <c r="P3709" i="10"/>
  <c r="O3709" i="10"/>
  <c r="M3709" i="10"/>
  <c r="B3709" i="10"/>
  <c r="S3708" i="10"/>
  <c r="Q3708" i="10"/>
  <c r="P3708" i="10"/>
  <c r="O3708" i="10"/>
  <c r="M3708" i="10"/>
  <c r="E3708" i="10"/>
  <c r="B3708" i="10"/>
  <c r="S3707" i="10"/>
  <c r="Q3707" i="10"/>
  <c r="P3707" i="10"/>
  <c r="O3707" i="10"/>
  <c r="M3707" i="10"/>
  <c r="E3707" i="10"/>
  <c r="B3707" i="10"/>
  <c r="S3706" i="10"/>
  <c r="Q3706" i="10"/>
  <c r="P3706" i="10"/>
  <c r="O3706" i="10"/>
  <c r="M3706" i="10"/>
  <c r="E3706" i="10"/>
  <c r="B3706" i="10"/>
  <c r="S3705" i="10"/>
  <c r="Q3705" i="10"/>
  <c r="P3705" i="10"/>
  <c r="O3705" i="10"/>
  <c r="M3705" i="10"/>
  <c r="B3705" i="10"/>
  <c r="S3704" i="10"/>
  <c r="Q3704" i="10"/>
  <c r="P3704" i="10"/>
  <c r="O3704" i="10"/>
  <c r="M3704" i="10"/>
  <c r="E3704" i="10"/>
  <c r="B3704" i="10"/>
  <c r="S3703" i="10"/>
  <c r="Q3703" i="10"/>
  <c r="P3703" i="10"/>
  <c r="O3703" i="10"/>
  <c r="M3703" i="10"/>
  <c r="E3703" i="10"/>
  <c r="B3703" i="10"/>
  <c r="S3702" i="10"/>
  <c r="Q3702" i="10"/>
  <c r="P3702" i="10"/>
  <c r="O3702" i="10"/>
  <c r="M3702" i="10"/>
  <c r="E3702" i="10"/>
  <c r="B3702" i="10"/>
  <c r="S3701" i="10"/>
  <c r="Q3701" i="10"/>
  <c r="P3701" i="10"/>
  <c r="O3701" i="10"/>
  <c r="M3701" i="10"/>
  <c r="E3701" i="10"/>
  <c r="B3701" i="10"/>
  <c r="S3700" i="10"/>
  <c r="Q3700" i="10"/>
  <c r="P3700" i="10"/>
  <c r="O3700" i="10"/>
  <c r="M3700" i="10"/>
  <c r="B3700" i="10"/>
  <c r="S3699" i="10"/>
  <c r="Q3699" i="10"/>
  <c r="P3699" i="10"/>
  <c r="O3699" i="10"/>
  <c r="M3699" i="10"/>
  <c r="B3699" i="10"/>
  <c r="S3698" i="10"/>
  <c r="Q3698" i="10"/>
  <c r="P3698" i="10"/>
  <c r="O3698" i="10"/>
  <c r="M3698" i="10"/>
  <c r="E3698" i="10"/>
  <c r="B3698" i="10"/>
  <c r="S3697" i="10"/>
  <c r="Q3697" i="10"/>
  <c r="P3697" i="10"/>
  <c r="O3697" i="10"/>
  <c r="M3697" i="10"/>
  <c r="B3697" i="10"/>
  <c r="S3696" i="10"/>
  <c r="Q3696" i="10"/>
  <c r="P3696" i="10"/>
  <c r="O3696" i="10"/>
  <c r="M3696" i="10"/>
  <c r="E3696" i="10"/>
  <c r="B3696" i="10"/>
  <c r="S3695" i="10"/>
  <c r="Q3695" i="10"/>
  <c r="P3695" i="10"/>
  <c r="O3695" i="10"/>
  <c r="M3695" i="10"/>
  <c r="E3695" i="10"/>
  <c r="B3695" i="10"/>
  <c r="S3694" i="10"/>
  <c r="Q3694" i="10"/>
  <c r="P3694" i="10"/>
  <c r="O3694" i="10"/>
  <c r="M3694" i="10"/>
  <c r="E3694" i="10"/>
  <c r="B3694" i="10"/>
  <c r="S3693" i="10"/>
  <c r="Q3693" i="10"/>
  <c r="P3693" i="10"/>
  <c r="O3693" i="10"/>
  <c r="M3693" i="10"/>
  <c r="E3693" i="10"/>
  <c r="B3693" i="10"/>
  <c r="S3692" i="10"/>
  <c r="Q3692" i="10"/>
  <c r="P3692" i="10"/>
  <c r="O3692" i="10"/>
  <c r="M3692" i="10"/>
  <c r="E3692" i="10"/>
  <c r="B3692" i="10"/>
  <c r="S3691" i="10"/>
  <c r="Q3691" i="10"/>
  <c r="P3691" i="10"/>
  <c r="O3691" i="10"/>
  <c r="M3691" i="10"/>
  <c r="B3691" i="10"/>
  <c r="S3690" i="10"/>
  <c r="Q3690" i="10"/>
  <c r="P3690" i="10"/>
  <c r="O3690" i="10"/>
  <c r="M3690" i="10"/>
  <c r="E3690" i="10"/>
  <c r="B3690" i="10"/>
  <c r="S3689" i="10"/>
  <c r="Q3689" i="10"/>
  <c r="P3689" i="10"/>
  <c r="O3689" i="10"/>
  <c r="M3689" i="10"/>
  <c r="E3689" i="10"/>
  <c r="B3689" i="10"/>
  <c r="S3688" i="10"/>
  <c r="Q3688" i="10"/>
  <c r="P3688" i="10"/>
  <c r="O3688" i="10"/>
  <c r="M3688" i="10"/>
  <c r="B3688" i="10"/>
  <c r="S3687" i="10"/>
  <c r="Q3687" i="10"/>
  <c r="P3687" i="10"/>
  <c r="O3687" i="10"/>
  <c r="M3687" i="10"/>
  <c r="B3687" i="10"/>
  <c r="S3686" i="10"/>
  <c r="Q3686" i="10"/>
  <c r="P3686" i="10"/>
  <c r="O3686" i="10"/>
  <c r="M3686" i="10"/>
  <c r="E3686" i="10"/>
  <c r="B3686" i="10"/>
  <c r="S3685" i="10"/>
  <c r="Q3685" i="10"/>
  <c r="P3685" i="10"/>
  <c r="O3685" i="10"/>
  <c r="M3685" i="10"/>
  <c r="E3685" i="10"/>
  <c r="B3685" i="10"/>
  <c r="S3684" i="10"/>
  <c r="Q3684" i="10"/>
  <c r="P3684" i="10"/>
  <c r="O3684" i="10"/>
  <c r="M3684" i="10"/>
  <c r="B3684" i="10"/>
  <c r="S3683" i="10"/>
  <c r="Q3683" i="10"/>
  <c r="P3683" i="10"/>
  <c r="O3683" i="10"/>
  <c r="M3683" i="10"/>
  <c r="E3683" i="10"/>
  <c r="B3683" i="10"/>
  <c r="S3682" i="10"/>
  <c r="Q3682" i="10"/>
  <c r="P3682" i="10"/>
  <c r="O3682" i="10"/>
  <c r="M3682" i="10"/>
  <c r="E3682" i="10"/>
  <c r="B3682" i="10"/>
  <c r="S3681" i="10"/>
  <c r="Q3681" i="10"/>
  <c r="P3681" i="10"/>
  <c r="O3681" i="10"/>
  <c r="M3681" i="10"/>
  <c r="E3681" i="10"/>
  <c r="B3681" i="10"/>
  <c r="S3680" i="10"/>
  <c r="Q3680" i="10"/>
  <c r="P3680" i="10"/>
  <c r="O3680" i="10"/>
  <c r="M3680" i="10"/>
  <c r="B3680" i="10"/>
  <c r="S3679" i="10"/>
  <c r="Q3679" i="10"/>
  <c r="P3679" i="10"/>
  <c r="O3679" i="10"/>
  <c r="M3679" i="10"/>
  <c r="E3679" i="10"/>
  <c r="B3679" i="10"/>
  <c r="S3678" i="10"/>
  <c r="Q3678" i="10"/>
  <c r="P3678" i="10"/>
  <c r="O3678" i="10"/>
  <c r="M3678" i="10"/>
  <c r="E3678" i="10"/>
  <c r="B3678" i="10"/>
  <c r="S3677" i="10"/>
  <c r="Q3677" i="10"/>
  <c r="P3677" i="10"/>
  <c r="O3677" i="10"/>
  <c r="M3677" i="10"/>
  <c r="B3677" i="10"/>
  <c r="S3676" i="10"/>
  <c r="Q3676" i="10"/>
  <c r="P3676" i="10"/>
  <c r="O3676" i="10"/>
  <c r="M3676" i="10"/>
  <c r="E3676" i="10"/>
  <c r="B3676" i="10"/>
  <c r="S3675" i="10"/>
  <c r="Q3675" i="10"/>
  <c r="P3675" i="10"/>
  <c r="O3675" i="10"/>
  <c r="M3675" i="10"/>
  <c r="E3675" i="10"/>
  <c r="B3675" i="10"/>
  <c r="S3674" i="10"/>
  <c r="Q3674" i="10"/>
  <c r="P3674" i="10"/>
  <c r="O3674" i="10"/>
  <c r="M3674" i="10"/>
  <c r="E3674" i="10"/>
  <c r="B3674" i="10"/>
  <c r="S3673" i="10"/>
  <c r="Q3673" i="10"/>
  <c r="P3673" i="10"/>
  <c r="O3673" i="10"/>
  <c r="M3673" i="10"/>
  <c r="B3673" i="10"/>
  <c r="S3672" i="10"/>
  <c r="Q3672" i="10"/>
  <c r="P3672" i="10"/>
  <c r="O3672" i="10"/>
  <c r="M3672" i="10"/>
  <c r="E3672" i="10"/>
  <c r="B3672" i="10"/>
  <c r="S3671" i="10"/>
  <c r="Q3671" i="10"/>
  <c r="P3671" i="10"/>
  <c r="O3671" i="10"/>
  <c r="M3671" i="10"/>
  <c r="E3671" i="10"/>
  <c r="B3671" i="10"/>
  <c r="S3670" i="10"/>
  <c r="Q3670" i="10"/>
  <c r="P3670" i="10"/>
  <c r="O3670" i="10"/>
  <c r="M3670" i="10"/>
  <c r="B3670" i="10"/>
  <c r="S3669" i="10"/>
  <c r="Q3669" i="10"/>
  <c r="P3669" i="10"/>
  <c r="O3669" i="10"/>
  <c r="M3669" i="10"/>
  <c r="B3669" i="10"/>
  <c r="S3668" i="10"/>
  <c r="Q3668" i="10"/>
  <c r="P3668" i="10"/>
  <c r="O3668" i="10"/>
  <c r="M3668" i="10"/>
  <c r="E3668" i="10"/>
  <c r="B3668" i="10"/>
  <c r="S3667" i="10"/>
  <c r="Q3667" i="10"/>
  <c r="P3667" i="10"/>
  <c r="O3667" i="10"/>
  <c r="M3667" i="10"/>
  <c r="E3667" i="10"/>
  <c r="B3667" i="10"/>
  <c r="S3666" i="10"/>
  <c r="Q3666" i="10"/>
  <c r="P3666" i="10"/>
  <c r="O3666" i="10"/>
  <c r="M3666" i="10"/>
  <c r="B3666" i="10"/>
  <c r="S3665" i="10"/>
  <c r="Q3665" i="10"/>
  <c r="P3665" i="10"/>
  <c r="O3665" i="10"/>
  <c r="M3665" i="10"/>
  <c r="E3665" i="10"/>
  <c r="B3665" i="10"/>
  <c r="S3664" i="10"/>
  <c r="Q3664" i="10"/>
  <c r="P3664" i="10"/>
  <c r="O3664" i="10"/>
  <c r="M3664" i="10"/>
  <c r="E3664" i="10"/>
  <c r="B3664" i="10"/>
  <c r="S3663" i="10"/>
  <c r="Q3663" i="10"/>
  <c r="P3663" i="10"/>
  <c r="O3663" i="10"/>
  <c r="M3663" i="10"/>
  <c r="E3663" i="10"/>
  <c r="B3663" i="10"/>
  <c r="S3662" i="10"/>
  <c r="Q3662" i="10"/>
  <c r="P3662" i="10"/>
  <c r="O3662" i="10"/>
  <c r="M3662" i="10"/>
  <c r="E3662" i="10"/>
  <c r="B3662" i="10"/>
  <c r="S3661" i="10"/>
  <c r="Q3661" i="10"/>
  <c r="P3661" i="10"/>
  <c r="O3661" i="10"/>
  <c r="M3661" i="10"/>
  <c r="E3661" i="10"/>
  <c r="B3661" i="10"/>
  <c r="S3660" i="10"/>
  <c r="Q3660" i="10"/>
  <c r="P3660" i="10"/>
  <c r="O3660" i="10"/>
  <c r="M3660" i="10"/>
  <c r="E3660" i="10"/>
  <c r="B3660" i="10"/>
  <c r="S3659" i="10"/>
  <c r="Q3659" i="10"/>
  <c r="P3659" i="10"/>
  <c r="O3659" i="10"/>
  <c r="M3659" i="10"/>
  <c r="E3659" i="10"/>
  <c r="B3659" i="10"/>
  <c r="S3658" i="10"/>
  <c r="Q3658" i="10"/>
  <c r="P3658" i="10"/>
  <c r="O3658" i="10"/>
  <c r="M3658" i="10"/>
  <c r="E3658" i="10"/>
  <c r="B3658" i="10"/>
  <c r="S3657" i="10"/>
  <c r="Q3657" i="10"/>
  <c r="P3657" i="10"/>
  <c r="O3657" i="10"/>
  <c r="M3657" i="10"/>
  <c r="E3657" i="10"/>
  <c r="B3657" i="10"/>
  <c r="S3656" i="10"/>
  <c r="Q3656" i="10"/>
  <c r="P3656" i="10"/>
  <c r="O3656" i="10"/>
  <c r="M3656" i="10"/>
  <c r="E3656" i="10"/>
  <c r="B3656" i="10"/>
  <c r="S3655" i="10"/>
  <c r="Q3655" i="10"/>
  <c r="P3655" i="10"/>
  <c r="O3655" i="10"/>
  <c r="M3655" i="10"/>
  <c r="E3655" i="10"/>
  <c r="B3655" i="10"/>
  <c r="S3654" i="10"/>
  <c r="Q3654" i="10"/>
  <c r="P3654" i="10"/>
  <c r="O3654" i="10"/>
  <c r="M3654" i="10"/>
  <c r="E3654" i="10"/>
  <c r="B3654" i="10"/>
  <c r="S3653" i="10"/>
  <c r="Q3653" i="10"/>
  <c r="P3653" i="10"/>
  <c r="O3653" i="10"/>
  <c r="M3653" i="10"/>
  <c r="E3653" i="10"/>
  <c r="B3653" i="10"/>
  <c r="S3652" i="10"/>
  <c r="Q3652" i="10"/>
  <c r="P3652" i="10"/>
  <c r="O3652" i="10"/>
  <c r="M3652" i="10"/>
  <c r="E3652" i="10"/>
  <c r="B3652" i="10"/>
  <c r="S3651" i="10"/>
  <c r="Q3651" i="10"/>
  <c r="P3651" i="10"/>
  <c r="O3651" i="10"/>
  <c r="M3651" i="10"/>
  <c r="E3651" i="10"/>
  <c r="B3651" i="10"/>
  <c r="S3650" i="10"/>
  <c r="Q3650" i="10"/>
  <c r="P3650" i="10"/>
  <c r="O3650" i="10"/>
  <c r="M3650" i="10"/>
  <c r="E3650" i="10"/>
  <c r="B3650" i="10"/>
  <c r="S3649" i="10"/>
  <c r="Q3649" i="10"/>
  <c r="P3649" i="10"/>
  <c r="O3649" i="10"/>
  <c r="M3649" i="10"/>
  <c r="E3649" i="10"/>
  <c r="B3649" i="10"/>
  <c r="S3648" i="10"/>
  <c r="Q3648" i="10"/>
  <c r="P3648" i="10"/>
  <c r="O3648" i="10"/>
  <c r="M3648" i="10"/>
  <c r="E3648" i="10"/>
  <c r="B3648" i="10"/>
  <c r="S3647" i="10"/>
  <c r="Q3647" i="10"/>
  <c r="P3647" i="10"/>
  <c r="O3647" i="10"/>
  <c r="M3647" i="10"/>
  <c r="E3647" i="10"/>
  <c r="B3647" i="10"/>
  <c r="S3646" i="10"/>
  <c r="Q3646" i="10"/>
  <c r="P3646" i="10"/>
  <c r="O3646" i="10"/>
  <c r="M3646" i="10"/>
  <c r="E3646" i="10"/>
  <c r="B3646" i="10"/>
  <c r="S3645" i="10"/>
  <c r="Q3645" i="10"/>
  <c r="P3645" i="10"/>
  <c r="O3645" i="10"/>
  <c r="M3645" i="10"/>
  <c r="E3645" i="10"/>
  <c r="B3645" i="10"/>
  <c r="S3644" i="10"/>
  <c r="Q3644" i="10"/>
  <c r="P3644" i="10"/>
  <c r="O3644" i="10"/>
  <c r="M3644" i="10"/>
  <c r="E3644" i="10"/>
  <c r="B3644" i="10"/>
  <c r="S3643" i="10"/>
  <c r="Q3643" i="10"/>
  <c r="P3643" i="10"/>
  <c r="O3643" i="10"/>
  <c r="M3643" i="10"/>
  <c r="E3643" i="10"/>
  <c r="B3643" i="10"/>
  <c r="S3642" i="10"/>
  <c r="Q3642" i="10"/>
  <c r="P3642" i="10"/>
  <c r="O3642" i="10"/>
  <c r="M3642" i="10"/>
  <c r="E3642" i="10"/>
  <c r="B3642" i="10"/>
  <c r="S3641" i="10"/>
  <c r="Q3641" i="10"/>
  <c r="P3641" i="10"/>
  <c r="O3641" i="10"/>
  <c r="M3641" i="10"/>
  <c r="E3641" i="10"/>
  <c r="B3641" i="10"/>
  <c r="S3640" i="10"/>
  <c r="Q3640" i="10"/>
  <c r="P3640" i="10"/>
  <c r="O3640" i="10"/>
  <c r="M3640" i="10"/>
  <c r="E3640" i="10"/>
  <c r="B3640" i="10"/>
  <c r="S3639" i="10"/>
  <c r="Q3639" i="10"/>
  <c r="P3639" i="10"/>
  <c r="O3639" i="10"/>
  <c r="M3639" i="10"/>
  <c r="E3639" i="10"/>
  <c r="B3639" i="10"/>
  <c r="S3638" i="10"/>
  <c r="Q3638" i="10"/>
  <c r="P3638" i="10"/>
  <c r="O3638" i="10"/>
  <c r="M3638" i="10"/>
  <c r="E3638" i="10"/>
  <c r="B3638" i="10"/>
  <c r="S3637" i="10"/>
  <c r="Q3637" i="10"/>
  <c r="P3637" i="10"/>
  <c r="O3637" i="10"/>
  <c r="M3637" i="10"/>
  <c r="E3637" i="10"/>
  <c r="B3637" i="10"/>
  <c r="S3636" i="10"/>
  <c r="Q3636" i="10"/>
  <c r="P3636" i="10"/>
  <c r="O3636" i="10"/>
  <c r="M3636" i="10"/>
  <c r="E3636" i="10"/>
  <c r="B3636" i="10"/>
  <c r="S3635" i="10"/>
  <c r="Q3635" i="10"/>
  <c r="P3635" i="10"/>
  <c r="O3635" i="10"/>
  <c r="M3635" i="10"/>
  <c r="E3635" i="10"/>
  <c r="B3635" i="10"/>
  <c r="S3634" i="10"/>
  <c r="Q3634" i="10"/>
  <c r="P3634" i="10"/>
  <c r="O3634" i="10"/>
  <c r="M3634" i="10"/>
  <c r="E3634" i="10"/>
  <c r="B3634" i="10"/>
  <c r="S3633" i="10"/>
  <c r="Q3633" i="10"/>
  <c r="P3633" i="10"/>
  <c r="O3633" i="10"/>
  <c r="M3633" i="10"/>
  <c r="E3633" i="10"/>
  <c r="B3633" i="10"/>
  <c r="S3632" i="10"/>
  <c r="Q3632" i="10"/>
  <c r="P3632" i="10"/>
  <c r="O3632" i="10"/>
  <c r="M3632" i="10"/>
  <c r="E3632" i="10"/>
  <c r="B3632" i="10"/>
  <c r="S3631" i="10"/>
  <c r="Q3631" i="10"/>
  <c r="P3631" i="10"/>
  <c r="O3631" i="10"/>
  <c r="M3631" i="10"/>
  <c r="E3631" i="10"/>
  <c r="B3631" i="10"/>
  <c r="S3630" i="10"/>
  <c r="Q3630" i="10"/>
  <c r="P3630" i="10"/>
  <c r="O3630" i="10"/>
  <c r="M3630" i="10"/>
  <c r="E3630" i="10"/>
  <c r="B3630" i="10"/>
  <c r="S3629" i="10"/>
  <c r="Q3629" i="10"/>
  <c r="P3629" i="10"/>
  <c r="O3629" i="10"/>
  <c r="M3629" i="10"/>
  <c r="E3629" i="10"/>
  <c r="B3629" i="10"/>
  <c r="S3628" i="10"/>
  <c r="Q3628" i="10"/>
  <c r="P3628" i="10"/>
  <c r="O3628" i="10"/>
  <c r="M3628" i="10"/>
  <c r="E3628" i="10"/>
  <c r="B3628" i="10"/>
  <c r="S3627" i="10"/>
  <c r="Q3627" i="10"/>
  <c r="P3627" i="10"/>
  <c r="O3627" i="10"/>
  <c r="M3627" i="10"/>
  <c r="E3627" i="10"/>
  <c r="B3627" i="10"/>
  <c r="S3626" i="10"/>
  <c r="Q3626" i="10"/>
  <c r="P3626" i="10"/>
  <c r="O3626" i="10"/>
  <c r="M3626" i="10"/>
  <c r="E3626" i="10"/>
  <c r="B3626" i="10"/>
  <c r="S3625" i="10"/>
  <c r="Q3625" i="10"/>
  <c r="P3625" i="10"/>
  <c r="O3625" i="10"/>
  <c r="M3625" i="10"/>
  <c r="E3625" i="10"/>
  <c r="B3625" i="10"/>
  <c r="S3624" i="10"/>
  <c r="Q3624" i="10"/>
  <c r="P3624" i="10"/>
  <c r="O3624" i="10"/>
  <c r="M3624" i="10"/>
  <c r="E3624" i="10"/>
  <c r="B3624" i="10"/>
  <c r="S3623" i="10"/>
  <c r="Q3623" i="10"/>
  <c r="P3623" i="10"/>
  <c r="O3623" i="10"/>
  <c r="M3623" i="10"/>
  <c r="E3623" i="10"/>
  <c r="B3623" i="10"/>
  <c r="S3622" i="10"/>
  <c r="Q3622" i="10"/>
  <c r="P3622" i="10"/>
  <c r="O3622" i="10"/>
  <c r="M3622" i="10"/>
  <c r="E3622" i="10"/>
  <c r="B3622" i="10"/>
  <c r="S3621" i="10"/>
  <c r="Q3621" i="10"/>
  <c r="P3621" i="10"/>
  <c r="O3621" i="10"/>
  <c r="M3621" i="10"/>
  <c r="E3621" i="10"/>
  <c r="B3621" i="10"/>
  <c r="S3620" i="10"/>
  <c r="Q3620" i="10"/>
  <c r="P3620" i="10"/>
  <c r="O3620" i="10"/>
  <c r="M3620" i="10"/>
  <c r="E3620" i="10"/>
  <c r="B3620" i="10"/>
  <c r="S3619" i="10"/>
  <c r="Q3619" i="10"/>
  <c r="P3619" i="10"/>
  <c r="O3619" i="10"/>
  <c r="M3619" i="10"/>
  <c r="E3619" i="10"/>
  <c r="B3619" i="10"/>
  <c r="S3618" i="10"/>
  <c r="Q3618" i="10"/>
  <c r="P3618" i="10"/>
  <c r="O3618" i="10"/>
  <c r="M3618" i="10"/>
  <c r="E3618" i="10"/>
  <c r="B3618" i="10"/>
  <c r="S3617" i="10"/>
  <c r="Q3617" i="10"/>
  <c r="P3617" i="10"/>
  <c r="O3617" i="10"/>
  <c r="M3617" i="10"/>
  <c r="E3617" i="10"/>
  <c r="B3617" i="10"/>
  <c r="S3616" i="10"/>
  <c r="Q3616" i="10"/>
  <c r="P3616" i="10"/>
  <c r="O3616" i="10"/>
  <c r="M3616" i="10"/>
  <c r="E3616" i="10"/>
  <c r="B3616" i="10"/>
  <c r="S3615" i="10"/>
  <c r="Q3615" i="10"/>
  <c r="P3615" i="10"/>
  <c r="O3615" i="10"/>
  <c r="M3615" i="10"/>
  <c r="B3615" i="10"/>
  <c r="S3614" i="10"/>
  <c r="Q3614" i="10"/>
  <c r="P3614" i="10"/>
  <c r="O3614" i="10"/>
  <c r="M3614" i="10"/>
  <c r="E3614" i="10"/>
  <c r="B3614" i="10"/>
  <c r="S3613" i="10"/>
  <c r="Q3613" i="10"/>
  <c r="P3613" i="10"/>
  <c r="O3613" i="10"/>
  <c r="M3613" i="10"/>
  <c r="E3613" i="10"/>
  <c r="B3613" i="10"/>
  <c r="S3612" i="10"/>
  <c r="Q3612" i="10"/>
  <c r="P3612" i="10"/>
  <c r="O3612" i="10"/>
  <c r="M3612" i="10"/>
  <c r="B3612" i="10"/>
  <c r="S3611" i="10"/>
  <c r="Q3611" i="10"/>
  <c r="P3611" i="10"/>
  <c r="O3611" i="10"/>
  <c r="M3611" i="10"/>
  <c r="E3611" i="10"/>
  <c r="B3611" i="10"/>
  <c r="S3610" i="10"/>
  <c r="Q3610" i="10"/>
  <c r="P3610" i="10"/>
  <c r="O3610" i="10"/>
  <c r="M3610" i="10"/>
  <c r="B3610" i="10"/>
  <c r="S3609" i="10"/>
  <c r="Q3609" i="10"/>
  <c r="P3609" i="10"/>
  <c r="O3609" i="10"/>
  <c r="M3609" i="10"/>
  <c r="E3609" i="10"/>
  <c r="B3609" i="10"/>
  <c r="S3608" i="10"/>
  <c r="Q3608" i="10"/>
  <c r="P3608" i="10"/>
  <c r="O3608" i="10"/>
  <c r="M3608" i="10"/>
  <c r="B3608" i="10"/>
  <c r="S3607" i="10"/>
  <c r="Q3607" i="10"/>
  <c r="P3607" i="10"/>
  <c r="O3607" i="10"/>
  <c r="M3607" i="10"/>
  <c r="E3607" i="10"/>
  <c r="B3607" i="10"/>
  <c r="S3606" i="10"/>
  <c r="Q3606" i="10"/>
  <c r="P3606" i="10"/>
  <c r="O3606" i="10"/>
  <c r="M3606" i="10"/>
  <c r="B3606" i="10"/>
  <c r="S3605" i="10"/>
  <c r="Q3605" i="10"/>
  <c r="P3605" i="10"/>
  <c r="O3605" i="10"/>
  <c r="M3605" i="10"/>
  <c r="E3605" i="10"/>
  <c r="B3605" i="10"/>
  <c r="S3604" i="10"/>
  <c r="Q3604" i="10"/>
  <c r="P3604" i="10"/>
  <c r="O3604" i="10"/>
  <c r="M3604" i="10"/>
  <c r="E3604" i="10"/>
  <c r="B3604" i="10"/>
  <c r="S3603" i="10"/>
  <c r="Q3603" i="10"/>
  <c r="P3603" i="10"/>
  <c r="O3603" i="10"/>
  <c r="M3603" i="10"/>
  <c r="E3603" i="10"/>
  <c r="B3603" i="10"/>
  <c r="S3602" i="10"/>
  <c r="Q3602" i="10"/>
  <c r="P3602" i="10"/>
  <c r="O3602" i="10"/>
  <c r="M3602" i="10"/>
  <c r="E3602" i="10"/>
  <c r="B3602" i="10"/>
  <c r="S3601" i="10"/>
  <c r="Q3601" i="10"/>
  <c r="P3601" i="10"/>
  <c r="O3601" i="10"/>
  <c r="M3601" i="10"/>
  <c r="E3601" i="10"/>
  <c r="B3601" i="10"/>
  <c r="S3600" i="10"/>
  <c r="Q3600" i="10"/>
  <c r="P3600" i="10"/>
  <c r="O3600" i="10"/>
  <c r="M3600" i="10"/>
  <c r="E3600" i="10"/>
  <c r="B3600" i="10"/>
  <c r="S3599" i="10"/>
  <c r="Q3599" i="10"/>
  <c r="P3599" i="10"/>
  <c r="O3599" i="10"/>
  <c r="M3599" i="10"/>
  <c r="B3599" i="10"/>
  <c r="S3598" i="10"/>
  <c r="Q3598" i="10"/>
  <c r="P3598" i="10"/>
  <c r="O3598" i="10"/>
  <c r="M3598" i="10"/>
  <c r="E3598" i="10"/>
  <c r="B3598" i="10"/>
  <c r="S3597" i="10"/>
  <c r="Q3597" i="10"/>
  <c r="P3597" i="10"/>
  <c r="O3597" i="10"/>
  <c r="M3597" i="10"/>
  <c r="E3597" i="10"/>
  <c r="B3597" i="10"/>
  <c r="S3596" i="10"/>
  <c r="Q3596" i="10"/>
  <c r="P3596" i="10"/>
  <c r="O3596" i="10"/>
  <c r="M3596" i="10"/>
  <c r="E3596" i="10"/>
  <c r="B3596" i="10"/>
  <c r="S3595" i="10"/>
  <c r="Q3595" i="10"/>
  <c r="P3595" i="10"/>
  <c r="O3595" i="10"/>
  <c r="M3595" i="10"/>
  <c r="E3595" i="10"/>
  <c r="B3595" i="10"/>
  <c r="S3594" i="10"/>
  <c r="Q3594" i="10"/>
  <c r="P3594" i="10"/>
  <c r="O3594" i="10"/>
  <c r="M3594" i="10"/>
  <c r="E3594" i="10"/>
  <c r="B3594" i="10"/>
  <c r="S3593" i="10"/>
  <c r="Q3593" i="10"/>
  <c r="P3593" i="10"/>
  <c r="O3593" i="10"/>
  <c r="M3593" i="10"/>
  <c r="E3593" i="10"/>
  <c r="B3593" i="10"/>
  <c r="S3592" i="10"/>
  <c r="Q3592" i="10"/>
  <c r="P3592" i="10"/>
  <c r="O3592" i="10"/>
  <c r="M3592" i="10"/>
  <c r="E3592" i="10"/>
  <c r="B3592" i="10"/>
  <c r="S3591" i="10"/>
  <c r="Q3591" i="10"/>
  <c r="P3591" i="10"/>
  <c r="O3591" i="10"/>
  <c r="M3591" i="10"/>
  <c r="E3591" i="10"/>
  <c r="B3591" i="10"/>
  <c r="S3590" i="10"/>
  <c r="Q3590" i="10"/>
  <c r="P3590" i="10"/>
  <c r="O3590" i="10"/>
  <c r="M3590" i="10"/>
  <c r="E3590" i="10"/>
  <c r="B3590" i="10"/>
  <c r="S3589" i="10"/>
  <c r="Q3589" i="10"/>
  <c r="P3589" i="10"/>
  <c r="O3589" i="10"/>
  <c r="M3589" i="10"/>
  <c r="E3589" i="10"/>
  <c r="B3589" i="10"/>
  <c r="S3588" i="10"/>
  <c r="Q3588" i="10"/>
  <c r="P3588" i="10"/>
  <c r="O3588" i="10"/>
  <c r="M3588" i="10"/>
  <c r="E3588" i="10"/>
  <c r="B3588" i="10"/>
  <c r="S3587" i="10"/>
  <c r="Q3587" i="10"/>
  <c r="P3587" i="10"/>
  <c r="O3587" i="10"/>
  <c r="M3587" i="10"/>
  <c r="E3587" i="10"/>
  <c r="B3587" i="10"/>
  <c r="S3586" i="10"/>
  <c r="Q3586" i="10"/>
  <c r="P3586" i="10"/>
  <c r="O3586" i="10"/>
  <c r="M3586" i="10"/>
  <c r="B3586" i="10"/>
  <c r="S3585" i="10"/>
  <c r="Q3585" i="10"/>
  <c r="P3585" i="10"/>
  <c r="O3585" i="10"/>
  <c r="M3585" i="10"/>
  <c r="E3585" i="10"/>
  <c r="B3585" i="10"/>
  <c r="S3584" i="10"/>
  <c r="Q3584" i="10"/>
  <c r="P3584" i="10"/>
  <c r="O3584" i="10"/>
  <c r="M3584" i="10"/>
  <c r="E3584" i="10"/>
  <c r="B3584" i="10"/>
  <c r="S3583" i="10"/>
  <c r="Q3583" i="10"/>
  <c r="P3583" i="10"/>
  <c r="O3583" i="10"/>
  <c r="M3583" i="10"/>
  <c r="E3583" i="10"/>
  <c r="B3583" i="10"/>
  <c r="S3582" i="10"/>
  <c r="Q3582" i="10"/>
  <c r="P3582" i="10"/>
  <c r="O3582" i="10"/>
  <c r="M3582" i="10"/>
  <c r="B3582" i="10"/>
  <c r="S3581" i="10"/>
  <c r="Q3581" i="10"/>
  <c r="P3581" i="10"/>
  <c r="O3581" i="10"/>
  <c r="M3581" i="10"/>
  <c r="E3581" i="10"/>
  <c r="B3581" i="10"/>
  <c r="S3580" i="10"/>
  <c r="Q3580" i="10"/>
  <c r="P3580" i="10"/>
  <c r="O3580" i="10"/>
  <c r="M3580" i="10"/>
  <c r="B3580" i="10"/>
  <c r="S3579" i="10"/>
  <c r="Q3579" i="10"/>
  <c r="P3579" i="10"/>
  <c r="O3579" i="10"/>
  <c r="M3579" i="10"/>
  <c r="E3579" i="10"/>
  <c r="B3579" i="10"/>
  <c r="S3578" i="10"/>
  <c r="Q3578" i="10"/>
  <c r="P3578" i="10"/>
  <c r="O3578" i="10"/>
  <c r="M3578" i="10"/>
  <c r="E3578" i="10"/>
  <c r="B3578" i="10"/>
  <c r="S3577" i="10"/>
  <c r="Q3577" i="10"/>
  <c r="P3577" i="10"/>
  <c r="O3577" i="10"/>
  <c r="M3577" i="10"/>
  <c r="E3577" i="10"/>
  <c r="B3577" i="10"/>
  <c r="S3576" i="10"/>
  <c r="Q3576" i="10"/>
  <c r="P3576" i="10"/>
  <c r="O3576" i="10"/>
  <c r="M3576" i="10"/>
  <c r="B3576" i="10"/>
  <c r="S3575" i="10"/>
  <c r="Q3575" i="10"/>
  <c r="P3575" i="10"/>
  <c r="O3575" i="10"/>
  <c r="M3575" i="10"/>
  <c r="E3575" i="10"/>
  <c r="B3575" i="10"/>
  <c r="S3574" i="10"/>
  <c r="Q3574" i="10"/>
  <c r="P3574" i="10"/>
  <c r="O3574" i="10"/>
  <c r="M3574" i="10"/>
  <c r="E3574" i="10"/>
  <c r="B3574" i="10"/>
  <c r="S3573" i="10"/>
  <c r="Q3573" i="10"/>
  <c r="P3573" i="10"/>
  <c r="O3573" i="10"/>
  <c r="M3573" i="10"/>
  <c r="E3573" i="10"/>
  <c r="B3573" i="10"/>
  <c r="S3572" i="10"/>
  <c r="Q3572" i="10"/>
  <c r="P3572" i="10"/>
  <c r="O3572" i="10"/>
  <c r="M3572" i="10"/>
  <c r="E3572" i="10"/>
  <c r="B3572" i="10"/>
  <c r="S3571" i="10"/>
  <c r="Q3571" i="10"/>
  <c r="P3571" i="10"/>
  <c r="O3571" i="10"/>
  <c r="M3571" i="10"/>
  <c r="E3571" i="10"/>
  <c r="B3571" i="10"/>
  <c r="S3570" i="10"/>
  <c r="Q3570" i="10"/>
  <c r="P3570" i="10"/>
  <c r="O3570" i="10"/>
  <c r="M3570" i="10"/>
  <c r="E3570" i="10"/>
  <c r="B3570" i="10"/>
  <c r="S3569" i="10"/>
  <c r="Q3569" i="10"/>
  <c r="P3569" i="10"/>
  <c r="O3569" i="10"/>
  <c r="M3569" i="10"/>
  <c r="B3569" i="10"/>
  <c r="S3568" i="10"/>
  <c r="Q3568" i="10"/>
  <c r="P3568" i="10"/>
  <c r="O3568" i="10"/>
  <c r="M3568" i="10"/>
  <c r="E3568" i="10"/>
  <c r="B3568" i="10"/>
  <c r="S3567" i="10"/>
  <c r="Q3567" i="10"/>
  <c r="P3567" i="10"/>
  <c r="O3567" i="10"/>
  <c r="M3567" i="10"/>
  <c r="E3567" i="10"/>
  <c r="B3567" i="10"/>
  <c r="S3566" i="10"/>
  <c r="Q3566" i="10"/>
  <c r="P3566" i="10"/>
  <c r="O3566" i="10"/>
  <c r="M3566" i="10"/>
  <c r="B3566" i="10"/>
  <c r="S3565" i="10"/>
  <c r="Q3565" i="10"/>
  <c r="P3565" i="10"/>
  <c r="O3565" i="10"/>
  <c r="M3565" i="10"/>
  <c r="E3565" i="10"/>
  <c r="B3565" i="10"/>
  <c r="S3564" i="10"/>
  <c r="Q3564" i="10"/>
  <c r="P3564" i="10"/>
  <c r="O3564" i="10"/>
  <c r="M3564" i="10"/>
  <c r="E3564" i="10"/>
  <c r="B3564" i="10"/>
  <c r="S3563" i="10"/>
  <c r="Q3563" i="10"/>
  <c r="P3563" i="10"/>
  <c r="O3563" i="10"/>
  <c r="M3563" i="10"/>
  <c r="B3563" i="10"/>
  <c r="S3562" i="10"/>
  <c r="Q3562" i="10"/>
  <c r="P3562" i="10"/>
  <c r="O3562" i="10"/>
  <c r="M3562" i="10"/>
  <c r="B3562" i="10"/>
  <c r="S3561" i="10"/>
  <c r="Q3561" i="10"/>
  <c r="P3561" i="10"/>
  <c r="O3561" i="10"/>
  <c r="M3561" i="10"/>
  <c r="E3561" i="10"/>
  <c r="B3561" i="10"/>
  <c r="S3560" i="10"/>
  <c r="Q3560" i="10"/>
  <c r="P3560" i="10"/>
  <c r="O3560" i="10"/>
  <c r="M3560" i="10"/>
  <c r="E3560" i="10"/>
  <c r="B3560" i="10"/>
  <c r="S3559" i="10"/>
  <c r="Q3559" i="10"/>
  <c r="P3559" i="10"/>
  <c r="O3559" i="10"/>
  <c r="M3559" i="10"/>
  <c r="E3559" i="10"/>
  <c r="B3559" i="10"/>
  <c r="S3558" i="10"/>
  <c r="Q3558" i="10"/>
  <c r="P3558" i="10"/>
  <c r="O3558" i="10"/>
  <c r="M3558" i="10"/>
  <c r="E3558" i="10"/>
  <c r="B3558" i="10"/>
  <c r="S3557" i="10"/>
  <c r="Q3557" i="10"/>
  <c r="P3557" i="10"/>
  <c r="O3557" i="10"/>
  <c r="M3557" i="10"/>
  <c r="B3557" i="10"/>
  <c r="S3556" i="10"/>
  <c r="Q3556" i="10"/>
  <c r="P3556" i="10"/>
  <c r="O3556" i="10"/>
  <c r="M3556" i="10"/>
  <c r="E3556" i="10"/>
  <c r="B3556" i="10"/>
  <c r="S3555" i="10"/>
  <c r="Q3555" i="10"/>
  <c r="P3555" i="10"/>
  <c r="O3555" i="10"/>
  <c r="M3555" i="10"/>
  <c r="E3555" i="10"/>
  <c r="B3555" i="10"/>
  <c r="S3554" i="10"/>
  <c r="Q3554" i="10"/>
  <c r="P3554" i="10"/>
  <c r="O3554" i="10"/>
  <c r="M3554" i="10"/>
  <c r="E3554" i="10"/>
  <c r="B3554" i="10"/>
  <c r="S3553" i="10"/>
  <c r="Q3553" i="10"/>
  <c r="P3553" i="10"/>
  <c r="O3553" i="10"/>
  <c r="M3553" i="10"/>
  <c r="B3553" i="10"/>
  <c r="S3552" i="10"/>
  <c r="Q3552" i="10"/>
  <c r="P3552" i="10"/>
  <c r="O3552" i="10"/>
  <c r="M3552" i="10"/>
  <c r="E3552" i="10"/>
  <c r="B3552" i="10"/>
  <c r="S3551" i="10"/>
  <c r="Q3551" i="10"/>
  <c r="P3551" i="10"/>
  <c r="O3551" i="10"/>
  <c r="M3551" i="10"/>
  <c r="E3551" i="10"/>
  <c r="B3551" i="10"/>
  <c r="S3550" i="10"/>
  <c r="Q3550" i="10"/>
  <c r="P3550" i="10"/>
  <c r="O3550" i="10"/>
  <c r="M3550" i="10"/>
  <c r="E3550" i="10"/>
  <c r="B3550" i="10"/>
  <c r="S3549" i="10"/>
  <c r="Q3549" i="10"/>
  <c r="P3549" i="10"/>
  <c r="O3549" i="10"/>
  <c r="M3549" i="10"/>
  <c r="E3549" i="10"/>
  <c r="B3549" i="10"/>
  <c r="S3548" i="10"/>
  <c r="Q3548" i="10"/>
  <c r="P3548" i="10"/>
  <c r="O3548" i="10"/>
  <c r="M3548" i="10"/>
  <c r="E3548" i="10"/>
  <c r="B3548" i="10"/>
  <c r="S3547" i="10"/>
  <c r="Q3547" i="10"/>
  <c r="P3547" i="10"/>
  <c r="O3547" i="10"/>
  <c r="M3547" i="10"/>
  <c r="E3547" i="10"/>
  <c r="B3547" i="10"/>
  <c r="S3546" i="10"/>
  <c r="Q3546" i="10"/>
  <c r="P3546" i="10"/>
  <c r="O3546" i="10"/>
  <c r="M3546" i="10"/>
  <c r="E3546" i="10"/>
  <c r="B3546" i="10"/>
  <c r="S3545" i="10"/>
  <c r="Q3545" i="10"/>
  <c r="P3545" i="10"/>
  <c r="O3545" i="10"/>
  <c r="M3545" i="10"/>
  <c r="B3545" i="10"/>
  <c r="S3544" i="10"/>
  <c r="Q3544" i="10"/>
  <c r="P3544" i="10"/>
  <c r="O3544" i="10"/>
  <c r="M3544" i="10"/>
  <c r="E3544" i="10"/>
  <c r="B3544" i="10"/>
  <c r="S3543" i="10"/>
  <c r="Q3543" i="10"/>
  <c r="P3543" i="10"/>
  <c r="O3543" i="10"/>
  <c r="M3543" i="10"/>
  <c r="B3543" i="10"/>
  <c r="S3542" i="10"/>
  <c r="Q3542" i="10"/>
  <c r="P3542" i="10"/>
  <c r="O3542" i="10"/>
  <c r="M3542" i="10"/>
  <c r="E3542" i="10"/>
  <c r="B3542" i="10"/>
  <c r="S3541" i="10"/>
  <c r="Q3541" i="10"/>
  <c r="P3541" i="10"/>
  <c r="O3541" i="10"/>
  <c r="M3541" i="10"/>
  <c r="E3541" i="10"/>
  <c r="B3541" i="10"/>
  <c r="S3540" i="10"/>
  <c r="Q3540" i="10"/>
  <c r="P3540" i="10"/>
  <c r="O3540" i="10"/>
  <c r="M3540" i="10"/>
  <c r="E3540" i="10"/>
  <c r="B3540" i="10"/>
  <c r="S3539" i="10"/>
  <c r="Q3539" i="10"/>
  <c r="P3539" i="10"/>
  <c r="O3539" i="10"/>
  <c r="M3539" i="10"/>
  <c r="B3539" i="10"/>
  <c r="S3538" i="10"/>
  <c r="Q3538" i="10"/>
  <c r="P3538" i="10"/>
  <c r="O3538" i="10"/>
  <c r="M3538" i="10"/>
  <c r="E3538" i="10"/>
  <c r="B3538" i="10"/>
  <c r="S3537" i="10"/>
  <c r="Q3537" i="10"/>
  <c r="P3537" i="10"/>
  <c r="O3537" i="10"/>
  <c r="M3537" i="10"/>
  <c r="E3537" i="10"/>
  <c r="B3537" i="10"/>
  <c r="S3536" i="10"/>
  <c r="Q3536" i="10"/>
  <c r="P3536" i="10"/>
  <c r="O3536" i="10"/>
  <c r="M3536" i="10"/>
  <c r="E3536" i="10"/>
  <c r="B3536" i="10"/>
  <c r="S3535" i="10"/>
  <c r="Q3535" i="10"/>
  <c r="P3535" i="10"/>
  <c r="O3535" i="10"/>
  <c r="M3535" i="10"/>
  <c r="E3535" i="10"/>
  <c r="B3535" i="10"/>
  <c r="S3534" i="10"/>
  <c r="Q3534" i="10"/>
  <c r="P3534" i="10"/>
  <c r="O3534" i="10"/>
  <c r="M3534" i="10"/>
  <c r="E3534" i="10"/>
  <c r="B3534" i="10"/>
  <c r="S3533" i="10"/>
  <c r="Q3533" i="10"/>
  <c r="P3533" i="10"/>
  <c r="O3533" i="10"/>
  <c r="M3533" i="10"/>
  <c r="E3533" i="10"/>
  <c r="B3533" i="10"/>
  <c r="S3532" i="10"/>
  <c r="Q3532" i="10"/>
  <c r="P3532" i="10"/>
  <c r="O3532" i="10"/>
  <c r="M3532" i="10"/>
  <c r="E3532" i="10"/>
  <c r="B3532" i="10"/>
  <c r="S3531" i="10"/>
  <c r="Q3531" i="10"/>
  <c r="P3531" i="10"/>
  <c r="O3531" i="10"/>
  <c r="M3531" i="10"/>
  <c r="E3531" i="10"/>
  <c r="B3531" i="10"/>
  <c r="S3530" i="10"/>
  <c r="Q3530" i="10"/>
  <c r="P3530" i="10"/>
  <c r="O3530" i="10"/>
  <c r="M3530" i="10"/>
  <c r="E3530" i="10"/>
  <c r="B3530" i="10"/>
  <c r="S3529" i="10"/>
  <c r="Q3529" i="10"/>
  <c r="P3529" i="10"/>
  <c r="O3529" i="10"/>
  <c r="M3529" i="10"/>
  <c r="E3529" i="10"/>
  <c r="B3529" i="10"/>
  <c r="S3528" i="10"/>
  <c r="Q3528" i="10"/>
  <c r="P3528" i="10"/>
  <c r="O3528" i="10"/>
  <c r="M3528" i="10"/>
  <c r="E3528" i="10"/>
  <c r="B3528" i="10"/>
  <c r="S3527" i="10"/>
  <c r="Q3527" i="10"/>
  <c r="P3527" i="10"/>
  <c r="O3527" i="10"/>
  <c r="M3527" i="10"/>
  <c r="E3527" i="10"/>
  <c r="B3527" i="10"/>
  <c r="S3526" i="10"/>
  <c r="Q3526" i="10"/>
  <c r="P3526" i="10"/>
  <c r="O3526" i="10"/>
  <c r="M3526" i="10"/>
  <c r="E3526" i="10"/>
  <c r="B3526" i="10"/>
  <c r="S3525" i="10"/>
  <c r="Q3525" i="10"/>
  <c r="P3525" i="10"/>
  <c r="O3525" i="10"/>
  <c r="M3525" i="10"/>
  <c r="E3525" i="10"/>
  <c r="B3525" i="10"/>
  <c r="S3524" i="10"/>
  <c r="Q3524" i="10"/>
  <c r="P3524" i="10"/>
  <c r="O3524" i="10"/>
  <c r="M3524" i="10"/>
  <c r="B3524" i="10"/>
  <c r="S3523" i="10"/>
  <c r="Q3523" i="10"/>
  <c r="P3523" i="10"/>
  <c r="O3523" i="10"/>
  <c r="M3523" i="10"/>
  <c r="E3523" i="10"/>
  <c r="B3523" i="10"/>
  <c r="S3522" i="10"/>
  <c r="Q3522" i="10"/>
  <c r="P3522" i="10"/>
  <c r="O3522" i="10"/>
  <c r="M3522" i="10"/>
  <c r="E3522" i="10"/>
  <c r="B3522" i="10"/>
  <c r="S3521" i="10"/>
  <c r="Q3521" i="10"/>
  <c r="P3521" i="10"/>
  <c r="O3521" i="10"/>
  <c r="M3521" i="10"/>
  <c r="E3521" i="10"/>
  <c r="B3521" i="10"/>
  <c r="S3520" i="10"/>
  <c r="Q3520" i="10"/>
  <c r="P3520" i="10"/>
  <c r="O3520" i="10"/>
  <c r="M3520" i="10"/>
  <c r="B3520" i="10"/>
  <c r="S3519" i="10"/>
  <c r="Q3519" i="10"/>
  <c r="P3519" i="10"/>
  <c r="O3519" i="10"/>
  <c r="M3519" i="10"/>
  <c r="E3519" i="10"/>
  <c r="B3519" i="10"/>
  <c r="S3518" i="10"/>
  <c r="Q3518" i="10"/>
  <c r="P3518" i="10"/>
  <c r="O3518" i="10"/>
  <c r="M3518" i="10"/>
  <c r="E3518" i="10"/>
  <c r="B3518" i="10"/>
  <c r="S3517" i="10"/>
  <c r="Q3517" i="10"/>
  <c r="P3517" i="10"/>
  <c r="O3517" i="10"/>
  <c r="M3517" i="10"/>
  <c r="E3517" i="10"/>
  <c r="B3517" i="10"/>
  <c r="S3516" i="10"/>
  <c r="Q3516" i="10"/>
  <c r="P3516" i="10"/>
  <c r="O3516" i="10"/>
  <c r="M3516" i="10"/>
  <c r="E3516" i="10"/>
  <c r="B3516" i="10"/>
  <c r="S3515" i="10"/>
  <c r="Q3515" i="10"/>
  <c r="P3515" i="10"/>
  <c r="O3515" i="10"/>
  <c r="M3515" i="10"/>
  <c r="E3515" i="10"/>
  <c r="B3515" i="10"/>
  <c r="S3514" i="10"/>
  <c r="Q3514" i="10"/>
  <c r="P3514" i="10"/>
  <c r="O3514" i="10"/>
  <c r="M3514" i="10"/>
  <c r="E3514" i="10"/>
  <c r="B3514" i="10"/>
  <c r="S3513" i="10"/>
  <c r="Q3513" i="10"/>
  <c r="P3513" i="10"/>
  <c r="O3513" i="10"/>
  <c r="M3513" i="10"/>
  <c r="E3513" i="10"/>
  <c r="B3513" i="10"/>
  <c r="S3512" i="10"/>
  <c r="Q3512" i="10"/>
  <c r="P3512" i="10"/>
  <c r="O3512" i="10"/>
  <c r="M3512" i="10"/>
  <c r="E3512" i="10"/>
  <c r="B3512" i="10"/>
  <c r="S3511" i="10"/>
  <c r="Q3511" i="10"/>
  <c r="P3511" i="10"/>
  <c r="O3511" i="10"/>
  <c r="M3511" i="10"/>
  <c r="E3511" i="10"/>
  <c r="B3511" i="10"/>
  <c r="S3510" i="10"/>
  <c r="Q3510" i="10"/>
  <c r="P3510" i="10"/>
  <c r="O3510" i="10"/>
  <c r="M3510" i="10"/>
  <c r="E3510" i="10"/>
  <c r="B3510" i="10"/>
  <c r="S3509" i="10"/>
  <c r="Q3509" i="10"/>
  <c r="P3509" i="10"/>
  <c r="O3509" i="10"/>
  <c r="M3509" i="10"/>
  <c r="E3509" i="10"/>
  <c r="B3509" i="10"/>
  <c r="S3508" i="10"/>
  <c r="Q3508" i="10"/>
  <c r="P3508" i="10"/>
  <c r="O3508" i="10"/>
  <c r="M3508" i="10"/>
  <c r="B3508" i="10"/>
  <c r="S3507" i="10"/>
  <c r="Q3507" i="10"/>
  <c r="P3507" i="10"/>
  <c r="O3507" i="10"/>
  <c r="M3507" i="10"/>
  <c r="E3507" i="10"/>
  <c r="B3507" i="10"/>
  <c r="S3506" i="10"/>
  <c r="Q3506" i="10"/>
  <c r="P3506" i="10"/>
  <c r="O3506" i="10"/>
  <c r="M3506" i="10"/>
  <c r="E3506" i="10"/>
  <c r="B3506" i="10"/>
  <c r="S3505" i="10"/>
  <c r="Q3505" i="10"/>
  <c r="P3505" i="10"/>
  <c r="O3505" i="10"/>
  <c r="M3505" i="10"/>
  <c r="E3505" i="10"/>
  <c r="B3505" i="10"/>
  <c r="S3504" i="10"/>
  <c r="Q3504" i="10"/>
  <c r="P3504" i="10"/>
  <c r="O3504" i="10"/>
  <c r="M3504" i="10"/>
  <c r="E3504" i="10"/>
  <c r="B3504" i="10"/>
  <c r="S3503" i="10"/>
  <c r="Q3503" i="10"/>
  <c r="P3503" i="10"/>
  <c r="O3503" i="10"/>
  <c r="M3503" i="10"/>
  <c r="E3503" i="10"/>
  <c r="B3503" i="10"/>
  <c r="S3502" i="10"/>
  <c r="Q3502" i="10"/>
  <c r="P3502" i="10"/>
  <c r="O3502" i="10"/>
  <c r="M3502" i="10"/>
  <c r="E3502" i="10"/>
  <c r="B3502" i="10"/>
  <c r="S3501" i="10"/>
  <c r="Q3501" i="10"/>
  <c r="P3501" i="10"/>
  <c r="O3501" i="10"/>
  <c r="M3501" i="10"/>
  <c r="E3501" i="10"/>
  <c r="B3501" i="10"/>
  <c r="S3500" i="10"/>
  <c r="Q3500" i="10"/>
  <c r="P3500" i="10"/>
  <c r="O3500" i="10"/>
  <c r="M3500" i="10"/>
  <c r="E3500" i="10"/>
  <c r="B3500" i="10"/>
  <c r="S3499" i="10"/>
  <c r="Q3499" i="10"/>
  <c r="P3499" i="10"/>
  <c r="O3499" i="10"/>
  <c r="M3499" i="10"/>
  <c r="E3499" i="10"/>
  <c r="B3499" i="10"/>
  <c r="S3498" i="10"/>
  <c r="Q3498" i="10"/>
  <c r="P3498" i="10"/>
  <c r="O3498" i="10"/>
  <c r="M3498" i="10"/>
  <c r="E3498" i="10"/>
  <c r="B3498" i="10"/>
  <c r="S3497" i="10"/>
  <c r="Q3497" i="10"/>
  <c r="P3497" i="10"/>
  <c r="O3497" i="10"/>
  <c r="M3497" i="10"/>
  <c r="E3497" i="10"/>
  <c r="B3497" i="10"/>
  <c r="S3496" i="10"/>
  <c r="Q3496" i="10"/>
  <c r="P3496" i="10"/>
  <c r="O3496" i="10"/>
  <c r="M3496" i="10"/>
  <c r="E3496" i="10"/>
  <c r="B3496" i="10"/>
  <c r="S3495" i="10"/>
  <c r="Q3495" i="10"/>
  <c r="P3495" i="10"/>
  <c r="O3495" i="10"/>
  <c r="M3495" i="10"/>
  <c r="E3495" i="10"/>
  <c r="B3495" i="10"/>
  <c r="S3494" i="10"/>
  <c r="Q3494" i="10"/>
  <c r="P3494" i="10"/>
  <c r="O3494" i="10"/>
  <c r="M3494" i="10"/>
  <c r="E3494" i="10"/>
  <c r="B3494" i="10"/>
  <c r="S3493" i="10"/>
  <c r="Q3493" i="10"/>
  <c r="P3493" i="10"/>
  <c r="O3493" i="10"/>
  <c r="M3493" i="10"/>
  <c r="E3493" i="10"/>
  <c r="B3493" i="10"/>
  <c r="S3492" i="10"/>
  <c r="Q3492" i="10"/>
  <c r="P3492" i="10"/>
  <c r="O3492" i="10"/>
  <c r="M3492" i="10"/>
  <c r="E3492" i="10"/>
  <c r="B3492" i="10"/>
  <c r="S3491" i="10"/>
  <c r="Q3491" i="10"/>
  <c r="P3491" i="10"/>
  <c r="O3491" i="10"/>
  <c r="M3491" i="10"/>
  <c r="E3491" i="10"/>
  <c r="B3491" i="10"/>
  <c r="S3490" i="10"/>
  <c r="Q3490" i="10"/>
  <c r="P3490" i="10"/>
  <c r="O3490" i="10"/>
  <c r="M3490" i="10"/>
  <c r="E3490" i="10"/>
  <c r="B3490" i="10"/>
  <c r="S3489" i="10"/>
  <c r="Q3489" i="10"/>
  <c r="P3489" i="10"/>
  <c r="O3489" i="10"/>
  <c r="M3489" i="10"/>
  <c r="B3489" i="10"/>
  <c r="S3488" i="10"/>
  <c r="Q3488" i="10"/>
  <c r="P3488" i="10"/>
  <c r="O3488" i="10"/>
  <c r="M3488" i="10"/>
  <c r="E3488" i="10"/>
  <c r="B3488" i="10"/>
  <c r="S3487" i="10"/>
  <c r="Q3487" i="10"/>
  <c r="P3487" i="10"/>
  <c r="O3487" i="10"/>
  <c r="M3487" i="10"/>
  <c r="E3487" i="10"/>
  <c r="B3487" i="10"/>
  <c r="S3486" i="10"/>
  <c r="Q3486" i="10"/>
  <c r="P3486" i="10"/>
  <c r="O3486" i="10"/>
  <c r="M3486" i="10"/>
  <c r="E3486" i="10"/>
  <c r="B3486" i="10"/>
  <c r="S3485" i="10"/>
  <c r="Q3485" i="10"/>
  <c r="P3485" i="10"/>
  <c r="O3485" i="10"/>
  <c r="M3485" i="10"/>
  <c r="E3485" i="10"/>
  <c r="B3485" i="10"/>
  <c r="S3484" i="10"/>
  <c r="Q3484" i="10"/>
  <c r="P3484" i="10"/>
  <c r="O3484" i="10"/>
  <c r="M3484" i="10"/>
  <c r="E3484" i="10"/>
  <c r="B3484" i="10"/>
  <c r="S3483" i="10"/>
  <c r="Q3483" i="10"/>
  <c r="P3483" i="10"/>
  <c r="O3483" i="10"/>
  <c r="M3483" i="10"/>
  <c r="E3483" i="10"/>
  <c r="B3483" i="10"/>
  <c r="S3482" i="10"/>
  <c r="Q3482" i="10"/>
  <c r="P3482" i="10"/>
  <c r="O3482" i="10"/>
  <c r="M3482" i="10"/>
  <c r="E3482" i="10"/>
  <c r="B3482" i="10"/>
  <c r="S3481" i="10"/>
  <c r="Q3481" i="10"/>
  <c r="P3481" i="10"/>
  <c r="O3481" i="10"/>
  <c r="M3481" i="10"/>
  <c r="E3481" i="10"/>
  <c r="B3481" i="10"/>
  <c r="S3480" i="10"/>
  <c r="Q3480" i="10"/>
  <c r="P3480" i="10"/>
  <c r="O3480" i="10"/>
  <c r="M3480" i="10"/>
  <c r="E3480" i="10"/>
  <c r="B3480" i="10"/>
  <c r="S3479" i="10"/>
  <c r="Q3479" i="10"/>
  <c r="P3479" i="10"/>
  <c r="O3479" i="10"/>
  <c r="M3479" i="10"/>
  <c r="E3479" i="10"/>
  <c r="B3479" i="10"/>
  <c r="S3478" i="10"/>
  <c r="Q3478" i="10"/>
  <c r="P3478" i="10"/>
  <c r="O3478" i="10"/>
  <c r="M3478" i="10"/>
  <c r="E3478" i="10"/>
  <c r="B3478" i="10"/>
  <c r="S3477" i="10"/>
  <c r="Q3477" i="10"/>
  <c r="P3477" i="10"/>
  <c r="O3477" i="10"/>
  <c r="M3477" i="10"/>
  <c r="E3477" i="10"/>
  <c r="B3477" i="10"/>
  <c r="S3476" i="10"/>
  <c r="Q3476" i="10"/>
  <c r="P3476" i="10"/>
  <c r="O3476" i="10"/>
  <c r="M3476" i="10"/>
  <c r="B3476" i="10"/>
  <c r="S3475" i="10"/>
  <c r="Q3475" i="10"/>
  <c r="P3475" i="10"/>
  <c r="O3475" i="10"/>
  <c r="M3475" i="10"/>
  <c r="E3475" i="10"/>
  <c r="B3475" i="10"/>
  <c r="S3474" i="10"/>
  <c r="Q3474" i="10"/>
  <c r="P3474" i="10"/>
  <c r="O3474" i="10"/>
  <c r="M3474" i="10"/>
  <c r="E3474" i="10"/>
  <c r="B3474" i="10"/>
  <c r="S3473" i="10"/>
  <c r="Q3473" i="10"/>
  <c r="P3473" i="10"/>
  <c r="O3473" i="10"/>
  <c r="M3473" i="10"/>
  <c r="E3473" i="10"/>
  <c r="B3473" i="10"/>
  <c r="S3472" i="10"/>
  <c r="Q3472" i="10"/>
  <c r="P3472" i="10"/>
  <c r="O3472" i="10"/>
  <c r="M3472" i="10"/>
  <c r="E3472" i="10"/>
  <c r="B3472" i="10"/>
  <c r="S3471" i="10"/>
  <c r="Q3471" i="10"/>
  <c r="P3471" i="10"/>
  <c r="O3471" i="10"/>
  <c r="M3471" i="10"/>
  <c r="E3471" i="10"/>
  <c r="B3471" i="10"/>
  <c r="S3470" i="10"/>
  <c r="Q3470" i="10"/>
  <c r="P3470" i="10"/>
  <c r="O3470" i="10"/>
  <c r="M3470" i="10"/>
  <c r="B3470" i="10"/>
  <c r="S3469" i="10"/>
  <c r="Q3469" i="10"/>
  <c r="P3469" i="10"/>
  <c r="O3469" i="10"/>
  <c r="M3469" i="10"/>
  <c r="E3469" i="10"/>
  <c r="B3469" i="10"/>
  <c r="S3468" i="10"/>
  <c r="Q3468" i="10"/>
  <c r="P3468" i="10"/>
  <c r="O3468" i="10"/>
  <c r="M3468" i="10"/>
  <c r="E3468" i="10"/>
  <c r="B3468" i="10"/>
  <c r="S3467" i="10"/>
  <c r="Q3467" i="10"/>
  <c r="P3467" i="10"/>
  <c r="O3467" i="10"/>
  <c r="M3467" i="10"/>
  <c r="E3467" i="10"/>
  <c r="B3467" i="10"/>
  <c r="S3466" i="10"/>
  <c r="Q3466" i="10"/>
  <c r="P3466" i="10"/>
  <c r="O3466" i="10"/>
  <c r="M3466" i="10"/>
  <c r="E3466" i="10"/>
  <c r="B3466" i="10"/>
  <c r="S3465" i="10"/>
  <c r="Q3465" i="10"/>
  <c r="P3465" i="10"/>
  <c r="O3465" i="10"/>
  <c r="M3465" i="10"/>
  <c r="E3465" i="10"/>
  <c r="B3465" i="10"/>
  <c r="S3464" i="10"/>
  <c r="Q3464" i="10"/>
  <c r="P3464" i="10"/>
  <c r="O3464" i="10"/>
  <c r="M3464" i="10"/>
  <c r="E3464" i="10"/>
  <c r="B3464" i="10"/>
  <c r="S3463" i="10"/>
  <c r="Q3463" i="10"/>
  <c r="P3463" i="10"/>
  <c r="O3463" i="10"/>
  <c r="M3463" i="10"/>
  <c r="E3463" i="10"/>
  <c r="B3463" i="10"/>
  <c r="S3462" i="10"/>
  <c r="Q3462" i="10"/>
  <c r="P3462" i="10"/>
  <c r="O3462" i="10"/>
  <c r="M3462" i="10"/>
  <c r="E3462" i="10"/>
  <c r="B3462" i="10"/>
  <c r="S3461" i="10"/>
  <c r="Q3461" i="10"/>
  <c r="P3461" i="10"/>
  <c r="O3461" i="10"/>
  <c r="M3461" i="10"/>
  <c r="E3461" i="10"/>
  <c r="B3461" i="10"/>
  <c r="S3460" i="10"/>
  <c r="Q3460" i="10"/>
  <c r="P3460" i="10"/>
  <c r="O3460" i="10"/>
  <c r="M3460" i="10"/>
  <c r="E3460" i="10"/>
  <c r="B3460" i="10"/>
  <c r="S3459" i="10"/>
  <c r="Q3459" i="10"/>
  <c r="P3459" i="10"/>
  <c r="O3459" i="10"/>
  <c r="M3459" i="10"/>
  <c r="E3459" i="10"/>
  <c r="B3459" i="10"/>
  <c r="S3458" i="10"/>
  <c r="Q3458" i="10"/>
  <c r="P3458" i="10"/>
  <c r="O3458" i="10"/>
  <c r="M3458" i="10"/>
  <c r="E3458" i="10"/>
  <c r="B3458" i="10"/>
  <c r="S3457" i="10"/>
  <c r="Q3457" i="10"/>
  <c r="P3457" i="10"/>
  <c r="O3457" i="10"/>
  <c r="M3457" i="10"/>
  <c r="E3457" i="10"/>
  <c r="B3457" i="10"/>
  <c r="S3456" i="10"/>
  <c r="Q3456" i="10"/>
  <c r="P3456" i="10"/>
  <c r="O3456" i="10"/>
  <c r="M3456" i="10"/>
  <c r="E3456" i="10"/>
  <c r="B3456" i="10"/>
  <c r="S3455" i="10"/>
  <c r="Q3455" i="10"/>
  <c r="P3455" i="10"/>
  <c r="O3455" i="10"/>
  <c r="M3455" i="10"/>
  <c r="E3455" i="10"/>
  <c r="B3455" i="10"/>
  <c r="S3454" i="10"/>
  <c r="Q3454" i="10"/>
  <c r="P3454" i="10"/>
  <c r="O3454" i="10"/>
  <c r="M3454" i="10"/>
  <c r="E3454" i="10"/>
  <c r="B3454" i="10"/>
  <c r="S3453" i="10"/>
  <c r="Q3453" i="10"/>
  <c r="P3453" i="10"/>
  <c r="O3453" i="10"/>
  <c r="M3453" i="10"/>
  <c r="E3453" i="10"/>
  <c r="B3453" i="10"/>
  <c r="S3452" i="10"/>
  <c r="Q3452" i="10"/>
  <c r="P3452" i="10"/>
  <c r="O3452" i="10"/>
  <c r="M3452" i="10"/>
  <c r="E3452" i="10"/>
  <c r="B3452" i="10"/>
  <c r="S3451" i="10"/>
  <c r="Q3451" i="10"/>
  <c r="P3451" i="10"/>
  <c r="O3451" i="10"/>
  <c r="M3451" i="10"/>
  <c r="E3451" i="10"/>
  <c r="B3451" i="10"/>
  <c r="S3450" i="10"/>
  <c r="Q3450" i="10"/>
  <c r="P3450" i="10"/>
  <c r="O3450" i="10"/>
  <c r="M3450" i="10"/>
  <c r="E3450" i="10"/>
  <c r="B3450" i="10"/>
  <c r="S3449" i="10"/>
  <c r="Q3449" i="10"/>
  <c r="P3449" i="10"/>
  <c r="O3449" i="10"/>
  <c r="M3449" i="10"/>
  <c r="E3449" i="10"/>
  <c r="B3449" i="10"/>
  <c r="S3448" i="10"/>
  <c r="Q3448" i="10"/>
  <c r="P3448" i="10"/>
  <c r="O3448" i="10"/>
  <c r="M3448" i="10"/>
  <c r="E3448" i="10"/>
  <c r="B3448" i="10"/>
  <c r="S3447" i="10"/>
  <c r="Q3447" i="10"/>
  <c r="P3447" i="10"/>
  <c r="O3447" i="10"/>
  <c r="M3447" i="10"/>
  <c r="E3447" i="10"/>
  <c r="B3447" i="10"/>
  <c r="S3446" i="10"/>
  <c r="Q3446" i="10"/>
  <c r="P3446" i="10"/>
  <c r="O3446" i="10"/>
  <c r="M3446" i="10"/>
  <c r="E3446" i="10"/>
  <c r="B3446" i="10"/>
  <c r="S3445" i="10"/>
  <c r="Q3445" i="10"/>
  <c r="P3445" i="10"/>
  <c r="O3445" i="10"/>
  <c r="M3445" i="10"/>
  <c r="E3445" i="10"/>
  <c r="B3445" i="10"/>
  <c r="S3444" i="10"/>
  <c r="Q3444" i="10"/>
  <c r="P3444" i="10"/>
  <c r="O3444" i="10"/>
  <c r="M3444" i="10"/>
  <c r="E3444" i="10"/>
  <c r="B3444" i="10"/>
  <c r="S3443" i="10"/>
  <c r="Q3443" i="10"/>
  <c r="P3443" i="10"/>
  <c r="O3443" i="10"/>
  <c r="M3443" i="10"/>
  <c r="E3443" i="10"/>
  <c r="B3443" i="10"/>
  <c r="S3442" i="10"/>
  <c r="Q3442" i="10"/>
  <c r="P3442" i="10"/>
  <c r="O3442" i="10"/>
  <c r="M3442" i="10"/>
  <c r="B3442" i="10"/>
  <c r="S3441" i="10"/>
  <c r="Q3441" i="10"/>
  <c r="P3441" i="10"/>
  <c r="O3441" i="10"/>
  <c r="M3441" i="10"/>
  <c r="E3441" i="10"/>
  <c r="B3441" i="10"/>
  <c r="S3440" i="10"/>
  <c r="Q3440" i="10"/>
  <c r="P3440" i="10"/>
  <c r="O3440" i="10"/>
  <c r="M3440" i="10"/>
  <c r="E3440" i="10"/>
  <c r="B3440" i="10"/>
  <c r="S3439" i="10"/>
  <c r="Q3439" i="10"/>
  <c r="P3439" i="10"/>
  <c r="O3439" i="10"/>
  <c r="M3439" i="10"/>
  <c r="E3439" i="10"/>
  <c r="B3439" i="10"/>
  <c r="S3438" i="10"/>
  <c r="Q3438" i="10"/>
  <c r="P3438" i="10"/>
  <c r="O3438" i="10"/>
  <c r="M3438" i="10"/>
  <c r="E3438" i="10"/>
  <c r="B3438" i="10"/>
  <c r="S3437" i="10"/>
  <c r="Q3437" i="10"/>
  <c r="P3437" i="10"/>
  <c r="O3437" i="10"/>
  <c r="M3437" i="10"/>
  <c r="E3437" i="10"/>
  <c r="B3437" i="10"/>
  <c r="S3436" i="10"/>
  <c r="Q3436" i="10"/>
  <c r="P3436" i="10"/>
  <c r="O3436" i="10"/>
  <c r="M3436" i="10"/>
  <c r="E3436" i="10"/>
  <c r="B3436" i="10"/>
  <c r="S3435" i="10"/>
  <c r="Q3435" i="10"/>
  <c r="P3435" i="10"/>
  <c r="O3435" i="10"/>
  <c r="M3435" i="10"/>
  <c r="B3435" i="10"/>
  <c r="S3434" i="10"/>
  <c r="Q3434" i="10"/>
  <c r="P3434" i="10"/>
  <c r="O3434" i="10"/>
  <c r="M3434" i="10"/>
  <c r="E3434" i="10"/>
  <c r="B3434" i="10"/>
  <c r="S3433" i="10"/>
  <c r="Q3433" i="10"/>
  <c r="P3433" i="10"/>
  <c r="O3433" i="10"/>
  <c r="M3433" i="10"/>
  <c r="B3433" i="10"/>
  <c r="S3432" i="10"/>
  <c r="Q3432" i="10"/>
  <c r="P3432" i="10"/>
  <c r="O3432" i="10"/>
  <c r="M3432" i="10"/>
  <c r="E3432" i="10"/>
  <c r="B3432" i="10"/>
  <c r="S3431" i="10"/>
  <c r="Q3431" i="10"/>
  <c r="P3431" i="10"/>
  <c r="O3431" i="10"/>
  <c r="M3431" i="10"/>
  <c r="E3431" i="10"/>
  <c r="B3431" i="10"/>
  <c r="S3430" i="10"/>
  <c r="Q3430" i="10"/>
  <c r="P3430" i="10"/>
  <c r="O3430" i="10"/>
  <c r="M3430" i="10"/>
  <c r="E3430" i="10"/>
  <c r="B3430" i="10"/>
  <c r="S3429" i="10"/>
  <c r="Q3429" i="10"/>
  <c r="P3429" i="10"/>
  <c r="O3429" i="10"/>
  <c r="M3429" i="10"/>
  <c r="E3429" i="10"/>
  <c r="B3429" i="10"/>
  <c r="S3428" i="10"/>
  <c r="Q3428" i="10"/>
  <c r="P3428" i="10"/>
  <c r="O3428" i="10"/>
  <c r="M3428" i="10"/>
  <c r="E3428" i="10"/>
  <c r="B3428" i="10"/>
  <c r="S3427" i="10"/>
  <c r="Q3427" i="10"/>
  <c r="P3427" i="10"/>
  <c r="O3427" i="10"/>
  <c r="M3427" i="10"/>
  <c r="E3427" i="10"/>
  <c r="B3427" i="10"/>
  <c r="S3426" i="10"/>
  <c r="Q3426" i="10"/>
  <c r="P3426" i="10"/>
  <c r="O3426" i="10"/>
  <c r="M3426" i="10"/>
  <c r="E3426" i="10"/>
  <c r="B3426" i="10"/>
  <c r="S3425" i="10"/>
  <c r="Q3425" i="10"/>
  <c r="P3425" i="10"/>
  <c r="O3425" i="10"/>
  <c r="M3425" i="10"/>
  <c r="E3425" i="10"/>
  <c r="B3425" i="10"/>
  <c r="S3424" i="10"/>
  <c r="Q3424" i="10"/>
  <c r="P3424" i="10"/>
  <c r="O3424" i="10"/>
  <c r="M3424" i="10"/>
  <c r="E3424" i="10"/>
  <c r="B3424" i="10"/>
  <c r="S3423" i="10"/>
  <c r="Q3423" i="10"/>
  <c r="P3423" i="10"/>
  <c r="O3423" i="10"/>
  <c r="M3423" i="10"/>
  <c r="E3423" i="10"/>
  <c r="B3423" i="10"/>
  <c r="S3422" i="10"/>
  <c r="Q3422" i="10"/>
  <c r="P3422" i="10"/>
  <c r="O3422" i="10"/>
  <c r="M3422" i="10"/>
  <c r="E3422" i="10"/>
  <c r="B3422" i="10"/>
  <c r="S3421" i="10"/>
  <c r="Q3421" i="10"/>
  <c r="P3421" i="10"/>
  <c r="O3421" i="10"/>
  <c r="M3421" i="10"/>
  <c r="E3421" i="10"/>
  <c r="B3421" i="10"/>
  <c r="S3420" i="10"/>
  <c r="Q3420" i="10"/>
  <c r="P3420" i="10"/>
  <c r="O3420" i="10"/>
  <c r="M3420" i="10"/>
  <c r="E3420" i="10"/>
  <c r="B3420" i="10"/>
  <c r="S3419" i="10"/>
  <c r="Q3419" i="10"/>
  <c r="P3419" i="10"/>
  <c r="O3419" i="10"/>
  <c r="M3419" i="10"/>
  <c r="E3419" i="10"/>
  <c r="B3419" i="10"/>
  <c r="S3418" i="10"/>
  <c r="Q3418" i="10"/>
  <c r="P3418" i="10"/>
  <c r="O3418" i="10"/>
  <c r="M3418" i="10"/>
  <c r="B3418" i="10"/>
  <c r="S3417" i="10"/>
  <c r="Q3417" i="10"/>
  <c r="P3417" i="10"/>
  <c r="O3417" i="10"/>
  <c r="M3417" i="10"/>
  <c r="E3417" i="10"/>
  <c r="B3417" i="10"/>
  <c r="S3416" i="10"/>
  <c r="Q3416" i="10"/>
  <c r="P3416" i="10"/>
  <c r="O3416" i="10"/>
  <c r="M3416" i="10"/>
  <c r="E3416" i="10"/>
  <c r="B3416" i="10"/>
  <c r="S3415" i="10"/>
  <c r="Q3415" i="10"/>
  <c r="P3415" i="10"/>
  <c r="O3415" i="10"/>
  <c r="M3415" i="10"/>
  <c r="E3415" i="10"/>
  <c r="B3415" i="10"/>
  <c r="S3414" i="10"/>
  <c r="Q3414" i="10"/>
  <c r="P3414" i="10"/>
  <c r="O3414" i="10"/>
  <c r="M3414" i="10"/>
  <c r="E3414" i="10"/>
  <c r="B3414" i="10"/>
  <c r="S3413" i="10"/>
  <c r="Q3413" i="10"/>
  <c r="P3413" i="10"/>
  <c r="O3413" i="10"/>
  <c r="M3413" i="10"/>
  <c r="E3413" i="10"/>
  <c r="B3413" i="10"/>
  <c r="S3412" i="10"/>
  <c r="Q3412" i="10"/>
  <c r="P3412" i="10"/>
  <c r="O3412" i="10"/>
  <c r="M3412" i="10"/>
  <c r="E3412" i="10"/>
  <c r="B3412" i="10"/>
  <c r="S3411" i="10"/>
  <c r="Q3411" i="10"/>
  <c r="P3411" i="10"/>
  <c r="O3411" i="10"/>
  <c r="M3411" i="10"/>
  <c r="E3411" i="10"/>
  <c r="B3411" i="10"/>
  <c r="S3410" i="10"/>
  <c r="Q3410" i="10"/>
  <c r="P3410" i="10"/>
  <c r="O3410" i="10"/>
  <c r="M3410" i="10"/>
  <c r="E3410" i="10"/>
  <c r="B3410" i="10"/>
  <c r="S3409" i="10"/>
  <c r="Q3409" i="10"/>
  <c r="P3409" i="10"/>
  <c r="O3409" i="10"/>
  <c r="M3409" i="10"/>
  <c r="E3409" i="10"/>
  <c r="B3409" i="10"/>
  <c r="S3408" i="10"/>
  <c r="Q3408" i="10"/>
  <c r="P3408" i="10"/>
  <c r="O3408" i="10"/>
  <c r="M3408" i="10"/>
  <c r="E3408" i="10"/>
  <c r="B3408" i="10"/>
  <c r="S3407" i="10"/>
  <c r="Q3407" i="10"/>
  <c r="P3407" i="10"/>
  <c r="O3407" i="10"/>
  <c r="M3407" i="10"/>
  <c r="E3407" i="10"/>
  <c r="B3407" i="10"/>
  <c r="S3406" i="10"/>
  <c r="Q3406" i="10"/>
  <c r="P3406" i="10"/>
  <c r="O3406" i="10"/>
  <c r="M3406" i="10"/>
  <c r="E3406" i="10"/>
  <c r="B3406" i="10"/>
  <c r="S3405" i="10"/>
  <c r="Q3405" i="10"/>
  <c r="P3405" i="10"/>
  <c r="O3405" i="10"/>
  <c r="M3405" i="10"/>
  <c r="E3405" i="10"/>
  <c r="B3405" i="10"/>
  <c r="S3404" i="10"/>
  <c r="Q3404" i="10"/>
  <c r="P3404" i="10"/>
  <c r="O3404" i="10"/>
  <c r="M3404" i="10"/>
  <c r="E3404" i="10"/>
  <c r="B3404" i="10"/>
  <c r="S3403" i="10"/>
  <c r="Q3403" i="10"/>
  <c r="P3403" i="10"/>
  <c r="O3403" i="10"/>
  <c r="M3403" i="10"/>
  <c r="E3403" i="10"/>
  <c r="B3403" i="10"/>
  <c r="S3402" i="10"/>
  <c r="Q3402" i="10"/>
  <c r="P3402" i="10"/>
  <c r="O3402" i="10"/>
  <c r="M3402" i="10"/>
  <c r="E3402" i="10"/>
  <c r="B3402" i="10"/>
  <c r="S3401" i="10"/>
  <c r="Q3401" i="10"/>
  <c r="P3401" i="10"/>
  <c r="O3401" i="10"/>
  <c r="M3401" i="10"/>
  <c r="E3401" i="10"/>
  <c r="B3401" i="10"/>
  <c r="S3400" i="10"/>
  <c r="Q3400" i="10"/>
  <c r="P3400" i="10"/>
  <c r="O3400" i="10"/>
  <c r="M3400" i="10"/>
  <c r="E3400" i="10"/>
  <c r="B3400" i="10"/>
  <c r="S3399" i="10"/>
  <c r="Q3399" i="10"/>
  <c r="P3399" i="10"/>
  <c r="O3399" i="10"/>
  <c r="M3399" i="10"/>
  <c r="E3399" i="10"/>
  <c r="B3399" i="10"/>
  <c r="S3398" i="10"/>
  <c r="Q3398" i="10"/>
  <c r="P3398" i="10"/>
  <c r="O3398" i="10"/>
  <c r="M3398" i="10"/>
  <c r="E3398" i="10"/>
  <c r="B3398" i="10"/>
  <c r="S3397" i="10"/>
  <c r="Q3397" i="10"/>
  <c r="P3397" i="10"/>
  <c r="O3397" i="10"/>
  <c r="M3397" i="10"/>
  <c r="E3397" i="10"/>
  <c r="B3397" i="10"/>
  <c r="S3396" i="10"/>
  <c r="Q3396" i="10"/>
  <c r="P3396" i="10"/>
  <c r="O3396" i="10"/>
  <c r="M3396" i="10"/>
  <c r="E3396" i="10"/>
  <c r="B3396" i="10"/>
  <c r="S3395" i="10"/>
  <c r="Q3395" i="10"/>
  <c r="P3395" i="10"/>
  <c r="O3395" i="10"/>
  <c r="M3395" i="10"/>
  <c r="E3395" i="10"/>
  <c r="B3395" i="10"/>
  <c r="S3394" i="10"/>
  <c r="Q3394" i="10"/>
  <c r="P3394" i="10"/>
  <c r="O3394" i="10"/>
  <c r="M3394" i="10"/>
  <c r="E3394" i="10"/>
  <c r="B3394" i="10"/>
  <c r="S3393" i="10"/>
  <c r="Q3393" i="10"/>
  <c r="P3393" i="10"/>
  <c r="O3393" i="10"/>
  <c r="M3393" i="10"/>
  <c r="E3393" i="10"/>
  <c r="B3393" i="10"/>
  <c r="S3392" i="10"/>
  <c r="Q3392" i="10"/>
  <c r="P3392" i="10"/>
  <c r="O3392" i="10"/>
  <c r="M3392" i="10"/>
  <c r="E3392" i="10"/>
  <c r="B3392" i="10"/>
  <c r="S3391" i="10"/>
  <c r="Q3391" i="10"/>
  <c r="P3391" i="10"/>
  <c r="O3391" i="10"/>
  <c r="M3391" i="10"/>
  <c r="E3391" i="10"/>
  <c r="B3391" i="10"/>
  <c r="S3390" i="10"/>
  <c r="Q3390" i="10"/>
  <c r="P3390" i="10"/>
  <c r="O3390" i="10"/>
  <c r="M3390" i="10"/>
  <c r="E3390" i="10"/>
  <c r="B3390" i="10"/>
  <c r="S3389" i="10"/>
  <c r="Q3389" i="10"/>
  <c r="P3389" i="10"/>
  <c r="O3389" i="10"/>
  <c r="M3389" i="10"/>
  <c r="E3389" i="10"/>
  <c r="B3389" i="10"/>
  <c r="S3388" i="10"/>
  <c r="Q3388" i="10"/>
  <c r="P3388" i="10"/>
  <c r="O3388" i="10"/>
  <c r="M3388" i="10"/>
  <c r="E3388" i="10"/>
  <c r="B3388" i="10"/>
  <c r="S3387" i="10"/>
  <c r="Q3387" i="10"/>
  <c r="P3387" i="10"/>
  <c r="O3387" i="10"/>
  <c r="M3387" i="10"/>
  <c r="B3387" i="10"/>
  <c r="S3386" i="10"/>
  <c r="Q3386" i="10"/>
  <c r="P3386" i="10"/>
  <c r="O3386" i="10"/>
  <c r="M3386" i="10"/>
  <c r="E3386" i="10"/>
  <c r="B3386" i="10"/>
  <c r="S3385" i="10"/>
  <c r="Q3385" i="10"/>
  <c r="P3385" i="10"/>
  <c r="O3385" i="10"/>
  <c r="M3385" i="10"/>
  <c r="E3385" i="10"/>
  <c r="B3385" i="10"/>
  <c r="S3384" i="10"/>
  <c r="Q3384" i="10"/>
  <c r="P3384" i="10"/>
  <c r="O3384" i="10"/>
  <c r="M3384" i="10"/>
  <c r="E3384" i="10"/>
  <c r="B3384" i="10"/>
  <c r="S3383" i="10"/>
  <c r="Q3383" i="10"/>
  <c r="P3383" i="10"/>
  <c r="O3383" i="10"/>
  <c r="M3383" i="10"/>
  <c r="E3383" i="10"/>
  <c r="B3383" i="10"/>
  <c r="S3382" i="10"/>
  <c r="Q3382" i="10"/>
  <c r="P3382" i="10"/>
  <c r="O3382" i="10"/>
  <c r="M3382" i="10"/>
  <c r="E3382" i="10"/>
  <c r="B3382" i="10"/>
  <c r="S3381" i="10"/>
  <c r="Q3381" i="10"/>
  <c r="P3381" i="10"/>
  <c r="O3381" i="10"/>
  <c r="M3381" i="10"/>
  <c r="E3381" i="10"/>
  <c r="B3381" i="10"/>
  <c r="S3380" i="10"/>
  <c r="Q3380" i="10"/>
  <c r="P3380" i="10"/>
  <c r="O3380" i="10"/>
  <c r="M3380" i="10"/>
  <c r="E3380" i="10"/>
  <c r="B3380" i="10"/>
  <c r="S3379" i="10"/>
  <c r="Q3379" i="10"/>
  <c r="P3379" i="10"/>
  <c r="O3379" i="10"/>
  <c r="M3379" i="10"/>
  <c r="E3379" i="10"/>
  <c r="B3379" i="10"/>
  <c r="S3378" i="10"/>
  <c r="Q3378" i="10"/>
  <c r="P3378" i="10"/>
  <c r="O3378" i="10"/>
  <c r="M3378" i="10"/>
  <c r="E3378" i="10"/>
  <c r="B3378" i="10"/>
  <c r="S3377" i="10"/>
  <c r="Q3377" i="10"/>
  <c r="P3377" i="10"/>
  <c r="O3377" i="10"/>
  <c r="M3377" i="10"/>
  <c r="B3377" i="10"/>
  <c r="S3376" i="10"/>
  <c r="Q3376" i="10"/>
  <c r="P3376" i="10"/>
  <c r="O3376" i="10"/>
  <c r="M3376" i="10"/>
  <c r="E3376" i="10"/>
  <c r="B3376" i="10"/>
  <c r="S3375" i="10"/>
  <c r="Q3375" i="10"/>
  <c r="P3375" i="10"/>
  <c r="O3375" i="10"/>
  <c r="M3375" i="10"/>
  <c r="E3375" i="10"/>
  <c r="B3375" i="10"/>
  <c r="S3374" i="10"/>
  <c r="Q3374" i="10"/>
  <c r="P3374" i="10"/>
  <c r="O3374" i="10"/>
  <c r="M3374" i="10"/>
  <c r="B3374" i="10"/>
  <c r="S3373" i="10"/>
  <c r="Q3373" i="10"/>
  <c r="P3373" i="10"/>
  <c r="O3373" i="10"/>
  <c r="M3373" i="10"/>
  <c r="E3373" i="10"/>
  <c r="B3373" i="10"/>
  <c r="S3372" i="10"/>
  <c r="Q3372" i="10"/>
  <c r="P3372" i="10"/>
  <c r="O3372" i="10"/>
  <c r="M3372" i="10"/>
  <c r="E3372" i="10"/>
  <c r="B3372" i="10"/>
  <c r="S3371" i="10"/>
  <c r="Q3371" i="10"/>
  <c r="P3371" i="10"/>
  <c r="O3371" i="10"/>
  <c r="M3371" i="10"/>
  <c r="B3371" i="10"/>
  <c r="S3370" i="10"/>
  <c r="Q3370" i="10"/>
  <c r="P3370" i="10"/>
  <c r="O3370" i="10"/>
  <c r="M3370" i="10"/>
  <c r="E3370" i="10"/>
  <c r="B3370" i="10"/>
  <c r="S3369" i="10"/>
  <c r="Q3369" i="10"/>
  <c r="P3369" i="10"/>
  <c r="O3369" i="10"/>
  <c r="M3369" i="10"/>
  <c r="E3369" i="10"/>
  <c r="B3369" i="10"/>
  <c r="S3368" i="10"/>
  <c r="Q3368" i="10"/>
  <c r="P3368" i="10"/>
  <c r="O3368" i="10"/>
  <c r="M3368" i="10"/>
  <c r="E3368" i="10"/>
  <c r="B3368" i="10"/>
  <c r="S3367" i="10"/>
  <c r="Q3367" i="10"/>
  <c r="P3367" i="10"/>
  <c r="O3367" i="10"/>
  <c r="M3367" i="10"/>
  <c r="E3367" i="10"/>
  <c r="B3367" i="10"/>
  <c r="S3366" i="10"/>
  <c r="Q3366" i="10"/>
  <c r="P3366" i="10"/>
  <c r="O3366" i="10"/>
  <c r="M3366" i="10"/>
  <c r="E3366" i="10"/>
  <c r="B3366" i="10"/>
  <c r="S3365" i="10"/>
  <c r="Q3365" i="10"/>
  <c r="P3365" i="10"/>
  <c r="O3365" i="10"/>
  <c r="M3365" i="10"/>
  <c r="E3365" i="10"/>
  <c r="B3365" i="10"/>
  <c r="S3364" i="10"/>
  <c r="Q3364" i="10"/>
  <c r="P3364" i="10"/>
  <c r="O3364" i="10"/>
  <c r="M3364" i="10"/>
  <c r="E3364" i="10"/>
  <c r="B3364" i="10"/>
  <c r="S3363" i="10"/>
  <c r="Q3363" i="10"/>
  <c r="P3363" i="10"/>
  <c r="O3363" i="10"/>
  <c r="M3363" i="10"/>
  <c r="E3363" i="10"/>
  <c r="B3363" i="10"/>
  <c r="S3362" i="10"/>
  <c r="Q3362" i="10"/>
  <c r="P3362" i="10"/>
  <c r="O3362" i="10"/>
  <c r="M3362" i="10"/>
  <c r="E3362" i="10"/>
  <c r="B3362" i="10"/>
  <c r="S3361" i="10"/>
  <c r="Q3361" i="10"/>
  <c r="P3361" i="10"/>
  <c r="O3361" i="10"/>
  <c r="M3361" i="10"/>
  <c r="E3361" i="10"/>
  <c r="B3361" i="10"/>
  <c r="S3360" i="10"/>
  <c r="Q3360" i="10"/>
  <c r="P3360" i="10"/>
  <c r="O3360" i="10"/>
  <c r="M3360" i="10"/>
  <c r="E3360" i="10"/>
  <c r="B3360" i="10"/>
  <c r="S3359" i="10"/>
  <c r="Q3359" i="10"/>
  <c r="P3359" i="10"/>
  <c r="O3359" i="10"/>
  <c r="M3359" i="10"/>
  <c r="E3359" i="10"/>
  <c r="B3359" i="10"/>
  <c r="S3358" i="10"/>
  <c r="Q3358" i="10"/>
  <c r="P3358" i="10"/>
  <c r="O3358" i="10"/>
  <c r="M3358" i="10"/>
  <c r="E3358" i="10"/>
  <c r="B3358" i="10"/>
  <c r="S3357" i="10"/>
  <c r="Q3357" i="10"/>
  <c r="P3357" i="10"/>
  <c r="O3357" i="10"/>
  <c r="M3357" i="10"/>
  <c r="E3357" i="10"/>
  <c r="B3357" i="10"/>
  <c r="S3356" i="10"/>
  <c r="Q3356" i="10"/>
  <c r="P3356" i="10"/>
  <c r="O3356" i="10"/>
  <c r="M3356" i="10"/>
  <c r="E3356" i="10"/>
  <c r="B3356" i="10"/>
  <c r="S3355" i="10"/>
  <c r="Q3355" i="10"/>
  <c r="P3355" i="10"/>
  <c r="O3355" i="10"/>
  <c r="M3355" i="10"/>
  <c r="E3355" i="10"/>
  <c r="B3355" i="10"/>
  <c r="S3354" i="10"/>
  <c r="Q3354" i="10"/>
  <c r="P3354" i="10"/>
  <c r="O3354" i="10"/>
  <c r="M3354" i="10"/>
  <c r="E3354" i="10"/>
  <c r="B3354" i="10"/>
  <c r="S3353" i="10"/>
  <c r="Q3353" i="10"/>
  <c r="P3353" i="10"/>
  <c r="O3353" i="10"/>
  <c r="M3353" i="10"/>
  <c r="E3353" i="10"/>
  <c r="B3353" i="10"/>
  <c r="S3352" i="10"/>
  <c r="Q3352" i="10"/>
  <c r="P3352" i="10"/>
  <c r="O3352" i="10"/>
  <c r="M3352" i="10"/>
  <c r="E3352" i="10"/>
  <c r="B3352" i="10"/>
  <c r="S3351" i="10"/>
  <c r="Q3351" i="10"/>
  <c r="P3351" i="10"/>
  <c r="O3351" i="10"/>
  <c r="M3351" i="10"/>
  <c r="E3351" i="10"/>
  <c r="B3351" i="10"/>
  <c r="S3350" i="10"/>
  <c r="Q3350" i="10"/>
  <c r="P3350" i="10"/>
  <c r="O3350" i="10"/>
  <c r="M3350" i="10"/>
  <c r="E3350" i="10"/>
  <c r="B3350" i="10"/>
  <c r="S3349" i="10"/>
  <c r="Q3349" i="10"/>
  <c r="P3349" i="10"/>
  <c r="O3349" i="10"/>
  <c r="M3349" i="10"/>
  <c r="B3349" i="10"/>
  <c r="S3348" i="10"/>
  <c r="Q3348" i="10"/>
  <c r="P3348" i="10"/>
  <c r="O3348" i="10"/>
  <c r="M3348" i="10"/>
  <c r="E3348" i="10"/>
  <c r="B3348" i="10"/>
  <c r="S3347" i="10"/>
  <c r="Q3347" i="10"/>
  <c r="P3347" i="10"/>
  <c r="O3347" i="10"/>
  <c r="M3347" i="10"/>
  <c r="E3347" i="10"/>
  <c r="B3347" i="10"/>
  <c r="S3346" i="10"/>
  <c r="Q3346" i="10"/>
  <c r="P3346" i="10"/>
  <c r="O3346" i="10"/>
  <c r="M3346" i="10"/>
  <c r="B3346" i="10"/>
  <c r="S3345" i="10"/>
  <c r="Q3345" i="10"/>
  <c r="P3345" i="10"/>
  <c r="O3345" i="10"/>
  <c r="M3345" i="10"/>
  <c r="B3345" i="10"/>
  <c r="S3344" i="10"/>
  <c r="Q3344" i="10"/>
  <c r="P3344" i="10"/>
  <c r="O3344" i="10"/>
  <c r="M3344" i="10"/>
  <c r="E3344" i="10"/>
  <c r="B3344" i="10"/>
  <c r="S3343" i="10"/>
  <c r="Q3343" i="10"/>
  <c r="P3343" i="10"/>
  <c r="O3343" i="10"/>
  <c r="M3343" i="10"/>
  <c r="E3343" i="10"/>
  <c r="B3343" i="10"/>
  <c r="S3342" i="10"/>
  <c r="Q3342" i="10"/>
  <c r="P3342" i="10"/>
  <c r="O3342" i="10"/>
  <c r="M3342" i="10"/>
  <c r="E3342" i="10"/>
  <c r="B3342" i="10"/>
  <c r="S3341" i="10"/>
  <c r="Q3341" i="10"/>
  <c r="P3341" i="10"/>
  <c r="O3341" i="10"/>
  <c r="M3341" i="10"/>
  <c r="E3341" i="10"/>
  <c r="B3341" i="10"/>
  <c r="S3340" i="10"/>
  <c r="Q3340" i="10"/>
  <c r="P3340" i="10"/>
  <c r="O3340" i="10"/>
  <c r="M3340" i="10"/>
  <c r="E3340" i="10"/>
  <c r="B3340" i="10"/>
  <c r="S3339" i="10"/>
  <c r="Q3339" i="10"/>
  <c r="P3339" i="10"/>
  <c r="O3339" i="10"/>
  <c r="M3339" i="10"/>
  <c r="E3339" i="10"/>
  <c r="B3339" i="10"/>
  <c r="S3338" i="10"/>
  <c r="Q3338" i="10"/>
  <c r="P3338" i="10"/>
  <c r="O3338" i="10"/>
  <c r="M3338" i="10"/>
  <c r="E3338" i="10"/>
  <c r="B3338" i="10"/>
  <c r="S3337" i="10"/>
  <c r="Q3337" i="10"/>
  <c r="P3337" i="10"/>
  <c r="O3337" i="10"/>
  <c r="M3337" i="10"/>
  <c r="E3337" i="10"/>
  <c r="B3337" i="10"/>
  <c r="S3336" i="10"/>
  <c r="Q3336" i="10"/>
  <c r="P3336" i="10"/>
  <c r="O3336" i="10"/>
  <c r="M3336" i="10"/>
  <c r="E3336" i="10"/>
  <c r="B3336" i="10"/>
  <c r="S3335" i="10"/>
  <c r="Q3335" i="10"/>
  <c r="P3335" i="10"/>
  <c r="O3335" i="10"/>
  <c r="M3335" i="10"/>
  <c r="E3335" i="10"/>
  <c r="B3335" i="10"/>
  <c r="S3334" i="10"/>
  <c r="Q3334" i="10"/>
  <c r="P3334" i="10"/>
  <c r="O3334" i="10"/>
  <c r="M3334" i="10"/>
  <c r="E3334" i="10"/>
  <c r="B3334" i="10"/>
  <c r="S3333" i="10"/>
  <c r="Q3333" i="10"/>
  <c r="P3333" i="10"/>
  <c r="O3333" i="10"/>
  <c r="M3333" i="10"/>
  <c r="E3333" i="10"/>
  <c r="B3333" i="10"/>
  <c r="S3332" i="10"/>
  <c r="Q3332" i="10"/>
  <c r="P3332" i="10"/>
  <c r="O3332" i="10"/>
  <c r="M3332" i="10"/>
  <c r="E3332" i="10"/>
  <c r="B3332" i="10"/>
  <c r="S3331" i="10"/>
  <c r="Q3331" i="10"/>
  <c r="P3331" i="10"/>
  <c r="O3331" i="10"/>
  <c r="M3331" i="10"/>
  <c r="E3331" i="10"/>
  <c r="B3331" i="10"/>
  <c r="S3330" i="10"/>
  <c r="Q3330" i="10"/>
  <c r="P3330" i="10"/>
  <c r="O3330" i="10"/>
  <c r="M3330" i="10"/>
  <c r="E3330" i="10"/>
  <c r="B3330" i="10"/>
  <c r="S3329" i="10"/>
  <c r="Q3329" i="10"/>
  <c r="P3329" i="10"/>
  <c r="O3329" i="10"/>
  <c r="M3329" i="10"/>
  <c r="E3329" i="10"/>
  <c r="B3329" i="10"/>
  <c r="S3328" i="10"/>
  <c r="Q3328" i="10"/>
  <c r="P3328" i="10"/>
  <c r="O3328" i="10"/>
  <c r="M3328" i="10"/>
  <c r="E3328" i="10"/>
  <c r="B3328" i="10"/>
  <c r="S3327" i="10"/>
  <c r="Q3327" i="10"/>
  <c r="P3327" i="10"/>
  <c r="O3327" i="10"/>
  <c r="M3327" i="10"/>
  <c r="E3327" i="10"/>
  <c r="B3327" i="10"/>
  <c r="S3326" i="10"/>
  <c r="Q3326" i="10"/>
  <c r="P3326" i="10"/>
  <c r="O3326" i="10"/>
  <c r="M3326" i="10"/>
  <c r="E3326" i="10"/>
  <c r="B3326" i="10"/>
  <c r="S3325" i="10"/>
  <c r="Q3325" i="10"/>
  <c r="P3325" i="10"/>
  <c r="O3325" i="10"/>
  <c r="M3325" i="10"/>
  <c r="E3325" i="10"/>
  <c r="B3325" i="10"/>
  <c r="S3324" i="10"/>
  <c r="Q3324" i="10"/>
  <c r="P3324" i="10"/>
  <c r="O3324" i="10"/>
  <c r="M3324" i="10"/>
  <c r="E3324" i="10"/>
  <c r="B3324" i="10"/>
  <c r="S3323" i="10"/>
  <c r="Q3323" i="10"/>
  <c r="P3323" i="10"/>
  <c r="O3323" i="10"/>
  <c r="M3323" i="10"/>
  <c r="E3323" i="10"/>
  <c r="B3323" i="10"/>
  <c r="S3322" i="10"/>
  <c r="Q3322" i="10"/>
  <c r="P3322" i="10"/>
  <c r="O3322" i="10"/>
  <c r="M3322" i="10"/>
  <c r="E3322" i="10"/>
  <c r="B3322" i="10"/>
  <c r="S3321" i="10"/>
  <c r="Q3321" i="10"/>
  <c r="P3321" i="10"/>
  <c r="O3321" i="10"/>
  <c r="M3321" i="10"/>
  <c r="B3321" i="10"/>
  <c r="S3320" i="10"/>
  <c r="Q3320" i="10"/>
  <c r="P3320" i="10"/>
  <c r="O3320" i="10"/>
  <c r="M3320" i="10"/>
  <c r="E3320" i="10"/>
  <c r="B3320" i="10"/>
  <c r="S3319" i="10"/>
  <c r="Q3319" i="10"/>
  <c r="P3319" i="10"/>
  <c r="O3319" i="10"/>
  <c r="M3319" i="10"/>
  <c r="E3319" i="10"/>
  <c r="B3319" i="10"/>
  <c r="S3318" i="10"/>
  <c r="Q3318" i="10"/>
  <c r="P3318" i="10"/>
  <c r="O3318" i="10"/>
  <c r="M3318" i="10"/>
  <c r="E3318" i="10"/>
  <c r="B3318" i="10"/>
  <c r="S3317" i="10"/>
  <c r="Q3317" i="10"/>
  <c r="P3317" i="10"/>
  <c r="O3317" i="10"/>
  <c r="M3317" i="10"/>
  <c r="E3317" i="10"/>
  <c r="B3317" i="10"/>
  <c r="S3316" i="10"/>
  <c r="Q3316" i="10"/>
  <c r="P3316" i="10"/>
  <c r="O3316" i="10"/>
  <c r="M3316" i="10"/>
  <c r="E3316" i="10"/>
  <c r="B3316" i="10"/>
  <c r="S3315" i="10"/>
  <c r="Q3315" i="10"/>
  <c r="P3315" i="10"/>
  <c r="O3315" i="10"/>
  <c r="M3315" i="10"/>
  <c r="E3315" i="10"/>
  <c r="B3315" i="10"/>
  <c r="S3314" i="10"/>
  <c r="Q3314" i="10"/>
  <c r="P3314" i="10"/>
  <c r="O3314" i="10"/>
  <c r="M3314" i="10"/>
  <c r="E3314" i="10"/>
  <c r="B3314" i="10"/>
  <c r="S3313" i="10"/>
  <c r="Q3313" i="10"/>
  <c r="P3313" i="10"/>
  <c r="O3313" i="10"/>
  <c r="M3313" i="10"/>
  <c r="E3313" i="10"/>
  <c r="B3313" i="10"/>
  <c r="S3312" i="10"/>
  <c r="Q3312" i="10"/>
  <c r="P3312" i="10"/>
  <c r="O3312" i="10"/>
  <c r="M3312" i="10"/>
  <c r="E3312" i="10"/>
  <c r="B3312" i="10"/>
  <c r="S3311" i="10"/>
  <c r="Q3311" i="10"/>
  <c r="P3311" i="10"/>
  <c r="O3311" i="10"/>
  <c r="M3311" i="10"/>
  <c r="E3311" i="10"/>
  <c r="B3311" i="10"/>
  <c r="S3310" i="10"/>
  <c r="Q3310" i="10"/>
  <c r="P3310" i="10"/>
  <c r="O3310" i="10"/>
  <c r="M3310" i="10"/>
  <c r="E3310" i="10"/>
  <c r="B3310" i="10"/>
  <c r="S3309" i="10"/>
  <c r="Q3309" i="10"/>
  <c r="P3309" i="10"/>
  <c r="O3309" i="10"/>
  <c r="M3309" i="10"/>
  <c r="B3309" i="10"/>
  <c r="S3308" i="10"/>
  <c r="Q3308" i="10"/>
  <c r="P3308" i="10"/>
  <c r="O3308" i="10"/>
  <c r="M3308" i="10"/>
  <c r="E3308" i="10"/>
  <c r="B3308" i="10"/>
  <c r="S3307" i="10"/>
  <c r="Q3307" i="10"/>
  <c r="P3307" i="10"/>
  <c r="O3307" i="10"/>
  <c r="M3307" i="10"/>
  <c r="E3307" i="10"/>
  <c r="B3307" i="10"/>
  <c r="S3306" i="10"/>
  <c r="Q3306" i="10"/>
  <c r="P3306" i="10"/>
  <c r="O3306" i="10"/>
  <c r="M3306" i="10"/>
  <c r="B3306" i="10"/>
  <c r="S3305" i="10"/>
  <c r="Q3305" i="10"/>
  <c r="P3305" i="10"/>
  <c r="O3305" i="10"/>
  <c r="M3305" i="10"/>
  <c r="E3305" i="10"/>
  <c r="B3305" i="10"/>
  <c r="S3304" i="10"/>
  <c r="Q3304" i="10"/>
  <c r="P3304" i="10"/>
  <c r="O3304" i="10"/>
  <c r="M3304" i="10"/>
  <c r="E3304" i="10"/>
  <c r="B3304" i="10"/>
  <c r="S3303" i="10"/>
  <c r="Q3303" i="10"/>
  <c r="P3303" i="10"/>
  <c r="O3303" i="10"/>
  <c r="M3303" i="10"/>
  <c r="B3303" i="10"/>
  <c r="S3302" i="10"/>
  <c r="Q3302" i="10"/>
  <c r="P3302" i="10"/>
  <c r="O3302" i="10"/>
  <c r="M3302" i="10"/>
  <c r="E3302" i="10"/>
  <c r="B3302" i="10"/>
  <c r="S3301" i="10"/>
  <c r="Q3301" i="10"/>
  <c r="P3301" i="10"/>
  <c r="O3301" i="10"/>
  <c r="M3301" i="10"/>
  <c r="E3301" i="10"/>
  <c r="B3301" i="10"/>
  <c r="S3300" i="10"/>
  <c r="Q3300" i="10"/>
  <c r="P3300" i="10"/>
  <c r="O3300" i="10"/>
  <c r="M3300" i="10"/>
  <c r="E3300" i="10"/>
  <c r="B3300" i="10"/>
  <c r="S3299" i="10"/>
  <c r="Q3299" i="10"/>
  <c r="P3299" i="10"/>
  <c r="O3299" i="10"/>
  <c r="M3299" i="10"/>
  <c r="E3299" i="10"/>
  <c r="B3299" i="10"/>
  <c r="S3298" i="10"/>
  <c r="Q3298" i="10"/>
  <c r="P3298" i="10"/>
  <c r="O3298" i="10"/>
  <c r="M3298" i="10"/>
  <c r="E3298" i="10"/>
  <c r="B3298" i="10"/>
  <c r="S3297" i="10"/>
  <c r="Q3297" i="10"/>
  <c r="P3297" i="10"/>
  <c r="O3297" i="10"/>
  <c r="M3297" i="10"/>
  <c r="B3297" i="10"/>
  <c r="S3296" i="10"/>
  <c r="Q3296" i="10"/>
  <c r="P3296" i="10"/>
  <c r="O3296" i="10"/>
  <c r="M3296" i="10"/>
  <c r="E3296" i="10"/>
  <c r="B3296" i="10"/>
  <c r="S3295" i="10"/>
  <c r="Q3295" i="10"/>
  <c r="P3295" i="10"/>
  <c r="O3295" i="10"/>
  <c r="M3295" i="10"/>
  <c r="E3295" i="10"/>
  <c r="B3295" i="10"/>
  <c r="S3294" i="10"/>
  <c r="Q3294" i="10"/>
  <c r="P3294" i="10"/>
  <c r="O3294" i="10"/>
  <c r="M3294" i="10"/>
  <c r="E3294" i="10"/>
  <c r="B3294" i="10"/>
  <c r="S3293" i="10"/>
  <c r="Q3293" i="10"/>
  <c r="P3293" i="10"/>
  <c r="O3293" i="10"/>
  <c r="M3293" i="10"/>
  <c r="E3293" i="10"/>
  <c r="B3293" i="10"/>
  <c r="S3292" i="10"/>
  <c r="Q3292" i="10"/>
  <c r="P3292" i="10"/>
  <c r="O3292" i="10"/>
  <c r="M3292" i="10"/>
  <c r="E3292" i="10"/>
  <c r="B3292" i="10"/>
  <c r="S3291" i="10"/>
  <c r="Q3291" i="10"/>
  <c r="P3291" i="10"/>
  <c r="O3291" i="10"/>
  <c r="M3291" i="10"/>
  <c r="E3291" i="10"/>
  <c r="B3291" i="10"/>
  <c r="S3290" i="10"/>
  <c r="Q3290" i="10"/>
  <c r="P3290" i="10"/>
  <c r="O3290" i="10"/>
  <c r="M3290" i="10"/>
  <c r="E3290" i="10"/>
  <c r="B3290" i="10"/>
  <c r="S3289" i="10"/>
  <c r="Q3289" i="10"/>
  <c r="P3289" i="10"/>
  <c r="O3289" i="10"/>
  <c r="M3289" i="10"/>
  <c r="B3289" i="10"/>
  <c r="S3288" i="10"/>
  <c r="Q3288" i="10"/>
  <c r="P3288" i="10"/>
  <c r="O3288" i="10"/>
  <c r="M3288" i="10"/>
  <c r="E3288" i="10"/>
  <c r="B3288" i="10"/>
  <c r="S3287" i="10"/>
  <c r="Q3287" i="10"/>
  <c r="P3287" i="10"/>
  <c r="O3287" i="10"/>
  <c r="M3287" i="10"/>
  <c r="E3287" i="10"/>
  <c r="B3287" i="10"/>
  <c r="S3286" i="10"/>
  <c r="Q3286" i="10"/>
  <c r="P3286" i="10"/>
  <c r="O3286" i="10"/>
  <c r="M3286" i="10"/>
  <c r="E3286" i="10"/>
  <c r="B3286" i="10"/>
  <c r="S3285" i="10"/>
  <c r="Q3285" i="10"/>
  <c r="P3285" i="10"/>
  <c r="O3285" i="10"/>
  <c r="M3285" i="10"/>
  <c r="E3285" i="10"/>
  <c r="B3285" i="10"/>
  <c r="S3284" i="10"/>
  <c r="Q3284" i="10"/>
  <c r="P3284" i="10"/>
  <c r="O3284" i="10"/>
  <c r="M3284" i="10"/>
  <c r="E3284" i="10"/>
  <c r="B3284" i="10"/>
  <c r="S3283" i="10"/>
  <c r="Q3283" i="10"/>
  <c r="P3283" i="10"/>
  <c r="O3283" i="10"/>
  <c r="M3283" i="10"/>
  <c r="E3283" i="10"/>
  <c r="B3283" i="10"/>
  <c r="S3282" i="10"/>
  <c r="Q3282" i="10"/>
  <c r="P3282" i="10"/>
  <c r="O3282" i="10"/>
  <c r="M3282" i="10"/>
  <c r="E3282" i="10"/>
  <c r="B3282" i="10"/>
  <c r="S3281" i="10"/>
  <c r="Q3281" i="10"/>
  <c r="P3281" i="10"/>
  <c r="O3281" i="10"/>
  <c r="M3281" i="10"/>
  <c r="E3281" i="10"/>
  <c r="B3281" i="10"/>
  <c r="S3280" i="10"/>
  <c r="Q3280" i="10"/>
  <c r="P3280" i="10"/>
  <c r="O3280" i="10"/>
  <c r="M3280" i="10"/>
  <c r="E3280" i="10"/>
  <c r="B3280" i="10"/>
  <c r="S3279" i="10"/>
  <c r="Q3279" i="10"/>
  <c r="P3279" i="10"/>
  <c r="O3279" i="10"/>
  <c r="M3279" i="10"/>
  <c r="E3279" i="10"/>
  <c r="B3279" i="10"/>
  <c r="S3278" i="10"/>
  <c r="Q3278" i="10"/>
  <c r="P3278" i="10"/>
  <c r="O3278" i="10"/>
  <c r="M3278" i="10"/>
  <c r="E3278" i="10"/>
  <c r="B3278" i="10"/>
  <c r="S3277" i="10"/>
  <c r="Q3277" i="10"/>
  <c r="P3277" i="10"/>
  <c r="O3277" i="10"/>
  <c r="M3277" i="10"/>
  <c r="E3277" i="10"/>
  <c r="B3277" i="10"/>
  <c r="S3276" i="10"/>
  <c r="Q3276" i="10"/>
  <c r="P3276" i="10"/>
  <c r="O3276" i="10"/>
  <c r="M3276" i="10"/>
  <c r="E3276" i="10"/>
  <c r="B3276" i="10"/>
  <c r="S3275" i="10"/>
  <c r="Q3275" i="10"/>
  <c r="P3275" i="10"/>
  <c r="O3275" i="10"/>
  <c r="M3275" i="10"/>
  <c r="B3275" i="10"/>
  <c r="S3274" i="10"/>
  <c r="Q3274" i="10"/>
  <c r="P3274" i="10"/>
  <c r="O3274" i="10"/>
  <c r="M3274" i="10"/>
  <c r="E3274" i="10"/>
  <c r="B3274" i="10"/>
  <c r="S3273" i="10"/>
  <c r="Q3273" i="10"/>
  <c r="P3273" i="10"/>
  <c r="O3273" i="10"/>
  <c r="M3273" i="10"/>
  <c r="E3273" i="10"/>
  <c r="B3273" i="10"/>
  <c r="S3272" i="10"/>
  <c r="Q3272" i="10"/>
  <c r="P3272" i="10"/>
  <c r="O3272" i="10"/>
  <c r="M3272" i="10"/>
  <c r="E3272" i="10"/>
  <c r="B3272" i="10"/>
  <c r="S3271" i="10"/>
  <c r="Q3271" i="10"/>
  <c r="P3271" i="10"/>
  <c r="O3271" i="10"/>
  <c r="M3271" i="10"/>
  <c r="E3271" i="10"/>
  <c r="B3271" i="10"/>
  <c r="S3270" i="10"/>
  <c r="Q3270" i="10"/>
  <c r="P3270" i="10"/>
  <c r="O3270" i="10"/>
  <c r="M3270" i="10"/>
  <c r="E3270" i="10"/>
  <c r="B3270" i="10"/>
  <c r="S3269" i="10"/>
  <c r="Q3269" i="10"/>
  <c r="P3269" i="10"/>
  <c r="O3269" i="10"/>
  <c r="M3269" i="10"/>
  <c r="E3269" i="10"/>
  <c r="B3269" i="10"/>
  <c r="S3268" i="10"/>
  <c r="Q3268" i="10"/>
  <c r="P3268" i="10"/>
  <c r="O3268" i="10"/>
  <c r="M3268" i="10"/>
  <c r="E3268" i="10"/>
  <c r="B3268" i="10"/>
  <c r="S3267" i="10"/>
  <c r="Q3267" i="10"/>
  <c r="P3267" i="10"/>
  <c r="O3267" i="10"/>
  <c r="M3267" i="10"/>
  <c r="E3267" i="10"/>
  <c r="B3267" i="10"/>
  <c r="S3266" i="10"/>
  <c r="Q3266" i="10"/>
  <c r="P3266" i="10"/>
  <c r="O3266" i="10"/>
  <c r="M3266" i="10"/>
  <c r="E3266" i="10"/>
  <c r="B3266" i="10"/>
  <c r="S3265" i="10"/>
  <c r="Q3265" i="10"/>
  <c r="P3265" i="10"/>
  <c r="O3265" i="10"/>
  <c r="M3265" i="10"/>
  <c r="B3265" i="10"/>
  <c r="S3264" i="10"/>
  <c r="Q3264" i="10"/>
  <c r="P3264" i="10"/>
  <c r="O3264" i="10"/>
  <c r="M3264" i="10"/>
  <c r="E3264" i="10"/>
  <c r="B3264" i="10"/>
  <c r="S3263" i="10"/>
  <c r="Q3263" i="10"/>
  <c r="P3263" i="10"/>
  <c r="O3263" i="10"/>
  <c r="M3263" i="10"/>
  <c r="B3263" i="10"/>
  <c r="S3262" i="10"/>
  <c r="Q3262" i="10"/>
  <c r="P3262" i="10"/>
  <c r="O3262" i="10"/>
  <c r="M3262" i="10"/>
  <c r="E3262" i="10"/>
  <c r="B3262" i="10"/>
  <c r="S3261" i="10"/>
  <c r="Q3261" i="10"/>
  <c r="P3261" i="10"/>
  <c r="O3261" i="10"/>
  <c r="M3261" i="10"/>
  <c r="E3261" i="10"/>
  <c r="B3261" i="10"/>
  <c r="S3260" i="10"/>
  <c r="Q3260" i="10"/>
  <c r="P3260" i="10"/>
  <c r="O3260" i="10"/>
  <c r="M3260" i="10"/>
  <c r="E3260" i="10"/>
  <c r="B3260" i="10"/>
  <c r="S3259" i="10"/>
  <c r="Q3259" i="10"/>
  <c r="P3259" i="10"/>
  <c r="O3259" i="10"/>
  <c r="M3259" i="10"/>
  <c r="E3259" i="10"/>
  <c r="B3259" i="10"/>
  <c r="S3258" i="10"/>
  <c r="Q3258" i="10"/>
  <c r="P3258" i="10"/>
  <c r="O3258" i="10"/>
  <c r="M3258" i="10"/>
  <c r="E3258" i="10"/>
  <c r="B3258" i="10"/>
  <c r="S3257" i="10"/>
  <c r="Q3257" i="10"/>
  <c r="P3257" i="10"/>
  <c r="O3257" i="10"/>
  <c r="M3257" i="10"/>
  <c r="E3257" i="10"/>
  <c r="B3257" i="10"/>
  <c r="S3256" i="10"/>
  <c r="Q3256" i="10"/>
  <c r="P3256" i="10"/>
  <c r="O3256" i="10"/>
  <c r="M3256" i="10"/>
  <c r="E3256" i="10"/>
  <c r="B3256" i="10"/>
  <c r="S3255" i="10"/>
  <c r="Q3255" i="10"/>
  <c r="P3255" i="10"/>
  <c r="O3255" i="10"/>
  <c r="M3255" i="10"/>
  <c r="E3255" i="10"/>
  <c r="B3255" i="10"/>
  <c r="S3254" i="10"/>
  <c r="Q3254" i="10"/>
  <c r="P3254" i="10"/>
  <c r="O3254" i="10"/>
  <c r="M3254" i="10"/>
  <c r="E3254" i="10"/>
  <c r="B3254" i="10"/>
  <c r="S3253" i="10"/>
  <c r="Q3253" i="10"/>
  <c r="P3253" i="10"/>
  <c r="O3253" i="10"/>
  <c r="M3253" i="10"/>
  <c r="E3253" i="10"/>
  <c r="B3253" i="10"/>
  <c r="S3252" i="10"/>
  <c r="Q3252" i="10"/>
  <c r="P3252" i="10"/>
  <c r="O3252" i="10"/>
  <c r="M3252" i="10"/>
  <c r="E3252" i="10"/>
  <c r="B3252" i="10"/>
  <c r="S3251" i="10"/>
  <c r="Q3251" i="10"/>
  <c r="P3251" i="10"/>
  <c r="O3251" i="10"/>
  <c r="M3251" i="10"/>
  <c r="B3251" i="10"/>
  <c r="S3250" i="10"/>
  <c r="Q3250" i="10"/>
  <c r="P3250" i="10"/>
  <c r="O3250" i="10"/>
  <c r="M3250" i="10"/>
  <c r="E3250" i="10"/>
  <c r="B3250" i="10"/>
  <c r="S3249" i="10"/>
  <c r="Q3249" i="10"/>
  <c r="P3249" i="10"/>
  <c r="O3249" i="10"/>
  <c r="M3249" i="10"/>
  <c r="E3249" i="10"/>
  <c r="B3249" i="10"/>
  <c r="S3248" i="10"/>
  <c r="Q3248" i="10"/>
  <c r="P3248" i="10"/>
  <c r="O3248" i="10"/>
  <c r="M3248" i="10"/>
  <c r="E3248" i="10"/>
  <c r="B3248" i="10"/>
  <c r="S3247" i="10"/>
  <c r="Q3247" i="10"/>
  <c r="P3247" i="10"/>
  <c r="O3247" i="10"/>
  <c r="M3247" i="10"/>
  <c r="E3247" i="10"/>
  <c r="B3247" i="10"/>
  <c r="S3246" i="10"/>
  <c r="Q3246" i="10"/>
  <c r="P3246" i="10"/>
  <c r="O3246" i="10"/>
  <c r="M3246" i="10"/>
  <c r="E3246" i="10"/>
  <c r="B3246" i="10"/>
  <c r="S3245" i="10"/>
  <c r="Q3245" i="10"/>
  <c r="P3245" i="10"/>
  <c r="O3245" i="10"/>
  <c r="M3245" i="10"/>
  <c r="E3245" i="10"/>
  <c r="B3245" i="10"/>
  <c r="S3244" i="10"/>
  <c r="Q3244" i="10"/>
  <c r="P3244" i="10"/>
  <c r="O3244" i="10"/>
  <c r="M3244" i="10"/>
  <c r="E3244" i="10"/>
  <c r="B3244" i="10"/>
  <c r="S3243" i="10"/>
  <c r="Q3243" i="10"/>
  <c r="P3243" i="10"/>
  <c r="O3243" i="10"/>
  <c r="M3243" i="10"/>
  <c r="E3243" i="10"/>
  <c r="B3243" i="10"/>
  <c r="S3242" i="10"/>
  <c r="Q3242" i="10"/>
  <c r="P3242" i="10"/>
  <c r="O3242" i="10"/>
  <c r="M3242" i="10"/>
  <c r="E3242" i="10"/>
  <c r="B3242" i="10"/>
  <c r="S3241" i="10"/>
  <c r="Q3241" i="10"/>
  <c r="P3241" i="10"/>
  <c r="O3241" i="10"/>
  <c r="M3241" i="10"/>
  <c r="E3241" i="10"/>
  <c r="B3241" i="10"/>
  <c r="S3240" i="10"/>
  <c r="Q3240" i="10"/>
  <c r="P3240" i="10"/>
  <c r="O3240" i="10"/>
  <c r="M3240" i="10"/>
  <c r="E3240" i="10"/>
  <c r="B3240" i="10"/>
  <c r="S3239" i="10"/>
  <c r="Q3239" i="10"/>
  <c r="P3239" i="10"/>
  <c r="O3239" i="10"/>
  <c r="M3239" i="10"/>
  <c r="E3239" i="10"/>
  <c r="B3239" i="10"/>
  <c r="S3238" i="10"/>
  <c r="Q3238" i="10"/>
  <c r="P3238" i="10"/>
  <c r="O3238" i="10"/>
  <c r="M3238" i="10"/>
  <c r="E3238" i="10"/>
  <c r="B3238" i="10"/>
  <c r="S3237" i="10"/>
  <c r="Q3237" i="10"/>
  <c r="P3237" i="10"/>
  <c r="O3237" i="10"/>
  <c r="M3237" i="10"/>
  <c r="E3237" i="10"/>
  <c r="B3237" i="10"/>
  <c r="S3236" i="10"/>
  <c r="Q3236" i="10"/>
  <c r="P3236" i="10"/>
  <c r="O3236" i="10"/>
  <c r="M3236" i="10"/>
  <c r="E3236" i="10"/>
  <c r="B3236" i="10"/>
  <c r="S3235" i="10"/>
  <c r="Q3235" i="10"/>
  <c r="P3235" i="10"/>
  <c r="O3235" i="10"/>
  <c r="M3235" i="10"/>
  <c r="E3235" i="10"/>
  <c r="B3235" i="10"/>
  <c r="S3234" i="10"/>
  <c r="Q3234" i="10"/>
  <c r="P3234" i="10"/>
  <c r="O3234" i="10"/>
  <c r="M3234" i="10"/>
  <c r="E3234" i="10"/>
  <c r="B3234" i="10"/>
  <c r="S3233" i="10"/>
  <c r="Q3233" i="10"/>
  <c r="P3233" i="10"/>
  <c r="O3233" i="10"/>
  <c r="M3233" i="10"/>
  <c r="E3233" i="10"/>
  <c r="B3233" i="10"/>
  <c r="S3232" i="10"/>
  <c r="Q3232" i="10"/>
  <c r="P3232" i="10"/>
  <c r="O3232" i="10"/>
  <c r="M3232" i="10"/>
  <c r="E3232" i="10"/>
  <c r="B3232" i="10"/>
  <c r="S3231" i="10"/>
  <c r="Q3231" i="10"/>
  <c r="P3231" i="10"/>
  <c r="O3231" i="10"/>
  <c r="M3231" i="10"/>
  <c r="E3231" i="10"/>
  <c r="B3231" i="10"/>
  <c r="S3230" i="10"/>
  <c r="Q3230" i="10"/>
  <c r="P3230" i="10"/>
  <c r="O3230" i="10"/>
  <c r="M3230" i="10"/>
  <c r="B3230" i="10"/>
  <c r="S3229" i="10"/>
  <c r="Q3229" i="10"/>
  <c r="P3229" i="10"/>
  <c r="O3229" i="10"/>
  <c r="M3229" i="10"/>
  <c r="E3229" i="10"/>
  <c r="B3229" i="10"/>
  <c r="S3228" i="10"/>
  <c r="Q3228" i="10"/>
  <c r="P3228" i="10"/>
  <c r="O3228" i="10"/>
  <c r="M3228" i="10"/>
  <c r="E3228" i="10"/>
  <c r="B3228" i="10"/>
  <c r="S3227" i="10"/>
  <c r="Q3227" i="10"/>
  <c r="P3227" i="10"/>
  <c r="O3227" i="10"/>
  <c r="M3227" i="10"/>
  <c r="E3227" i="10"/>
  <c r="B3227" i="10"/>
  <c r="S3226" i="10"/>
  <c r="Q3226" i="10"/>
  <c r="P3226" i="10"/>
  <c r="O3226" i="10"/>
  <c r="M3226" i="10"/>
  <c r="E3226" i="10"/>
  <c r="B3226" i="10"/>
  <c r="S3225" i="10"/>
  <c r="Q3225" i="10"/>
  <c r="P3225" i="10"/>
  <c r="O3225" i="10"/>
  <c r="M3225" i="10"/>
  <c r="E3225" i="10"/>
  <c r="B3225" i="10"/>
  <c r="S3224" i="10"/>
  <c r="Q3224" i="10"/>
  <c r="P3224" i="10"/>
  <c r="O3224" i="10"/>
  <c r="M3224" i="10"/>
  <c r="B3224" i="10"/>
  <c r="S3223" i="10"/>
  <c r="Q3223" i="10"/>
  <c r="P3223" i="10"/>
  <c r="O3223" i="10"/>
  <c r="M3223" i="10"/>
  <c r="E3223" i="10"/>
  <c r="B3223" i="10"/>
  <c r="S3222" i="10"/>
  <c r="Q3222" i="10"/>
  <c r="P3222" i="10"/>
  <c r="O3222" i="10"/>
  <c r="M3222" i="10"/>
  <c r="E3222" i="10"/>
  <c r="B3222" i="10"/>
  <c r="S3221" i="10"/>
  <c r="Q3221" i="10"/>
  <c r="P3221" i="10"/>
  <c r="O3221" i="10"/>
  <c r="M3221" i="10"/>
  <c r="E3221" i="10"/>
  <c r="B3221" i="10"/>
  <c r="S3220" i="10"/>
  <c r="Q3220" i="10"/>
  <c r="P3220" i="10"/>
  <c r="O3220" i="10"/>
  <c r="M3220" i="10"/>
  <c r="E3220" i="10"/>
  <c r="B3220" i="10"/>
  <c r="S3219" i="10"/>
  <c r="Q3219" i="10"/>
  <c r="P3219" i="10"/>
  <c r="O3219" i="10"/>
  <c r="M3219" i="10"/>
  <c r="E3219" i="10"/>
  <c r="B3219" i="10"/>
  <c r="S3218" i="10"/>
  <c r="Q3218" i="10"/>
  <c r="P3218" i="10"/>
  <c r="O3218" i="10"/>
  <c r="M3218" i="10"/>
  <c r="E3218" i="10"/>
  <c r="B3218" i="10"/>
  <c r="S3217" i="10"/>
  <c r="Q3217" i="10"/>
  <c r="P3217" i="10"/>
  <c r="O3217" i="10"/>
  <c r="M3217" i="10"/>
  <c r="E3217" i="10"/>
  <c r="B3217" i="10"/>
  <c r="S3216" i="10"/>
  <c r="Q3216" i="10"/>
  <c r="P3216" i="10"/>
  <c r="O3216" i="10"/>
  <c r="M3216" i="10"/>
  <c r="B3216" i="10"/>
  <c r="S3215" i="10"/>
  <c r="Q3215" i="10"/>
  <c r="P3215" i="10"/>
  <c r="O3215" i="10"/>
  <c r="M3215" i="10"/>
  <c r="E3215" i="10"/>
  <c r="B3215" i="10"/>
  <c r="S3214" i="10"/>
  <c r="Q3214" i="10"/>
  <c r="P3214" i="10"/>
  <c r="O3214" i="10"/>
  <c r="M3214" i="10"/>
  <c r="E3214" i="10"/>
  <c r="B3214" i="10"/>
  <c r="S3213" i="10"/>
  <c r="Q3213" i="10"/>
  <c r="P3213" i="10"/>
  <c r="O3213" i="10"/>
  <c r="M3213" i="10"/>
  <c r="B3213" i="10"/>
  <c r="S3212" i="10"/>
  <c r="Q3212" i="10"/>
  <c r="P3212" i="10"/>
  <c r="O3212" i="10"/>
  <c r="M3212" i="10"/>
  <c r="E3212" i="10"/>
  <c r="B3212" i="10"/>
  <c r="S3211" i="10"/>
  <c r="Q3211" i="10"/>
  <c r="P3211" i="10"/>
  <c r="O3211" i="10"/>
  <c r="M3211" i="10"/>
  <c r="E3211" i="10"/>
  <c r="B3211" i="10"/>
  <c r="S3210" i="10"/>
  <c r="Q3210" i="10"/>
  <c r="P3210" i="10"/>
  <c r="O3210" i="10"/>
  <c r="M3210" i="10"/>
  <c r="E3210" i="10"/>
  <c r="B3210" i="10"/>
  <c r="S3209" i="10"/>
  <c r="Q3209" i="10"/>
  <c r="P3209" i="10"/>
  <c r="O3209" i="10"/>
  <c r="M3209" i="10"/>
  <c r="E3209" i="10"/>
  <c r="B3209" i="10"/>
  <c r="S3208" i="10"/>
  <c r="Q3208" i="10"/>
  <c r="P3208" i="10"/>
  <c r="O3208" i="10"/>
  <c r="M3208" i="10"/>
  <c r="E3208" i="10"/>
  <c r="B3208" i="10"/>
  <c r="S3207" i="10"/>
  <c r="Q3207" i="10"/>
  <c r="P3207" i="10"/>
  <c r="O3207" i="10"/>
  <c r="M3207" i="10"/>
  <c r="B3207" i="10"/>
  <c r="S3206" i="10"/>
  <c r="Q3206" i="10"/>
  <c r="P3206" i="10"/>
  <c r="O3206" i="10"/>
  <c r="M3206" i="10"/>
  <c r="E3206" i="10"/>
  <c r="B3206" i="10"/>
  <c r="S3205" i="10"/>
  <c r="Q3205" i="10"/>
  <c r="P3205" i="10"/>
  <c r="O3205" i="10"/>
  <c r="M3205" i="10"/>
  <c r="E3205" i="10"/>
  <c r="B3205" i="10"/>
  <c r="S3204" i="10"/>
  <c r="Q3204" i="10"/>
  <c r="P3204" i="10"/>
  <c r="O3204" i="10"/>
  <c r="M3204" i="10"/>
  <c r="E3204" i="10"/>
  <c r="B3204" i="10"/>
  <c r="S3203" i="10"/>
  <c r="Q3203" i="10"/>
  <c r="P3203" i="10"/>
  <c r="O3203" i="10"/>
  <c r="M3203" i="10"/>
  <c r="E3203" i="10"/>
  <c r="B3203" i="10"/>
  <c r="S3202" i="10"/>
  <c r="Q3202" i="10"/>
  <c r="P3202" i="10"/>
  <c r="O3202" i="10"/>
  <c r="M3202" i="10"/>
  <c r="E3202" i="10"/>
  <c r="B3202" i="10"/>
  <c r="S3201" i="10"/>
  <c r="Q3201" i="10"/>
  <c r="P3201" i="10"/>
  <c r="O3201" i="10"/>
  <c r="M3201" i="10"/>
  <c r="E3201" i="10"/>
  <c r="B3201" i="10"/>
  <c r="S3200" i="10"/>
  <c r="Q3200" i="10"/>
  <c r="P3200" i="10"/>
  <c r="O3200" i="10"/>
  <c r="M3200" i="10"/>
  <c r="E3200" i="10"/>
  <c r="B3200" i="10"/>
  <c r="S3199" i="10"/>
  <c r="Q3199" i="10"/>
  <c r="P3199" i="10"/>
  <c r="O3199" i="10"/>
  <c r="M3199" i="10"/>
  <c r="E3199" i="10"/>
  <c r="B3199" i="10"/>
  <c r="S3198" i="10"/>
  <c r="Q3198" i="10"/>
  <c r="P3198" i="10"/>
  <c r="O3198" i="10"/>
  <c r="M3198" i="10"/>
  <c r="E3198" i="10"/>
  <c r="B3198" i="10"/>
  <c r="S3197" i="10"/>
  <c r="Q3197" i="10"/>
  <c r="P3197" i="10"/>
  <c r="O3197" i="10"/>
  <c r="M3197" i="10"/>
  <c r="E3197" i="10"/>
  <c r="B3197" i="10"/>
  <c r="S3196" i="10"/>
  <c r="Q3196" i="10"/>
  <c r="P3196" i="10"/>
  <c r="O3196" i="10"/>
  <c r="M3196" i="10"/>
  <c r="E3196" i="10"/>
  <c r="B3196" i="10"/>
  <c r="S3195" i="10"/>
  <c r="Q3195" i="10"/>
  <c r="P3195" i="10"/>
  <c r="O3195" i="10"/>
  <c r="M3195" i="10"/>
  <c r="E3195" i="10"/>
  <c r="B3195" i="10"/>
  <c r="S3194" i="10"/>
  <c r="Q3194" i="10"/>
  <c r="P3194" i="10"/>
  <c r="O3194" i="10"/>
  <c r="M3194" i="10"/>
  <c r="E3194" i="10"/>
  <c r="B3194" i="10"/>
  <c r="S3193" i="10"/>
  <c r="Q3193" i="10"/>
  <c r="P3193" i="10"/>
  <c r="O3193" i="10"/>
  <c r="M3193" i="10"/>
  <c r="E3193" i="10"/>
  <c r="B3193" i="10"/>
  <c r="S3192" i="10"/>
  <c r="Q3192" i="10"/>
  <c r="P3192" i="10"/>
  <c r="O3192" i="10"/>
  <c r="M3192" i="10"/>
  <c r="E3192" i="10"/>
  <c r="B3192" i="10"/>
  <c r="S3191" i="10"/>
  <c r="Q3191" i="10"/>
  <c r="P3191" i="10"/>
  <c r="O3191" i="10"/>
  <c r="M3191" i="10"/>
  <c r="E3191" i="10"/>
  <c r="B3191" i="10"/>
  <c r="S3190" i="10"/>
  <c r="Q3190" i="10"/>
  <c r="P3190" i="10"/>
  <c r="O3190" i="10"/>
  <c r="M3190" i="10"/>
  <c r="E3190" i="10"/>
  <c r="B3190" i="10"/>
  <c r="S3189" i="10"/>
  <c r="Q3189" i="10"/>
  <c r="P3189" i="10"/>
  <c r="O3189" i="10"/>
  <c r="M3189" i="10"/>
  <c r="E3189" i="10"/>
  <c r="B3189" i="10"/>
  <c r="S3188" i="10"/>
  <c r="Q3188" i="10"/>
  <c r="P3188" i="10"/>
  <c r="O3188" i="10"/>
  <c r="M3188" i="10"/>
  <c r="E3188" i="10"/>
  <c r="B3188" i="10"/>
  <c r="S3187" i="10"/>
  <c r="Q3187" i="10"/>
  <c r="P3187" i="10"/>
  <c r="O3187" i="10"/>
  <c r="M3187" i="10"/>
  <c r="E3187" i="10"/>
  <c r="B3187" i="10"/>
  <c r="S3186" i="10"/>
  <c r="Q3186" i="10"/>
  <c r="P3186" i="10"/>
  <c r="O3186" i="10"/>
  <c r="M3186" i="10"/>
  <c r="E3186" i="10"/>
  <c r="B3186" i="10"/>
  <c r="S3185" i="10"/>
  <c r="Q3185" i="10"/>
  <c r="P3185" i="10"/>
  <c r="O3185" i="10"/>
  <c r="M3185" i="10"/>
  <c r="E3185" i="10"/>
  <c r="B3185" i="10"/>
  <c r="S3184" i="10"/>
  <c r="Q3184" i="10"/>
  <c r="P3184" i="10"/>
  <c r="O3184" i="10"/>
  <c r="M3184" i="10"/>
  <c r="E3184" i="10"/>
  <c r="B3184" i="10"/>
  <c r="S3183" i="10"/>
  <c r="Q3183" i="10"/>
  <c r="P3183" i="10"/>
  <c r="O3183" i="10"/>
  <c r="M3183" i="10"/>
  <c r="E3183" i="10"/>
  <c r="B3183" i="10"/>
  <c r="S3182" i="10"/>
  <c r="Q3182" i="10"/>
  <c r="P3182" i="10"/>
  <c r="O3182" i="10"/>
  <c r="M3182" i="10"/>
  <c r="E3182" i="10"/>
  <c r="B3182" i="10"/>
  <c r="S3181" i="10"/>
  <c r="Q3181" i="10"/>
  <c r="P3181" i="10"/>
  <c r="O3181" i="10"/>
  <c r="M3181" i="10"/>
  <c r="E3181" i="10"/>
  <c r="B3181" i="10"/>
  <c r="S3180" i="10"/>
  <c r="Q3180" i="10"/>
  <c r="P3180" i="10"/>
  <c r="O3180" i="10"/>
  <c r="M3180" i="10"/>
  <c r="E3180" i="10"/>
  <c r="B3180" i="10"/>
  <c r="S3179" i="10"/>
  <c r="Q3179" i="10"/>
  <c r="P3179" i="10"/>
  <c r="O3179" i="10"/>
  <c r="M3179" i="10"/>
  <c r="E3179" i="10"/>
  <c r="B3179" i="10"/>
  <c r="S3178" i="10"/>
  <c r="Q3178" i="10"/>
  <c r="P3178" i="10"/>
  <c r="O3178" i="10"/>
  <c r="M3178" i="10"/>
  <c r="B3178" i="10"/>
  <c r="S3177" i="10"/>
  <c r="Q3177" i="10"/>
  <c r="P3177" i="10"/>
  <c r="O3177" i="10"/>
  <c r="M3177" i="10"/>
  <c r="E3177" i="10"/>
  <c r="B3177" i="10"/>
  <c r="S3176" i="10"/>
  <c r="Q3176" i="10"/>
  <c r="P3176" i="10"/>
  <c r="O3176" i="10"/>
  <c r="M3176" i="10"/>
  <c r="E3176" i="10"/>
  <c r="B3176" i="10"/>
  <c r="S3175" i="10"/>
  <c r="Q3175" i="10"/>
  <c r="P3175" i="10"/>
  <c r="O3175" i="10"/>
  <c r="M3175" i="10"/>
  <c r="E3175" i="10"/>
  <c r="B3175" i="10"/>
  <c r="S3174" i="10"/>
  <c r="Q3174" i="10"/>
  <c r="P3174" i="10"/>
  <c r="O3174" i="10"/>
  <c r="M3174" i="10"/>
  <c r="E3174" i="10"/>
  <c r="B3174" i="10"/>
  <c r="S3173" i="10"/>
  <c r="Q3173" i="10"/>
  <c r="P3173" i="10"/>
  <c r="O3173" i="10"/>
  <c r="M3173" i="10"/>
  <c r="E3173" i="10"/>
  <c r="B3173" i="10"/>
  <c r="S3172" i="10"/>
  <c r="Q3172" i="10"/>
  <c r="P3172" i="10"/>
  <c r="O3172" i="10"/>
  <c r="M3172" i="10"/>
  <c r="B3172" i="10"/>
  <c r="S3171" i="10"/>
  <c r="Q3171" i="10"/>
  <c r="P3171" i="10"/>
  <c r="O3171" i="10"/>
  <c r="M3171" i="10"/>
  <c r="E3171" i="10"/>
  <c r="B3171" i="10"/>
  <c r="S3170" i="10"/>
  <c r="Q3170" i="10"/>
  <c r="P3170" i="10"/>
  <c r="O3170" i="10"/>
  <c r="M3170" i="10"/>
  <c r="E3170" i="10"/>
  <c r="B3170" i="10"/>
  <c r="S3169" i="10"/>
  <c r="Q3169" i="10"/>
  <c r="P3169" i="10"/>
  <c r="O3169" i="10"/>
  <c r="M3169" i="10"/>
  <c r="E3169" i="10"/>
  <c r="B3169" i="10"/>
  <c r="S3168" i="10"/>
  <c r="Q3168" i="10"/>
  <c r="P3168" i="10"/>
  <c r="O3168" i="10"/>
  <c r="M3168" i="10"/>
  <c r="E3168" i="10"/>
  <c r="B3168" i="10"/>
  <c r="S3167" i="10"/>
  <c r="Q3167" i="10"/>
  <c r="P3167" i="10"/>
  <c r="O3167" i="10"/>
  <c r="M3167" i="10"/>
  <c r="E3167" i="10"/>
  <c r="B3167" i="10"/>
  <c r="S3166" i="10"/>
  <c r="Q3166" i="10"/>
  <c r="P3166" i="10"/>
  <c r="O3166" i="10"/>
  <c r="M3166" i="10"/>
  <c r="E3166" i="10"/>
  <c r="B3166" i="10"/>
  <c r="S3165" i="10"/>
  <c r="Q3165" i="10"/>
  <c r="P3165" i="10"/>
  <c r="O3165" i="10"/>
  <c r="M3165" i="10"/>
  <c r="E3165" i="10"/>
  <c r="B3165" i="10"/>
  <c r="S3164" i="10"/>
  <c r="Q3164" i="10"/>
  <c r="P3164" i="10"/>
  <c r="O3164" i="10"/>
  <c r="M3164" i="10"/>
  <c r="E3164" i="10"/>
  <c r="B3164" i="10"/>
  <c r="S3163" i="10"/>
  <c r="Q3163" i="10"/>
  <c r="P3163" i="10"/>
  <c r="O3163" i="10"/>
  <c r="M3163" i="10"/>
  <c r="E3163" i="10"/>
  <c r="B3163" i="10"/>
  <c r="S3162" i="10"/>
  <c r="Q3162" i="10"/>
  <c r="P3162" i="10"/>
  <c r="O3162" i="10"/>
  <c r="M3162" i="10"/>
  <c r="E3162" i="10"/>
  <c r="B3162" i="10"/>
  <c r="S3161" i="10"/>
  <c r="Q3161" i="10"/>
  <c r="P3161" i="10"/>
  <c r="O3161" i="10"/>
  <c r="M3161" i="10"/>
  <c r="E3161" i="10"/>
  <c r="B3161" i="10"/>
  <c r="S3160" i="10"/>
  <c r="Q3160" i="10"/>
  <c r="P3160" i="10"/>
  <c r="O3160" i="10"/>
  <c r="M3160" i="10"/>
  <c r="E3160" i="10"/>
  <c r="B3160" i="10"/>
  <c r="S3159" i="10"/>
  <c r="Q3159" i="10"/>
  <c r="P3159" i="10"/>
  <c r="O3159" i="10"/>
  <c r="M3159" i="10"/>
  <c r="E3159" i="10"/>
  <c r="B3159" i="10"/>
  <c r="S3158" i="10"/>
  <c r="Q3158" i="10"/>
  <c r="P3158" i="10"/>
  <c r="O3158" i="10"/>
  <c r="M3158" i="10"/>
  <c r="E3158" i="10"/>
  <c r="B3158" i="10"/>
  <c r="S3157" i="10"/>
  <c r="Q3157" i="10"/>
  <c r="P3157" i="10"/>
  <c r="O3157" i="10"/>
  <c r="M3157" i="10"/>
  <c r="E3157" i="10"/>
  <c r="B3157" i="10"/>
  <c r="S3156" i="10"/>
  <c r="Q3156" i="10"/>
  <c r="P3156" i="10"/>
  <c r="O3156" i="10"/>
  <c r="M3156" i="10"/>
  <c r="E3156" i="10"/>
  <c r="B3156" i="10"/>
  <c r="S3155" i="10"/>
  <c r="Q3155" i="10"/>
  <c r="P3155" i="10"/>
  <c r="O3155" i="10"/>
  <c r="M3155" i="10"/>
  <c r="E3155" i="10"/>
  <c r="B3155" i="10"/>
  <c r="S3154" i="10"/>
  <c r="Q3154" i="10"/>
  <c r="P3154" i="10"/>
  <c r="O3154" i="10"/>
  <c r="M3154" i="10"/>
  <c r="E3154" i="10"/>
  <c r="B3154" i="10"/>
  <c r="S3153" i="10"/>
  <c r="Q3153" i="10"/>
  <c r="P3153" i="10"/>
  <c r="O3153" i="10"/>
  <c r="M3153" i="10"/>
  <c r="E3153" i="10"/>
  <c r="B3153" i="10"/>
  <c r="S3152" i="10"/>
  <c r="Q3152" i="10"/>
  <c r="P3152" i="10"/>
  <c r="O3152" i="10"/>
  <c r="M3152" i="10"/>
  <c r="E3152" i="10"/>
  <c r="B3152" i="10"/>
  <c r="S3151" i="10"/>
  <c r="Q3151" i="10"/>
  <c r="P3151" i="10"/>
  <c r="O3151" i="10"/>
  <c r="M3151" i="10"/>
  <c r="E3151" i="10"/>
  <c r="B3151" i="10"/>
  <c r="S3150" i="10"/>
  <c r="Q3150" i="10"/>
  <c r="P3150" i="10"/>
  <c r="O3150" i="10"/>
  <c r="M3150" i="10"/>
  <c r="E3150" i="10"/>
  <c r="B3150" i="10"/>
  <c r="S3149" i="10"/>
  <c r="Q3149" i="10"/>
  <c r="P3149" i="10"/>
  <c r="O3149" i="10"/>
  <c r="M3149" i="10"/>
  <c r="E3149" i="10"/>
  <c r="B3149" i="10"/>
  <c r="S3148" i="10"/>
  <c r="Q3148" i="10"/>
  <c r="P3148" i="10"/>
  <c r="O3148" i="10"/>
  <c r="M3148" i="10"/>
  <c r="E3148" i="10"/>
  <c r="B3148" i="10"/>
  <c r="S3147" i="10"/>
  <c r="Q3147" i="10"/>
  <c r="P3147" i="10"/>
  <c r="O3147" i="10"/>
  <c r="M3147" i="10"/>
  <c r="E3147" i="10"/>
  <c r="B3147" i="10"/>
  <c r="S3146" i="10"/>
  <c r="Q3146" i="10"/>
  <c r="P3146" i="10"/>
  <c r="O3146" i="10"/>
  <c r="M3146" i="10"/>
  <c r="E3146" i="10"/>
  <c r="B3146" i="10"/>
  <c r="S3145" i="10"/>
  <c r="Q3145" i="10"/>
  <c r="P3145" i="10"/>
  <c r="O3145" i="10"/>
  <c r="M3145" i="10"/>
  <c r="B3145" i="10"/>
  <c r="S3144" i="10"/>
  <c r="Q3144" i="10"/>
  <c r="P3144" i="10"/>
  <c r="O3144" i="10"/>
  <c r="M3144" i="10"/>
  <c r="E3144" i="10"/>
  <c r="B3144" i="10"/>
  <c r="S3143" i="10"/>
  <c r="Q3143" i="10"/>
  <c r="P3143" i="10"/>
  <c r="O3143" i="10"/>
  <c r="M3143" i="10"/>
  <c r="E3143" i="10"/>
  <c r="B3143" i="10"/>
  <c r="S3142" i="10"/>
  <c r="Q3142" i="10"/>
  <c r="P3142" i="10"/>
  <c r="O3142" i="10"/>
  <c r="M3142" i="10"/>
  <c r="E3142" i="10"/>
  <c r="B3142" i="10"/>
  <c r="S3141" i="10"/>
  <c r="Q3141" i="10"/>
  <c r="P3141" i="10"/>
  <c r="O3141" i="10"/>
  <c r="M3141" i="10"/>
  <c r="E3141" i="10"/>
  <c r="B3141" i="10"/>
  <c r="S3140" i="10"/>
  <c r="Q3140" i="10"/>
  <c r="P3140" i="10"/>
  <c r="O3140" i="10"/>
  <c r="M3140" i="10"/>
  <c r="E3140" i="10"/>
  <c r="B3140" i="10"/>
  <c r="S3139" i="10"/>
  <c r="Q3139" i="10"/>
  <c r="P3139" i="10"/>
  <c r="O3139" i="10"/>
  <c r="M3139" i="10"/>
  <c r="E3139" i="10"/>
  <c r="B3139" i="10"/>
  <c r="S3138" i="10"/>
  <c r="Q3138" i="10"/>
  <c r="P3138" i="10"/>
  <c r="O3138" i="10"/>
  <c r="M3138" i="10"/>
  <c r="E3138" i="10"/>
  <c r="B3138" i="10"/>
  <c r="S3137" i="10"/>
  <c r="Q3137" i="10"/>
  <c r="P3137" i="10"/>
  <c r="O3137" i="10"/>
  <c r="M3137" i="10"/>
  <c r="E3137" i="10"/>
  <c r="B3137" i="10"/>
  <c r="S3136" i="10"/>
  <c r="Q3136" i="10"/>
  <c r="P3136" i="10"/>
  <c r="O3136" i="10"/>
  <c r="M3136" i="10"/>
  <c r="E3136" i="10"/>
  <c r="B3136" i="10"/>
  <c r="S3135" i="10"/>
  <c r="Q3135" i="10"/>
  <c r="P3135" i="10"/>
  <c r="O3135" i="10"/>
  <c r="M3135" i="10"/>
  <c r="E3135" i="10"/>
  <c r="B3135" i="10"/>
  <c r="S3134" i="10"/>
  <c r="Q3134" i="10"/>
  <c r="P3134" i="10"/>
  <c r="O3134" i="10"/>
  <c r="M3134" i="10"/>
  <c r="E3134" i="10"/>
  <c r="B3134" i="10"/>
  <c r="S3133" i="10"/>
  <c r="Q3133" i="10"/>
  <c r="P3133" i="10"/>
  <c r="O3133" i="10"/>
  <c r="M3133" i="10"/>
  <c r="E3133" i="10"/>
  <c r="B3133" i="10"/>
  <c r="S3132" i="10"/>
  <c r="Q3132" i="10"/>
  <c r="P3132" i="10"/>
  <c r="O3132" i="10"/>
  <c r="M3132" i="10"/>
  <c r="E3132" i="10"/>
  <c r="B3132" i="10"/>
  <c r="S3131" i="10"/>
  <c r="Q3131" i="10"/>
  <c r="P3131" i="10"/>
  <c r="O3131" i="10"/>
  <c r="M3131" i="10"/>
  <c r="E3131" i="10"/>
  <c r="B3131" i="10"/>
  <c r="S3130" i="10"/>
  <c r="Q3130" i="10"/>
  <c r="P3130" i="10"/>
  <c r="O3130" i="10"/>
  <c r="M3130" i="10"/>
  <c r="E3130" i="10"/>
  <c r="B3130" i="10"/>
  <c r="S3129" i="10"/>
  <c r="Q3129" i="10"/>
  <c r="P3129" i="10"/>
  <c r="O3129" i="10"/>
  <c r="M3129" i="10"/>
  <c r="E3129" i="10"/>
  <c r="B3129" i="10"/>
  <c r="S3128" i="10"/>
  <c r="Q3128" i="10"/>
  <c r="P3128" i="10"/>
  <c r="O3128" i="10"/>
  <c r="M3128" i="10"/>
  <c r="E3128" i="10"/>
  <c r="B3128" i="10"/>
  <c r="S3127" i="10"/>
  <c r="Q3127" i="10"/>
  <c r="P3127" i="10"/>
  <c r="O3127" i="10"/>
  <c r="M3127" i="10"/>
  <c r="E3127" i="10"/>
  <c r="B3127" i="10"/>
  <c r="S3126" i="10"/>
  <c r="Q3126" i="10"/>
  <c r="P3126" i="10"/>
  <c r="O3126" i="10"/>
  <c r="M3126" i="10"/>
  <c r="E3126" i="10"/>
  <c r="B3126" i="10"/>
  <c r="S3125" i="10"/>
  <c r="Q3125" i="10"/>
  <c r="P3125" i="10"/>
  <c r="O3125" i="10"/>
  <c r="M3125" i="10"/>
  <c r="E3125" i="10"/>
  <c r="B3125" i="10"/>
  <c r="S3124" i="10"/>
  <c r="Q3124" i="10"/>
  <c r="P3124" i="10"/>
  <c r="O3124" i="10"/>
  <c r="M3124" i="10"/>
  <c r="E3124" i="10"/>
  <c r="B3124" i="10"/>
  <c r="S3123" i="10"/>
  <c r="Q3123" i="10"/>
  <c r="P3123" i="10"/>
  <c r="O3123" i="10"/>
  <c r="M3123" i="10"/>
  <c r="E3123" i="10"/>
  <c r="B3123" i="10"/>
  <c r="S3122" i="10"/>
  <c r="Q3122" i="10"/>
  <c r="P3122" i="10"/>
  <c r="O3122" i="10"/>
  <c r="M3122" i="10"/>
  <c r="E3122" i="10"/>
  <c r="B3122" i="10"/>
  <c r="S3121" i="10"/>
  <c r="Q3121" i="10"/>
  <c r="P3121" i="10"/>
  <c r="O3121" i="10"/>
  <c r="M3121" i="10"/>
  <c r="E3121" i="10"/>
  <c r="B3121" i="10"/>
  <c r="S3120" i="10"/>
  <c r="Q3120" i="10"/>
  <c r="P3120" i="10"/>
  <c r="O3120" i="10"/>
  <c r="M3120" i="10"/>
  <c r="E3120" i="10"/>
  <c r="B3120" i="10"/>
  <c r="S3119" i="10"/>
  <c r="Q3119" i="10"/>
  <c r="P3119" i="10"/>
  <c r="O3119" i="10"/>
  <c r="M3119" i="10"/>
  <c r="E3119" i="10"/>
  <c r="B3119" i="10"/>
  <c r="S3118" i="10"/>
  <c r="Q3118" i="10"/>
  <c r="P3118" i="10"/>
  <c r="O3118" i="10"/>
  <c r="M3118" i="10"/>
  <c r="E3118" i="10"/>
  <c r="B3118" i="10"/>
  <c r="S3117" i="10"/>
  <c r="Q3117" i="10"/>
  <c r="P3117" i="10"/>
  <c r="O3117" i="10"/>
  <c r="M3117" i="10"/>
  <c r="E3117" i="10"/>
  <c r="B3117" i="10"/>
  <c r="S3116" i="10"/>
  <c r="Q3116" i="10"/>
  <c r="P3116" i="10"/>
  <c r="O3116" i="10"/>
  <c r="M3116" i="10"/>
  <c r="E3116" i="10"/>
  <c r="B3116" i="10"/>
  <c r="S3115" i="10"/>
  <c r="Q3115" i="10"/>
  <c r="P3115" i="10"/>
  <c r="O3115" i="10"/>
  <c r="M3115" i="10"/>
  <c r="E3115" i="10"/>
  <c r="B3115" i="10"/>
  <c r="S3114" i="10"/>
  <c r="Q3114" i="10"/>
  <c r="P3114" i="10"/>
  <c r="O3114" i="10"/>
  <c r="M3114" i="10"/>
  <c r="E3114" i="10"/>
  <c r="B3114" i="10"/>
  <c r="S3113" i="10"/>
  <c r="Q3113" i="10"/>
  <c r="P3113" i="10"/>
  <c r="O3113" i="10"/>
  <c r="M3113" i="10"/>
  <c r="E3113" i="10"/>
  <c r="B3113" i="10"/>
  <c r="S3112" i="10"/>
  <c r="Q3112" i="10"/>
  <c r="P3112" i="10"/>
  <c r="O3112" i="10"/>
  <c r="M3112" i="10"/>
  <c r="E3112" i="10"/>
  <c r="B3112" i="10"/>
  <c r="S3111" i="10"/>
  <c r="Q3111" i="10"/>
  <c r="P3111" i="10"/>
  <c r="O3111" i="10"/>
  <c r="M3111" i="10"/>
  <c r="E3111" i="10"/>
  <c r="B3111" i="10"/>
  <c r="S3110" i="10"/>
  <c r="Q3110" i="10"/>
  <c r="P3110" i="10"/>
  <c r="O3110" i="10"/>
  <c r="M3110" i="10"/>
  <c r="E3110" i="10"/>
  <c r="B3110" i="10"/>
  <c r="S3109" i="10"/>
  <c r="Q3109" i="10"/>
  <c r="P3109" i="10"/>
  <c r="O3109" i="10"/>
  <c r="M3109" i="10"/>
  <c r="E3109" i="10"/>
  <c r="B3109" i="10"/>
  <c r="S3108" i="10"/>
  <c r="Q3108" i="10"/>
  <c r="P3108" i="10"/>
  <c r="O3108" i="10"/>
  <c r="M3108" i="10"/>
  <c r="E3108" i="10"/>
  <c r="B3108" i="10"/>
  <c r="S3107" i="10"/>
  <c r="Q3107" i="10"/>
  <c r="P3107" i="10"/>
  <c r="O3107" i="10"/>
  <c r="M3107" i="10"/>
  <c r="E3107" i="10"/>
  <c r="B3107" i="10"/>
  <c r="S3106" i="10"/>
  <c r="Q3106" i="10"/>
  <c r="P3106" i="10"/>
  <c r="O3106" i="10"/>
  <c r="M3106" i="10"/>
  <c r="B3106" i="10"/>
  <c r="S3105" i="10"/>
  <c r="Q3105" i="10"/>
  <c r="P3105" i="10"/>
  <c r="O3105" i="10"/>
  <c r="M3105" i="10"/>
  <c r="B3105" i="10"/>
  <c r="S3104" i="10"/>
  <c r="Q3104" i="10"/>
  <c r="P3104" i="10"/>
  <c r="O3104" i="10"/>
  <c r="M3104" i="10"/>
  <c r="E3104" i="10"/>
  <c r="B3104" i="10"/>
  <c r="S3103" i="10"/>
  <c r="Q3103" i="10"/>
  <c r="P3103" i="10"/>
  <c r="O3103" i="10"/>
  <c r="M3103" i="10"/>
  <c r="E3103" i="10"/>
  <c r="B3103" i="10"/>
  <c r="S3102" i="10"/>
  <c r="Q3102" i="10"/>
  <c r="P3102" i="10"/>
  <c r="O3102" i="10"/>
  <c r="M3102" i="10"/>
  <c r="E3102" i="10"/>
  <c r="B3102" i="10"/>
  <c r="S3101" i="10"/>
  <c r="Q3101" i="10"/>
  <c r="P3101" i="10"/>
  <c r="O3101" i="10"/>
  <c r="M3101" i="10"/>
  <c r="E3101" i="10"/>
  <c r="B3101" i="10"/>
  <c r="S3100" i="10"/>
  <c r="Q3100" i="10"/>
  <c r="P3100" i="10"/>
  <c r="O3100" i="10"/>
  <c r="M3100" i="10"/>
  <c r="E3100" i="10"/>
  <c r="B3100" i="10"/>
  <c r="S3099" i="10"/>
  <c r="Q3099" i="10"/>
  <c r="P3099" i="10"/>
  <c r="O3099" i="10"/>
  <c r="M3099" i="10"/>
  <c r="E3099" i="10"/>
  <c r="B3099" i="10"/>
  <c r="S3098" i="10"/>
  <c r="Q3098" i="10"/>
  <c r="P3098" i="10"/>
  <c r="O3098" i="10"/>
  <c r="M3098" i="10"/>
  <c r="E3098" i="10"/>
  <c r="B3098" i="10"/>
  <c r="S3097" i="10"/>
  <c r="Q3097" i="10"/>
  <c r="P3097" i="10"/>
  <c r="O3097" i="10"/>
  <c r="M3097" i="10"/>
  <c r="E3097" i="10"/>
  <c r="B3097" i="10"/>
  <c r="S3096" i="10"/>
  <c r="Q3096" i="10"/>
  <c r="P3096" i="10"/>
  <c r="O3096" i="10"/>
  <c r="M3096" i="10"/>
  <c r="E3096" i="10"/>
  <c r="B3096" i="10"/>
  <c r="S3095" i="10"/>
  <c r="Q3095" i="10"/>
  <c r="P3095" i="10"/>
  <c r="O3095" i="10"/>
  <c r="M3095" i="10"/>
  <c r="B3095" i="10"/>
  <c r="S3094" i="10"/>
  <c r="Q3094" i="10"/>
  <c r="P3094" i="10"/>
  <c r="O3094" i="10"/>
  <c r="M3094" i="10"/>
  <c r="E3094" i="10"/>
  <c r="B3094" i="10"/>
  <c r="S3093" i="10"/>
  <c r="Q3093" i="10"/>
  <c r="P3093" i="10"/>
  <c r="O3093" i="10"/>
  <c r="M3093" i="10"/>
  <c r="E3093" i="10"/>
  <c r="B3093" i="10"/>
  <c r="S3092" i="10"/>
  <c r="Q3092" i="10"/>
  <c r="P3092" i="10"/>
  <c r="O3092" i="10"/>
  <c r="M3092" i="10"/>
  <c r="B3092" i="10"/>
  <c r="S3091" i="10"/>
  <c r="Q3091" i="10"/>
  <c r="P3091" i="10"/>
  <c r="O3091" i="10"/>
  <c r="M3091" i="10"/>
  <c r="E3091" i="10"/>
  <c r="B3091" i="10"/>
  <c r="S3090" i="10"/>
  <c r="Q3090" i="10"/>
  <c r="P3090" i="10"/>
  <c r="O3090" i="10"/>
  <c r="M3090" i="10"/>
  <c r="E3090" i="10"/>
  <c r="B3090" i="10"/>
  <c r="S3089" i="10"/>
  <c r="Q3089" i="10"/>
  <c r="P3089" i="10"/>
  <c r="O3089" i="10"/>
  <c r="M3089" i="10"/>
  <c r="E3089" i="10"/>
  <c r="B3089" i="10"/>
  <c r="S3088" i="10"/>
  <c r="Q3088" i="10"/>
  <c r="P3088" i="10"/>
  <c r="O3088" i="10"/>
  <c r="M3088" i="10"/>
  <c r="E3088" i="10"/>
  <c r="B3088" i="10"/>
  <c r="S3087" i="10"/>
  <c r="Q3087" i="10"/>
  <c r="P3087" i="10"/>
  <c r="O3087" i="10"/>
  <c r="M3087" i="10"/>
  <c r="E3087" i="10"/>
  <c r="B3087" i="10"/>
  <c r="S3086" i="10"/>
  <c r="Q3086" i="10"/>
  <c r="P3086" i="10"/>
  <c r="O3086" i="10"/>
  <c r="M3086" i="10"/>
  <c r="B3086" i="10"/>
  <c r="S3085" i="10"/>
  <c r="Q3085" i="10"/>
  <c r="P3085" i="10"/>
  <c r="O3085" i="10"/>
  <c r="M3085" i="10"/>
  <c r="E3085" i="10"/>
  <c r="B3085" i="10"/>
  <c r="S3084" i="10"/>
  <c r="Q3084" i="10"/>
  <c r="P3084" i="10"/>
  <c r="O3084" i="10"/>
  <c r="M3084" i="10"/>
  <c r="E3084" i="10"/>
  <c r="B3084" i="10"/>
  <c r="S3083" i="10"/>
  <c r="Q3083" i="10"/>
  <c r="P3083" i="10"/>
  <c r="O3083" i="10"/>
  <c r="M3083" i="10"/>
  <c r="E3083" i="10"/>
  <c r="B3083" i="10"/>
  <c r="S3082" i="10"/>
  <c r="Q3082" i="10"/>
  <c r="P3082" i="10"/>
  <c r="O3082" i="10"/>
  <c r="M3082" i="10"/>
  <c r="E3082" i="10"/>
  <c r="B3082" i="10"/>
  <c r="S3081" i="10"/>
  <c r="Q3081" i="10"/>
  <c r="P3081" i="10"/>
  <c r="O3081" i="10"/>
  <c r="M3081" i="10"/>
  <c r="E3081" i="10"/>
  <c r="B3081" i="10"/>
  <c r="S3080" i="10"/>
  <c r="Q3080" i="10"/>
  <c r="P3080" i="10"/>
  <c r="O3080" i="10"/>
  <c r="M3080" i="10"/>
  <c r="E3080" i="10"/>
  <c r="B3080" i="10"/>
  <c r="S3079" i="10"/>
  <c r="Q3079" i="10"/>
  <c r="P3079" i="10"/>
  <c r="O3079" i="10"/>
  <c r="M3079" i="10"/>
  <c r="E3079" i="10"/>
  <c r="B3079" i="10"/>
  <c r="S3078" i="10"/>
  <c r="Q3078" i="10"/>
  <c r="P3078" i="10"/>
  <c r="O3078" i="10"/>
  <c r="M3078" i="10"/>
  <c r="E3078" i="10"/>
  <c r="B3078" i="10"/>
  <c r="S3077" i="10"/>
  <c r="Q3077" i="10"/>
  <c r="P3077" i="10"/>
  <c r="O3077" i="10"/>
  <c r="M3077" i="10"/>
  <c r="E3077" i="10"/>
  <c r="B3077" i="10"/>
  <c r="S3076" i="10"/>
  <c r="Q3076" i="10"/>
  <c r="P3076" i="10"/>
  <c r="O3076" i="10"/>
  <c r="M3076" i="10"/>
  <c r="E3076" i="10"/>
  <c r="B3076" i="10"/>
  <c r="S3075" i="10"/>
  <c r="Q3075" i="10"/>
  <c r="P3075" i="10"/>
  <c r="O3075" i="10"/>
  <c r="M3075" i="10"/>
  <c r="E3075" i="10"/>
  <c r="B3075" i="10"/>
  <c r="S3074" i="10"/>
  <c r="Q3074" i="10"/>
  <c r="P3074" i="10"/>
  <c r="O3074" i="10"/>
  <c r="M3074" i="10"/>
  <c r="E3074" i="10"/>
  <c r="B3074" i="10"/>
  <c r="S3073" i="10"/>
  <c r="Q3073" i="10"/>
  <c r="P3073" i="10"/>
  <c r="O3073" i="10"/>
  <c r="M3073" i="10"/>
  <c r="E3073" i="10"/>
  <c r="B3073" i="10"/>
  <c r="S3072" i="10"/>
  <c r="Q3072" i="10"/>
  <c r="P3072" i="10"/>
  <c r="O3072" i="10"/>
  <c r="M3072" i="10"/>
  <c r="E3072" i="10"/>
  <c r="B3072" i="10"/>
  <c r="S3071" i="10"/>
  <c r="Q3071" i="10"/>
  <c r="P3071" i="10"/>
  <c r="O3071" i="10"/>
  <c r="M3071" i="10"/>
  <c r="E3071" i="10"/>
  <c r="B3071" i="10"/>
  <c r="S3070" i="10"/>
  <c r="Q3070" i="10"/>
  <c r="P3070" i="10"/>
  <c r="O3070" i="10"/>
  <c r="M3070" i="10"/>
  <c r="E3070" i="10"/>
  <c r="B3070" i="10"/>
  <c r="S3069" i="10"/>
  <c r="Q3069" i="10"/>
  <c r="P3069" i="10"/>
  <c r="O3069" i="10"/>
  <c r="M3069" i="10"/>
  <c r="E3069" i="10"/>
  <c r="B3069" i="10"/>
  <c r="S3068" i="10"/>
  <c r="Q3068" i="10"/>
  <c r="P3068" i="10"/>
  <c r="O3068" i="10"/>
  <c r="M3068" i="10"/>
  <c r="E3068" i="10"/>
  <c r="B3068" i="10"/>
  <c r="S3067" i="10"/>
  <c r="Q3067" i="10"/>
  <c r="P3067" i="10"/>
  <c r="O3067" i="10"/>
  <c r="M3067" i="10"/>
  <c r="E3067" i="10"/>
  <c r="B3067" i="10"/>
  <c r="S3066" i="10"/>
  <c r="Q3066" i="10"/>
  <c r="P3066" i="10"/>
  <c r="O3066" i="10"/>
  <c r="M3066" i="10"/>
  <c r="E3066" i="10"/>
  <c r="B3066" i="10"/>
  <c r="S3065" i="10"/>
  <c r="Q3065" i="10"/>
  <c r="P3065" i="10"/>
  <c r="O3065" i="10"/>
  <c r="M3065" i="10"/>
  <c r="E3065" i="10"/>
  <c r="B3065" i="10"/>
  <c r="S3064" i="10"/>
  <c r="Q3064" i="10"/>
  <c r="P3064" i="10"/>
  <c r="O3064" i="10"/>
  <c r="M3064" i="10"/>
  <c r="E3064" i="10"/>
  <c r="B3064" i="10"/>
  <c r="S3063" i="10"/>
  <c r="Q3063" i="10"/>
  <c r="P3063" i="10"/>
  <c r="O3063" i="10"/>
  <c r="M3063" i="10"/>
  <c r="E3063" i="10"/>
  <c r="B3063" i="10"/>
  <c r="S3062" i="10"/>
  <c r="Q3062" i="10"/>
  <c r="P3062" i="10"/>
  <c r="O3062" i="10"/>
  <c r="M3062" i="10"/>
  <c r="B3062" i="10"/>
  <c r="S3061" i="10"/>
  <c r="Q3061" i="10"/>
  <c r="P3061" i="10"/>
  <c r="O3061" i="10"/>
  <c r="M3061" i="10"/>
  <c r="E3061" i="10"/>
  <c r="B3061" i="10"/>
  <c r="S3060" i="10"/>
  <c r="Q3060" i="10"/>
  <c r="P3060" i="10"/>
  <c r="O3060" i="10"/>
  <c r="M3060" i="10"/>
  <c r="B3060" i="10"/>
  <c r="S3059" i="10"/>
  <c r="Q3059" i="10"/>
  <c r="P3059" i="10"/>
  <c r="O3059" i="10"/>
  <c r="M3059" i="10"/>
  <c r="B3059" i="10"/>
  <c r="S3058" i="10"/>
  <c r="Q3058" i="10"/>
  <c r="P3058" i="10"/>
  <c r="O3058" i="10"/>
  <c r="M3058" i="10"/>
  <c r="B3058" i="10"/>
  <c r="S3057" i="10"/>
  <c r="Q3057" i="10"/>
  <c r="P3057" i="10"/>
  <c r="O3057" i="10"/>
  <c r="M3057" i="10"/>
  <c r="E3057" i="10"/>
  <c r="B3057" i="10"/>
  <c r="S3056" i="10"/>
  <c r="Q3056" i="10"/>
  <c r="P3056" i="10"/>
  <c r="O3056" i="10"/>
  <c r="M3056" i="10"/>
  <c r="E3056" i="10"/>
  <c r="B3056" i="10"/>
  <c r="S3055" i="10"/>
  <c r="Q3055" i="10"/>
  <c r="P3055" i="10"/>
  <c r="O3055" i="10"/>
  <c r="M3055" i="10"/>
  <c r="E3055" i="10"/>
  <c r="B3055" i="10"/>
  <c r="S3054" i="10"/>
  <c r="Q3054" i="10"/>
  <c r="P3054" i="10"/>
  <c r="O3054" i="10"/>
  <c r="M3054" i="10"/>
  <c r="E3054" i="10"/>
  <c r="B3054" i="10"/>
  <c r="S3053" i="10"/>
  <c r="Q3053" i="10"/>
  <c r="P3053" i="10"/>
  <c r="O3053" i="10"/>
  <c r="M3053" i="10"/>
  <c r="B3053" i="10"/>
  <c r="S3052" i="10"/>
  <c r="Q3052" i="10"/>
  <c r="P3052" i="10"/>
  <c r="O3052" i="10"/>
  <c r="M3052" i="10"/>
  <c r="E3052" i="10"/>
  <c r="B3052" i="10"/>
  <c r="S3051" i="10"/>
  <c r="Q3051" i="10"/>
  <c r="P3051" i="10"/>
  <c r="O3051" i="10"/>
  <c r="M3051" i="10"/>
  <c r="E3051" i="10"/>
  <c r="B3051" i="10"/>
  <c r="S3050" i="10"/>
  <c r="Q3050" i="10"/>
  <c r="P3050" i="10"/>
  <c r="O3050" i="10"/>
  <c r="M3050" i="10"/>
  <c r="E3050" i="10"/>
  <c r="B3050" i="10"/>
  <c r="S3049" i="10"/>
  <c r="Q3049" i="10"/>
  <c r="P3049" i="10"/>
  <c r="O3049" i="10"/>
  <c r="M3049" i="10"/>
  <c r="E3049" i="10"/>
  <c r="B3049" i="10"/>
  <c r="S3048" i="10"/>
  <c r="Q3048" i="10"/>
  <c r="P3048" i="10"/>
  <c r="O3048" i="10"/>
  <c r="M3048" i="10"/>
  <c r="E3048" i="10"/>
  <c r="B3048" i="10"/>
  <c r="S3047" i="10"/>
  <c r="Q3047" i="10"/>
  <c r="P3047" i="10"/>
  <c r="O3047" i="10"/>
  <c r="M3047" i="10"/>
  <c r="E3047" i="10"/>
  <c r="B3047" i="10"/>
  <c r="S3046" i="10"/>
  <c r="Q3046" i="10"/>
  <c r="P3046" i="10"/>
  <c r="O3046" i="10"/>
  <c r="M3046" i="10"/>
  <c r="E3046" i="10"/>
  <c r="B3046" i="10"/>
  <c r="S3045" i="10"/>
  <c r="Q3045" i="10"/>
  <c r="P3045" i="10"/>
  <c r="O3045" i="10"/>
  <c r="M3045" i="10"/>
  <c r="E3045" i="10"/>
  <c r="B3045" i="10"/>
  <c r="S3044" i="10"/>
  <c r="Q3044" i="10"/>
  <c r="P3044" i="10"/>
  <c r="O3044" i="10"/>
  <c r="M3044" i="10"/>
  <c r="E3044" i="10"/>
  <c r="B3044" i="10"/>
  <c r="S3043" i="10"/>
  <c r="Q3043" i="10"/>
  <c r="P3043" i="10"/>
  <c r="O3043" i="10"/>
  <c r="M3043" i="10"/>
  <c r="E3043" i="10"/>
  <c r="B3043" i="10"/>
  <c r="S3042" i="10"/>
  <c r="Q3042" i="10"/>
  <c r="P3042" i="10"/>
  <c r="O3042" i="10"/>
  <c r="M3042" i="10"/>
  <c r="E3042" i="10"/>
  <c r="B3042" i="10"/>
  <c r="S3041" i="10"/>
  <c r="Q3041" i="10"/>
  <c r="P3041" i="10"/>
  <c r="O3041" i="10"/>
  <c r="M3041" i="10"/>
  <c r="E3041" i="10"/>
  <c r="B3041" i="10"/>
  <c r="S3040" i="10"/>
  <c r="Q3040" i="10"/>
  <c r="P3040" i="10"/>
  <c r="O3040" i="10"/>
  <c r="M3040" i="10"/>
  <c r="E3040" i="10"/>
  <c r="B3040" i="10"/>
  <c r="S3039" i="10"/>
  <c r="Q3039" i="10"/>
  <c r="P3039" i="10"/>
  <c r="O3039" i="10"/>
  <c r="M3039" i="10"/>
  <c r="E3039" i="10"/>
  <c r="B3039" i="10"/>
  <c r="S3038" i="10"/>
  <c r="Q3038" i="10"/>
  <c r="P3038" i="10"/>
  <c r="O3038" i="10"/>
  <c r="M3038" i="10"/>
  <c r="E3038" i="10"/>
  <c r="B3038" i="10"/>
  <c r="S3037" i="10"/>
  <c r="Q3037" i="10"/>
  <c r="P3037" i="10"/>
  <c r="O3037" i="10"/>
  <c r="M3037" i="10"/>
  <c r="E3037" i="10"/>
  <c r="B3037" i="10"/>
  <c r="S3036" i="10"/>
  <c r="Q3036" i="10"/>
  <c r="P3036" i="10"/>
  <c r="O3036" i="10"/>
  <c r="M3036" i="10"/>
  <c r="E3036" i="10"/>
  <c r="B3036" i="10"/>
  <c r="S3035" i="10"/>
  <c r="Q3035" i="10"/>
  <c r="P3035" i="10"/>
  <c r="O3035" i="10"/>
  <c r="M3035" i="10"/>
  <c r="E3035" i="10"/>
  <c r="B3035" i="10"/>
  <c r="S3034" i="10"/>
  <c r="Q3034" i="10"/>
  <c r="P3034" i="10"/>
  <c r="O3034" i="10"/>
  <c r="M3034" i="10"/>
  <c r="E3034" i="10"/>
  <c r="B3034" i="10"/>
  <c r="S3033" i="10"/>
  <c r="Q3033" i="10"/>
  <c r="P3033" i="10"/>
  <c r="O3033" i="10"/>
  <c r="M3033" i="10"/>
  <c r="E3033" i="10"/>
  <c r="B3033" i="10"/>
  <c r="S3032" i="10"/>
  <c r="Q3032" i="10"/>
  <c r="P3032" i="10"/>
  <c r="O3032" i="10"/>
  <c r="M3032" i="10"/>
  <c r="E3032" i="10"/>
  <c r="B3032" i="10"/>
  <c r="S3031" i="10"/>
  <c r="Q3031" i="10"/>
  <c r="P3031" i="10"/>
  <c r="O3031" i="10"/>
  <c r="M3031" i="10"/>
  <c r="E3031" i="10"/>
  <c r="B3031" i="10"/>
  <c r="S3030" i="10"/>
  <c r="Q3030" i="10"/>
  <c r="P3030" i="10"/>
  <c r="O3030" i="10"/>
  <c r="M3030" i="10"/>
  <c r="E3030" i="10"/>
  <c r="B3030" i="10"/>
  <c r="S3029" i="10"/>
  <c r="Q3029" i="10"/>
  <c r="P3029" i="10"/>
  <c r="O3029" i="10"/>
  <c r="M3029" i="10"/>
  <c r="E3029" i="10"/>
  <c r="B3029" i="10"/>
  <c r="S3028" i="10"/>
  <c r="Q3028" i="10"/>
  <c r="P3028" i="10"/>
  <c r="O3028" i="10"/>
  <c r="M3028" i="10"/>
  <c r="E3028" i="10"/>
  <c r="B3028" i="10"/>
  <c r="S3027" i="10"/>
  <c r="Q3027" i="10"/>
  <c r="P3027" i="10"/>
  <c r="O3027" i="10"/>
  <c r="M3027" i="10"/>
  <c r="E3027" i="10"/>
  <c r="B3027" i="10"/>
  <c r="S3026" i="10"/>
  <c r="Q3026" i="10"/>
  <c r="P3026" i="10"/>
  <c r="O3026" i="10"/>
  <c r="M3026" i="10"/>
  <c r="E3026" i="10"/>
  <c r="B3026" i="10"/>
  <c r="S3025" i="10"/>
  <c r="Q3025" i="10"/>
  <c r="P3025" i="10"/>
  <c r="O3025" i="10"/>
  <c r="M3025" i="10"/>
  <c r="E3025" i="10"/>
  <c r="B3025" i="10"/>
  <c r="S3024" i="10"/>
  <c r="Q3024" i="10"/>
  <c r="P3024" i="10"/>
  <c r="O3024" i="10"/>
  <c r="M3024" i="10"/>
  <c r="E3024" i="10"/>
  <c r="B3024" i="10"/>
  <c r="S3023" i="10"/>
  <c r="Q3023" i="10"/>
  <c r="P3023" i="10"/>
  <c r="O3023" i="10"/>
  <c r="M3023" i="10"/>
  <c r="E3023" i="10"/>
  <c r="B3023" i="10"/>
  <c r="S3022" i="10"/>
  <c r="Q3022" i="10"/>
  <c r="P3022" i="10"/>
  <c r="O3022" i="10"/>
  <c r="M3022" i="10"/>
  <c r="E3022" i="10"/>
  <c r="B3022" i="10"/>
  <c r="S3021" i="10"/>
  <c r="Q3021" i="10"/>
  <c r="P3021" i="10"/>
  <c r="O3021" i="10"/>
  <c r="M3021" i="10"/>
  <c r="E3021" i="10"/>
  <c r="B3021" i="10"/>
  <c r="S3020" i="10"/>
  <c r="Q3020" i="10"/>
  <c r="P3020" i="10"/>
  <c r="O3020" i="10"/>
  <c r="M3020" i="10"/>
  <c r="E3020" i="10"/>
  <c r="B3020" i="10"/>
  <c r="S3019" i="10"/>
  <c r="Q3019" i="10"/>
  <c r="P3019" i="10"/>
  <c r="O3019" i="10"/>
  <c r="M3019" i="10"/>
  <c r="E3019" i="10"/>
  <c r="B3019" i="10"/>
  <c r="S3018" i="10"/>
  <c r="Q3018" i="10"/>
  <c r="P3018" i="10"/>
  <c r="O3018" i="10"/>
  <c r="M3018" i="10"/>
  <c r="E3018" i="10"/>
  <c r="B3018" i="10"/>
  <c r="S3017" i="10"/>
  <c r="Q3017" i="10"/>
  <c r="P3017" i="10"/>
  <c r="O3017" i="10"/>
  <c r="M3017" i="10"/>
  <c r="E3017" i="10"/>
  <c r="B3017" i="10"/>
  <c r="S3016" i="10"/>
  <c r="Q3016" i="10"/>
  <c r="P3016" i="10"/>
  <c r="O3016" i="10"/>
  <c r="M3016" i="10"/>
  <c r="E3016" i="10"/>
  <c r="B3016" i="10"/>
  <c r="S3015" i="10"/>
  <c r="Q3015" i="10"/>
  <c r="P3015" i="10"/>
  <c r="O3015" i="10"/>
  <c r="M3015" i="10"/>
  <c r="E3015" i="10"/>
  <c r="B3015" i="10"/>
  <c r="S3014" i="10"/>
  <c r="Q3014" i="10"/>
  <c r="P3014" i="10"/>
  <c r="O3014" i="10"/>
  <c r="M3014" i="10"/>
  <c r="E3014" i="10"/>
  <c r="B3014" i="10"/>
  <c r="S3013" i="10"/>
  <c r="Q3013" i="10"/>
  <c r="P3013" i="10"/>
  <c r="O3013" i="10"/>
  <c r="M3013" i="10"/>
  <c r="E3013" i="10"/>
  <c r="B3013" i="10"/>
  <c r="S3012" i="10"/>
  <c r="Q3012" i="10"/>
  <c r="P3012" i="10"/>
  <c r="O3012" i="10"/>
  <c r="M3012" i="10"/>
  <c r="B3012" i="10"/>
  <c r="S3011" i="10"/>
  <c r="Q3011" i="10"/>
  <c r="P3011" i="10"/>
  <c r="O3011" i="10"/>
  <c r="M3011" i="10"/>
  <c r="E3011" i="10"/>
  <c r="B3011" i="10"/>
  <c r="S3010" i="10"/>
  <c r="Q3010" i="10"/>
  <c r="P3010" i="10"/>
  <c r="O3010" i="10"/>
  <c r="M3010" i="10"/>
  <c r="E3010" i="10"/>
  <c r="B3010" i="10"/>
  <c r="S3009" i="10"/>
  <c r="Q3009" i="10"/>
  <c r="P3009" i="10"/>
  <c r="O3009" i="10"/>
  <c r="M3009" i="10"/>
  <c r="B3009" i="10"/>
  <c r="S3008" i="10"/>
  <c r="Q3008" i="10"/>
  <c r="P3008" i="10"/>
  <c r="O3008" i="10"/>
  <c r="M3008" i="10"/>
  <c r="B3008" i="10"/>
  <c r="S3007" i="10"/>
  <c r="Q3007" i="10"/>
  <c r="P3007" i="10"/>
  <c r="O3007" i="10"/>
  <c r="M3007" i="10"/>
  <c r="B3007" i="10"/>
  <c r="S3006" i="10"/>
  <c r="Q3006" i="10"/>
  <c r="P3006" i="10"/>
  <c r="O3006" i="10"/>
  <c r="M3006" i="10"/>
  <c r="E3006" i="10"/>
  <c r="B3006" i="10"/>
  <c r="S3005" i="10"/>
  <c r="Q3005" i="10"/>
  <c r="P3005" i="10"/>
  <c r="O3005" i="10"/>
  <c r="M3005" i="10"/>
  <c r="E3005" i="10"/>
  <c r="B3005" i="10"/>
  <c r="S3004" i="10"/>
  <c r="Q3004" i="10"/>
  <c r="P3004" i="10"/>
  <c r="O3004" i="10"/>
  <c r="M3004" i="10"/>
  <c r="B3004" i="10"/>
  <c r="S3003" i="10"/>
  <c r="Q3003" i="10"/>
  <c r="P3003" i="10"/>
  <c r="O3003" i="10"/>
  <c r="M3003" i="10"/>
  <c r="B3003" i="10"/>
  <c r="S3002" i="10"/>
  <c r="Q3002" i="10"/>
  <c r="P3002" i="10"/>
  <c r="O3002" i="10"/>
  <c r="M3002" i="10"/>
  <c r="E3002" i="10"/>
  <c r="B3002" i="10"/>
  <c r="S3001" i="10"/>
  <c r="Q3001" i="10"/>
  <c r="P3001" i="10"/>
  <c r="O3001" i="10"/>
  <c r="M3001" i="10"/>
  <c r="B3001" i="10"/>
  <c r="S3000" i="10"/>
  <c r="Q3000" i="10"/>
  <c r="P3000" i="10"/>
  <c r="O3000" i="10"/>
  <c r="M3000" i="10"/>
  <c r="E3000" i="10"/>
  <c r="B3000" i="10"/>
  <c r="S2999" i="10"/>
  <c r="Q2999" i="10"/>
  <c r="P2999" i="10"/>
  <c r="O2999" i="10"/>
  <c r="M2999" i="10"/>
  <c r="B2999" i="10"/>
  <c r="S2998" i="10"/>
  <c r="Q2998" i="10"/>
  <c r="P2998" i="10"/>
  <c r="O2998" i="10"/>
  <c r="M2998" i="10"/>
  <c r="E2998" i="10"/>
  <c r="B2998" i="10"/>
  <c r="S2997" i="10"/>
  <c r="Q2997" i="10"/>
  <c r="P2997" i="10"/>
  <c r="O2997" i="10"/>
  <c r="M2997" i="10"/>
  <c r="E2997" i="10"/>
  <c r="B2997" i="10"/>
  <c r="S2996" i="10"/>
  <c r="Q2996" i="10"/>
  <c r="P2996" i="10"/>
  <c r="O2996" i="10"/>
  <c r="M2996" i="10"/>
  <c r="E2996" i="10"/>
  <c r="B2996" i="10"/>
  <c r="S2995" i="10"/>
  <c r="Q2995" i="10"/>
  <c r="P2995" i="10"/>
  <c r="O2995" i="10"/>
  <c r="M2995" i="10"/>
  <c r="E2995" i="10"/>
  <c r="B2995" i="10"/>
  <c r="S2994" i="10"/>
  <c r="Q2994" i="10"/>
  <c r="P2994" i="10"/>
  <c r="O2994" i="10"/>
  <c r="M2994" i="10"/>
  <c r="E2994" i="10"/>
  <c r="B2994" i="10"/>
  <c r="S2993" i="10"/>
  <c r="Q2993" i="10"/>
  <c r="P2993" i="10"/>
  <c r="O2993" i="10"/>
  <c r="M2993" i="10"/>
  <c r="E2993" i="10"/>
  <c r="B2993" i="10"/>
  <c r="S2992" i="10"/>
  <c r="Q2992" i="10"/>
  <c r="P2992" i="10"/>
  <c r="O2992" i="10"/>
  <c r="M2992" i="10"/>
  <c r="E2992" i="10"/>
  <c r="B2992" i="10"/>
  <c r="S2991" i="10"/>
  <c r="Q2991" i="10"/>
  <c r="P2991" i="10"/>
  <c r="O2991" i="10"/>
  <c r="M2991" i="10"/>
  <c r="E2991" i="10"/>
  <c r="B2991" i="10"/>
  <c r="S2990" i="10"/>
  <c r="Q2990" i="10"/>
  <c r="P2990" i="10"/>
  <c r="O2990" i="10"/>
  <c r="M2990" i="10"/>
  <c r="E2990" i="10"/>
  <c r="B2990" i="10"/>
  <c r="S2989" i="10"/>
  <c r="Q2989" i="10"/>
  <c r="P2989" i="10"/>
  <c r="O2989" i="10"/>
  <c r="M2989" i="10"/>
  <c r="E2989" i="10"/>
  <c r="B2989" i="10"/>
  <c r="S2988" i="10"/>
  <c r="Q2988" i="10"/>
  <c r="P2988" i="10"/>
  <c r="O2988" i="10"/>
  <c r="M2988" i="10"/>
  <c r="E2988" i="10"/>
  <c r="B2988" i="10"/>
  <c r="S2987" i="10"/>
  <c r="Q2987" i="10"/>
  <c r="P2987" i="10"/>
  <c r="O2987" i="10"/>
  <c r="M2987" i="10"/>
  <c r="E2987" i="10"/>
  <c r="B2987" i="10"/>
  <c r="S2986" i="10"/>
  <c r="Q2986" i="10"/>
  <c r="P2986" i="10"/>
  <c r="O2986" i="10"/>
  <c r="M2986" i="10"/>
  <c r="E2986" i="10"/>
  <c r="B2986" i="10"/>
  <c r="S2985" i="10"/>
  <c r="Q2985" i="10"/>
  <c r="P2985" i="10"/>
  <c r="O2985" i="10"/>
  <c r="M2985" i="10"/>
  <c r="E2985" i="10"/>
  <c r="B2985" i="10"/>
  <c r="S2984" i="10"/>
  <c r="Q2984" i="10"/>
  <c r="P2984" i="10"/>
  <c r="O2984" i="10"/>
  <c r="M2984" i="10"/>
  <c r="B2984" i="10"/>
  <c r="S2983" i="10"/>
  <c r="Q2983" i="10"/>
  <c r="P2983" i="10"/>
  <c r="O2983" i="10"/>
  <c r="M2983" i="10"/>
  <c r="E2983" i="10"/>
  <c r="B2983" i="10"/>
  <c r="S2982" i="10"/>
  <c r="Q2982" i="10"/>
  <c r="P2982" i="10"/>
  <c r="O2982" i="10"/>
  <c r="M2982" i="10"/>
  <c r="B2982" i="10"/>
  <c r="S2981" i="10"/>
  <c r="Q2981" i="10"/>
  <c r="P2981" i="10"/>
  <c r="O2981" i="10"/>
  <c r="M2981" i="10"/>
  <c r="B2981" i="10"/>
  <c r="S2980" i="10"/>
  <c r="Q2980" i="10"/>
  <c r="P2980" i="10"/>
  <c r="O2980" i="10"/>
  <c r="M2980" i="10"/>
  <c r="E2980" i="10"/>
  <c r="B2980" i="10"/>
  <c r="S2979" i="10"/>
  <c r="Q2979" i="10"/>
  <c r="P2979" i="10"/>
  <c r="O2979" i="10"/>
  <c r="M2979" i="10"/>
  <c r="E2979" i="10"/>
  <c r="B2979" i="10"/>
  <c r="S2978" i="10"/>
  <c r="Q2978" i="10"/>
  <c r="P2978" i="10"/>
  <c r="O2978" i="10"/>
  <c r="M2978" i="10"/>
  <c r="E2978" i="10"/>
  <c r="B2978" i="10"/>
  <c r="S2977" i="10"/>
  <c r="Q2977" i="10"/>
  <c r="P2977" i="10"/>
  <c r="O2977" i="10"/>
  <c r="M2977" i="10"/>
  <c r="E2977" i="10"/>
  <c r="B2977" i="10"/>
  <c r="S2976" i="10"/>
  <c r="Q2976" i="10"/>
  <c r="P2976" i="10"/>
  <c r="O2976" i="10"/>
  <c r="M2976" i="10"/>
  <c r="E2976" i="10"/>
  <c r="B2976" i="10"/>
  <c r="S2975" i="10"/>
  <c r="Q2975" i="10"/>
  <c r="P2975" i="10"/>
  <c r="O2975" i="10"/>
  <c r="M2975" i="10"/>
  <c r="E2975" i="10"/>
  <c r="B2975" i="10"/>
  <c r="S2974" i="10"/>
  <c r="Q2974" i="10"/>
  <c r="P2974" i="10"/>
  <c r="O2974" i="10"/>
  <c r="M2974" i="10"/>
  <c r="E2974" i="10"/>
  <c r="B2974" i="10"/>
  <c r="S2973" i="10"/>
  <c r="Q2973" i="10"/>
  <c r="P2973" i="10"/>
  <c r="O2973" i="10"/>
  <c r="M2973" i="10"/>
  <c r="E2973" i="10"/>
  <c r="B2973" i="10"/>
  <c r="S2972" i="10"/>
  <c r="Q2972" i="10"/>
  <c r="P2972" i="10"/>
  <c r="O2972" i="10"/>
  <c r="M2972" i="10"/>
  <c r="E2972" i="10"/>
  <c r="B2972" i="10"/>
  <c r="S2971" i="10"/>
  <c r="Q2971" i="10"/>
  <c r="P2971" i="10"/>
  <c r="O2971" i="10"/>
  <c r="M2971" i="10"/>
  <c r="B2971" i="10"/>
  <c r="S2970" i="10"/>
  <c r="Q2970" i="10"/>
  <c r="P2970" i="10"/>
  <c r="O2970" i="10"/>
  <c r="M2970" i="10"/>
  <c r="B2970" i="10"/>
  <c r="S2969" i="10"/>
  <c r="Q2969" i="10"/>
  <c r="P2969" i="10"/>
  <c r="O2969" i="10"/>
  <c r="M2969" i="10"/>
  <c r="E2969" i="10"/>
  <c r="B2969" i="10"/>
  <c r="S2968" i="10"/>
  <c r="Q2968" i="10"/>
  <c r="P2968" i="10"/>
  <c r="O2968" i="10"/>
  <c r="M2968" i="10"/>
  <c r="E2968" i="10"/>
  <c r="B2968" i="10"/>
  <c r="S2967" i="10"/>
  <c r="Q2967" i="10"/>
  <c r="P2967" i="10"/>
  <c r="O2967" i="10"/>
  <c r="M2967" i="10"/>
  <c r="E2967" i="10"/>
  <c r="B2967" i="10"/>
  <c r="S2966" i="10"/>
  <c r="Q2966" i="10"/>
  <c r="P2966" i="10"/>
  <c r="O2966" i="10"/>
  <c r="M2966" i="10"/>
  <c r="E2966" i="10"/>
  <c r="B2966" i="10"/>
  <c r="S2965" i="10"/>
  <c r="Q2965" i="10"/>
  <c r="P2965" i="10"/>
  <c r="O2965" i="10"/>
  <c r="M2965" i="10"/>
  <c r="B2965" i="10"/>
  <c r="S2964" i="10"/>
  <c r="Q2964" i="10"/>
  <c r="P2964" i="10"/>
  <c r="O2964" i="10"/>
  <c r="M2964" i="10"/>
  <c r="E2964" i="10"/>
  <c r="B2964" i="10"/>
  <c r="S2963" i="10"/>
  <c r="Q2963" i="10"/>
  <c r="P2963" i="10"/>
  <c r="O2963" i="10"/>
  <c r="M2963" i="10"/>
  <c r="E2963" i="10"/>
  <c r="B2963" i="10"/>
  <c r="S2962" i="10"/>
  <c r="Q2962" i="10"/>
  <c r="P2962" i="10"/>
  <c r="O2962" i="10"/>
  <c r="M2962" i="10"/>
  <c r="E2962" i="10"/>
  <c r="B2962" i="10"/>
  <c r="S2961" i="10"/>
  <c r="Q2961" i="10"/>
  <c r="P2961" i="10"/>
  <c r="O2961" i="10"/>
  <c r="M2961" i="10"/>
  <c r="E2961" i="10"/>
  <c r="B2961" i="10"/>
  <c r="S2960" i="10"/>
  <c r="Q2960" i="10"/>
  <c r="P2960" i="10"/>
  <c r="O2960" i="10"/>
  <c r="M2960" i="10"/>
  <c r="E2960" i="10"/>
  <c r="B2960" i="10"/>
  <c r="S2959" i="10"/>
  <c r="Q2959" i="10"/>
  <c r="P2959" i="10"/>
  <c r="O2959" i="10"/>
  <c r="M2959" i="10"/>
  <c r="E2959" i="10"/>
  <c r="B2959" i="10"/>
  <c r="S2958" i="10"/>
  <c r="Q2958" i="10"/>
  <c r="P2958" i="10"/>
  <c r="O2958" i="10"/>
  <c r="M2958" i="10"/>
  <c r="B2958" i="10"/>
  <c r="S2957" i="10"/>
  <c r="Q2957" i="10"/>
  <c r="P2957" i="10"/>
  <c r="O2957" i="10"/>
  <c r="M2957" i="10"/>
  <c r="E2957" i="10"/>
  <c r="B2957" i="10"/>
  <c r="S2956" i="10"/>
  <c r="Q2956" i="10"/>
  <c r="P2956" i="10"/>
  <c r="O2956" i="10"/>
  <c r="M2956" i="10"/>
  <c r="E2956" i="10"/>
  <c r="B2956" i="10"/>
  <c r="S2955" i="10"/>
  <c r="Q2955" i="10"/>
  <c r="P2955" i="10"/>
  <c r="O2955" i="10"/>
  <c r="M2955" i="10"/>
  <c r="E2955" i="10"/>
  <c r="B2955" i="10"/>
  <c r="S2954" i="10"/>
  <c r="Q2954" i="10"/>
  <c r="P2954" i="10"/>
  <c r="O2954" i="10"/>
  <c r="M2954" i="10"/>
  <c r="E2954" i="10"/>
  <c r="B2954" i="10"/>
  <c r="S2953" i="10"/>
  <c r="Q2953" i="10"/>
  <c r="P2953" i="10"/>
  <c r="O2953" i="10"/>
  <c r="M2953" i="10"/>
  <c r="E2953" i="10"/>
  <c r="B2953" i="10"/>
  <c r="S2952" i="10"/>
  <c r="Q2952" i="10"/>
  <c r="P2952" i="10"/>
  <c r="O2952" i="10"/>
  <c r="M2952" i="10"/>
  <c r="E2952" i="10"/>
  <c r="B2952" i="10"/>
  <c r="S2951" i="10"/>
  <c r="Q2951" i="10"/>
  <c r="P2951" i="10"/>
  <c r="O2951" i="10"/>
  <c r="M2951" i="10"/>
  <c r="E2951" i="10"/>
  <c r="B2951" i="10"/>
  <c r="S2950" i="10"/>
  <c r="Q2950" i="10"/>
  <c r="P2950" i="10"/>
  <c r="O2950" i="10"/>
  <c r="M2950" i="10"/>
  <c r="E2950" i="10"/>
  <c r="B2950" i="10"/>
  <c r="S2949" i="10"/>
  <c r="Q2949" i="10"/>
  <c r="P2949" i="10"/>
  <c r="O2949" i="10"/>
  <c r="M2949" i="10"/>
  <c r="E2949" i="10"/>
  <c r="B2949" i="10"/>
  <c r="S2948" i="10"/>
  <c r="Q2948" i="10"/>
  <c r="P2948" i="10"/>
  <c r="O2948" i="10"/>
  <c r="M2948" i="10"/>
  <c r="E2948" i="10"/>
  <c r="B2948" i="10"/>
  <c r="S2947" i="10"/>
  <c r="Q2947" i="10"/>
  <c r="P2947" i="10"/>
  <c r="O2947" i="10"/>
  <c r="M2947" i="10"/>
  <c r="E2947" i="10"/>
  <c r="B2947" i="10"/>
  <c r="S2946" i="10"/>
  <c r="Q2946" i="10"/>
  <c r="P2946" i="10"/>
  <c r="O2946" i="10"/>
  <c r="M2946" i="10"/>
  <c r="E2946" i="10"/>
  <c r="B2946" i="10"/>
  <c r="S2945" i="10"/>
  <c r="Q2945" i="10"/>
  <c r="P2945" i="10"/>
  <c r="O2945" i="10"/>
  <c r="M2945" i="10"/>
  <c r="E2945" i="10"/>
  <c r="B2945" i="10"/>
  <c r="S2944" i="10"/>
  <c r="Q2944" i="10"/>
  <c r="P2944" i="10"/>
  <c r="O2944" i="10"/>
  <c r="M2944" i="10"/>
  <c r="E2944" i="10"/>
  <c r="B2944" i="10"/>
  <c r="S2943" i="10"/>
  <c r="Q2943" i="10"/>
  <c r="P2943" i="10"/>
  <c r="O2943" i="10"/>
  <c r="M2943" i="10"/>
  <c r="E2943" i="10"/>
  <c r="B2943" i="10"/>
  <c r="S2942" i="10"/>
  <c r="Q2942" i="10"/>
  <c r="P2942" i="10"/>
  <c r="O2942" i="10"/>
  <c r="M2942" i="10"/>
  <c r="E2942" i="10"/>
  <c r="B2942" i="10"/>
  <c r="S2941" i="10"/>
  <c r="Q2941" i="10"/>
  <c r="P2941" i="10"/>
  <c r="O2941" i="10"/>
  <c r="M2941" i="10"/>
  <c r="B2941" i="10"/>
  <c r="S2940" i="10"/>
  <c r="Q2940" i="10"/>
  <c r="P2940" i="10"/>
  <c r="O2940" i="10"/>
  <c r="M2940" i="10"/>
  <c r="E2940" i="10"/>
  <c r="B2940" i="10"/>
  <c r="S2939" i="10"/>
  <c r="Q2939" i="10"/>
  <c r="P2939" i="10"/>
  <c r="O2939" i="10"/>
  <c r="M2939" i="10"/>
  <c r="E2939" i="10"/>
  <c r="B2939" i="10"/>
  <c r="S2938" i="10"/>
  <c r="Q2938" i="10"/>
  <c r="P2938" i="10"/>
  <c r="O2938" i="10"/>
  <c r="M2938" i="10"/>
  <c r="E2938" i="10"/>
  <c r="B2938" i="10"/>
  <c r="S2937" i="10"/>
  <c r="Q2937" i="10"/>
  <c r="P2937" i="10"/>
  <c r="O2937" i="10"/>
  <c r="M2937" i="10"/>
  <c r="E2937" i="10"/>
  <c r="B2937" i="10"/>
  <c r="S2936" i="10"/>
  <c r="Q2936" i="10"/>
  <c r="P2936" i="10"/>
  <c r="O2936" i="10"/>
  <c r="M2936" i="10"/>
  <c r="E2936" i="10"/>
  <c r="B2936" i="10"/>
  <c r="S2935" i="10"/>
  <c r="Q2935" i="10"/>
  <c r="P2935" i="10"/>
  <c r="O2935" i="10"/>
  <c r="M2935" i="10"/>
  <c r="E2935" i="10"/>
  <c r="B2935" i="10"/>
  <c r="S2934" i="10"/>
  <c r="Q2934" i="10"/>
  <c r="P2934" i="10"/>
  <c r="O2934" i="10"/>
  <c r="M2934" i="10"/>
  <c r="E2934" i="10"/>
  <c r="B2934" i="10"/>
  <c r="S2933" i="10"/>
  <c r="Q2933" i="10"/>
  <c r="P2933" i="10"/>
  <c r="O2933" i="10"/>
  <c r="M2933" i="10"/>
  <c r="E2933" i="10"/>
  <c r="B2933" i="10"/>
  <c r="S2932" i="10"/>
  <c r="Q2932" i="10"/>
  <c r="P2932" i="10"/>
  <c r="O2932" i="10"/>
  <c r="M2932" i="10"/>
  <c r="B2932" i="10"/>
  <c r="S2931" i="10"/>
  <c r="Q2931" i="10"/>
  <c r="P2931" i="10"/>
  <c r="O2931" i="10"/>
  <c r="M2931" i="10"/>
  <c r="E2931" i="10"/>
  <c r="B2931" i="10"/>
  <c r="S2930" i="10"/>
  <c r="Q2930" i="10"/>
  <c r="P2930" i="10"/>
  <c r="O2930" i="10"/>
  <c r="M2930" i="10"/>
  <c r="E2930" i="10"/>
  <c r="B2930" i="10"/>
  <c r="S2929" i="10"/>
  <c r="Q2929" i="10"/>
  <c r="P2929" i="10"/>
  <c r="O2929" i="10"/>
  <c r="M2929" i="10"/>
  <c r="B2929" i="10"/>
  <c r="S2928" i="10"/>
  <c r="Q2928" i="10"/>
  <c r="P2928" i="10"/>
  <c r="O2928" i="10"/>
  <c r="M2928" i="10"/>
  <c r="E2928" i="10"/>
  <c r="B2928" i="10"/>
  <c r="S2927" i="10"/>
  <c r="Q2927" i="10"/>
  <c r="P2927" i="10"/>
  <c r="O2927" i="10"/>
  <c r="M2927" i="10"/>
  <c r="B2927" i="10"/>
  <c r="S2926" i="10"/>
  <c r="Q2926" i="10"/>
  <c r="P2926" i="10"/>
  <c r="O2926" i="10"/>
  <c r="M2926" i="10"/>
  <c r="B2926" i="10"/>
  <c r="S2925" i="10"/>
  <c r="Q2925" i="10"/>
  <c r="P2925" i="10"/>
  <c r="O2925" i="10"/>
  <c r="M2925" i="10"/>
  <c r="E2925" i="10"/>
  <c r="B2925" i="10"/>
  <c r="S2924" i="10"/>
  <c r="Q2924" i="10"/>
  <c r="P2924" i="10"/>
  <c r="O2924" i="10"/>
  <c r="M2924" i="10"/>
  <c r="E2924" i="10"/>
  <c r="B2924" i="10"/>
  <c r="S2923" i="10"/>
  <c r="Q2923" i="10"/>
  <c r="P2923" i="10"/>
  <c r="O2923" i="10"/>
  <c r="M2923" i="10"/>
  <c r="E2923" i="10"/>
  <c r="B2923" i="10"/>
  <c r="S2922" i="10"/>
  <c r="Q2922" i="10"/>
  <c r="P2922" i="10"/>
  <c r="O2922" i="10"/>
  <c r="M2922" i="10"/>
  <c r="E2922" i="10"/>
  <c r="B2922" i="10"/>
  <c r="S2921" i="10"/>
  <c r="Q2921" i="10"/>
  <c r="P2921" i="10"/>
  <c r="O2921" i="10"/>
  <c r="M2921" i="10"/>
  <c r="E2921" i="10"/>
  <c r="B2921" i="10"/>
  <c r="S2920" i="10"/>
  <c r="Q2920" i="10"/>
  <c r="P2920" i="10"/>
  <c r="O2920" i="10"/>
  <c r="M2920" i="10"/>
  <c r="B2920" i="10"/>
  <c r="S2919" i="10"/>
  <c r="Q2919" i="10"/>
  <c r="P2919" i="10"/>
  <c r="O2919" i="10"/>
  <c r="M2919" i="10"/>
  <c r="E2919" i="10"/>
  <c r="B2919" i="10"/>
  <c r="S2918" i="10"/>
  <c r="Q2918" i="10"/>
  <c r="P2918" i="10"/>
  <c r="O2918" i="10"/>
  <c r="M2918" i="10"/>
  <c r="E2918" i="10"/>
  <c r="B2918" i="10"/>
  <c r="S2917" i="10"/>
  <c r="Q2917" i="10"/>
  <c r="P2917" i="10"/>
  <c r="O2917" i="10"/>
  <c r="M2917" i="10"/>
  <c r="E2917" i="10"/>
  <c r="B2917" i="10"/>
  <c r="S2916" i="10"/>
  <c r="Q2916" i="10"/>
  <c r="P2916" i="10"/>
  <c r="O2916" i="10"/>
  <c r="M2916" i="10"/>
  <c r="E2916" i="10"/>
  <c r="B2916" i="10"/>
  <c r="S2915" i="10"/>
  <c r="Q2915" i="10"/>
  <c r="P2915" i="10"/>
  <c r="O2915" i="10"/>
  <c r="M2915" i="10"/>
  <c r="E2915" i="10"/>
  <c r="B2915" i="10"/>
  <c r="S2914" i="10"/>
  <c r="Q2914" i="10"/>
  <c r="P2914" i="10"/>
  <c r="O2914" i="10"/>
  <c r="M2914" i="10"/>
  <c r="E2914" i="10"/>
  <c r="B2914" i="10"/>
  <c r="S2913" i="10"/>
  <c r="Q2913" i="10"/>
  <c r="P2913" i="10"/>
  <c r="O2913" i="10"/>
  <c r="M2913" i="10"/>
  <c r="E2913" i="10"/>
  <c r="B2913" i="10"/>
  <c r="S2912" i="10"/>
  <c r="Q2912" i="10"/>
  <c r="P2912" i="10"/>
  <c r="O2912" i="10"/>
  <c r="M2912" i="10"/>
  <c r="E2912" i="10"/>
  <c r="B2912" i="10"/>
  <c r="S2911" i="10"/>
  <c r="Q2911" i="10"/>
  <c r="P2911" i="10"/>
  <c r="O2911" i="10"/>
  <c r="M2911" i="10"/>
  <c r="E2911" i="10"/>
  <c r="B2911" i="10"/>
  <c r="S2910" i="10"/>
  <c r="Q2910" i="10"/>
  <c r="P2910" i="10"/>
  <c r="O2910" i="10"/>
  <c r="M2910" i="10"/>
  <c r="E2910" i="10"/>
  <c r="B2910" i="10"/>
  <c r="S2909" i="10"/>
  <c r="Q2909" i="10"/>
  <c r="P2909" i="10"/>
  <c r="O2909" i="10"/>
  <c r="M2909" i="10"/>
  <c r="E2909" i="10"/>
  <c r="B2909" i="10"/>
  <c r="S2908" i="10"/>
  <c r="Q2908" i="10"/>
  <c r="P2908" i="10"/>
  <c r="O2908" i="10"/>
  <c r="M2908" i="10"/>
  <c r="E2908" i="10"/>
  <c r="B2908" i="10"/>
  <c r="S2907" i="10"/>
  <c r="Q2907" i="10"/>
  <c r="P2907" i="10"/>
  <c r="O2907" i="10"/>
  <c r="M2907" i="10"/>
  <c r="E2907" i="10"/>
  <c r="B2907" i="10"/>
  <c r="S2906" i="10"/>
  <c r="Q2906" i="10"/>
  <c r="P2906" i="10"/>
  <c r="O2906" i="10"/>
  <c r="M2906" i="10"/>
  <c r="E2906" i="10"/>
  <c r="B2906" i="10"/>
  <c r="S2905" i="10"/>
  <c r="Q2905" i="10"/>
  <c r="P2905" i="10"/>
  <c r="O2905" i="10"/>
  <c r="M2905" i="10"/>
  <c r="E2905" i="10"/>
  <c r="B2905" i="10"/>
  <c r="S2904" i="10"/>
  <c r="Q2904" i="10"/>
  <c r="P2904" i="10"/>
  <c r="O2904" i="10"/>
  <c r="M2904" i="10"/>
  <c r="E2904" i="10"/>
  <c r="B2904" i="10"/>
  <c r="S2903" i="10"/>
  <c r="Q2903" i="10"/>
  <c r="P2903" i="10"/>
  <c r="O2903" i="10"/>
  <c r="M2903" i="10"/>
  <c r="E2903" i="10"/>
  <c r="B2903" i="10"/>
  <c r="S2902" i="10"/>
  <c r="Q2902" i="10"/>
  <c r="P2902" i="10"/>
  <c r="O2902" i="10"/>
  <c r="M2902" i="10"/>
  <c r="E2902" i="10"/>
  <c r="B2902" i="10"/>
  <c r="S2901" i="10"/>
  <c r="Q2901" i="10"/>
  <c r="P2901" i="10"/>
  <c r="O2901" i="10"/>
  <c r="M2901" i="10"/>
  <c r="E2901" i="10"/>
  <c r="B2901" i="10"/>
  <c r="S2900" i="10"/>
  <c r="Q2900" i="10"/>
  <c r="P2900" i="10"/>
  <c r="O2900" i="10"/>
  <c r="M2900" i="10"/>
  <c r="E2900" i="10"/>
  <c r="B2900" i="10"/>
  <c r="S2899" i="10"/>
  <c r="Q2899" i="10"/>
  <c r="P2899" i="10"/>
  <c r="O2899" i="10"/>
  <c r="M2899" i="10"/>
  <c r="E2899" i="10"/>
  <c r="B2899" i="10"/>
  <c r="S2898" i="10"/>
  <c r="Q2898" i="10"/>
  <c r="P2898" i="10"/>
  <c r="O2898" i="10"/>
  <c r="M2898" i="10"/>
  <c r="E2898" i="10"/>
  <c r="B2898" i="10"/>
  <c r="S2897" i="10"/>
  <c r="Q2897" i="10"/>
  <c r="P2897" i="10"/>
  <c r="O2897" i="10"/>
  <c r="M2897" i="10"/>
  <c r="E2897" i="10"/>
  <c r="B2897" i="10"/>
  <c r="S2896" i="10"/>
  <c r="Q2896" i="10"/>
  <c r="P2896" i="10"/>
  <c r="O2896" i="10"/>
  <c r="M2896" i="10"/>
  <c r="E2896" i="10"/>
  <c r="B2896" i="10"/>
  <c r="S2895" i="10"/>
  <c r="Q2895" i="10"/>
  <c r="P2895" i="10"/>
  <c r="O2895" i="10"/>
  <c r="M2895" i="10"/>
  <c r="E2895" i="10"/>
  <c r="B2895" i="10"/>
  <c r="S2894" i="10"/>
  <c r="Q2894" i="10"/>
  <c r="P2894" i="10"/>
  <c r="O2894" i="10"/>
  <c r="M2894" i="10"/>
  <c r="E2894" i="10"/>
  <c r="B2894" i="10"/>
  <c r="S2893" i="10"/>
  <c r="Q2893" i="10"/>
  <c r="P2893" i="10"/>
  <c r="O2893" i="10"/>
  <c r="M2893" i="10"/>
  <c r="E2893" i="10"/>
  <c r="B2893" i="10"/>
  <c r="S2892" i="10"/>
  <c r="Q2892" i="10"/>
  <c r="P2892" i="10"/>
  <c r="O2892" i="10"/>
  <c r="M2892" i="10"/>
  <c r="E2892" i="10"/>
  <c r="B2892" i="10"/>
  <c r="S2891" i="10"/>
  <c r="Q2891" i="10"/>
  <c r="P2891" i="10"/>
  <c r="O2891" i="10"/>
  <c r="M2891" i="10"/>
  <c r="E2891" i="10"/>
  <c r="B2891" i="10"/>
  <c r="S2890" i="10"/>
  <c r="Q2890" i="10"/>
  <c r="P2890" i="10"/>
  <c r="O2890" i="10"/>
  <c r="M2890" i="10"/>
  <c r="E2890" i="10"/>
  <c r="B2890" i="10"/>
  <c r="S2889" i="10"/>
  <c r="Q2889" i="10"/>
  <c r="P2889" i="10"/>
  <c r="O2889" i="10"/>
  <c r="M2889" i="10"/>
  <c r="B2889" i="10"/>
  <c r="S2888" i="10"/>
  <c r="Q2888" i="10"/>
  <c r="P2888" i="10"/>
  <c r="O2888" i="10"/>
  <c r="M2888" i="10"/>
  <c r="B2888" i="10"/>
  <c r="S2887" i="10"/>
  <c r="Q2887" i="10"/>
  <c r="P2887" i="10"/>
  <c r="O2887" i="10"/>
  <c r="M2887" i="10"/>
  <c r="B2887" i="10"/>
  <c r="S2886" i="10"/>
  <c r="Q2886" i="10"/>
  <c r="P2886" i="10"/>
  <c r="O2886" i="10"/>
  <c r="M2886" i="10"/>
  <c r="E2886" i="10"/>
  <c r="B2886" i="10"/>
  <c r="S2885" i="10"/>
  <c r="Q2885" i="10"/>
  <c r="P2885" i="10"/>
  <c r="O2885" i="10"/>
  <c r="M2885" i="10"/>
  <c r="E2885" i="10"/>
  <c r="B2885" i="10"/>
  <c r="S2884" i="10"/>
  <c r="Q2884" i="10"/>
  <c r="P2884" i="10"/>
  <c r="O2884" i="10"/>
  <c r="M2884" i="10"/>
  <c r="B2884" i="10"/>
  <c r="S2883" i="10"/>
  <c r="Q2883" i="10"/>
  <c r="P2883" i="10"/>
  <c r="O2883" i="10"/>
  <c r="M2883" i="10"/>
  <c r="E2883" i="10"/>
  <c r="B2883" i="10"/>
  <c r="S2882" i="10"/>
  <c r="Q2882" i="10"/>
  <c r="P2882" i="10"/>
  <c r="O2882" i="10"/>
  <c r="M2882" i="10"/>
  <c r="E2882" i="10"/>
  <c r="B2882" i="10"/>
  <c r="S2881" i="10"/>
  <c r="Q2881" i="10"/>
  <c r="P2881" i="10"/>
  <c r="O2881" i="10"/>
  <c r="M2881" i="10"/>
  <c r="E2881" i="10"/>
  <c r="B2881" i="10"/>
  <c r="S2880" i="10"/>
  <c r="Q2880" i="10"/>
  <c r="P2880" i="10"/>
  <c r="O2880" i="10"/>
  <c r="M2880" i="10"/>
  <c r="E2880" i="10"/>
  <c r="B2880" i="10"/>
  <c r="S2879" i="10"/>
  <c r="Q2879" i="10"/>
  <c r="P2879" i="10"/>
  <c r="O2879" i="10"/>
  <c r="M2879" i="10"/>
  <c r="E2879" i="10"/>
  <c r="B2879" i="10"/>
  <c r="S2878" i="10"/>
  <c r="Q2878" i="10"/>
  <c r="P2878" i="10"/>
  <c r="O2878" i="10"/>
  <c r="M2878" i="10"/>
  <c r="E2878" i="10"/>
  <c r="B2878" i="10"/>
  <c r="S2877" i="10"/>
  <c r="Q2877" i="10"/>
  <c r="P2877" i="10"/>
  <c r="O2877" i="10"/>
  <c r="M2877" i="10"/>
  <c r="E2877" i="10"/>
  <c r="B2877" i="10"/>
  <c r="S2876" i="10"/>
  <c r="Q2876" i="10"/>
  <c r="P2876" i="10"/>
  <c r="O2876" i="10"/>
  <c r="M2876" i="10"/>
  <c r="E2876" i="10"/>
  <c r="B2876" i="10"/>
  <c r="S2875" i="10"/>
  <c r="Q2875" i="10"/>
  <c r="P2875" i="10"/>
  <c r="O2875" i="10"/>
  <c r="M2875" i="10"/>
  <c r="E2875" i="10"/>
  <c r="B2875" i="10"/>
  <c r="S2874" i="10"/>
  <c r="Q2874" i="10"/>
  <c r="P2874" i="10"/>
  <c r="O2874" i="10"/>
  <c r="M2874" i="10"/>
  <c r="E2874" i="10"/>
  <c r="B2874" i="10"/>
  <c r="S2873" i="10"/>
  <c r="Q2873" i="10"/>
  <c r="P2873" i="10"/>
  <c r="O2873" i="10"/>
  <c r="M2873" i="10"/>
  <c r="B2873" i="10"/>
  <c r="S2872" i="10"/>
  <c r="Q2872" i="10"/>
  <c r="P2872" i="10"/>
  <c r="O2872" i="10"/>
  <c r="M2872" i="10"/>
  <c r="E2872" i="10"/>
  <c r="B2872" i="10"/>
  <c r="S2871" i="10"/>
  <c r="Q2871" i="10"/>
  <c r="P2871" i="10"/>
  <c r="O2871" i="10"/>
  <c r="M2871" i="10"/>
  <c r="B2871" i="10"/>
  <c r="S2870" i="10"/>
  <c r="Q2870" i="10"/>
  <c r="P2870" i="10"/>
  <c r="O2870" i="10"/>
  <c r="M2870" i="10"/>
  <c r="E2870" i="10"/>
  <c r="B2870" i="10"/>
  <c r="S2869" i="10"/>
  <c r="Q2869" i="10"/>
  <c r="P2869" i="10"/>
  <c r="O2869" i="10"/>
  <c r="M2869" i="10"/>
  <c r="E2869" i="10"/>
  <c r="B2869" i="10"/>
  <c r="S2868" i="10"/>
  <c r="Q2868" i="10"/>
  <c r="P2868" i="10"/>
  <c r="O2868" i="10"/>
  <c r="M2868" i="10"/>
  <c r="E2868" i="10"/>
  <c r="B2868" i="10"/>
  <c r="S2867" i="10"/>
  <c r="Q2867" i="10"/>
  <c r="P2867" i="10"/>
  <c r="O2867" i="10"/>
  <c r="M2867" i="10"/>
  <c r="E2867" i="10"/>
  <c r="B2867" i="10"/>
  <c r="S2866" i="10"/>
  <c r="Q2866" i="10"/>
  <c r="P2866" i="10"/>
  <c r="O2866" i="10"/>
  <c r="M2866" i="10"/>
  <c r="E2866" i="10"/>
  <c r="B2866" i="10"/>
  <c r="S2865" i="10"/>
  <c r="Q2865" i="10"/>
  <c r="P2865" i="10"/>
  <c r="O2865" i="10"/>
  <c r="M2865" i="10"/>
  <c r="E2865" i="10"/>
  <c r="B2865" i="10"/>
  <c r="S2864" i="10"/>
  <c r="Q2864" i="10"/>
  <c r="P2864" i="10"/>
  <c r="O2864" i="10"/>
  <c r="M2864" i="10"/>
  <c r="E2864" i="10"/>
  <c r="B2864" i="10"/>
  <c r="S2863" i="10"/>
  <c r="Q2863" i="10"/>
  <c r="P2863" i="10"/>
  <c r="O2863" i="10"/>
  <c r="M2863" i="10"/>
  <c r="E2863" i="10"/>
  <c r="B2863" i="10"/>
  <c r="S2862" i="10"/>
  <c r="Q2862" i="10"/>
  <c r="P2862" i="10"/>
  <c r="O2862" i="10"/>
  <c r="M2862" i="10"/>
  <c r="E2862" i="10"/>
  <c r="B2862" i="10"/>
  <c r="S2861" i="10"/>
  <c r="Q2861" i="10"/>
  <c r="P2861" i="10"/>
  <c r="O2861" i="10"/>
  <c r="M2861" i="10"/>
  <c r="E2861" i="10"/>
  <c r="B2861" i="10"/>
  <c r="S2860" i="10"/>
  <c r="Q2860" i="10"/>
  <c r="P2860" i="10"/>
  <c r="O2860" i="10"/>
  <c r="M2860" i="10"/>
  <c r="E2860" i="10"/>
  <c r="B2860" i="10"/>
  <c r="S2859" i="10"/>
  <c r="Q2859" i="10"/>
  <c r="P2859" i="10"/>
  <c r="O2859" i="10"/>
  <c r="M2859" i="10"/>
  <c r="E2859" i="10"/>
  <c r="B2859" i="10"/>
  <c r="S2858" i="10"/>
  <c r="Q2858" i="10"/>
  <c r="P2858" i="10"/>
  <c r="O2858" i="10"/>
  <c r="M2858" i="10"/>
  <c r="E2858" i="10"/>
  <c r="B2858" i="10"/>
  <c r="S2857" i="10"/>
  <c r="Q2857" i="10"/>
  <c r="P2857" i="10"/>
  <c r="O2857" i="10"/>
  <c r="M2857" i="10"/>
  <c r="E2857" i="10"/>
  <c r="B2857" i="10"/>
  <c r="S2856" i="10"/>
  <c r="Q2856" i="10"/>
  <c r="P2856" i="10"/>
  <c r="O2856" i="10"/>
  <c r="M2856" i="10"/>
  <c r="E2856" i="10"/>
  <c r="B2856" i="10"/>
  <c r="S2855" i="10"/>
  <c r="Q2855" i="10"/>
  <c r="P2855" i="10"/>
  <c r="O2855" i="10"/>
  <c r="M2855" i="10"/>
  <c r="E2855" i="10"/>
  <c r="B2855" i="10"/>
  <c r="S2854" i="10"/>
  <c r="Q2854" i="10"/>
  <c r="P2854" i="10"/>
  <c r="O2854" i="10"/>
  <c r="M2854" i="10"/>
  <c r="B2854" i="10"/>
  <c r="S2853" i="10"/>
  <c r="Q2853" i="10"/>
  <c r="P2853" i="10"/>
  <c r="O2853" i="10"/>
  <c r="M2853" i="10"/>
  <c r="B2853" i="10"/>
  <c r="S2852" i="10"/>
  <c r="Q2852" i="10"/>
  <c r="P2852" i="10"/>
  <c r="O2852" i="10"/>
  <c r="M2852" i="10"/>
  <c r="E2852" i="10"/>
  <c r="B2852" i="10"/>
  <c r="S2851" i="10"/>
  <c r="Q2851" i="10"/>
  <c r="P2851" i="10"/>
  <c r="O2851" i="10"/>
  <c r="M2851" i="10"/>
  <c r="E2851" i="10"/>
  <c r="B2851" i="10"/>
  <c r="S2850" i="10"/>
  <c r="Q2850" i="10"/>
  <c r="P2850" i="10"/>
  <c r="O2850" i="10"/>
  <c r="M2850" i="10"/>
  <c r="E2850" i="10"/>
  <c r="B2850" i="10"/>
  <c r="S2849" i="10"/>
  <c r="Q2849" i="10"/>
  <c r="P2849" i="10"/>
  <c r="O2849" i="10"/>
  <c r="M2849" i="10"/>
  <c r="E2849" i="10"/>
  <c r="B2849" i="10"/>
  <c r="S2848" i="10"/>
  <c r="Q2848" i="10"/>
  <c r="P2848" i="10"/>
  <c r="O2848" i="10"/>
  <c r="M2848" i="10"/>
  <c r="B2848" i="10"/>
  <c r="S2847" i="10"/>
  <c r="Q2847" i="10"/>
  <c r="P2847" i="10"/>
  <c r="O2847" i="10"/>
  <c r="M2847" i="10"/>
  <c r="B2847" i="10"/>
  <c r="S2846" i="10"/>
  <c r="Q2846" i="10"/>
  <c r="P2846" i="10"/>
  <c r="O2846" i="10"/>
  <c r="M2846" i="10"/>
  <c r="E2846" i="10"/>
  <c r="B2846" i="10"/>
  <c r="S2845" i="10"/>
  <c r="Q2845" i="10"/>
  <c r="P2845" i="10"/>
  <c r="O2845" i="10"/>
  <c r="M2845" i="10"/>
  <c r="E2845" i="10"/>
  <c r="B2845" i="10"/>
  <c r="S2844" i="10"/>
  <c r="Q2844" i="10"/>
  <c r="P2844" i="10"/>
  <c r="O2844" i="10"/>
  <c r="M2844" i="10"/>
  <c r="E2844" i="10"/>
  <c r="B2844" i="10"/>
  <c r="S2843" i="10"/>
  <c r="Q2843" i="10"/>
  <c r="P2843" i="10"/>
  <c r="O2843" i="10"/>
  <c r="M2843" i="10"/>
  <c r="E2843" i="10"/>
  <c r="B2843" i="10"/>
  <c r="S2842" i="10"/>
  <c r="Q2842" i="10"/>
  <c r="P2842" i="10"/>
  <c r="O2842" i="10"/>
  <c r="M2842" i="10"/>
  <c r="E2842" i="10"/>
  <c r="B2842" i="10"/>
  <c r="S2841" i="10"/>
  <c r="Q2841" i="10"/>
  <c r="P2841" i="10"/>
  <c r="O2841" i="10"/>
  <c r="M2841" i="10"/>
  <c r="E2841" i="10"/>
  <c r="B2841" i="10"/>
  <c r="S2840" i="10"/>
  <c r="Q2840" i="10"/>
  <c r="P2840" i="10"/>
  <c r="O2840" i="10"/>
  <c r="M2840" i="10"/>
  <c r="E2840" i="10"/>
  <c r="B2840" i="10"/>
  <c r="S2839" i="10"/>
  <c r="Q2839" i="10"/>
  <c r="P2839" i="10"/>
  <c r="O2839" i="10"/>
  <c r="M2839" i="10"/>
  <c r="E2839" i="10"/>
  <c r="B2839" i="10"/>
  <c r="S2838" i="10"/>
  <c r="Q2838" i="10"/>
  <c r="P2838" i="10"/>
  <c r="O2838" i="10"/>
  <c r="M2838" i="10"/>
  <c r="B2838" i="10"/>
  <c r="S2837" i="10"/>
  <c r="Q2837" i="10"/>
  <c r="P2837" i="10"/>
  <c r="O2837" i="10"/>
  <c r="M2837" i="10"/>
  <c r="E2837" i="10"/>
  <c r="B2837" i="10"/>
  <c r="S2836" i="10"/>
  <c r="Q2836" i="10"/>
  <c r="P2836" i="10"/>
  <c r="O2836" i="10"/>
  <c r="M2836" i="10"/>
  <c r="E2836" i="10"/>
  <c r="B2836" i="10"/>
  <c r="S2835" i="10"/>
  <c r="Q2835" i="10"/>
  <c r="P2835" i="10"/>
  <c r="O2835" i="10"/>
  <c r="M2835" i="10"/>
  <c r="E2835" i="10"/>
  <c r="B2835" i="10"/>
  <c r="S2834" i="10"/>
  <c r="Q2834" i="10"/>
  <c r="P2834" i="10"/>
  <c r="O2834" i="10"/>
  <c r="M2834" i="10"/>
  <c r="E2834" i="10"/>
  <c r="B2834" i="10"/>
  <c r="S2833" i="10"/>
  <c r="Q2833" i="10"/>
  <c r="P2833" i="10"/>
  <c r="O2833" i="10"/>
  <c r="M2833" i="10"/>
  <c r="E2833" i="10"/>
  <c r="B2833" i="10"/>
  <c r="S2832" i="10"/>
  <c r="Q2832" i="10"/>
  <c r="P2832" i="10"/>
  <c r="O2832" i="10"/>
  <c r="M2832" i="10"/>
  <c r="B2832" i="10"/>
  <c r="S2831" i="10"/>
  <c r="Q2831" i="10"/>
  <c r="P2831" i="10"/>
  <c r="O2831" i="10"/>
  <c r="M2831" i="10"/>
  <c r="E2831" i="10"/>
  <c r="B2831" i="10"/>
  <c r="S2830" i="10"/>
  <c r="Q2830" i="10"/>
  <c r="P2830" i="10"/>
  <c r="O2830" i="10"/>
  <c r="M2830" i="10"/>
  <c r="E2830" i="10"/>
  <c r="B2830" i="10"/>
  <c r="S2829" i="10"/>
  <c r="Q2829" i="10"/>
  <c r="P2829" i="10"/>
  <c r="O2829" i="10"/>
  <c r="M2829" i="10"/>
  <c r="E2829" i="10"/>
  <c r="B2829" i="10"/>
  <c r="S2828" i="10"/>
  <c r="Q2828" i="10"/>
  <c r="P2828" i="10"/>
  <c r="O2828" i="10"/>
  <c r="M2828" i="10"/>
  <c r="B2828" i="10"/>
  <c r="S2827" i="10"/>
  <c r="Q2827" i="10"/>
  <c r="P2827" i="10"/>
  <c r="O2827" i="10"/>
  <c r="M2827" i="10"/>
  <c r="E2827" i="10"/>
  <c r="B2827" i="10"/>
  <c r="S2826" i="10"/>
  <c r="Q2826" i="10"/>
  <c r="P2826" i="10"/>
  <c r="O2826" i="10"/>
  <c r="M2826" i="10"/>
  <c r="E2826" i="10"/>
  <c r="B2826" i="10"/>
  <c r="S2825" i="10"/>
  <c r="Q2825" i="10"/>
  <c r="P2825" i="10"/>
  <c r="O2825" i="10"/>
  <c r="M2825" i="10"/>
  <c r="E2825" i="10"/>
  <c r="B2825" i="10"/>
  <c r="S2824" i="10"/>
  <c r="Q2824" i="10"/>
  <c r="P2824" i="10"/>
  <c r="O2824" i="10"/>
  <c r="M2824" i="10"/>
  <c r="E2824" i="10"/>
  <c r="B2824" i="10"/>
  <c r="S2823" i="10"/>
  <c r="Q2823" i="10"/>
  <c r="P2823" i="10"/>
  <c r="O2823" i="10"/>
  <c r="M2823" i="10"/>
  <c r="B2823" i="10"/>
  <c r="S2822" i="10"/>
  <c r="Q2822" i="10"/>
  <c r="P2822" i="10"/>
  <c r="O2822" i="10"/>
  <c r="M2822" i="10"/>
  <c r="E2822" i="10"/>
  <c r="B2822" i="10"/>
  <c r="S2821" i="10"/>
  <c r="Q2821" i="10"/>
  <c r="P2821" i="10"/>
  <c r="O2821" i="10"/>
  <c r="M2821" i="10"/>
  <c r="E2821" i="10"/>
  <c r="B2821" i="10"/>
  <c r="S2820" i="10"/>
  <c r="Q2820" i="10"/>
  <c r="P2820" i="10"/>
  <c r="O2820" i="10"/>
  <c r="M2820" i="10"/>
  <c r="E2820" i="10"/>
  <c r="B2820" i="10"/>
  <c r="S2819" i="10"/>
  <c r="Q2819" i="10"/>
  <c r="P2819" i="10"/>
  <c r="O2819" i="10"/>
  <c r="M2819" i="10"/>
  <c r="E2819" i="10"/>
  <c r="B2819" i="10"/>
  <c r="S2818" i="10"/>
  <c r="Q2818" i="10"/>
  <c r="P2818" i="10"/>
  <c r="O2818" i="10"/>
  <c r="M2818" i="10"/>
  <c r="E2818" i="10"/>
  <c r="B2818" i="10"/>
  <c r="S2817" i="10"/>
  <c r="Q2817" i="10"/>
  <c r="P2817" i="10"/>
  <c r="O2817" i="10"/>
  <c r="M2817" i="10"/>
  <c r="E2817" i="10"/>
  <c r="B2817" i="10"/>
  <c r="S2816" i="10"/>
  <c r="Q2816" i="10"/>
  <c r="P2816" i="10"/>
  <c r="O2816" i="10"/>
  <c r="M2816" i="10"/>
  <c r="E2816" i="10"/>
  <c r="B2816" i="10"/>
  <c r="S2815" i="10"/>
  <c r="Q2815" i="10"/>
  <c r="P2815" i="10"/>
  <c r="O2815" i="10"/>
  <c r="M2815" i="10"/>
  <c r="E2815" i="10"/>
  <c r="B2815" i="10"/>
  <c r="S2814" i="10"/>
  <c r="Q2814" i="10"/>
  <c r="P2814" i="10"/>
  <c r="O2814" i="10"/>
  <c r="M2814" i="10"/>
  <c r="E2814" i="10"/>
  <c r="B2814" i="10"/>
  <c r="S2813" i="10"/>
  <c r="Q2813" i="10"/>
  <c r="P2813" i="10"/>
  <c r="O2813" i="10"/>
  <c r="M2813" i="10"/>
  <c r="E2813" i="10"/>
  <c r="B2813" i="10"/>
  <c r="S2812" i="10"/>
  <c r="Q2812" i="10"/>
  <c r="P2812" i="10"/>
  <c r="O2812" i="10"/>
  <c r="M2812" i="10"/>
  <c r="E2812" i="10"/>
  <c r="B2812" i="10"/>
  <c r="S2811" i="10"/>
  <c r="Q2811" i="10"/>
  <c r="P2811" i="10"/>
  <c r="O2811" i="10"/>
  <c r="M2811" i="10"/>
  <c r="E2811" i="10"/>
  <c r="B2811" i="10"/>
  <c r="S2810" i="10"/>
  <c r="Q2810" i="10"/>
  <c r="P2810" i="10"/>
  <c r="O2810" i="10"/>
  <c r="M2810" i="10"/>
  <c r="E2810" i="10"/>
  <c r="B2810" i="10"/>
  <c r="S2809" i="10"/>
  <c r="Q2809" i="10"/>
  <c r="P2809" i="10"/>
  <c r="O2809" i="10"/>
  <c r="M2809" i="10"/>
  <c r="E2809" i="10"/>
  <c r="B2809" i="10"/>
  <c r="S2808" i="10"/>
  <c r="Q2808" i="10"/>
  <c r="P2808" i="10"/>
  <c r="O2808" i="10"/>
  <c r="M2808" i="10"/>
  <c r="B2808" i="10"/>
  <c r="S2807" i="10"/>
  <c r="Q2807" i="10"/>
  <c r="P2807" i="10"/>
  <c r="O2807" i="10"/>
  <c r="M2807" i="10"/>
  <c r="E2807" i="10"/>
  <c r="B2807" i="10"/>
  <c r="S2806" i="10"/>
  <c r="Q2806" i="10"/>
  <c r="P2806" i="10"/>
  <c r="O2806" i="10"/>
  <c r="M2806" i="10"/>
  <c r="B2806" i="10"/>
  <c r="S2805" i="10"/>
  <c r="Q2805" i="10"/>
  <c r="P2805" i="10"/>
  <c r="O2805" i="10"/>
  <c r="M2805" i="10"/>
  <c r="B2805" i="10"/>
  <c r="S2804" i="10"/>
  <c r="Q2804" i="10"/>
  <c r="P2804" i="10"/>
  <c r="O2804" i="10"/>
  <c r="M2804" i="10"/>
  <c r="B2804" i="10"/>
  <c r="S2803" i="10"/>
  <c r="Q2803" i="10"/>
  <c r="P2803" i="10"/>
  <c r="O2803" i="10"/>
  <c r="M2803" i="10"/>
  <c r="E2803" i="10"/>
  <c r="B2803" i="10"/>
  <c r="S2802" i="10"/>
  <c r="Q2802" i="10"/>
  <c r="P2802" i="10"/>
  <c r="O2802" i="10"/>
  <c r="M2802" i="10"/>
  <c r="E2802" i="10"/>
  <c r="B2802" i="10"/>
  <c r="S2801" i="10"/>
  <c r="Q2801" i="10"/>
  <c r="P2801" i="10"/>
  <c r="O2801" i="10"/>
  <c r="M2801" i="10"/>
  <c r="E2801" i="10"/>
  <c r="B2801" i="10"/>
  <c r="S2800" i="10"/>
  <c r="Q2800" i="10"/>
  <c r="P2800" i="10"/>
  <c r="O2800" i="10"/>
  <c r="M2800" i="10"/>
  <c r="B2800" i="10"/>
  <c r="S2799" i="10"/>
  <c r="Q2799" i="10"/>
  <c r="P2799" i="10"/>
  <c r="O2799" i="10"/>
  <c r="M2799" i="10"/>
  <c r="E2799" i="10"/>
  <c r="B2799" i="10"/>
  <c r="S2798" i="10"/>
  <c r="Q2798" i="10"/>
  <c r="P2798" i="10"/>
  <c r="O2798" i="10"/>
  <c r="M2798" i="10"/>
  <c r="E2798" i="10"/>
  <c r="B2798" i="10"/>
  <c r="S2797" i="10"/>
  <c r="Q2797" i="10"/>
  <c r="P2797" i="10"/>
  <c r="O2797" i="10"/>
  <c r="M2797" i="10"/>
  <c r="E2797" i="10"/>
  <c r="B2797" i="10"/>
  <c r="S2796" i="10"/>
  <c r="Q2796" i="10"/>
  <c r="P2796" i="10"/>
  <c r="O2796" i="10"/>
  <c r="M2796" i="10"/>
  <c r="E2796" i="10"/>
  <c r="B2796" i="10"/>
  <c r="S2795" i="10"/>
  <c r="Q2795" i="10"/>
  <c r="P2795" i="10"/>
  <c r="O2795" i="10"/>
  <c r="M2795" i="10"/>
  <c r="E2795" i="10"/>
  <c r="B2795" i="10"/>
  <c r="S2794" i="10"/>
  <c r="Q2794" i="10"/>
  <c r="P2794" i="10"/>
  <c r="O2794" i="10"/>
  <c r="M2794" i="10"/>
  <c r="E2794" i="10"/>
  <c r="B2794" i="10"/>
  <c r="S2793" i="10"/>
  <c r="Q2793" i="10"/>
  <c r="P2793" i="10"/>
  <c r="O2793" i="10"/>
  <c r="M2793" i="10"/>
  <c r="E2793" i="10"/>
  <c r="B2793" i="10"/>
  <c r="S2792" i="10"/>
  <c r="Q2792" i="10"/>
  <c r="P2792" i="10"/>
  <c r="O2792" i="10"/>
  <c r="M2792" i="10"/>
  <c r="E2792" i="10"/>
  <c r="B2792" i="10"/>
  <c r="S2791" i="10"/>
  <c r="Q2791" i="10"/>
  <c r="P2791" i="10"/>
  <c r="O2791" i="10"/>
  <c r="M2791" i="10"/>
  <c r="E2791" i="10"/>
  <c r="B2791" i="10"/>
  <c r="S2790" i="10"/>
  <c r="Q2790" i="10"/>
  <c r="P2790" i="10"/>
  <c r="O2790" i="10"/>
  <c r="M2790" i="10"/>
  <c r="E2790" i="10"/>
  <c r="B2790" i="10"/>
  <c r="S2789" i="10"/>
  <c r="Q2789" i="10"/>
  <c r="P2789" i="10"/>
  <c r="O2789" i="10"/>
  <c r="M2789" i="10"/>
  <c r="E2789" i="10"/>
  <c r="B2789" i="10"/>
  <c r="S2788" i="10"/>
  <c r="Q2788" i="10"/>
  <c r="P2788" i="10"/>
  <c r="O2788" i="10"/>
  <c r="M2788" i="10"/>
  <c r="E2788" i="10"/>
  <c r="B2788" i="10"/>
  <c r="S2787" i="10"/>
  <c r="Q2787" i="10"/>
  <c r="P2787" i="10"/>
  <c r="O2787" i="10"/>
  <c r="M2787" i="10"/>
  <c r="E2787" i="10"/>
  <c r="B2787" i="10"/>
  <c r="S2786" i="10"/>
  <c r="Q2786" i="10"/>
  <c r="P2786" i="10"/>
  <c r="O2786" i="10"/>
  <c r="M2786" i="10"/>
  <c r="E2786" i="10"/>
  <c r="B2786" i="10"/>
  <c r="S2785" i="10"/>
  <c r="Q2785" i="10"/>
  <c r="P2785" i="10"/>
  <c r="O2785" i="10"/>
  <c r="M2785" i="10"/>
  <c r="E2785" i="10"/>
  <c r="B2785" i="10"/>
  <c r="S2784" i="10"/>
  <c r="Q2784" i="10"/>
  <c r="P2784" i="10"/>
  <c r="O2784" i="10"/>
  <c r="M2784" i="10"/>
  <c r="E2784" i="10"/>
  <c r="B2784" i="10"/>
  <c r="S2783" i="10"/>
  <c r="Q2783" i="10"/>
  <c r="P2783" i="10"/>
  <c r="O2783" i="10"/>
  <c r="M2783" i="10"/>
  <c r="B2783" i="10"/>
  <c r="S2782" i="10"/>
  <c r="Q2782" i="10"/>
  <c r="P2782" i="10"/>
  <c r="O2782" i="10"/>
  <c r="M2782" i="10"/>
  <c r="E2782" i="10"/>
  <c r="B2782" i="10"/>
  <c r="S2781" i="10"/>
  <c r="Q2781" i="10"/>
  <c r="P2781" i="10"/>
  <c r="O2781" i="10"/>
  <c r="M2781" i="10"/>
  <c r="B2781" i="10"/>
  <c r="S2780" i="10"/>
  <c r="Q2780" i="10"/>
  <c r="P2780" i="10"/>
  <c r="O2780" i="10"/>
  <c r="M2780" i="10"/>
  <c r="B2780" i="10"/>
  <c r="S2779" i="10"/>
  <c r="Q2779" i="10"/>
  <c r="P2779" i="10"/>
  <c r="O2779" i="10"/>
  <c r="M2779" i="10"/>
  <c r="E2779" i="10"/>
  <c r="B2779" i="10"/>
  <c r="S2778" i="10"/>
  <c r="Q2778" i="10"/>
  <c r="P2778" i="10"/>
  <c r="O2778" i="10"/>
  <c r="M2778" i="10"/>
  <c r="E2778" i="10"/>
  <c r="B2778" i="10"/>
  <c r="S2777" i="10"/>
  <c r="Q2777" i="10"/>
  <c r="P2777" i="10"/>
  <c r="O2777" i="10"/>
  <c r="M2777" i="10"/>
  <c r="E2777" i="10"/>
  <c r="B2777" i="10"/>
  <c r="S2776" i="10"/>
  <c r="Q2776" i="10"/>
  <c r="P2776" i="10"/>
  <c r="O2776" i="10"/>
  <c r="M2776" i="10"/>
  <c r="E2776" i="10"/>
  <c r="B2776" i="10"/>
  <c r="S2775" i="10"/>
  <c r="Q2775" i="10"/>
  <c r="P2775" i="10"/>
  <c r="O2775" i="10"/>
  <c r="M2775" i="10"/>
  <c r="E2775" i="10"/>
  <c r="B2775" i="10"/>
  <c r="S2774" i="10"/>
  <c r="Q2774" i="10"/>
  <c r="P2774" i="10"/>
  <c r="O2774" i="10"/>
  <c r="M2774" i="10"/>
  <c r="E2774" i="10"/>
  <c r="B2774" i="10"/>
  <c r="S2773" i="10"/>
  <c r="Q2773" i="10"/>
  <c r="P2773" i="10"/>
  <c r="O2773" i="10"/>
  <c r="M2773" i="10"/>
  <c r="B2773" i="10"/>
  <c r="S2772" i="10"/>
  <c r="Q2772" i="10"/>
  <c r="P2772" i="10"/>
  <c r="O2772" i="10"/>
  <c r="M2772" i="10"/>
  <c r="E2772" i="10"/>
  <c r="B2772" i="10"/>
  <c r="S2771" i="10"/>
  <c r="Q2771" i="10"/>
  <c r="P2771" i="10"/>
  <c r="O2771" i="10"/>
  <c r="M2771" i="10"/>
  <c r="E2771" i="10"/>
  <c r="B2771" i="10"/>
  <c r="S2770" i="10"/>
  <c r="Q2770" i="10"/>
  <c r="P2770" i="10"/>
  <c r="O2770" i="10"/>
  <c r="M2770" i="10"/>
  <c r="B2770" i="10"/>
  <c r="S2769" i="10"/>
  <c r="Q2769" i="10"/>
  <c r="P2769" i="10"/>
  <c r="O2769" i="10"/>
  <c r="M2769" i="10"/>
  <c r="E2769" i="10"/>
  <c r="B2769" i="10"/>
  <c r="S2768" i="10"/>
  <c r="Q2768" i="10"/>
  <c r="P2768" i="10"/>
  <c r="O2768" i="10"/>
  <c r="M2768" i="10"/>
  <c r="E2768" i="10"/>
  <c r="B2768" i="10"/>
  <c r="S2767" i="10"/>
  <c r="Q2767" i="10"/>
  <c r="P2767" i="10"/>
  <c r="O2767" i="10"/>
  <c r="M2767" i="10"/>
  <c r="E2767" i="10"/>
  <c r="B2767" i="10"/>
  <c r="S2766" i="10"/>
  <c r="Q2766" i="10"/>
  <c r="P2766" i="10"/>
  <c r="O2766" i="10"/>
  <c r="M2766" i="10"/>
  <c r="E2766" i="10"/>
  <c r="B2766" i="10"/>
  <c r="S2765" i="10"/>
  <c r="Q2765" i="10"/>
  <c r="P2765" i="10"/>
  <c r="O2765" i="10"/>
  <c r="M2765" i="10"/>
  <c r="E2765" i="10"/>
  <c r="B2765" i="10"/>
  <c r="S2764" i="10"/>
  <c r="Q2764" i="10"/>
  <c r="P2764" i="10"/>
  <c r="O2764" i="10"/>
  <c r="M2764" i="10"/>
  <c r="E2764" i="10"/>
  <c r="B2764" i="10"/>
  <c r="S2763" i="10"/>
  <c r="Q2763" i="10"/>
  <c r="P2763" i="10"/>
  <c r="O2763" i="10"/>
  <c r="M2763" i="10"/>
  <c r="E2763" i="10"/>
  <c r="B2763" i="10"/>
  <c r="S2762" i="10"/>
  <c r="Q2762" i="10"/>
  <c r="P2762" i="10"/>
  <c r="O2762" i="10"/>
  <c r="M2762" i="10"/>
  <c r="E2762" i="10"/>
  <c r="B2762" i="10"/>
  <c r="S2761" i="10"/>
  <c r="Q2761" i="10"/>
  <c r="P2761" i="10"/>
  <c r="O2761" i="10"/>
  <c r="M2761" i="10"/>
  <c r="E2761" i="10"/>
  <c r="B2761" i="10"/>
  <c r="S2760" i="10"/>
  <c r="Q2760" i="10"/>
  <c r="P2760" i="10"/>
  <c r="O2760" i="10"/>
  <c r="M2760" i="10"/>
  <c r="E2760" i="10"/>
  <c r="B2760" i="10"/>
  <c r="S2759" i="10"/>
  <c r="Q2759" i="10"/>
  <c r="P2759" i="10"/>
  <c r="O2759" i="10"/>
  <c r="M2759" i="10"/>
  <c r="E2759" i="10"/>
  <c r="B2759" i="10"/>
  <c r="S2758" i="10"/>
  <c r="Q2758" i="10"/>
  <c r="P2758" i="10"/>
  <c r="O2758" i="10"/>
  <c r="M2758" i="10"/>
  <c r="E2758" i="10"/>
  <c r="B2758" i="10"/>
  <c r="S2757" i="10"/>
  <c r="Q2757" i="10"/>
  <c r="P2757" i="10"/>
  <c r="O2757" i="10"/>
  <c r="M2757" i="10"/>
  <c r="E2757" i="10"/>
  <c r="B2757" i="10"/>
  <c r="S2756" i="10"/>
  <c r="Q2756" i="10"/>
  <c r="P2756" i="10"/>
  <c r="O2756" i="10"/>
  <c r="M2756" i="10"/>
  <c r="E2756" i="10"/>
  <c r="B2756" i="10"/>
  <c r="S2755" i="10"/>
  <c r="Q2755" i="10"/>
  <c r="P2755" i="10"/>
  <c r="O2755" i="10"/>
  <c r="M2755" i="10"/>
  <c r="E2755" i="10"/>
  <c r="B2755" i="10"/>
  <c r="S2754" i="10"/>
  <c r="Q2754" i="10"/>
  <c r="P2754" i="10"/>
  <c r="O2754" i="10"/>
  <c r="M2754" i="10"/>
  <c r="E2754" i="10"/>
  <c r="B2754" i="10"/>
  <c r="S2753" i="10"/>
  <c r="Q2753" i="10"/>
  <c r="P2753" i="10"/>
  <c r="O2753" i="10"/>
  <c r="M2753" i="10"/>
  <c r="B2753" i="10"/>
  <c r="S2752" i="10"/>
  <c r="Q2752" i="10"/>
  <c r="P2752" i="10"/>
  <c r="O2752" i="10"/>
  <c r="M2752" i="10"/>
  <c r="E2752" i="10"/>
  <c r="B2752" i="10"/>
  <c r="S2751" i="10"/>
  <c r="Q2751" i="10"/>
  <c r="P2751" i="10"/>
  <c r="O2751" i="10"/>
  <c r="M2751" i="10"/>
  <c r="E2751" i="10"/>
  <c r="B2751" i="10"/>
  <c r="S2750" i="10"/>
  <c r="Q2750" i="10"/>
  <c r="P2750" i="10"/>
  <c r="O2750" i="10"/>
  <c r="M2750" i="10"/>
  <c r="B2750" i="10"/>
  <c r="S2749" i="10"/>
  <c r="Q2749" i="10"/>
  <c r="P2749" i="10"/>
  <c r="O2749" i="10"/>
  <c r="M2749" i="10"/>
  <c r="E2749" i="10"/>
  <c r="B2749" i="10"/>
  <c r="S2748" i="10"/>
  <c r="Q2748" i="10"/>
  <c r="P2748" i="10"/>
  <c r="O2748" i="10"/>
  <c r="M2748" i="10"/>
  <c r="E2748" i="10"/>
  <c r="B2748" i="10"/>
  <c r="S2747" i="10"/>
  <c r="Q2747" i="10"/>
  <c r="P2747" i="10"/>
  <c r="O2747" i="10"/>
  <c r="M2747" i="10"/>
  <c r="E2747" i="10"/>
  <c r="B2747" i="10"/>
  <c r="S2746" i="10"/>
  <c r="Q2746" i="10"/>
  <c r="P2746" i="10"/>
  <c r="O2746" i="10"/>
  <c r="M2746" i="10"/>
  <c r="E2746" i="10"/>
  <c r="B2746" i="10"/>
  <c r="S2745" i="10"/>
  <c r="Q2745" i="10"/>
  <c r="P2745" i="10"/>
  <c r="O2745" i="10"/>
  <c r="M2745" i="10"/>
  <c r="E2745" i="10"/>
  <c r="B2745" i="10"/>
  <c r="S2744" i="10"/>
  <c r="Q2744" i="10"/>
  <c r="P2744" i="10"/>
  <c r="O2744" i="10"/>
  <c r="M2744" i="10"/>
  <c r="E2744" i="10"/>
  <c r="B2744" i="10"/>
  <c r="S2743" i="10"/>
  <c r="Q2743" i="10"/>
  <c r="P2743" i="10"/>
  <c r="O2743" i="10"/>
  <c r="M2743" i="10"/>
  <c r="E2743" i="10"/>
  <c r="B2743" i="10"/>
  <c r="S2742" i="10"/>
  <c r="Q2742" i="10"/>
  <c r="P2742" i="10"/>
  <c r="O2742" i="10"/>
  <c r="M2742" i="10"/>
  <c r="E2742" i="10"/>
  <c r="B2742" i="10"/>
  <c r="S2741" i="10"/>
  <c r="Q2741" i="10"/>
  <c r="P2741" i="10"/>
  <c r="O2741" i="10"/>
  <c r="M2741" i="10"/>
  <c r="E2741" i="10"/>
  <c r="B2741" i="10"/>
  <c r="S2740" i="10"/>
  <c r="Q2740" i="10"/>
  <c r="P2740" i="10"/>
  <c r="O2740" i="10"/>
  <c r="M2740" i="10"/>
  <c r="E2740" i="10"/>
  <c r="B2740" i="10"/>
  <c r="S2739" i="10"/>
  <c r="Q2739" i="10"/>
  <c r="P2739" i="10"/>
  <c r="O2739" i="10"/>
  <c r="M2739" i="10"/>
  <c r="E2739" i="10"/>
  <c r="B2739" i="10"/>
  <c r="S2738" i="10"/>
  <c r="Q2738" i="10"/>
  <c r="P2738" i="10"/>
  <c r="O2738" i="10"/>
  <c r="M2738" i="10"/>
  <c r="E2738" i="10"/>
  <c r="B2738" i="10"/>
  <c r="S2737" i="10"/>
  <c r="Q2737" i="10"/>
  <c r="P2737" i="10"/>
  <c r="O2737" i="10"/>
  <c r="M2737" i="10"/>
  <c r="E2737" i="10"/>
  <c r="B2737" i="10"/>
  <c r="S2736" i="10"/>
  <c r="Q2736" i="10"/>
  <c r="P2736" i="10"/>
  <c r="O2736" i="10"/>
  <c r="M2736" i="10"/>
  <c r="E2736" i="10"/>
  <c r="B2736" i="10"/>
  <c r="S2735" i="10"/>
  <c r="Q2735" i="10"/>
  <c r="P2735" i="10"/>
  <c r="O2735" i="10"/>
  <c r="M2735" i="10"/>
  <c r="E2735" i="10"/>
  <c r="B2735" i="10"/>
  <c r="S2734" i="10"/>
  <c r="Q2734" i="10"/>
  <c r="P2734" i="10"/>
  <c r="O2734" i="10"/>
  <c r="M2734" i="10"/>
  <c r="E2734" i="10"/>
  <c r="B2734" i="10"/>
  <c r="S2733" i="10"/>
  <c r="Q2733" i="10"/>
  <c r="P2733" i="10"/>
  <c r="O2733" i="10"/>
  <c r="M2733" i="10"/>
  <c r="E2733" i="10"/>
  <c r="B2733" i="10"/>
  <c r="S2732" i="10"/>
  <c r="Q2732" i="10"/>
  <c r="P2732" i="10"/>
  <c r="O2732" i="10"/>
  <c r="M2732" i="10"/>
  <c r="E2732" i="10"/>
  <c r="B2732" i="10"/>
  <c r="S2731" i="10"/>
  <c r="Q2731" i="10"/>
  <c r="P2731" i="10"/>
  <c r="O2731" i="10"/>
  <c r="M2731" i="10"/>
  <c r="B2731" i="10"/>
  <c r="S2730" i="10"/>
  <c r="Q2730" i="10"/>
  <c r="P2730" i="10"/>
  <c r="O2730" i="10"/>
  <c r="M2730" i="10"/>
  <c r="E2730" i="10"/>
  <c r="B2730" i="10"/>
  <c r="S2729" i="10"/>
  <c r="Q2729" i="10"/>
  <c r="P2729" i="10"/>
  <c r="O2729" i="10"/>
  <c r="M2729" i="10"/>
  <c r="B2729" i="10"/>
  <c r="S2728" i="10"/>
  <c r="Q2728" i="10"/>
  <c r="P2728" i="10"/>
  <c r="O2728" i="10"/>
  <c r="M2728" i="10"/>
  <c r="B2728" i="10"/>
  <c r="S2727" i="10"/>
  <c r="Q2727" i="10"/>
  <c r="P2727" i="10"/>
  <c r="O2727" i="10"/>
  <c r="M2727" i="10"/>
  <c r="E2727" i="10"/>
  <c r="B2727" i="10"/>
  <c r="S2726" i="10"/>
  <c r="Q2726" i="10"/>
  <c r="P2726" i="10"/>
  <c r="O2726" i="10"/>
  <c r="M2726" i="10"/>
  <c r="E2726" i="10"/>
  <c r="B2726" i="10"/>
  <c r="S2725" i="10"/>
  <c r="Q2725" i="10"/>
  <c r="P2725" i="10"/>
  <c r="O2725" i="10"/>
  <c r="M2725" i="10"/>
  <c r="E2725" i="10"/>
  <c r="B2725" i="10"/>
  <c r="S2724" i="10"/>
  <c r="Q2724" i="10"/>
  <c r="P2724" i="10"/>
  <c r="O2724" i="10"/>
  <c r="M2724" i="10"/>
  <c r="E2724" i="10"/>
  <c r="B2724" i="10"/>
  <c r="S2723" i="10"/>
  <c r="Q2723" i="10"/>
  <c r="P2723" i="10"/>
  <c r="O2723" i="10"/>
  <c r="M2723" i="10"/>
  <c r="E2723" i="10"/>
  <c r="B2723" i="10"/>
  <c r="S2722" i="10"/>
  <c r="Q2722" i="10"/>
  <c r="P2722" i="10"/>
  <c r="O2722" i="10"/>
  <c r="M2722" i="10"/>
  <c r="E2722" i="10"/>
  <c r="B2722" i="10"/>
  <c r="S2721" i="10"/>
  <c r="Q2721" i="10"/>
  <c r="P2721" i="10"/>
  <c r="O2721" i="10"/>
  <c r="M2721" i="10"/>
  <c r="E2721" i="10"/>
  <c r="B2721" i="10"/>
  <c r="S2720" i="10"/>
  <c r="Q2720" i="10"/>
  <c r="P2720" i="10"/>
  <c r="O2720" i="10"/>
  <c r="M2720" i="10"/>
  <c r="E2720" i="10"/>
  <c r="B2720" i="10"/>
  <c r="S2719" i="10"/>
  <c r="Q2719" i="10"/>
  <c r="P2719" i="10"/>
  <c r="O2719" i="10"/>
  <c r="M2719" i="10"/>
  <c r="E2719" i="10"/>
  <c r="B2719" i="10"/>
  <c r="S2718" i="10"/>
  <c r="Q2718" i="10"/>
  <c r="P2718" i="10"/>
  <c r="O2718" i="10"/>
  <c r="M2718" i="10"/>
  <c r="E2718" i="10"/>
  <c r="B2718" i="10"/>
  <c r="S2717" i="10"/>
  <c r="Q2717" i="10"/>
  <c r="P2717" i="10"/>
  <c r="O2717" i="10"/>
  <c r="M2717" i="10"/>
  <c r="E2717" i="10"/>
  <c r="B2717" i="10"/>
  <c r="S2716" i="10"/>
  <c r="Q2716" i="10"/>
  <c r="P2716" i="10"/>
  <c r="O2716" i="10"/>
  <c r="M2716" i="10"/>
  <c r="E2716" i="10"/>
  <c r="B2716" i="10"/>
  <c r="S2715" i="10"/>
  <c r="Q2715" i="10"/>
  <c r="P2715" i="10"/>
  <c r="O2715" i="10"/>
  <c r="M2715" i="10"/>
  <c r="E2715" i="10"/>
  <c r="B2715" i="10"/>
  <c r="S2714" i="10"/>
  <c r="Q2714" i="10"/>
  <c r="P2714" i="10"/>
  <c r="O2714" i="10"/>
  <c r="M2714" i="10"/>
  <c r="E2714" i="10"/>
  <c r="B2714" i="10"/>
  <c r="S2713" i="10"/>
  <c r="Q2713" i="10"/>
  <c r="P2713" i="10"/>
  <c r="O2713" i="10"/>
  <c r="M2713" i="10"/>
  <c r="E2713" i="10"/>
  <c r="B2713" i="10"/>
  <c r="S2712" i="10"/>
  <c r="Q2712" i="10"/>
  <c r="P2712" i="10"/>
  <c r="O2712" i="10"/>
  <c r="M2712" i="10"/>
  <c r="E2712" i="10"/>
  <c r="B2712" i="10"/>
  <c r="S2711" i="10"/>
  <c r="Q2711" i="10"/>
  <c r="P2711" i="10"/>
  <c r="O2711" i="10"/>
  <c r="M2711" i="10"/>
  <c r="E2711" i="10"/>
  <c r="B2711" i="10"/>
  <c r="S2710" i="10"/>
  <c r="Q2710" i="10"/>
  <c r="P2710" i="10"/>
  <c r="O2710" i="10"/>
  <c r="M2710" i="10"/>
  <c r="E2710" i="10"/>
  <c r="B2710" i="10"/>
  <c r="S2709" i="10"/>
  <c r="Q2709" i="10"/>
  <c r="P2709" i="10"/>
  <c r="O2709" i="10"/>
  <c r="M2709" i="10"/>
  <c r="E2709" i="10"/>
  <c r="B2709" i="10"/>
  <c r="S2708" i="10"/>
  <c r="Q2708" i="10"/>
  <c r="P2708" i="10"/>
  <c r="O2708" i="10"/>
  <c r="M2708" i="10"/>
  <c r="E2708" i="10"/>
  <c r="B2708" i="10"/>
  <c r="S2707" i="10"/>
  <c r="Q2707" i="10"/>
  <c r="P2707" i="10"/>
  <c r="O2707" i="10"/>
  <c r="M2707" i="10"/>
  <c r="E2707" i="10"/>
  <c r="B2707" i="10"/>
  <c r="S2706" i="10"/>
  <c r="Q2706" i="10"/>
  <c r="P2706" i="10"/>
  <c r="O2706" i="10"/>
  <c r="M2706" i="10"/>
  <c r="E2706" i="10"/>
  <c r="B2706" i="10"/>
  <c r="S2705" i="10"/>
  <c r="Q2705" i="10"/>
  <c r="P2705" i="10"/>
  <c r="O2705" i="10"/>
  <c r="M2705" i="10"/>
  <c r="E2705" i="10"/>
  <c r="B2705" i="10"/>
  <c r="S2704" i="10"/>
  <c r="Q2704" i="10"/>
  <c r="P2704" i="10"/>
  <c r="O2704" i="10"/>
  <c r="M2704" i="10"/>
  <c r="E2704" i="10"/>
  <c r="B2704" i="10"/>
  <c r="S2703" i="10"/>
  <c r="Q2703" i="10"/>
  <c r="P2703" i="10"/>
  <c r="O2703" i="10"/>
  <c r="M2703" i="10"/>
  <c r="E2703" i="10"/>
  <c r="B2703" i="10"/>
  <c r="S2702" i="10"/>
  <c r="Q2702" i="10"/>
  <c r="P2702" i="10"/>
  <c r="O2702" i="10"/>
  <c r="M2702" i="10"/>
  <c r="E2702" i="10"/>
  <c r="B2702" i="10"/>
  <c r="S2701" i="10"/>
  <c r="Q2701" i="10"/>
  <c r="P2701" i="10"/>
  <c r="O2701" i="10"/>
  <c r="M2701" i="10"/>
  <c r="E2701" i="10"/>
  <c r="B2701" i="10"/>
  <c r="S2700" i="10"/>
  <c r="Q2700" i="10"/>
  <c r="P2700" i="10"/>
  <c r="O2700" i="10"/>
  <c r="M2700" i="10"/>
  <c r="B2700" i="10"/>
  <c r="S2699" i="10"/>
  <c r="Q2699" i="10"/>
  <c r="P2699" i="10"/>
  <c r="O2699" i="10"/>
  <c r="M2699" i="10"/>
  <c r="E2699" i="10"/>
  <c r="B2699" i="10"/>
  <c r="S2698" i="10"/>
  <c r="Q2698" i="10"/>
  <c r="P2698" i="10"/>
  <c r="O2698" i="10"/>
  <c r="M2698" i="10"/>
  <c r="E2698" i="10"/>
  <c r="B2698" i="10"/>
  <c r="S2697" i="10"/>
  <c r="Q2697" i="10"/>
  <c r="P2697" i="10"/>
  <c r="O2697" i="10"/>
  <c r="M2697" i="10"/>
  <c r="E2697" i="10"/>
  <c r="B2697" i="10"/>
  <c r="S2696" i="10"/>
  <c r="Q2696" i="10"/>
  <c r="P2696" i="10"/>
  <c r="O2696" i="10"/>
  <c r="M2696" i="10"/>
  <c r="E2696" i="10"/>
  <c r="B2696" i="10"/>
  <c r="S2695" i="10"/>
  <c r="Q2695" i="10"/>
  <c r="P2695" i="10"/>
  <c r="O2695" i="10"/>
  <c r="M2695" i="10"/>
  <c r="E2695" i="10"/>
  <c r="B2695" i="10"/>
  <c r="S2694" i="10"/>
  <c r="Q2694" i="10"/>
  <c r="P2694" i="10"/>
  <c r="O2694" i="10"/>
  <c r="M2694" i="10"/>
  <c r="E2694" i="10"/>
  <c r="B2694" i="10"/>
  <c r="S2693" i="10"/>
  <c r="Q2693" i="10"/>
  <c r="P2693" i="10"/>
  <c r="O2693" i="10"/>
  <c r="M2693" i="10"/>
  <c r="E2693" i="10"/>
  <c r="B2693" i="10"/>
  <c r="S2692" i="10"/>
  <c r="Q2692" i="10"/>
  <c r="P2692" i="10"/>
  <c r="O2692" i="10"/>
  <c r="M2692" i="10"/>
  <c r="E2692" i="10"/>
  <c r="B2692" i="10"/>
  <c r="S2691" i="10"/>
  <c r="Q2691" i="10"/>
  <c r="P2691" i="10"/>
  <c r="O2691" i="10"/>
  <c r="M2691" i="10"/>
  <c r="E2691" i="10"/>
  <c r="B2691" i="10"/>
  <c r="S2690" i="10"/>
  <c r="Q2690" i="10"/>
  <c r="P2690" i="10"/>
  <c r="O2690" i="10"/>
  <c r="M2690" i="10"/>
  <c r="E2690" i="10"/>
  <c r="B2690" i="10"/>
  <c r="S2689" i="10"/>
  <c r="Q2689" i="10"/>
  <c r="P2689" i="10"/>
  <c r="O2689" i="10"/>
  <c r="M2689" i="10"/>
  <c r="E2689" i="10"/>
  <c r="B2689" i="10"/>
  <c r="S2688" i="10"/>
  <c r="Q2688" i="10"/>
  <c r="P2688" i="10"/>
  <c r="O2688" i="10"/>
  <c r="M2688" i="10"/>
  <c r="E2688" i="10"/>
  <c r="B2688" i="10"/>
  <c r="S2687" i="10"/>
  <c r="Q2687" i="10"/>
  <c r="P2687" i="10"/>
  <c r="O2687" i="10"/>
  <c r="M2687" i="10"/>
  <c r="E2687" i="10"/>
  <c r="B2687" i="10"/>
  <c r="S2686" i="10"/>
  <c r="Q2686" i="10"/>
  <c r="P2686" i="10"/>
  <c r="O2686" i="10"/>
  <c r="M2686" i="10"/>
  <c r="E2686" i="10"/>
  <c r="B2686" i="10"/>
  <c r="S2685" i="10"/>
  <c r="Q2685" i="10"/>
  <c r="P2685" i="10"/>
  <c r="O2685" i="10"/>
  <c r="M2685" i="10"/>
  <c r="E2685" i="10"/>
  <c r="B2685" i="10"/>
  <c r="S2684" i="10"/>
  <c r="Q2684" i="10"/>
  <c r="P2684" i="10"/>
  <c r="O2684" i="10"/>
  <c r="M2684" i="10"/>
  <c r="E2684" i="10"/>
  <c r="B2684" i="10"/>
  <c r="S2683" i="10"/>
  <c r="Q2683" i="10"/>
  <c r="P2683" i="10"/>
  <c r="O2683" i="10"/>
  <c r="M2683" i="10"/>
  <c r="E2683" i="10"/>
  <c r="B2683" i="10"/>
  <c r="S2682" i="10"/>
  <c r="Q2682" i="10"/>
  <c r="P2682" i="10"/>
  <c r="O2682" i="10"/>
  <c r="M2682" i="10"/>
  <c r="E2682" i="10"/>
  <c r="B2682" i="10"/>
  <c r="S2681" i="10"/>
  <c r="Q2681" i="10"/>
  <c r="P2681" i="10"/>
  <c r="O2681" i="10"/>
  <c r="M2681" i="10"/>
  <c r="E2681" i="10"/>
  <c r="B2681" i="10"/>
  <c r="S2680" i="10"/>
  <c r="Q2680" i="10"/>
  <c r="P2680" i="10"/>
  <c r="O2680" i="10"/>
  <c r="M2680" i="10"/>
  <c r="E2680" i="10"/>
  <c r="B2680" i="10"/>
  <c r="S2679" i="10"/>
  <c r="Q2679" i="10"/>
  <c r="P2679" i="10"/>
  <c r="O2679" i="10"/>
  <c r="M2679" i="10"/>
  <c r="E2679" i="10"/>
  <c r="B2679" i="10"/>
  <c r="S2678" i="10"/>
  <c r="Q2678" i="10"/>
  <c r="P2678" i="10"/>
  <c r="O2678" i="10"/>
  <c r="M2678" i="10"/>
  <c r="E2678" i="10"/>
  <c r="B2678" i="10"/>
  <c r="S2677" i="10"/>
  <c r="Q2677" i="10"/>
  <c r="P2677" i="10"/>
  <c r="O2677" i="10"/>
  <c r="M2677" i="10"/>
  <c r="B2677" i="10"/>
  <c r="S2676" i="10"/>
  <c r="Q2676" i="10"/>
  <c r="P2676" i="10"/>
  <c r="O2676" i="10"/>
  <c r="M2676" i="10"/>
  <c r="E2676" i="10"/>
  <c r="B2676" i="10"/>
  <c r="S2675" i="10"/>
  <c r="Q2675" i="10"/>
  <c r="P2675" i="10"/>
  <c r="O2675" i="10"/>
  <c r="M2675" i="10"/>
  <c r="E2675" i="10"/>
  <c r="B2675" i="10"/>
  <c r="S2674" i="10"/>
  <c r="Q2674" i="10"/>
  <c r="P2674" i="10"/>
  <c r="O2674" i="10"/>
  <c r="M2674" i="10"/>
  <c r="E2674" i="10"/>
  <c r="B2674" i="10"/>
  <c r="S2673" i="10"/>
  <c r="Q2673" i="10"/>
  <c r="P2673" i="10"/>
  <c r="O2673" i="10"/>
  <c r="M2673" i="10"/>
  <c r="E2673" i="10"/>
  <c r="B2673" i="10"/>
  <c r="S2672" i="10"/>
  <c r="Q2672" i="10"/>
  <c r="P2672" i="10"/>
  <c r="O2672" i="10"/>
  <c r="M2672" i="10"/>
  <c r="E2672" i="10"/>
  <c r="B2672" i="10"/>
  <c r="S2671" i="10"/>
  <c r="Q2671" i="10"/>
  <c r="P2671" i="10"/>
  <c r="O2671" i="10"/>
  <c r="M2671" i="10"/>
  <c r="E2671" i="10"/>
  <c r="B2671" i="10"/>
  <c r="S2670" i="10"/>
  <c r="Q2670" i="10"/>
  <c r="P2670" i="10"/>
  <c r="O2670" i="10"/>
  <c r="M2670" i="10"/>
  <c r="B2670" i="10"/>
  <c r="S2669" i="10"/>
  <c r="Q2669" i="10"/>
  <c r="P2669" i="10"/>
  <c r="O2669" i="10"/>
  <c r="M2669" i="10"/>
  <c r="E2669" i="10"/>
  <c r="B2669" i="10"/>
  <c r="S2668" i="10"/>
  <c r="Q2668" i="10"/>
  <c r="P2668" i="10"/>
  <c r="O2668" i="10"/>
  <c r="M2668" i="10"/>
  <c r="E2668" i="10"/>
  <c r="B2668" i="10"/>
  <c r="S2667" i="10"/>
  <c r="Q2667" i="10"/>
  <c r="P2667" i="10"/>
  <c r="O2667" i="10"/>
  <c r="M2667" i="10"/>
  <c r="E2667" i="10"/>
  <c r="B2667" i="10"/>
  <c r="S2666" i="10"/>
  <c r="Q2666" i="10"/>
  <c r="P2666" i="10"/>
  <c r="O2666" i="10"/>
  <c r="M2666" i="10"/>
  <c r="E2666" i="10"/>
  <c r="B2666" i="10"/>
  <c r="S2665" i="10"/>
  <c r="Q2665" i="10"/>
  <c r="P2665" i="10"/>
  <c r="O2665" i="10"/>
  <c r="M2665" i="10"/>
  <c r="E2665" i="10"/>
  <c r="B2665" i="10"/>
  <c r="S2664" i="10"/>
  <c r="Q2664" i="10"/>
  <c r="P2664" i="10"/>
  <c r="O2664" i="10"/>
  <c r="M2664" i="10"/>
  <c r="E2664" i="10"/>
  <c r="B2664" i="10"/>
  <c r="S2663" i="10"/>
  <c r="Q2663" i="10"/>
  <c r="P2663" i="10"/>
  <c r="O2663" i="10"/>
  <c r="M2663" i="10"/>
  <c r="E2663" i="10"/>
  <c r="B2663" i="10"/>
  <c r="S2662" i="10"/>
  <c r="Q2662" i="10"/>
  <c r="P2662" i="10"/>
  <c r="O2662" i="10"/>
  <c r="M2662" i="10"/>
  <c r="E2662" i="10"/>
  <c r="B2662" i="10"/>
  <c r="S2661" i="10"/>
  <c r="Q2661" i="10"/>
  <c r="P2661" i="10"/>
  <c r="O2661" i="10"/>
  <c r="M2661" i="10"/>
  <c r="E2661" i="10"/>
  <c r="B2661" i="10"/>
  <c r="S2660" i="10"/>
  <c r="Q2660" i="10"/>
  <c r="P2660" i="10"/>
  <c r="O2660" i="10"/>
  <c r="M2660" i="10"/>
  <c r="E2660" i="10"/>
  <c r="B2660" i="10"/>
  <c r="S2659" i="10"/>
  <c r="Q2659" i="10"/>
  <c r="P2659" i="10"/>
  <c r="O2659" i="10"/>
  <c r="M2659" i="10"/>
  <c r="E2659" i="10"/>
  <c r="B2659" i="10"/>
  <c r="S2658" i="10"/>
  <c r="Q2658" i="10"/>
  <c r="P2658" i="10"/>
  <c r="O2658" i="10"/>
  <c r="M2658" i="10"/>
  <c r="E2658" i="10"/>
  <c r="B2658" i="10"/>
  <c r="S2657" i="10"/>
  <c r="Q2657" i="10"/>
  <c r="P2657" i="10"/>
  <c r="O2657" i="10"/>
  <c r="M2657" i="10"/>
  <c r="E2657" i="10"/>
  <c r="B2657" i="10"/>
  <c r="S2656" i="10"/>
  <c r="Q2656" i="10"/>
  <c r="P2656" i="10"/>
  <c r="O2656" i="10"/>
  <c r="M2656" i="10"/>
  <c r="E2656" i="10"/>
  <c r="B2656" i="10"/>
  <c r="S2655" i="10"/>
  <c r="Q2655" i="10"/>
  <c r="P2655" i="10"/>
  <c r="O2655" i="10"/>
  <c r="M2655" i="10"/>
  <c r="E2655" i="10"/>
  <c r="B2655" i="10"/>
  <c r="S2654" i="10"/>
  <c r="Q2654" i="10"/>
  <c r="P2654" i="10"/>
  <c r="O2654" i="10"/>
  <c r="M2654" i="10"/>
  <c r="E2654" i="10"/>
  <c r="B2654" i="10"/>
  <c r="S2653" i="10"/>
  <c r="Q2653" i="10"/>
  <c r="P2653" i="10"/>
  <c r="O2653" i="10"/>
  <c r="M2653" i="10"/>
  <c r="E2653" i="10"/>
  <c r="B2653" i="10"/>
  <c r="S2652" i="10"/>
  <c r="Q2652" i="10"/>
  <c r="P2652" i="10"/>
  <c r="O2652" i="10"/>
  <c r="M2652" i="10"/>
  <c r="E2652" i="10"/>
  <c r="B2652" i="10"/>
  <c r="S2651" i="10"/>
  <c r="Q2651" i="10"/>
  <c r="P2651" i="10"/>
  <c r="O2651" i="10"/>
  <c r="M2651" i="10"/>
  <c r="E2651" i="10"/>
  <c r="B2651" i="10"/>
  <c r="S2650" i="10"/>
  <c r="Q2650" i="10"/>
  <c r="P2650" i="10"/>
  <c r="O2650" i="10"/>
  <c r="M2650" i="10"/>
  <c r="E2650" i="10"/>
  <c r="B2650" i="10"/>
  <c r="S2649" i="10"/>
  <c r="Q2649" i="10"/>
  <c r="P2649" i="10"/>
  <c r="O2649" i="10"/>
  <c r="M2649" i="10"/>
  <c r="E2649" i="10"/>
  <c r="B2649" i="10"/>
  <c r="S2648" i="10"/>
  <c r="Q2648" i="10"/>
  <c r="P2648" i="10"/>
  <c r="O2648" i="10"/>
  <c r="M2648" i="10"/>
  <c r="E2648" i="10"/>
  <c r="B2648" i="10"/>
  <c r="S2647" i="10"/>
  <c r="Q2647" i="10"/>
  <c r="P2647" i="10"/>
  <c r="O2647" i="10"/>
  <c r="M2647" i="10"/>
  <c r="E2647" i="10"/>
  <c r="B2647" i="10"/>
  <c r="S2646" i="10"/>
  <c r="Q2646" i="10"/>
  <c r="P2646" i="10"/>
  <c r="O2646" i="10"/>
  <c r="M2646" i="10"/>
  <c r="E2646" i="10"/>
  <c r="B2646" i="10"/>
  <c r="S2645" i="10"/>
  <c r="Q2645" i="10"/>
  <c r="P2645" i="10"/>
  <c r="O2645" i="10"/>
  <c r="M2645" i="10"/>
  <c r="E2645" i="10"/>
  <c r="B2645" i="10"/>
  <c r="S2644" i="10"/>
  <c r="Q2644" i="10"/>
  <c r="P2644" i="10"/>
  <c r="O2644" i="10"/>
  <c r="M2644" i="10"/>
  <c r="E2644" i="10"/>
  <c r="B2644" i="10"/>
  <c r="S2643" i="10"/>
  <c r="Q2643" i="10"/>
  <c r="P2643" i="10"/>
  <c r="O2643" i="10"/>
  <c r="M2643" i="10"/>
  <c r="E2643" i="10"/>
  <c r="B2643" i="10"/>
  <c r="S2642" i="10"/>
  <c r="Q2642" i="10"/>
  <c r="P2642" i="10"/>
  <c r="O2642" i="10"/>
  <c r="M2642" i="10"/>
  <c r="E2642" i="10"/>
  <c r="B2642" i="10"/>
  <c r="S2641" i="10"/>
  <c r="Q2641" i="10"/>
  <c r="P2641" i="10"/>
  <c r="O2641" i="10"/>
  <c r="M2641" i="10"/>
  <c r="E2641" i="10"/>
  <c r="B2641" i="10"/>
  <c r="S2640" i="10"/>
  <c r="Q2640" i="10"/>
  <c r="P2640" i="10"/>
  <c r="O2640" i="10"/>
  <c r="M2640" i="10"/>
  <c r="B2640" i="10"/>
  <c r="S2639" i="10"/>
  <c r="Q2639" i="10"/>
  <c r="P2639" i="10"/>
  <c r="O2639" i="10"/>
  <c r="M2639" i="10"/>
  <c r="B2639" i="10"/>
  <c r="S2638" i="10"/>
  <c r="Q2638" i="10"/>
  <c r="P2638" i="10"/>
  <c r="O2638" i="10"/>
  <c r="M2638" i="10"/>
  <c r="E2638" i="10"/>
  <c r="B2638" i="10"/>
  <c r="S2637" i="10"/>
  <c r="Q2637" i="10"/>
  <c r="P2637" i="10"/>
  <c r="O2637" i="10"/>
  <c r="M2637" i="10"/>
  <c r="B2637" i="10"/>
  <c r="S2636" i="10"/>
  <c r="Q2636" i="10"/>
  <c r="P2636" i="10"/>
  <c r="O2636" i="10"/>
  <c r="M2636" i="10"/>
  <c r="E2636" i="10"/>
  <c r="B2636" i="10"/>
  <c r="S2635" i="10"/>
  <c r="Q2635" i="10"/>
  <c r="P2635" i="10"/>
  <c r="O2635" i="10"/>
  <c r="M2635" i="10"/>
  <c r="B2635" i="10"/>
  <c r="S2634" i="10"/>
  <c r="Q2634" i="10"/>
  <c r="P2634" i="10"/>
  <c r="O2634" i="10"/>
  <c r="M2634" i="10"/>
  <c r="B2634" i="10"/>
  <c r="S2633" i="10"/>
  <c r="Q2633" i="10"/>
  <c r="P2633" i="10"/>
  <c r="O2633" i="10"/>
  <c r="M2633" i="10"/>
  <c r="E2633" i="10"/>
  <c r="B2633" i="10"/>
  <c r="S2632" i="10"/>
  <c r="Q2632" i="10"/>
  <c r="P2632" i="10"/>
  <c r="O2632" i="10"/>
  <c r="M2632" i="10"/>
  <c r="E2632" i="10"/>
  <c r="B2632" i="10"/>
  <c r="S2631" i="10"/>
  <c r="Q2631" i="10"/>
  <c r="P2631" i="10"/>
  <c r="O2631" i="10"/>
  <c r="M2631" i="10"/>
  <c r="E2631" i="10"/>
  <c r="B2631" i="10"/>
  <c r="S2630" i="10"/>
  <c r="Q2630" i="10"/>
  <c r="P2630" i="10"/>
  <c r="O2630" i="10"/>
  <c r="M2630" i="10"/>
  <c r="E2630" i="10"/>
  <c r="B2630" i="10"/>
  <c r="S2629" i="10"/>
  <c r="Q2629" i="10"/>
  <c r="P2629" i="10"/>
  <c r="O2629" i="10"/>
  <c r="M2629" i="10"/>
  <c r="E2629" i="10"/>
  <c r="B2629" i="10"/>
  <c r="S2628" i="10"/>
  <c r="Q2628" i="10"/>
  <c r="P2628" i="10"/>
  <c r="O2628" i="10"/>
  <c r="M2628" i="10"/>
  <c r="E2628" i="10"/>
  <c r="B2628" i="10"/>
  <c r="S2627" i="10"/>
  <c r="Q2627" i="10"/>
  <c r="P2627" i="10"/>
  <c r="O2627" i="10"/>
  <c r="M2627" i="10"/>
  <c r="E2627" i="10"/>
  <c r="B2627" i="10"/>
  <c r="S2626" i="10"/>
  <c r="Q2626" i="10"/>
  <c r="P2626" i="10"/>
  <c r="O2626" i="10"/>
  <c r="M2626" i="10"/>
  <c r="E2626" i="10"/>
  <c r="B2626" i="10"/>
  <c r="S2625" i="10"/>
  <c r="Q2625" i="10"/>
  <c r="P2625" i="10"/>
  <c r="O2625" i="10"/>
  <c r="M2625" i="10"/>
  <c r="E2625" i="10"/>
  <c r="B2625" i="10"/>
  <c r="S2624" i="10"/>
  <c r="Q2624" i="10"/>
  <c r="P2624" i="10"/>
  <c r="O2624" i="10"/>
  <c r="M2624" i="10"/>
  <c r="E2624" i="10"/>
  <c r="B2624" i="10"/>
  <c r="S2623" i="10"/>
  <c r="Q2623" i="10"/>
  <c r="P2623" i="10"/>
  <c r="O2623" i="10"/>
  <c r="M2623" i="10"/>
  <c r="E2623" i="10"/>
  <c r="B2623" i="10"/>
  <c r="S2622" i="10"/>
  <c r="Q2622" i="10"/>
  <c r="P2622" i="10"/>
  <c r="O2622" i="10"/>
  <c r="M2622" i="10"/>
  <c r="E2622" i="10"/>
  <c r="B2622" i="10"/>
  <c r="S2621" i="10"/>
  <c r="Q2621" i="10"/>
  <c r="P2621" i="10"/>
  <c r="O2621" i="10"/>
  <c r="M2621" i="10"/>
  <c r="E2621" i="10"/>
  <c r="B2621" i="10"/>
  <c r="S2620" i="10"/>
  <c r="Q2620" i="10"/>
  <c r="P2620" i="10"/>
  <c r="O2620" i="10"/>
  <c r="M2620" i="10"/>
  <c r="B2620" i="10"/>
  <c r="S2619" i="10"/>
  <c r="Q2619" i="10"/>
  <c r="P2619" i="10"/>
  <c r="O2619" i="10"/>
  <c r="M2619" i="10"/>
  <c r="B2619" i="10"/>
  <c r="S2618" i="10"/>
  <c r="Q2618" i="10"/>
  <c r="P2618" i="10"/>
  <c r="O2618" i="10"/>
  <c r="M2618" i="10"/>
  <c r="B2618" i="10"/>
  <c r="S2617" i="10"/>
  <c r="Q2617" i="10"/>
  <c r="P2617" i="10"/>
  <c r="O2617" i="10"/>
  <c r="M2617" i="10"/>
  <c r="B2617" i="10"/>
  <c r="S2616" i="10"/>
  <c r="Q2616" i="10"/>
  <c r="P2616" i="10"/>
  <c r="O2616" i="10"/>
  <c r="M2616" i="10"/>
  <c r="B2616" i="10"/>
  <c r="S2615" i="10"/>
  <c r="Q2615" i="10"/>
  <c r="P2615" i="10"/>
  <c r="O2615" i="10"/>
  <c r="M2615" i="10"/>
  <c r="B2615" i="10"/>
  <c r="S2614" i="10"/>
  <c r="Q2614" i="10"/>
  <c r="P2614" i="10"/>
  <c r="O2614" i="10"/>
  <c r="M2614" i="10"/>
  <c r="B2614" i="10"/>
  <c r="S2613" i="10"/>
  <c r="Q2613" i="10"/>
  <c r="P2613" i="10"/>
  <c r="O2613" i="10"/>
  <c r="M2613" i="10"/>
  <c r="B2613" i="10"/>
  <c r="S2612" i="10"/>
  <c r="Q2612" i="10"/>
  <c r="P2612" i="10"/>
  <c r="O2612" i="10"/>
  <c r="M2612" i="10"/>
  <c r="B2612" i="10"/>
  <c r="S2611" i="10"/>
  <c r="Q2611" i="10"/>
  <c r="P2611" i="10"/>
  <c r="O2611" i="10"/>
  <c r="M2611" i="10"/>
  <c r="B2611" i="10"/>
  <c r="S2610" i="10"/>
  <c r="Q2610" i="10"/>
  <c r="P2610" i="10"/>
  <c r="O2610" i="10"/>
  <c r="M2610" i="10"/>
  <c r="B2610" i="10"/>
  <c r="S2609" i="10"/>
  <c r="Q2609" i="10"/>
  <c r="P2609" i="10"/>
  <c r="O2609" i="10"/>
  <c r="M2609" i="10"/>
  <c r="B2609" i="10"/>
  <c r="S2608" i="10"/>
  <c r="Q2608" i="10"/>
  <c r="P2608" i="10"/>
  <c r="O2608" i="10"/>
  <c r="M2608" i="10"/>
  <c r="B2608" i="10"/>
  <c r="S2607" i="10"/>
  <c r="Q2607" i="10"/>
  <c r="P2607" i="10"/>
  <c r="O2607" i="10"/>
  <c r="M2607" i="10"/>
  <c r="B2607" i="10"/>
  <c r="S2606" i="10"/>
  <c r="Q2606" i="10"/>
  <c r="P2606" i="10"/>
  <c r="O2606" i="10"/>
  <c r="M2606" i="10"/>
  <c r="E2606" i="10"/>
  <c r="B2606" i="10"/>
  <c r="S2605" i="10"/>
  <c r="Q2605" i="10"/>
  <c r="P2605" i="10"/>
  <c r="O2605" i="10"/>
  <c r="M2605" i="10"/>
  <c r="B2605" i="10"/>
  <c r="S2604" i="10"/>
  <c r="Q2604" i="10"/>
  <c r="P2604" i="10"/>
  <c r="O2604" i="10"/>
  <c r="M2604" i="10"/>
  <c r="E2604" i="10"/>
  <c r="B2604" i="10"/>
  <c r="S2603" i="10"/>
  <c r="Q2603" i="10"/>
  <c r="P2603" i="10"/>
  <c r="O2603" i="10"/>
  <c r="M2603" i="10"/>
  <c r="E2603" i="10"/>
  <c r="B2603" i="10"/>
  <c r="S2602" i="10"/>
  <c r="Q2602" i="10"/>
  <c r="P2602" i="10"/>
  <c r="O2602" i="10"/>
  <c r="M2602" i="10"/>
  <c r="E2602" i="10"/>
  <c r="B2602" i="10"/>
  <c r="S2601" i="10"/>
  <c r="Q2601" i="10"/>
  <c r="P2601" i="10"/>
  <c r="O2601" i="10"/>
  <c r="M2601" i="10"/>
  <c r="E2601" i="10"/>
  <c r="B2601" i="10"/>
  <c r="S2600" i="10"/>
  <c r="Q2600" i="10"/>
  <c r="P2600" i="10"/>
  <c r="O2600" i="10"/>
  <c r="M2600" i="10"/>
  <c r="E2600" i="10"/>
  <c r="B2600" i="10"/>
  <c r="S2599" i="10"/>
  <c r="Q2599" i="10"/>
  <c r="P2599" i="10"/>
  <c r="O2599" i="10"/>
  <c r="M2599" i="10"/>
  <c r="E2599" i="10"/>
  <c r="B2599" i="10"/>
  <c r="S2598" i="10"/>
  <c r="Q2598" i="10"/>
  <c r="P2598" i="10"/>
  <c r="O2598" i="10"/>
  <c r="M2598" i="10"/>
  <c r="E2598" i="10"/>
  <c r="B2598" i="10"/>
  <c r="S2597" i="10"/>
  <c r="Q2597" i="10"/>
  <c r="P2597" i="10"/>
  <c r="O2597" i="10"/>
  <c r="M2597" i="10"/>
  <c r="E2597" i="10"/>
  <c r="B2597" i="10"/>
  <c r="S2596" i="10"/>
  <c r="Q2596" i="10"/>
  <c r="P2596" i="10"/>
  <c r="O2596" i="10"/>
  <c r="M2596" i="10"/>
  <c r="B2596" i="10"/>
  <c r="S2595" i="10"/>
  <c r="Q2595" i="10"/>
  <c r="P2595" i="10"/>
  <c r="O2595" i="10"/>
  <c r="M2595" i="10"/>
  <c r="E2595" i="10"/>
  <c r="B2595" i="10"/>
  <c r="S2594" i="10"/>
  <c r="Q2594" i="10"/>
  <c r="P2594" i="10"/>
  <c r="O2594" i="10"/>
  <c r="M2594" i="10"/>
  <c r="B2594" i="10"/>
  <c r="S2593" i="10"/>
  <c r="Q2593" i="10"/>
  <c r="P2593" i="10"/>
  <c r="O2593" i="10"/>
  <c r="M2593" i="10"/>
  <c r="E2593" i="10"/>
  <c r="B2593" i="10"/>
  <c r="S2592" i="10"/>
  <c r="Q2592" i="10"/>
  <c r="P2592" i="10"/>
  <c r="O2592" i="10"/>
  <c r="M2592" i="10"/>
  <c r="E2592" i="10"/>
  <c r="B2592" i="10"/>
  <c r="S2591" i="10"/>
  <c r="Q2591" i="10"/>
  <c r="P2591" i="10"/>
  <c r="O2591" i="10"/>
  <c r="M2591" i="10"/>
  <c r="E2591" i="10"/>
  <c r="B2591" i="10"/>
  <c r="S2590" i="10"/>
  <c r="Q2590" i="10"/>
  <c r="P2590" i="10"/>
  <c r="O2590" i="10"/>
  <c r="M2590" i="10"/>
  <c r="E2590" i="10"/>
  <c r="B2590" i="10"/>
  <c r="S2589" i="10"/>
  <c r="Q2589" i="10"/>
  <c r="P2589" i="10"/>
  <c r="O2589" i="10"/>
  <c r="M2589" i="10"/>
  <c r="E2589" i="10"/>
  <c r="B2589" i="10"/>
  <c r="S2588" i="10"/>
  <c r="Q2588" i="10"/>
  <c r="P2588" i="10"/>
  <c r="O2588" i="10"/>
  <c r="M2588" i="10"/>
  <c r="E2588" i="10"/>
  <c r="B2588" i="10"/>
  <c r="S2587" i="10"/>
  <c r="Q2587" i="10"/>
  <c r="P2587" i="10"/>
  <c r="O2587" i="10"/>
  <c r="M2587" i="10"/>
  <c r="E2587" i="10"/>
  <c r="B2587" i="10"/>
  <c r="S2586" i="10"/>
  <c r="Q2586" i="10"/>
  <c r="P2586" i="10"/>
  <c r="O2586" i="10"/>
  <c r="M2586" i="10"/>
  <c r="E2586" i="10"/>
  <c r="B2586" i="10"/>
  <c r="S2585" i="10"/>
  <c r="Q2585" i="10"/>
  <c r="P2585" i="10"/>
  <c r="O2585" i="10"/>
  <c r="M2585" i="10"/>
  <c r="E2585" i="10"/>
  <c r="B2585" i="10"/>
  <c r="S2584" i="10"/>
  <c r="Q2584" i="10"/>
  <c r="P2584" i="10"/>
  <c r="O2584" i="10"/>
  <c r="M2584" i="10"/>
  <c r="E2584" i="10"/>
  <c r="B2584" i="10"/>
  <c r="S2583" i="10"/>
  <c r="Q2583" i="10"/>
  <c r="P2583" i="10"/>
  <c r="O2583" i="10"/>
  <c r="M2583" i="10"/>
  <c r="E2583" i="10"/>
  <c r="B2583" i="10"/>
  <c r="S2582" i="10"/>
  <c r="Q2582" i="10"/>
  <c r="P2582" i="10"/>
  <c r="O2582" i="10"/>
  <c r="M2582" i="10"/>
  <c r="E2582" i="10"/>
  <c r="B2582" i="10"/>
  <c r="S2581" i="10"/>
  <c r="Q2581" i="10"/>
  <c r="P2581" i="10"/>
  <c r="O2581" i="10"/>
  <c r="M2581" i="10"/>
  <c r="B2581" i="10"/>
  <c r="S2580" i="10"/>
  <c r="Q2580" i="10"/>
  <c r="P2580" i="10"/>
  <c r="O2580" i="10"/>
  <c r="M2580" i="10"/>
  <c r="B2580" i="10"/>
  <c r="S2579" i="10"/>
  <c r="Q2579" i="10"/>
  <c r="P2579" i="10"/>
  <c r="O2579" i="10"/>
  <c r="M2579" i="10"/>
  <c r="E2579" i="10"/>
  <c r="B2579" i="10"/>
  <c r="S2578" i="10"/>
  <c r="Q2578" i="10"/>
  <c r="P2578" i="10"/>
  <c r="O2578" i="10"/>
  <c r="M2578" i="10"/>
  <c r="B2578" i="10"/>
  <c r="S2577" i="10"/>
  <c r="Q2577" i="10"/>
  <c r="P2577" i="10"/>
  <c r="O2577" i="10"/>
  <c r="M2577" i="10"/>
  <c r="E2577" i="10"/>
  <c r="B2577" i="10"/>
  <c r="S2576" i="10"/>
  <c r="Q2576" i="10"/>
  <c r="P2576" i="10"/>
  <c r="O2576" i="10"/>
  <c r="M2576" i="10"/>
  <c r="E2576" i="10"/>
  <c r="B2576" i="10"/>
  <c r="S2575" i="10"/>
  <c r="Q2575" i="10"/>
  <c r="P2575" i="10"/>
  <c r="O2575" i="10"/>
  <c r="M2575" i="10"/>
  <c r="E2575" i="10"/>
  <c r="B2575" i="10"/>
  <c r="S2574" i="10"/>
  <c r="Q2574" i="10"/>
  <c r="P2574" i="10"/>
  <c r="O2574" i="10"/>
  <c r="M2574" i="10"/>
  <c r="E2574" i="10"/>
  <c r="B2574" i="10"/>
  <c r="S2573" i="10"/>
  <c r="Q2573" i="10"/>
  <c r="P2573" i="10"/>
  <c r="O2573" i="10"/>
  <c r="M2573" i="10"/>
  <c r="E2573" i="10"/>
  <c r="B2573" i="10"/>
  <c r="S2572" i="10"/>
  <c r="Q2572" i="10"/>
  <c r="P2572" i="10"/>
  <c r="O2572" i="10"/>
  <c r="M2572" i="10"/>
  <c r="E2572" i="10"/>
  <c r="B2572" i="10"/>
  <c r="S2571" i="10"/>
  <c r="Q2571" i="10"/>
  <c r="P2571" i="10"/>
  <c r="O2571" i="10"/>
  <c r="M2571" i="10"/>
  <c r="E2571" i="10"/>
  <c r="B2571" i="10"/>
  <c r="S2570" i="10"/>
  <c r="Q2570" i="10"/>
  <c r="P2570" i="10"/>
  <c r="O2570" i="10"/>
  <c r="M2570" i="10"/>
  <c r="E2570" i="10"/>
  <c r="B2570" i="10"/>
  <c r="S2569" i="10"/>
  <c r="Q2569" i="10"/>
  <c r="P2569" i="10"/>
  <c r="O2569" i="10"/>
  <c r="M2569" i="10"/>
  <c r="E2569" i="10"/>
  <c r="B2569" i="10"/>
  <c r="S2568" i="10"/>
  <c r="Q2568" i="10"/>
  <c r="P2568" i="10"/>
  <c r="O2568" i="10"/>
  <c r="M2568" i="10"/>
  <c r="E2568" i="10"/>
  <c r="B2568" i="10"/>
  <c r="S2567" i="10"/>
  <c r="Q2567" i="10"/>
  <c r="P2567" i="10"/>
  <c r="O2567" i="10"/>
  <c r="M2567" i="10"/>
  <c r="E2567" i="10"/>
  <c r="B2567" i="10"/>
  <c r="S2566" i="10"/>
  <c r="Q2566" i="10"/>
  <c r="P2566" i="10"/>
  <c r="O2566" i="10"/>
  <c r="M2566" i="10"/>
  <c r="E2566" i="10"/>
  <c r="B2566" i="10"/>
  <c r="S2565" i="10"/>
  <c r="Q2565" i="10"/>
  <c r="P2565" i="10"/>
  <c r="O2565" i="10"/>
  <c r="M2565" i="10"/>
  <c r="E2565" i="10"/>
  <c r="B2565" i="10"/>
  <c r="S2564" i="10"/>
  <c r="Q2564" i="10"/>
  <c r="P2564" i="10"/>
  <c r="O2564" i="10"/>
  <c r="M2564" i="10"/>
  <c r="E2564" i="10"/>
  <c r="B2564" i="10"/>
  <c r="S2563" i="10"/>
  <c r="Q2563" i="10"/>
  <c r="P2563" i="10"/>
  <c r="O2563" i="10"/>
  <c r="M2563" i="10"/>
  <c r="E2563" i="10"/>
  <c r="B2563" i="10"/>
  <c r="S2562" i="10"/>
  <c r="Q2562" i="10"/>
  <c r="P2562" i="10"/>
  <c r="O2562" i="10"/>
  <c r="M2562" i="10"/>
  <c r="E2562" i="10"/>
  <c r="B2562" i="10"/>
  <c r="S2561" i="10"/>
  <c r="Q2561" i="10"/>
  <c r="P2561" i="10"/>
  <c r="O2561" i="10"/>
  <c r="M2561" i="10"/>
  <c r="B2561" i="10"/>
  <c r="S2560" i="10"/>
  <c r="Q2560" i="10"/>
  <c r="P2560" i="10"/>
  <c r="O2560" i="10"/>
  <c r="M2560" i="10"/>
  <c r="E2560" i="10"/>
  <c r="B2560" i="10"/>
  <c r="S2559" i="10"/>
  <c r="Q2559" i="10"/>
  <c r="P2559" i="10"/>
  <c r="O2559" i="10"/>
  <c r="M2559" i="10"/>
  <c r="E2559" i="10"/>
  <c r="B2559" i="10"/>
  <c r="S2558" i="10"/>
  <c r="Q2558" i="10"/>
  <c r="P2558" i="10"/>
  <c r="O2558" i="10"/>
  <c r="M2558" i="10"/>
  <c r="E2558" i="10"/>
  <c r="B2558" i="10"/>
  <c r="S2557" i="10"/>
  <c r="Q2557" i="10"/>
  <c r="P2557" i="10"/>
  <c r="O2557" i="10"/>
  <c r="M2557" i="10"/>
  <c r="E2557" i="10"/>
  <c r="B2557" i="10"/>
  <c r="S2556" i="10"/>
  <c r="Q2556" i="10"/>
  <c r="P2556" i="10"/>
  <c r="O2556" i="10"/>
  <c r="M2556" i="10"/>
  <c r="E2556" i="10"/>
  <c r="B2556" i="10"/>
  <c r="S2555" i="10"/>
  <c r="Q2555" i="10"/>
  <c r="P2555" i="10"/>
  <c r="O2555" i="10"/>
  <c r="M2555" i="10"/>
  <c r="E2555" i="10"/>
  <c r="B2555" i="10"/>
  <c r="S2554" i="10"/>
  <c r="Q2554" i="10"/>
  <c r="P2554" i="10"/>
  <c r="O2554" i="10"/>
  <c r="M2554" i="10"/>
  <c r="E2554" i="10"/>
  <c r="B2554" i="10"/>
  <c r="S2553" i="10"/>
  <c r="Q2553" i="10"/>
  <c r="P2553" i="10"/>
  <c r="O2553" i="10"/>
  <c r="M2553" i="10"/>
  <c r="E2553" i="10"/>
  <c r="B2553" i="10"/>
  <c r="S2552" i="10"/>
  <c r="Q2552" i="10"/>
  <c r="P2552" i="10"/>
  <c r="O2552" i="10"/>
  <c r="M2552" i="10"/>
  <c r="E2552" i="10"/>
  <c r="B2552" i="10"/>
  <c r="S2551" i="10"/>
  <c r="Q2551" i="10"/>
  <c r="P2551" i="10"/>
  <c r="O2551" i="10"/>
  <c r="M2551" i="10"/>
  <c r="B2551" i="10"/>
  <c r="S2550" i="10"/>
  <c r="Q2550" i="10"/>
  <c r="P2550" i="10"/>
  <c r="O2550" i="10"/>
  <c r="M2550" i="10"/>
  <c r="B2550" i="10"/>
  <c r="S2549" i="10"/>
  <c r="Q2549" i="10"/>
  <c r="P2549" i="10"/>
  <c r="O2549" i="10"/>
  <c r="M2549" i="10"/>
  <c r="E2549" i="10"/>
  <c r="B2549" i="10"/>
  <c r="S2548" i="10"/>
  <c r="Q2548" i="10"/>
  <c r="P2548" i="10"/>
  <c r="O2548" i="10"/>
  <c r="M2548" i="10"/>
  <c r="E2548" i="10"/>
  <c r="B2548" i="10"/>
  <c r="S2547" i="10"/>
  <c r="Q2547" i="10"/>
  <c r="P2547" i="10"/>
  <c r="O2547" i="10"/>
  <c r="M2547" i="10"/>
  <c r="E2547" i="10"/>
  <c r="B2547" i="10"/>
  <c r="S2546" i="10"/>
  <c r="Q2546" i="10"/>
  <c r="P2546" i="10"/>
  <c r="O2546" i="10"/>
  <c r="M2546" i="10"/>
  <c r="E2546" i="10"/>
  <c r="B2546" i="10"/>
  <c r="S2545" i="10"/>
  <c r="Q2545" i="10"/>
  <c r="P2545" i="10"/>
  <c r="O2545" i="10"/>
  <c r="M2545" i="10"/>
  <c r="E2545" i="10"/>
  <c r="B2545" i="10"/>
  <c r="S2544" i="10"/>
  <c r="Q2544" i="10"/>
  <c r="P2544" i="10"/>
  <c r="O2544" i="10"/>
  <c r="M2544" i="10"/>
  <c r="E2544" i="10"/>
  <c r="B2544" i="10"/>
  <c r="S2543" i="10"/>
  <c r="Q2543" i="10"/>
  <c r="P2543" i="10"/>
  <c r="O2543" i="10"/>
  <c r="M2543" i="10"/>
  <c r="E2543" i="10"/>
  <c r="B2543" i="10"/>
  <c r="S2542" i="10"/>
  <c r="Q2542" i="10"/>
  <c r="P2542" i="10"/>
  <c r="O2542" i="10"/>
  <c r="M2542" i="10"/>
  <c r="E2542" i="10"/>
  <c r="B2542" i="10"/>
  <c r="S2541" i="10"/>
  <c r="Q2541" i="10"/>
  <c r="P2541" i="10"/>
  <c r="O2541" i="10"/>
  <c r="M2541" i="10"/>
  <c r="E2541" i="10"/>
  <c r="B2541" i="10"/>
  <c r="S2540" i="10"/>
  <c r="Q2540" i="10"/>
  <c r="P2540" i="10"/>
  <c r="O2540" i="10"/>
  <c r="M2540" i="10"/>
  <c r="E2540" i="10"/>
  <c r="B2540" i="10"/>
  <c r="S2539" i="10"/>
  <c r="Q2539" i="10"/>
  <c r="P2539" i="10"/>
  <c r="O2539" i="10"/>
  <c r="M2539" i="10"/>
  <c r="E2539" i="10"/>
  <c r="B2539" i="10"/>
  <c r="S2538" i="10"/>
  <c r="Q2538" i="10"/>
  <c r="P2538" i="10"/>
  <c r="O2538" i="10"/>
  <c r="M2538" i="10"/>
  <c r="E2538" i="10"/>
  <c r="B2538" i="10"/>
  <c r="S2537" i="10"/>
  <c r="Q2537" i="10"/>
  <c r="P2537" i="10"/>
  <c r="O2537" i="10"/>
  <c r="M2537" i="10"/>
  <c r="E2537" i="10"/>
  <c r="B2537" i="10"/>
  <c r="S2536" i="10"/>
  <c r="Q2536" i="10"/>
  <c r="P2536" i="10"/>
  <c r="O2536" i="10"/>
  <c r="M2536" i="10"/>
  <c r="E2536" i="10"/>
  <c r="B2536" i="10"/>
  <c r="S2535" i="10"/>
  <c r="Q2535" i="10"/>
  <c r="P2535" i="10"/>
  <c r="O2535" i="10"/>
  <c r="M2535" i="10"/>
  <c r="E2535" i="10"/>
  <c r="B2535" i="10"/>
  <c r="S2534" i="10"/>
  <c r="Q2534" i="10"/>
  <c r="P2534" i="10"/>
  <c r="O2534" i="10"/>
  <c r="M2534" i="10"/>
  <c r="E2534" i="10"/>
  <c r="B2534" i="10"/>
  <c r="S2533" i="10"/>
  <c r="Q2533" i="10"/>
  <c r="P2533" i="10"/>
  <c r="O2533" i="10"/>
  <c r="M2533" i="10"/>
  <c r="E2533" i="10"/>
  <c r="B2533" i="10"/>
  <c r="S2532" i="10"/>
  <c r="Q2532" i="10"/>
  <c r="P2532" i="10"/>
  <c r="O2532" i="10"/>
  <c r="M2532" i="10"/>
  <c r="E2532" i="10"/>
  <c r="B2532" i="10"/>
  <c r="S2531" i="10"/>
  <c r="Q2531" i="10"/>
  <c r="P2531" i="10"/>
  <c r="O2531" i="10"/>
  <c r="M2531" i="10"/>
  <c r="B2531" i="10"/>
  <c r="S2530" i="10"/>
  <c r="Q2530" i="10"/>
  <c r="P2530" i="10"/>
  <c r="O2530" i="10"/>
  <c r="M2530" i="10"/>
  <c r="B2530" i="10"/>
  <c r="S2529" i="10"/>
  <c r="Q2529" i="10"/>
  <c r="P2529" i="10"/>
  <c r="O2529" i="10"/>
  <c r="M2529" i="10"/>
  <c r="E2529" i="10"/>
  <c r="B2529" i="10"/>
  <c r="S2528" i="10"/>
  <c r="Q2528" i="10"/>
  <c r="P2528" i="10"/>
  <c r="O2528" i="10"/>
  <c r="M2528" i="10"/>
  <c r="E2528" i="10"/>
  <c r="B2528" i="10"/>
  <c r="S2527" i="10"/>
  <c r="Q2527" i="10"/>
  <c r="P2527" i="10"/>
  <c r="O2527" i="10"/>
  <c r="M2527" i="10"/>
  <c r="E2527" i="10"/>
  <c r="B2527" i="10"/>
  <c r="S2526" i="10"/>
  <c r="Q2526" i="10"/>
  <c r="P2526" i="10"/>
  <c r="O2526" i="10"/>
  <c r="M2526" i="10"/>
  <c r="E2526" i="10"/>
  <c r="B2526" i="10"/>
  <c r="S2525" i="10"/>
  <c r="Q2525" i="10"/>
  <c r="P2525" i="10"/>
  <c r="O2525" i="10"/>
  <c r="M2525" i="10"/>
  <c r="E2525" i="10"/>
  <c r="B2525" i="10"/>
  <c r="S2524" i="10"/>
  <c r="Q2524" i="10"/>
  <c r="P2524" i="10"/>
  <c r="O2524" i="10"/>
  <c r="M2524" i="10"/>
  <c r="E2524" i="10"/>
  <c r="B2524" i="10"/>
  <c r="S2523" i="10"/>
  <c r="Q2523" i="10"/>
  <c r="P2523" i="10"/>
  <c r="O2523" i="10"/>
  <c r="M2523" i="10"/>
  <c r="E2523" i="10"/>
  <c r="B2523" i="10"/>
  <c r="S2522" i="10"/>
  <c r="Q2522" i="10"/>
  <c r="P2522" i="10"/>
  <c r="O2522" i="10"/>
  <c r="M2522" i="10"/>
  <c r="E2522" i="10"/>
  <c r="B2522" i="10"/>
  <c r="S2521" i="10"/>
  <c r="Q2521" i="10"/>
  <c r="P2521" i="10"/>
  <c r="O2521" i="10"/>
  <c r="M2521" i="10"/>
  <c r="E2521" i="10"/>
  <c r="B2521" i="10"/>
  <c r="S2520" i="10"/>
  <c r="Q2520" i="10"/>
  <c r="P2520" i="10"/>
  <c r="O2520" i="10"/>
  <c r="M2520" i="10"/>
  <c r="E2520" i="10"/>
  <c r="B2520" i="10"/>
  <c r="S2519" i="10"/>
  <c r="Q2519" i="10"/>
  <c r="P2519" i="10"/>
  <c r="O2519" i="10"/>
  <c r="M2519" i="10"/>
  <c r="E2519" i="10"/>
  <c r="B2519" i="10"/>
  <c r="S2518" i="10"/>
  <c r="Q2518" i="10"/>
  <c r="P2518" i="10"/>
  <c r="O2518" i="10"/>
  <c r="M2518" i="10"/>
  <c r="E2518" i="10"/>
  <c r="B2518" i="10"/>
  <c r="S2517" i="10"/>
  <c r="Q2517" i="10"/>
  <c r="P2517" i="10"/>
  <c r="O2517" i="10"/>
  <c r="M2517" i="10"/>
  <c r="E2517" i="10"/>
  <c r="B2517" i="10"/>
  <c r="S2516" i="10"/>
  <c r="Q2516" i="10"/>
  <c r="P2516" i="10"/>
  <c r="O2516" i="10"/>
  <c r="M2516" i="10"/>
  <c r="E2516" i="10"/>
  <c r="B2516" i="10"/>
  <c r="S2515" i="10"/>
  <c r="Q2515" i="10"/>
  <c r="P2515" i="10"/>
  <c r="O2515" i="10"/>
  <c r="M2515" i="10"/>
  <c r="B2515" i="10"/>
  <c r="S2514" i="10"/>
  <c r="Q2514" i="10"/>
  <c r="P2514" i="10"/>
  <c r="O2514" i="10"/>
  <c r="M2514" i="10"/>
  <c r="E2514" i="10"/>
  <c r="B2514" i="10"/>
  <c r="S2513" i="10"/>
  <c r="Q2513" i="10"/>
  <c r="P2513" i="10"/>
  <c r="O2513" i="10"/>
  <c r="M2513" i="10"/>
  <c r="E2513" i="10"/>
  <c r="B2513" i="10"/>
  <c r="S2512" i="10"/>
  <c r="Q2512" i="10"/>
  <c r="P2512" i="10"/>
  <c r="O2512" i="10"/>
  <c r="M2512" i="10"/>
  <c r="E2512" i="10"/>
  <c r="B2512" i="10"/>
  <c r="S2511" i="10"/>
  <c r="Q2511" i="10"/>
  <c r="P2511" i="10"/>
  <c r="O2511" i="10"/>
  <c r="M2511" i="10"/>
  <c r="E2511" i="10"/>
  <c r="B2511" i="10"/>
  <c r="S2510" i="10"/>
  <c r="Q2510" i="10"/>
  <c r="P2510" i="10"/>
  <c r="O2510" i="10"/>
  <c r="M2510" i="10"/>
  <c r="E2510" i="10"/>
  <c r="B2510" i="10"/>
  <c r="S2509" i="10"/>
  <c r="Q2509" i="10"/>
  <c r="P2509" i="10"/>
  <c r="O2509" i="10"/>
  <c r="M2509" i="10"/>
  <c r="E2509" i="10"/>
  <c r="B2509" i="10"/>
  <c r="S2508" i="10"/>
  <c r="Q2508" i="10"/>
  <c r="P2508" i="10"/>
  <c r="O2508" i="10"/>
  <c r="M2508" i="10"/>
  <c r="E2508" i="10"/>
  <c r="B2508" i="10"/>
  <c r="S2507" i="10"/>
  <c r="Q2507" i="10"/>
  <c r="P2507" i="10"/>
  <c r="O2507" i="10"/>
  <c r="M2507" i="10"/>
  <c r="E2507" i="10"/>
  <c r="B2507" i="10"/>
  <c r="S2506" i="10"/>
  <c r="Q2506" i="10"/>
  <c r="P2506" i="10"/>
  <c r="O2506" i="10"/>
  <c r="M2506" i="10"/>
  <c r="E2506" i="10"/>
  <c r="B2506" i="10"/>
  <c r="S2505" i="10"/>
  <c r="Q2505" i="10"/>
  <c r="P2505" i="10"/>
  <c r="O2505" i="10"/>
  <c r="M2505" i="10"/>
  <c r="E2505" i="10"/>
  <c r="B2505" i="10"/>
  <c r="S2504" i="10"/>
  <c r="Q2504" i="10"/>
  <c r="P2504" i="10"/>
  <c r="O2504" i="10"/>
  <c r="M2504" i="10"/>
  <c r="E2504" i="10"/>
  <c r="B2504" i="10"/>
  <c r="S2503" i="10"/>
  <c r="Q2503" i="10"/>
  <c r="P2503" i="10"/>
  <c r="O2503" i="10"/>
  <c r="M2503" i="10"/>
  <c r="E2503" i="10"/>
  <c r="B2503" i="10"/>
  <c r="S2502" i="10"/>
  <c r="Q2502" i="10"/>
  <c r="P2502" i="10"/>
  <c r="O2502" i="10"/>
  <c r="M2502" i="10"/>
  <c r="E2502" i="10"/>
  <c r="B2502" i="10"/>
  <c r="S2501" i="10"/>
  <c r="Q2501" i="10"/>
  <c r="P2501" i="10"/>
  <c r="O2501" i="10"/>
  <c r="M2501" i="10"/>
  <c r="E2501" i="10"/>
  <c r="B2501" i="10"/>
  <c r="S2500" i="10"/>
  <c r="Q2500" i="10"/>
  <c r="P2500" i="10"/>
  <c r="O2500" i="10"/>
  <c r="M2500" i="10"/>
  <c r="E2500" i="10"/>
  <c r="B2500" i="10"/>
  <c r="S2499" i="10"/>
  <c r="Q2499" i="10"/>
  <c r="P2499" i="10"/>
  <c r="O2499" i="10"/>
  <c r="M2499" i="10"/>
  <c r="E2499" i="10"/>
  <c r="B2499" i="10"/>
  <c r="S2498" i="10"/>
  <c r="Q2498" i="10"/>
  <c r="P2498" i="10"/>
  <c r="O2498" i="10"/>
  <c r="M2498" i="10"/>
  <c r="E2498" i="10"/>
  <c r="B2498" i="10"/>
  <c r="S2497" i="10"/>
  <c r="Q2497" i="10"/>
  <c r="P2497" i="10"/>
  <c r="O2497" i="10"/>
  <c r="M2497" i="10"/>
  <c r="E2497" i="10"/>
  <c r="B2497" i="10"/>
  <c r="S2496" i="10"/>
  <c r="Q2496" i="10"/>
  <c r="P2496" i="10"/>
  <c r="O2496" i="10"/>
  <c r="M2496" i="10"/>
  <c r="B2496" i="10"/>
  <c r="S2495" i="10"/>
  <c r="Q2495" i="10"/>
  <c r="P2495" i="10"/>
  <c r="O2495" i="10"/>
  <c r="M2495" i="10"/>
  <c r="E2495" i="10"/>
  <c r="B2495" i="10"/>
  <c r="S2494" i="10"/>
  <c r="Q2494" i="10"/>
  <c r="P2494" i="10"/>
  <c r="O2494" i="10"/>
  <c r="M2494" i="10"/>
  <c r="E2494" i="10"/>
  <c r="B2494" i="10"/>
  <c r="S2493" i="10"/>
  <c r="Q2493" i="10"/>
  <c r="P2493" i="10"/>
  <c r="O2493" i="10"/>
  <c r="M2493" i="10"/>
  <c r="E2493" i="10"/>
  <c r="B2493" i="10"/>
  <c r="S2492" i="10"/>
  <c r="Q2492" i="10"/>
  <c r="P2492" i="10"/>
  <c r="O2492" i="10"/>
  <c r="M2492" i="10"/>
  <c r="E2492" i="10"/>
  <c r="B2492" i="10"/>
  <c r="S2491" i="10"/>
  <c r="Q2491" i="10"/>
  <c r="P2491" i="10"/>
  <c r="O2491" i="10"/>
  <c r="M2491" i="10"/>
  <c r="E2491" i="10"/>
  <c r="B2491" i="10"/>
  <c r="S2490" i="10"/>
  <c r="Q2490" i="10"/>
  <c r="P2490" i="10"/>
  <c r="O2490" i="10"/>
  <c r="M2490" i="10"/>
  <c r="E2490" i="10"/>
  <c r="B2490" i="10"/>
  <c r="S2489" i="10"/>
  <c r="Q2489" i="10"/>
  <c r="P2489" i="10"/>
  <c r="O2489" i="10"/>
  <c r="M2489" i="10"/>
  <c r="E2489" i="10"/>
  <c r="B2489" i="10"/>
  <c r="S2488" i="10"/>
  <c r="Q2488" i="10"/>
  <c r="P2488" i="10"/>
  <c r="O2488" i="10"/>
  <c r="M2488" i="10"/>
  <c r="E2488" i="10"/>
  <c r="B2488" i="10"/>
  <c r="S2487" i="10"/>
  <c r="Q2487" i="10"/>
  <c r="P2487" i="10"/>
  <c r="O2487" i="10"/>
  <c r="M2487" i="10"/>
  <c r="E2487" i="10"/>
  <c r="B2487" i="10"/>
  <c r="S2486" i="10"/>
  <c r="Q2486" i="10"/>
  <c r="P2486" i="10"/>
  <c r="O2486" i="10"/>
  <c r="M2486" i="10"/>
  <c r="E2486" i="10"/>
  <c r="B2486" i="10"/>
  <c r="S2485" i="10"/>
  <c r="Q2485" i="10"/>
  <c r="P2485" i="10"/>
  <c r="O2485" i="10"/>
  <c r="M2485" i="10"/>
  <c r="E2485" i="10"/>
  <c r="B2485" i="10"/>
  <c r="S2484" i="10"/>
  <c r="Q2484" i="10"/>
  <c r="P2484" i="10"/>
  <c r="O2484" i="10"/>
  <c r="M2484" i="10"/>
  <c r="E2484" i="10"/>
  <c r="B2484" i="10"/>
  <c r="S2483" i="10"/>
  <c r="Q2483" i="10"/>
  <c r="P2483" i="10"/>
  <c r="O2483" i="10"/>
  <c r="M2483" i="10"/>
  <c r="E2483" i="10"/>
  <c r="B2483" i="10"/>
  <c r="S2482" i="10"/>
  <c r="Q2482" i="10"/>
  <c r="P2482" i="10"/>
  <c r="O2482" i="10"/>
  <c r="M2482" i="10"/>
  <c r="B2482" i="10"/>
  <c r="S2481" i="10"/>
  <c r="Q2481" i="10"/>
  <c r="P2481" i="10"/>
  <c r="O2481" i="10"/>
  <c r="M2481" i="10"/>
  <c r="E2481" i="10"/>
  <c r="B2481" i="10"/>
  <c r="S2480" i="10"/>
  <c r="Q2480" i="10"/>
  <c r="P2480" i="10"/>
  <c r="O2480" i="10"/>
  <c r="M2480" i="10"/>
  <c r="E2480" i="10"/>
  <c r="B2480" i="10"/>
  <c r="S2479" i="10"/>
  <c r="Q2479" i="10"/>
  <c r="P2479" i="10"/>
  <c r="O2479" i="10"/>
  <c r="M2479" i="10"/>
  <c r="B2479" i="10"/>
  <c r="S2478" i="10"/>
  <c r="Q2478" i="10"/>
  <c r="P2478" i="10"/>
  <c r="O2478" i="10"/>
  <c r="M2478" i="10"/>
  <c r="E2478" i="10"/>
  <c r="B2478" i="10"/>
  <c r="S2477" i="10"/>
  <c r="Q2477" i="10"/>
  <c r="P2477" i="10"/>
  <c r="O2477" i="10"/>
  <c r="M2477" i="10"/>
  <c r="E2477" i="10"/>
  <c r="B2477" i="10"/>
  <c r="S2476" i="10"/>
  <c r="Q2476" i="10"/>
  <c r="P2476" i="10"/>
  <c r="O2476" i="10"/>
  <c r="M2476" i="10"/>
  <c r="E2476" i="10"/>
  <c r="B2476" i="10"/>
  <c r="S2475" i="10"/>
  <c r="Q2475" i="10"/>
  <c r="P2475" i="10"/>
  <c r="O2475" i="10"/>
  <c r="M2475" i="10"/>
  <c r="E2475" i="10"/>
  <c r="B2475" i="10"/>
  <c r="S2474" i="10"/>
  <c r="Q2474" i="10"/>
  <c r="P2474" i="10"/>
  <c r="O2474" i="10"/>
  <c r="M2474" i="10"/>
  <c r="E2474" i="10"/>
  <c r="B2474" i="10"/>
  <c r="S2473" i="10"/>
  <c r="Q2473" i="10"/>
  <c r="P2473" i="10"/>
  <c r="O2473" i="10"/>
  <c r="M2473" i="10"/>
  <c r="E2473" i="10"/>
  <c r="B2473" i="10"/>
  <c r="S2472" i="10"/>
  <c r="Q2472" i="10"/>
  <c r="P2472" i="10"/>
  <c r="O2472" i="10"/>
  <c r="M2472" i="10"/>
  <c r="E2472" i="10"/>
  <c r="B2472" i="10"/>
  <c r="S2471" i="10"/>
  <c r="Q2471" i="10"/>
  <c r="P2471" i="10"/>
  <c r="O2471" i="10"/>
  <c r="M2471" i="10"/>
  <c r="E2471" i="10"/>
  <c r="B2471" i="10"/>
  <c r="S2470" i="10"/>
  <c r="Q2470" i="10"/>
  <c r="P2470" i="10"/>
  <c r="O2470" i="10"/>
  <c r="M2470" i="10"/>
  <c r="E2470" i="10"/>
  <c r="B2470" i="10"/>
  <c r="S2469" i="10"/>
  <c r="Q2469" i="10"/>
  <c r="P2469" i="10"/>
  <c r="O2469" i="10"/>
  <c r="M2469" i="10"/>
  <c r="E2469" i="10"/>
  <c r="B2469" i="10"/>
  <c r="S2468" i="10"/>
  <c r="Q2468" i="10"/>
  <c r="P2468" i="10"/>
  <c r="O2468" i="10"/>
  <c r="M2468" i="10"/>
  <c r="E2468" i="10"/>
  <c r="B2468" i="10"/>
  <c r="S2467" i="10"/>
  <c r="Q2467" i="10"/>
  <c r="P2467" i="10"/>
  <c r="O2467" i="10"/>
  <c r="M2467" i="10"/>
  <c r="E2467" i="10"/>
  <c r="B2467" i="10"/>
  <c r="S2466" i="10"/>
  <c r="Q2466" i="10"/>
  <c r="P2466" i="10"/>
  <c r="O2466" i="10"/>
  <c r="M2466" i="10"/>
  <c r="E2466" i="10"/>
  <c r="B2466" i="10"/>
  <c r="S2465" i="10"/>
  <c r="Q2465" i="10"/>
  <c r="P2465" i="10"/>
  <c r="O2465" i="10"/>
  <c r="M2465" i="10"/>
  <c r="E2465" i="10"/>
  <c r="B2465" i="10"/>
  <c r="S2464" i="10"/>
  <c r="Q2464" i="10"/>
  <c r="P2464" i="10"/>
  <c r="O2464" i="10"/>
  <c r="M2464" i="10"/>
  <c r="E2464" i="10"/>
  <c r="B2464" i="10"/>
  <c r="S2463" i="10"/>
  <c r="Q2463" i="10"/>
  <c r="P2463" i="10"/>
  <c r="O2463" i="10"/>
  <c r="M2463" i="10"/>
  <c r="E2463" i="10"/>
  <c r="B2463" i="10"/>
  <c r="S2462" i="10"/>
  <c r="Q2462" i="10"/>
  <c r="P2462" i="10"/>
  <c r="O2462" i="10"/>
  <c r="M2462" i="10"/>
  <c r="E2462" i="10"/>
  <c r="B2462" i="10"/>
  <c r="S2461" i="10"/>
  <c r="Q2461" i="10"/>
  <c r="P2461" i="10"/>
  <c r="O2461" i="10"/>
  <c r="M2461" i="10"/>
  <c r="E2461" i="10"/>
  <c r="B2461" i="10"/>
  <c r="S2460" i="10"/>
  <c r="Q2460" i="10"/>
  <c r="P2460" i="10"/>
  <c r="O2460" i="10"/>
  <c r="M2460" i="10"/>
  <c r="B2460" i="10"/>
  <c r="S2459" i="10"/>
  <c r="Q2459" i="10"/>
  <c r="P2459" i="10"/>
  <c r="O2459" i="10"/>
  <c r="M2459" i="10"/>
  <c r="E2459" i="10"/>
  <c r="B2459" i="10"/>
  <c r="S2458" i="10"/>
  <c r="Q2458" i="10"/>
  <c r="P2458" i="10"/>
  <c r="O2458" i="10"/>
  <c r="M2458" i="10"/>
  <c r="E2458" i="10"/>
  <c r="B2458" i="10"/>
  <c r="S2457" i="10"/>
  <c r="Q2457" i="10"/>
  <c r="P2457" i="10"/>
  <c r="O2457" i="10"/>
  <c r="M2457" i="10"/>
  <c r="B2457" i="10"/>
  <c r="S2456" i="10"/>
  <c r="Q2456" i="10"/>
  <c r="P2456" i="10"/>
  <c r="O2456" i="10"/>
  <c r="M2456" i="10"/>
  <c r="E2456" i="10"/>
  <c r="B2456" i="10"/>
  <c r="S2455" i="10"/>
  <c r="Q2455" i="10"/>
  <c r="P2455" i="10"/>
  <c r="O2455" i="10"/>
  <c r="M2455" i="10"/>
  <c r="E2455" i="10"/>
  <c r="B2455" i="10"/>
  <c r="S2454" i="10"/>
  <c r="Q2454" i="10"/>
  <c r="P2454" i="10"/>
  <c r="O2454" i="10"/>
  <c r="M2454" i="10"/>
  <c r="E2454" i="10"/>
  <c r="B2454" i="10"/>
  <c r="S2453" i="10"/>
  <c r="Q2453" i="10"/>
  <c r="P2453" i="10"/>
  <c r="O2453" i="10"/>
  <c r="M2453" i="10"/>
  <c r="E2453" i="10"/>
  <c r="B2453" i="10"/>
  <c r="S2452" i="10"/>
  <c r="Q2452" i="10"/>
  <c r="P2452" i="10"/>
  <c r="O2452" i="10"/>
  <c r="M2452" i="10"/>
  <c r="E2452" i="10"/>
  <c r="B2452" i="10"/>
  <c r="S2451" i="10"/>
  <c r="Q2451" i="10"/>
  <c r="P2451" i="10"/>
  <c r="O2451" i="10"/>
  <c r="M2451" i="10"/>
  <c r="E2451" i="10"/>
  <c r="B2451" i="10"/>
  <c r="S2450" i="10"/>
  <c r="Q2450" i="10"/>
  <c r="P2450" i="10"/>
  <c r="O2450" i="10"/>
  <c r="M2450" i="10"/>
  <c r="E2450" i="10"/>
  <c r="B2450" i="10"/>
  <c r="S2449" i="10"/>
  <c r="Q2449" i="10"/>
  <c r="P2449" i="10"/>
  <c r="O2449" i="10"/>
  <c r="M2449" i="10"/>
  <c r="E2449" i="10"/>
  <c r="B2449" i="10"/>
  <c r="S2448" i="10"/>
  <c r="Q2448" i="10"/>
  <c r="P2448" i="10"/>
  <c r="O2448" i="10"/>
  <c r="M2448" i="10"/>
  <c r="E2448" i="10"/>
  <c r="B2448" i="10"/>
  <c r="S2447" i="10"/>
  <c r="Q2447" i="10"/>
  <c r="P2447" i="10"/>
  <c r="O2447" i="10"/>
  <c r="M2447" i="10"/>
  <c r="E2447" i="10"/>
  <c r="B2447" i="10"/>
  <c r="S2446" i="10"/>
  <c r="Q2446" i="10"/>
  <c r="P2446" i="10"/>
  <c r="O2446" i="10"/>
  <c r="M2446" i="10"/>
  <c r="E2446" i="10"/>
  <c r="B2446" i="10"/>
  <c r="S2445" i="10"/>
  <c r="Q2445" i="10"/>
  <c r="P2445" i="10"/>
  <c r="O2445" i="10"/>
  <c r="M2445" i="10"/>
  <c r="E2445" i="10"/>
  <c r="B2445" i="10"/>
  <c r="S2444" i="10"/>
  <c r="Q2444" i="10"/>
  <c r="P2444" i="10"/>
  <c r="O2444" i="10"/>
  <c r="M2444" i="10"/>
  <c r="B2444" i="10"/>
  <c r="S2443" i="10"/>
  <c r="Q2443" i="10"/>
  <c r="P2443" i="10"/>
  <c r="O2443" i="10"/>
  <c r="M2443" i="10"/>
  <c r="E2443" i="10"/>
  <c r="B2443" i="10"/>
  <c r="S2442" i="10"/>
  <c r="Q2442" i="10"/>
  <c r="P2442" i="10"/>
  <c r="O2442" i="10"/>
  <c r="M2442" i="10"/>
  <c r="E2442" i="10"/>
  <c r="B2442" i="10"/>
  <c r="S2441" i="10"/>
  <c r="Q2441" i="10"/>
  <c r="P2441" i="10"/>
  <c r="O2441" i="10"/>
  <c r="M2441" i="10"/>
  <c r="E2441" i="10"/>
  <c r="B2441" i="10"/>
  <c r="S2440" i="10"/>
  <c r="Q2440" i="10"/>
  <c r="P2440" i="10"/>
  <c r="O2440" i="10"/>
  <c r="M2440" i="10"/>
  <c r="E2440" i="10"/>
  <c r="B2440" i="10"/>
  <c r="S2439" i="10"/>
  <c r="Q2439" i="10"/>
  <c r="P2439" i="10"/>
  <c r="O2439" i="10"/>
  <c r="M2439" i="10"/>
  <c r="E2439" i="10"/>
  <c r="B2439" i="10"/>
  <c r="S2438" i="10"/>
  <c r="Q2438" i="10"/>
  <c r="P2438" i="10"/>
  <c r="O2438" i="10"/>
  <c r="M2438" i="10"/>
  <c r="E2438" i="10"/>
  <c r="B2438" i="10"/>
  <c r="S2437" i="10"/>
  <c r="Q2437" i="10"/>
  <c r="P2437" i="10"/>
  <c r="O2437" i="10"/>
  <c r="M2437" i="10"/>
  <c r="E2437" i="10"/>
  <c r="B2437" i="10"/>
  <c r="S2436" i="10"/>
  <c r="Q2436" i="10"/>
  <c r="P2436" i="10"/>
  <c r="O2436" i="10"/>
  <c r="M2436" i="10"/>
  <c r="B2436" i="10"/>
  <c r="S2435" i="10"/>
  <c r="Q2435" i="10"/>
  <c r="P2435" i="10"/>
  <c r="O2435" i="10"/>
  <c r="M2435" i="10"/>
  <c r="B2435" i="10"/>
  <c r="S2434" i="10"/>
  <c r="Q2434" i="10"/>
  <c r="P2434" i="10"/>
  <c r="O2434" i="10"/>
  <c r="M2434" i="10"/>
  <c r="E2434" i="10"/>
  <c r="B2434" i="10"/>
  <c r="S2433" i="10"/>
  <c r="Q2433" i="10"/>
  <c r="P2433" i="10"/>
  <c r="O2433" i="10"/>
  <c r="M2433" i="10"/>
  <c r="E2433" i="10"/>
  <c r="B2433" i="10"/>
  <c r="S2432" i="10"/>
  <c r="Q2432" i="10"/>
  <c r="P2432" i="10"/>
  <c r="O2432" i="10"/>
  <c r="M2432" i="10"/>
  <c r="E2432" i="10"/>
  <c r="B2432" i="10"/>
  <c r="S2431" i="10"/>
  <c r="Q2431" i="10"/>
  <c r="P2431" i="10"/>
  <c r="O2431" i="10"/>
  <c r="M2431" i="10"/>
  <c r="E2431" i="10"/>
  <c r="B2431" i="10"/>
  <c r="S2430" i="10"/>
  <c r="Q2430" i="10"/>
  <c r="P2430" i="10"/>
  <c r="O2430" i="10"/>
  <c r="M2430" i="10"/>
  <c r="E2430" i="10"/>
  <c r="B2430" i="10"/>
  <c r="S2429" i="10"/>
  <c r="Q2429" i="10"/>
  <c r="P2429" i="10"/>
  <c r="O2429" i="10"/>
  <c r="M2429" i="10"/>
  <c r="E2429" i="10"/>
  <c r="B2429" i="10"/>
  <c r="S2428" i="10"/>
  <c r="Q2428" i="10"/>
  <c r="P2428" i="10"/>
  <c r="O2428" i="10"/>
  <c r="M2428" i="10"/>
  <c r="E2428" i="10"/>
  <c r="B2428" i="10"/>
  <c r="S2427" i="10"/>
  <c r="Q2427" i="10"/>
  <c r="P2427" i="10"/>
  <c r="O2427" i="10"/>
  <c r="M2427" i="10"/>
  <c r="E2427" i="10"/>
  <c r="B2427" i="10"/>
  <c r="S2426" i="10"/>
  <c r="Q2426" i="10"/>
  <c r="P2426" i="10"/>
  <c r="O2426" i="10"/>
  <c r="M2426" i="10"/>
  <c r="E2426" i="10"/>
  <c r="B2426" i="10"/>
  <c r="S2425" i="10"/>
  <c r="Q2425" i="10"/>
  <c r="P2425" i="10"/>
  <c r="O2425" i="10"/>
  <c r="M2425" i="10"/>
  <c r="E2425" i="10"/>
  <c r="B2425" i="10"/>
  <c r="S2424" i="10"/>
  <c r="Q2424" i="10"/>
  <c r="P2424" i="10"/>
  <c r="O2424" i="10"/>
  <c r="M2424" i="10"/>
  <c r="E2424" i="10"/>
  <c r="B2424" i="10"/>
  <c r="S2423" i="10"/>
  <c r="Q2423" i="10"/>
  <c r="P2423" i="10"/>
  <c r="O2423" i="10"/>
  <c r="M2423" i="10"/>
  <c r="E2423" i="10"/>
  <c r="B2423" i="10"/>
  <c r="S2422" i="10"/>
  <c r="Q2422" i="10"/>
  <c r="P2422" i="10"/>
  <c r="O2422" i="10"/>
  <c r="M2422" i="10"/>
  <c r="E2422" i="10"/>
  <c r="B2422" i="10"/>
  <c r="S2421" i="10"/>
  <c r="Q2421" i="10"/>
  <c r="P2421" i="10"/>
  <c r="O2421" i="10"/>
  <c r="M2421" i="10"/>
  <c r="E2421" i="10"/>
  <c r="B2421" i="10"/>
  <c r="S2420" i="10"/>
  <c r="Q2420" i="10"/>
  <c r="P2420" i="10"/>
  <c r="O2420" i="10"/>
  <c r="M2420" i="10"/>
  <c r="E2420" i="10"/>
  <c r="B2420" i="10"/>
  <c r="S2419" i="10"/>
  <c r="Q2419" i="10"/>
  <c r="P2419" i="10"/>
  <c r="O2419" i="10"/>
  <c r="M2419" i="10"/>
  <c r="E2419" i="10"/>
  <c r="B2419" i="10"/>
  <c r="S2418" i="10"/>
  <c r="Q2418" i="10"/>
  <c r="P2418" i="10"/>
  <c r="O2418" i="10"/>
  <c r="M2418" i="10"/>
  <c r="E2418" i="10"/>
  <c r="B2418" i="10"/>
  <c r="S2417" i="10"/>
  <c r="Q2417" i="10"/>
  <c r="P2417" i="10"/>
  <c r="O2417" i="10"/>
  <c r="M2417" i="10"/>
  <c r="E2417" i="10"/>
  <c r="B2417" i="10"/>
  <c r="S2416" i="10"/>
  <c r="Q2416" i="10"/>
  <c r="P2416" i="10"/>
  <c r="O2416" i="10"/>
  <c r="M2416" i="10"/>
  <c r="E2416" i="10"/>
  <c r="B2416" i="10"/>
  <c r="S2415" i="10"/>
  <c r="Q2415" i="10"/>
  <c r="P2415" i="10"/>
  <c r="O2415" i="10"/>
  <c r="M2415" i="10"/>
  <c r="E2415" i="10"/>
  <c r="B2415" i="10"/>
  <c r="S2414" i="10"/>
  <c r="Q2414" i="10"/>
  <c r="P2414" i="10"/>
  <c r="O2414" i="10"/>
  <c r="M2414" i="10"/>
  <c r="E2414" i="10"/>
  <c r="B2414" i="10"/>
  <c r="S2413" i="10"/>
  <c r="Q2413" i="10"/>
  <c r="P2413" i="10"/>
  <c r="O2413" i="10"/>
  <c r="M2413" i="10"/>
  <c r="E2413" i="10"/>
  <c r="B2413" i="10"/>
  <c r="S2412" i="10"/>
  <c r="Q2412" i="10"/>
  <c r="P2412" i="10"/>
  <c r="O2412" i="10"/>
  <c r="M2412" i="10"/>
  <c r="E2412" i="10"/>
  <c r="B2412" i="10"/>
  <c r="S2411" i="10"/>
  <c r="Q2411" i="10"/>
  <c r="P2411" i="10"/>
  <c r="O2411" i="10"/>
  <c r="M2411" i="10"/>
  <c r="E2411" i="10"/>
  <c r="B2411" i="10"/>
  <c r="S2410" i="10"/>
  <c r="Q2410" i="10"/>
  <c r="P2410" i="10"/>
  <c r="O2410" i="10"/>
  <c r="M2410" i="10"/>
  <c r="B2410" i="10"/>
  <c r="S2409" i="10"/>
  <c r="Q2409" i="10"/>
  <c r="P2409" i="10"/>
  <c r="O2409" i="10"/>
  <c r="M2409" i="10"/>
  <c r="E2409" i="10"/>
  <c r="B2409" i="10"/>
  <c r="S2408" i="10"/>
  <c r="Q2408" i="10"/>
  <c r="P2408" i="10"/>
  <c r="O2408" i="10"/>
  <c r="M2408" i="10"/>
  <c r="B2408" i="10"/>
  <c r="S2407" i="10"/>
  <c r="Q2407" i="10"/>
  <c r="P2407" i="10"/>
  <c r="O2407" i="10"/>
  <c r="M2407" i="10"/>
  <c r="E2407" i="10"/>
  <c r="B2407" i="10"/>
  <c r="S2406" i="10"/>
  <c r="Q2406" i="10"/>
  <c r="P2406" i="10"/>
  <c r="O2406" i="10"/>
  <c r="M2406" i="10"/>
  <c r="E2406" i="10"/>
  <c r="B2406" i="10"/>
  <c r="S2405" i="10"/>
  <c r="Q2405" i="10"/>
  <c r="P2405" i="10"/>
  <c r="O2405" i="10"/>
  <c r="M2405" i="10"/>
  <c r="E2405" i="10"/>
  <c r="B2405" i="10"/>
  <c r="S2404" i="10"/>
  <c r="Q2404" i="10"/>
  <c r="P2404" i="10"/>
  <c r="O2404" i="10"/>
  <c r="M2404" i="10"/>
  <c r="E2404" i="10"/>
  <c r="B2404" i="10"/>
  <c r="S2403" i="10"/>
  <c r="Q2403" i="10"/>
  <c r="P2403" i="10"/>
  <c r="O2403" i="10"/>
  <c r="M2403" i="10"/>
  <c r="E2403" i="10"/>
  <c r="B2403" i="10"/>
  <c r="S2402" i="10"/>
  <c r="Q2402" i="10"/>
  <c r="P2402" i="10"/>
  <c r="O2402" i="10"/>
  <c r="M2402" i="10"/>
  <c r="E2402" i="10"/>
  <c r="B2402" i="10"/>
  <c r="S2401" i="10"/>
  <c r="Q2401" i="10"/>
  <c r="P2401" i="10"/>
  <c r="O2401" i="10"/>
  <c r="M2401" i="10"/>
  <c r="E2401" i="10"/>
  <c r="B2401" i="10"/>
  <c r="S2400" i="10"/>
  <c r="Q2400" i="10"/>
  <c r="P2400" i="10"/>
  <c r="O2400" i="10"/>
  <c r="M2400" i="10"/>
  <c r="E2400" i="10"/>
  <c r="B2400" i="10"/>
  <c r="S2399" i="10"/>
  <c r="Q2399" i="10"/>
  <c r="P2399" i="10"/>
  <c r="O2399" i="10"/>
  <c r="M2399" i="10"/>
  <c r="E2399" i="10"/>
  <c r="B2399" i="10"/>
  <c r="S2398" i="10"/>
  <c r="Q2398" i="10"/>
  <c r="P2398" i="10"/>
  <c r="O2398" i="10"/>
  <c r="M2398" i="10"/>
  <c r="E2398" i="10"/>
  <c r="B2398" i="10"/>
  <c r="S2397" i="10"/>
  <c r="Q2397" i="10"/>
  <c r="P2397" i="10"/>
  <c r="O2397" i="10"/>
  <c r="M2397" i="10"/>
  <c r="E2397" i="10"/>
  <c r="B2397" i="10"/>
  <c r="S2396" i="10"/>
  <c r="Q2396" i="10"/>
  <c r="P2396" i="10"/>
  <c r="O2396" i="10"/>
  <c r="M2396" i="10"/>
  <c r="E2396" i="10"/>
  <c r="B2396" i="10"/>
  <c r="S2395" i="10"/>
  <c r="Q2395" i="10"/>
  <c r="P2395" i="10"/>
  <c r="O2395" i="10"/>
  <c r="M2395" i="10"/>
  <c r="E2395" i="10"/>
  <c r="B2395" i="10"/>
  <c r="S2394" i="10"/>
  <c r="Q2394" i="10"/>
  <c r="P2394" i="10"/>
  <c r="O2394" i="10"/>
  <c r="M2394" i="10"/>
  <c r="E2394" i="10"/>
  <c r="B2394" i="10"/>
  <c r="S2393" i="10"/>
  <c r="Q2393" i="10"/>
  <c r="P2393" i="10"/>
  <c r="O2393" i="10"/>
  <c r="M2393" i="10"/>
  <c r="E2393" i="10"/>
  <c r="B2393" i="10"/>
  <c r="S2392" i="10"/>
  <c r="Q2392" i="10"/>
  <c r="P2392" i="10"/>
  <c r="O2392" i="10"/>
  <c r="M2392" i="10"/>
  <c r="E2392" i="10"/>
  <c r="B2392" i="10"/>
  <c r="S2391" i="10"/>
  <c r="Q2391" i="10"/>
  <c r="P2391" i="10"/>
  <c r="O2391" i="10"/>
  <c r="M2391" i="10"/>
  <c r="E2391" i="10"/>
  <c r="B2391" i="10"/>
  <c r="S2390" i="10"/>
  <c r="Q2390" i="10"/>
  <c r="P2390" i="10"/>
  <c r="O2390" i="10"/>
  <c r="M2390" i="10"/>
  <c r="E2390" i="10"/>
  <c r="B2390" i="10"/>
  <c r="S2389" i="10"/>
  <c r="Q2389" i="10"/>
  <c r="P2389" i="10"/>
  <c r="O2389" i="10"/>
  <c r="M2389" i="10"/>
  <c r="E2389" i="10"/>
  <c r="B2389" i="10"/>
  <c r="S2388" i="10"/>
  <c r="Q2388" i="10"/>
  <c r="P2388" i="10"/>
  <c r="O2388" i="10"/>
  <c r="M2388" i="10"/>
  <c r="E2388" i="10"/>
  <c r="B2388" i="10"/>
  <c r="S2387" i="10"/>
  <c r="Q2387" i="10"/>
  <c r="P2387" i="10"/>
  <c r="O2387" i="10"/>
  <c r="M2387" i="10"/>
  <c r="E2387" i="10"/>
  <c r="B2387" i="10"/>
  <c r="S2386" i="10"/>
  <c r="Q2386" i="10"/>
  <c r="P2386" i="10"/>
  <c r="O2386" i="10"/>
  <c r="M2386" i="10"/>
  <c r="E2386" i="10"/>
  <c r="B2386" i="10"/>
  <c r="S2385" i="10"/>
  <c r="Q2385" i="10"/>
  <c r="P2385" i="10"/>
  <c r="O2385" i="10"/>
  <c r="M2385" i="10"/>
  <c r="B2385" i="10"/>
  <c r="S2384" i="10"/>
  <c r="Q2384" i="10"/>
  <c r="P2384" i="10"/>
  <c r="O2384" i="10"/>
  <c r="M2384" i="10"/>
  <c r="B2384" i="10"/>
  <c r="S2383" i="10"/>
  <c r="Q2383" i="10"/>
  <c r="P2383" i="10"/>
  <c r="O2383" i="10"/>
  <c r="M2383" i="10"/>
  <c r="B2383" i="10"/>
  <c r="S2382" i="10"/>
  <c r="Q2382" i="10"/>
  <c r="P2382" i="10"/>
  <c r="O2382" i="10"/>
  <c r="M2382" i="10"/>
  <c r="E2382" i="10"/>
  <c r="B2382" i="10"/>
  <c r="S2381" i="10"/>
  <c r="Q2381" i="10"/>
  <c r="P2381" i="10"/>
  <c r="O2381" i="10"/>
  <c r="M2381" i="10"/>
  <c r="E2381" i="10"/>
  <c r="B2381" i="10"/>
  <c r="S2380" i="10"/>
  <c r="Q2380" i="10"/>
  <c r="P2380" i="10"/>
  <c r="O2380" i="10"/>
  <c r="M2380" i="10"/>
  <c r="B2380" i="10"/>
  <c r="S2379" i="10"/>
  <c r="Q2379" i="10"/>
  <c r="P2379" i="10"/>
  <c r="O2379" i="10"/>
  <c r="M2379" i="10"/>
  <c r="B2379" i="10"/>
  <c r="S2378" i="10"/>
  <c r="Q2378" i="10"/>
  <c r="P2378" i="10"/>
  <c r="O2378" i="10"/>
  <c r="M2378" i="10"/>
  <c r="E2378" i="10"/>
  <c r="B2378" i="10"/>
  <c r="S2377" i="10"/>
  <c r="Q2377" i="10"/>
  <c r="P2377" i="10"/>
  <c r="O2377" i="10"/>
  <c r="M2377" i="10"/>
  <c r="E2377" i="10"/>
  <c r="B2377" i="10"/>
  <c r="S2376" i="10"/>
  <c r="Q2376" i="10"/>
  <c r="P2376" i="10"/>
  <c r="O2376" i="10"/>
  <c r="M2376" i="10"/>
  <c r="E2376" i="10"/>
  <c r="B2376" i="10"/>
  <c r="S2375" i="10"/>
  <c r="Q2375" i="10"/>
  <c r="P2375" i="10"/>
  <c r="O2375" i="10"/>
  <c r="M2375" i="10"/>
  <c r="E2375" i="10"/>
  <c r="B2375" i="10"/>
  <c r="S2374" i="10"/>
  <c r="Q2374" i="10"/>
  <c r="P2374" i="10"/>
  <c r="O2374" i="10"/>
  <c r="M2374" i="10"/>
  <c r="E2374" i="10"/>
  <c r="B2374" i="10"/>
  <c r="S2373" i="10"/>
  <c r="Q2373" i="10"/>
  <c r="P2373" i="10"/>
  <c r="O2373" i="10"/>
  <c r="M2373" i="10"/>
  <c r="E2373" i="10"/>
  <c r="B2373" i="10"/>
  <c r="S2372" i="10"/>
  <c r="Q2372" i="10"/>
  <c r="P2372" i="10"/>
  <c r="O2372" i="10"/>
  <c r="M2372" i="10"/>
  <c r="E2372" i="10"/>
  <c r="B2372" i="10"/>
  <c r="S2371" i="10"/>
  <c r="Q2371" i="10"/>
  <c r="P2371" i="10"/>
  <c r="O2371" i="10"/>
  <c r="M2371" i="10"/>
  <c r="E2371" i="10"/>
  <c r="B2371" i="10"/>
  <c r="S2370" i="10"/>
  <c r="Q2370" i="10"/>
  <c r="P2370" i="10"/>
  <c r="O2370" i="10"/>
  <c r="M2370" i="10"/>
  <c r="E2370" i="10"/>
  <c r="B2370" i="10"/>
  <c r="S2369" i="10"/>
  <c r="Q2369" i="10"/>
  <c r="P2369" i="10"/>
  <c r="O2369" i="10"/>
  <c r="M2369" i="10"/>
  <c r="E2369" i="10"/>
  <c r="B2369" i="10"/>
  <c r="S2368" i="10"/>
  <c r="Q2368" i="10"/>
  <c r="P2368" i="10"/>
  <c r="O2368" i="10"/>
  <c r="M2368" i="10"/>
  <c r="E2368" i="10"/>
  <c r="B2368" i="10"/>
  <c r="S2367" i="10"/>
  <c r="Q2367" i="10"/>
  <c r="P2367" i="10"/>
  <c r="O2367" i="10"/>
  <c r="M2367" i="10"/>
  <c r="E2367" i="10"/>
  <c r="B2367" i="10"/>
  <c r="S2366" i="10"/>
  <c r="Q2366" i="10"/>
  <c r="P2366" i="10"/>
  <c r="O2366" i="10"/>
  <c r="M2366" i="10"/>
  <c r="E2366" i="10"/>
  <c r="B2366" i="10"/>
  <c r="S2365" i="10"/>
  <c r="Q2365" i="10"/>
  <c r="P2365" i="10"/>
  <c r="O2365" i="10"/>
  <c r="M2365" i="10"/>
  <c r="B2365" i="10"/>
  <c r="S2364" i="10"/>
  <c r="Q2364" i="10"/>
  <c r="P2364" i="10"/>
  <c r="O2364" i="10"/>
  <c r="M2364" i="10"/>
  <c r="E2364" i="10"/>
  <c r="B2364" i="10"/>
  <c r="S2363" i="10"/>
  <c r="Q2363" i="10"/>
  <c r="P2363" i="10"/>
  <c r="O2363" i="10"/>
  <c r="M2363" i="10"/>
  <c r="E2363" i="10"/>
  <c r="B2363" i="10"/>
  <c r="S2362" i="10"/>
  <c r="Q2362" i="10"/>
  <c r="P2362" i="10"/>
  <c r="O2362" i="10"/>
  <c r="M2362" i="10"/>
  <c r="E2362" i="10"/>
  <c r="B2362" i="10"/>
  <c r="S2361" i="10"/>
  <c r="Q2361" i="10"/>
  <c r="P2361" i="10"/>
  <c r="O2361" i="10"/>
  <c r="M2361" i="10"/>
  <c r="E2361" i="10"/>
  <c r="B2361" i="10"/>
  <c r="S2360" i="10"/>
  <c r="Q2360" i="10"/>
  <c r="P2360" i="10"/>
  <c r="O2360" i="10"/>
  <c r="M2360" i="10"/>
  <c r="E2360" i="10"/>
  <c r="B2360" i="10"/>
  <c r="S2359" i="10"/>
  <c r="Q2359" i="10"/>
  <c r="P2359" i="10"/>
  <c r="O2359" i="10"/>
  <c r="M2359" i="10"/>
  <c r="E2359" i="10"/>
  <c r="B2359" i="10"/>
  <c r="S2358" i="10"/>
  <c r="Q2358" i="10"/>
  <c r="P2358" i="10"/>
  <c r="O2358" i="10"/>
  <c r="M2358" i="10"/>
  <c r="E2358" i="10"/>
  <c r="B2358" i="10"/>
  <c r="S2357" i="10"/>
  <c r="Q2357" i="10"/>
  <c r="P2357" i="10"/>
  <c r="O2357" i="10"/>
  <c r="M2357" i="10"/>
  <c r="E2357" i="10"/>
  <c r="B2357" i="10"/>
  <c r="S2356" i="10"/>
  <c r="Q2356" i="10"/>
  <c r="P2356" i="10"/>
  <c r="O2356" i="10"/>
  <c r="M2356" i="10"/>
  <c r="E2356" i="10"/>
  <c r="B2356" i="10"/>
  <c r="S2355" i="10"/>
  <c r="Q2355" i="10"/>
  <c r="P2355" i="10"/>
  <c r="O2355" i="10"/>
  <c r="M2355" i="10"/>
  <c r="E2355" i="10"/>
  <c r="B2355" i="10"/>
  <c r="S2354" i="10"/>
  <c r="Q2354" i="10"/>
  <c r="P2354" i="10"/>
  <c r="O2354" i="10"/>
  <c r="M2354" i="10"/>
  <c r="E2354" i="10"/>
  <c r="B2354" i="10"/>
  <c r="S2353" i="10"/>
  <c r="Q2353" i="10"/>
  <c r="P2353" i="10"/>
  <c r="O2353" i="10"/>
  <c r="M2353" i="10"/>
  <c r="E2353" i="10"/>
  <c r="B2353" i="10"/>
  <c r="S2352" i="10"/>
  <c r="Q2352" i="10"/>
  <c r="P2352" i="10"/>
  <c r="O2352" i="10"/>
  <c r="M2352" i="10"/>
  <c r="B2352" i="10"/>
  <c r="S2351" i="10"/>
  <c r="Q2351" i="10"/>
  <c r="P2351" i="10"/>
  <c r="O2351" i="10"/>
  <c r="M2351" i="10"/>
  <c r="E2351" i="10"/>
  <c r="B2351" i="10"/>
  <c r="S2350" i="10"/>
  <c r="Q2350" i="10"/>
  <c r="P2350" i="10"/>
  <c r="O2350" i="10"/>
  <c r="M2350" i="10"/>
  <c r="E2350" i="10"/>
  <c r="B2350" i="10"/>
  <c r="S2349" i="10"/>
  <c r="Q2349" i="10"/>
  <c r="P2349" i="10"/>
  <c r="O2349" i="10"/>
  <c r="M2349" i="10"/>
  <c r="E2349" i="10"/>
  <c r="B2349" i="10"/>
  <c r="S2348" i="10"/>
  <c r="Q2348" i="10"/>
  <c r="P2348" i="10"/>
  <c r="O2348" i="10"/>
  <c r="M2348" i="10"/>
  <c r="B2348" i="10"/>
  <c r="S2347" i="10"/>
  <c r="Q2347" i="10"/>
  <c r="P2347" i="10"/>
  <c r="O2347" i="10"/>
  <c r="M2347" i="10"/>
  <c r="E2347" i="10"/>
  <c r="B2347" i="10"/>
  <c r="S2346" i="10"/>
  <c r="Q2346" i="10"/>
  <c r="P2346" i="10"/>
  <c r="O2346" i="10"/>
  <c r="M2346" i="10"/>
  <c r="E2346" i="10"/>
  <c r="B2346" i="10"/>
  <c r="S2345" i="10"/>
  <c r="Q2345" i="10"/>
  <c r="P2345" i="10"/>
  <c r="O2345" i="10"/>
  <c r="M2345" i="10"/>
  <c r="E2345" i="10"/>
  <c r="B2345" i="10"/>
  <c r="S2344" i="10"/>
  <c r="Q2344" i="10"/>
  <c r="P2344" i="10"/>
  <c r="O2344" i="10"/>
  <c r="M2344" i="10"/>
  <c r="E2344" i="10"/>
  <c r="B2344" i="10"/>
  <c r="S2343" i="10"/>
  <c r="Q2343" i="10"/>
  <c r="P2343" i="10"/>
  <c r="O2343" i="10"/>
  <c r="M2343" i="10"/>
  <c r="E2343" i="10"/>
  <c r="B2343" i="10"/>
  <c r="S2342" i="10"/>
  <c r="Q2342" i="10"/>
  <c r="P2342" i="10"/>
  <c r="O2342" i="10"/>
  <c r="M2342" i="10"/>
  <c r="E2342" i="10"/>
  <c r="B2342" i="10"/>
  <c r="S2341" i="10"/>
  <c r="Q2341" i="10"/>
  <c r="P2341" i="10"/>
  <c r="O2341" i="10"/>
  <c r="M2341" i="10"/>
  <c r="E2341" i="10"/>
  <c r="B2341" i="10"/>
  <c r="S2340" i="10"/>
  <c r="Q2340" i="10"/>
  <c r="P2340" i="10"/>
  <c r="O2340" i="10"/>
  <c r="M2340" i="10"/>
  <c r="E2340" i="10"/>
  <c r="B2340" i="10"/>
  <c r="S2339" i="10"/>
  <c r="Q2339" i="10"/>
  <c r="P2339" i="10"/>
  <c r="O2339" i="10"/>
  <c r="M2339" i="10"/>
  <c r="E2339" i="10"/>
  <c r="B2339" i="10"/>
  <c r="S2338" i="10"/>
  <c r="Q2338" i="10"/>
  <c r="P2338" i="10"/>
  <c r="O2338" i="10"/>
  <c r="M2338" i="10"/>
  <c r="E2338" i="10"/>
  <c r="B2338" i="10"/>
  <c r="S2337" i="10"/>
  <c r="Q2337" i="10"/>
  <c r="P2337" i="10"/>
  <c r="O2337" i="10"/>
  <c r="M2337" i="10"/>
  <c r="B2337" i="10"/>
  <c r="S2336" i="10"/>
  <c r="Q2336" i="10"/>
  <c r="P2336" i="10"/>
  <c r="O2336" i="10"/>
  <c r="M2336" i="10"/>
  <c r="E2336" i="10"/>
  <c r="B2336" i="10"/>
  <c r="S2335" i="10"/>
  <c r="Q2335" i="10"/>
  <c r="P2335" i="10"/>
  <c r="O2335" i="10"/>
  <c r="M2335" i="10"/>
  <c r="B2335" i="10"/>
  <c r="S2334" i="10"/>
  <c r="Q2334" i="10"/>
  <c r="P2334" i="10"/>
  <c r="O2334" i="10"/>
  <c r="M2334" i="10"/>
  <c r="E2334" i="10"/>
  <c r="B2334" i="10"/>
  <c r="S2333" i="10"/>
  <c r="Q2333" i="10"/>
  <c r="P2333" i="10"/>
  <c r="O2333" i="10"/>
  <c r="M2333" i="10"/>
  <c r="E2333" i="10"/>
  <c r="B2333" i="10"/>
  <c r="S2332" i="10"/>
  <c r="Q2332" i="10"/>
  <c r="P2332" i="10"/>
  <c r="O2332" i="10"/>
  <c r="M2332" i="10"/>
  <c r="E2332" i="10"/>
  <c r="B2332" i="10"/>
  <c r="S2331" i="10"/>
  <c r="Q2331" i="10"/>
  <c r="P2331" i="10"/>
  <c r="O2331" i="10"/>
  <c r="M2331" i="10"/>
  <c r="E2331" i="10"/>
  <c r="B2331" i="10"/>
  <c r="S2330" i="10"/>
  <c r="Q2330" i="10"/>
  <c r="P2330" i="10"/>
  <c r="O2330" i="10"/>
  <c r="M2330" i="10"/>
  <c r="E2330" i="10"/>
  <c r="B2330" i="10"/>
  <c r="S2329" i="10"/>
  <c r="Q2329" i="10"/>
  <c r="P2329" i="10"/>
  <c r="O2329" i="10"/>
  <c r="M2329" i="10"/>
  <c r="E2329" i="10"/>
  <c r="B2329" i="10"/>
  <c r="S2328" i="10"/>
  <c r="Q2328" i="10"/>
  <c r="P2328" i="10"/>
  <c r="O2328" i="10"/>
  <c r="M2328" i="10"/>
  <c r="E2328" i="10"/>
  <c r="B2328" i="10"/>
  <c r="S2327" i="10"/>
  <c r="Q2327" i="10"/>
  <c r="P2327" i="10"/>
  <c r="O2327" i="10"/>
  <c r="M2327" i="10"/>
  <c r="E2327" i="10"/>
  <c r="B2327" i="10"/>
  <c r="S2326" i="10"/>
  <c r="Q2326" i="10"/>
  <c r="P2326" i="10"/>
  <c r="O2326" i="10"/>
  <c r="M2326" i="10"/>
  <c r="E2326" i="10"/>
  <c r="B2326" i="10"/>
  <c r="S2325" i="10"/>
  <c r="Q2325" i="10"/>
  <c r="P2325" i="10"/>
  <c r="O2325" i="10"/>
  <c r="M2325" i="10"/>
  <c r="E2325" i="10"/>
  <c r="B2325" i="10"/>
  <c r="S2324" i="10"/>
  <c r="Q2324" i="10"/>
  <c r="P2324" i="10"/>
  <c r="O2324" i="10"/>
  <c r="M2324" i="10"/>
  <c r="E2324" i="10"/>
  <c r="B2324" i="10"/>
  <c r="S2323" i="10"/>
  <c r="Q2323" i="10"/>
  <c r="P2323" i="10"/>
  <c r="O2323" i="10"/>
  <c r="M2323" i="10"/>
  <c r="B2323" i="10"/>
  <c r="S2322" i="10"/>
  <c r="Q2322" i="10"/>
  <c r="P2322" i="10"/>
  <c r="O2322" i="10"/>
  <c r="M2322" i="10"/>
  <c r="E2322" i="10"/>
  <c r="B2322" i="10"/>
  <c r="S2321" i="10"/>
  <c r="Q2321" i="10"/>
  <c r="P2321" i="10"/>
  <c r="O2321" i="10"/>
  <c r="M2321" i="10"/>
  <c r="E2321" i="10"/>
  <c r="B2321" i="10"/>
  <c r="S2320" i="10"/>
  <c r="Q2320" i="10"/>
  <c r="P2320" i="10"/>
  <c r="O2320" i="10"/>
  <c r="M2320" i="10"/>
  <c r="E2320" i="10"/>
  <c r="B2320" i="10"/>
  <c r="S2319" i="10"/>
  <c r="Q2319" i="10"/>
  <c r="P2319" i="10"/>
  <c r="O2319" i="10"/>
  <c r="M2319" i="10"/>
  <c r="E2319" i="10"/>
  <c r="B2319" i="10"/>
  <c r="S2318" i="10"/>
  <c r="Q2318" i="10"/>
  <c r="P2318" i="10"/>
  <c r="O2318" i="10"/>
  <c r="M2318" i="10"/>
  <c r="E2318" i="10"/>
  <c r="B2318" i="10"/>
  <c r="S2317" i="10"/>
  <c r="Q2317" i="10"/>
  <c r="P2317" i="10"/>
  <c r="O2317" i="10"/>
  <c r="M2317" i="10"/>
  <c r="E2317" i="10"/>
  <c r="B2317" i="10"/>
  <c r="S2316" i="10"/>
  <c r="Q2316" i="10"/>
  <c r="P2316" i="10"/>
  <c r="O2316" i="10"/>
  <c r="M2316" i="10"/>
  <c r="B2316" i="10"/>
  <c r="S2315" i="10"/>
  <c r="Q2315" i="10"/>
  <c r="P2315" i="10"/>
  <c r="O2315" i="10"/>
  <c r="M2315" i="10"/>
  <c r="E2315" i="10"/>
  <c r="B2315" i="10"/>
  <c r="S2314" i="10"/>
  <c r="Q2314" i="10"/>
  <c r="P2314" i="10"/>
  <c r="O2314" i="10"/>
  <c r="M2314" i="10"/>
  <c r="B2314" i="10"/>
  <c r="S2313" i="10"/>
  <c r="Q2313" i="10"/>
  <c r="P2313" i="10"/>
  <c r="O2313" i="10"/>
  <c r="M2313" i="10"/>
  <c r="E2313" i="10"/>
  <c r="B2313" i="10"/>
  <c r="S2312" i="10"/>
  <c r="Q2312" i="10"/>
  <c r="P2312" i="10"/>
  <c r="O2312" i="10"/>
  <c r="M2312" i="10"/>
  <c r="B2312" i="10"/>
  <c r="S2311" i="10"/>
  <c r="Q2311" i="10"/>
  <c r="P2311" i="10"/>
  <c r="O2311" i="10"/>
  <c r="M2311" i="10"/>
  <c r="E2311" i="10"/>
  <c r="B2311" i="10"/>
  <c r="S2310" i="10"/>
  <c r="Q2310" i="10"/>
  <c r="P2310" i="10"/>
  <c r="O2310" i="10"/>
  <c r="M2310" i="10"/>
  <c r="E2310" i="10"/>
  <c r="B2310" i="10"/>
  <c r="S2309" i="10"/>
  <c r="Q2309" i="10"/>
  <c r="P2309" i="10"/>
  <c r="O2309" i="10"/>
  <c r="M2309" i="10"/>
  <c r="E2309" i="10"/>
  <c r="B2309" i="10"/>
  <c r="S2308" i="10"/>
  <c r="Q2308" i="10"/>
  <c r="P2308" i="10"/>
  <c r="O2308" i="10"/>
  <c r="M2308" i="10"/>
  <c r="E2308" i="10"/>
  <c r="B2308" i="10"/>
  <c r="S2307" i="10"/>
  <c r="Q2307" i="10"/>
  <c r="P2307" i="10"/>
  <c r="O2307" i="10"/>
  <c r="M2307" i="10"/>
  <c r="E2307" i="10"/>
  <c r="B2307" i="10"/>
  <c r="S2306" i="10"/>
  <c r="Q2306" i="10"/>
  <c r="P2306" i="10"/>
  <c r="O2306" i="10"/>
  <c r="M2306" i="10"/>
  <c r="E2306" i="10"/>
  <c r="B2306" i="10"/>
  <c r="S2305" i="10"/>
  <c r="Q2305" i="10"/>
  <c r="P2305" i="10"/>
  <c r="O2305" i="10"/>
  <c r="M2305" i="10"/>
  <c r="E2305" i="10"/>
  <c r="B2305" i="10"/>
  <c r="S2304" i="10"/>
  <c r="Q2304" i="10"/>
  <c r="P2304" i="10"/>
  <c r="O2304" i="10"/>
  <c r="M2304" i="10"/>
  <c r="E2304" i="10"/>
  <c r="B2304" i="10"/>
  <c r="S2303" i="10"/>
  <c r="Q2303" i="10"/>
  <c r="P2303" i="10"/>
  <c r="O2303" i="10"/>
  <c r="M2303" i="10"/>
  <c r="E2303" i="10"/>
  <c r="B2303" i="10"/>
  <c r="S2302" i="10"/>
  <c r="Q2302" i="10"/>
  <c r="P2302" i="10"/>
  <c r="O2302" i="10"/>
  <c r="M2302" i="10"/>
  <c r="E2302" i="10"/>
  <c r="B2302" i="10"/>
  <c r="S2301" i="10"/>
  <c r="Q2301" i="10"/>
  <c r="P2301" i="10"/>
  <c r="O2301" i="10"/>
  <c r="M2301" i="10"/>
  <c r="E2301" i="10"/>
  <c r="B2301" i="10"/>
  <c r="S2300" i="10"/>
  <c r="Q2300" i="10"/>
  <c r="P2300" i="10"/>
  <c r="O2300" i="10"/>
  <c r="M2300" i="10"/>
  <c r="E2300" i="10"/>
  <c r="B2300" i="10"/>
  <c r="S2299" i="10"/>
  <c r="Q2299" i="10"/>
  <c r="P2299" i="10"/>
  <c r="O2299" i="10"/>
  <c r="M2299" i="10"/>
  <c r="E2299" i="10"/>
  <c r="B2299" i="10"/>
  <c r="S2298" i="10"/>
  <c r="Q2298" i="10"/>
  <c r="P2298" i="10"/>
  <c r="O2298" i="10"/>
  <c r="M2298" i="10"/>
  <c r="E2298" i="10"/>
  <c r="B2298" i="10"/>
  <c r="S2297" i="10"/>
  <c r="Q2297" i="10"/>
  <c r="P2297" i="10"/>
  <c r="O2297" i="10"/>
  <c r="M2297" i="10"/>
  <c r="B2297" i="10"/>
  <c r="S2296" i="10"/>
  <c r="Q2296" i="10"/>
  <c r="P2296" i="10"/>
  <c r="O2296" i="10"/>
  <c r="M2296" i="10"/>
  <c r="E2296" i="10"/>
  <c r="B2296" i="10"/>
  <c r="S2295" i="10"/>
  <c r="Q2295" i="10"/>
  <c r="P2295" i="10"/>
  <c r="O2295" i="10"/>
  <c r="M2295" i="10"/>
  <c r="E2295" i="10"/>
  <c r="B2295" i="10"/>
  <c r="S2294" i="10"/>
  <c r="Q2294" i="10"/>
  <c r="P2294" i="10"/>
  <c r="O2294" i="10"/>
  <c r="M2294" i="10"/>
  <c r="E2294" i="10"/>
  <c r="B2294" i="10"/>
  <c r="S2293" i="10"/>
  <c r="Q2293" i="10"/>
  <c r="P2293" i="10"/>
  <c r="O2293" i="10"/>
  <c r="M2293" i="10"/>
  <c r="E2293" i="10"/>
  <c r="B2293" i="10"/>
  <c r="S2292" i="10"/>
  <c r="Q2292" i="10"/>
  <c r="P2292" i="10"/>
  <c r="O2292" i="10"/>
  <c r="M2292" i="10"/>
  <c r="E2292" i="10"/>
  <c r="B2292" i="10"/>
  <c r="S2291" i="10"/>
  <c r="Q2291" i="10"/>
  <c r="P2291" i="10"/>
  <c r="O2291" i="10"/>
  <c r="M2291" i="10"/>
  <c r="E2291" i="10"/>
  <c r="B2291" i="10"/>
  <c r="S2290" i="10"/>
  <c r="Q2290" i="10"/>
  <c r="P2290" i="10"/>
  <c r="O2290" i="10"/>
  <c r="M2290" i="10"/>
  <c r="E2290" i="10"/>
  <c r="B2290" i="10"/>
  <c r="S2289" i="10"/>
  <c r="Q2289" i="10"/>
  <c r="P2289" i="10"/>
  <c r="O2289" i="10"/>
  <c r="M2289" i="10"/>
  <c r="E2289" i="10"/>
  <c r="B2289" i="10"/>
  <c r="S2288" i="10"/>
  <c r="Q2288" i="10"/>
  <c r="P2288" i="10"/>
  <c r="O2288" i="10"/>
  <c r="M2288" i="10"/>
  <c r="B2288" i="10"/>
  <c r="S2287" i="10"/>
  <c r="Q2287" i="10"/>
  <c r="P2287" i="10"/>
  <c r="O2287" i="10"/>
  <c r="M2287" i="10"/>
  <c r="E2287" i="10"/>
  <c r="B2287" i="10"/>
  <c r="S2286" i="10"/>
  <c r="Q2286" i="10"/>
  <c r="P2286" i="10"/>
  <c r="O2286" i="10"/>
  <c r="M2286" i="10"/>
  <c r="E2286" i="10"/>
  <c r="B2286" i="10"/>
  <c r="S2285" i="10"/>
  <c r="Q2285" i="10"/>
  <c r="P2285" i="10"/>
  <c r="O2285" i="10"/>
  <c r="M2285" i="10"/>
  <c r="E2285" i="10"/>
  <c r="B2285" i="10"/>
  <c r="S2284" i="10"/>
  <c r="Q2284" i="10"/>
  <c r="P2284" i="10"/>
  <c r="O2284" i="10"/>
  <c r="M2284" i="10"/>
  <c r="E2284" i="10"/>
  <c r="B2284" i="10"/>
  <c r="S2283" i="10"/>
  <c r="Q2283" i="10"/>
  <c r="P2283" i="10"/>
  <c r="O2283" i="10"/>
  <c r="M2283" i="10"/>
  <c r="E2283" i="10"/>
  <c r="B2283" i="10"/>
  <c r="S2282" i="10"/>
  <c r="Q2282" i="10"/>
  <c r="P2282" i="10"/>
  <c r="O2282" i="10"/>
  <c r="M2282" i="10"/>
  <c r="B2282" i="10"/>
  <c r="S2281" i="10"/>
  <c r="Q2281" i="10"/>
  <c r="P2281" i="10"/>
  <c r="O2281" i="10"/>
  <c r="M2281" i="10"/>
  <c r="E2281" i="10"/>
  <c r="B2281" i="10"/>
  <c r="S2280" i="10"/>
  <c r="Q2280" i="10"/>
  <c r="P2280" i="10"/>
  <c r="O2280" i="10"/>
  <c r="M2280" i="10"/>
  <c r="E2280" i="10"/>
  <c r="B2280" i="10"/>
  <c r="S2279" i="10"/>
  <c r="Q2279" i="10"/>
  <c r="P2279" i="10"/>
  <c r="O2279" i="10"/>
  <c r="M2279" i="10"/>
  <c r="E2279" i="10"/>
  <c r="B2279" i="10"/>
  <c r="S2278" i="10"/>
  <c r="Q2278" i="10"/>
  <c r="P2278" i="10"/>
  <c r="O2278" i="10"/>
  <c r="M2278" i="10"/>
  <c r="B2278" i="10"/>
  <c r="S2277" i="10"/>
  <c r="Q2277" i="10"/>
  <c r="P2277" i="10"/>
  <c r="O2277" i="10"/>
  <c r="M2277" i="10"/>
  <c r="E2277" i="10"/>
  <c r="B2277" i="10"/>
  <c r="S2276" i="10"/>
  <c r="Q2276" i="10"/>
  <c r="P2276" i="10"/>
  <c r="O2276" i="10"/>
  <c r="M2276" i="10"/>
  <c r="B2276" i="10"/>
  <c r="S2275" i="10"/>
  <c r="Q2275" i="10"/>
  <c r="P2275" i="10"/>
  <c r="O2275" i="10"/>
  <c r="M2275" i="10"/>
  <c r="E2275" i="10"/>
  <c r="B2275" i="10"/>
  <c r="S2274" i="10"/>
  <c r="Q2274" i="10"/>
  <c r="P2274" i="10"/>
  <c r="O2274" i="10"/>
  <c r="M2274" i="10"/>
  <c r="E2274" i="10"/>
  <c r="B2274" i="10"/>
  <c r="S2273" i="10"/>
  <c r="Q2273" i="10"/>
  <c r="P2273" i="10"/>
  <c r="O2273" i="10"/>
  <c r="M2273" i="10"/>
  <c r="E2273" i="10"/>
  <c r="B2273" i="10"/>
  <c r="S2272" i="10"/>
  <c r="Q2272" i="10"/>
  <c r="P2272" i="10"/>
  <c r="O2272" i="10"/>
  <c r="M2272" i="10"/>
  <c r="E2272" i="10"/>
  <c r="B2272" i="10"/>
  <c r="S2271" i="10"/>
  <c r="Q2271" i="10"/>
  <c r="P2271" i="10"/>
  <c r="O2271" i="10"/>
  <c r="M2271" i="10"/>
  <c r="E2271" i="10"/>
  <c r="B2271" i="10"/>
  <c r="S2270" i="10"/>
  <c r="Q2270" i="10"/>
  <c r="P2270" i="10"/>
  <c r="O2270" i="10"/>
  <c r="M2270" i="10"/>
  <c r="E2270" i="10"/>
  <c r="B2270" i="10"/>
  <c r="S2269" i="10"/>
  <c r="Q2269" i="10"/>
  <c r="P2269" i="10"/>
  <c r="O2269" i="10"/>
  <c r="M2269" i="10"/>
  <c r="E2269" i="10"/>
  <c r="B2269" i="10"/>
  <c r="S2268" i="10"/>
  <c r="Q2268" i="10"/>
  <c r="P2268" i="10"/>
  <c r="O2268" i="10"/>
  <c r="M2268" i="10"/>
  <c r="E2268" i="10"/>
  <c r="B2268" i="10"/>
  <c r="S2267" i="10"/>
  <c r="Q2267" i="10"/>
  <c r="P2267" i="10"/>
  <c r="O2267" i="10"/>
  <c r="M2267" i="10"/>
  <c r="E2267" i="10"/>
  <c r="B2267" i="10"/>
  <c r="S2266" i="10"/>
  <c r="Q2266" i="10"/>
  <c r="P2266" i="10"/>
  <c r="O2266" i="10"/>
  <c r="M2266" i="10"/>
  <c r="E2266" i="10"/>
  <c r="B2266" i="10"/>
  <c r="S2265" i="10"/>
  <c r="Q2265" i="10"/>
  <c r="P2265" i="10"/>
  <c r="O2265" i="10"/>
  <c r="M2265" i="10"/>
  <c r="B2265" i="10"/>
  <c r="S2264" i="10"/>
  <c r="Q2264" i="10"/>
  <c r="P2264" i="10"/>
  <c r="O2264" i="10"/>
  <c r="M2264" i="10"/>
  <c r="E2264" i="10"/>
  <c r="B2264" i="10"/>
  <c r="S2263" i="10"/>
  <c r="Q2263" i="10"/>
  <c r="P2263" i="10"/>
  <c r="O2263" i="10"/>
  <c r="M2263" i="10"/>
  <c r="E2263" i="10"/>
  <c r="B2263" i="10"/>
  <c r="S2262" i="10"/>
  <c r="Q2262" i="10"/>
  <c r="P2262" i="10"/>
  <c r="O2262" i="10"/>
  <c r="M2262" i="10"/>
  <c r="E2262" i="10"/>
  <c r="B2262" i="10"/>
  <c r="S2261" i="10"/>
  <c r="Q2261" i="10"/>
  <c r="P2261" i="10"/>
  <c r="O2261" i="10"/>
  <c r="M2261" i="10"/>
  <c r="E2261" i="10"/>
  <c r="B2261" i="10"/>
  <c r="S2260" i="10"/>
  <c r="Q2260" i="10"/>
  <c r="P2260" i="10"/>
  <c r="O2260" i="10"/>
  <c r="M2260" i="10"/>
  <c r="B2260" i="10"/>
  <c r="S2259" i="10"/>
  <c r="Q2259" i="10"/>
  <c r="P2259" i="10"/>
  <c r="O2259" i="10"/>
  <c r="M2259" i="10"/>
  <c r="E2259" i="10"/>
  <c r="B2259" i="10"/>
  <c r="S2258" i="10"/>
  <c r="Q2258" i="10"/>
  <c r="P2258" i="10"/>
  <c r="O2258" i="10"/>
  <c r="M2258" i="10"/>
  <c r="E2258" i="10"/>
  <c r="B2258" i="10"/>
  <c r="S2257" i="10"/>
  <c r="Q2257" i="10"/>
  <c r="P2257" i="10"/>
  <c r="O2257" i="10"/>
  <c r="M2257" i="10"/>
  <c r="E2257" i="10"/>
  <c r="B2257" i="10"/>
  <c r="S2256" i="10"/>
  <c r="Q2256" i="10"/>
  <c r="P2256" i="10"/>
  <c r="O2256" i="10"/>
  <c r="M2256" i="10"/>
  <c r="B2256" i="10"/>
  <c r="S2255" i="10"/>
  <c r="Q2255" i="10"/>
  <c r="P2255" i="10"/>
  <c r="O2255" i="10"/>
  <c r="M2255" i="10"/>
  <c r="B2255" i="10"/>
  <c r="S2254" i="10"/>
  <c r="Q2254" i="10"/>
  <c r="P2254" i="10"/>
  <c r="O2254" i="10"/>
  <c r="M2254" i="10"/>
  <c r="E2254" i="10"/>
  <c r="B2254" i="10"/>
  <c r="S2253" i="10"/>
  <c r="Q2253" i="10"/>
  <c r="P2253" i="10"/>
  <c r="O2253" i="10"/>
  <c r="M2253" i="10"/>
  <c r="B2253" i="10"/>
  <c r="S2252" i="10"/>
  <c r="Q2252" i="10"/>
  <c r="P2252" i="10"/>
  <c r="O2252" i="10"/>
  <c r="M2252" i="10"/>
  <c r="E2252" i="10"/>
  <c r="B2252" i="10"/>
  <c r="S2251" i="10"/>
  <c r="Q2251" i="10"/>
  <c r="P2251" i="10"/>
  <c r="O2251" i="10"/>
  <c r="M2251" i="10"/>
  <c r="E2251" i="10"/>
  <c r="B2251" i="10"/>
  <c r="S2250" i="10"/>
  <c r="Q2250" i="10"/>
  <c r="P2250" i="10"/>
  <c r="O2250" i="10"/>
  <c r="M2250" i="10"/>
  <c r="E2250" i="10"/>
  <c r="B2250" i="10"/>
  <c r="S2249" i="10"/>
  <c r="Q2249" i="10"/>
  <c r="P2249" i="10"/>
  <c r="O2249" i="10"/>
  <c r="M2249" i="10"/>
  <c r="E2249" i="10"/>
  <c r="B2249" i="10"/>
  <c r="S2248" i="10"/>
  <c r="Q2248" i="10"/>
  <c r="P2248" i="10"/>
  <c r="O2248" i="10"/>
  <c r="M2248" i="10"/>
  <c r="E2248" i="10"/>
  <c r="B2248" i="10"/>
  <c r="S2247" i="10"/>
  <c r="Q2247" i="10"/>
  <c r="P2247" i="10"/>
  <c r="O2247" i="10"/>
  <c r="M2247" i="10"/>
  <c r="E2247" i="10"/>
  <c r="B2247" i="10"/>
  <c r="S2246" i="10"/>
  <c r="Q2246" i="10"/>
  <c r="P2246" i="10"/>
  <c r="O2246" i="10"/>
  <c r="M2246" i="10"/>
  <c r="E2246" i="10"/>
  <c r="B2246" i="10"/>
  <c r="S2245" i="10"/>
  <c r="Q2245" i="10"/>
  <c r="P2245" i="10"/>
  <c r="O2245" i="10"/>
  <c r="M2245" i="10"/>
  <c r="E2245" i="10"/>
  <c r="B2245" i="10"/>
  <c r="S2244" i="10"/>
  <c r="Q2244" i="10"/>
  <c r="P2244" i="10"/>
  <c r="O2244" i="10"/>
  <c r="M2244" i="10"/>
  <c r="E2244" i="10"/>
  <c r="B2244" i="10"/>
  <c r="S2243" i="10"/>
  <c r="Q2243" i="10"/>
  <c r="P2243" i="10"/>
  <c r="O2243" i="10"/>
  <c r="M2243" i="10"/>
  <c r="E2243" i="10"/>
  <c r="B2243" i="10"/>
  <c r="S2242" i="10"/>
  <c r="Q2242" i="10"/>
  <c r="P2242" i="10"/>
  <c r="O2242" i="10"/>
  <c r="M2242" i="10"/>
  <c r="E2242" i="10"/>
  <c r="B2242" i="10"/>
  <c r="S2241" i="10"/>
  <c r="Q2241" i="10"/>
  <c r="P2241" i="10"/>
  <c r="O2241" i="10"/>
  <c r="M2241" i="10"/>
  <c r="B2241" i="10"/>
  <c r="S2240" i="10"/>
  <c r="Q2240" i="10"/>
  <c r="P2240" i="10"/>
  <c r="O2240" i="10"/>
  <c r="M2240" i="10"/>
  <c r="E2240" i="10"/>
  <c r="B2240" i="10"/>
  <c r="S2239" i="10"/>
  <c r="Q2239" i="10"/>
  <c r="P2239" i="10"/>
  <c r="O2239" i="10"/>
  <c r="M2239" i="10"/>
  <c r="E2239" i="10"/>
  <c r="B2239" i="10"/>
  <c r="S2238" i="10"/>
  <c r="Q2238" i="10"/>
  <c r="P2238" i="10"/>
  <c r="O2238" i="10"/>
  <c r="M2238" i="10"/>
  <c r="E2238" i="10"/>
  <c r="B2238" i="10"/>
  <c r="S2237" i="10"/>
  <c r="Q2237" i="10"/>
  <c r="P2237" i="10"/>
  <c r="O2237" i="10"/>
  <c r="M2237" i="10"/>
  <c r="E2237" i="10"/>
  <c r="B2237" i="10"/>
  <c r="S2236" i="10"/>
  <c r="Q2236" i="10"/>
  <c r="P2236" i="10"/>
  <c r="O2236" i="10"/>
  <c r="M2236" i="10"/>
  <c r="E2236" i="10"/>
  <c r="B2236" i="10"/>
  <c r="S2235" i="10"/>
  <c r="Q2235" i="10"/>
  <c r="P2235" i="10"/>
  <c r="O2235" i="10"/>
  <c r="M2235" i="10"/>
  <c r="E2235" i="10"/>
  <c r="B2235" i="10"/>
  <c r="S2234" i="10"/>
  <c r="Q2234" i="10"/>
  <c r="P2234" i="10"/>
  <c r="O2234" i="10"/>
  <c r="M2234" i="10"/>
  <c r="E2234" i="10"/>
  <c r="B2234" i="10"/>
  <c r="S2233" i="10"/>
  <c r="Q2233" i="10"/>
  <c r="P2233" i="10"/>
  <c r="O2233" i="10"/>
  <c r="M2233" i="10"/>
  <c r="E2233" i="10"/>
  <c r="B2233" i="10"/>
  <c r="S2232" i="10"/>
  <c r="Q2232" i="10"/>
  <c r="P2232" i="10"/>
  <c r="O2232" i="10"/>
  <c r="M2232" i="10"/>
  <c r="E2232" i="10"/>
  <c r="B2232" i="10"/>
  <c r="S2231" i="10"/>
  <c r="Q2231" i="10"/>
  <c r="P2231" i="10"/>
  <c r="O2231" i="10"/>
  <c r="M2231" i="10"/>
  <c r="E2231" i="10"/>
  <c r="B2231" i="10"/>
  <c r="S2230" i="10"/>
  <c r="Q2230" i="10"/>
  <c r="P2230" i="10"/>
  <c r="O2230" i="10"/>
  <c r="M2230" i="10"/>
  <c r="B2230" i="10"/>
  <c r="S2229" i="10"/>
  <c r="Q2229" i="10"/>
  <c r="P2229" i="10"/>
  <c r="O2229" i="10"/>
  <c r="M2229" i="10"/>
  <c r="E2229" i="10"/>
  <c r="B2229" i="10"/>
  <c r="S2228" i="10"/>
  <c r="Q2228" i="10"/>
  <c r="P2228" i="10"/>
  <c r="O2228" i="10"/>
  <c r="M2228" i="10"/>
  <c r="B2228" i="10"/>
  <c r="S2227" i="10"/>
  <c r="Q2227" i="10"/>
  <c r="P2227" i="10"/>
  <c r="O2227" i="10"/>
  <c r="M2227" i="10"/>
  <c r="E2227" i="10"/>
  <c r="B2227" i="10"/>
  <c r="S2226" i="10"/>
  <c r="Q2226" i="10"/>
  <c r="P2226" i="10"/>
  <c r="O2226" i="10"/>
  <c r="M2226" i="10"/>
  <c r="E2226" i="10"/>
  <c r="B2226" i="10"/>
  <c r="S2225" i="10"/>
  <c r="Q2225" i="10"/>
  <c r="P2225" i="10"/>
  <c r="O2225" i="10"/>
  <c r="M2225" i="10"/>
  <c r="E2225" i="10"/>
  <c r="B2225" i="10"/>
  <c r="S2224" i="10"/>
  <c r="Q2224" i="10"/>
  <c r="P2224" i="10"/>
  <c r="O2224" i="10"/>
  <c r="M2224" i="10"/>
  <c r="E2224" i="10"/>
  <c r="B2224" i="10"/>
  <c r="S2223" i="10"/>
  <c r="Q2223" i="10"/>
  <c r="P2223" i="10"/>
  <c r="O2223" i="10"/>
  <c r="M2223" i="10"/>
  <c r="E2223" i="10"/>
  <c r="B2223" i="10"/>
  <c r="S2222" i="10"/>
  <c r="Q2222" i="10"/>
  <c r="P2222" i="10"/>
  <c r="O2222" i="10"/>
  <c r="M2222" i="10"/>
  <c r="E2222" i="10"/>
  <c r="B2222" i="10"/>
  <c r="S2221" i="10"/>
  <c r="Q2221" i="10"/>
  <c r="P2221" i="10"/>
  <c r="O2221" i="10"/>
  <c r="M2221" i="10"/>
  <c r="E2221" i="10"/>
  <c r="B2221" i="10"/>
  <c r="S2220" i="10"/>
  <c r="Q2220" i="10"/>
  <c r="P2220" i="10"/>
  <c r="O2220" i="10"/>
  <c r="M2220" i="10"/>
  <c r="E2220" i="10"/>
  <c r="B2220" i="10"/>
  <c r="S2219" i="10"/>
  <c r="Q2219" i="10"/>
  <c r="P2219" i="10"/>
  <c r="O2219" i="10"/>
  <c r="M2219" i="10"/>
  <c r="E2219" i="10"/>
  <c r="B2219" i="10"/>
  <c r="S2218" i="10"/>
  <c r="Q2218" i="10"/>
  <c r="P2218" i="10"/>
  <c r="O2218" i="10"/>
  <c r="M2218" i="10"/>
  <c r="E2218" i="10"/>
  <c r="B2218" i="10"/>
  <c r="S2217" i="10"/>
  <c r="Q2217" i="10"/>
  <c r="P2217" i="10"/>
  <c r="O2217" i="10"/>
  <c r="M2217" i="10"/>
  <c r="E2217" i="10"/>
  <c r="B2217" i="10"/>
  <c r="S2216" i="10"/>
  <c r="Q2216" i="10"/>
  <c r="P2216" i="10"/>
  <c r="O2216" i="10"/>
  <c r="M2216" i="10"/>
  <c r="E2216" i="10"/>
  <c r="B2216" i="10"/>
  <c r="S2215" i="10"/>
  <c r="Q2215" i="10"/>
  <c r="P2215" i="10"/>
  <c r="O2215" i="10"/>
  <c r="M2215" i="10"/>
  <c r="E2215" i="10"/>
  <c r="B2215" i="10"/>
  <c r="S2214" i="10"/>
  <c r="Q2214" i="10"/>
  <c r="P2214" i="10"/>
  <c r="O2214" i="10"/>
  <c r="M2214" i="10"/>
  <c r="E2214" i="10"/>
  <c r="B2214" i="10"/>
  <c r="S2213" i="10"/>
  <c r="Q2213" i="10"/>
  <c r="P2213" i="10"/>
  <c r="O2213" i="10"/>
  <c r="M2213" i="10"/>
  <c r="E2213" i="10"/>
  <c r="B2213" i="10"/>
  <c r="S2212" i="10"/>
  <c r="Q2212" i="10"/>
  <c r="P2212" i="10"/>
  <c r="O2212" i="10"/>
  <c r="M2212" i="10"/>
  <c r="E2212" i="10"/>
  <c r="B2212" i="10"/>
  <c r="S2211" i="10"/>
  <c r="Q2211" i="10"/>
  <c r="P2211" i="10"/>
  <c r="O2211" i="10"/>
  <c r="M2211" i="10"/>
  <c r="E2211" i="10"/>
  <c r="B2211" i="10"/>
  <c r="S2210" i="10"/>
  <c r="Q2210" i="10"/>
  <c r="P2210" i="10"/>
  <c r="O2210" i="10"/>
  <c r="M2210" i="10"/>
  <c r="E2210" i="10"/>
  <c r="B2210" i="10"/>
  <c r="S2209" i="10"/>
  <c r="Q2209" i="10"/>
  <c r="P2209" i="10"/>
  <c r="O2209" i="10"/>
  <c r="M2209" i="10"/>
  <c r="E2209" i="10"/>
  <c r="B2209" i="10"/>
  <c r="S2208" i="10"/>
  <c r="Q2208" i="10"/>
  <c r="P2208" i="10"/>
  <c r="O2208" i="10"/>
  <c r="M2208" i="10"/>
  <c r="E2208" i="10"/>
  <c r="B2208" i="10"/>
  <c r="S2207" i="10"/>
  <c r="Q2207" i="10"/>
  <c r="P2207" i="10"/>
  <c r="O2207" i="10"/>
  <c r="M2207" i="10"/>
  <c r="E2207" i="10"/>
  <c r="B2207" i="10"/>
  <c r="S2206" i="10"/>
  <c r="Q2206" i="10"/>
  <c r="P2206" i="10"/>
  <c r="O2206" i="10"/>
  <c r="M2206" i="10"/>
  <c r="E2206" i="10"/>
  <c r="B2206" i="10"/>
  <c r="S2205" i="10"/>
  <c r="Q2205" i="10"/>
  <c r="P2205" i="10"/>
  <c r="O2205" i="10"/>
  <c r="M2205" i="10"/>
  <c r="B2205" i="10"/>
  <c r="S2204" i="10"/>
  <c r="Q2204" i="10"/>
  <c r="P2204" i="10"/>
  <c r="O2204" i="10"/>
  <c r="M2204" i="10"/>
  <c r="E2204" i="10"/>
  <c r="B2204" i="10"/>
  <c r="S2203" i="10"/>
  <c r="Q2203" i="10"/>
  <c r="P2203" i="10"/>
  <c r="O2203" i="10"/>
  <c r="M2203" i="10"/>
  <c r="B2203" i="10"/>
  <c r="S2202" i="10"/>
  <c r="Q2202" i="10"/>
  <c r="P2202" i="10"/>
  <c r="O2202" i="10"/>
  <c r="M2202" i="10"/>
  <c r="E2202" i="10"/>
  <c r="B2202" i="10"/>
  <c r="S2201" i="10"/>
  <c r="Q2201" i="10"/>
  <c r="P2201" i="10"/>
  <c r="O2201" i="10"/>
  <c r="M2201" i="10"/>
  <c r="B2201" i="10"/>
  <c r="S2200" i="10"/>
  <c r="Q2200" i="10"/>
  <c r="P2200" i="10"/>
  <c r="O2200" i="10"/>
  <c r="M2200" i="10"/>
  <c r="B2200" i="10"/>
  <c r="S2199" i="10"/>
  <c r="Q2199" i="10"/>
  <c r="P2199" i="10"/>
  <c r="O2199" i="10"/>
  <c r="M2199" i="10"/>
  <c r="B2199" i="10"/>
  <c r="S2198" i="10"/>
  <c r="Q2198" i="10"/>
  <c r="P2198" i="10"/>
  <c r="O2198" i="10"/>
  <c r="M2198" i="10"/>
  <c r="E2198" i="10"/>
  <c r="B2198" i="10"/>
  <c r="S2197" i="10"/>
  <c r="Q2197" i="10"/>
  <c r="P2197" i="10"/>
  <c r="O2197" i="10"/>
  <c r="M2197" i="10"/>
  <c r="E2197" i="10"/>
  <c r="B2197" i="10"/>
  <c r="S2196" i="10"/>
  <c r="Q2196" i="10"/>
  <c r="P2196" i="10"/>
  <c r="O2196" i="10"/>
  <c r="M2196" i="10"/>
  <c r="E2196" i="10"/>
  <c r="B2196" i="10"/>
  <c r="S2195" i="10"/>
  <c r="Q2195" i="10"/>
  <c r="P2195" i="10"/>
  <c r="O2195" i="10"/>
  <c r="M2195" i="10"/>
  <c r="E2195" i="10"/>
  <c r="B2195" i="10"/>
  <c r="S2194" i="10"/>
  <c r="Q2194" i="10"/>
  <c r="P2194" i="10"/>
  <c r="O2194" i="10"/>
  <c r="M2194" i="10"/>
  <c r="E2194" i="10"/>
  <c r="B2194" i="10"/>
  <c r="S2193" i="10"/>
  <c r="Q2193" i="10"/>
  <c r="P2193" i="10"/>
  <c r="O2193" i="10"/>
  <c r="M2193" i="10"/>
  <c r="E2193" i="10"/>
  <c r="B2193" i="10"/>
  <c r="S2192" i="10"/>
  <c r="Q2192" i="10"/>
  <c r="P2192" i="10"/>
  <c r="O2192" i="10"/>
  <c r="M2192" i="10"/>
  <c r="E2192" i="10"/>
  <c r="B2192" i="10"/>
  <c r="S2191" i="10"/>
  <c r="Q2191" i="10"/>
  <c r="P2191" i="10"/>
  <c r="O2191" i="10"/>
  <c r="M2191" i="10"/>
  <c r="E2191" i="10"/>
  <c r="B2191" i="10"/>
  <c r="S2190" i="10"/>
  <c r="Q2190" i="10"/>
  <c r="P2190" i="10"/>
  <c r="O2190" i="10"/>
  <c r="M2190" i="10"/>
  <c r="E2190" i="10"/>
  <c r="B2190" i="10"/>
  <c r="S2189" i="10"/>
  <c r="Q2189" i="10"/>
  <c r="P2189" i="10"/>
  <c r="O2189" i="10"/>
  <c r="M2189" i="10"/>
  <c r="E2189" i="10"/>
  <c r="B2189" i="10"/>
  <c r="S2188" i="10"/>
  <c r="Q2188" i="10"/>
  <c r="P2188" i="10"/>
  <c r="O2188" i="10"/>
  <c r="M2188" i="10"/>
  <c r="E2188" i="10"/>
  <c r="B2188" i="10"/>
  <c r="S2187" i="10"/>
  <c r="Q2187" i="10"/>
  <c r="P2187" i="10"/>
  <c r="O2187" i="10"/>
  <c r="M2187" i="10"/>
  <c r="E2187" i="10"/>
  <c r="B2187" i="10"/>
  <c r="S2186" i="10"/>
  <c r="Q2186" i="10"/>
  <c r="P2186" i="10"/>
  <c r="O2186" i="10"/>
  <c r="M2186" i="10"/>
  <c r="E2186" i="10"/>
  <c r="B2186" i="10"/>
  <c r="S2185" i="10"/>
  <c r="Q2185" i="10"/>
  <c r="P2185" i="10"/>
  <c r="O2185" i="10"/>
  <c r="M2185" i="10"/>
  <c r="E2185" i="10"/>
  <c r="B2185" i="10"/>
  <c r="S2184" i="10"/>
  <c r="Q2184" i="10"/>
  <c r="P2184" i="10"/>
  <c r="O2184" i="10"/>
  <c r="M2184" i="10"/>
  <c r="E2184" i="10"/>
  <c r="B2184" i="10"/>
  <c r="S2183" i="10"/>
  <c r="Q2183" i="10"/>
  <c r="P2183" i="10"/>
  <c r="O2183" i="10"/>
  <c r="M2183" i="10"/>
  <c r="E2183" i="10"/>
  <c r="B2183" i="10"/>
  <c r="S2182" i="10"/>
  <c r="Q2182" i="10"/>
  <c r="P2182" i="10"/>
  <c r="O2182" i="10"/>
  <c r="M2182" i="10"/>
  <c r="B2182" i="10"/>
  <c r="S2181" i="10"/>
  <c r="Q2181" i="10"/>
  <c r="P2181" i="10"/>
  <c r="O2181" i="10"/>
  <c r="M2181" i="10"/>
  <c r="E2181" i="10"/>
  <c r="B2181" i="10"/>
  <c r="S2180" i="10"/>
  <c r="Q2180" i="10"/>
  <c r="P2180" i="10"/>
  <c r="O2180" i="10"/>
  <c r="M2180" i="10"/>
  <c r="E2180" i="10"/>
  <c r="B2180" i="10"/>
  <c r="S2179" i="10"/>
  <c r="Q2179" i="10"/>
  <c r="P2179" i="10"/>
  <c r="O2179" i="10"/>
  <c r="M2179" i="10"/>
  <c r="E2179" i="10"/>
  <c r="B2179" i="10"/>
  <c r="S2178" i="10"/>
  <c r="Q2178" i="10"/>
  <c r="P2178" i="10"/>
  <c r="O2178" i="10"/>
  <c r="M2178" i="10"/>
  <c r="E2178" i="10"/>
  <c r="B2178" i="10"/>
  <c r="S2177" i="10"/>
  <c r="Q2177" i="10"/>
  <c r="P2177" i="10"/>
  <c r="O2177" i="10"/>
  <c r="M2177" i="10"/>
  <c r="E2177" i="10"/>
  <c r="B2177" i="10"/>
  <c r="S2176" i="10"/>
  <c r="Q2176" i="10"/>
  <c r="P2176" i="10"/>
  <c r="O2176" i="10"/>
  <c r="M2176" i="10"/>
  <c r="E2176" i="10"/>
  <c r="B2176" i="10"/>
  <c r="S2175" i="10"/>
  <c r="Q2175" i="10"/>
  <c r="P2175" i="10"/>
  <c r="O2175" i="10"/>
  <c r="M2175" i="10"/>
  <c r="E2175" i="10"/>
  <c r="B2175" i="10"/>
  <c r="S2174" i="10"/>
  <c r="Q2174" i="10"/>
  <c r="P2174" i="10"/>
  <c r="O2174" i="10"/>
  <c r="M2174" i="10"/>
  <c r="E2174" i="10"/>
  <c r="B2174" i="10"/>
  <c r="S2173" i="10"/>
  <c r="Q2173" i="10"/>
  <c r="P2173" i="10"/>
  <c r="O2173" i="10"/>
  <c r="M2173" i="10"/>
  <c r="E2173" i="10"/>
  <c r="B2173" i="10"/>
  <c r="S2172" i="10"/>
  <c r="Q2172" i="10"/>
  <c r="P2172" i="10"/>
  <c r="O2172" i="10"/>
  <c r="M2172" i="10"/>
  <c r="E2172" i="10"/>
  <c r="B2172" i="10"/>
  <c r="S2171" i="10"/>
  <c r="Q2171" i="10"/>
  <c r="P2171" i="10"/>
  <c r="O2171" i="10"/>
  <c r="M2171" i="10"/>
  <c r="B2171" i="10"/>
  <c r="S2170" i="10"/>
  <c r="Q2170" i="10"/>
  <c r="P2170" i="10"/>
  <c r="O2170" i="10"/>
  <c r="M2170" i="10"/>
  <c r="E2170" i="10"/>
  <c r="B2170" i="10"/>
  <c r="S2169" i="10"/>
  <c r="Q2169" i="10"/>
  <c r="P2169" i="10"/>
  <c r="O2169" i="10"/>
  <c r="M2169" i="10"/>
  <c r="E2169" i="10"/>
  <c r="B2169" i="10"/>
  <c r="S2168" i="10"/>
  <c r="Q2168" i="10"/>
  <c r="P2168" i="10"/>
  <c r="O2168" i="10"/>
  <c r="M2168" i="10"/>
  <c r="E2168" i="10"/>
  <c r="B2168" i="10"/>
  <c r="S2167" i="10"/>
  <c r="Q2167" i="10"/>
  <c r="P2167" i="10"/>
  <c r="O2167" i="10"/>
  <c r="M2167" i="10"/>
  <c r="E2167" i="10"/>
  <c r="B2167" i="10"/>
  <c r="S2166" i="10"/>
  <c r="Q2166" i="10"/>
  <c r="P2166" i="10"/>
  <c r="O2166" i="10"/>
  <c r="M2166" i="10"/>
  <c r="B2166" i="10"/>
  <c r="S2165" i="10"/>
  <c r="Q2165" i="10"/>
  <c r="P2165" i="10"/>
  <c r="O2165" i="10"/>
  <c r="M2165" i="10"/>
  <c r="B2165" i="10"/>
  <c r="S2164" i="10"/>
  <c r="Q2164" i="10"/>
  <c r="P2164" i="10"/>
  <c r="O2164" i="10"/>
  <c r="M2164" i="10"/>
  <c r="E2164" i="10"/>
  <c r="B2164" i="10"/>
  <c r="S2163" i="10"/>
  <c r="Q2163" i="10"/>
  <c r="P2163" i="10"/>
  <c r="O2163" i="10"/>
  <c r="M2163" i="10"/>
  <c r="E2163" i="10"/>
  <c r="B2163" i="10"/>
  <c r="S2162" i="10"/>
  <c r="Q2162" i="10"/>
  <c r="P2162" i="10"/>
  <c r="O2162" i="10"/>
  <c r="M2162" i="10"/>
  <c r="E2162" i="10"/>
  <c r="B2162" i="10"/>
  <c r="S2161" i="10"/>
  <c r="Q2161" i="10"/>
  <c r="P2161" i="10"/>
  <c r="O2161" i="10"/>
  <c r="M2161" i="10"/>
  <c r="E2161" i="10"/>
  <c r="B2161" i="10"/>
  <c r="S2160" i="10"/>
  <c r="Q2160" i="10"/>
  <c r="P2160" i="10"/>
  <c r="O2160" i="10"/>
  <c r="M2160" i="10"/>
  <c r="E2160" i="10"/>
  <c r="B2160" i="10"/>
  <c r="S2159" i="10"/>
  <c r="Q2159" i="10"/>
  <c r="P2159" i="10"/>
  <c r="O2159" i="10"/>
  <c r="M2159" i="10"/>
  <c r="E2159" i="10"/>
  <c r="B2159" i="10"/>
  <c r="S2158" i="10"/>
  <c r="Q2158" i="10"/>
  <c r="P2158" i="10"/>
  <c r="O2158" i="10"/>
  <c r="M2158" i="10"/>
  <c r="E2158" i="10"/>
  <c r="B2158" i="10"/>
  <c r="S2157" i="10"/>
  <c r="Q2157" i="10"/>
  <c r="P2157" i="10"/>
  <c r="O2157" i="10"/>
  <c r="M2157" i="10"/>
  <c r="E2157" i="10"/>
  <c r="B2157" i="10"/>
  <c r="S2156" i="10"/>
  <c r="Q2156" i="10"/>
  <c r="P2156" i="10"/>
  <c r="O2156" i="10"/>
  <c r="M2156" i="10"/>
  <c r="E2156" i="10"/>
  <c r="B2156" i="10"/>
  <c r="S2155" i="10"/>
  <c r="Q2155" i="10"/>
  <c r="P2155" i="10"/>
  <c r="O2155" i="10"/>
  <c r="M2155" i="10"/>
  <c r="E2155" i="10"/>
  <c r="B2155" i="10"/>
  <c r="S2154" i="10"/>
  <c r="Q2154" i="10"/>
  <c r="P2154" i="10"/>
  <c r="O2154" i="10"/>
  <c r="M2154" i="10"/>
  <c r="B2154" i="10"/>
  <c r="S2153" i="10"/>
  <c r="Q2153" i="10"/>
  <c r="P2153" i="10"/>
  <c r="O2153" i="10"/>
  <c r="M2153" i="10"/>
  <c r="E2153" i="10"/>
  <c r="B2153" i="10"/>
  <c r="S2152" i="10"/>
  <c r="Q2152" i="10"/>
  <c r="P2152" i="10"/>
  <c r="O2152" i="10"/>
  <c r="M2152" i="10"/>
  <c r="E2152" i="10"/>
  <c r="B2152" i="10"/>
  <c r="S2151" i="10"/>
  <c r="Q2151" i="10"/>
  <c r="P2151" i="10"/>
  <c r="O2151" i="10"/>
  <c r="M2151" i="10"/>
  <c r="E2151" i="10"/>
  <c r="B2151" i="10"/>
  <c r="S2150" i="10"/>
  <c r="Q2150" i="10"/>
  <c r="P2150" i="10"/>
  <c r="O2150" i="10"/>
  <c r="M2150" i="10"/>
  <c r="E2150" i="10"/>
  <c r="B2150" i="10"/>
  <c r="S2149" i="10"/>
  <c r="Q2149" i="10"/>
  <c r="P2149" i="10"/>
  <c r="O2149" i="10"/>
  <c r="M2149" i="10"/>
  <c r="E2149" i="10"/>
  <c r="B2149" i="10"/>
  <c r="S2148" i="10"/>
  <c r="Q2148" i="10"/>
  <c r="P2148" i="10"/>
  <c r="O2148" i="10"/>
  <c r="M2148" i="10"/>
  <c r="E2148" i="10"/>
  <c r="B2148" i="10"/>
  <c r="S2147" i="10"/>
  <c r="Q2147" i="10"/>
  <c r="P2147" i="10"/>
  <c r="O2147" i="10"/>
  <c r="M2147" i="10"/>
  <c r="E2147" i="10"/>
  <c r="B2147" i="10"/>
  <c r="S2146" i="10"/>
  <c r="Q2146" i="10"/>
  <c r="P2146" i="10"/>
  <c r="O2146" i="10"/>
  <c r="M2146" i="10"/>
  <c r="E2146" i="10"/>
  <c r="B2146" i="10"/>
  <c r="S2145" i="10"/>
  <c r="Q2145" i="10"/>
  <c r="P2145" i="10"/>
  <c r="O2145" i="10"/>
  <c r="M2145" i="10"/>
  <c r="E2145" i="10"/>
  <c r="B2145" i="10"/>
  <c r="S2144" i="10"/>
  <c r="Q2144" i="10"/>
  <c r="P2144" i="10"/>
  <c r="O2144" i="10"/>
  <c r="M2144" i="10"/>
  <c r="E2144" i="10"/>
  <c r="B2144" i="10"/>
  <c r="S2143" i="10"/>
  <c r="Q2143" i="10"/>
  <c r="P2143" i="10"/>
  <c r="O2143" i="10"/>
  <c r="M2143" i="10"/>
  <c r="E2143" i="10"/>
  <c r="B2143" i="10"/>
  <c r="S2142" i="10"/>
  <c r="Q2142" i="10"/>
  <c r="P2142" i="10"/>
  <c r="O2142" i="10"/>
  <c r="M2142" i="10"/>
  <c r="B2142" i="10"/>
  <c r="S2141" i="10"/>
  <c r="Q2141" i="10"/>
  <c r="P2141" i="10"/>
  <c r="O2141" i="10"/>
  <c r="M2141" i="10"/>
  <c r="E2141" i="10"/>
  <c r="B2141" i="10"/>
  <c r="S2140" i="10"/>
  <c r="Q2140" i="10"/>
  <c r="P2140" i="10"/>
  <c r="O2140" i="10"/>
  <c r="M2140" i="10"/>
  <c r="E2140" i="10"/>
  <c r="B2140" i="10"/>
  <c r="S2139" i="10"/>
  <c r="Q2139" i="10"/>
  <c r="P2139" i="10"/>
  <c r="O2139" i="10"/>
  <c r="M2139" i="10"/>
  <c r="E2139" i="10"/>
  <c r="B2139" i="10"/>
  <c r="S2138" i="10"/>
  <c r="Q2138" i="10"/>
  <c r="P2138" i="10"/>
  <c r="O2138" i="10"/>
  <c r="M2138" i="10"/>
  <c r="E2138" i="10"/>
  <c r="B2138" i="10"/>
  <c r="S2137" i="10"/>
  <c r="Q2137" i="10"/>
  <c r="P2137" i="10"/>
  <c r="O2137" i="10"/>
  <c r="M2137" i="10"/>
  <c r="E2137" i="10"/>
  <c r="B2137" i="10"/>
  <c r="S2136" i="10"/>
  <c r="Q2136" i="10"/>
  <c r="P2136" i="10"/>
  <c r="O2136" i="10"/>
  <c r="M2136" i="10"/>
  <c r="E2136" i="10"/>
  <c r="B2136" i="10"/>
  <c r="S2135" i="10"/>
  <c r="Q2135" i="10"/>
  <c r="P2135" i="10"/>
  <c r="O2135" i="10"/>
  <c r="M2135" i="10"/>
  <c r="E2135" i="10"/>
  <c r="B2135" i="10"/>
  <c r="S2134" i="10"/>
  <c r="Q2134" i="10"/>
  <c r="P2134" i="10"/>
  <c r="O2134" i="10"/>
  <c r="M2134" i="10"/>
  <c r="E2134" i="10"/>
  <c r="B2134" i="10"/>
  <c r="S2133" i="10"/>
  <c r="Q2133" i="10"/>
  <c r="P2133" i="10"/>
  <c r="O2133" i="10"/>
  <c r="M2133" i="10"/>
  <c r="E2133" i="10"/>
  <c r="B2133" i="10"/>
  <c r="S2132" i="10"/>
  <c r="Q2132" i="10"/>
  <c r="P2132" i="10"/>
  <c r="O2132" i="10"/>
  <c r="M2132" i="10"/>
  <c r="E2132" i="10"/>
  <c r="B2132" i="10"/>
  <c r="S2131" i="10"/>
  <c r="Q2131" i="10"/>
  <c r="P2131" i="10"/>
  <c r="O2131" i="10"/>
  <c r="M2131" i="10"/>
  <c r="E2131" i="10"/>
  <c r="B2131" i="10"/>
  <c r="S2130" i="10"/>
  <c r="Q2130" i="10"/>
  <c r="P2130" i="10"/>
  <c r="O2130" i="10"/>
  <c r="M2130" i="10"/>
  <c r="E2130" i="10"/>
  <c r="B2130" i="10"/>
  <c r="S2129" i="10"/>
  <c r="Q2129" i="10"/>
  <c r="P2129" i="10"/>
  <c r="O2129" i="10"/>
  <c r="M2129" i="10"/>
  <c r="E2129" i="10"/>
  <c r="B2129" i="10"/>
  <c r="S2128" i="10"/>
  <c r="Q2128" i="10"/>
  <c r="P2128" i="10"/>
  <c r="O2128" i="10"/>
  <c r="M2128" i="10"/>
  <c r="E2128" i="10"/>
  <c r="B2128" i="10"/>
  <c r="S2127" i="10"/>
  <c r="Q2127" i="10"/>
  <c r="P2127" i="10"/>
  <c r="O2127" i="10"/>
  <c r="M2127" i="10"/>
  <c r="E2127" i="10"/>
  <c r="B2127" i="10"/>
  <c r="S2126" i="10"/>
  <c r="Q2126" i="10"/>
  <c r="P2126" i="10"/>
  <c r="O2126" i="10"/>
  <c r="M2126" i="10"/>
  <c r="E2126" i="10"/>
  <c r="B2126" i="10"/>
  <c r="S2125" i="10"/>
  <c r="Q2125" i="10"/>
  <c r="P2125" i="10"/>
  <c r="O2125" i="10"/>
  <c r="M2125" i="10"/>
  <c r="E2125" i="10"/>
  <c r="B2125" i="10"/>
  <c r="S2124" i="10"/>
  <c r="Q2124" i="10"/>
  <c r="P2124" i="10"/>
  <c r="O2124" i="10"/>
  <c r="M2124" i="10"/>
  <c r="E2124" i="10"/>
  <c r="B2124" i="10"/>
  <c r="S2123" i="10"/>
  <c r="Q2123" i="10"/>
  <c r="P2123" i="10"/>
  <c r="O2123" i="10"/>
  <c r="M2123" i="10"/>
  <c r="E2123" i="10"/>
  <c r="B2123" i="10"/>
  <c r="S2122" i="10"/>
  <c r="Q2122" i="10"/>
  <c r="P2122" i="10"/>
  <c r="O2122" i="10"/>
  <c r="M2122" i="10"/>
  <c r="E2122" i="10"/>
  <c r="B2122" i="10"/>
  <c r="S2121" i="10"/>
  <c r="Q2121" i="10"/>
  <c r="P2121" i="10"/>
  <c r="O2121" i="10"/>
  <c r="M2121" i="10"/>
  <c r="B2121" i="10"/>
  <c r="S2120" i="10"/>
  <c r="Q2120" i="10"/>
  <c r="P2120" i="10"/>
  <c r="O2120" i="10"/>
  <c r="M2120" i="10"/>
  <c r="E2120" i="10"/>
  <c r="B2120" i="10"/>
  <c r="S2119" i="10"/>
  <c r="Q2119" i="10"/>
  <c r="P2119" i="10"/>
  <c r="O2119" i="10"/>
  <c r="M2119" i="10"/>
  <c r="E2119" i="10"/>
  <c r="B2119" i="10"/>
  <c r="S2118" i="10"/>
  <c r="Q2118" i="10"/>
  <c r="P2118" i="10"/>
  <c r="O2118" i="10"/>
  <c r="M2118" i="10"/>
  <c r="E2118" i="10"/>
  <c r="B2118" i="10"/>
  <c r="S2117" i="10"/>
  <c r="Q2117" i="10"/>
  <c r="P2117" i="10"/>
  <c r="O2117" i="10"/>
  <c r="M2117" i="10"/>
  <c r="E2117" i="10"/>
  <c r="B2117" i="10"/>
  <c r="S2116" i="10"/>
  <c r="Q2116" i="10"/>
  <c r="P2116" i="10"/>
  <c r="O2116" i="10"/>
  <c r="M2116" i="10"/>
  <c r="E2116" i="10"/>
  <c r="B2116" i="10"/>
  <c r="S2115" i="10"/>
  <c r="Q2115" i="10"/>
  <c r="P2115" i="10"/>
  <c r="O2115" i="10"/>
  <c r="M2115" i="10"/>
  <c r="B2115" i="10"/>
  <c r="S2114" i="10"/>
  <c r="Q2114" i="10"/>
  <c r="P2114" i="10"/>
  <c r="O2114" i="10"/>
  <c r="M2114" i="10"/>
  <c r="E2114" i="10"/>
  <c r="B2114" i="10"/>
  <c r="S2113" i="10"/>
  <c r="Q2113" i="10"/>
  <c r="P2113" i="10"/>
  <c r="O2113" i="10"/>
  <c r="M2113" i="10"/>
  <c r="E2113" i="10"/>
  <c r="B2113" i="10"/>
  <c r="S2112" i="10"/>
  <c r="Q2112" i="10"/>
  <c r="P2112" i="10"/>
  <c r="O2112" i="10"/>
  <c r="M2112" i="10"/>
  <c r="E2112" i="10"/>
  <c r="B2112" i="10"/>
  <c r="S2111" i="10"/>
  <c r="Q2111" i="10"/>
  <c r="P2111" i="10"/>
  <c r="O2111" i="10"/>
  <c r="M2111" i="10"/>
  <c r="E2111" i="10"/>
  <c r="B2111" i="10"/>
  <c r="S2110" i="10"/>
  <c r="Q2110" i="10"/>
  <c r="P2110" i="10"/>
  <c r="O2110" i="10"/>
  <c r="M2110" i="10"/>
  <c r="E2110" i="10"/>
  <c r="B2110" i="10"/>
  <c r="S2109" i="10"/>
  <c r="Q2109" i="10"/>
  <c r="P2109" i="10"/>
  <c r="O2109" i="10"/>
  <c r="M2109" i="10"/>
  <c r="E2109" i="10"/>
  <c r="B2109" i="10"/>
  <c r="S2108" i="10"/>
  <c r="Q2108" i="10"/>
  <c r="P2108" i="10"/>
  <c r="O2108" i="10"/>
  <c r="M2108" i="10"/>
  <c r="E2108" i="10"/>
  <c r="B2108" i="10"/>
  <c r="S2107" i="10"/>
  <c r="Q2107" i="10"/>
  <c r="P2107" i="10"/>
  <c r="O2107" i="10"/>
  <c r="M2107" i="10"/>
  <c r="E2107" i="10"/>
  <c r="B2107" i="10"/>
  <c r="S2106" i="10"/>
  <c r="Q2106" i="10"/>
  <c r="P2106" i="10"/>
  <c r="O2106" i="10"/>
  <c r="M2106" i="10"/>
  <c r="E2106" i="10"/>
  <c r="B2106" i="10"/>
  <c r="S2105" i="10"/>
  <c r="Q2105" i="10"/>
  <c r="P2105" i="10"/>
  <c r="O2105" i="10"/>
  <c r="M2105" i="10"/>
  <c r="E2105" i="10"/>
  <c r="B2105" i="10"/>
  <c r="S2104" i="10"/>
  <c r="Q2104" i="10"/>
  <c r="P2104" i="10"/>
  <c r="O2104" i="10"/>
  <c r="M2104" i="10"/>
  <c r="E2104" i="10"/>
  <c r="B2104" i="10"/>
  <c r="S2103" i="10"/>
  <c r="Q2103" i="10"/>
  <c r="P2103" i="10"/>
  <c r="O2103" i="10"/>
  <c r="M2103" i="10"/>
  <c r="E2103" i="10"/>
  <c r="B2103" i="10"/>
  <c r="S2102" i="10"/>
  <c r="Q2102" i="10"/>
  <c r="P2102" i="10"/>
  <c r="O2102" i="10"/>
  <c r="M2102" i="10"/>
  <c r="E2102" i="10"/>
  <c r="B2102" i="10"/>
  <c r="S2101" i="10"/>
  <c r="Q2101" i="10"/>
  <c r="P2101" i="10"/>
  <c r="O2101" i="10"/>
  <c r="M2101" i="10"/>
  <c r="E2101" i="10"/>
  <c r="B2101" i="10"/>
  <c r="S2100" i="10"/>
  <c r="Q2100" i="10"/>
  <c r="P2100" i="10"/>
  <c r="O2100" i="10"/>
  <c r="M2100" i="10"/>
  <c r="E2100" i="10"/>
  <c r="B2100" i="10"/>
  <c r="S2099" i="10"/>
  <c r="Q2099" i="10"/>
  <c r="P2099" i="10"/>
  <c r="O2099" i="10"/>
  <c r="M2099" i="10"/>
  <c r="E2099" i="10"/>
  <c r="B2099" i="10"/>
  <c r="S2098" i="10"/>
  <c r="Q2098" i="10"/>
  <c r="P2098" i="10"/>
  <c r="O2098" i="10"/>
  <c r="M2098" i="10"/>
  <c r="E2098" i="10"/>
  <c r="B2098" i="10"/>
  <c r="S2097" i="10"/>
  <c r="Q2097" i="10"/>
  <c r="P2097" i="10"/>
  <c r="O2097" i="10"/>
  <c r="M2097" i="10"/>
  <c r="E2097" i="10"/>
  <c r="B2097" i="10"/>
  <c r="S2096" i="10"/>
  <c r="Q2096" i="10"/>
  <c r="P2096" i="10"/>
  <c r="O2096" i="10"/>
  <c r="M2096" i="10"/>
  <c r="E2096" i="10"/>
  <c r="B2096" i="10"/>
  <c r="S2095" i="10"/>
  <c r="Q2095" i="10"/>
  <c r="P2095" i="10"/>
  <c r="O2095" i="10"/>
  <c r="M2095" i="10"/>
  <c r="E2095" i="10"/>
  <c r="B2095" i="10"/>
  <c r="S2094" i="10"/>
  <c r="Q2094" i="10"/>
  <c r="P2094" i="10"/>
  <c r="O2094" i="10"/>
  <c r="M2094" i="10"/>
  <c r="E2094" i="10"/>
  <c r="B2094" i="10"/>
  <c r="S2093" i="10"/>
  <c r="Q2093" i="10"/>
  <c r="P2093" i="10"/>
  <c r="O2093" i="10"/>
  <c r="M2093" i="10"/>
  <c r="E2093" i="10"/>
  <c r="B2093" i="10"/>
  <c r="S2092" i="10"/>
  <c r="Q2092" i="10"/>
  <c r="P2092" i="10"/>
  <c r="O2092" i="10"/>
  <c r="M2092" i="10"/>
  <c r="E2092" i="10"/>
  <c r="B2092" i="10"/>
  <c r="S2091" i="10"/>
  <c r="Q2091" i="10"/>
  <c r="P2091" i="10"/>
  <c r="O2091" i="10"/>
  <c r="M2091" i="10"/>
  <c r="E2091" i="10"/>
  <c r="B2091" i="10"/>
  <c r="S2090" i="10"/>
  <c r="Q2090" i="10"/>
  <c r="P2090" i="10"/>
  <c r="O2090" i="10"/>
  <c r="M2090" i="10"/>
  <c r="E2090" i="10"/>
  <c r="B2090" i="10"/>
  <c r="S2089" i="10"/>
  <c r="Q2089" i="10"/>
  <c r="P2089" i="10"/>
  <c r="O2089" i="10"/>
  <c r="M2089" i="10"/>
  <c r="E2089" i="10"/>
  <c r="B2089" i="10"/>
  <c r="S2088" i="10"/>
  <c r="Q2088" i="10"/>
  <c r="P2088" i="10"/>
  <c r="O2088" i="10"/>
  <c r="M2088" i="10"/>
  <c r="E2088" i="10"/>
  <c r="B2088" i="10"/>
  <c r="S2087" i="10"/>
  <c r="Q2087" i="10"/>
  <c r="P2087" i="10"/>
  <c r="O2087" i="10"/>
  <c r="M2087" i="10"/>
  <c r="E2087" i="10"/>
  <c r="B2087" i="10"/>
  <c r="S2086" i="10"/>
  <c r="Q2086" i="10"/>
  <c r="P2086" i="10"/>
  <c r="O2086" i="10"/>
  <c r="M2086" i="10"/>
  <c r="E2086" i="10"/>
  <c r="B2086" i="10"/>
  <c r="S2085" i="10"/>
  <c r="Q2085" i="10"/>
  <c r="P2085" i="10"/>
  <c r="O2085" i="10"/>
  <c r="M2085" i="10"/>
  <c r="E2085" i="10"/>
  <c r="B2085" i="10"/>
  <c r="S2084" i="10"/>
  <c r="Q2084" i="10"/>
  <c r="P2084" i="10"/>
  <c r="O2084" i="10"/>
  <c r="M2084" i="10"/>
  <c r="E2084" i="10"/>
  <c r="B2084" i="10"/>
  <c r="S2083" i="10"/>
  <c r="Q2083" i="10"/>
  <c r="P2083" i="10"/>
  <c r="O2083" i="10"/>
  <c r="M2083" i="10"/>
  <c r="E2083" i="10"/>
  <c r="B2083" i="10"/>
  <c r="S2082" i="10"/>
  <c r="Q2082" i="10"/>
  <c r="P2082" i="10"/>
  <c r="O2082" i="10"/>
  <c r="M2082" i="10"/>
  <c r="E2082" i="10"/>
  <c r="B2082" i="10"/>
  <c r="S2081" i="10"/>
  <c r="Q2081" i="10"/>
  <c r="P2081" i="10"/>
  <c r="O2081" i="10"/>
  <c r="M2081" i="10"/>
  <c r="E2081" i="10"/>
  <c r="B2081" i="10"/>
  <c r="S2080" i="10"/>
  <c r="Q2080" i="10"/>
  <c r="P2080" i="10"/>
  <c r="O2080" i="10"/>
  <c r="M2080" i="10"/>
  <c r="E2080" i="10"/>
  <c r="B2080" i="10"/>
  <c r="S2079" i="10"/>
  <c r="Q2079" i="10"/>
  <c r="P2079" i="10"/>
  <c r="O2079" i="10"/>
  <c r="M2079" i="10"/>
  <c r="E2079" i="10"/>
  <c r="B2079" i="10"/>
  <c r="S2078" i="10"/>
  <c r="Q2078" i="10"/>
  <c r="P2078" i="10"/>
  <c r="O2078" i="10"/>
  <c r="M2078" i="10"/>
  <c r="E2078" i="10"/>
  <c r="B2078" i="10"/>
  <c r="S2077" i="10"/>
  <c r="Q2077" i="10"/>
  <c r="P2077" i="10"/>
  <c r="O2077" i="10"/>
  <c r="M2077" i="10"/>
  <c r="E2077" i="10"/>
  <c r="B2077" i="10"/>
  <c r="S2076" i="10"/>
  <c r="Q2076" i="10"/>
  <c r="P2076" i="10"/>
  <c r="O2076" i="10"/>
  <c r="M2076" i="10"/>
  <c r="E2076" i="10"/>
  <c r="B2076" i="10"/>
  <c r="S2075" i="10"/>
  <c r="Q2075" i="10"/>
  <c r="P2075" i="10"/>
  <c r="O2075" i="10"/>
  <c r="M2075" i="10"/>
  <c r="E2075" i="10"/>
  <c r="B2075" i="10"/>
  <c r="S2074" i="10"/>
  <c r="Q2074" i="10"/>
  <c r="P2074" i="10"/>
  <c r="O2074" i="10"/>
  <c r="M2074" i="10"/>
  <c r="E2074" i="10"/>
  <c r="B2074" i="10"/>
  <c r="S2073" i="10"/>
  <c r="Q2073" i="10"/>
  <c r="P2073" i="10"/>
  <c r="O2073" i="10"/>
  <c r="M2073" i="10"/>
  <c r="E2073" i="10"/>
  <c r="B2073" i="10"/>
  <c r="S2072" i="10"/>
  <c r="Q2072" i="10"/>
  <c r="P2072" i="10"/>
  <c r="O2072" i="10"/>
  <c r="M2072" i="10"/>
  <c r="E2072" i="10"/>
  <c r="B2072" i="10"/>
  <c r="S2071" i="10"/>
  <c r="Q2071" i="10"/>
  <c r="P2071" i="10"/>
  <c r="O2071" i="10"/>
  <c r="M2071" i="10"/>
  <c r="E2071" i="10"/>
  <c r="B2071" i="10"/>
  <c r="S2070" i="10"/>
  <c r="Q2070" i="10"/>
  <c r="P2070" i="10"/>
  <c r="O2070" i="10"/>
  <c r="M2070" i="10"/>
  <c r="E2070" i="10"/>
  <c r="B2070" i="10"/>
  <c r="S2069" i="10"/>
  <c r="Q2069" i="10"/>
  <c r="P2069" i="10"/>
  <c r="O2069" i="10"/>
  <c r="M2069" i="10"/>
  <c r="B2069" i="10"/>
  <c r="S2068" i="10"/>
  <c r="Q2068" i="10"/>
  <c r="P2068" i="10"/>
  <c r="O2068" i="10"/>
  <c r="M2068" i="10"/>
  <c r="B2068" i="10"/>
  <c r="S2067" i="10"/>
  <c r="Q2067" i="10"/>
  <c r="P2067" i="10"/>
  <c r="O2067" i="10"/>
  <c r="M2067" i="10"/>
  <c r="E2067" i="10"/>
  <c r="B2067" i="10"/>
  <c r="S2066" i="10"/>
  <c r="Q2066" i="10"/>
  <c r="P2066" i="10"/>
  <c r="O2066" i="10"/>
  <c r="M2066" i="10"/>
  <c r="B2066" i="10"/>
  <c r="S2065" i="10"/>
  <c r="Q2065" i="10"/>
  <c r="P2065" i="10"/>
  <c r="O2065" i="10"/>
  <c r="M2065" i="10"/>
  <c r="B2065" i="10"/>
  <c r="S2064" i="10"/>
  <c r="Q2064" i="10"/>
  <c r="P2064" i="10"/>
  <c r="O2064" i="10"/>
  <c r="M2064" i="10"/>
  <c r="E2064" i="10"/>
  <c r="B2064" i="10"/>
  <c r="S2063" i="10"/>
  <c r="Q2063" i="10"/>
  <c r="P2063" i="10"/>
  <c r="O2063" i="10"/>
  <c r="M2063" i="10"/>
  <c r="B2063" i="10"/>
  <c r="S2062" i="10"/>
  <c r="Q2062" i="10"/>
  <c r="P2062" i="10"/>
  <c r="O2062" i="10"/>
  <c r="M2062" i="10"/>
  <c r="E2062" i="10"/>
  <c r="B2062" i="10"/>
  <c r="S2061" i="10"/>
  <c r="Q2061" i="10"/>
  <c r="P2061" i="10"/>
  <c r="O2061" i="10"/>
  <c r="M2061" i="10"/>
  <c r="E2061" i="10"/>
  <c r="B2061" i="10"/>
  <c r="S2060" i="10"/>
  <c r="Q2060" i="10"/>
  <c r="P2060" i="10"/>
  <c r="O2060" i="10"/>
  <c r="M2060" i="10"/>
  <c r="B2060" i="10"/>
  <c r="S2059" i="10"/>
  <c r="Q2059" i="10"/>
  <c r="P2059" i="10"/>
  <c r="O2059" i="10"/>
  <c r="M2059" i="10"/>
  <c r="E2059" i="10"/>
  <c r="B2059" i="10"/>
  <c r="S2058" i="10"/>
  <c r="Q2058" i="10"/>
  <c r="P2058" i="10"/>
  <c r="O2058" i="10"/>
  <c r="M2058" i="10"/>
  <c r="E2058" i="10"/>
  <c r="B2058" i="10"/>
  <c r="S2057" i="10"/>
  <c r="Q2057" i="10"/>
  <c r="P2057" i="10"/>
  <c r="O2057" i="10"/>
  <c r="M2057" i="10"/>
  <c r="B2057" i="10"/>
  <c r="S2056" i="10"/>
  <c r="Q2056" i="10"/>
  <c r="P2056" i="10"/>
  <c r="O2056" i="10"/>
  <c r="M2056" i="10"/>
  <c r="E2056" i="10"/>
  <c r="B2056" i="10"/>
  <c r="S2055" i="10"/>
  <c r="Q2055" i="10"/>
  <c r="P2055" i="10"/>
  <c r="O2055" i="10"/>
  <c r="M2055" i="10"/>
  <c r="B2055" i="10"/>
  <c r="S2054" i="10"/>
  <c r="Q2054" i="10"/>
  <c r="P2054" i="10"/>
  <c r="O2054" i="10"/>
  <c r="M2054" i="10"/>
  <c r="E2054" i="10"/>
  <c r="B2054" i="10"/>
  <c r="S2053" i="10"/>
  <c r="Q2053" i="10"/>
  <c r="P2053" i="10"/>
  <c r="O2053" i="10"/>
  <c r="M2053" i="10"/>
  <c r="E2053" i="10"/>
  <c r="B2053" i="10"/>
  <c r="S2052" i="10"/>
  <c r="Q2052" i="10"/>
  <c r="P2052" i="10"/>
  <c r="O2052" i="10"/>
  <c r="M2052" i="10"/>
  <c r="E2052" i="10"/>
  <c r="B2052" i="10"/>
  <c r="S2051" i="10"/>
  <c r="Q2051" i="10"/>
  <c r="P2051" i="10"/>
  <c r="O2051" i="10"/>
  <c r="M2051" i="10"/>
  <c r="E2051" i="10"/>
  <c r="B2051" i="10"/>
  <c r="S2050" i="10"/>
  <c r="Q2050" i="10"/>
  <c r="P2050" i="10"/>
  <c r="O2050" i="10"/>
  <c r="M2050" i="10"/>
  <c r="E2050" i="10"/>
  <c r="B2050" i="10"/>
  <c r="S2049" i="10"/>
  <c r="Q2049" i="10"/>
  <c r="P2049" i="10"/>
  <c r="O2049" i="10"/>
  <c r="M2049" i="10"/>
  <c r="B2049" i="10"/>
  <c r="S2048" i="10"/>
  <c r="Q2048" i="10"/>
  <c r="P2048" i="10"/>
  <c r="O2048" i="10"/>
  <c r="M2048" i="10"/>
  <c r="E2048" i="10"/>
  <c r="B2048" i="10"/>
  <c r="S2047" i="10"/>
  <c r="Q2047" i="10"/>
  <c r="P2047" i="10"/>
  <c r="O2047" i="10"/>
  <c r="M2047" i="10"/>
  <c r="E2047" i="10"/>
  <c r="B2047" i="10"/>
  <c r="S2046" i="10"/>
  <c r="Q2046" i="10"/>
  <c r="P2046" i="10"/>
  <c r="O2046" i="10"/>
  <c r="M2046" i="10"/>
  <c r="B2046" i="10"/>
  <c r="S2045" i="10"/>
  <c r="Q2045" i="10"/>
  <c r="P2045" i="10"/>
  <c r="O2045" i="10"/>
  <c r="M2045" i="10"/>
  <c r="B2045" i="10"/>
  <c r="S2044" i="10"/>
  <c r="Q2044" i="10"/>
  <c r="P2044" i="10"/>
  <c r="O2044" i="10"/>
  <c r="M2044" i="10"/>
  <c r="E2044" i="10"/>
  <c r="B2044" i="10"/>
  <c r="S2043" i="10"/>
  <c r="Q2043" i="10"/>
  <c r="P2043" i="10"/>
  <c r="O2043" i="10"/>
  <c r="M2043" i="10"/>
  <c r="E2043" i="10"/>
  <c r="B2043" i="10"/>
  <c r="S2042" i="10"/>
  <c r="Q2042" i="10"/>
  <c r="P2042" i="10"/>
  <c r="O2042" i="10"/>
  <c r="M2042" i="10"/>
  <c r="E2042" i="10"/>
  <c r="B2042" i="10"/>
  <c r="S2041" i="10"/>
  <c r="Q2041" i="10"/>
  <c r="P2041" i="10"/>
  <c r="O2041" i="10"/>
  <c r="M2041" i="10"/>
  <c r="E2041" i="10"/>
  <c r="B2041" i="10"/>
  <c r="S2040" i="10"/>
  <c r="Q2040" i="10"/>
  <c r="P2040" i="10"/>
  <c r="O2040" i="10"/>
  <c r="M2040" i="10"/>
  <c r="E2040" i="10"/>
  <c r="B2040" i="10"/>
  <c r="S2039" i="10"/>
  <c r="Q2039" i="10"/>
  <c r="P2039" i="10"/>
  <c r="O2039" i="10"/>
  <c r="M2039" i="10"/>
  <c r="E2039" i="10"/>
  <c r="B2039" i="10"/>
  <c r="S2038" i="10"/>
  <c r="Q2038" i="10"/>
  <c r="P2038" i="10"/>
  <c r="O2038" i="10"/>
  <c r="M2038" i="10"/>
  <c r="E2038" i="10"/>
  <c r="B2038" i="10"/>
  <c r="S2037" i="10"/>
  <c r="Q2037" i="10"/>
  <c r="P2037" i="10"/>
  <c r="O2037" i="10"/>
  <c r="M2037" i="10"/>
  <c r="E2037" i="10"/>
  <c r="B2037" i="10"/>
  <c r="S2036" i="10"/>
  <c r="Q2036" i="10"/>
  <c r="P2036" i="10"/>
  <c r="O2036" i="10"/>
  <c r="M2036" i="10"/>
  <c r="B2036" i="10"/>
  <c r="S2035" i="10"/>
  <c r="Q2035" i="10"/>
  <c r="P2035" i="10"/>
  <c r="O2035" i="10"/>
  <c r="M2035" i="10"/>
  <c r="B2035" i="10"/>
  <c r="S2034" i="10"/>
  <c r="Q2034" i="10"/>
  <c r="P2034" i="10"/>
  <c r="O2034" i="10"/>
  <c r="M2034" i="10"/>
  <c r="E2034" i="10"/>
  <c r="B2034" i="10"/>
  <c r="S2033" i="10"/>
  <c r="Q2033" i="10"/>
  <c r="P2033" i="10"/>
  <c r="O2033" i="10"/>
  <c r="M2033" i="10"/>
  <c r="E2033" i="10"/>
  <c r="B2033" i="10"/>
  <c r="S2032" i="10"/>
  <c r="Q2032" i="10"/>
  <c r="P2032" i="10"/>
  <c r="O2032" i="10"/>
  <c r="M2032" i="10"/>
  <c r="E2032" i="10"/>
  <c r="B2032" i="10"/>
  <c r="S2031" i="10"/>
  <c r="Q2031" i="10"/>
  <c r="P2031" i="10"/>
  <c r="O2031" i="10"/>
  <c r="M2031" i="10"/>
  <c r="E2031" i="10"/>
  <c r="B2031" i="10"/>
  <c r="S2030" i="10"/>
  <c r="Q2030" i="10"/>
  <c r="P2030" i="10"/>
  <c r="O2030" i="10"/>
  <c r="M2030" i="10"/>
  <c r="E2030" i="10"/>
  <c r="B2030" i="10"/>
  <c r="S2029" i="10"/>
  <c r="Q2029" i="10"/>
  <c r="P2029" i="10"/>
  <c r="O2029" i="10"/>
  <c r="M2029" i="10"/>
  <c r="E2029" i="10"/>
  <c r="B2029" i="10"/>
  <c r="S2028" i="10"/>
  <c r="Q2028" i="10"/>
  <c r="P2028" i="10"/>
  <c r="O2028" i="10"/>
  <c r="M2028" i="10"/>
  <c r="E2028" i="10"/>
  <c r="B2028" i="10"/>
  <c r="S2027" i="10"/>
  <c r="Q2027" i="10"/>
  <c r="P2027" i="10"/>
  <c r="O2027" i="10"/>
  <c r="M2027" i="10"/>
  <c r="E2027" i="10"/>
  <c r="B2027" i="10"/>
  <c r="S2026" i="10"/>
  <c r="Q2026" i="10"/>
  <c r="P2026" i="10"/>
  <c r="O2026" i="10"/>
  <c r="M2026" i="10"/>
  <c r="E2026" i="10"/>
  <c r="B2026" i="10"/>
  <c r="S2025" i="10"/>
  <c r="Q2025" i="10"/>
  <c r="P2025" i="10"/>
  <c r="O2025" i="10"/>
  <c r="M2025" i="10"/>
  <c r="E2025" i="10"/>
  <c r="B2025" i="10"/>
  <c r="S2024" i="10"/>
  <c r="Q2024" i="10"/>
  <c r="P2024" i="10"/>
  <c r="O2024" i="10"/>
  <c r="M2024" i="10"/>
  <c r="E2024" i="10"/>
  <c r="B2024" i="10"/>
  <c r="S2023" i="10"/>
  <c r="Q2023" i="10"/>
  <c r="P2023" i="10"/>
  <c r="O2023" i="10"/>
  <c r="M2023" i="10"/>
  <c r="B2023" i="10"/>
  <c r="S2022" i="10"/>
  <c r="Q2022" i="10"/>
  <c r="P2022" i="10"/>
  <c r="O2022" i="10"/>
  <c r="M2022" i="10"/>
  <c r="E2022" i="10"/>
  <c r="B2022" i="10"/>
  <c r="S2021" i="10"/>
  <c r="Q2021" i="10"/>
  <c r="P2021" i="10"/>
  <c r="O2021" i="10"/>
  <c r="M2021" i="10"/>
  <c r="B2021" i="10"/>
  <c r="S2020" i="10"/>
  <c r="Q2020" i="10"/>
  <c r="P2020" i="10"/>
  <c r="O2020" i="10"/>
  <c r="M2020" i="10"/>
  <c r="E2020" i="10"/>
  <c r="B2020" i="10"/>
  <c r="S2019" i="10"/>
  <c r="Q2019" i="10"/>
  <c r="P2019" i="10"/>
  <c r="O2019" i="10"/>
  <c r="M2019" i="10"/>
  <c r="E2019" i="10"/>
  <c r="B2019" i="10"/>
  <c r="S2018" i="10"/>
  <c r="Q2018" i="10"/>
  <c r="P2018" i="10"/>
  <c r="O2018" i="10"/>
  <c r="M2018" i="10"/>
  <c r="B2018" i="10"/>
  <c r="S2017" i="10"/>
  <c r="Q2017" i="10"/>
  <c r="P2017" i="10"/>
  <c r="O2017" i="10"/>
  <c r="M2017" i="10"/>
  <c r="B2017" i="10"/>
  <c r="S2016" i="10"/>
  <c r="Q2016" i="10"/>
  <c r="P2016" i="10"/>
  <c r="O2016" i="10"/>
  <c r="M2016" i="10"/>
  <c r="E2016" i="10"/>
  <c r="B2016" i="10"/>
  <c r="S2015" i="10"/>
  <c r="Q2015" i="10"/>
  <c r="P2015" i="10"/>
  <c r="O2015" i="10"/>
  <c r="M2015" i="10"/>
  <c r="E2015" i="10"/>
  <c r="B2015" i="10"/>
  <c r="S2014" i="10"/>
  <c r="Q2014" i="10"/>
  <c r="P2014" i="10"/>
  <c r="O2014" i="10"/>
  <c r="M2014" i="10"/>
  <c r="E2014" i="10"/>
  <c r="B2014" i="10"/>
  <c r="S2013" i="10"/>
  <c r="Q2013" i="10"/>
  <c r="P2013" i="10"/>
  <c r="O2013" i="10"/>
  <c r="M2013" i="10"/>
  <c r="E2013" i="10"/>
  <c r="B2013" i="10"/>
  <c r="S2012" i="10"/>
  <c r="Q2012" i="10"/>
  <c r="P2012" i="10"/>
  <c r="O2012" i="10"/>
  <c r="M2012" i="10"/>
  <c r="E2012" i="10"/>
  <c r="B2012" i="10"/>
  <c r="S2011" i="10"/>
  <c r="Q2011" i="10"/>
  <c r="P2011" i="10"/>
  <c r="O2011" i="10"/>
  <c r="M2011" i="10"/>
  <c r="E2011" i="10"/>
  <c r="B2011" i="10"/>
  <c r="S2010" i="10"/>
  <c r="Q2010" i="10"/>
  <c r="P2010" i="10"/>
  <c r="O2010" i="10"/>
  <c r="M2010" i="10"/>
  <c r="E2010" i="10"/>
  <c r="B2010" i="10"/>
  <c r="S2009" i="10"/>
  <c r="Q2009" i="10"/>
  <c r="P2009" i="10"/>
  <c r="O2009" i="10"/>
  <c r="M2009" i="10"/>
  <c r="E2009" i="10"/>
  <c r="B2009" i="10"/>
  <c r="S2008" i="10"/>
  <c r="Q2008" i="10"/>
  <c r="P2008" i="10"/>
  <c r="O2008" i="10"/>
  <c r="M2008" i="10"/>
  <c r="E2008" i="10"/>
  <c r="B2008" i="10"/>
  <c r="S2007" i="10"/>
  <c r="Q2007" i="10"/>
  <c r="P2007" i="10"/>
  <c r="O2007" i="10"/>
  <c r="M2007" i="10"/>
  <c r="E2007" i="10"/>
  <c r="B2007" i="10"/>
  <c r="S2006" i="10"/>
  <c r="Q2006" i="10"/>
  <c r="P2006" i="10"/>
  <c r="O2006" i="10"/>
  <c r="M2006" i="10"/>
  <c r="E2006" i="10"/>
  <c r="B2006" i="10"/>
  <c r="S2005" i="10"/>
  <c r="Q2005" i="10"/>
  <c r="P2005" i="10"/>
  <c r="O2005" i="10"/>
  <c r="M2005" i="10"/>
  <c r="E2005" i="10"/>
  <c r="B2005" i="10"/>
  <c r="S2004" i="10"/>
  <c r="Q2004" i="10"/>
  <c r="P2004" i="10"/>
  <c r="O2004" i="10"/>
  <c r="M2004" i="10"/>
  <c r="E2004" i="10"/>
  <c r="B2004" i="10"/>
  <c r="S2003" i="10"/>
  <c r="Q2003" i="10"/>
  <c r="P2003" i="10"/>
  <c r="O2003" i="10"/>
  <c r="M2003" i="10"/>
  <c r="E2003" i="10"/>
  <c r="B2003" i="10"/>
  <c r="S2002" i="10"/>
  <c r="Q2002" i="10"/>
  <c r="P2002" i="10"/>
  <c r="O2002" i="10"/>
  <c r="M2002" i="10"/>
  <c r="E2002" i="10"/>
  <c r="B2002" i="10"/>
  <c r="S2001" i="10"/>
  <c r="Q2001" i="10"/>
  <c r="P2001" i="10"/>
  <c r="O2001" i="10"/>
  <c r="M2001" i="10"/>
  <c r="E2001" i="10"/>
  <c r="B2001" i="10"/>
  <c r="S2000" i="10"/>
  <c r="Q2000" i="10"/>
  <c r="P2000" i="10"/>
  <c r="O2000" i="10"/>
  <c r="M2000" i="10"/>
  <c r="E2000" i="10"/>
  <c r="B2000" i="10"/>
  <c r="S1999" i="10"/>
  <c r="Q1999" i="10"/>
  <c r="P1999" i="10"/>
  <c r="O1999" i="10"/>
  <c r="M1999" i="10"/>
  <c r="B1999" i="10"/>
  <c r="S1998" i="10"/>
  <c r="Q1998" i="10"/>
  <c r="P1998" i="10"/>
  <c r="O1998" i="10"/>
  <c r="M1998" i="10"/>
  <c r="E1998" i="10"/>
  <c r="B1998" i="10"/>
  <c r="S1997" i="10"/>
  <c r="Q1997" i="10"/>
  <c r="P1997" i="10"/>
  <c r="O1997" i="10"/>
  <c r="M1997" i="10"/>
  <c r="E1997" i="10"/>
  <c r="B1997" i="10"/>
  <c r="S1996" i="10"/>
  <c r="Q1996" i="10"/>
  <c r="P1996" i="10"/>
  <c r="O1996" i="10"/>
  <c r="M1996" i="10"/>
  <c r="B1996" i="10"/>
  <c r="S1995" i="10"/>
  <c r="Q1995" i="10"/>
  <c r="P1995" i="10"/>
  <c r="O1995" i="10"/>
  <c r="M1995" i="10"/>
  <c r="E1995" i="10"/>
  <c r="B1995" i="10"/>
  <c r="S1994" i="10"/>
  <c r="Q1994" i="10"/>
  <c r="P1994" i="10"/>
  <c r="O1994" i="10"/>
  <c r="M1994" i="10"/>
  <c r="E1994" i="10"/>
  <c r="B1994" i="10"/>
  <c r="S1993" i="10"/>
  <c r="Q1993" i="10"/>
  <c r="P1993" i="10"/>
  <c r="O1993" i="10"/>
  <c r="M1993" i="10"/>
  <c r="E1993" i="10"/>
  <c r="B1993" i="10"/>
  <c r="S1992" i="10"/>
  <c r="Q1992" i="10"/>
  <c r="P1992" i="10"/>
  <c r="O1992" i="10"/>
  <c r="M1992" i="10"/>
  <c r="E1992" i="10"/>
  <c r="B1992" i="10"/>
  <c r="S1991" i="10"/>
  <c r="Q1991" i="10"/>
  <c r="P1991" i="10"/>
  <c r="O1991" i="10"/>
  <c r="M1991" i="10"/>
  <c r="E1991" i="10"/>
  <c r="B1991" i="10"/>
  <c r="S1990" i="10"/>
  <c r="Q1990" i="10"/>
  <c r="P1990" i="10"/>
  <c r="O1990" i="10"/>
  <c r="M1990" i="10"/>
  <c r="E1990" i="10"/>
  <c r="B1990" i="10"/>
  <c r="S1989" i="10"/>
  <c r="Q1989" i="10"/>
  <c r="P1989" i="10"/>
  <c r="O1989" i="10"/>
  <c r="M1989" i="10"/>
  <c r="E1989" i="10"/>
  <c r="B1989" i="10"/>
  <c r="S1988" i="10"/>
  <c r="Q1988" i="10"/>
  <c r="P1988" i="10"/>
  <c r="O1988" i="10"/>
  <c r="M1988" i="10"/>
  <c r="E1988" i="10"/>
  <c r="B1988" i="10"/>
  <c r="S1987" i="10"/>
  <c r="Q1987" i="10"/>
  <c r="P1987" i="10"/>
  <c r="O1987" i="10"/>
  <c r="M1987" i="10"/>
  <c r="E1987" i="10"/>
  <c r="B1987" i="10"/>
  <c r="S1986" i="10"/>
  <c r="Q1986" i="10"/>
  <c r="P1986" i="10"/>
  <c r="O1986" i="10"/>
  <c r="M1986" i="10"/>
  <c r="E1986" i="10"/>
  <c r="B1986" i="10"/>
  <c r="S1985" i="10"/>
  <c r="Q1985" i="10"/>
  <c r="P1985" i="10"/>
  <c r="O1985" i="10"/>
  <c r="M1985" i="10"/>
  <c r="B1985" i="10"/>
  <c r="S1984" i="10"/>
  <c r="Q1984" i="10"/>
  <c r="P1984" i="10"/>
  <c r="O1984" i="10"/>
  <c r="M1984" i="10"/>
  <c r="E1984" i="10"/>
  <c r="B1984" i="10"/>
  <c r="S1983" i="10"/>
  <c r="Q1983" i="10"/>
  <c r="P1983" i="10"/>
  <c r="O1983" i="10"/>
  <c r="M1983" i="10"/>
  <c r="E1983" i="10"/>
  <c r="B1983" i="10"/>
  <c r="S1982" i="10"/>
  <c r="Q1982" i="10"/>
  <c r="P1982" i="10"/>
  <c r="O1982" i="10"/>
  <c r="M1982" i="10"/>
  <c r="E1982" i="10"/>
  <c r="B1982" i="10"/>
  <c r="S1981" i="10"/>
  <c r="Q1981" i="10"/>
  <c r="P1981" i="10"/>
  <c r="O1981" i="10"/>
  <c r="M1981" i="10"/>
  <c r="E1981" i="10"/>
  <c r="B1981" i="10"/>
  <c r="S1980" i="10"/>
  <c r="Q1980" i="10"/>
  <c r="P1980" i="10"/>
  <c r="O1980" i="10"/>
  <c r="M1980" i="10"/>
  <c r="E1980" i="10"/>
  <c r="B1980" i="10"/>
  <c r="S1979" i="10"/>
  <c r="Q1979" i="10"/>
  <c r="P1979" i="10"/>
  <c r="O1979" i="10"/>
  <c r="M1979" i="10"/>
  <c r="E1979" i="10"/>
  <c r="B1979" i="10"/>
  <c r="S1978" i="10"/>
  <c r="Q1978" i="10"/>
  <c r="P1978" i="10"/>
  <c r="O1978" i="10"/>
  <c r="M1978" i="10"/>
  <c r="E1978" i="10"/>
  <c r="B1978" i="10"/>
  <c r="S1977" i="10"/>
  <c r="Q1977" i="10"/>
  <c r="P1977" i="10"/>
  <c r="O1977" i="10"/>
  <c r="M1977" i="10"/>
  <c r="B1977" i="10"/>
  <c r="S1976" i="10"/>
  <c r="Q1976" i="10"/>
  <c r="P1976" i="10"/>
  <c r="O1976" i="10"/>
  <c r="M1976" i="10"/>
  <c r="B1976" i="10"/>
  <c r="S1975" i="10"/>
  <c r="Q1975" i="10"/>
  <c r="P1975" i="10"/>
  <c r="O1975" i="10"/>
  <c r="M1975" i="10"/>
  <c r="E1975" i="10"/>
  <c r="B1975" i="10"/>
  <c r="S1974" i="10"/>
  <c r="Q1974" i="10"/>
  <c r="P1974" i="10"/>
  <c r="O1974" i="10"/>
  <c r="M1974" i="10"/>
  <c r="E1974" i="10"/>
  <c r="B1974" i="10"/>
  <c r="S1973" i="10"/>
  <c r="Q1973" i="10"/>
  <c r="P1973" i="10"/>
  <c r="O1973" i="10"/>
  <c r="M1973" i="10"/>
  <c r="E1973" i="10"/>
  <c r="B1973" i="10"/>
  <c r="S1972" i="10"/>
  <c r="Q1972" i="10"/>
  <c r="P1972" i="10"/>
  <c r="O1972" i="10"/>
  <c r="M1972" i="10"/>
  <c r="E1972" i="10"/>
  <c r="B1972" i="10"/>
  <c r="S1971" i="10"/>
  <c r="Q1971" i="10"/>
  <c r="P1971" i="10"/>
  <c r="O1971" i="10"/>
  <c r="M1971" i="10"/>
  <c r="B1971" i="10"/>
  <c r="S1970" i="10"/>
  <c r="Q1970" i="10"/>
  <c r="P1970" i="10"/>
  <c r="O1970" i="10"/>
  <c r="M1970" i="10"/>
  <c r="E1970" i="10"/>
  <c r="B1970" i="10"/>
  <c r="S1969" i="10"/>
  <c r="Q1969" i="10"/>
  <c r="P1969" i="10"/>
  <c r="O1969" i="10"/>
  <c r="M1969" i="10"/>
  <c r="E1969" i="10"/>
  <c r="B1969" i="10"/>
  <c r="S1968" i="10"/>
  <c r="Q1968" i="10"/>
  <c r="P1968" i="10"/>
  <c r="O1968" i="10"/>
  <c r="M1968" i="10"/>
  <c r="B1968" i="10"/>
  <c r="S1967" i="10"/>
  <c r="Q1967" i="10"/>
  <c r="P1967" i="10"/>
  <c r="O1967" i="10"/>
  <c r="M1967" i="10"/>
  <c r="E1967" i="10"/>
  <c r="B1967" i="10"/>
  <c r="S1966" i="10"/>
  <c r="Q1966" i="10"/>
  <c r="P1966" i="10"/>
  <c r="O1966" i="10"/>
  <c r="M1966" i="10"/>
  <c r="E1966" i="10"/>
  <c r="B1966" i="10"/>
  <c r="S1965" i="10"/>
  <c r="Q1965" i="10"/>
  <c r="P1965" i="10"/>
  <c r="O1965" i="10"/>
  <c r="M1965" i="10"/>
  <c r="E1965" i="10"/>
  <c r="B1965" i="10"/>
  <c r="S1964" i="10"/>
  <c r="Q1964" i="10"/>
  <c r="P1964" i="10"/>
  <c r="O1964" i="10"/>
  <c r="M1964" i="10"/>
  <c r="E1964" i="10"/>
  <c r="B1964" i="10"/>
  <c r="S1963" i="10"/>
  <c r="Q1963" i="10"/>
  <c r="P1963" i="10"/>
  <c r="O1963" i="10"/>
  <c r="M1963" i="10"/>
  <c r="E1963" i="10"/>
  <c r="B1963" i="10"/>
  <c r="S1962" i="10"/>
  <c r="Q1962" i="10"/>
  <c r="P1962" i="10"/>
  <c r="O1962" i="10"/>
  <c r="M1962" i="10"/>
  <c r="E1962" i="10"/>
  <c r="B1962" i="10"/>
  <c r="S1961" i="10"/>
  <c r="Q1961" i="10"/>
  <c r="P1961" i="10"/>
  <c r="O1961" i="10"/>
  <c r="M1961" i="10"/>
  <c r="E1961" i="10"/>
  <c r="B1961" i="10"/>
  <c r="S1960" i="10"/>
  <c r="Q1960" i="10"/>
  <c r="P1960" i="10"/>
  <c r="O1960" i="10"/>
  <c r="M1960" i="10"/>
  <c r="E1960" i="10"/>
  <c r="B1960" i="10"/>
  <c r="S1959" i="10"/>
  <c r="Q1959" i="10"/>
  <c r="P1959" i="10"/>
  <c r="O1959" i="10"/>
  <c r="M1959" i="10"/>
  <c r="E1959" i="10"/>
  <c r="B1959" i="10"/>
  <c r="S1958" i="10"/>
  <c r="Q1958" i="10"/>
  <c r="P1958" i="10"/>
  <c r="O1958" i="10"/>
  <c r="M1958" i="10"/>
  <c r="E1958" i="10"/>
  <c r="B1958" i="10"/>
  <c r="S1957" i="10"/>
  <c r="Q1957" i="10"/>
  <c r="P1957" i="10"/>
  <c r="O1957" i="10"/>
  <c r="M1957" i="10"/>
  <c r="E1957" i="10"/>
  <c r="B1957" i="10"/>
  <c r="S1956" i="10"/>
  <c r="Q1956" i="10"/>
  <c r="P1956" i="10"/>
  <c r="O1956" i="10"/>
  <c r="M1956" i="10"/>
  <c r="E1956" i="10"/>
  <c r="B1956" i="10"/>
  <c r="S1955" i="10"/>
  <c r="Q1955" i="10"/>
  <c r="P1955" i="10"/>
  <c r="O1955" i="10"/>
  <c r="M1955" i="10"/>
  <c r="E1955" i="10"/>
  <c r="B1955" i="10"/>
  <c r="S1954" i="10"/>
  <c r="Q1954" i="10"/>
  <c r="P1954" i="10"/>
  <c r="O1954" i="10"/>
  <c r="M1954" i="10"/>
  <c r="E1954" i="10"/>
  <c r="B1954" i="10"/>
  <c r="S1953" i="10"/>
  <c r="Q1953" i="10"/>
  <c r="P1953" i="10"/>
  <c r="O1953" i="10"/>
  <c r="M1953" i="10"/>
  <c r="E1953" i="10"/>
  <c r="B1953" i="10"/>
  <c r="S1952" i="10"/>
  <c r="Q1952" i="10"/>
  <c r="P1952" i="10"/>
  <c r="O1952" i="10"/>
  <c r="M1952" i="10"/>
  <c r="E1952" i="10"/>
  <c r="B1952" i="10"/>
  <c r="S1951" i="10"/>
  <c r="Q1951" i="10"/>
  <c r="P1951" i="10"/>
  <c r="O1951" i="10"/>
  <c r="M1951" i="10"/>
  <c r="E1951" i="10"/>
  <c r="B1951" i="10"/>
  <c r="S1950" i="10"/>
  <c r="Q1950" i="10"/>
  <c r="P1950" i="10"/>
  <c r="O1950" i="10"/>
  <c r="M1950" i="10"/>
  <c r="E1950" i="10"/>
  <c r="B1950" i="10"/>
  <c r="S1949" i="10"/>
  <c r="Q1949" i="10"/>
  <c r="P1949" i="10"/>
  <c r="O1949" i="10"/>
  <c r="M1949" i="10"/>
  <c r="E1949" i="10"/>
  <c r="B1949" i="10"/>
  <c r="S1948" i="10"/>
  <c r="Q1948" i="10"/>
  <c r="P1948" i="10"/>
  <c r="O1948" i="10"/>
  <c r="M1948" i="10"/>
  <c r="E1948" i="10"/>
  <c r="B1948" i="10"/>
  <c r="S1947" i="10"/>
  <c r="Q1947" i="10"/>
  <c r="P1947" i="10"/>
  <c r="O1947" i="10"/>
  <c r="M1947" i="10"/>
  <c r="B1947" i="10"/>
  <c r="S1946" i="10"/>
  <c r="Q1946" i="10"/>
  <c r="P1946" i="10"/>
  <c r="O1946" i="10"/>
  <c r="M1946" i="10"/>
  <c r="E1946" i="10"/>
  <c r="B1946" i="10"/>
  <c r="S1945" i="10"/>
  <c r="Q1945" i="10"/>
  <c r="P1945" i="10"/>
  <c r="O1945" i="10"/>
  <c r="M1945" i="10"/>
  <c r="E1945" i="10"/>
  <c r="B1945" i="10"/>
  <c r="S1944" i="10"/>
  <c r="Q1944" i="10"/>
  <c r="P1944" i="10"/>
  <c r="O1944" i="10"/>
  <c r="M1944" i="10"/>
  <c r="E1944" i="10"/>
  <c r="B1944" i="10"/>
  <c r="S1943" i="10"/>
  <c r="Q1943" i="10"/>
  <c r="P1943" i="10"/>
  <c r="O1943" i="10"/>
  <c r="M1943" i="10"/>
  <c r="E1943" i="10"/>
  <c r="B1943" i="10"/>
  <c r="S1942" i="10"/>
  <c r="Q1942" i="10"/>
  <c r="P1942" i="10"/>
  <c r="O1942" i="10"/>
  <c r="M1942" i="10"/>
  <c r="E1942" i="10"/>
  <c r="B1942" i="10"/>
  <c r="S1941" i="10"/>
  <c r="Q1941" i="10"/>
  <c r="P1941" i="10"/>
  <c r="O1941" i="10"/>
  <c r="M1941" i="10"/>
  <c r="E1941" i="10"/>
  <c r="B1941" i="10"/>
  <c r="S1940" i="10"/>
  <c r="Q1940" i="10"/>
  <c r="P1940" i="10"/>
  <c r="O1940" i="10"/>
  <c r="M1940" i="10"/>
  <c r="E1940" i="10"/>
  <c r="B1940" i="10"/>
  <c r="S1939" i="10"/>
  <c r="Q1939" i="10"/>
  <c r="P1939" i="10"/>
  <c r="O1939" i="10"/>
  <c r="M1939" i="10"/>
  <c r="E1939" i="10"/>
  <c r="B1939" i="10"/>
  <c r="S1938" i="10"/>
  <c r="Q1938" i="10"/>
  <c r="P1938" i="10"/>
  <c r="O1938" i="10"/>
  <c r="M1938" i="10"/>
  <c r="E1938" i="10"/>
  <c r="B1938" i="10"/>
  <c r="S1937" i="10"/>
  <c r="Q1937" i="10"/>
  <c r="P1937" i="10"/>
  <c r="O1937" i="10"/>
  <c r="M1937" i="10"/>
  <c r="E1937" i="10"/>
  <c r="B1937" i="10"/>
  <c r="S1936" i="10"/>
  <c r="Q1936" i="10"/>
  <c r="P1936" i="10"/>
  <c r="O1936" i="10"/>
  <c r="M1936" i="10"/>
  <c r="E1936" i="10"/>
  <c r="B1936" i="10"/>
  <c r="S1935" i="10"/>
  <c r="Q1935" i="10"/>
  <c r="P1935" i="10"/>
  <c r="O1935" i="10"/>
  <c r="M1935" i="10"/>
  <c r="E1935" i="10"/>
  <c r="B1935" i="10"/>
  <c r="S1934" i="10"/>
  <c r="Q1934" i="10"/>
  <c r="P1934" i="10"/>
  <c r="O1934" i="10"/>
  <c r="M1934" i="10"/>
  <c r="E1934" i="10"/>
  <c r="B1934" i="10"/>
  <c r="S1933" i="10"/>
  <c r="Q1933" i="10"/>
  <c r="P1933" i="10"/>
  <c r="O1933" i="10"/>
  <c r="M1933" i="10"/>
  <c r="E1933" i="10"/>
  <c r="B1933" i="10"/>
  <c r="S1932" i="10"/>
  <c r="Q1932" i="10"/>
  <c r="P1932" i="10"/>
  <c r="O1932" i="10"/>
  <c r="M1932" i="10"/>
  <c r="E1932" i="10"/>
  <c r="B1932" i="10"/>
  <c r="S1931" i="10"/>
  <c r="Q1931" i="10"/>
  <c r="P1931" i="10"/>
  <c r="O1931" i="10"/>
  <c r="M1931" i="10"/>
  <c r="E1931" i="10"/>
  <c r="B1931" i="10"/>
  <c r="S1930" i="10"/>
  <c r="Q1930" i="10"/>
  <c r="P1930" i="10"/>
  <c r="O1930" i="10"/>
  <c r="M1930" i="10"/>
  <c r="E1930" i="10"/>
  <c r="B1930" i="10"/>
  <c r="S1929" i="10"/>
  <c r="Q1929" i="10"/>
  <c r="P1929" i="10"/>
  <c r="O1929" i="10"/>
  <c r="M1929" i="10"/>
  <c r="E1929" i="10"/>
  <c r="B1929" i="10"/>
  <c r="S1928" i="10"/>
  <c r="Q1928" i="10"/>
  <c r="P1928" i="10"/>
  <c r="O1928" i="10"/>
  <c r="M1928" i="10"/>
  <c r="E1928" i="10"/>
  <c r="B1928" i="10"/>
  <c r="S1927" i="10"/>
  <c r="Q1927" i="10"/>
  <c r="P1927" i="10"/>
  <c r="O1927" i="10"/>
  <c r="M1927" i="10"/>
  <c r="E1927" i="10"/>
  <c r="B1927" i="10"/>
  <c r="S1926" i="10"/>
  <c r="Q1926" i="10"/>
  <c r="P1926" i="10"/>
  <c r="O1926" i="10"/>
  <c r="M1926" i="10"/>
  <c r="E1926" i="10"/>
  <c r="B1926" i="10"/>
  <c r="S1925" i="10"/>
  <c r="Q1925" i="10"/>
  <c r="P1925" i="10"/>
  <c r="O1925" i="10"/>
  <c r="M1925" i="10"/>
  <c r="E1925" i="10"/>
  <c r="B1925" i="10"/>
  <c r="S1924" i="10"/>
  <c r="Q1924" i="10"/>
  <c r="P1924" i="10"/>
  <c r="O1924" i="10"/>
  <c r="M1924" i="10"/>
  <c r="E1924" i="10"/>
  <c r="B1924" i="10"/>
  <c r="S1923" i="10"/>
  <c r="Q1923" i="10"/>
  <c r="P1923" i="10"/>
  <c r="O1923" i="10"/>
  <c r="M1923" i="10"/>
  <c r="E1923" i="10"/>
  <c r="B1923" i="10"/>
  <c r="S1922" i="10"/>
  <c r="Q1922" i="10"/>
  <c r="P1922" i="10"/>
  <c r="O1922" i="10"/>
  <c r="M1922" i="10"/>
  <c r="E1922" i="10"/>
  <c r="B1922" i="10"/>
  <c r="S1921" i="10"/>
  <c r="Q1921" i="10"/>
  <c r="P1921" i="10"/>
  <c r="O1921" i="10"/>
  <c r="M1921" i="10"/>
  <c r="E1921" i="10"/>
  <c r="B1921" i="10"/>
  <c r="S1920" i="10"/>
  <c r="Q1920" i="10"/>
  <c r="P1920" i="10"/>
  <c r="O1920" i="10"/>
  <c r="M1920" i="10"/>
  <c r="E1920" i="10"/>
  <c r="B1920" i="10"/>
  <c r="S1919" i="10"/>
  <c r="Q1919" i="10"/>
  <c r="P1919" i="10"/>
  <c r="O1919" i="10"/>
  <c r="M1919" i="10"/>
  <c r="E1919" i="10"/>
  <c r="B1919" i="10"/>
  <c r="S1918" i="10"/>
  <c r="Q1918" i="10"/>
  <c r="P1918" i="10"/>
  <c r="O1918" i="10"/>
  <c r="M1918" i="10"/>
  <c r="E1918" i="10"/>
  <c r="B1918" i="10"/>
  <c r="S1917" i="10"/>
  <c r="Q1917" i="10"/>
  <c r="P1917" i="10"/>
  <c r="O1917" i="10"/>
  <c r="M1917" i="10"/>
  <c r="E1917" i="10"/>
  <c r="B1917" i="10"/>
  <c r="S1916" i="10"/>
  <c r="Q1916" i="10"/>
  <c r="P1916" i="10"/>
  <c r="O1916" i="10"/>
  <c r="M1916" i="10"/>
  <c r="E1916" i="10"/>
  <c r="B1916" i="10"/>
  <c r="S1915" i="10"/>
  <c r="Q1915" i="10"/>
  <c r="P1915" i="10"/>
  <c r="O1915" i="10"/>
  <c r="M1915" i="10"/>
  <c r="E1915" i="10"/>
  <c r="B1915" i="10"/>
  <c r="S1914" i="10"/>
  <c r="Q1914" i="10"/>
  <c r="P1914" i="10"/>
  <c r="O1914" i="10"/>
  <c r="M1914" i="10"/>
  <c r="E1914" i="10"/>
  <c r="B1914" i="10"/>
  <c r="S1913" i="10"/>
  <c r="Q1913" i="10"/>
  <c r="P1913" i="10"/>
  <c r="O1913" i="10"/>
  <c r="M1913" i="10"/>
  <c r="B1913" i="10"/>
  <c r="S1912" i="10"/>
  <c r="Q1912" i="10"/>
  <c r="P1912" i="10"/>
  <c r="O1912" i="10"/>
  <c r="M1912" i="10"/>
  <c r="E1912" i="10"/>
  <c r="B1912" i="10"/>
  <c r="S1911" i="10"/>
  <c r="Q1911" i="10"/>
  <c r="P1911" i="10"/>
  <c r="O1911" i="10"/>
  <c r="M1911" i="10"/>
  <c r="B1911" i="10"/>
  <c r="S1910" i="10"/>
  <c r="Q1910" i="10"/>
  <c r="P1910" i="10"/>
  <c r="O1910" i="10"/>
  <c r="M1910" i="10"/>
  <c r="E1910" i="10"/>
  <c r="B1910" i="10"/>
  <c r="S1909" i="10"/>
  <c r="Q1909" i="10"/>
  <c r="P1909" i="10"/>
  <c r="O1909" i="10"/>
  <c r="M1909" i="10"/>
  <c r="E1909" i="10"/>
  <c r="B1909" i="10"/>
  <c r="S1908" i="10"/>
  <c r="Q1908" i="10"/>
  <c r="P1908" i="10"/>
  <c r="O1908" i="10"/>
  <c r="M1908" i="10"/>
  <c r="E1908" i="10"/>
  <c r="B1908" i="10"/>
  <c r="S1907" i="10"/>
  <c r="Q1907" i="10"/>
  <c r="P1907" i="10"/>
  <c r="O1907" i="10"/>
  <c r="M1907" i="10"/>
  <c r="E1907" i="10"/>
  <c r="B1907" i="10"/>
  <c r="S1906" i="10"/>
  <c r="Q1906" i="10"/>
  <c r="P1906" i="10"/>
  <c r="O1906" i="10"/>
  <c r="M1906" i="10"/>
  <c r="E1906" i="10"/>
  <c r="B1906" i="10"/>
  <c r="S1905" i="10"/>
  <c r="Q1905" i="10"/>
  <c r="P1905" i="10"/>
  <c r="O1905" i="10"/>
  <c r="M1905" i="10"/>
  <c r="E1905" i="10"/>
  <c r="B1905" i="10"/>
  <c r="S1904" i="10"/>
  <c r="Q1904" i="10"/>
  <c r="P1904" i="10"/>
  <c r="O1904" i="10"/>
  <c r="M1904" i="10"/>
  <c r="E1904" i="10"/>
  <c r="B1904" i="10"/>
  <c r="S1903" i="10"/>
  <c r="Q1903" i="10"/>
  <c r="P1903" i="10"/>
  <c r="O1903" i="10"/>
  <c r="M1903" i="10"/>
  <c r="B1903" i="10"/>
  <c r="S1902" i="10"/>
  <c r="Q1902" i="10"/>
  <c r="P1902" i="10"/>
  <c r="O1902" i="10"/>
  <c r="M1902" i="10"/>
  <c r="E1902" i="10"/>
  <c r="B1902" i="10"/>
  <c r="S1901" i="10"/>
  <c r="Q1901" i="10"/>
  <c r="P1901" i="10"/>
  <c r="O1901" i="10"/>
  <c r="M1901" i="10"/>
  <c r="E1901" i="10"/>
  <c r="B1901" i="10"/>
  <c r="S1900" i="10"/>
  <c r="Q1900" i="10"/>
  <c r="P1900" i="10"/>
  <c r="O1900" i="10"/>
  <c r="M1900" i="10"/>
  <c r="E1900" i="10"/>
  <c r="B1900" i="10"/>
  <c r="S1899" i="10"/>
  <c r="Q1899" i="10"/>
  <c r="P1899" i="10"/>
  <c r="O1899" i="10"/>
  <c r="M1899" i="10"/>
  <c r="E1899" i="10"/>
  <c r="B1899" i="10"/>
  <c r="S1898" i="10"/>
  <c r="Q1898" i="10"/>
  <c r="P1898" i="10"/>
  <c r="O1898" i="10"/>
  <c r="M1898" i="10"/>
  <c r="E1898" i="10"/>
  <c r="B1898" i="10"/>
  <c r="S1897" i="10"/>
  <c r="Q1897" i="10"/>
  <c r="P1897" i="10"/>
  <c r="O1897" i="10"/>
  <c r="M1897" i="10"/>
  <c r="B1897" i="10"/>
  <c r="S1896" i="10"/>
  <c r="Q1896" i="10"/>
  <c r="P1896" i="10"/>
  <c r="O1896" i="10"/>
  <c r="M1896" i="10"/>
  <c r="E1896" i="10"/>
  <c r="B1896" i="10"/>
  <c r="S1895" i="10"/>
  <c r="Q1895" i="10"/>
  <c r="P1895" i="10"/>
  <c r="O1895" i="10"/>
  <c r="M1895" i="10"/>
  <c r="E1895" i="10"/>
  <c r="B1895" i="10"/>
  <c r="S1894" i="10"/>
  <c r="Q1894" i="10"/>
  <c r="P1894" i="10"/>
  <c r="O1894" i="10"/>
  <c r="M1894" i="10"/>
  <c r="E1894" i="10"/>
  <c r="B1894" i="10"/>
  <c r="S1893" i="10"/>
  <c r="Q1893" i="10"/>
  <c r="P1893" i="10"/>
  <c r="O1893" i="10"/>
  <c r="M1893" i="10"/>
  <c r="E1893" i="10"/>
  <c r="B1893" i="10"/>
  <c r="S1892" i="10"/>
  <c r="Q1892" i="10"/>
  <c r="P1892" i="10"/>
  <c r="O1892" i="10"/>
  <c r="M1892" i="10"/>
  <c r="E1892" i="10"/>
  <c r="B1892" i="10"/>
  <c r="S1891" i="10"/>
  <c r="Q1891" i="10"/>
  <c r="P1891" i="10"/>
  <c r="O1891" i="10"/>
  <c r="M1891" i="10"/>
  <c r="E1891" i="10"/>
  <c r="B1891" i="10"/>
  <c r="S1890" i="10"/>
  <c r="Q1890" i="10"/>
  <c r="P1890" i="10"/>
  <c r="O1890" i="10"/>
  <c r="M1890" i="10"/>
  <c r="E1890" i="10"/>
  <c r="B1890" i="10"/>
  <c r="S1889" i="10"/>
  <c r="Q1889" i="10"/>
  <c r="P1889" i="10"/>
  <c r="O1889" i="10"/>
  <c r="M1889" i="10"/>
  <c r="B1889" i="10"/>
  <c r="S1888" i="10"/>
  <c r="Q1888" i="10"/>
  <c r="P1888" i="10"/>
  <c r="O1888" i="10"/>
  <c r="M1888" i="10"/>
  <c r="E1888" i="10"/>
  <c r="B1888" i="10"/>
  <c r="S1887" i="10"/>
  <c r="Q1887" i="10"/>
  <c r="P1887" i="10"/>
  <c r="O1887" i="10"/>
  <c r="M1887" i="10"/>
  <c r="E1887" i="10"/>
  <c r="B1887" i="10"/>
  <c r="S1886" i="10"/>
  <c r="Q1886" i="10"/>
  <c r="P1886" i="10"/>
  <c r="O1886" i="10"/>
  <c r="M1886" i="10"/>
  <c r="B1886" i="10"/>
  <c r="S1885" i="10"/>
  <c r="Q1885" i="10"/>
  <c r="P1885" i="10"/>
  <c r="O1885" i="10"/>
  <c r="M1885" i="10"/>
  <c r="E1885" i="10"/>
  <c r="B1885" i="10"/>
  <c r="S1884" i="10"/>
  <c r="Q1884" i="10"/>
  <c r="P1884" i="10"/>
  <c r="O1884" i="10"/>
  <c r="M1884" i="10"/>
  <c r="E1884" i="10"/>
  <c r="B1884" i="10"/>
  <c r="S1883" i="10"/>
  <c r="Q1883" i="10"/>
  <c r="P1883" i="10"/>
  <c r="O1883" i="10"/>
  <c r="M1883" i="10"/>
  <c r="E1883" i="10"/>
  <c r="B1883" i="10"/>
  <c r="S1882" i="10"/>
  <c r="Q1882" i="10"/>
  <c r="P1882" i="10"/>
  <c r="O1882" i="10"/>
  <c r="M1882" i="10"/>
  <c r="E1882" i="10"/>
  <c r="B1882" i="10"/>
  <c r="S1881" i="10"/>
  <c r="Q1881" i="10"/>
  <c r="P1881" i="10"/>
  <c r="O1881" i="10"/>
  <c r="M1881" i="10"/>
  <c r="E1881" i="10"/>
  <c r="B1881" i="10"/>
  <c r="S1880" i="10"/>
  <c r="Q1880" i="10"/>
  <c r="P1880" i="10"/>
  <c r="O1880" i="10"/>
  <c r="M1880" i="10"/>
  <c r="E1880" i="10"/>
  <c r="B1880" i="10"/>
  <c r="S1879" i="10"/>
  <c r="Q1879" i="10"/>
  <c r="P1879" i="10"/>
  <c r="O1879" i="10"/>
  <c r="M1879" i="10"/>
  <c r="E1879" i="10"/>
  <c r="B1879" i="10"/>
  <c r="S1878" i="10"/>
  <c r="Q1878" i="10"/>
  <c r="P1878" i="10"/>
  <c r="O1878" i="10"/>
  <c r="M1878" i="10"/>
  <c r="E1878" i="10"/>
  <c r="B1878" i="10"/>
  <c r="S1877" i="10"/>
  <c r="Q1877" i="10"/>
  <c r="P1877" i="10"/>
  <c r="O1877" i="10"/>
  <c r="M1877" i="10"/>
  <c r="B1877" i="10"/>
  <c r="S1876" i="10"/>
  <c r="Q1876" i="10"/>
  <c r="P1876" i="10"/>
  <c r="O1876" i="10"/>
  <c r="M1876" i="10"/>
  <c r="E1876" i="10"/>
  <c r="B1876" i="10"/>
  <c r="S1875" i="10"/>
  <c r="Q1875" i="10"/>
  <c r="P1875" i="10"/>
  <c r="O1875" i="10"/>
  <c r="M1875" i="10"/>
  <c r="E1875" i="10"/>
  <c r="B1875" i="10"/>
  <c r="S1874" i="10"/>
  <c r="Q1874" i="10"/>
  <c r="P1874" i="10"/>
  <c r="O1874" i="10"/>
  <c r="M1874" i="10"/>
  <c r="E1874" i="10"/>
  <c r="B1874" i="10"/>
  <c r="S1873" i="10"/>
  <c r="Q1873" i="10"/>
  <c r="P1873" i="10"/>
  <c r="O1873" i="10"/>
  <c r="M1873" i="10"/>
  <c r="E1873" i="10"/>
  <c r="B1873" i="10"/>
  <c r="S1872" i="10"/>
  <c r="Q1872" i="10"/>
  <c r="P1872" i="10"/>
  <c r="O1872" i="10"/>
  <c r="M1872" i="10"/>
  <c r="E1872" i="10"/>
  <c r="B1872" i="10"/>
  <c r="S1871" i="10"/>
  <c r="Q1871" i="10"/>
  <c r="P1871" i="10"/>
  <c r="O1871" i="10"/>
  <c r="M1871" i="10"/>
  <c r="E1871" i="10"/>
  <c r="B1871" i="10"/>
  <c r="S1870" i="10"/>
  <c r="Q1870" i="10"/>
  <c r="P1870" i="10"/>
  <c r="O1870" i="10"/>
  <c r="M1870" i="10"/>
  <c r="B1870" i="10"/>
  <c r="S1869" i="10"/>
  <c r="Q1869" i="10"/>
  <c r="P1869" i="10"/>
  <c r="O1869" i="10"/>
  <c r="M1869" i="10"/>
  <c r="E1869" i="10"/>
  <c r="B1869" i="10"/>
  <c r="S1868" i="10"/>
  <c r="Q1868" i="10"/>
  <c r="P1868" i="10"/>
  <c r="O1868" i="10"/>
  <c r="M1868" i="10"/>
  <c r="B1868" i="10"/>
  <c r="S1867" i="10"/>
  <c r="Q1867" i="10"/>
  <c r="P1867" i="10"/>
  <c r="O1867" i="10"/>
  <c r="M1867" i="10"/>
  <c r="E1867" i="10"/>
  <c r="B1867" i="10"/>
  <c r="S1866" i="10"/>
  <c r="Q1866" i="10"/>
  <c r="P1866" i="10"/>
  <c r="O1866" i="10"/>
  <c r="M1866" i="10"/>
  <c r="E1866" i="10"/>
  <c r="B1866" i="10"/>
  <c r="S1865" i="10"/>
  <c r="Q1865" i="10"/>
  <c r="P1865" i="10"/>
  <c r="O1865" i="10"/>
  <c r="M1865" i="10"/>
  <c r="E1865" i="10"/>
  <c r="B1865" i="10"/>
  <c r="S1864" i="10"/>
  <c r="Q1864" i="10"/>
  <c r="P1864" i="10"/>
  <c r="O1864" i="10"/>
  <c r="M1864" i="10"/>
  <c r="E1864" i="10"/>
  <c r="B1864" i="10"/>
  <c r="S1863" i="10"/>
  <c r="Q1863" i="10"/>
  <c r="P1863" i="10"/>
  <c r="O1863" i="10"/>
  <c r="M1863" i="10"/>
  <c r="E1863" i="10"/>
  <c r="B1863" i="10"/>
  <c r="S1862" i="10"/>
  <c r="Q1862" i="10"/>
  <c r="P1862" i="10"/>
  <c r="O1862" i="10"/>
  <c r="M1862" i="10"/>
  <c r="B1862" i="10"/>
  <c r="S1861" i="10"/>
  <c r="Q1861" i="10"/>
  <c r="P1861" i="10"/>
  <c r="O1861" i="10"/>
  <c r="M1861" i="10"/>
  <c r="E1861" i="10"/>
  <c r="B1861" i="10"/>
  <c r="S1860" i="10"/>
  <c r="Q1860" i="10"/>
  <c r="P1860" i="10"/>
  <c r="O1860" i="10"/>
  <c r="M1860" i="10"/>
  <c r="E1860" i="10"/>
  <c r="B1860" i="10"/>
  <c r="S1859" i="10"/>
  <c r="Q1859" i="10"/>
  <c r="P1859" i="10"/>
  <c r="O1859" i="10"/>
  <c r="M1859" i="10"/>
  <c r="E1859" i="10"/>
  <c r="B1859" i="10"/>
  <c r="S1858" i="10"/>
  <c r="Q1858" i="10"/>
  <c r="P1858" i="10"/>
  <c r="O1858" i="10"/>
  <c r="M1858" i="10"/>
  <c r="E1858" i="10"/>
  <c r="B1858" i="10"/>
  <c r="S1857" i="10"/>
  <c r="Q1857" i="10"/>
  <c r="P1857" i="10"/>
  <c r="O1857" i="10"/>
  <c r="M1857" i="10"/>
  <c r="E1857" i="10"/>
  <c r="B1857" i="10"/>
  <c r="S1856" i="10"/>
  <c r="Q1856" i="10"/>
  <c r="P1856" i="10"/>
  <c r="O1856" i="10"/>
  <c r="M1856" i="10"/>
  <c r="E1856" i="10"/>
  <c r="B1856" i="10"/>
  <c r="S1855" i="10"/>
  <c r="Q1855" i="10"/>
  <c r="P1855" i="10"/>
  <c r="O1855" i="10"/>
  <c r="M1855" i="10"/>
  <c r="B1855" i="10"/>
  <c r="S1854" i="10"/>
  <c r="Q1854" i="10"/>
  <c r="P1854" i="10"/>
  <c r="O1854" i="10"/>
  <c r="M1854" i="10"/>
  <c r="E1854" i="10"/>
  <c r="B1854" i="10"/>
  <c r="S1853" i="10"/>
  <c r="Q1853" i="10"/>
  <c r="P1853" i="10"/>
  <c r="O1853" i="10"/>
  <c r="M1853" i="10"/>
  <c r="E1853" i="10"/>
  <c r="B1853" i="10"/>
  <c r="S1852" i="10"/>
  <c r="Q1852" i="10"/>
  <c r="P1852" i="10"/>
  <c r="O1852" i="10"/>
  <c r="M1852" i="10"/>
  <c r="B1852" i="10"/>
  <c r="S1851" i="10"/>
  <c r="Q1851" i="10"/>
  <c r="P1851" i="10"/>
  <c r="O1851" i="10"/>
  <c r="M1851" i="10"/>
  <c r="E1851" i="10"/>
  <c r="B1851" i="10"/>
  <c r="S1850" i="10"/>
  <c r="Q1850" i="10"/>
  <c r="P1850" i="10"/>
  <c r="O1850" i="10"/>
  <c r="M1850" i="10"/>
  <c r="E1850" i="10"/>
  <c r="B1850" i="10"/>
  <c r="S1849" i="10"/>
  <c r="Q1849" i="10"/>
  <c r="P1849" i="10"/>
  <c r="O1849" i="10"/>
  <c r="M1849" i="10"/>
  <c r="E1849" i="10"/>
  <c r="B1849" i="10"/>
  <c r="S1848" i="10"/>
  <c r="Q1848" i="10"/>
  <c r="P1848" i="10"/>
  <c r="O1848" i="10"/>
  <c r="M1848" i="10"/>
  <c r="E1848" i="10"/>
  <c r="B1848" i="10"/>
  <c r="S1847" i="10"/>
  <c r="Q1847" i="10"/>
  <c r="P1847" i="10"/>
  <c r="O1847" i="10"/>
  <c r="M1847" i="10"/>
  <c r="E1847" i="10"/>
  <c r="B1847" i="10"/>
  <c r="S1846" i="10"/>
  <c r="Q1846" i="10"/>
  <c r="P1846" i="10"/>
  <c r="O1846" i="10"/>
  <c r="M1846" i="10"/>
  <c r="E1846" i="10"/>
  <c r="B1846" i="10"/>
  <c r="S1845" i="10"/>
  <c r="Q1845" i="10"/>
  <c r="P1845" i="10"/>
  <c r="O1845" i="10"/>
  <c r="M1845" i="10"/>
  <c r="E1845" i="10"/>
  <c r="B1845" i="10"/>
  <c r="S1844" i="10"/>
  <c r="Q1844" i="10"/>
  <c r="P1844" i="10"/>
  <c r="O1844" i="10"/>
  <c r="M1844" i="10"/>
  <c r="E1844" i="10"/>
  <c r="B1844" i="10"/>
  <c r="S1843" i="10"/>
  <c r="Q1843" i="10"/>
  <c r="P1843" i="10"/>
  <c r="O1843" i="10"/>
  <c r="M1843" i="10"/>
  <c r="E1843" i="10"/>
  <c r="B1843" i="10"/>
  <c r="S1842" i="10"/>
  <c r="Q1842" i="10"/>
  <c r="P1842" i="10"/>
  <c r="O1842" i="10"/>
  <c r="M1842" i="10"/>
  <c r="E1842" i="10"/>
  <c r="B1842" i="10"/>
  <c r="S1841" i="10"/>
  <c r="Q1841" i="10"/>
  <c r="P1841" i="10"/>
  <c r="O1841" i="10"/>
  <c r="M1841" i="10"/>
  <c r="E1841" i="10"/>
  <c r="B1841" i="10"/>
  <c r="S1840" i="10"/>
  <c r="Q1840" i="10"/>
  <c r="P1840" i="10"/>
  <c r="O1840" i="10"/>
  <c r="M1840" i="10"/>
  <c r="E1840" i="10"/>
  <c r="B1840" i="10"/>
  <c r="S1839" i="10"/>
  <c r="Q1839" i="10"/>
  <c r="P1839" i="10"/>
  <c r="O1839" i="10"/>
  <c r="M1839" i="10"/>
  <c r="E1839" i="10"/>
  <c r="B1839" i="10"/>
  <c r="S1838" i="10"/>
  <c r="Q1838" i="10"/>
  <c r="P1838" i="10"/>
  <c r="O1838" i="10"/>
  <c r="M1838" i="10"/>
  <c r="E1838" i="10"/>
  <c r="B1838" i="10"/>
  <c r="S1837" i="10"/>
  <c r="Q1837" i="10"/>
  <c r="P1837" i="10"/>
  <c r="O1837" i="10"/>
  <c r="M1837" i="10"/>
  <c r="E1837" i="10"/>
  <c r="B1837" i="10"/>
  <c r="S1836" i="10"/>
  <c r="Q1836" i="10"/>
  <c r="P1836" i="10"/>
  <c r="O1836" i="10"/>
  <c r="M1836" i="10"/>
  <c r="B1836" i="10"/>
  <c r="S1835" i="10"/>
  <c r="Q1835" i="10"/>
  <c r="P1835" i="10"/>
  <c r="O1835" i="10"/>
  <c r="M1835" i="10"/>
  <c r="B1835" i="10"/>
  <c r="S1834" i="10"/>
  <c r="Q1834" i="10"/>
  <c r="P1834" i="10"/>
  <c r="O1834" i="10"/>
  <c r="M1834" i="10"/>
  <c r="E1834" i="10"/>
  <c r="B1834" i="10"/>
  <c r="S1833" i="10"/>
  <c r="Q1833" i="10"/>
  <c r="P1833" i="10"/>
  <c r="O1833" i="10"/>
  <c r="M1833" i="10"/>
  <c r="E1833" i="10"/>
  <c r="B1833" i="10"/>
  <c r="S1832" i="10"/>
  <c r="Q1832" i="10"/>
  <c r="P1832" i="10"/>
  <c r="O1832" i="10"/>
  <c r="M1832" i="10"/>
  <c r="B1832" i="10"/>
  <c r="S1831" i="10"/>
  <c r="Q1831" i="10"/>
  <c r="P1831" i="10"/>
  <c r="O1831" i="10"/>
  <c r="M1831" i="10"/>
  <c r="E1831" i="10"/>
  <c r="B1831" i="10"/>
  <c r="S1830" i="10"/>
  <c r="Q1830" i="10"/>
  <c r="P1830" i="10"/>
  <c r="O1830" i="10"/>
  <c r="M1830" i="10"/>
  <c r="E1830" i="10"/>
  <c r="B1830" i="10"/>
  <c r="S1829" i="10"/>
  <c r="Q1829" i="10"/>
  <c r="P1829" i="10"/>
  <c r="O1829" i="10"/>
  <c r="M1829" i="10"/>
  <c r="E1829" i="10"/>
  <c r="B1829" i="10"/>
  <c r="S1828" i="10"/>
  <c r="Q1828" i="10"/>
  <c r="P1828" i="10"/>
  <c r="O1828" i="10"/>
  <c r="M1828" i="10"/>
  <c r="E1828" i="10"/>
  <c r="B1828" i="10"/>
  <c r="S1827" i="10"/>
  <c r="Q1827" i="10"/>
  <c r="P1827" i="10"/>
  <c r="O1827" i="10"/>
  <c r="M1827" i="10"/>
  <c r="B1827" i="10"/>
  <c r="S1826" i="10"/>
  <c r="Q1826" i="10"/>
  <c r="P1826" i="10"/>
  <c r="O1826" i="10"/>
  <c r="M1826" i="10"/>
  <c r="E1826" i="10"/>
  <c r="B1826" i="10"/>
  <c r="S1825" i="10"/>
  <c r="Q1825" i="10"/>
  <c r="P1825" i="10"/>
  <c r="O1825" i="10"/>
  <c r="M1825" i="10"/>
  <c r="E1825" i="10"/>
  <c r="B1825" i="10"/>
  <c r="S1824" i="10"/>
  <c r="Q1824" i="10"/>
  <c r="P1824" i="10"/>
  <c r="O1824" i="10"/>
  <c r="M1824" i="10"/>
  <c r="B1824" i="10"/>
  <c r="S1823" i="10"/>
  <c r="Q1823" i="10"/>
  <c r="P1823" i="10"/>
  <c r="O1823" i="10"/>
  <c r="M1823" i="10"/>
  <c r="E1823" i="10"/>
  <c r="B1823" i="10"/>
  <c r="S1822" i="10"/>
  <c r="Q1822" i="10"/>
  <c r="P1822" i="10"/>
  <c r="O1822" i="10"/>
  <c r="M1822" i="10"/>
  <c r="E1822" i="10"/>
  <c r="B1822" i="10"/>
  <c r="S1821" i="10"/>
  <c r="Q1821" i="10"/>
  <c r="P1821" i="10"/>
  <c r="O1821" i="10"/>
  <c r="M1821" i="10"/>
  <c r="E1821" i="10"/>
  <c r="B1821" i="10"/>
  <c r="S1820" i="10"/>
  <c r="Q1820" i="10"/>
  <c r="P1820" i="10"/>
  <c r="O1820" i="10"/>
  <c r="M1820" i="10"/>
  <c r="E1820" i="10"/>
  <c r="B1820" i="10"/>
  <c r="S1819" i="10"/>
  <c r="Q1819" i="10"/>
  <c r="P1819" i="10"/>
  <c r="O1819" i="10"/>
  <c r="M1819" i="10"/>
  <c r="E1819" i="10"/>
  <c r="B1819" i="10"/>
  <c r="S1818" i="10"/>
  <c r="Q1818" i="10"/>
  <c r="P1818" i="10"/>
  <c r="O1818" i="10"/>
  <c r="M1818" i="10"/>
  <c r="E1818" i="10"/>
  <c r="B1818" i="10"/>
  <c r="S1817" i="10"/>
  <c r="Q1817" i="10"/>
  <c r="P1817" i="10"/>
  <c r="O1817" i="10"/>
  <c r="M1817" i="10"/>
  <c r="E1817" i="10"/>
  <c r="B1817" i="10"/>
  <c r="S1816" i="10"/>
  <c r="Q1816" i="10"/>
  <c r="P1816" i="10"/>
  <c r="O1816" i="10"/>
  <c r="M1816" i="10"/>
  <c r="E1816" i="10"/>
  <c r="B1816" i="10"/>
  <c r="S1815" i="10"/>
  <c r="Q1815" i="10"/>
  <c r="P1815" i="10"/>
  <c r="O1815" i="10"/>
  <c r="M1815" i="10"/>
  <c r="E1815" i="10"/>
  <c r="B1815" i="10"/>
  <c r="S1814" i="10"/>
  <c r="Q1814" i="10"/>
  <c r="P1814" i="10"/>
  <c r="O1814" i="10"/>
  <c r="M1814" i="10"/>
  <c r="E1814" i="10"/>
  <c r="B1814" i="10"/>
  <c r="S1813" i="10"/>
  <c r="Q1813" i="10"/>
  <c r="P1813" i="10"/>
  <c r="O1813" i="10"/>
  <c r="M1813" i="10"/>
  <c r="E1813" i="10"/>
  <c r="B1813" i="10"/>
  <c r="S1812" i="10"/>
  <c r="Q1812" i="10"/>
  <c r="P1812" i="10"/>
  <c r="O1812" i="10"/>
  <c r="M1812" i="10"/>
  <c r="E1812" i="10"/>
  <c r="B1812" i="10"/>
  <c r="S1811" i="10"/>
  <c r="Q1811" i="10"/>
  <c r="P1811" i="10"/>
  <c r="O1811" i="10"/>
  <c r="M1811" i="10"/>
  <c r="E1811" i="10"/>
  <c r="B1811" i="10"/>
  <c r="S1810" i="10"/>
  <c r="Q1810" i="10"/>
  <c r="P1810" i="10"/>
  <c r="O1810" i="10"/>
  <c r="M1810" i="10"/>
  <c r="E1810" i="10"/>
  <c r="B1810" i="10"/>
  <c r="S1809" i="10"/>
  <c r="Q1809" i="10"/>
  <c r="P1809" i="10"/>
  <c r="O1809" i="10"/>
  <c r="M1809" i="10"/>
  <c r="E1809" i="10"/>
  <c r="B1809" i="10"/>
  <c r="S1808" i="10"/>
  <c r="Q1808" i="10"/>
  <c r="P1808" i="10"/>
  <c r="O1808" i="10"/>
  <c r="M1808" i="10"/>
  <c r="E1808" i="10"/>
  <c r="B1808" i="10"/>
  <c r="S1807" i="10"/>
  <c r="Q1807" i="10"/>
  <c r="P1807" i="10"/>
  <c r="O1807" i="10"/>
  <c r="M1807" i="10"/>
  <c r="E1807" i="10"/>
  <c r="B1807" i="10"/>
  <c r="S1806" i="10"/>
  <c r="Q1806" i="10"/>
  <c r="P1806" i="10"/>
  <c r="O1806" i="10"/>
  <c r="M1806" i="10"/>
  <c r="E1806" i="10"/>
  <c r="B1806" i="10"/>
  <c r="S1805" i="10"/>
  <c r="Q1805" i="10"/>
  <c r="P1805" i="10"/>
  <c r="O1805" i="10"/>
  <c r="M1805" i="10"/>
  <c r="E1805" i="10"/>
  <c r="B1805" i="10"/>
  <c r="S1804" i="10"/>
  <c r="Q1804" i="10"/>
  <c r="P1804" i="10"/>
  <c r="O1804" i="10"/>
  <c r="M1804" i="10"/>
  <c r="E1804" i="10"/>
  <c r="B1804" i="10"/>
  <c r="S1803" i="10"/>
  <c r="Q1803" i="10"/>
  <c r="P1803" i="10"/>
  <c r="O1803" i="10"/>
  <c r="M1803" i="10"/>
  <c r="E1803" i="10"/>
  <c r="B1803" i="10"/>
  <c r="S1802" i="10"/>
  <c r="Q1802" i="10"/>
  <c r="P1802" i="10"/>
  <c r="O1802" i="10"/>
  <c r="M1802" i="10"/>
  <c r="E1802" i="10"/>
  <c r="B1802" i="10"/>
  <c r="S1801" i="10"/>
  <c r="Q1801" i="10"/>
  <c r="P1801" i="10"/>
  <c r="O1801" i="10"/>
  <c r="M1801" i="10"/>
  <c r="E1801" i="10"/>
  <c r="B1801" i="10"/>
  <c r="S1800" i="10"/>
  <c r="Q1800" i="10"/>
  <c r="P1800" i="10"/>
  <c r="O1800" i="10"/>
  <c r="M1800" i="10"/>
  <c r="E1800" i="10"/>
  <c r="B1800" i="10"/>
  <c r="S1799" i="10"/>
  <c r="Q1799" i="10"/>
  <c r="P1799" i="10"/>
  <c r="O1799" i="10"/>
  <c r="M1799" i="10"/>
  <c r="E1799" i="10"/>
  <c r="B1799" i="10"/>
  <c r="S1798" i="10"/>
  <c r="Q1798" i="10"/>
  <c r="P1798" i="10"/>
  <c r="O1798" i="10"/>
  <c r="M1798" i="10"/>
  <c r="E1798" i="10"/>
  <c r="B1798" i="10"/>
  <c r="S1797" i="10"/>
  <c r="Q1797" i="10"/>
  <c r="P1797" i="10"/>
  <c r="O1797" i="10"/>
  <c r="M1797" i="10"/>
  <c r="E1797" i="10"/>
  <c r="B1797" i="10"/>
  <c r="S1796" i="10"/>
  <c r="Q1796" i="10"/>
  <c r="P1796" i="10"/>
  <c r="O1796" i="10"/>
  <c r="M1796" i="10"/>
  <c r="E1796" i="10"/>
  <c r="B1796" i="10"/>
  <c r="S1795" i="10"/>
  <c r="Q1795" i="10"/>
  <c r="P1795" i="10"/>
  <c r="O1795" i="10"/>
  <c r="M1795" i="10"/>
  <c r="B1795" i="10"/>
  <c r="S1794" i="10"/>
  <c r="Q1794" i="10"/>
  <c r="P1794" i="10"/>
  <c r="O1794" i="10"/>
  <c r="M1794" i="10"/>
  <c r="E1794" i="10"/>
  <c r="B1794" i="10"/>
  <c r="S1793" i="10"/>
  <c r="Q1793" i="10"/>
  <c r="P1793" i="10"/>
  <c r="O1793" i="10"/>
  <c r="M1793" i="10"/>
  <c r="E1793" i="10"/>
  <c r="B1793" i="10"/>
  <c r="S1792" i="10"/>
  <c r="Q1792" i="10"/>
  <c r="P1792" i="10"/>
  <c r="O1792" i="10"/>
  <c r="M1792" i="10"/>
  <c r="E1792" i="10"/>
  <c r="B1792" i="10"/>
  <c r="S1791" i="10"/>
  <c r="Q1791" i="10"/>
  <c r="P1791" i="10"/>
  <c r="O1791" i="10"/>
  <c r="M1791" i="10"/>
  <c r="E1791" i="10"/>
  <c r="B1791" i="10"/>
  <c r="S1790" i="10"/>
  <c r="Q1790" i="10"/>
  <c r="P1790" i="10"/>
  <c r="O1790" i="10"/>
  <c r="M1790" i="10"/>
  <c r="E1790" i="10"/>
  <c r="B1790" i="10"/>
  <c r="S1789" i="10"/>
  <c r="Q1789" i="10"/>
  <c r="P1789" i="10"/>
  <c r="O1789" i="10"/>
  <c r="M1789" i="10"/>
  <c r="E1789" i="10"/>
  <c r="B1789" i="10"/>
  <c r="S1788" i="10"/>
  <c r="Q1788" i="10"/>
  <c r="P1788" i="10"/>
  <c r="O1788" i="10"/>
  <c r="M1788" i="10"/>
  <c r="E1788" i="10"/>
  <c r="B1788" i="10"/>
  <c r="S1787" i="10"/>
  <c r="Q1787" i="10"/>
  <c r="P1787" i="10"/>
  <c r="O1787" i="10"/>
  <c r="M1787" i="10"/>
  <c r="E1787" i="10"/>
  <c r="B1787" i="10"/>
  <c r="S1786" i="10"/>
  <c r="Q1786" i="10"/>
  <c r="P1786" i="10"/>
  <c r="O1786" i="10"/>
  <c r="M1786" i="10"/>
  <c r="E1786" i="10"/>
  <c r="B1786" i="10"/>
  <c r="S1785" i="10"/>
  <c r="Q1785" i="10"/>
  <c r="P1785" i="10"/>
  <c r="O1785" i="10"/>
  <c r="M1785" i="10"/>
  <c r="E1785" i="10"/>
  <c r="B1785" i="10"/>
  <c r="S1784" i="10"/>
  <c r="Q1784" i="10"/>
  <c r="P1784" i="10"/>
  <c r="O1784" i="10"/>
  <c r="M1784" i="10"/>
  <c r="E1784" i="10"/>
  <c r="B1784" i="10"/>
  <c r="S1783" i="10"/>
  <c r="Q1783" i="10"/>
  <c r="P1783" i="10"/>
  <c r="O1783" i="10"/>
  <c r="M1783" i="10"/>
  <c r="E1783" i="10"/>
  <c r="B1783" i="10"/>
  <c r="S1782" i="10"/>
  <c r="Q1782" i="10"/>
  <c r="P1782" i="10"/>
  <c r="O1782" i="10"/>
  <c r="M1782" i="10"/>
  <c r="E1782" i="10"/>
  <c r="B1782" i="10"/>
  <c r="S1781" i="10"/>
  <c r="Q1781" i="10"/>
  <c r="P1781" i="10"/>
  <c r="O1781" i="10"/>
  <c r="M1781" i="10"/>
  <c r="E1781" i="10"/>
  <c r="B1781" i="10"/>
  <c r="S1780" i="10"/>
  <c r="Q1780" i="10"/>
  <c r="P1780" i="10"/>
  <c r="O1780" i="10"/>
  <c r="M1780" i="10"/>
  <c r="E1780" i="10"/>
  <c r="B1780" i="10"/>
  <c r="S1779" i="10"/>
  <c r="Q1779" i="10"/>
  <c r="P1779" i="10"/>
  <c r="O1779" i="10"/>
  <c r="M1779" i="10"/>
  <c r="B1779" i="10"/>
  <c r="S1778" i="10"/>
  <c r="Q1778" i="10"/>
  <c r="P1778" i="10"/>
  <c r="O1778" i="10"/>
  <c r="M1778" i="10"/>
  <c r="E1778" i="10"/>
  <c r="B1778" i="10"/>
  <c r="S1777" i="10"/>
  <c r="Q1777" i="10"/>
  <c r="P1777" i="10"/>
  <c r="O1777" i="10"/>
  <c r="M1777" i="10"/>
  <c r="E1777" i="10"/>
  <c r="B1777" i="10"/>
  <c r="S1776" i="10"/>
  <c r="Q1776" i="10"/>
  <c r="P1776" i="10"/>
  <c r="O1776" i="10"/>
  <c r="M1776" i="10"/>
  <c r="E1776" i="10"/>
  <c r="B1776" i="10"/>
  <c r="S1775" i="10"/>
  <c r="Q1775" i="10"/>
  <c r="P1775" i="10"/>
  <c r="O1775" i="10"/>
  <c r="M1775" i="10"/>
  <c r="E1775" i="10"/>
  <c r="B1775" i="10"/>
  <c r="S1774" i="10"/>
  <c r="Q1774" i="10"/>
  <c r="P1774" i="10"/>
  <c r="O1774" i="10"/>
  <c r="M1774" i="10"/>
  <c r="E1774" i="10"/>
  <c r="B1774" i="10"/>
  <c r="S1773" i="10"/>
  <c r="Q1773" i="10"/>
  <c r="P1773" i="10"/>
  <c r="O1773" i="10"/>
  <c r="M1773" i="10"/>
  <c r="E1773" i="10"/>
  <c r="B1773" i="10"/>
  <c r="S1772" i="10"/>
  <c r="Q1772" i="10"/>
  <c r="P1772" i="10"/>
  <c r="O1772" i="10"/>
  <c r="M1772" i="10"/>
  <c r="E1772" i="10"/>
  <c r="B1772" i="10"/>
  <c r="S1771" i="10"/>
  <c r="Q1771" i="10"/>
  <c r="P1771" i="10"/>
  <c r="O1771" i="10"/>
  <c r="M1771" i="10"/>
  <c r="E1771" i="10"/>
  <c r="B1771" i="10"/>
  <c r="S1770" i="10"/>
  <c r="Q1770" i="10"/>
  <c r="P1770" i="10"/>
  <c r="O1770" i="10"/>
  <c r="M1770" i="10"/>
  <c r="E1770" i="10"/>
  <c r="B1770" i="10"/>
  <c r="S1769" i="10"/>
  <c r="Q1769" i="10"/>
  <c r="P1769" i="10"/>
  <c r="O1769" i="10"/>
  <c r="M1769" i="10"/>
  <c r="E1769" i="10"/>
  <c r="B1769" i="10"/>
  <c r="S1768" i="10"/>
  <c r="Q1768" i="10"/>
  <c r="P1768" i="10"/>
  <c r="O1768" i="10"/>
  <c r="M1768" i="10"/>
  <c r="E1768" i="10"/>
  <c r="B1768" i="10"/>
  <c r="S1767" i="10"/>
  <c r="Q1767" i="10"/>
  <c r="P1767" i="10"/>
  <c r="O1767" i="10"/>
  <c r="M1767" i="10"/>
  <c r="E1767" i="10"/>
  <c r="B1767" i="10"/>
  <c r="S1766" i="10"/>
  <c r="Q1766" i="10"/>
  <c r="P1766" i="10"/>
  <c r="O1766" i="10"/>
  <c r="M1766" i="10"/>
  <c r="E1766" i="10"/>
  <c r="B1766" i="10"/>
  <c r="S1765" i="10"/>
  <c r="Q1765" i="10"/>
  <c r="P1765" i="10"/>
  <c r="O1765" i="10"/>
  <c r="M1765" i="10"/>
  <c r="E1765" i="10"/>
  <c r="B1765" i="10"/>
  <c r="S1764" i="10"/>
  <c r="Q1764" i="10"/>
  <c r="P1764" i="10"/>
  <c r="O1764" i="10"/>
  <c r="M1764" i="10"/>
  <c r="E1764" i="10"/>
  <c r="B1764" i="10"/>
  <c r="S1763" i="10"/>
  <c r="Q1763" i="10"/>
  <c r="P1763" i="10"/>
  <c r="O1763" i="10"/>
  <c r="M1763" i="10"/>
  <c r="E1763" i="10"/>
  <c r="B1763" i="10"/>
  <c r="S1762" i="10"/>
  <c r="Q1762" i="10"/>
  <c r="P1762" i="10"/>
  <c r="O1762" i="10"/>
  <c r="M1762" i="10"/>
  <c r="E1762" i="10"/>
  <c r="B1762" i="10"/>
  <c r="S1761" i="10"/>
  <c r="Q1761" i="10"/>
  <c r="P1761" i="10"/>
  <c r="O1761" i="10"/>
  <c r="M1761" i="10"/>
  <c r="E1761" i="10"/>
  <c r="B1761" i="10"/>
  <c r="S1760" i="10"/>
  <c r="Q1760" i="10"/>
  <c r="P1760" i="10"/>
  <c r="O1760" i="10"/>
  <c r="M1760" i="10"/>
  <c r="B1760" i="10"/>
  <c r="S1759" i="10"/>
  <c r="Q1759" i="10"/>
  <c r="P1759" i="10"/>
  <c r="O1759" i="10"/>
  <c r="M1759" i="10"/>
  <c r="E1759" i="10"/>
  <c r="B1759" i="10"/>
  <c r="S1758" i="10"/>
  <c r="Q1758" i="10"/>
  <c r="P1758" i="10"/>
  <c r="O1758" i="10"/>
  <c r="M1758" i="10"/>
  <c r="B1758" i="10"/>
  <c r="S1757" i="10"/>
  <c r="Q1757" i="10"/>
  <c r="P1757" i="10"/>
  <c r="O1757" i="10"/>
  <c r="M1757" i="10"/>
  <c r="E1757" i="10"/>
  <c r="B1757" i="10"/>
  <c r="S1756" i="10"/>
  <c r="Q1756" i="10"/>
  <c r="P1756" i="10"/>
  <c r="O1756" i="10"/>
  <c r="M1756" i="10"/>
  <c r="B1756" i="10"/>
  <c r="S1755" i="10"/>
  <c r="Q1755" i="10"/>
  <c r="P1755" i="10"/>
  <c r="O1755" i="10"/>
  <c r="M1755" i="10"/>
  <c r="E1755" i="10"/>
  <c r="B1755" i="10"/>
  <c r="S1754" i="10"/>
  <c r="Q1754" i="10"/>
  <c r="P1754" i="10"/>
  <c r="O1754" i="10"/>
  <c r="M1754" i="10"/>
  <c r="E1754" i="10"/>
  <c r="B1754" i="10"/>
  <c r="S1753" i="10"/>
  <c r="Q1753" i="10"/>
  <c r="P1753" i="10"/>
  <c r="O1753" i="10"/>
  <c r="M1753" i="10"/>
  <c r="B1753" i="10"/>
  <c r="S1752" i="10"/>
  <c r="Q1752" i="10"/>
  <c r="P1752" i="10"/>
  <c r="O1752" i="10"/>
  <c r="M1752" i="10"/>
  <c r="E1752" i="10"/>
  <c r="B1752" i="10"/>
  <c r="S1751" i="10"/>
  <c r="Q1751" i="10"/>
  <c r="P1751" i="10"/>
  <c r="O1751" i="10"/>
  <c r="M1751" i="10"/>
  <c r="E1751" i="10"/>
  <c r="B1751" i="10"/>
  <c r="S1750" i="10"/>
  <c r="Q1750" i="10"/>
  <c r="P1750" i="10"/>
  <c r="O1750" i="10"/>
  <c r="M1750" i="10"/>
  <c r="E1750" i="10"/>
  <c r="B1750" i="10"/>
  <c r="S1749" i="10"/>
  <c r="Q1749" i="10"/>
  <c r="P1749" i="10"/>
  <c r="O1749" i="10"/>
  <c r="M1749" i="10"/>
  <c r="E1749" i="10"/>
  <c r="B1749" i="10"/>
  <c r="S1748" i="10"/>
  <c r="Q1748" i="10"/>
  <c r="P1748" i="10"/>
  <c r="O1748" i="10"/>
  <c r="M1748" i="10"/>
  <c r="B1748" i="10"/>
  <c r="S1747" i="10"/>
  <c r="Q1747" i="10"/>
  <c r="P1747" i="10"/>
  <c r="O1747" i="10"/>
  <c r="M1747" i="10"/>
  <c r="E1747" i="10"/>
  <c r="B1747" i="10"/>
  <c r="S1746" i="10"/>
  <c r="Q1746" i="10"/>
  <c r="P1746" i="10"/>
  <c r="O1746" i="10"/>
  <c r="M1746" i="10"/>
  <c r="E1746" i="10"/>
  <c r="B1746" i="10"/>
  <c r="S1745" i="10"/>
  <c r="Q1745" i="10"/>
  <c r="P1745" i="10"/>
  <c r="O1745" i="10"/>
  <c r="M1745" i="10"/>
  <c r="E1745" i="10"/>
  <c r="B1745" i="10"/>
  <c r="S1744" i="10"/>
  <c r="Q1744" i="10"/>
  <c r="P1744" i="10"/>
  <c r="O1744" i="10"/>
  <c r="M1744" i="10"/>
  <c r="E1744" i="10"/>
  <c r="B1744" i="10"/>
  <c r="S1743" i="10"/>
  <c r="Q1743" i="10"/>
  <c r="P1743" i="10"/>
  <c r="O1743" i="10"/>
  <c r="M1743" i="10"/>
  <c r="E1743" i="10"/>
  <c r="B1743" i="10"/>
  <c r="S1742" i="10"/>
  <c r="Q1742" i="10"/>
  <c r="P1742" i="10"/>
  <c r="O1742" i="10"/>
  <c r="M1742" i="10"/>
  <c r="E1742" i="10"/>
  <c r="B1742" i="10"/>
  <c r="S1741" i="10"/>
  <c r="Q1741" i="10"/>
  <c r="P1741" i="10"/>
  <c r="O1741" i="10"/>
  <c r="M1741" i="10"/>
  <c r="E1741" i="10"/>
  <c r="B1741" i="10"/>
  <c r="S1740" i="10"/>
  <c r="Q1740" i="10"/>
  <c r="P1740" i="10"/>
  <c r="O1740" i="10"/>
  <c r="M1740" i="10"/>
  <c r="E1740" i="10"/>
  <c r="B1740" i="10"/>
  <c r="S1739" i="10"/>
  <c r="Q1739" i="10"/>
  <c r="P1739" i="10"/>
  <c r="O1739" i="10"/>
  <c r="M1739" i="10"/>
  <c r="E1739" i="10"/>
  <c r="B1739" i="10"/>
  <c r="S1738" i="10"/>
  <c r="Q1738" i="10"/>
  <c r="P1738" i="10"/>
  <c r="O1738" i="10"/>
  <c r="M1738" i="10"/>
  <c r="E1738" i="10"/>
  <c r="B1738" i="10"/>
  <c r="S1737" i="10"/>
  <c r="Q1737" i="10"/>
  <c r="P1737" i="10"/>
  <c r="O1737" i="10"/>
  <c r="M1737" i="10"/>
  <c r="E1737" i="10"/>
  <c r="B1737" i="10"/>
  <c r="S1736" i="10"/>
  <c r="Q1736" i="10"/>
  <c r="P1736" i="10"/>
  <c r="O1736" i="10"/>
  <c r="M1736" i="10"/>
  <c r="E1736" i="10"/>
  <c r="B1736" i="10"/>
  <c r="S1735" i="10"/>
  <c r="Q1735" i="10"/>
  <c r="P1735" i="10"/>
  <c r="O1735" i="10"/>
  <c r="M1735" i="10"/>
  <c r="B1735" i="10"/>
  <c r="S1734" i="10"/>
  <c r="Q1734" i="10"/>
  <c r="P1734" i="10"/>
  <c r="O1734" i="10"/>
  <c r="M1734" i="10"/>
  <c r="B1734" i="10"/>
  <c r="S1733" i="10"/>
  <c r="Q1733" i="10"/>
  <c r="P1733" i="10"/>
  <c r="O1733" i="10"/>
  <c r="M1733" i="10"/>
  <c r="B1733" i="10"/>
  <c r="S1732" i="10"/>
  <c r="Q1732" i="10"/>
  <c r="P1732" i="10"/>
  <c r="O1732" i="10"/>
  <c r="M1732" i="10"/>
  <c r="E1732" i="10"/>
  <c r="B1732" i="10"/>
  <c r="S1731" i="10"/>
  <c r="Q1731" i="10"/>
  <c r="P1731" i="10"/>
  <c r="O1731" i="10"/>
  <c r="M1731" i="10"/>
  <c r="E1731" i="10"/>
  <c r="B1731" i="10"/>
  <c r="S1730" i="10"/>
  <c r="Q1730" i="10"/>
  <c r="P1730" i="10"/>
  <c r="O1730" i="10"/>
  <c r="M1730" i="10"/>
  <c r="B1730" i="10"/>
  <c r="S1729" i="10"/>
  <c r="Q1729" i="10"/>
  <c r="P1729" i="10"/>
  <c r="O1729" i="10"/>
  <c r="M1729" i="10"/>
  <c r="E1729" i="10"/>
  <c r="B1729" i="10"/>
  <c r="S1728" i="10"/>
  <c r="Q1728" i="10"/>
  <c r="P1728" i="10"/>
  <c r="O1728" i="10"/>
  <c r="M1728" i="10"/>
  <c r="E1728" i="10"/>
  <c r="B1728" i="10"/>
  <c r="S1727" i="10"/>
  <c r="Q1727" i="10"/>
  <c r="P1727" i="10"/>
  <c r="O1727" i="10"/>
  <c r="M1727" i="10"/>
  <c r="E1727" i="10"/>
  <c r="B1727" i="10"/>
  <c r="S1726" i="10"/>
  <c r="Q1726" i="10"/>
  <c r="P1726" i="10"/>
  <c r="O1726" i="10"/>
  <c r="M1726" i="10"/>
  <c r="E1726" i="10"/>
  <c r="B1726" i="10"/>
  <c r="S1725" i="10"/>
  <c r="Q1725" i="10"/>
  <c r="P1725" i="10"/>
  <c r="O1725" i="10"/>
  <c r="M1725" i="10"/>
  <c r="B1725" i="10"/>
  <c r="S1724" i="10"/>
  <c r="Q1724" i="10"/>
  <c r="P1724" i="10"/>
  <c r="O1724" i="10"/>
  <c r="M1724" i="10"/>
  <c r="E1724" i="10"/>
  <c r="B1724" i="10"/>
  <c r="S1723" i="10"/>
  <c r="Q1723" i="10"/>
  <c r="P1723" i="10"/>
  <c r="O1723" i="10"/>
  <c r="M1723" i="10"/>
  <c r="E1723" i="10"/>
  <c r="B1723" i="10"/>
  <c r="S1722" i="10"/>
  <c r="Q1722" i="10"/>
  <c r="P1722" i="10"/>
  <c r="O1722" i="10"/>
  <c r="M1722" i="10"/>
  <c r="E1722" i="10"/>
  <c r="B1722" i="10"/>
  <c r="S1721" i="10"/>
  <c r="Q1721" i="10"/>
  <c r="P1721" i="10"/>
  <c r="O1721" i="10"/>
  <c r="M1721" i="10"/>
  <c r="E1721" i="10"/>
  <c r="B1721" i="10"/>
  <c r="S1720" i="10"/>
  <c r="Q1720" i="10"/>
  <c r="P1720" i="10"/>
  <c r="O1720" i="10"/>
  <c r="M1720" i="10"/>
  <c r="E1720" i="10"/>
  <c r="B1720" i="10"/>
  <c r="S1719" i="10"/>
  <c r="Q1719" i="10"/>
  <c r="P1719" i="10"/>
  <c r="O1719" i="10"/>
  <c r="M1719" i="10"/>
  <c r="E1719" i="10"/>
  <c r="B1719" i="10"/>
  <c r="S1718" i="10"/>
  <c r="Q1718" i="10"/>
  <c r="P1718" i="10"/>
  <c r="O1718" i="10"/>
  <c r="M1718" i="10"/>
  <c r="E1718" i="10"/>
  <c r="B1718" i="10"/>
  <c r="S1717" i="10"/>
  <c r="Q1717" i="10"/>
  <c r="P1717" i="10"/>
  <c r="O1717" i="10"/>
  <c r="M1717" i="10"/>
  <c r="B1717" i="10"/>
  <c r="S1716" i="10"/>
  <c r="Q1716" i="10"/>
  <c r="P1716" i="10"/>
  <c r="O1716" i="10"/>
  <c r="M1716" i="10"/>
  <c r="E1716" i="10"/>
  <c r="B1716" i="10"/>
  <c r="S1715" i="10"/>
  <c r="Q1715" i="10"/>
  <c r="P1715" i="10"/>
  <c r="O1715" i="10"/>
  <c r="M1715" i="10"/>
  <c r="E1715" i="10"/>
  <c r="B1715" i="10"/>
  <c r="S1714" i="10"/>
  <c r="Q1714" i="10"/>
  <c r="P1714" i="10"/>
  <c r="O1714" i="10"/>
  <c r="M1714" i="10"/>
  <c r="E1714" i="10"/>
  <c r="B1714" i="10"/>
  <c r="S1713" i="10"/>
  <c r="Q1713" i="10"/>
  <c r="P1713" i="10"/>
  <c r="O1713" i="10"/>
  <c r="M1713" i="10"/>
  <c r="E1713" i="10"/>
  <c r="B1713" i="10"/>
  <c r="S1712" i="10"/>
  <c r="Q1712" i="10"/>
  <c r="P1712" i="10"/>
  <c r="O1712" i="10"/>
  <c r="M1712" i="10"/>
  <c r="E1712" i="10"/>
  <c r="B1712" i="10"/>
  <c r="S1711" i="10"/>
  <c r="Q1711" i="10"/>
  <c r="P1711" i="10"/>
  <c r="O1711" i="10"/>
  <c r="M1711" i="10"/>
  <c r="E1711" i="10"/>
  <c r="B1711" i="10"/>
  <c r="S1710" i="10"/>
  <c r="Q1710" i="10"/>
  <c r="P1710" i="10"/>
  <c r="O1710" i="10"/>
  <c r="M1710" i="10"/>
  <c r="E1710" i="10"/>
  <c r="B1710" i="10"/>
  <c r="S1709" i="10"/>
  <c r="Q1709" i="10"/>
  <c r="P1709" i="10"/>
  <c r="O1709" i="10"/>
  <c r="M1709" i="10"/>
  <c r="B1709" i="10"/>
  <c r="S1708" i="10"/>
  <c r="Q1708" i="10"/>
  <c r="P1708" i="10"/>
  <c r="O1708" i="10"/>
  <c r="M1708" i="10"/>
  <c r="E1708" i="10"/>
  <c r="B1708" i="10"/>
  <c r="S1707" i="10"/>
  <c r="Q1707" i="10"/>
  <c r="P1707" i="10"/>
  <c r="O1707" i="10"/>
  <c r="M1707" i="10"/>
  <c r="E1707" i="10"/>
  <c r="B1707" i="10"/>
  <c r="S1706" i="10"/>
  <c r="Q1706" i="10"/>
  <c r="P1706" i="10"/>
  <c r="O1706" i="10"/>
  <c r="M1706" i="10"/>
  <c r="E1706" i="10"/>
  <c r="B1706" i="10"/>
  <c r="S1705" i="10"/>
  <c r="Q1705" i="10"/>
  <c r="P1705" i="10"/>
  <c r="O1705" i="10"/>
  <c r="M1705" i="10"/>
  <c r="E1705" i="10"/>
  <c r="B1705" i="10"/>
  <c r="S1704" i="10"/>
  <c r="Q1704" i="10"/>
  <c r="P1704" i="10"/>
  <c r="O1704" i="10"/>
  <c r="M1704" i="10"/>
  <c r="B1704" i="10"/>
  <c r="S1703" i="10"/>
  <c r="Q1703" i="10"/>
  <c r="P1703" i="10"/>
  <c r="O1703" i="10"/>
  <c r="M1703" i="10"/>
  <c r="E1703" i="10"/>
  <c r="B1703" i="10"/>
  <c r="S1702" i="10"/>
  <c r="Q1702" i="10"/>
  <c r="P1702" i="10"/>
  <c r="O1702" i="10"/>
  <c r="M1702" i="10"/>
  <c r="E1702" i="10"/>
  <c r="B1702" i="10"/>
  <c r="S1701" i="10"/>
  <c r="Q1701" i="10"/>
  <c r="P1701" i="10"/>
  <c r="O1701" i="10"/>
  <c r="M1701" i="10"/>
  <c r="E1701" i="10"/>
  <c r="B1701" i="10"/>
  <c r="S1700" i="10"/>
  <c r="Q1700" i="10"/>
  <c r="P1700" i="10"/>
  <c r="O1700" i="10"/>
  <c r="M1700" i="10"/>
  <c r="E1700" i="10"/>
  <c r="B1700" i="10"/>
  <c r="S1699" i="10"/>
  <c r="Q1699" i="10"/>
  <c r="P1699" i="10"/>
  <c r="O1699" i="10"/>
  <c r="M1699" i="10"/>
  <c r="B1699" i="10"/>
  <c r="S1698" i="10"/>
  <c r="Q1698" i="10"/>
  <c r="P1698" i="10"/>
  <c r="O1698" i="10"/>
  <c r="M1698" i="10"/>
  <c r="E1698" i="10"/>
  <c r="B1698" i="10"/>
  <c r="S1697" i="10"/>
  <c r="Q1697" i="10"/>
  <c r="P1697" i="10"/>
  <c r="O1697" i="10"/>
  <c r="M1697" i="10"/>
  <c r="E1697" i="10"/>
  <c r="B1697" i="10"/>
  <c r="S1696" i="10"/>
  <c r="Q1696" i="10"/>
  <c r="P1696" i="10"/>
  <c r="O1696" i="10"/>
  <c r="M1696" i="10"/>
  <c r="E1696" i="10"/>
  <c r="B1696" i="10"/>
  <c r="S1695" i="10"/>
  <c r="Q1695" i="10"/>
  <c r="P1695" i="10"/>
  <c r="O1695" i="10"/>
  <c r="M1695" i="10"/>
  <c r="E1695" i="10"/>
  <c r="B1695" i="10"/>
  <c r="S1694" i="10"/>
  <c r="Q1694" i="10"/>
  <c r="P1694" i="10"/>
  <c r="O1694" i="10"/>
  <c r="M1694" i="10"/>
  <c r="E1694" i="10"/>
  <c r="B1694" i="10"/>
  <c r="S1693" i="10"/>
  <c r="Q1693" i="10"/>
  <c r="P1693" i="10"/>
  <c r="O1693" i="10"/>
  <c r="M1693" i="10"/>
  <c r="B1693" i="10"/>
  <c r="S1692" i="10"/>
  <c r="Q1692" i="10"/>
  <c r="P1692" i="10"/>
  <c r="O1692" i="10"/>
  <c r="M1692" i="10"/>
  <c r="B1692" i="10"/>
  <c r="S1691" i="10"/>
  <c r="Q1691" i="10"/>
  <c r="P1691" i="10"/>
  <c r="O1691" i="10"/>
  <c r="M1691" i="10"/>
  <c r="E1691" i="10"/>
  <c r="B1691" i="10"/>
  <c r="S1690" i="10"/>
  <c r="Q1690" i="10"/>
  <c r="P1690" i="10"/>
  <c r="O1690" i="10"/>
  <c r="M1690" i="10"/>
  <c r="E1690" i="10"/>
  <c r="B1690" i="10"/>
  <c r="S1689" i="10"/>
  <c r="Q1689" i="10"/>
  <c r="P1689" i="10"/>
  <c r="O1689" i="10"/>
  <c r="M1689" i="10"/>
  <c r="E1689" i="10"/>
  <c r="B1689" i="10"/>
  <c r="S1688" i="10"/>
  <c r="Q1688" i="10"/>
  <c r="P1688" i="10"/>
  <c r="O1688" i="10"/>
  <c r="M1688" i="10"/>
  <c r="E1688" i="10"/>
  <c r="B1688" i="10"/>
  <c r="S1687" i="10"/>
  <c r="Q1687" i="10"/>
  <c r="P1687" i="10"/>
  <c r="O1687" i="10"/>
  <c r="M1687" i="10"/>
  <c r="E1687" i="10"/>
  <c r="B1687" i="10"/>
  <c r="S1686" i="10"/>
  <c r="Q1686" i="10"/>
  <c r="P1686" i="10"/>
  <c r="O1686" i="10"/>
  <c r="M1686" i="10"/>
  <c r="B1686" i="10"/>
  <c r="S1685" i="10"/>
  <c r="Q1685" i="10"/>
  <c r="P1685" i="10"/>
  <c r="O1685" i="10"/>
  <c r="M1685" i="10"/>
  <c r="E1685" i="10"/>
  <c r="B1685" i="10"/>
  <c r="S1684" i="10"/>
  <c r="Q1684" i="10"/>
  <c r="P1684" i="10"/>
  <c r="O1684" i="10"/>
  <c r="M1684" i="10"/>
  <c r="E1684" i="10"/>
  <c r="B1684" i="10"/>
  <c r="S1683" i="10"/>
  <c r="Q1683" i="10"/>
  <c r="P1683" i="10"/>
  <c r="O1683" i="10"/>
  <c r="M1683" i="10"/>
  <c r="E1683" i="10"/>
  <c r="B1683" i="10"/>
  <c r="S1682" i="10"/>
  <c r="Q1682" i="10"/>
  <c r="P1682" i="10"/>
  <c r="O1682" i="10"/>
  <c r="M1682" i="10"/>
  <c r="E1682" i="10"/>
  <c r="B1682" i="10"/>
  <c r="S1681" i="10"/>
  <c r="Q1681" i="10"/>
  <c r="P1681" i="10"/>
  <c r="O1681" i="10"/>
  <c r="M1681" i="10"/>
  <c r="E1681" i="10"/>
  <c r="B1681" i="10"/>
  <c r="S1680" i="10"/>
  <c r="Q1680" i="10"/>
  <c r="P1680" i="10"/>
  <c r="O1680" i="10"/>
  <c r="M1680" i="10"/>
  <c r="B1680" i="10"/>
  <c r="S1679" i="10"/>
  <c r="Q1679" i="10"/>
  <c r="P1679" i="10"/>
  <c r="O1679" i="10"/>
  <c r="M1679" i="10"/>
  <c r="B1679" i="10"/>
  <c r="S1678" i="10"/>
  <c r="Q1678" i="10"/>
  <c r="P1678" i="10"/>
  <c r="O1678" i="10"/>
  <c r="M1678" i="10"/>
  <c r="B1678" i="10"/>
  <c r="S1677" i="10"/>
  <c r="Q1677" i="10"/>
  <c r="P1677" i="10"/>
  <c r="O1677" i="10"/>
  <c r="M1677" i="10"/>
  <c r="E1677" i="10"/>
  <c r="B1677" i="10"/>
  <c r="S1676" i="10"/>
  <c r="Q1676" i="10"/>
  <c r="P1676" i="10"/>
  <c r="O1676" i="10"/>
  <c r="M1676" i="10"/>
  <c r="E1676" i="10"/>
  <c r="B1676" i="10"/>
  <c r="S1675" i="10"/>
  <c r="Q1675" i="10"/>
  <c r="P1675" i="10"/>
  <c r="O1675" i="10"/>
  <c r="M1675" i="10"/>
  <c r="B1675" i="10"/>
  <c r="S1674" i="10"/>
  <c r="Q1674" i="10"/>
  <c r="P1674" i="10"/>
  <c r="O1674" i="10"/>
  <c r="M1674" i="10"/>
  <c r="E1674" i="10"/>
  <c r="B1674" i="10"/>
  <c r="S1673" i="10"/>
  <c r="Q1673" i="10"/>
  <c r="P1673" i="10"/>
  <c r="O1673" i="10"/>
  <c r="M1673" i="10"/>
  <c r="E1673" i="10"/>
  <c r="B1673" i="10"/>
  <c r="S1672" i="10"/>
  <c r="Q1672" i="10"/>
  <c r="P1672" i="10"/>
  <c r="O1672" i="10"/>
  <c r="M1672" i="10"/>
  <c r="E1672" i="10"/>
  <c r="B1672" i="10"/>
  <c r="S1671" i="10"/>
  <c r="Q1671" i="10"/>
  <c r="P1671" i="10"/>
  <c r="O1671" i="10"/>
  <c r="M1671" i="10"/>
  <c r="E1671" i="10"/>
  <c r="B1671" i="10"/>
  <c r="S1670" i="10"/>
  <c r="Q1670" i="10"/>
  <c r="P1670" i="10"/>
  <c r="O1670" i="10"/>
  <c r="M1670" i="10"/>
  <c r="E1670" i="10"/>
  <c r="B1670" i="10"/>
  <c r="S1669" i="10"/>
  <c r="Q1669" i="10"/>
  <c r="P1669" i="10"/>
  <c r="O1669" i="10"/>
  <c r="M1669" i="10"/>
  <c r="B1669" i="10"/>
  <c r="S1668" i="10"/>
  <c r="Q1668" i="10"/>
  <c r="P1668" i="10"/>
  <c r="O1668" i="10"/>
  <c r="M1668" i="10"/>
  <c r="E1668" i="10"/>
  <c r="B1668" i="10"/>
  <c r="S1667" i="10"/>
  <c r="Q1667" i="10"/>
  <c r="P1667" i="10"/>
  <c r="O1667" i="10"/>
  <c r="M1667" i="10"/>
  <c r="B1667" i="10"/>
  <c r="S1666" i="10"/>
  <c r="Q1666" i="10"/>
  <c r="P1666" i="10"/>
  <c r="O1666" i="10"/>
  <c r="M1666" i="10"/>
  <c r="B1666" i="10"/>
  <c r="S1665" i="10"/>
  <c r="Q1665" i="10"/>
  <c r="P1665" i="10"/>
  <c r="O1665" i="10"/>
  <c r="M1665" i="10"/>
  <c r="E1665" i="10"/>
  <c r="B1665" i="10"/>
  <c r="S1664" i="10"/>
  <c r="Q1664" i="10"/>
  <c r="P1664" i="10"/>
  <c r="O1664" i="10"/>
  <c r="M1664" i="10"/>
  <c r="E1664" i="10"/>
  <c r="B1664" i="10"/>
  <c r="S1663" i="10"/>
  <c r="Q1663" i="10"/>
  <c r="P1663" i="10"/>
  <c r="O1663" i="10"/>
  <c r="M1663" i="10"/>
  <c r="E1663" i="10"/>
  <c r="B1663" i="10"/>
  <c r="S1662" i="10"/>
  <c r="Q1662" i="10"/>
  <c r="P1662" i="10"/>
  <c r="O1662" i="10"/>
  <c r="M1662" i="10"/>
  <c r="B1662" i="10"/>
  <c r="S1661" i="10"/>
  <c r="Q1661" i="10"/>
  <c r="P1661" i="10"/>
  <c r="O1661" i="10"/>
  <c r="M1661" i="10"/>
  <c r="E1661" i="10"/>
  <c r="B1661" i="10"/>
  <c r="S1660" i="10"/>
  <c r="Q1660" i="10"/>
  <c r="P1660" i="10"/>
  <c r="O1660" i="10"/>
  <c r="M1660" i="10"/>
  <c r="E1660" i="10"/>
  <c r="B1660" i="10"/>
  <c r="S1659" i="10"/>
  <c r="Q1659" i="10"/>
  <c r="P1659" i="10"/>
  <c r="O1659" i="10"/>
  <c r="M1659" i="10"/>
  <c r="E1659" i="10"/>
  <c r="B1659" i="10"/>
  <c r="S1658" i="10"/>
  <c r="Q1658" i="10"/>
  <c r="P1658" i="10"/>
  <c r="O1658" i="10"/>
  <c r="M1658" i="10"/>
  <c r="E1658" i="10"/>
  <c r="B1658" i="10"/>
  <c r="S1657" i="10"/>
  <c r="Q1657" i="10"/>
  <c r="P1657" i="10"/>
  <c r="O1657" i="10"/>
  <c r="M1657" i="10"/>
  <c r="B1657" i="10"/>
  <c r="S1656" i="10"/>
  <c r="Q1656" i="10"/>
  <c r="P1656" i="10"/>
  <c r="O1656" i="10"/>
  <c r="M1656" i="10"/>
  <c r="E1656" i="10"/>
  <c r="B1656" i="10"/>
  <c r="S1655" i="10"/>
  <c r="Q1655" i="10"/>
  <c r="P1655" i="10"/>
  <c r="O1655" i="10"/>
  <c r="M1655" i="10"/>
  <c r="E1655" i="10"/>
  <c r="B1655" i="10"/>
  <c r="S1654" i="10"/>
  <c r="Q1654" i="10"/>
  <c r="P1654" i="10"/>
  <c r="O1654" i="10"/>
  <c r="M1654" i="10"/>
  <c r="E1654" i="10"/>
  <c r="B1654" i="10"/>
  <c r="S1653" i="10"/>
  <c r="Q1653" i="10"/>
  <c r="P1653" i="10"/>
  <c r="O1653" i="10"/>
  <c r="M1653" i="10"/>
  <c r="B1653" i="10"/>
  <c r="S1652" i="10"/>
  <c r="Q1652" i="10"/>
  <c r="P1652" i="10"/>
  <c r="O1652" i="10"/>
  <c r="M1652" i="10"/>
  <c r="B1652" i="10"/>
  <c r="S1651" i="10"/>
  <c r="Q1651" i="10"/>
  <c r="P1651" i="10"/>
  <c r="O1651" i="10"/>
  <c r="M1651" i="10"/>
  <c r="E1651" i="10"/>
  <c r="B1651" i="10"/>
  <c r="S1650" i="10"/>
  <c r="Q1650" i="10"/>
  <c r="P1650" i="10"/>
  <c r="O1650" i="10"/>
  <c r="M1650" i="10"/>
  <c r="B1650" i="10"/>
  <c r="S1649" i="10"/>
  <c r="Q1649" i="10"/>
  <c r="P1649" i="10"/>
  <c r="O1649" i="10"/>
  <c r="M1649" i="10"/>
  <c r="E1649" i="10"/>
  <c r="B1649" i="10"/>
  <c r="S1648" i="10"/>
  <c r="Q1648" i="10"/>
  <c r="P1648" i="10"/>
  <c r="O1648" i="10"/>
  <c r="M1648" i="10"/>
  <c r="E1648" i="10"/>
  <c r="B1648" i="10"/>
  <c r="S1647" i="10"/>
  <c r="Q1647" i="10"/>
  <c r="P1647" i="10"/>
  <c r="O1647" i="10"/>
  <c r="M1647" i="10"/>
  <c r="B1647" i="10"/>
  <c r="S1646" i="10"/>
  <c r="Q1646" i="10"/>
  <c r="P1646" i="10"/>
  <c r="O1646" i="10"/>
  <c r="M1646" i="10"/>
  <c r="E1646" i="10"/>
  <c r="B1646" i="10"/>
  <c r="S1645" i="10"/>
  <c r="Q1645" i="10"/>
  <c r="P1645" i="10"/>
  <c r="O1645" i="10"/>
  <c r="M1645" i="10"/>
  <c r="E1645" i="10"/>
  <c r="B1645" i="10"/>
  <c r="S1644" i="10"/>
  <c r="Q1644" i="10"/>
  <c r="P1644" i="10"/>
  <c r="O1644" i="10"/>
  <c r="M1644" i="10"/>
  <c r="E1644" i="10"/>
  <c r="B1644" i="10"/>
  <c r="S1643" i="10"/>
  <c r="Q1643" i="10"/>
  <c r="P1643" i="10"/>
  <c r="O1643" i="10"/>
  <c r="M1643" i="10"/>
  <c r="B1643" i="10"/>
  <c r="S1642" i="10"/>
  <c r="Q1642" i="10"/>
  <c r="P1642" i="10"/>
  <c r="O1642" i="10"/>
  <c r="M1642" i="10"/>
  <c r="E1642" i="10"/>
  <c r="B1642" i="10"/>
  <c r="S1641" i="10"/>
  <c r="Q1641" i="10"/>
  <c r="P1641" i="10"/>
  <c r="O1641" i="10"/>
  <c r="M1641" i="10"/>
  <c r="B1641" i="10"/>
  <c r="S1640" i="10"/>
  <c r="Q1640" i="10"/>
  <c r="P1640" i="10"/>
  <c r="O1640" i="10"/>
  <c r="M1640" i="10"/>
  <c r="E1640" i="10"/>
  <c r="B1640" i="10"/>
  <c r="S1639" i="10"/>
  <c r="Q1639" i="10"/>
  <c r="P1639" i="10"/>
  <c r="O1639" i="10"/>
  <c r="M1639" i="10"/>
  <c r="E1639" i="10"/>
  <c r="B1639" i="10"/>
  <c r="S1638" i="10"/>
  <c r="Q1638" i="10"/>
  <c r="P1638" i="10"/>
  <c r="O1638" i="10"/>
  <c r="M1638" i="10"/>
  <c r="E1638" i="10"/>
  <c r="B1638" i="10"/>
  <c r="S1637" i="10"/>
  <c r="Q1637" i="10"/>
  <c r="P1637" i="10"/>
  <c r="O1637" i="10"/>
  <c r="M1637" i="10"/>
  <c r="E1637" i="10"/>
  <c r="B1637" i="10"/>
  <c r="S1636" i="10"/>
  <c r="Q1636" i="10"/>
  <c r="P1636" i="10"/>
  <c r="O1636" i="10"/>
  <c r="M1636" i="10"/>
  <c r="E1636" i="10"/>
  <c r="B1636" i="10"/>
  <c r="S1635" i="10"/>
  <c r="Q1635" i="10"/>
  <c r="P1635" i="10"/>
  <c r="O1635" i="10"/>
  <c r="M1635" i="10"/>
  <c r="E1635" i="10"/>
  <c r="B1635" i="10"/>
  <c r="S1634" i="10"/>
  <c r="Q1634" i="10"/>
  <c r="P1634" i="10"/>
  <c r="O1634" i="10"/>
  <c r="M1634" i="10"/>
  <c r="B1634" i="10"/>
  <c r="S1633" i="10"/>
  <c r="Q1633" i="10"/>
  <c r="P1633" i="10"/>
  <c r="O1633" i="10"/>
  <c r="M1633" i="10"/>
  <c r="E1633" i="10"/>
  <c r="B1633" i="10"/>
  <c r="S1632" i="10"/>
  <c r="Q1632" i="10"/>
  <c r="P1632" i="10"/>
  <c r="O1632" i="10"/>
  <c r="M1632" i="10"/>
  <c r="E1632" i="10"/>
  <c r="B1632" i="10"/>
  <c r="S1631" i="10"/>
  <c r="Q1631" i="10"/>
  <c r="P1631" i="10"/>
  <c r="O1631" i="10"/>
  <c r="M1631" i="10"/>
  <c r="E1631" i="10"/>
  <c r="B1631" i="10"/>
  <c r="S1630" i="10"/>
  <c r="Q1630" i="10"/>
  <c r="P1630" i="10"/>
  <c r="O1630" i="10"/>
  <c r="M1630" i="10"/>
  <c r="E1630" i="10"/>
  <c r="B1630" i="10"/>
  <c r="S1629" i="10"/>
  <c r="Q1629" i="10"/>
  <c r="P1629" i="10"/>
  <c r="O1629" i="10"/>
  <c r="M1629" i="10"/>
  <c r="E1629" i="10"/>
  <c r="B1629" i="10"/>
  <c r="S1628" i="10"/>
  <c r="Q1628" i="10"/>
  <c r="P1628" i="10"/>
  <c r="O1628" i="10"/>
  <c r="M1628" i="10"/>
  <c r="E1628" i="10"/>
  <c r="B1628" i="10"/>
  <c r="S1627" i="10"/>
  <c r="Q1627" i="10"/>
  <c r="P1627" i="10"/>
  <c r="O1627" i="10"/>
  <c r="M1627" i="10"/>
  <c r="E1627" i="10"/>
  <c r="B1627" i="10"/>
  <c r="S1626" i="10"/>
  <c r="Q1626" i="10"/>
  <c r="P1626" i="10"/>
  <c r="O1626" i="10"/>
  <c r="M1626" i="10"/>
  <c r="E1626" i="10"/>
  <c r="B1626" i="10"/>
  <c r="S1625" i="10"/>
  <c r="Q1625" i="10"/>
  <c r="P1625" i="10"/>
  <c r="O1625" i="10"/>
  <c r="M1625" i="10"/>
  <c r="B1625" i="10"/>
  <c r="S1624" i="10"/>
  <c r="Q1624" i="10"/>
  <c r="P1624" i="10"/>
  <c r="O1624" i="10"/>
  <c r="M1624" i="10"/>
  <c r="E1624" i="10"/>
  <c r="B1624" i="10"/>
  <c r="S1623" i="10"/>
  <c r="Q1623" i="10"/>
  <c r="P1623" i="10"/>
  <c r="O1623" i="10"/>
  <c r="M1623" i="10"/>
  <c r="E1623" i="10"/>
  <c r="B1623" i="10"/>
  <c r="S1622" i="10"/>
  <c r="Q1622" i="10"/>
  <c r="P1622" i="10"/>
  <c r="O1622" i="10"/>
  <c r="M1622" i="10"/>
  <c r="E1622" i="10"/>
  <c r="B1622" i="10"/>
  <c r="S1621" i="10"/>
  <c r="Q1621" i="10"/>
  <c r="P1621" i="10"/>
  <c r="O1621" i="10"/>
  <c r="M1621" i="10"/>
  <c r="B1621" i="10"/>
  <c r="S1620" i="10"/>
  <c r="Q1620" i="10"/>
  <c r="P1620" i="10"/>
  <c r="O1620" i="10"/>
  <c r="M1620" i="10"/>
  <c r="E1620" i="10"/>
  <c r="B1620" i="10"/>
  <c r="S1619" i="10"/>
  <c r="Q1619" i="10"/>
  <c r="P1619" i="10"/>
  <c r="O1619" i="10"/>
  <c r="M1619" i="10"/>
  <c r="E1619" i="10"/>
  <c r="B1619" i="10"/>
  <c r="S1618" i="10"/>
  <c r="Q1618" i="10"/>
  <c r="P1618" i="10"/>
  <c r="O1618" i="10"/>
  <c r="M1618" i="10"/>
  <c r="E1618" i="10"/>
  <c r="B1618" i="10"/>
  <c r="S1617" i="10"/>
  <c r="Q1617" i="10"/>
  <c r="P1617" i="10"/>
  <c r="O1617" i="10"/>
  <c r="M1617" i="10"/>
  <c r="B1617" i="10"/>
  <c r="S1616" i="10"/>
  <c r="Q1616" i="10"/>
  <c r="P1616" i="10"/>
  <c r="O1616" i="10"/>
  <c r="M1616" i="10"/>
  <c r="E1616" i="10"/>
  <c r="B1616" i="10"/>
  <c r="S1615" i="10"/>
  <c r="Q1615" i="10"/>
  <c r="P1615" i="10"/>
  <c r="O1615" i="10"/>
  <c r="M1615" i="10"/>
  <c r="E1615" i="10"/>
  <c r="B1615" i="10"/>
  <c r="S1614" i="10"/>
  <c r="Q1614" i="10"/>
  <c r="P1614" i="10"/>
  <c r="O1614" i="10"/>
  <c r="M1614" i="10"/>
  <c r="E1614" i="10"/>
  <c r="B1614" i="10"/>
  <c r="S1613" i="10"/>
  <c r="Q1613" i="10"/>
  <c r="P1613" i="10"/>
  <c r="O1613" i="10"/>
  <c r="M1613" i="10"/>
  <c r="E1613" i="10"/>
  <c r="B1613" i="10"/>
  <c r="S1612" i="10"/>
  <c r="Q1612" i="10"/>
  <c r="P1612" i="10"/>
  <c r="O1612" i="10"/>
  <c r="M1612" i="10"/>
  <c r="E1612" i="10"/>
  <c r="B1612" i="10"/>
  <c r="S1611" i="10"/>
  <c r="Q1611" i="10"/>
  <c r="P1611" i="10"/>
  <c r="O1611" i="10"/>
  <c r="M1611" i="10"/>
  <c r="E1611" i="10"/>
  <c r="B1611" i="10"/>
  <c r="S1610" i="10"/>
  <c r="Q1610" i="10"/>
  <c r="P1610" i="10"/>
  <c r="O1610" i="10"/>
  <c r="M1610" i="10"/>
  <c r="E1610" i="10"/>
  <c r="B1610" i="10"/>
  <c r="S1609" i="10"/>
  <c r="Q1609" i="10"/>
  <c r="P1609" i="10"/>
  <c r="O1609" i="10"/>
  <c r="M1609" i="10"/>
  <c r="E1609" i="10"/>
  <c r="B1609" i="10"/>
  <c r="S1608" i="10"/>
  <c r="Q1608" i="10"/>
  <c r="P1608" i="10"/>
  <c r="O1608" i="10"/>
  <c r="M1608" i="10"/>
  <c r="E1608" i="10"/>
  <c r="B1608" i="10"/>
  <c r="S1607" i="10"/>
  <c r="Q1607" i="10"/>
  <c r="P1607" i="10"/>
  <c r="O1607" i="10"/>
  <c r="M1607" i="10"/>
  <c r="E1607" i="10"/>
  <c r="B1607" i="10"/>
  <c r="S1606" i="10"/>
  <c r="Q1606" i="10"/>
  <c r="P1606" i="10"/>
  <c r="O1606" i="10"/>
  <c r="M1606" i="10"/>
  <c r="E1606" i="10"/>
  <c r="B1606" i="10"/>
  <c r="S1605" i="10"/>
  <c r="Q1605" i="10"/>
  <c r="P1605" i="10"/>
  <c r="O1605" i="10"/>
  <c r="M1605" i="10"/>
  <c r="E1605" i="10"/>
  <c r="B1605" i="10"/>
  <c r="S1604" i="10"/>
  <c r="Q1604" i="10"/>
  <c r="P1604" i="10"/>
  <c r="O1604" i="10"/>
  <c r="M1604" i="10"/>
  <c r="E1604" i="10"/>
  <c r="B1604" i="10"/>
  <c r="S1603" i="10"/>
  <c r="Q1603" i="10"/>
  <c r="P1603" i="10"/>
  <c r="O1603" i="10"/>
  <c r="M1603" i="10"/>
  <c r="E1603" i="10"/>
  <c r="B1603" i="10"/>
  <c r="S1602" i="10"/>
  <c r="Q1602" i="10"/>
  <c r="P1602" i="10"/>
  <c r="O1602" i="10"/>
  <c r="M1602" i="10"/>
  <c r="E1602" i="10"/>
  <c r="B1602" i="10"/>
  <c r="S1601" i="10"/>
  <c r="Q1601" i="10"/>
  <c r="P1601" i="10"/>
  <c r="O1601" i="10"/>
  <c r="M1601" i="10"/>
  <c r="E1601" i="10"/>
  <c r="B1601" i="10"/>
  <c r="S1600" i="10"/>
  <c r="Q1600" i="10"/>
  <c r="P1600" i="10"/>
  <c r="O1600" i="10"/>
  <c r="M1600" i="10"/>
  <c r="E1600" i="10"/>
  <c r="B1600" i="10"/>
  <c r="S1599" i="10"/>
  <c r="Q1599" i="10"/>
  <c r="P1599" i="10"/>
  <c r="O1599" i="10"/>
  <c r="M1599" i="10"/>
  <c r="B1599" i="10"/>
  <c r="S1598" i="10"/>
  <c r="Q1598" i="10"/>
  <c r="P1598" i="10"/>
  <c r="O1598" i="10"/>
  <c r="M1598" i="10"/>
  <c r="E1598" i="10"/>
  <c r="B1598" i="10"/>
  <c r="S1597" i="10"/>
  <c r="Q1597" i="10"/>
  <c r="P1597" i="10"/>
  <c r="O1597" i="10"/>
  <c r="M1597" i="10"/>
  <c r="E1597" i="10"/>
  <c r="B1597" i="10"/>
  <c r="S1596" i="10"/>
  <c r="Q1596" i="10"/>
  <c r="P1596" i="10"/>
  <c r="O1596" i="10"/>
  <c r="M1596" i="10"/>
  <c r="E1596" i="10"/>
  <c r="B1596" i="10"/>
  <c r="S1595" i="10"/>
  <c r="Q1595" i="10"/>
  <c r="P1595" i="10"/>
  <c r="O1595" i="10"/>
  <c r="M1595" i="10"/>
  <c r="B1595" i="10"/>
  <c r="S1594" i="10"/>
  <c r="Q1594" i="10"/>
  <c r="P1594" i="10"/>
  <c r="O1594" i="10"/>
  <c r="M1594" i="10"/>
  <c r="E1594" i="10"/>
  <c r="B1594" i="10"/>
  <c r="S1593" i="10"/>
  <c r="Q1593" i="10"/>
  <c r="P1593" i="10"/>
  <c r="O1593" i="10"/>
  <c r="M1593" i="10"/>
  <c r="E1593" i="10"/>
  <c r="B1593" i="10"/>
  <c r="S1592" i="10"/>
  <c r="Q1592" i="10"/>
  <c r="P1592" i="10"/>
  <c r="O1592" i="10"/>
  <c r="M1592" i="10"/>
  <c r="E1592" i="10"/>
  <c r="B1592" i="10"/>
  <c r="S1591" i="10"/>
  <c r="Q1591" i="10"/>
  <c r="P1591" i="10"/>
  <c r="O1591" i="10"/>
  <c r="M1591" i="10"/>
  <c r="E1591" i="10"/>
  <c r="B1591" i="10"/>
  <c r="S1590" i="10"/>
  <c r="Q1590" i="10"/>
  <c r="P1590" i="10"/>
  <c r="O1590" i="10"/>
  <c r="M1590" i="10"/>
  <c r="E1590" i="10"/>
  <c r="B1590" i="10"/>
  <c r="S1589" i="10"/>
  <c r="Q1589" i="10"/>
  <c r="P1589" i="10"/>
  <c r="O1589" i="10"/>
  <c r="M1589" i="10"/>
  <c r="E1589" i="10"/>
  <c r="B1589" i="10"/>
  <c r="S1588" i="10"/>
  <c r="Q1588" i="10"/>
  <c r="P1588" i="10"/>
  <c r="O1588" i="10"/>
  <c r="M1588" i="10"/>
  <c r="E1588" i="10"/>
  <c r="B1588" i="10"/>
  <c r="S1587" i="10"/>
  <c r="Q1587" i="10"/>
  <c r="P1587" i="10"/>
  <c r="O1587" i="10"/>
  <c r="M1587" i="10"/>
  <c r="E1587" i="10"/>
  <c r="B1587" i="10"/>
  <c r="S1586" i="10"/>
  <c r="Q1586" i="10"/>
  <c r="P1586" i="10"/>
  <c r="O1586" i="10"/>
  <c r="M1586" i="10"/>
  <c r="E1586" i="10"/>
  <c r="B1586" i="10"/>
  <c r="S1585" i="10"/>
  <c r="Q1585" i="10"/>
  <c r="P1585" i="10"/>
  <c r="O1585" i="10"/>
  <c r="M1585" i="10"/>
  <c r="E1585" i="10"/>
  <c r="B1585" i="10"/>
  <c r="S1584" i="10"/>
  <c r="Q1584" i="10"/>
  <c r="P1584" i="10"/>
  <c r="O1584" i="10"/>
  <c r="M1584" i="10"/>
  <c r="E1584" i="10"/>
  <c r="B1584" i="10"/>
  <c r="S1583" i="10"/>
  <c r="Q1583" i="10"/>
  <c r="P1583" i="10"/>
  <c r="O1583" i="10"/>
  <c r="M1583" i="10"/>
  <c r="B1583" i="10"/>
  <c r="S1582" i="10"/>
  <c r="Q1582" i="10"/>
  <c r="P1582" i="10"/>
  <c r="O1582" i="10"/>
  <c r="M1582" i="10"/>
  <c r="E1582" i="10"/>
  <c r="B1582" i="10"/>
  <c r="S1581" i="10"/>
  <c r="Q1581" i="10"/>
  <c r="P1581" i="10"/>
  <c r="O1581" i="10"/>
  <c r="M1581" i="10"/>
  <c r="E1581" i="10"/>
  <c r="B1581" i="10"/>
  <c r="S1580" i="10"/>
  <c r="Q1580" i="10"/>
  <c r="P1580" i="10"/>
  <c r="O1580" i="10"/>
  <c r="M1580" i="10"/>
  <c r="E1580" i="10"/>
  <c r="B1580" i="10"/>
  <c r="S1579" i="10"/>
  <c r="Q1579" i="10"/>
  <c r="P1579" i="10"/>
  <c r="O1579" i="10"/>
  <c r="M1579" i="10"/>
  <c r="E1579" i="10"/>
  <c r="B1579" i="10"/>
  <c r="S1578" i="10"/>
  <c r="Q1578" i="10"/>
  <c r="P1578" i="10"/>
  <c r="O1578" i="10"/>
  <c r="M1578" i="10"/>
  <c r="E1578" i="10"/>
  <c r="B1578" i="10"/>
  <c r="S1577" i="10"/>
  <c r="Q1577" i="10"/>
  <c r="P1577" i="10"/>
  <c r="O1577" i="10"/>
  <c r="M1577" i="10"/>
  <c r="E1577" i="10"/>
  <c r="B1577" i="10"/>
  <c r="S1576" i="10"/>
  <c r="Q1576" i="10"/>
  <c r="P1576" i="10"/>
  <c r="O1576" i="10"/>
  <c r="M1576" i="10"/>
  <c r="E1576" i="10"/>
  <c r="B1576" i="10"/>
  <c r="S1575" i="10"/>
  <c r="Q1575" i="10"/>
  <c r="P1575" i="10"/>
  <c r="O1575" i="10"/>
  <c r="M1575" i="10"/>
  <c r="B1575" i="10"/>
  <c r="S1574" i="10"/>
  <c r="Q1574" i="10"/>
  <c r="P1574" i="10"/>
  <c r="O1574" i="10"/>
  <c r="M1574" i="10"/>
  <c r="E1574" i="10"/>
  <c r="B1574" i="10"/>
  <c r="S1573" i="10"/>
  <c r="Q1573" i="10"/>
  <c r="P1573" i="10"/>
  <c r="O1573" i="10"/>
  <c r="M1573" i="10"/>
  <c r="E1573" i="10"/>
  <c r="B1573" i="10"/>
  <c r="S1572" i="10"/>
  <c r="Q1572" i="10"/>
  <c r="P1572" i="10"/>
  <c r="O1572" i="10"/>
  <c r="M1572" i="10"/>
  <c r="E1572" i="10"/>
  <c r="B1572" i="10"/>
  <c r="S1571" i="10"/>
  <c r="Q1571" i="10"/>
  <c r="P1571" i="10"/>
  <c r="O1571" i="10"/>
  <c r="M1571" i="10"/>
  <c r="E1571" i="10"/>
  <c r="B1571" i="10"/>
  <c r="S1570" i="10"/>
  <c r="Q1570" i="10"/>
  <c r="P1570" i="10"/>
  <c r="O1570" i="10"/>
  <c r="M1570" i="10"/>
  <c r="E1570" i="10"/>
  <c r="B1570" i="10"/>
  <c r="S1569" i="10"/>
  <c r="Q1569" i="10"/>
  <c r="P1569" i="10"/>
  <c r="O1569" i="10"/>
  <c r="M1569" i="10"/>
  <c r="E1569" i="10"/>
  <c r="B1569" i="10"/>
  <c r="S1568" i="10"/>
  <c r="Q1568" i="10"/>
  <c r="P1568" i="10"/>
  <c r="O1568" i="10"/>
  <c r="M1568" i="10"/>
  <c r="E1568" i="10"/>
  <c r="B1568" i="10"/>
  <c r="S1567" i="10"/>
  <c r="Q1567" i="10"/>
  <c r="P1567" i="10"/>
  <c r="O1567" i="10"/>
  <c r="M1567" i="10"/>
  <c r="E1567" i="10"/>
  <c r="B1567" i="10"/>
  <c r="S1566" i="10"/>
  <c r="Q1566" i="10"/>
  <c r="P1566" i="10"/>
  <c r="O1566" i="10"/>
  <c r="M1566" i="10"/>
  <c r="E1566" i="10"/>
  <c r="B1566" i="10"/>
  <c r="S1565" i="10"/>
  <c r="Q1565" i="10"/>
  <c r="P1565" i="10"/>
  <c r="O1565" i="10"/>
  <c r="M1565" i="10"/>
  <c r="E1565" i="10"/>
  <c r="B1565" i="10"/>
  <c r="S1564" i="10"/>
  <c r="Q1564" i="10"/>
  <c r="P1564" i="10"/>
  <c r="O1564" i="10"/>
  <c r="M1564" i="10"/>
  <c r="E1564" i="10"/>
  <c r="B1564" i="10"/>
  <c r="S1563" i="10"/>
  <c r="Q1563" i="10"/>
  <c r="P1563" i="10"/>
  <c r="O1563" i="10"/>
  <c r="M1563" i="10"/>
  <c r="E1563" i="10"/>
  <c r="B1563" i="10"/>
  <c r="S1562" i="10"/>
  <c r="Q1562" i="10"/>
  <c r="P1562" i="10"/>
  <c r="O1562" i="10"/>
  <c r="M1562" i="10"/>
  <c r="E1562" i="10"/>
  <c r="B1562" i="10"/>
  <c r="S1561" i="10"/>
  <c r="Q1561" i="10"/>
  <c r="P1561" i="10"/>
  <c r="O1561" i="10"/>
  <c r="M1561" i="10"/>
  <c r="E1561" i="10"/>
  <c r="B1561" i="10"/>
  <c r="S1560" i="10"/>
  <c r="Q1560" i="10"/>
  <c r="P1560" i="10"/>
  <c r="O1560" i="10"/>
  <c r="M1560" i="10"/>
  <c r="E1560" i="10"/>
  <c r="B1560" i="10"/>
  <c r="S1559" i="10"/>
  <c r="Q1559" i="10"/>
  <c r="P1559" i="10"/>
  <c r="O1559" i="10"/>
  <c r="M1559" i="10"/>
  <c r="E1559" i="10"/>
  <c r="B1559" i="10"/>
  <c r="S1558" i="10"/>
  <c r="Q1558" i="10"/>
  <c r="P1558" i="10"/>
  <c r="O1558" i="10"/>
  <c r="M1558" i="10"/>
  <c r="E1558" i="10"/>
  <c r="B1558" i="10"/>
  <c r="S1557" i="10"/>
  <c r="Q1557" i="10"/>
  <c r="P1557" i="10"/>
  <c r="O1557" i="10"/>
  <c r="M1557" i="10"/>
  <c r="E1557" i="10"/>
  <c r="B1557" i="10"/>
  <c r="S1556" i="10"/>
  <c r="Q1556" i="10"/>
  <c r="P1556" i="10"/>
  <c r="O1556" i="10"/>
  <c r="M1556" i="10"/>
  <c r="B1556" i="10"/>
  <c r="S1555" i="10"/>
  <c r="Q1555" i="10"/>
  <c r="P1555" i="10"/>
  <c r="O1555" i="10"/>
  <c r="M1555" i="10"/>
  <c r="B1555" i="10"/>
  <c r="S1554" i="10"/>
  <c r="Q1554" i="10"/>
  <c r="P1554" i="10"/>
  <c r="O1554" i="10"/>
  <c r="M1554" i="10"/>
  <c r="E1554" i="10"/>
  <c r="B1554" i="10"/>
  <c r="S1553" i="10"/>
  <c r="Q1553" i="10"/>
  <c r="P1553" i="10"/>
  <c r="O1553" i="10"/>
  <c r="M1553" i="10"/>
  <c r="E1553" i="10"/>
  <c r="B1553" i="10"/>
  <c r="S1552" i="10"/>
  <c r="Q1552" i="10"/>
  <c r="P1552" i="10"/>
  <c r="O1552" i="10"/>
  <c r="M1552" i="10"/>
  <c r="E1552" i="10"/>
  <c r="B1552" i="10"/>
  <c r="S1551" i="10"/>
  <c r="Q1551" i="10"/>
  <c r="P1551" i="10"/>
  <c r="O1551" i="10"/>
  <c r="M1551" i="10"/>
  <c r="E1551" i="10"/>
  <c r="B1551" i="10"/>
  <c r="S1550" i="10"/>
  <c r="Q1550" i="10"/>
  <c r="P1550" i="10"/>
  <c r="O1550" i="10"/>
  <c r="M1550" i="10"/>
  <c r="E1550" i="10"/>
  <c r="B1550" i="10"/>
  <c r="S1549" i="10"/>
  <c r="Q1549" i="10"/>
  <c r="P1549" i="10"/>
  <c r="O1549" i="10"/>
  <c r="M1549" i="10"/>
  <c r="E1549" i="10"/>
  <c r="B1549" i="10"/>
  <c r="S1548" i="10"/>
  <c r="Q1548" i="10"/>
  <c r="P1548" i="10"/>
  <c r="O1548" i="10"/>
  <c r="M1548" i="10"/>
  <c r="B1548" i="10"/>
  <c r="S1547" i="10"/>
  <c r="Q1547" i="10"/>
  <c r="P1547" i="10"/>
  <c r="O1547" i="10"/>
  <c r="M1547" i="10"/>
  <c r="E1547" i="10"/>
  <c r="B1547" i="10"/>
  <c r="S1546" i="10"/>
  <c r="Q1546" i="10"/>
  <c r="P1546" i="10"/>
  <c r="O1546" i="10"/>
  <c r="M1546" i="10"/>
  <c r="B1546" i="10"/>
  <c r="S1545" i="10"/>
  <c r="Q1545" i="10"/>
  <c r="P1545" i="10"/>
  <c r="O1545" i="10"/>
  <c r="M1545" i="10"/>
  <c r="E1545" i="10"/>
  <c r="B1545" i="10"/>
  <c r="S1544" i="10"/>
  <c r="Q1544" i="10"/>
  <c r="P1544" i="10"/>
  <c r="O1544" i="10"/>
  <c r="M1544" i="10"/>
  <c r="B1544" i="10"/>
  <c r="S1543" i="10"/>
  <c r="Q1543" i="10"/>
  <c r="P1543" i="10"/>
  <c r="O1543" i="10"/>
  <c r="M1543" i="10"/>
  <c r="E1543" i="10"/>
  <c r="B1543" i="10"/>
  <c r="S1542" i="10"/>
  <c r="Q1542" i="10"/>
  <c r="P1542" i="10"/>
  <c r="O1542" i="10"/>
  <c r="M1542" i="10"/>
  <c r="E1542" i="10"/>
  <c r="B1542" i="10"/>
  <c r="S1541" i="10"/>
  <c r="Q1541" i="10"/>
  <c r="P1541" i="10"/>
  <c r="O1541" i="10"/>
  <c r="M1541" i="10"/>
  <c r="E1541" i="10"/>
  <c r="B1541" i="10"/>
  <c r="S1540" i="10"/>
  <c r="Q1540" i="10"/>
  <c r="P1540" i="10"/>
  <c r="O1540" i="10"/>
  <c r="M1540" i="10"/>
  <c r="E1540" i="10"/>
  <c r="B1540" i="10"/>
  <c r="S1539" i="10"/>
  <c r="Q1539" i="10"/>
  <c r="P1539" i="10"/>
  <c r="O1539" i="10"/>
  <c r="M1539" i="10"/>
  <c r="B1539" i="10"/>
  <c r="S1538" i="10"/>
  <c r="Q1538" i="10"/>
  <c r="P1538" i="10"/>
  <c r="O1538" i="10"/>
  <c r="M1538" i="10"/>
  <c r="E1538" i="10"/>
  <c r="B1538" i="10"/>
  <c r="S1537" i="10"/>
  <c r="Q1537" i="10"/>
  <c r="P1537" i="10"/>
  <c r="O1537" i="10"/>
  <c r="M1537" i="10"/>
  <c r="E1537" i="10"/>
  <c r="B1537" i="10"/>
  <c r="S1536" i="10"/>
  <c r="Q1536" i="10"/>
  <c r="P1536" i="10"/>
  <c r="O1536" i="10"/>
  <c r="M1536" i="10"/>
  <c r="E1536" i="10"/>
  <c r="B1536" i="10"/>
  <c r="S1535" i="10"/>
  <c r="Q1535" i="10"/>
  <c r="P1535" i="10"/>
  <c r="O1535" i="10"/>
  <c r="M1535" i="10"/>
  <c r="E1535" i="10"/>
  <c r="B1535" i="10"/>
  <c r="S1534" i="10"/>
  <c r="Q1534" i="10"/>
  <c r="P1534" i="10"/>
  <c r="O1534" i="10"/>
  <c r="M1534" i="10"/>
  <c r="B1534" i="10"/>
  <c r="S1533" i="10"/>
  <c r="Q1533" i="10"/>
  <c r="P1533" i="10"/>
  <c r="O1533" i="10"/>
  <c r="M1533" i="10"/>
  <c r="E1533" i="10"/>
  <c r="B1533" i="10"/>
  <c r="S1532" i="10"/>
  <c r="Q1532" i="10"/>
  <c r="P1532" i="10"/>
  <c r="O1532" i="10"/>
  <c r="M1532" i="10"/>
  <c r="E1532" i="10"/>
  <c r="B1532" i="10"/>
  <c r="S1531" i="10"/>
  <c r="Q1531" i="10"/>
  <c r="P1531" i="10"/>
  <c r="O1531" i="10"/>
  <c r="M1531" i="10"/>
  <c r="E1531" i="10"/>
  <c r="B1531" i="10"/>
  <c r="S1530" i="10"/>
  <c r="Q1530" i="10"/>
  <c r="P1530" i="10"/>
  <c r="O1530" i="10"/>
  <c r="M1530" i="10"/>
  <c r="E1530" i="10"/>
  <c r="B1530" i="10"/>
  <c r="S1529" i="10"/>
  <c r="Q1529" i="10"/>
  <c r="P1529" i="10"/>
  <c r="O1529" i="10"/>
  <c r="M1529" i="10"/>
  <c r="E1529" i="10"/>
  <c r="B1529" i="10"/>
  <c r="S1528" i="10"/>
  <c r="Q1528" i="10"/>
  <c r="P1528" i="10"/>
  <c r="O1528" i="10"/>
  <c r="M1528" i="10"/>
  <c r="E1528" i="10"/>
  <c r="B1528" i="10"/>
  <c r="S1527" i="10"/>
  <c r="Q1527" i="10"/>
  <c r="P1527" i="10"/>
  <c r="O1527" i="10"/>
  <c r="M1527" i="10"/>
  <c r="E1527" i="10"/>
  <c r="B1527" i="10"/>
  <c r="S1526" i="10"/>
  <c r="Q1526" i="10"/>
  <c r="P1526" i="10"/>
  <c r="O1526" i="10"/>
  <c r="M1526" i="10"/>
  <c r="B1526" i="10"/>
  <c r="S1525" i="10"/>
  <c r="Q1525" i="10"/>
  <c r="P1525" i="10"/>
  <c r="O1525" i="10"/>
  <c r="M1525" i="10"/>
  <c r="E1525" i="10"/>
  <c r="B1525" i="10"/>
  <c r="S1524" i="10"/>
  <c r="Q1524" i="10"/>
  <c r="P1524" i="10"/>
  <c r="O1524" i="10"/>
  <c r="M1524" i="10"/>
  <c r="E1524" i="10"/>
  <c r="B1524" i="10"/>
  <c r="S1523" i="10"/>
  <c r="Q1523" i="10"/>
  <c r="P1523" i="10"/>
  <c r="O1523" i="10"/>
  <c r="M1523" i="10"/>
  <c r="E1523" i="10"/>
  <c r="B1523" i="10"/>
  <c r="S1522" i="10"/>
  <c r="Q1522" i="10"/>
  <c r="P1522" i="10"/>
  <c r="O1522" i="10"/>
  <c r="M1522" i="10"/>
  <c r="E1522" i="10"/>
  <c r="B1522" i="10"/>
  <c r="S1521" i="10"/>
  <c r="Q1521" i="10"/>
  <c r="P1521" i="10"/>
  <c r="O1521" i="10"/>
  <c r="M1521" i="10"/>
  <c r="E1521" i="10"/>
  <c r="B1521" i="10"/>
  <c r="S1520" i="10"/>
  <c r="Q1520" i="10"/>
  <c r="P1520" i="10"/>
  <c r="O1520" i="10"/>
  <c r="M1520" i="10"/>
  <c r="E1520" i="10"/>
  <c r="B1520" i="10"/>
  <c r="S1519" i="10"/>
  <c r="Q1519" i="10"/>
  <c r="P1519" i="10"/>
  <c r="O1519" i="10"/>
  <c r="M1519" i="10"/>
  <c r="E1519" i="10"/>
  <c r="B1519" i="10"/>
  <c r="S1518" i="10"/>
  <c r="Q1518" i="10"/>
  <c r="P1518" i="10"/>
  <c r="O1518" i="10"/>
  <c r="M1518" i="10"/>
  <c r="E1518" i="10"/>
  <c r="B1518" i="10"/>
  <c r="S1517" i="10"/>
  <c r="Q1517" i="10"/>
  <c r="P1517" i="10"/>
  <c r="O1517" i="10"/>
  <c r="M1517" i="10"/>
  <c r="E1517" i="10"/>
  <c r="B1517" i="10"/>
  <c r="S1516" i="10"/>
  <c r="Q1516" i="10"/>
  <c r="P1516" i="10"/>
  <c r="O1516" i="10"/>
  <c r="M1516" i="10"/>
  <c r="E1516" i="10"/>
  <c r="B1516" i="10"/>
  <c r="S1515" i="10"/>
  <c r="Q1515" i="10"/>
  <c r="P1515" i="10"/>
  <c r="O1515" i="10"/>
  <c r="M1515" i="10"/>
  <c r="E1515" i="10"/>
  <c r="B1515" i="10"/>
  <c r="S1514" i="10"/>
  <c r="Q1514" i="10"/>
  <c r="P1514" i="10"/>
  <c r="O1514" i="10"/>
  <c r="M1514" i="10"/>
  <c r="E1514" i="10"/>
  <c r="B1514" i="10"/>
  <c r="S1513" i="10"/>
  <c r="Q1513" i="10"/>
  <c r="P1513" i="10"/>
  <c r="O1513" i="10"/>
  <c r="M1513" i="10"/>
  <c r="E1513" i="10"/>
  <c r="B1513" i="10"/>
  <c r="S1512" i="10"/>
  <c r="Q1512" i="10"/>
  <c r="P1512" i="10"/>
  <c r="O1512" i="10"/>
  <c r="M1512" i="10"/>
  <c r="E1512" i="10"/>
  <c r="B1512" i="10"/>
  <c r="S1511" i="10"/>
  <c r="Q1511" i="10"/>
  <c r="P1511" i="10"/>
  <c r="O1511" i="10"/>
  <c r="M1511" i="10"/>
  <c r="E1511" i="10"/>
  <c r="B1511" i="10"/>
  <c r="S1510" i="10"/>
  <c r="Q1510" i="10"/>
  <c r="P1510" i="10"/>
  <c r="O1510" i="10"/>
  <c r="M1510" i="10"/>
  <c r="E1510" i="10"/>
  <c r="B1510" i="10"/>
  <c r="S1509" i="10"/>
  <c r="Q1509" i="10"/>
  <c r="P1509" i="10"/>
  <c r="O1509" i="10"/>
  <c r="M1509" i="10"/>
  <c r="E1509" i="10"/>
  <c r="B1509" i="10"/>
  <c r="S1508" i="10"/>
  <c r="Q1508" i="10"/>
  <c r="P1508" i="10"/>
  <c r="O1508" i="10"/>
  <c r="M1508" i="10"/>
  <c r="E1508" i="10"/>
  <c r="B1508" i="10"/>
  <c r="S1507" i="10"/>
  <c r="Q1507" i="10"/>
  <c r="P1507" i="10"/>
  <c r="O1507" i="10"/>
  <c r="M1507" i="10"/>
  <c r="E1507" i="10"/>
  <c r="B1507" i="10"/>
  <c r="S1506" i="10"/>
  <c r="Q1506" i="10"/>
  <c r="P1506" i="10"/>
  <c r="O1506" i="10"/>
  <c r="M1506" i="10"/>
  <c r="E1506" i="10"/>
  <c r="B1506" i="10"/>
  <c r="S1505" i="10"/>
  <c r="Q1505" i="10"/>
  <c r="P1505" i="10"/>
  <c r="O1505" i="10"/>
  <c r="M1505" i="10"/>
  <c r="B1505" i="10"/>
  <c r="S1504" i="10"/>
  <c r="Q1504" i="10"/>
  <c r="P1504" i="10"/>
  <c r="O1504" i="10"/>
  <c r="M1504" i="10"/>
  <c r="B1504" i="10"/>
  <c r="S1503" i="10"/>
  <c r="Q1503" i="10"/>
  <c r="P1503" i="10"/>
  <c r="O1503" i="10"/>
  <c r="M1503" i="10"/>
  <c r="E1503" i="10"/>
  <c r="B1503" i="10"/>
  <c r="S1502" i="10"/>
  <c r="Q1502" i="10"/>
  <c r="P1502" i="10"/>
  <c r="O1502" i="10"/>
  <c r="M1502" i="10"/>
  <c r="E1502" i="10"/>
  <c r="B1502" i="10"/>
  <c r="S1501" i="10"/>
  <c r="Q1501" i="10"/>
  <c r="P1501" i="10"/>
  <c r="O1501" i="10"/>
  <c r="M1501" i="10"/>
  <c r="E1501" i="10"/>
  <c r="B1501" i="10"/>
  <c r="S1500" i="10"/>
  <c r="Q1500" i="10"/>
  <c r="P1500" i="10"/>
  <c r="O1500" i="10"/>
  <c r="M1500" i="10"/>
  <c r="B1500" i="10"/>
  <c r="S1499" i="10"/>
  <c r="Q1499" i="10"/>
  <c r="P1499" i="10"/>
  <c r="O1499" i="10"/>
  <c r="M1499" i="10"/>
  <c r="B1499" i="10"/>
  <c r="S1498" i="10"/>
  <c r="Q1498" i="10"/>
  <c r="P1498" i="10"/>
  <c r="O1498" i="10"/>
  <c r="M1498" i="10"/>
  <c r="B1498" i="10"/>
  <c r="S1497" i="10"/>
  <c r="Q1497" i="10"/>
  <c r="P1497" i="10"/>
  <c r="O1497" i="10"/>
  <c r="M1497" i="10"/>
  <c r="B1497" i="10"/>
  <c r="S1496" i="10"/>
  <c r="Q1496" i="10"/>
  <c r="P1496" i="10"/>
  <c r="O1496" i="10"/>
  <c r="M1496" i="10"/>
  <c r="E1496" i="10"/>
  <c r="B1496" i="10"/>
  <c r="S1495" i="10"/>
  <c r="Q1495" i="10"/>
  <c r="P1495" i="10"/>
  <c r="O1495" i="10"/>
  <c r="M1495" i="10"/>
  <c r="E1495" i="10"/>
  <c r="B1495" i="10"/>
  <c r="S1494" i="10"/>
  <c r="Q1494" i="10"/>
  <c r="P1494" i="10"/>
  <c r="O1494" i="10"/>
  <c r="M1494" i="10"/>
  <c r="B1494" i="10"/>
  <c r="S1493" i="10"/>
  <c r="Q1493" i="10"/>
  <c r="P1493" i="10"/>
  <c r="O1493" i="10"/>
  <c r="M1493" i="10"/>
  <c r="E1493" i="10"/>
  <c r="B1493" i="10"/>
  <c r="S1492" i="10"/>
  <c r="Q1492" i="10"/>
  <c r="P1492" i="10"/>
  <c r="O1492" i="10"/>
  <c r="M1492" i="10"/>
  <c r="E1492" i="10"/>
  <c r="B1492" i="10"/>
  <c r="S1491" i="10"/>
  <c r="Q1491" i="10"/>
  <c r="P1491" i="10"/>
  <c r="O1491" i="10"/>
  <c r="M1491" i="10"/>
  <c r="E1491" i="10"/>
  <c r="B1491" i="10"/>
  <c r="S1490" i="10"/>
  <c r="Q1490" i="10"/>
  <c r="P1490" i="10"/>
  <c r="O1490" i="10"/>
  <c r="M1490" i="10"/>
  <c r="E1490" i="10"/>
  <c r="B1490" i="10"/>
  <c r="S1489" i="10"/>
  <c r="Q1489" i="10"/>
  <c r="P1489" i="10"/>
  <c r="O1489" i="10"/>
  <c r="M1489" i="10"/>
  <c r="E1489" i="10"/>
  <c r="B1489" i="10"/>
  <c r="S1488" i="10"/>
  <c r="Q1488" i="10"/>
  <c r="P1488" i="10"/>
  <c r="O1488" i="10"/>
  <c r="M1488" i="10"/>
  <c r="E1488" i="10"/>
  <c r="B1488" i="10"/>
  <c r="S1487" i="10"/>
  <c r="Q1487" i="10"/>
  <c r="P1487" i="10"/>
  <c r="O1487" i="10"/>
  <c r="M1487" i="10"/>
  <c r="E1487" i="10"/>
  <c r="B1487" i="10"/>
  <c r="S1486" i="10"/>
  <c r="Q1486" i="10"/>
  <c r="P1486" i="10"/>
  <c r="O1486" i="10"/>
  <c r="M1486" i="10"/>
  <c r="E1486" i="10"/>
  <c r="B1486" i="10"/>
  <c r="S1485" i="10"/>
  <c r="Q1485" i="10"/>
  <c r="P1485" i="10"/>
  <c r="O1485" i="10"/>
  <c r="M1485" i="10"/>
  <c r="E1485" i="10"/>
  <c r="B1485" i="10"/>
  <c r="S1484" i="10"/>
  <c r="Q1484" i="10"/>
  <c r="P1484" i="10"/>
  <c r="O1484" i="10"/>
  <c r="M1484" i="10"/>
  <c r="E1484" i="10"/>
  <c r="B1484" i="10"/>
  <c r="S1483" i="10"/>
  <c r="Q1483" i="10"/>
  <c r="P1483" i="10"/>
  <c r="O1483" i="10"/>
  <c r="M1483" i="10"/>
  <c r="E1483" i="10"/>
  <c r="B1483" i="10"/>
  <c r="S1482" i="10"/>
  <c r="Q1482" i="10"/>
  <c r="P1482" i="10"/>
  <c r="O1482" i="10"/>
  <c r="M1482" i="10"/>
  <c r="E1482" i="10"/>
  <c r="B1482" i="10"/>
  <c r="S1481" i="10"/>
  <c r="Q1481" i="10"/>
  <c r="P1481" i="10"/>
  <c r="O1481" i="10"/>
  <c r="M1481" i="10"/>
  <c r="E1481" i="10"/>
  <c r="B1481" i="10"/>
  <c r="S1480" i="10"/>
  <c r="Q1480" i="10"/>
  <c r="P1480" i="10"/>
  <c r="O1480" i="10"/>
  <c r="M1480" i="10"/>
  <c r="E1480" i="10"/>
  <c r="B1480" i="10"/>
  <c r="S1479" i="10"/>
  <c r="Q1479" i="10"/>
  <c r="P1479" i="10"/>
  <c r="O1479" i="10"/>
  <c r="M1479" i="10"/>
  <c r="E1479" i="10"/>
  <c r="B1479" i="10"/>
  <c r="S1478" i="10"/>
  <c r="Q1478" i="10"/>
  <c r="P1478" i="10"/>
  <c r="O1478" i="10"/>
  <c r="M1478" i="10"/>
  <c r="E1478" i="10"/>
  <c r="B1478" i="10"/>
  <c r="S1477" i="10"/>
  <c r="Q1477" i="10"/>
  <c r="P1477" i="10"/>
  <c r="O1477" i="10"/>
  <c r="M1477" i="10"/>
  <c r="E1477" i="10"/>
  <c r="B1477" i="10"/>
  <c r="S1476" i="10"/>
  <c r="Q1476" i="10"/>
  <c r="P1476" i="10"/>
  <c r="O1476" i="10"/>
  <c r="M1476" i="10"/>
  <c r="E1476" i="10"/>
  <c r="B1476" i="10"/>
  <c r="S1475" i="10"/>
  <c r="Q1475" i="10"/>
  <c r="P1475" i="10"/>
  <c r="O1475" i="10"/>
  <c r="M1475" i="10"/>
  <c r="E1475" i="10"/>
  <c r="B1475" i="10"/>
  <c r="S1474" i="10"/>
  <c r="Q1474" i="10"/>
  <c r="P1474" i="10"/>
  <c r="O1474" i="10"/>
  <c r="M1474" i="10"/>
  <c r="E1474" i="10"/>
  <c r="B1474" i="10"/>
  <c r="S1473" i="10"/>
  <c r="Q1473" i="10"/>
  <c r="P1473" i="10"/>
  <c r="O1473" i="10"/>
  <c r="M1473" i="10"/>
  <c r="E1473" i="10"/>
  <c r="B1473" i="10"/>
  <c r="S1472" i="10"/>
  <c r="Q1472" i="10"/>
  <c r="P1472" i="10"/>
  <c r="O1472" i="10"/>
  <c r="M1472" i="10"/>
  <c r="E1472" i="10"/>
  <c r="B1472" i="10"/>
  <c r="S1471" i="10"/>
  <c r="Q1471" i="10"/>
  <c r="P1471" i="10"/>
  <c r="O1471" i="10"/>
  <c r="M1471" i="10"/>
  <c r="E1471" i="10"/>
  <c r="B1471" i="10"/>
  <c r="S1470" i="10"/>
  <c r="Q1470" i="10"/>
  <c r="P1470" i="10"/>
  <c r="O1470" i="10"/>
  <c r="M1470" i="10"/>
  <c r="E1470" i="10"/>
  <c r="B1470" i="10"/>
  <c r="S1469" i="10"/>
  <c r="Q1469" i="10"/>
  <c r="P1469" i="10"/>
  <c r="O1469" i="10"/>
  <c r="M1469" i="10"/>
  <c r="E1469" i="10"/>
  <c r="B1469" i="10"/>
  <c r="S1468" i="10"/>
  <c r="Q1468" i="10"/>
  <c r="P1468" i="10"/>
  <c r="O1468" i="10"/>
  <c r="M1468" i="10"/>
  <c r="E1468" i="10"/>
  <c r="B1468" i="10"/>
  <c r="S1467" i="10"/>
  <c r="Q1467" i="10"/>
  <c r="P1467" i="10"/>
  <c r="O1467" i="10"/>
  <c r="M1467" i="10"/>
  <c r="E1467" i="10"/>
  <c r="B1467" i="10"/>
  <c r="S1466" i="10"/>
  <c r="Q1466" i="10"/>
  <c r="P1466" i="10"/>
  <c r="O1466" i="10"/>
  <c r="M1466" i="10"/>
  <c r="E1466" i="10"/>
  <c r="B1466" i="10"/>
  <c r="S1465" i="10"/>
  <c r="Q1465" i="10"/>
  <c r="P1465" i="10"/>
  <c r="O1465" i="10"/>
  <c r="M1465" i="10"/>
  <c r="E1465" i="10"/>
  <c r="B1465" i="10"/>
  <c r="S1464" i="10"/>
  <c r="Q1464" i="10"/>
  <c r="P1464" i="10"/>
  <c r="O1464" i="10"/>
  <c r="M1464" i="10"/>
  <c r="E1464" i="10"/>
  <c r="B1464" i="10"/>
  <c r="S1463" i="10"/>
  <c r="Q1463" i="10"/>
  <c r="P1463" i="10"/>
  <c r="O1463" i="10"/>
  <c r="M1463" i="10"/>
  <c r="E1463" i="10"/>
  <c r="B1463" i="10"/>
  <c r="S1462" i="10"/>
  <c r="Q1462" i="10"/>
  <c r="P1462" i="10"/>
  <c r="O1462" i="10"/>
  <c r="M1462" i="10"/>
  <c r="E1462" i="10"/>
  <c r="B1462" i="10"/>
  <c r="S1461" i="10"/>
  <c r="Q1461" i="10"/>
  <c r="P1461" i="10"/>
  <c r="O1461" i="10"/>
  <c r="M1461" i="10"/>
  <c r="E1461" i="10"/>
  <c r="B1461" i="10"/>
  <c r="S1460" i="10"/>
  <c r="Q1460" i="10"/>
  <c r="P1460" i="10"/>
  <c r="O1460" i="10"/>
  <c r="M1460" i="10"/>
  <c r="E1460" i="10"/>
  <c r="B1460" i="10"/>
  <c r="S1459" i="10"/>
  <c r="Q1459" i="10"/>
  <c r="P1459" i="10"/>
  <c r="O1459" i="10"/>
  <c r="M1459" i="10"/>
  <c r="E1459" i="10"/>
  <c r="B1459" i="10"/>
  <c r="S1458" i="10"/>
  <c r="Q1458" i="10"/>
  <c r="P1458" i="10"/>
  <c r="O1458" i="10"/>
  <c r="M1458" i="10"/>
  <c r="E1458" i="10"/>
  <c r="B1458" i="10"/>
  <c r="S1457" i="10"/>
  <c r="Q1457" i="10"/>
  <c r="P1457" i="10"/>
  <c r="O1457" i="10"/>
  <c r="M1457" i="10"/>
  <c r="E1457" i="10"/>
  <c r="B1457" i="10"/>
  <c r="S1456" i="10"/>
  <c r="Q1456" i="10"/>
  <c r="P1456" i="10"/>
  <c r="O1456" i="10"/>
  <c r="M1456" i="10"/>
  <c r="E1456" i="10"/>
  <c r="B1456" i="10"/>
  <c r="S1455" i="10"/>
  <c r="Q1455" i="10"/>
  <c r="P1455" i="10"/>
  <c r="O1455" i="10"/>
  <c r="M1455" i="10"/>
  <c r="E1455" i="10"/>
  <c r="B1455" i="10"/>
  <c r="S1454" i="10"/>
  <c r="Q1454" i="10"/>
  <c r="P1454" i="10"/>
  <c r="O1454" i="10"/>
  <c r="M1454" i="10"/>
  <c r="E1454" i="10"/>
  <c r="B1454" i="10"/>
  <c r="S1453" i="10"/>
  <c r="Q1453" i="10"/>
  <c r="P1453" i="10"/>
  <c r="O1453" i="10"/>
  <c r="M1453" i="10"/>
  <c r="E1453" i="10"/>
  <c r="B1453" i="10"/>
  <c r="S1452" i="10"/>
  <c r="Q1452" i="10"/>
  <c r="P1452" i="10"/>
  <c r="O1452" i="10"/>
  <c r="M1452" i="10"/>
  <c r="E1452" i="10"/>
  <c r="B1452" i="10"/>
  <c r="S1451" i="10"/>
  <c r="Q1451" i="10"/>
  <c r="P1451" i="10"/>
  <c r="O1451" i="10"/>
  <c r="M1451" i="10"/>
  <c r="E1451" i="10"/>
  <c r="B1451" i="10"/>
  <c r="S1450" i="10"/>
  <c r="Q1450" i="10"/>
  <c r="P1450" i="10"/>
  <c r="O1450" i="10"/>
  <c r="M1450" i="10"/>
  <c r="E1450" i="10"/>
  <c r="B1450" i="10"/>
  <c r="S1449" i="10"/>
  <c r="Q1449" i="10"/>
  <c r="P1449" i="10"/>
  <c r="O1449" i="10"/>
  <c r="M1449" i="10"/>
  <c r="E1449" i="10"/>
  <c r="B1449" i="10"/>
  <c r="S1448" i="10"/>
  <c r="Q1448" i="10"/>
  <c r="P1448" i="10"/>
  <c r="O1448" i="10"/>
  <c r="M1448" i="10"/>
  <c r="E1448" i="10"/>
  <c r="B1448" i="10"/>
  <c r="S1447" i="10"/>
  <c r="Q1447" i="10"/>
  <c r="P1447" i="10"/>
  <c r="O1447" i="10"/>
  <c r="M1447" i="10"/>
  <c r="E1447" i="10"/>
  <c r="B1447" i="10"/>
  <c r="S1446" i="10"/>
  <c r="Q1446" i="10"/>
  <c r="P1446" i="10"/>
  <c r="O1446" i="10"/>
  <c r="M1446" i="10"/>
  <c r="E1446" i="10"/>
  <c r="B1446" i="10"/>
  <c r="S1445" i="10"/>
  <c r="Q1445" i="10"/>
  <c r="P1445" i="10"/>
  <c r="O1445" i="10"/>
  <c r="M1445" i="10"/>
  <c r="E1445" i="10"/>
  <c r="B1445" i="10"/>
  <c r="S1444" i="10"/>
  <c r="Q1444" i="10"/>
  <c r="P1444" i="10"/>
  <c r="O1444" i="10"/>
  <c r="M1444" i="10"/>
  <c r="B1444" i="10"/>
  <c r="S1443" i="10"/>
  <c r="Q1443" i="10"/>
  <c r="P1443" i="10"/>
  <c r="O1443" i="10"/>
  <c r="M1443" i="10"/>
  <c r="E1443" i="10"/>
  <c r="B1443" i="10"/>
  <c r="S1442" i="10"/>
  <c r="Q1442" i="10"/>
  <c r="P1442" i="10"/>
  <c r="O1442" i="10"/>
  <c r="M1442" i="10"/>
  <c r="E1442" i="10"/>
  <c r="B1442" i="10"/>
  <c r="S1441" i="10"/>
  <c r="Q1441" i="10"/>
  <c r="P1441" i="10"/>
  <c r="O1441" i="10"/>
  <c r="M1441" i="10"/>
  <c r="E1441" i="10"/>
  <c r="B1441" i="10"/>
  <c r="S1440" i="10"/>
  <c r="Q1440" i="10"/>
  <c r="P1440" i="10"/>
  <c r="O1440" i="10"/>
  <c r="M1440" i="10"/>
  <c r="E1440" i="10"/>
  <c r="B1440" i="10"/>
  <c r="S1439" i="10"/>
  <c r="Q1439" i="10"/>
  <c r="P1439" i="10"/>
  <c r="O1439" i="10"/>
  <c r="M1439" i="10"/>
  <c r="E1439" i="10"/>
  <c r="B1439" i="10"/>
  <c r="S1438" i="10"/>
  <c r="Q1438" i="10"/>
  <c r="P1438" i="10"/>
  <c r="O1438" i="10"/>
  <c r="M1438" i="10"/>
  <c r="E1438" i="10"/>
  <c r="B1438" i="10"/>
  <c r="S1437" i="10"/>
  <c r="Q1437" i="10"/>
  <c r="P1437" i="10"/>
  <c r="O1437" i="10"/>
  <c r="M1437" i="10"/>
  <c r="E1437" i="10"/>
  <c r="B1437" i="10"/>
  <c r="S1436" i="10"/>
  <c r="Q1436" i="10"/>
  <c r="P1436" i="10"/>
  <c r="O1436" i="10"/>
  <c r="M1436" i="10"/>
  <c r="E1436" i="10"/>
  <c r="B1436" i="10"/>
  <c r="S1435" i="10"/>
  <c r="Q1435" i="10"/>
  <c r="P1435" i="10"/>
  <c r="O1435" i="10"/>
  <c r="M1435" i="10"/>
  <c r="E1435" i="10"/>
  <c r="B1435" i="10"/>
  <c r="S1434" i="10"/>
  <c r="Q1434" i="10"/>
  <c r="P1434" i="10"/>
  <c r="O1434" i="10"/>
  <c r="M1434" i="10"/>
  <c r="E1434" i="10"/>
  <c r="B1434" i="10"/>
  <c r="S1433" i="10"/>
  <c r="Q1433" i="10"/>
  <c r="P1433" i="10"/>
  <c r="O1433" i="10"/>
  <c r="M1433" i="10"/>
  <c r="E1433" i="10"/>
  <c r="B1433" i="10"/>
  <c r="S1432" i="10"/>
  <c r="Q1432" i="10"/>
  <c r="P1432" i="10"/>
  <c r="O1432" i="10"/>
  <c r="M1432" i="10"/>
  <c r="E1432" i="10"/>
  <c r="B1432" i="10"/>
  <c r="S1431" i="10"/>
  <c r="Q1431" i="10"/>
  <c r="P1431" i="10"/>
  <c r="O1431" i="10"/>
  <c r="M1431" i="10"/>
  <c r="E1431" i="10"/>
  <c r="B1431" i="10"/>
  <c r="S1430" i="10"/>
  <c r="Q1430" i="10"/>
  <c r="P1430" i="10"/>
  <c r="O1430" i="10"/>
  <c r="M1430" i="10"/>
  <c r="E1430" i="10"/>
  <c r="B1430" i="10"/>
  <c r="S1429" i="10"/>
  <c r="Q1429" i="10"/>
  <c r="P1429" i="10"/>
  <c r="O1429" i="10"/>
  <c r="M1429" i="10"/>
  <c r="E1429" i="10"/>
  <c r="B1429" i="10"/>
  <c r="S1428" i="10"/>
  <c r="Q1428" i="10"/>
  <c r="P1428" i="10"/>
  <c r="O1428" i="10"/>
  <c r="M1428" i="10"/>
  <c r="E1428" i="10"/>
  <c r="B1428" i="10"/>
  <c r="S1427" i="10"/>
  <c r="Q1427" i="10"/>
  <c r="P1427" i="10"/>
  <c r="O1427" i="10"/>
  <c r="M1427" i="10"/>
  <c r="E1427" i="10"/>
  <c r="B1427" i="10"/>
  <c r="S1426" i="10"/>
  <c r="Q1426" i="10"/>
  <c r="P1426" i="10"/>
  <c r="O1426" i="10"/>
  <c r="M1426" i="10"/>
  <c r="E1426" i="10"/>
  <c r="B1426" i="10"/>
  <c r="S1425" i="10"/>
  <c r="Q1425" i="10"/>
  <c r="P1425" i="10"/>
  <c r="O1425" i="10"/>
  <c r="M1425" i="10"/>
  <c r="E1425" i="10"/>
  <c r="B1425" i="10"/>
  <c r="S1424" i="10"/>
  <c r="Q1424" i="10"/>
  <c r="P1424" i="10"/>
  <c r="O1424" i="10"/>
  <c r="M1424" i="10"/>
  <c r="E1424" i="10"/>
  <c r="B1424" i="10"/>
  <c r="S1423" i="10"/>
  <c r="Q1423" i="10"/>
  <c r="P1423" i="10"/>
  <c r="O1423" i="10"/>
  <c r="M1423" i="10"/>
  <c r="E1423" i="10"/>
  <c r="B1423" i="10"/>
  <c r="S1422" i="10"/>
  <c r="Q1422" i="10"/>
  <c r="P1422" i="10"/>
  <c r="O1422" i="10"/>
  <c r="M1422" i="10"/>
  <c r="E1422" i="10"/>
  <c r="B1422" i="10"/>
  <c r="S1421" i="10"/>
  <c r="Q1421" i="10"/>
  <c r="P1421" i="10"/>
  <c r="O1421" i="10"/>
  <c r="M1421" i="10"/>
  <c r="E1421" i="10"/>
  <c r="B1421" i="10"/>
  <c r="S1420" i="10"/>
  <c r="Q1420" i="10"/>
  <c r="P1420" i="10"/>
  <c r="O1420" i="10"/>
  <c r="M1420" i="10"/>
  <c r="E1420" i="10"/>
  <c r="B1420" i="10"/>
  <c r="S1419" i="10"/>
  <c r="Q1419" i="10"/>
  <c r="P1419" i="10"/>
  <c r="O1419" i="10"/>
  <c r="M1419" i="10"/>
  <c r="E1419" i="10"/>
  <c r="B1419" i="10"/>
  <c r="S1418" i="10"/>
  <c r="Q1418" i="10"/>
  <c r="P1418" i="10"/>
  <c r="O1418" i="10"/>
  <c r="M1418" i="10"/>
  <c r="E1418" i="10"/>
  <c r="B1418" i="10"/>
  <c r="S1417" i="10"/>
  <c r="Q1417" i="10"/>
  <c r="P1417" i="10"/>
  <c r="O1417" i="10"/>
  <c r="M1417" i="10"/>
  <c r="E1417" i="10"/>
  <c r="B1417" i="10"/>
  <c r="S1416" i="10"/>
  <c r="Q1416" i="10"/>
  <c r="P1416" i="10"/>
  <c r="O1416" i="10"/>
  <c r="M1416" i="10"/>
  <c r="E1416" i="10"/>
  <c r="B1416" i="10"/>
  <c r="S1415" i="10"/>
  <c r="Q1415" i="10"/>
  <c r="P1415" i="10"/>
  <c r="O1415" i="10"/>
  <c r="M1415" i="10"/>
  <c r="E1415" i="10"/>
  <c r="B1415" i="10"/>
  <c r="S1414" i="10"/>
  <c r="Q1414" i="10"/>
  <c r="P1414" i="10"/>
  <c r="O1414" i="10"/>
  <c r="M1414" i="10"/>
  <c r="E1414" i="10"/>
  <c r="B1414" i="10"/>
  <c r="S1413" i="10"/>
  <c r="Q1413" i="10"/>
  <c r="P1413" i="10"/>
  <c r="O1413" i="10"/>
  <c r="M1413" i="10"/>
  <c r="E1413" i="10"/>
  <c r="B1413" i="10"/>
  <c r="S1412" i="10"/>
  <c r="Q1412" i="10"/>
  <c r="P1412" i="10"/>
  <c r="O1412" i="10"/>
  <c r="M1412" i="10"/>
  <c r="E1412" i="10"/>
  <c r="B1412" i="10"/>
  <c r="S1411" i="10"/>
  <c r="Q1411" i="10"/>
  <c r="P1411" i="10"/>
  <c r="O1411" i="10"/>
  <c r="M1411" i="10"/>
  <c r="E1411" i="10"/>
  <c r="B1411" i="10"/>
  <c r="S1410" i="10"/>
  <c r="Q1410" i="10"/>
  <c r="P1410" i="10"/>
  <c r="O1410" i="10"/>
  <c r="M1410" i="10"/>
  <c r="E1410" i="10"/>
  <c r="B1410" i="10"/>
  <c r="S1409" i="10"/>
  <c r="Q1409" i="10"/>
  <c r="P1409" i="10"/>
  <c r="O1409" i="10"/>
  <c r="M1409" i="10"/>
  <c r="E1409" i="10"/>
  <c r="B1409" i="10"/>
  <c r="S1408" i="10"/>
  <c r="Q1408" i="10"/>
  <c r="P1408" i="10"/>
  <c r="O1408" i="10"/>
  <c r="M1408" i="10"/>
  <c r="E1408" i="10"/>
  <c r="B1408" i="10"/>
  <c r="S1407" i="10"/>
  <c r="Q1407" i="10"/>
  <c r="P1407" i="10"/>
  <c r="O1407" i="10"/>
  <c r="M1407" i="10"/>
  <c r="E1407" i="10"/>
  <c r="B1407" i="10"/>
  <c r="S1406" i="10"/>
  <c r="Q1406" i="10"/>
  <c r="P1406" i="10"/>
  <c r="O1406" i="10"/>
  <c r="M1406" i="10"/>
  <c r="E1406" i="10"/>
  <c r="B1406" i="10"/>
  <c r="S1405" i="10"/>
  <c r="Q1405" i="10"/>
  <c r="P1405" i="10"/>
  <c r="O1405" i="10"/>
  <c r="M1405" i="10"/>
  <c r="E1405" i="10"/>
  <c r="B1405" i="10"/>
  <c r="S1404" i="10"/>
  <c r="Q1404" i="10"/>
  <c r="P1404" i="10"/>
  <c r="O1404" i="10"/>
  <c r="M1404" i="10"/>
  <c r="E1404" i="10"/>
  <c r="B1404" i="10"/>
  <c r="S1403" i="10"/>
  <c r="Q1403" i="10"/>
  <c r="P1403" i="10"/>
  <c r="O1403" i="10"/>
  <c r="M1403" i="10"/>
  <c r="E1403" i="10"/>
  <c r="B1403" i="10"/>
  <c r="S1402" i="10"/>
  <c r="Q1402" i="10"/>
  <c r="P1402" i="10"/>
  <c r="O1402" i="10"/>
  <c r="M1402" i="10"/>
  <c r="E1402" i="10"/>
  <c r="B1402" i="10"/>
  <c r="S1401" i="10"/>
  <c r="Q1401" i="10"/>
  <c r="P1401" i="10"/>
  <c r="O1401" i="10"/>
  <c r="M1401" i="10"/>
  <c r="E1401" i="10"/>
  <c r="B1401" i="10"/>
  <c r="S1400" i="10"/>
  <c r="Q1400" i="10"/>
  <c r="P1400" i="10"/>
  <c r="O1400" i="10"/>
  <c r="M1400" i="10"/>
  <c r="E1400" i="10"/>
  <c r="B1400" i="10"/>
  <c r="S1399" i="10"/>
  <c r="Q1399" i="10"/>
  <c r="P1399" i="10"/>
  <c r="O1399" i="10"/>
  <c r="M1399" i="10"/>
  <c r="E1399" i="10"/>
  <c r="B1399" i="10"/>
  <c r="S1398" i="10"/>
  <c r="Q1398" i="10"/>
  <c r="P1398" i="10"/>
  <c r="O1398" i="10"/>
  <c r="M1398" i="10"/>
  <c r="E1398" i="10"/>
  <c r="B1398" i="10"/>
  <c r="S1397" i="10"/>
  <c r="Q1397" i="10"/>
  <c r="P1397" i="10"/>
  <c r="O1397" i="10"/>
  <c r="M1397" i="10"/>
  <c r="E1397" i="10"/>
  <c r="B1397" i="10"/>
  <c r="S1396" i="10"/>
  <c r="Q1396" i="10"/>
  <c r="P1396" i="10"/>
  <c r="O1396" i="10"/>
  <c r="M1396" i="10"/>
  <c r="E1396" i="10"/>
  <c r="B1396" i="10"/>
  <c r="S1395" i="10"/>
  <c r="Q1395" i="10"/>
  <c r="P1395" i="10"/>
  <c r="O1395" i="10"/>
  <c r="M1395" i="10"/>
  <c r="E1395" i="10"/>
  <c r="B1395" i="10"/>
  <c r="S1394" i="10"/>
  <c r="Q1394" i="10"/>
  <c r="P1394" i="10"/>
  <c r="O1394" i="10"/>
  <c r="M1394" i="10"/>
  <c r="E1394" i="10"/>
  <c r="B1394" i="10"/>
  <c r="S1393" i="10"/>
  <c r="Q1393" i="10"/>
  <c r="P1393" i="10"/>
  <c r="O1393" i="10"/>
  <c r="M1393" i="10"/>
  <c r="E1393" i="10"/>
  <c r="B1393" i="10"/>
  <c r="S1392" i="10"/>
  <c r="Q1392" i="10"/>
  <c r="P1392" i="10"/>
  <c r="O1392" i="10"/>
  <c r="M1392" i="10"/>
  <c r="E1392" i="10"/>
  <c r="B1392" i="10"/>
  <c r="S1391" i="10"/>
  <c r="Q1391" i="10"/>
  <c r="P1391" i="10"/>
  <c r="O1391" i="10"/>
  <c r="M1391" i="10"/>
  <c r="E1391" i="10"/>
  <c r="B1391" i="10"/>
  <c r="S1390" i="10"/>
  <c r="Q1390" i="10"/>
  <c r="P1390" i="10"/>
  <c r="O1390" i="10"/>
  <c r="M1390" i="10"/>
  <c r="E1390" i="10"/>
  <c r="B1390" i="10"/>
  <c r="S1389" i="10"/>
  <c r="Q1389" i="10"/>
  <c r="P1389" i="10"/>
  <c r="O1389" i="10"/>
  <c r="M1389" i="10"/>
  <c r="B1389" i="10"/>
  <c r="S1388" i="10"/>
  <c r="Q1388" i="10"/>
  <c r="P1388" i="10"/>
  <c r="O1388" i="10"/>
  <c r="M1388" i="10"/>
  <c r="E1388" i="10"/>
  <c r="B1388" i="10"/>
  <c r="S1387" i="10"/>
  <c r="Q1387" i="10"/>
  <c r="P1387" i="10"/>
  <c r="O1387" i="10"/>
  <c r="M1387" i="10"/>
  <c r="E1387" i="10"/>
  <c r="B1387" i="10"/>
  <c r="S1386" i="10"/>
  <c r="Q1386" i="10"/>
  <c r="P1386" i="10"/>
  <c r="O1386" i="10"/>
  <c r="M1386" i="10"/>
  <c r="E1386" i="10"/>
  <c r="B1386" i="10"/>
  <c r="S1385" i="10"/>
  <c r="Q1385" i="10"/>
  <c r="P1385" i="10"/>
  <c r="O1385" i="10"/>
  <c r="M1385" i="10"/>
  <c r="E1385" i="10"/>
  <c r="B1385" i="10"/>
  <c r="S1384" i="10"/>
  <c r="Q1384" i="10"/>
  <c r="P1384" i="10"/>
  <c r="O1384" i="10"/>
  <c r="M1384" i="10"/>
  <c r="E1384" i="10"/>
  <c r="B1384" i="10"/>
  <c r="S1383" i="10"/>
  <c r="Q1383" i="10"/>
  <c r="P1383" i="10"/>
  <c r="O1383" i="10"/>
  <c r="M1383" i="10"/>
  <c r="E1383" i="10"/>
  <c r="B1383" i="10"/>
  <c r="S1382" i="10"/>
  <c r="Q1382" i="10"/>
  <c r="P1382" i="10"/>
  <c r="O1382" i="10"/>
  <c r="M1382" i="10"/>
  <c r="E1382" i="10"/>
  <c r="B1382" i="10"/>
  <c r="S1381" i="10"/>
  <c r="Q1381" i="10"/>
  <c r="P1381" i="10"/>
  <c r="O1381" i="10"/>
  <c r="M1381" i="10"/>
  <c r="E1381" i="10"/>
  <c r="B1381" i="10"/>
  <c r="S1380" i="10"/>
  <c r="Q1380" i="10"/>
  <c r="P1380" i="10"/>
  <c r="O1380" i="10"/>
  <c r="M1380" i="10"/>
  <c r="E1380" i="10"/>
  <c r="B1380" i="10"/>
  <c r="S1379" i="10"/>
  <c r="Q1379" i="10"/>
  <c r="P1379" i="10"/>
  <c r="O1379" i="10"/>
  <c r="M1379" i="10"/>
  <c r="E1379" i="10"/>
  <c r="B1379" i="10"/>
  <c r="S1378" i="10"/>
  <c r="Q1378" i="10"/>
  <c r="P1378" i="10"/>
  <c r="O1378" i="10"/>
  <c r="M1378" i="10"/>
  <c r="E1378" i="10"/>
  <c r="B1378" i="10"/>
  <c r="S1377" i="10"/>
  <c r="Q1377" i="10"/>
  <c r="P1377" i="10"/>
  <c r="O1377" i="10"/>
  <c r="M1377" i="10"/>
  <c r="E1377" i="10"/>
  <c r="B1377" i="10"/>
  <c r="S1376" i="10"/>
  <c r="Q1376" i="10"/>
  <c r="P1376" i="10"/>
  <c r="O1376" i="10"/>
  <c r="M1376" i="10"/>
  <c r="E1376" i="10"/>
  <c r="B1376" i="10"/>
  <c r="S1375" i="10"/>
  <c r="Q1375" i="10"/>
  <c r="P1375" i="10"/>
  <c r="O1375" i="10"/>
  <c r="M1375" i="10"/>
  <c r="E1375" i="10"/>
  <c r="B1375" i="10"/>
  <c r="S1374" i="10"/>
  <c r="Q1374" i="10"/>
  <c r="P1374" i="10"/>
  <c r="O1374" i="10"/>
  <c r="M1374" i="10"/>
  <c r="E1374" i="10"/>
  <c r="B1374" i="10"/>
  <c r="S1373" i="10"/>
  <c r="Q1373" i="10"/>
  <c r="P1373" i="10"/>
  <c r="O1373" i="10"/>
  <c r="M1373" i="10"/>
  <c r="E1373" i="10"/>
  <c r="B1373" i="10"/>
  <c r="S1372" i="10"/>
  <c r="Q1372" i="10"/>
  <c r="P1372" i="10"/>
  <c r="O1372" i="10"/>
  <c r="M1372" i="10"/>
  <c r="E1372" i="10"/>
  <c r="B1372" i="10"/>
  <c r="S1371" i="10"/>
  <c r="Q1371" i="10"/>
  <c r="P1371" i="10"/>
  <c r="O1371" i="10"/>
  <c r="M1371" i="10"/>
  <c r="E1371" i="10"/>
  <c r="B1371" i="10"/>
  <c r="S1370" i="10"/>
  <c r="Q1370" i="10"/>
  <c r="P1370" i="10"/>
  <c r="O1370" i="10"/>
  <c r="M1370" i="10"/>
  <c r="E1370" i="10"/>
  <c r="B1370" i="10"/>
  <c r="S1369" i="10"/>
  <c r="Q1369" i="10"/>
  <c r="P1369" i="10"/>
  <c r="O1369" i="10"/>
  <c r="M1369" i="10"/>
  <c r="E1369" i="10"/>
  <c r="B1369" i="10"/>
  <c r="S1368" i="10"/>
  <c r="Q1368" i="10"/>
  <c r="P1368" i="10"/>
  <c r="O1368" i="10"/>
  <c r="M1368" i="10"/>
  <c r="E1368" i="10"/>
  <c r="B1368" i="10"/>
  <c r="S1367" i="10"/>
  <c r="Q1367" i="10"/>
  <c r="P1367" i="10"/>
  <c r="O1367" i="10"/>
  <c r="M1367" i="10"/>
  <c r="E1367" i="10"/>
  <c r="B1367" i="10"/>
  <c r="S1366" i="10"/>
  <c r="Q1366" i="10"/>
  <c r="P1366" i="10"/>
  <c r="O1366" i="10"/>
  <c r="M1366" i="10"/>
  <c r="E1366" i="10"/>
  <c r="B1366" i="10"/>
  <c r="S1365" i="10"/>
  <c r="Q1365" i="10"/>
  <c r="P1365" i="10"/>
  <c r="O1365" i="10"/>
  <c r="M1365" i="10"/>
  <c r="E1365" i="10"/>
  <c r="B1365" i="10"/>
  <c r="S1364" i="10"/>
  <c r="Q1364" i="10"/>
  <c r="P1364" i="10"/>
  <c r="O1364" i="10"/>
  <c r="M1364" i="10"/>
  <c r="E1364" i="10"/>
  <c r="B1364" i="10"/>
  <c r="S1363" i="10"/>
  <c r="Q1363" i="10"/>
  <c r="P1363" i="10"/>
  <c r="O1363" i="10"/>
  <c r="M1363" i="10"/>
  <c r="E1363" i="10"/>
  <c r="B1363" i="10"/>
  <c r="S1362" i="10"/>
  <c r="Q1362" i="10"/>
  <c r="P1362" i="10"/>
  <c r="O1362" i="10"/>
  <c r="M1362" i="10"/>
  <c r="E1362" i="10"/>
  <c r="B1362" i="10"/>
  <c r="S1361" i="10"/>
  <c r="Q1361" i="10"/>
  <c r="P1361" i="10"/>
  <c r="O1361" i="10"/>
  <c r="M1361" i="10"/>
  <c r="E1361" i="10"/>
  <c r="B1361" i="10"/>
  <c r="S1360" i="10"/>
  <c r="Q1360" i="10"/>
  <c r="P1360" i="10"/>
  <c r="O1360" i="10"/>
  <c r="M1360" i="10"/>
  <c r="E1360" i="10"/>
  <c r="B1360" i="10"/>
  <c r="S1359" i="10"/>
  <c r="Q1359" i="10"/>
  <c r="P1359" i="10"/>
  <c r="O1359" i="10"/>
  <c r="M1359" i="10"/>
  <c r="E1359" i="10"/>
  <c r="B1359" i="10"/>
  <c r="S1358" i="10"/>
  <c r="Q1358" i="10"/>
  <c r="P1358" i="10"/>
  <c r="O1358" i="10"/>
  <c r="M1358" i="10"/>
  <c r="E1358" i="10"/>
  <c r="B1358" i="10"/>
  <c r="S1357" i="10"/>
  <c r="Q1357" i="10"/>
  <c r="P1357" i="10"/>
  <c r="O1357" i="10"/>
  <c r="M1357" i="10"/>
  <c r="E1357" i="10"/>
  <c r="B1357" i="10"/>
  <c r="S1356" i="10"/>
  <c r="Q1356" i="10"/>
  <c r="P1356" i="10"/>
  <c r="O1356" i="10"/>
  <c r="M1356" i="10"/>
  <c r="E1356" i="10"/>
  <c r="B1356" i="10"/>
  <c r="S1355" i="10"/>
  <c r="Q1355" i="10"/>
  <c r="P1355" i="10"/>
  <c r="O1355" i="10"/>
  <c r="M1355" i="10"/>
  <c r="E1355" i="10"/>
  <c r="B1355" i="10"/>
  <c r="S1354" i="10"/>
  <c r="Q1354" i="10"/>
  <c r="P1354" i="10"/>
  <c r="O1354" i="10"/>
  <c r="M1354" i="10"/>
  <c r="E1354" i="10"/>
  <c r="B1354" i="10"/>
  <c r="S1353" i="10"/>
  <c r="Q1353" i="10"/>
  <c r="P1353" i="10"/>
  <c r="O1353" i="10"/>
  <c r="M1353" i="10"/>
  <c r="B1353" i="10"/>
  <c r="S1352" i="10"/>
  <c r="Q1352" i="10"/>
  <c r="P1352" i="10"/>
  <c r="O1352" i="10"/>
  <c r="M1352" i="10"/>
  <c r="E1352" i="10"/>
  <c r="B1352" i="10"/>
  <c r="S1351" i="10"/>
  <c r="Q1351" i="10"/>
  <c r="P1351" i="10"/>
  <c r="O1351" i="10"/>
  <c r="M1351" i="10"/>
  <c r="E1351" i="10"/>
  <c r="B1351" i="10"/>
  <c r="S1350" i="10"/>
  <c r="Q1350" i="10"/>
  <c r="P1350" i="10"/>
  <c r="O1350" i="10"/>
  <c r="M1350" i="10"/>
  <c r="E1350" i="10"/>
  <c r="B1350" i="10"/>
  <c r="S1349" i="10"/>
  <c r="Q1349" i="10"/>
  <c r="P1349" i="10"/>
  <c r="O1349" i="10"/>
  <c r="M1349" i="10"/>
  <c r="E1349" i="10"/>
  <c r="B1349" i="10"/>
  <c r="S1348" i="10"/>
  <c r="Q1348" i="10"/>
  <c r="P1348" i="10"/>
  <c r="O1348" i="10"/>
  <c r="M1348" i="10"/>
  <c r="E1348" i="10"/>
  <c r="B1348" i="10"/>
  <c r="S1347" i="10"/>
  <c r="Q1347" i="10"/>
  <c r="P1347" i="10"/>
  <c r="O1347" i="10"/>
  <c r="M1347" i="10"/>
  <c r="E1347" i="10"/>
  <c r="B1347" i="10"/>
  <c r="S1346" i="10"/>
  <c r="Q1346" i="10"/>
  <c r="P1346" i="10"/>
  <c r="O1346" i="10"/>
  <c r="M1346" i="10"/>
  <c r="E1346" i="10"/>
  <c r="B1346" i="10"/>
  <c r="S1345" i="10"/>
  <c r="Q1345" i="10"/>
  <c r="P1345" i="10"/>
  <c r="O1345" i="10"/>
  <c r="M1345" i="10"/>
  <c r="B1345" i="10"/>
  <c r="S1344" i="10"/>
  <c r="Q1344" i="10"/>
  <c r="P1344" i="10"/>
  <c r="O1344" i="10"/>
  <c r="M1344" i="10"/>
  <c r="E1344" i="10"/>
  <c r="B1344" i="10"/>
  <c r="S1343" i="10"/>
  <c r="Q1343" i="10"/>
  <c r="P1343" i="10"/>
  <c r="O1343" i="10"/>
  <c r="M1343" i="10"/>
  <c r="E1343" i="10"/>
  <c r="B1343" i="10"/>
  <c r="S1342" i="10"/>
  <c r="Q1342" i="10"/>
  <c r="P1342" i="10"/>
  <c r="O1342" i="10"/>
  <c r="M1342" i="10"/>
  <c r="E1342" i="10"/>
  <c r="B1342" i="10"/>
  <c r="S1341" i="10"/>
  <c r="Q1341" i="10"/>
  <c r="P1341" i="10"/>
  <c r="O1341" i="10"/>
  <c r="M1341" i="10"/>
  <c r="E1341" i="10"/>
  <c r="B1341" i="10"/>
  <c r="S1340" i="10"/>
  <c r="Q1340" i="10"/>
  <c r="P1340" i="10"/>
  <c r="O1340" i="10"/>
  <c r="M1340" i="10"/>
  <c r="E1340" i="10"/>
  <c r="B1340" i="10"/>
  <c r="S1339" i="10"/>
  <c r="Q1339" i="10"/>
  <c r="P1339" i="10"/>
  <c r="O1339" i="10"/>
  <c r="M1339" i="10"/>
  <c r="E1339" i="10"/>
  <c r="B1339" i="10"/>
  <c r="S1338" i="10"/>
  <c r="Q1338" i="10"/>
  <c r="P1338" i="10"/>
  <c r="O1338" i="10"/>
  <c r="M1338" i="10"/>
  <c r="E1338" i="10"/>
  <c r="B1338" i="10"/>
  <c r="S1337" i="10"/>
  <c r="Q1337" i="10"/>
  <c r="P1337" i="10"/>
  <c r="O1337" i="10"/>
  <c r="M1337" i="10"/>
  <c r="E1337" i="10"/>
  <c r="B1337" i="10"/>
  <c r="S1336" i="10"/>
  <c r="Q1336" i="10"/>
  <c r="P1336" i="10"/>
  <c r="O1336" i="10"/>
  <c r="M1336" i="10"/>
  <c r="E1336" i="10"/>
  <c r="B1336" i="10"/>
  <c r="S1335" i="10"/>
  <c r="Q1335" i="10"/>
  <c r="P1335" i="10"/>
  <c r="O1335" i="10"/>
  <c r="M1335" i="10"/>
  <c r="E1335" i="10"/>
  <c r="B1335" i="10"/>
  <c r="S1334" i="10"/>
  <c r="Q1334" i="10"/>
  <c r="P1334" i="10"/>
  <c r="O1334" i="10"/>
  <c r="M1334" i="10"/>
  <c r="E1334" i="10"/>
  <c r="B1334" i="10"/>
  <c r="S1333" i="10"/>
  <c r="Q1333" i="10"/>
  <c r="P1333" i="10"/>
  <c r="O1333" i="10"/>
  <c r="M1333" i="10"/>
  <c r="E1333" i="10"/>
  <c r="B1333" i="10"/>
  <c r="S1332" i="10"/>
  <c r="Q1332" i="10"/>
  <c r="P1332" i="10"/>
  <c r="O1332" i="10"/>
  <c r="M1332" i="10"/>
  <c r="E1332" i="10"/>
  <c r="B1332" i="10"/>
  <c r="S1331" i="10"/>
  <c r="Q1331" i="10"/>
  <c r="P1331" i="10"/>
  <c r="O1331" i="10"/>
  <c r="M1331" i="10"/>
  <c r="E1331" i="10"/>
  <c r="B1331" i="10"/>
  <c r="S1330" i="10"/>
  <c r="Q1330" i="10"/>
  <c r="P1330" i="10"/>
  <c r="O1330" i="10"/>
  <c r="M1330" i="10"/>
  <c r="E1330" i="10"/>
  <c r="B1330" i="10"/>
  <c r="S1329" i="10"/>
  <c r="Q1329" i="10"/>
  <c r="P1329" i="10"/>
  <c r="O1329" i="10"/>
  <c r="M1329" i="10"/>
  <c r="E1329" i="10"/>
  <c r="B1329" i="10"/>
  <c r="S1328" i="10"/>
  <c r="Q1328" i="10"/>
  <c r="P1328" i="10"/>
  <c r="O1328" i="10"/>
  <c r="M1328" i="10"/>
  <c r="E1328" i="10"/>
  <c r="B1328" i="10"/>
  <c r="S1327" i="10"/>
  <c r="Q1327" i="10"/>
  <c r="P1327" i="10"/>
  <c r="O1327" i="10"/>
  <c r="M1327" i="10"/>
  <c r="E1327" i="10"/>
  <c r="B1327" i="10"/>
  <c r="S1326" i="10"/>
  <c r="Q1326" i="10"/>
  <c r="P1326" i="10"/>
  <c r="O1326" i="10"/>
  <c r="M1326" i="10"/>
  <c r="E1326" i="10"/>
  <c r="B1326" i="10"/>
  <c r="S1325" i="10"/>
  <c r="Q1325" i="10"/>
  <c r="P1325" i="10"/>
  <c r="O1325" i="10"/>
  <c r="M1325" i="10"/>
  <c r="E1325" i="10"/>
  <c r="B1325" i="10"/>
  <c r="S1324" i="10"/>
  <c r="Q1324" i="10"/>
  <c r="P1324" i="10"/>
  <c r="O1324" i="10"/>
  <c r="M1324" i="10"/>
  <c r="E1324" i="10"/>
  <c r="B1324" i="10"/>
  <c r="S1323" i="10"/>
  <c r="Q1323" i="10"/>
  <c r="P1323" i="10"/>
  <c r="O1323" i="10"/>
  <c r="M1323" i="10"/>
  <c r="E1323" i="10"/>
  <c r="B1323" i="10"/>
  <c r="S1322" i="10"/>
  <c r="Q1322" i="10"/>
  <c r="P1322" i="10"/>
  <c r="O1322" i="10"/>
  <c r="M1322" i="10"/>
  <c r="E1322" i="10"/>
  <c r="B1322" i="10"/>
  <c r="S1321" i="10"/>
  <c r="Q1321" i="10"/>
  <c r="P1321" i="10"/>
  <c r="O1321" i="10"/>
  <c r="M1321" i="10"/>
  <c r="E1321" i="10"/>
  <c r="B1321" i="10"/>
  <c r="S1320" i="10"/>
  <c r="Q1320" i="10"/>
  <c r="P1320" i="10"/>
  <c r="O1320" i="10"/>
  <c r="M1320" i="10"/>
  <c r="E1320" i="10"/>
  <c r="B1320" i="10"/>
  <c r="S1319" i="10"/>
  <c r="Q1319" i="10"/>
  <c r="P1319" i="10"/>
  <c r="O1319" i="10"/>
  <c r="M1319" i="10"/>
  <c r="E1319" i="10"/>
  <c r="B1319" i="10"/>
  <c r="S1318" i="10"/>
  <c r="Q1318" i="10"/>
  <c r="P1318" i="10"/>
  <c r="O1318" i="10"/>
  <c r="M1318" i="10"/>
  <c r="B1318" i="10"/>
  <c r="S1317" i="10"/>
  <c r="Q1317" i="10"/>
  <c r="P1317" i="10"/>
  <c r="O1317" i="10"/>
  <c r="M1317" i="10"/>
  <c r="E1317" i="10"/>
  <c r="B1317" i="10"/>
  <c r="S1316" i="10"/>
  <c r="Q1316" i="10"/>
  <c r="P1316" i="10"/>
  <c r="O1316" i="10"/>
  <c r="M1316" i="10"/>
  <c r="B1316" i="10"/>
  <c r="S1315" i="10"/>
  <c r="Q1315" i="10"/>
  <c r="P1315" i="10"/>
  <c r="O1315" i="10"/>
  <c r="M1315" i="10"/>
  <c r="E1315" i="10"/>
  <c r="B1315" i="10"/>
  <c r="S1314" i="10"/>
  <c r="Q1314" i="10"/>
  <c r="P1314" i="10"/>
  <c r="O1314" i="10"/>
  <c r="M1314" i="10"/>
  <c r="E1314" i="10"/>
  <c r="B1314" i="10"/>
  <c r="S1313" i="10"/>
  <c r="Q1313" i="10"/>
  <c r="P1313" i="10"/>
  <c r="O1313" i="10"/>
  <c r="M1313" i="10"/>
  <c r="E1313" i="10"/>
  <c r="B1313" i="10"/>
  <c r="S1312" i="10"/>
  <c r="Q1312" i="10"/>
  <c r="P1312" i="10"/>
  <c r="O1312" i="10"/>
  <c r="M1312" i="10"/>
  <c r="E1312" i="10"/>
  <c r="B1312" i="10"/>
  <c r="S1311" i="10"/>
  <c r="Q1311" i="10"/>
  <c r="P1311" i="10"/>
  <c r="O1311" i="10"/>
  <c r="M1311" i="10"/>
  <c r="E1311" i="10"/>
  <c r="B1311" i="10"/>
  <c r="S1310" i="10"/>
  <c r="Q1310" i="10"/>
  <c r="P1310" i="10"/>
  <c r="O1310" i="10"/>
  <c r="M1310" i="10"/>
  <c r="B1310" i="10"/>
  <c r="S1309" i="10"/>
  <c r="Q1309" i="10"/>
  <c r="P1309" i="10"/>
  <c r="O1309" i="10"/>
  <c r="M1309" i="10"/>
  <c r="E1309" i="10"/>
  <c r="B1309" i="10"/>
  <c r="S1308" i="10"/>
  <c r="Q1308" i="10"/>
  <c r="P1308" i="10"/>
  <c r="O1308" i="10"/>
  <c r="M1308" i="10"/>
  <c r="E1308" i="10"/>
  <c r="B1308" i="10"/>
  <c r="S1307" i="10"/>
  <c r="Q1307" i="10"/>
  <c r="P1307" i="10"/>
  <c r="O1307" i="10"/>
  <c r="M1307" i="10"/>
  <c r="E1307" i="10"/>
  <c r="B1307" i="10"/>
  <c r="S1306" i="10"/>
  <c r="Q1306" i="10"/>
  <c r="P1306" i="10"/>
  <c r="O1306" i="10"/>
  <c r="M1306" i="10"/>
  <c r="B1306" i="10"/>
  <c r="S1305" i="10"/>
  <c r="Q1305" i="10"/>
  <c r="P1305" i="10"/>
  <c r="O1305" i="10"/>
  <c r="M1305" i="10"/>
  <c r="E1305" i="10"/>
  <c r="B1305" i="10"/>
  <c r="S1304" i="10"/>
  <c r="Q1304" i="10"/>
  <c r="P1304" i="10"/>
  <c r="O1304" i="10"/>
  <c r="M1304" i="10"/>
  <c r="E1304" i="10"/>
  <c r="B1304" i="10"/>
  <c r="S1303" i="10"/>
  <c r="Q1303" i="10"/>
  <c r="P1303" i="10"/>
  <c r="O1303" i="10"/>
  <c r="M1303" i="10"/>
  <c r="E1303" i="10"/>
  <c r="B1303" i="10"/>
  <c r="S1302" i="10"/>
  <c r="Q1302" i="10"/>
  <c r="P1302" i="10"/>
  <c r="O1302" i="10"/>
  <c r="M1302" i="10"/>
  <c r="E1302" i="10"/>
  <c r="B1302" i="10"/>
  <c r="S1301" i="10"/>
  <c r="Q1301" i="10"/>
  <c r="P1301" i="10"/>
  <c r="O1301" i="10"/>
  <c r="M1301" i="10"/>
  <c r="E1301" i="10"/>
  <c r="B1301" i="10"/>
  <c r="S1300" i="10"/>
  <c r="Q1300" i="10"/>
  <c r="P1300" i="10"/>
  <c r="O1300" i="10"/>
  <c r="M1300" i="10"/>
  <c r="E1300" i="10"/>
  <c r="B1300" i="10"/>
  <c r="S1299" i="10"/>
  <c r="Q1299" i="10"/>
  <c r="P1299" i="10"/>
  <c r="O1299" i="10"/>
  <c r="M1299" i="10"/>
  <c r="E1299" i="10"/>
  <c r="B1299" i="10"/>
  <c r="S1298" i="10"/>
  <c r="Q1298" i="10"/>
  <c r="P1298" i="10"/>
  <c r="O1298" i="10"/>
  <c r="M1298" i="10"/>
  <c r="E1298" i="10"/>
  <c r="B1298" i="10"/>
  <c r="S1297" i="10"/>
  <c r="Q1297" i="10"/>
  <c r="P1297" i="10"/>
  <c r="O1297" i="10"/>
  <c r="M1297" i="10"/>
  <c r="E1297" i="10"/>
  <c r="B1297" i="10"/>
  <c r="S1296" i="10"/>
  <c r="Q1296" i="10"/>
  <c r="P1296" i="10"/>
  <c r="O1296" i="10"/>
  <c r="M1296" i="10"/>
  <c r="E1296" i="10"/>
  <c r="B1296" i="10"/>
  <c r="S1295" i="10"/>
  <c r="Q1295" i="10"/>
  <c r="P1295" i="10"/>
  <c r="O1295" i="10"/>
  <c r="M1295" i="10"/>
  <c r="E1295" i="10"/>
  <c r="B1295" i="10"/>
  <c r="S1294" i="10"/>
  <c r="Q1294" i="10"/>
  <c r="P1294" i="10"/>
  <c r="O1294" i="10"/>
  <c r="M1294" i="10"/>
  <c r="E1294" i="10"/>
  <c r="B1294" i="10"/>
  <c r="S1293" i="10"/>
  <c r="Q1293" i="10"/>
  <c r="P1293" i="10"/>
  <c r="O1293" i="10"/>
  <c r="M1293" i="10"/>
  <c r="E1293" i="10"/>
  <c r="B1293" i="10"/>
  <c r="S1292" i="10"/>
  <c r="Q1292" i="10"/>
  <c r="P1292" i="10"/>
  <c r="O1292" i="10"/>
  <c r="M1292" i="10"/>
  <c r="E1292" i="10"/>
  <c r="B1292" i="10"/>
  <c r="S1291" i="10"/>
  <c r="Q1291" i="10"/>
  <c r="P1291" i="10"/>
  <c r="O1291" i="10"/>
  <c r="M1291" i="10"/>
  <c r="E1291" i="10"/>
  <c r="B1291" i="10"/>
  <c r="S1290" i="10"/>
  <c r="Q1290" i="10"/>
  <c r="P1290" i="10"/>
  <c r="O1290" i="10"/>
  <c r="M1290" i="10"/>
  <c r="E1290" i="10"/>
  <c r="B1290" i="10"/>
  <c r="S1289" i="10"/>
  <c r="Q1289" i="10"/>
  <c r="P1289" i="10"/>
  <c r="O1289" i="10"/>
  <c r="M1289" i="10"/>
  <c r="E1289" i="10"/>
  <c r="B1289" i="10"/>
  <c r="S1288" i="10"/>
  <c r="Q1288" i="10"/>
  <c r="P1288" i="10"/>
  <c r="O1288" i="10"/>
  <c r="M1288" i="10"/>
  <c r="E1288" i="10"/>
  <c r="B1288" i="10"/>
  <c r="S1287" i="10"/>
  <c r="Q1287" i="10"/>
  <c r="P1287" i="10"/>
  <c r="O1287" i="10"/>
  <c r="M1287" i="10"/>
  <c r="E1287" i="10"/>
  <c r="B1287" i="10"/>
  <c r="S1286" i="10"/>
  <c r="Q1286" i="10"/>
  <c r="P1286" i="10"/>
  <c r="O1286" i="10"/>
  <c r="M1286" i="10"/>
  <c r="E1286" i="10"/>
  <c r="B1286" i="10"/>
  <c r="S1285" i="10"/>
  <c r="Q1285" i="10"/>
  <c r="P1285" i="10"/>
  <c r="O1285" i="10"/>
  <c r="M1285" i="10"/>
  <c r="E1285" i="10"/>
  <c r="B1285" i="10"/>
  <c r="S1284" i="10"/>
  <c r="Q1284" i="10"/>
  <c r="P1284" i="10"/>
  <c r="O1284" i="10"/>
  <c r="M1284" i="10"/>
  <c r="E1284" i="10"/>
  <c r="B1284" i="10"/>
  <c r="S1283" i="10"/>
  <c r="Q1283" i="10"/>
  <c r="P1283" i="10"/>
  <c r="O1283" i="10"/>
  <c r="M1283" i="10"/>
  <c r="E1283" i="10"/>
  <c r="B1283" i="10"/>
  <c r="S1282" i="10"/>
  <c r="Q1282" i="10"/>
  <c r="P1282" i="10"/>
  <c r="O1282" i="10"/>
  <c r="M1282" i="10"/>
  <c r="E1282" i="10"/>
  <c r="B1282" i="10"/>
  <c r="S1281" i="10"/>
  <c r="Q1281" i="10"/>
  <c r="P1281" i="10"/>
  <c r="O1281" i="10"/>
  <c r="M1281" i="10"/>
  <c r="E1281" i="10"/>
  <c r="B1281" i="10"/>
  <c r="S1280" i="10"/>
  <c r="Q1280" i="10"/>
  <c r="P1280" i="10"/>
  <c r="O1280" i="10"/>
  <c r="M1280" i="10"/>
  <c r="E1280" i="10"/>
  <c r="B1280" i="10"/>
  <c r="S1279" i="10"/>
  <c r="Q1279" i="10"/>
  <c r="P1279" i="10"/>
  <c r="O1279" i="10"/>
  <c r="M1279" i="10"/>
  <c r="E1279" i="10"/>
  <c r="B1279" i="10"/>
  <c r="S1278" i="10"/>
  <c r="Q1278" i="10"/>
  <c r="P1278" i="10"/>
  <c r="O1278" i="10"/>
  <c r="M1278" i="10"/>
  <c r="B1278" i="10"/>
  <c r="S1277" i="10"/>
  <c r="Q1277" i="10"/>
  <c r="P1277" i="10"/>
  <c r="O1277" i="10"/>
  <c r="M1277" i="10"/>
  <c r="B1277" i="10"/>
  <c r="S1276" i="10"/>
  <c r="Q1276" i="10"/>
  <c r="P1276" i="10"/>
  <c r="O1276" i="10"/>
  <c r="M1276" i="10"/>
  <c r="B1276" i="10"/>
  <c r="S1275" i="10"/>
  <c r="Q1275" i="10"/>
  <c r="P1275" i="10"/>
  <c r="O1275" i="10"/>
  <c r="M1275" i="10"/>
  <c r="B1275" i="10"/>
  <c r="S1274" i="10"/>
  <c r="Q1274" i="10"/>
  <c r="P1274" i="10"/>
  <c r="O1274" i="10"/>
  <c r="M1274" i="10"/>
  <c r="B1274" i="10"/>
  <c r="S1273" i="10"/>
  <c r="Q1273" i="10"/>
  <c r="P1273" i="10"/>
  <c r="O1273" i="10"/>
  <c r="M1273" i="10"/>
  <c r="E1273" i="10"/>
  <c r="B1273" i="10"/>
  <c r="S1272" i="10"/>
  <c r="Q1272" i="10"/>
  <c r="P1272" i="10"/>
  <c r="O1272" i="10"/>
  <c r="M1272" i="10"/>
  <c r="B1272" i="10"/>
  <c r="S1271" i="10"/>
  <c r="Q1271" i="10"/>
  <c r="P1271" i="10"/>
  <c r="O1271" i="10"/>
  <c r="M1271" i="10"/>
  <c r="E1271" i="10"/>
  <c r="B1271" i="10"/>
  <c r="S1270" i="10"/>
  <c r="Q1270" i="10"/>
  <c r="P1270" i="10"/>
  <c r="O1270" i="10"/>
  <c r="M1270" i="10"/>
  <c r="E1270" i="10"/>
  <c r="B1270" i="10"/>
  <c r="S1269" i="10"/>
  <c r="Q1269" i="10"/>
  <c r="P1269" i="10"/>
  <c r="O1269" i="10"/>
  <c r="M1269" i="10"/>
  <c r="E1269" i="10"/>
  <c r="B1269" i="10"/>
  <c r="S1268" i="10"/>
  <c r="Q1268" i="10"/>
  <c r="P1268" i="10"/>
  <c r="O1268" i="10"/>
  <c r="M1268" i="10"/>
  <c r="B1268" i="10"/>
  <c r="S1267" i="10"/>
  <c r="Q1267" i="10"/>
  <c r="P1267" i="10"/>
  <c r="O1267" i="10"/>
  <c r="M1267" i="10"/>
  <c r="E1267" i="10"/>
  <c r="B1267" i="10"/>
  <c r="S1266" i="10"/>
  <c r="Q1266" i="10"/>
  <c r="P1266" i="10"/>
  <c r="O1266" i="10"/>
  <c r="M1266" i="10"/>
  <c r="E1266" i="10"/>
  <c r="B1266" i="10"/>
  <c r="S1265" i="10"/>
  <c r="Q1265" i="10"/>
  <c r="P1265" i="10"/>
  <c r="O1265" i="10"/>
  <c r="M1265" i="10"/>
  <c r="E1265" i="10"/>
  <c r="B1265" i="10"/>
  <c r="S1264" i="10"/>
  <c r="Q1264" i="10"/>
  <c r="P1264" i="10"/>
  <c r="O1264" i="10"/>
  <c r="M1264" i="10"/>
  <c r="E1264" i="10"/>
  <c r="B1264" i="10"/>
  <c r="S1263" i="10"/>
  <c r="Q1263" i="10"/>
  <c r="P1263" i="10"/>
  <c r="O1263" i="10"/>
  <c r="M1263" i="10"/>
  <c r="E1263" i="10"/>
  <c r="B1263" i="10"/>
  <c r="S1262" i="10"/>
  <c r="Q1262" i="10"/>
  <c r="P1262" i="10"/>
  <c r="O1262" i="10"/>
  <c r="M1262" i="10"/>
  <c r="B1262" i="10"/>
  <c r="S1261" i="10"/>
  <c r="Q1261" i="10"/>
  <c r="P1261" i="10"/>
  <c r="O1261" i="10"/>
  <c r="M1261" i="10"/>
  <c r="E1261" i="10"/>
  <c r="B1261" i="10"/>
  <c r="S1260" i="10"/>
  <c r="Q1260" i="10"/>
  <c r="P1260" i="10"/>
  <c r="O1260" i="10"/>
  <c r="M1260" i="10"/>
  <c r="E1260" i="10"/>
  <c r="B1260" i="10"/>
  <c r="S1259" i="10"/>
  <c r="Q1259" i="10"/>
  <c r="P1259" i="10"/>
  <c r="O1259" i="10"/>
  <c r="M1259" i="10"/>
  <c r="E1259" i="10"/>
  <c r="B1259" i="10"/>
  <c r="S1258" i="10"/>
  <c r="Q1258" i="10"/>
  <c r="P1258" i="10"/>
  <c r="O1258" i="10"/>
  <c r="M1258" i="10"/>
  <c r="E1258" i="10"/>
  <c r="B1258" i="10"/>
  <c r="S1257" i="10"/>
  <c r="Q1257" i="10"/>
  <c r="P1257" i="10"/>
  <c r="O1257" i="10"/>
  <c r="M1257" i="10"/>
  <c r="E1257" i="10"/>
  <c r="B1257" i="10"/>
  <c r="S1256" i="10"/>
  <c r="Q1256" i="10"/>
  <c r="P1256" i="10"/>
  <c r="O1256" i="10"/>
  <c r="M1256" i="10"/>
  <c r="E1256" i="10"/>
  <c r="B1256" i="10"/>
  <c r="S1255" i="10"/>
  <c r="Q1255" i="10"/>
  <c r="P1255" i="10"/>
  <c r="O1255" i="10"/>
  <c r="M1255" i="10"/>
  <c r="E1255" i="10"/>
  <c r="B1255" i="10"/>
  <c r="S1254" i="10"/>
  <c r="Q1254" i="10"/>
  <c r="P1254" i="10"/>
  <c r="O1254" i="10"/>
  <c r="M1254" i="10"/>
  <c r="E1254" i="10"/>
  <c r="B1254" i="10"/>
  <c r="S1253" i="10"/>
  <c r="Q1253" i="10"/>
  <c r="P1253" i="10"/>
  <c r="O1253" i="10"/>
  <c r="M1253" i="10"/>
  <c r="E1253" i="10"/>
  <c r="B1253" i="10"/>
  <c r="S1252" i="10"/>
  <c r="Q1252" i="10"/>
  <c r="P1252" i="10"/>
  <c r="O1252" i="10"/>
  <c r="M1252" i="10"/>
  <c r="E1252" i="10"/>
  <c r="B1252" i="10"/>
  <c r="S1251" i="10"/>
  <c r="Q1251" i="10"/>
  <c r="P1251" i="10"/>
  <c r="O1251" i="10"/>
  <c r="M1251" i="10"/>
  <c r="E1251" i="10"/>
  <c r="B1251" i="10"/>
  <c r="S1250" i="10"/>
  <c r="Q1250" i="10"/>
  <c r="P1250" i="10"/>
  <c r="O1250" i="10"/>
  <c r="M1250" i="10"/>
  <c r="B1250" i="10"/>
  <c r="S1249" i="10"/>
  <c r="Q1249" i="10"/>
  <c r="P1249" i="10"/>
  <c r="O1249" i="10"/>
  <c r="M1249" i="10"/>
  <c r="E1249" i="10"/>
  <c r="B1249" i="10"/>
  <c r="S1248" i="10"/>
  <c r="Q1248" i="10"/>
  <c r="P1248" i="10"/>
  <c r="O1248" i="10"/>
  <c r="M1248" i="10"/>
  <c r="E1248" i="10"/>
  <c r="B1248" i="10"/>
  <c r="S1247" i="10"/>
  <c r="Q1247" i="10"/>
  <c r="P1247" i="10"/>
  <c r="O1247" i="10"/>
  <c r="M1247" i="10"/>
  <c r="E1247" i="10"/>
  <c r="B1247" i="10"/>
  <c r="S1246" i="10"/>
  <c r="Q1246" i="10"/>
  <c r="P1246" i="10"/>
  <c r="O1246" i="10"/>
  <c r="M1246" i="10"/>
  <c r="B1246" i="10"/>
  <c r="S1245" i="10"/>
  <c r="Q1245" i="10"/>
  <c r="P1245" i="10"/>
  <c r="O1245" i="10"/>
  <c r="M1245" i="10"/>
  <c r="B1245" i="10"/>
  <c r="S1244" i="10"/>
  <c r="Q1244" i="10"/>
  <c r="P1244" i="10"/>
  <c r="O1244" i="10"/>
  <c r="M1244" i="10"/>
  <c r="E1244" i="10"/>
  <c r="B1244" i="10"/>
  <c r="S1243" i="10"/>
  <c r="Q1243" i="10"/>
  <c r="P1243" i="10"/>
  <c r="O1243" i="10"/>
  <c r="M1243" i="10"/>
  <c r="B1243" i="10"/>
  <c r="S1242" i="10"/>
  <c r="Q1242" i="10"/>
  <c r="P1242" i="10"/>
  <c r="O1242" i="10"/>
  <c r="M1242" i="10"/>
  <c r="E1242" i="10"/>
  <c r="B1242" i="10"/>
  <c r="S1241" i="10"/>
  <c r="Q1241" i="10"/>
  <c r="P1241" i="10"/>
  <c r="O1241" i="10"/>
  <c r="M1241" i="10"/>
  <c r="B1241" i="10"/>
  <c r="S1240" i="10"/>
  <c r="Q1240" i="10"/>
  <c r="P1240" i="10"/>
  <c r="O1240" i="10"/>
  <c r="M1240" i="10"/>
  <c r="E1240" i="10"/>
  <c r="B1240" i="10"/>
  <c r="S1239" i="10"/>
  <c r="Q1239" i="10"/>
  <c r="P1239" i="10"/>
  <c r="O1239" i="10"/>
  <c r="M1239" i="10"/>
  <c r="E1239" i="10"/>
  <c r="B1239" i="10"/>
  <c r="S1238" i="10"/>
  <c r="Q1238" i="10"/>
  <c r="P1238" i="10"/>
  <c r="O1238" i="10"/>
  <c r="M1238" i="10"/>
  <c r="E1238" i="10"/>
  <c r="B1238" i="10"/>
  <c r="S1237" i="10"/>
  <c r="Q1237" i="10"/>
  <c r="P1237" i="10"/>
  <c r="O1237" i="10"/>
  <c r="M1237" i="10"/>
  <c r="E1237" i="10"/>
  <c r="B1237" i="10"/>
  <c r="S1236" i="10"/>
  <c r="Q1236" i="10"/>
  <c r="P1236" i="10"/>
  <c r="O1236" i="10"/>
  <c r="M1236" i="10"/>
  <c r="E1236" i="10"/>
  <c r="B1236" i="10"/>
  <c r="S1235" i="10"/>
  <c r="Q1235" i="10"/>
  <c r="P1235" i="10"/>
  <c r="O1235" i="10"/>
  <c r="M1235" i="10"/>
  <c r="E1235" i="10"/>
  <c r="B1235" i="10"/>
  <c r="S1234" i="10"/>
  <c r="Q1234" i="10"/>
  <c r="P1234" i="10"/>
  <c r="O1234" i="10"/>
  <c r="M1234" i="10"/>
  <c r="E1234" i="10"/>
  <c r="B1234" i="10"/>
  <c r="S1233" i="10"/>
  <c r="Q1233" i="10"/>
  <c r="P1233" i="10"/>
  <c r="O1233" i="10"/>
  <c r="M1233" i="10"/>
  <c r="E1233" i="10"/>
  <c r="B1233" i="10"/>
  <c r="S1232" i="10"/>
  <c r="Q1232" i="10"/>
  <c r="P1232" i="10"/>
  <c r="O1232" i="10"/>
  <c r="M1232" i="10"/>
  <c r="E1232" i="10"/>
  <c r="B1232" i="10"/>
  <c r="S1231" i="10"/>
  <c r="Q1231" i="10"/>
  <c r="P1231" i="10"/>
  <c r="O1231" i="10"/>
  <c r="M1231" i="10"/>
  <c r="E1231" i="10"/>
  <c r="B1231" i="10"/>
  <c r="S1230" i="10"/>
  <c r="Q1230" i="10"/>
  <c r="P1230" i="10"/>
  <c r="O1230" i="10"/>
  <c r="M1230" i="10"/>
  <c r="E1230" i="10"/>
  <c r="B1230" i="10"/>
  <c r="S1229" i="10"/>
  <c r="Q1229" i="10"/>
  <c r="P1229" i="10"/>
  <c r="O1229" i="10"/>
  <c r="M1229" i="10"/>
  <c r="E1229" i="10"/>
  <c r="B1229" i="10"/>
  <c r="S1228" i="10"/>
  <c r="Q1228" i="10"/>
  <c r="P1228" i="10"/>
  <c r="O1228" i="10"/>
  <c r="M1228" i="10"/>
  <c r="E1228" i="10"/>
  <c r="B1228" i="10"/>
  <c r="S1227" i="10"/>
  <c r="Q1227" i="10"/>
  <c r="P1227" i="10"/>
  <c r="O1227" i="10"/>
  <c r="M1227" i="10"/>
  <c r="E1227" i="10"/>
  <c r="B1227" i="10"/>
  <c r="S1226" i="10"/>
  <c r="Q1226" i="10"/>
  <c r="P1226" i="10"/>
  <c r="O1226" i="10"/>
  <c r="M1226" i="10"/>
  <c r="E1226" i="10"/>
  <c r="B1226" i="10"/>
  <c r="S1225" i="10"/>
  <c r="Q1225" i="10"/>
  <c r="P1225" i="10"/>
  <c r="O1225" i="10"/>
  <c r="M1225" i="10"/>
  <c r="E1225" i="10"/>
  <c r="B1225" i="10"/>
  <c r="S1224" i="10"/>
  <c r="Q1224" i="10"/>
  <c r="P1224" i="10"/>
  <c r="O1224" i="10"/>
  <c r="M1224" i="10"/>
  <c r="B1224" i="10"/>
  <c r="S1223" i="10"/>
  <c r="Q1223" i="10"/>
  <c r="P1223" i="10"/>
  <c r="O1223" i="10"/>
  <c r="M1223" i="10"/>
  <c r="E1223" i="10"/>
  <c r="B1223" i="10"/>
  <c r="S1222" i="10"/>
  <c r="Q1222" i="10"/>
  <c r="P1222" i="10"/>
  <c r="O1222" i="10"/>
  <c r="M1222" i="10"/>
  <c r="B1222" i="10"/>
  <c r="S1221" i="10"/>
  <c r="Q1221" i="10"/>
  <c r="P1221" i="10"/>
  <c r="O1221" i="10"/>
  <c r="M1221" i="10"/>
  <c r="E1221" i="10"/>
  <c r="B1221" i="10"/>
  <c r="S1220" i="10"/>
  <c r="Q1220" i="10"/>
  <c r="P1220" i="10"/>
  <c r="O1220" i="10"/>
  <c r="M1220" i="10"/>
  <c r="E1220" i="10"/>
  <c r="B1220" i="10"/>
  <c r="S1219" i="10"/>
  <c r="Q1219" i="10"/>
  <c r="P1219" i="10"/>
  <c r="O1219" i="10"/>
  <c r="M1219" i="10"/>
  <c r="E1219" i="10"/>
  <c r="B1219" i="10"/>
  <c r="S1218" i="10"/>
  <c r="Q1218" i="10"/>
  <c r="P1218" i="10"/>
  <c r="O1218" i="10"/>
  <c r="M1218" i="10"/>
  <c r="E1218" i="10"/>
  <c r="B1218" i="10"/>
  <c r="S1217" i="10"/>
  <c r="Q1217" i="10"/>
  <c r="P1217" i="10"/>
  <c r="O1217" i="10"/>
  <c r="M1217" i="10"/>
  <c r="E1217" i="10"/>
  <c r="B1217" i="10"/>
  <c r="S1216" i="10"/>
  <c r="Q1216" i="10"/>
  <c r="P1216" i="10"/>
  <c r="O1216" i="10"/>
  <c r="M1216" i="10"/>
  <c r="E1216" i="10"/>
  <c r="B1216" i="10"/>
  <c r="S1215" i="10"/>
  <c r="Q1215" i="10"/>
  <c r="P1215" i="10"/>
  <c r="O1215" i="10"/>
  <c r="M1215" i="10"/>
  <c r="E1215" i="10"/>
  <c r="B1215" i="10"/>
  <c r="S1214" i="10"/>
  <c r="Q1214" i="10"/>
  <c r="P1214" i="10"/>
  <c r="O1214" i="10"/>
  <c r="M1214" i="10"/>
  <c r="E1214" i="10"/>
  <c r="B1214" i="10"/>
  <c r="S1213" i="10"/>
  <c r="Q1213" i="10"/>
  <c r="P1213" i="10"/>
  <c r="O1213" i="10"/>
  <c r="M1213" i="10"/>
  <c r="E1213" i="10"/>
  <c r="B1213" i="10"/>
  <c r="S1212" i="10"/>
  <c r="Q1212" i="10"/>
  <c r="P1212" i="10"/>
  <c r="O1212" i="10"/>
  <c r="M1212" i="10"/>
  <c r="E1212" i="10"/>
  <c r="B1212" i="10"/>
  <c r="S1211" i="10"/>
  <c r="Q1211" i="10"/>
  <c r="P1211" i="10"/>
  <c r="O1211" i="10"/>
  <c r="M1211" i="10"/>
  <c r="E1211" i="10"/>
  <c r="B1211" i="10"/>
  <c r="S1210" i="10"/>
  <c r="Q1210" i="10"/>
  <c r="P1210" i="10"/>
  <c r="O1210" i="10"/>
  <c r="M1210" i="10"/>
  <c r="E1210" i="10"/>
  <c r="B1210" i="10"/>
  <c r="S1209" i="10"/>
  <c r="Q1209" i="10"/>
  <c r="P1209" i="10"/>
  <c r="O1209" i="10"/>
  <c r="M1209" i="10"/>
  <c r="E1209" i="10"/>
  <c r="B1209" i="10"/>
  <c r="S1208" i="10"/>
  <c r="Q1208" i="10"/>
  <c r="P1208" i="10"/>
  <c r="O1208" i="10"/>
  <c r="M1208" i="10"/>
  <c r="B1208" i="10"/>
  <c r="S1207" i="10"/>
  <c r="Q1207" i="10"/>
  <c r="P1207" i="10"/>
  <c r="O1207" i="10"/>
  <c r="M1207" i="10"/>
  <c r="B1207" i="10"/>
  <c r="S1206" i="10"/>
  <c r="Q1206" i="10"/>
  <c r="P1206" i="10"/>
  <c r="O1206" i="10"/>
  <c r="M1206" i="10"/>
  <c r="E1206" i="10"/>
  <c r="B1206" i="10"/>
  <c r="S1205" i="10"/>
  <c r="Q1205" i="10"/>
  <c r="P1205" i="10"/>
  <c r="O1205" i="10"/>
  <c r="M1205" i="10"/>
  <c r="E1205" i="10"/>
  <c r="B1205" i="10"/>
  <c r="S1204" i="10"/>
  <c r="Q1204" i="10"/>
  <c r="P1204" i="10"/>
  <c r="O1204" i="10"/>
  <c r="M1204" i="10"/>
  <c r="E1204" i="10"/>
  <c r="B1204" i="10"/>
  <c r="S1203" i="10"/>
  <c r="Q1203" i="10"/>
  <c r="P1203" i="10"/>
  <c r="O1203" i="10"/>
  <c r="M1203" i="10"/>
  <c r="E1203" i="10"/>
  <c r="B1203" i="10"/>
  <c r="S1202" i="10"/>
  <c r="Q1202" i="10"/>
  <c r="P1202" i="10"/>
  <c r="O1202" i="10"/>
  <c r="M1202" i="10"/>
  <c r="E1202" i="10"/>
  <c r="B1202" i="10"/>
  <c r="S1201" i="10"/>
  <c r="Q1201" i="10"/>
  <c r="P1201" i="10"/>
  <c r="O1201" i="10"/>
  <c r="M1201" i="10"/>
  <c r="E1201" i="10"/>
  <c r="B1201" i="10"/>
  <c r="S1200" i="10"/>
  <c r="Q1200" i="10"/>
  <c r="P1200" i="10"/>
  <c r="O1200" i="10"/>
  <c r="M1200" i="10"/>
  <c r="E1200" i="10"/>
  <c r="B1200" i="10"/>
  <c r="S1199" i="10"/>
  <c r="Q1199" i="10"/>
  <c r="P1199" i="10"/>
  <c r="O1199" i="10"/>
  <c r="M1199" i="10"/>
  <c r="E1199" i="10"/>
  <c r="B1199" i="10"/>
  <c r="S1198" i="10"/>
  <c r="Q1198" i="10"/>
  <c r="P1198" i="10"/>
  <c r="O1198" i="10"/>
  <c r="M1198" i="10"/>
  <c r="E1198" i="10"/>
  <c r="B1198" i="10"/>
  <c r="S1197" i="10"/>
  <c r="Q1197" i="10"/>
  <c r="P1197" i="10"/>
  <c r="O1197" i="10"/>
  <c r="M1197" i="10"/>
  <c r="E1197" i="10"/>
  <c r="B1197" i="10"/>
  <c r="S1196" i="10"/>
  <c r="Q1196" i="10"/>
  <c r="P1196" i="10"/>
  <c r="O1196" i="10"/>
  <c r="M1196" i="10"/>
  <c r="E1196" i="10"/>
  <c r="B1196" i="10"/>
  <c r="S1195" i="10"/>
  <c r="Q1195" i="10"/>
  <c r="P1195" i="10"/>
  <c r="O1195" i="10"/>
  <c r="M1195" i="10"/>
  <c r="E1195" i="10"/>
  <c r="B1195" i="10"/>
  <c r="S1194" i="10"/>
  <c r="Q1194" i="10"/>
  <c r="P1194" i="10"/>
  <c r="O1194" i="10"/>
  <c r="M1194" i="10"/>
  <c r="E1194" i="10"/>
  <c r="B1194" i="10"/>
  <c r="S1193" i="10"/>
  <c r="Q1193" i="10"/>
  <c r="P1193" i="10"/>
  <c r="O1193" i="10"/>
  <c r="M1193" i="10"/>
  <c r="E1193" i="10"/>
  <c r="B1193" i="10"/>
  <c r="S1192" i="10"/>
  <c r="Q1192" i="10"/>
  <c r="P1192" i="10"/>
  <c r="O1192" i="10"/>
  <c r="M1192" i="10"/>
  <c r="E1192" i="10"/>
  <c r="B1192" i="10"/>
  <c r="S1191" i="10"/>
  <c r="Q1191" i="10"/>
  <c r="P1191" i="10"/>
  <c r="O1191" i="10"/>
  <c r="M1191" i="10"/>
  <c r="E1191" i="10"/>
  <c r="B1191" i="10"/>
  <c r="S1190" i="10"/>
  <c r="Q1190" i="10"/>
  <c r="P1190" i="10"/>
  <c r="O1190" i="10"/>
  <c r="M1190" i="10"/>
  <c r="E1190" i="10"/>
  <c r="B1190" i="10"/>
  <c r="S1189" i="10"/>
  <c r="Q1189" i="10"/>
  <c r="P1189" i="10"/>
  <c r="O1189" i="10"/>
  <c r="M1189" i="10"/>
  <c r="E1189" i="10"/>
  <c r="B1189" i="10"/>
  <c r="S1188" i="10"/>
  <c r="Q1188" i="10"/>
  <c r="P1188" i="10"/>
  <c r="O1188" i="10"/>
  <c r="M1188" i="10"/>
  <c r="E1188" i="10"/>
  <c r="B1188" i="10"/>
  <c r="S1187" i="10"/>
  <c r="Q1187" i="10"/>
  <c r="P1187" i="10"/>
  <c r="O1187" i="10"/>
  <c r="M1187" i="10"/>
  <c r="E1187" i="10"/>
  <c r="B1187" i="10"/>
  <c r="S1186" i="10"/>
  <c r="Q1186" i="10"/>
  <c r="P1186" i="10"/>
  <c r="O1186" i="10"/>
  <c r="M1186" i="10"/>
  <c r="E1186" i="10"/>
  <c r="B1186" i="10"/>
  <c r="S1185" i="10"/>
  <c r="Q1185" i="10"/>
  <c r="P1185" i="10"/>
  <c r="O1185" i="10"/>
  <c r="M1185" i="10"/>
  <c r="E1185" i="10"/>
  <c r="B1185" i="10"/>
  <c r="S1184" i="10"/>
  <c r="Q1184" i="10"/>
  <c r="P1184" i="10"/>
  <c r="O1184" i="10"/>
  <c r="M1184" i="10"/>
  <c r="E1184" i="10"/>
  <c r="B1184" i="10"/>
  <c r="S1183" i="10"/>
  <c r="Q1183" i="10"/>
  <c r="P1183" i="10"/>
  <c r="O1183" i="10"/>
  <c r="M1183" i="10"/>
  <c r="E1183" i="10"/>
  <c r="B1183" i="10"/>
  <c r="S1182" i="10"/>
  <c r="Q1182" i="10"/>
  <c r="P1182" i="10"/>
  <c r="O1182" i="10"/>
  <c r="M1182" i="10"/>
  <c r="E1182" i="10"/>
  <c r="B1182" i="10"/>
  <c r="S1181" i="10"/>
  <c r="Q1181" i="10"/>
  <c r="P1181" i="10"/>
  <c r="O1181" i="10"/>
  <c r="M1181" i="10"/>
  <c r="E1181" i="10"/>
  <c r="B1181" i="10"/>
  <c r="S1180" i="10"/>
  <c r="Q1180" i="10"/>
  <c r="P1180" i="10"/>
  <c r="O1180" i="10"/>
  <c r="M1180" i="10"/>
  <c r="E1180" i="10"/>
  <c r="B1180" i="10"/>
  <c r="S1179" i="10"/>
  <c r="Q1179" i="10"/>
  <c r="P1179" i="10"/>
  <c r="O1179" i="10"/>
  <c r="M1179" i="10"/>
  <c r="E1179" i="10"/>
  <c r="B1179" i="10"/>
  <c r="S1178" i="10"/>
  <c r="Q1178" i="10"/>
  <c r="P1178" i="10"/>
  <c r="O1178" i="10"/>
  <c r="M1178" i="10"/>
  <c r="E1178" i="10"/>
  <c r="B1178" i="10"/>
  <c r="S1177" i="10"/>
  <c r="Q1177" i="10"/>
  <c r="P1177" i="10"/>
  <c r="O1177" i="10"/>
  <c r="M1177" i="10"/>
  <c r="E1177" i="10"/>
  <c r="B1177" i="10"/>
  <c r="S1176" i="10"/>
  <c r="Q1176" i="10"/>
  <c r="P1176" i="10"/>
  <c r="O1176" i="10"/>
  <c r="M1176" i="10"/>
  <c r="E1176" i="10"/>
  <c r="B1176" i="10"/>
  <c r="S1175" i="10"/>
  <c r="Q1175" i="10"/>
  <c r="P1175" i="10"/>
  <c r="O1175" i="10"/>
  <c r="M1175" i="10"/>
  <c r="E1175" i="10"/>
  <c r="B1175" i="10"/>
  <c r="S1174" i="10"/>
  <c r="Q1174" i="10"/>
  <c r="P1174" i="10"/>
  <c r="O1174" i="10"/>
  <c r="M1174" i="10"/>
  <c r="E1174" i="10"/>
  <c r="B1174" i="10"/>
  <c r="S1173" i="10"/>
  <c r="Q1173" i="10"/>
  <c r="P1173" i="10"/>
  <c r="O1173" i="10"/>
  <c r="M1173" i="10"/>
  <c r="E1173" i="10"/>
  <c r="B1173" i="10"/>
  <c r="S1172" i="10"/>
  <c r="Q1172" i="10"/>
  <c r="P1172" i="10"/>
  <c r="O1172" i="10"/>
  <c r="M1172" i="10"/>
  <c r="E1172" i="10"/>
  <c r="B1172" i="10"/>
  <c r="S1171" i="10"/>
  <c r="Q1171" i="10"/>
  <c r="P1171" i="10"/>
  <c r="O1171" i="10"/>
  <c r="M1171" i="10"/>
  <c r="E1171" i="10"/>
  <c r="B1171" i="10"/>
  <c r="S1170" i="10"/>
  <c r="Q1170" i="10"/>
  <c r="P1170" i="10"/>
  <c r="O1170" i="10"/>
  <c r="M1170" i="10"/>
  <c r="E1170" i="10"/>
  <c r="B1170" i="10"/>
  <c r="S1169" i="10"/>
  <c r="Q1169" i="10"/>
  <c r="P1169" i="10"/>
  <c r="O1169" i="10"/>
  <c r="M1169" i="10"/>
  <c r="E1169" i="10"/>
  <c r="B1169" i="10"/>
  <c r="S1168" i="10"/>
  <c r="Q1168" i="10"/>
  <c r="P1168" i="10"/>
  <c r="O1168" i="10"/>
  <c r="M1168" i="10"/>
  <c r="E1168" i="10"/>
  <c r="B1168" i="10"/>
  <c r="S1167" i="10"/>
  <c r="Q1167" i="10"/>
  <c r="P1167" i="10"/>
  <c r="O1167" i="10"/>
  <c r="M1167" i="10"/>
  <c r="E1167" i="10"/>
  <c r="B1167" i="10"/>
  <c r="S1166" i="10"/>
  <c r="Q1166" i="10"/>
  <c r="P1166" i="10"/>
  <c r="O1166" i="10"/>
  <c r="M1166" i="10"/>
  <c r="E1166" i="10"/>
  <c r="B1166" i="10"/>
  <c r="S1165" i="10"/>
  <c r="Q1165" i="10"/>
  <c r="P1165" i="10"/>
  <c r="O1165" i="10"/>
  <c r="M1165" i="10"/>
  <c r="E1165" i="10"/>
  <c r="B1165" i="10"/>
  <c r="S1164" i="10"/>
  <c r="Q1164" i="10"/>
  <c r="P1164" i="10"/>
  <c r="O1164" i="10"/>
  <c r="M1164" i="10"/>
  <c r="E1164" i="10"/>
  <c r="B1164" i="10"/>
  <c r="S1163" i="10"/>
  <c r="Q1163" i="10"/>
  <c r="P1163" i="10"/>
  <c r="O1163" i="10"/>
  <c r="M1163" i="10"/>
  <c r="E1163" i="10"/>
  <c r="B1163" i="10"/>
  <c r="S1162" i="10"/>
  <c r="Q1162" i="10"/>
  <c r="P1162" i="10"/>
  <c r="O1162" i="10"/>
  <c r="M1162" i="10"/>
  <c r="E1162" i="10"/>
  <c r="B1162" i="10"/>
  <c r="S1161" i="10"/>
  <c r="Q1161" i="10"/>
  <c r="P1161" i="10"/>
  <c r="O1161" i="10"/>
  <c r="M1161" i="10"/>
  <c r="B1161" i="10"/>
  <c r="S1160" i="10"/>
  <c r="Q1160" i="10"/>
  <c r="P1160" i="10"/>
  <c r="O1160" i="10"/>
  <c r="M1160" i="10"/>
  <c r="E1160" i="10"/>
  <c r="B1160" i="10"/>
  <c r="S1159" i="10"/>
  <c r="Q1159" i="10"/>
  <c r="P1159" i="10"/>
  <c r="O1159" i="10"/>
  <c r="M1159" i="10"/>
  <c r="E1159" i="10"/>
  <c r="B1159" i="10"/>
  <c r="S1158" i="10"/>
  <c r="Q1158" i="10"/>
  <c r="P1158" i="10"/>
  <c r="O1158" i="10"/>
  <c r="M1158" i="10"/>
  <c r="B1158" i="10"/>
  <c r="S1157" i="10"/>
  <c r="Q1157" i="10"/>
  <c r="P1157" i="10"/>
  <c r="O1157" i="10"/>
  <c r="M1157" i="10"/>
  <c r="E1157" i="10"/>
  <c r="B1157" i="10"/>
  <c r="S1156" i="10"/>
  <c r="Q1156" i="10"/>
  <c r="P1156" i="10"/>
  <c r="O1156" i="10"/>
  <c r="M1156" i="10"/>
  <c r="E1156" i="10"/>
  <c r="B1156" i="10"/>
  <c r="S1155" i="10"/>
  <c r="Q1155" i="10"/>
  <c r="P1155" i="10"/>
  <c r="O1155" i="10"/>
  <c r="M1155" i="10"/>
  <c r="E1155" i="10"/>
  <c r="B1155" i="10"/>
  <c r="S1154" i="10"/>
  <c r="Q1154" i="10"/>
  <c r="P1154" i="10"/>
  <c r="O1154" i="10"/>
  <c r="M1154" i="10"/>
  <c r="E1154" i="10"/>
  <c r="B1154" i="10"/>
  <c r="S1153" i="10"/>
  <c r="Q1153" i="10"/>
  <c r="P1153" i="10"/>
  <c r="O1153" i="10"/>
  <c r="M1153" i="10"/>
  <c r="E1153" i="10"/>
  <c r="B1153" i="10"/>
  <c r="S1152" i="10"/>
  <c r="Q1152" i="10"/>
  <c r="P1152" i="10"/>
  <c r="O1152" i="10"/>
  <c r="M1152" i="10"/>
  <c r="E1152" i="10"/>
  <c r="B1152" i="10"/>
  <c r="S1151" i="10"/>
  <c r="Q1151" i="10"/>
  <c r="P1151" i="10"/>
  <c r="O1151" i="10"/>
  <c r="M1151" i="10"/>
  <c r="E1151" i="10"/>
  <c r="B1151" i="10"/>
  <c r="S1150" i="10"/>
  <c r="Q1150" i="10"/>
  <c r="P1150" i="10"/>
  <c r="O1150" i="10"/>
  <c r="M1150" i="10"/>
  <c r="E1150" i="10"/>
  <c r="B1150" i="10"/>
  <c r="S1149" i="10"/>
  <c r="Q1149" i="10"/>
  <c r="P1149" i="10"/>
  <c r="O1149" i="10"/>
  <c r="M1149" i="10"/>
  <c r="E1149" i="10"/>
  <c r="B1149" i="10"/>
  <c r="S1148" i="10"/>
  <c r="Q1148" i="10"/>
  <c r="P1148" i="10"/>
  <c r="O1148" i="10"/>
  <c r="M1148" i="10"/>
  <c r="E1148" i="10"/>
  <c r="B1148" i="10"/>
  <c r="S1147" i="10"/>
  <c r="Q1147" i="10"/>
  <c r="P1147" i="10"/>
  <c r="O1147" i="10"/>
  <c r="M1147" i="10"/>
  <c r="B1147" i="10"/>
  <c r="S1146" i="10"/>
  <c r="Q1146" i="10"/>
  <c r="P1146" i="10"/>
  <c r="O1146" i="10"/>
  <c r="M1146" i="10"/>
  <c r="E1146" i="10"/>
  <c r="B1146" i="10"/>
  <c r="S1145" i="10"/>
  <c r="Q1145" i="10"/>
  <c r="P1145" i="10"/>
  <c r="O1145" i="10"/>
  <c r="M1145" i="10"/>
  <c r="E1145" i="10"/>
  <c r="B1145" i="10"/>
  <c r="S1144" i="10"/>
  <c r="Q1144" i="10"/>
  <c r="P1144" i="10"/>
  <c r="O1144" i="10"/>
  <c r="M1144" i="10"/>
  <c r="E1144" i="10"/>
  <c r="B1144" i="10"/>
  <c r="S1143" i="10"/>
  <c r="Q1143" i="10"/>
  <c r="P1143" i="10"/>
  <c r="O1143" i="10"/>
  <c r="M1143" i="10"/>
  <c r="E1143" i="10"/>
  <c r="B1143" i="10"/>
  <c r="S1142" i="10"/>
  <c r="Q1142" i="10"/>
  <c r="P1142" i="10"/>
  <c r="O1142" i="10"/>
  <c r="M1142" i="10"/>
  <c r="E1142" i="10"/>
  <c r="B1142" i="10"/>
  <c r="S1141" i="10"/>
  <c r="Q1141" i="10"/>
  <c r="P1141" i="10"/>
  <c r="O1141" i="10"/>
  <c r="M1141" i="10"/>
  <c r="E1141" i="10"/>
  <c r="B1141" i="10"/>
  <c r="S1140" i="10"/>
  <c r="Q1140" i="10"/>
  <c r="P1140" i="10"/>
  <c r="O1140" i="10"/>
  <c r="M1140" i="10"/>
  <c r="E1140" i="10"/>
  <c r="B1140" i="10"/>
  <c r="S1139" i="10"/>
  <c r="Q1139" i="10"/>
  <c r="P1139" i="10"/>
  <c r="O1139" i="10"/>
  <c r="M1139" i="10"/>
  <c r="E1139" i="10"/>
  <c r="B1139" i="10"/>
  <c r="S1138" i="10"/>
  <c r="Q1138" i="10"/>
  <c r="P1138" i="10"/>
  <c r="O1138" i="10"/>
  <c r="M1138" i="10"/>
  <c r="E1138" i="10"/>
  <c r="B1138" i="10"/>
  <c r="S1137" i="10"/>
  <c r="Q1137" i="10"/>
  <c r="P1137" i="10"/>
  <c r="O1137" i="10"/>
  <c r="M1137" i="10"/>
  <c r="E1137" i="10"/>
  <c r="B1137" i="10"/>
  <c r="S1136" i="10"/>
  <c r="Q1136" i="10"/>
  <c r="P1136" i="10"/>
  <c r="O1136" i="10"/>
  <c r="M1136" i="10"/>
  <c r="E1136" i="10"/>
  <c r="B1136" i="10"/>
  <c r="S1135" i="10"/>
  <c r="Q1135" i="10"/>
  <c r="P1135" i="10"/>
  <c r="O1135" i="10"/>
  <c r="M1135" i="10"/>
  <c r="E1135" i="10"/>
  <c r="B1135" i="10"/>
  <c r="S1134" i="10"/>
  <c r="Q1134" i="10"/>
  <c r="P1134" i="10"/>
  <c r="O1134" i="10"/>
  <c r="M1134" i="10"/>
  <c r="E1134" i="10"/>
  <c r="B1134" i="10"/>
  <c r="S1133" i="10"/>
  <c r="Q1133" i="10"/>
  <c r="P1133" i="10"/>
  <c r="O1133" i="10"/>
  <c r="M1133" i="10"/>
  <c r="E1133" i="10"/>
  <c r="B1133" i="10"/>
  <c r="S1132" i="10"/>
  <c r="Q1132" i="10"/>
  <c r="P1132" i="10"/>
  <c r="O1132" i="10"/>
  <c r="M1132" i="10"/>
  <c r="E1132" i="10"/>
  <c r="B1132" i="10"/>
  <c r="S1131" i="10"/>
  <c r="Q1131" i="10"/>
  <c r="P1131" i="10"/>
  <c r="O1131" i="10"/>
  <c r="M1131" i="10"/>
  <c r="E1131" i="10"/>
  <c r="B1131" i="10"/>
  <c r="S1130" i="10"/>
  <c r="Q1130" i="10"/>
  <c r="P1130" i="10"/>
  <c r="O1130" i="10"/>
  <c r="M1130" i="10"/>
  <c r="E1130" i="10"/>
  <c r="B1130" i="10"/>
  <c r="S1129" i="10"/>
  <c r="Q1129" i="10"/>
  <c r="P1129" i="10"/>
  <c r="O1129" i="10"/>
  <c r="M1129" i="10"/>
  <c r="E1129" i="10"/>
  <c r="B1129" i="10"/>
  <c r="S1128" i="10"/>
  <c r="Q1128" i="10"/>
  <c r="P1128" i="10"/>
  <c r="O1128" i="10"/>
  <c r="M1128" i="10"/>
  <c r="E1128" i="10"/>
  <c r="B1128" i="10"/>
  <c r="S1127" i="10"/>
  <c r="Q1127" i="10"/>
  <c r="P1127" i="10"/>
  <c r="O1127" i="10"/>
  <c r="M1127" i="10"/>
  <c r="B1127" i="10"/>
  <c r="S1126" i="10"/>
  <c r="Q1126" i="10"/>
  <c r="P1126" i="10"/>
  <c r="O1126" i="10"/>
  <c r="M1126" i="10"/>
  <c r="E1126" i="10"/>
  <c r="B1126" i="10"/>
  <c r="S1125" i="10"/>
  <c r="Q1125" i="10"/>
  <c r="P1125" i="10"/>
  <c r="O1125" i="10"/>
  <c r="M1125" i="10"/>
  <c r="E1125" i="10"/>
  <c r="B1125" i="10"/>
  <c r="S1124" i="10"/>
  <c r="Q1124" i="10"/>
  <c r="P1124" i="10"/>
  <c r="O1124" i="10"/>
  <c r="M1124" i="10"/>
  <c r="E1124" i="10"/>
  <c r="B1124" i="10"/>
  <c r="S1123" i="10"/>
  <c r="Q1123" i="10"/>
  <c r="P1123" i="10"/>
  <c r="O1123" i="10"/>
  <c r="M1123" i="10"/>
  <c r="E1123" i="10"/>
  <c r="B1123" i="10"/>
  <c r="S1122" i="10"/>
  <c r="Q1122" i="10"/>
  <c r="P1122" i="10"/>
  <c r="O1122" i="10"/>
  <c r="M1122" i="10"/>
  <c r="E1122" i="10"/>
  <c r="B1122" i="10"/>
  <c r="S1121" i="10"/>
  <c r="Q1121" i="10"/>
  <c r="P1121" i="10"/>
  <c r="O1121" i="10"/>
  <c r="M1121" i="10"/>
  <c r="E1121" i="10"/>
  <c r="B1121" i="10"/>
  <c r="S1120" i="10"/>
  <c r="Q1120" i="10"/>
  <c r="P1120" i="10"/>
  <c r="O1120" i="10"/>
  <c r="M1120" i="10"/>
  <c r="E1120" i="10"/>
  <c r="B1120" i="10"/>
  <c r="S1119" i="10"/>
  <c r="Q1119" i="10"/>
  <c r="P1119" i="10"/>
  <c r="O1119" i="10"/>
  <c r="M1119" i="10"/>
  <c r="E1119" i="10"/>
  <c r="B1119" i="10"/>
  <c r="S1118" i="10"/>
  <c r="Q1118" i="10"/>
  <c r="P1118" i="10"/>
  <c r="O1118" i="10"/>
  <c r="M1118" i="10"/>
  <c r="B1118" i="10"/>
  <c r="S1117" i="10"/>
  <c r="Q1117" i="10"/>
  <c r="P1117" i="10"/>
  <c r="O1117" i="10"/>
  <c r="M1117" i="10"/>
  <c r="B1117" i="10"/>
  <c r="S1116" i="10"/>
  <c r="Q1116" i="10"/>
  <c r="P1116" i="10"/>
  <c r="O1116" i="10"/>
  <c r="M1116" i="10"/>
  <c r="E1116" i="10"/>
  <c r="B1116" i="10"/>
  <c r="S1115" i="10"/>
  <c r="Q1115" i="10"/>
  <c r="P1115" i="10"/>
  <c r="O1115" i="10"/>
  <c r="M1115" i="10"/>
  <c r="E1115" i="10"/>
  <c r="B1115" i="10"/>
  <c r="S1114" i="10"/>
  <c r="Q1114" i="10"/>
  <c r="P1114" i="10"/>
  <c r="O1114" i="10"/>
  <c r="M1114" i="10"/>
  <c r="E1114" i="10"/>
  <c r="B1114" i="10"/>
  <c r="S1113" i="10"/>
  <c r="Q1113" i="10"/>
  <c r="P1113" i="10"/>
  <c r="O1113" i="10"/>
  <c r="M1113" i="10"/>
  <c r="E1113" i="10"/>
  <c r="B1113" i="10"/>
  <c r="S1112" i="10"/>
  <c r="Q1112" i="10"/>
  <c r="P1112" i="10"/>
  <c r="O1112" i="10"/>
  <c r="M1112" i="10"/>
  <c r="B1112" i="10"/>
  <c r="S1111" i="10"/>
  <c r="Q1111" i="10"/>
  <c r="P1111" i="10"/>
  <c r="O1111" i="10"/>
  <c r="M1111" i="10"/>
  <c r="E1111" i="10"/>
  <c r="B1111" i="10"/>
  <c r="S1110" i="10"/>
  <c r="Q1110" i="10"/>
  <c r="P1110" i="10"/>
  <c r="O1110" i="10"/>
  <c r="M1110" i="10"/>
  <c r="E1110" i="10"/>
  <c r="B1110" i="10"/>
  <c r="S1109" i="10"/>
  <c r="Q1109" i="10"/>
  <c r="P1109" i="10"/>
  <c r="O1109" i="10"/>
  <c r="M1109" i="10"/>
  <c r="E1109" i="10"/>
  <c r="B1109" i="10"/>
  <c r="S1108" i="10"/>
  <c r="Q1108" i="10"/>
  <c r="P1108" i="10"/>
  <c r="O1108" i="10"/>
  <c r="M1108" i="10"/>
  <c r="E1108" i="10"/>
  <c r="B1108" i="10"/>
  <c r="S1107" i="10"/>
  <c r="Q1107" i="10"/>
  <c r="P1107" i="10"/>
  <c r="O1107" i="10"/>
  <c r="M1107" i="10"/>
  <c r="E1107" i="10"/>
  <c r="B1107" i="10"/>
  <c r="S1106" i="10"/>
  <c r="Q1106" i="10"/>
  <c r="P1106" i="10"/>
  <c r="O1106" i="10"/>
  <c r="M1106" i="10"/>
  <c r="E1106" i="10"/>
  <c r="B1106" i="10"/>
  <c r="S1105" i="10"/>
  <c r="Q1105" i="10"/>
  <c r="P1105" i="10"/>
  <c r="O1105" i="10"/>
  <c r="M1105" i="10"/>
  <c r="E1105" i="10"/>
  <c r="B1105" i="10"/>
  <c r="S1104" i="10"/>
  <c r="Q1104" i="10"/>
  <c r="P1104" i="10"/>
  <c r="O1104" i="10"/>
  <c r="M1104" i="10"/>
  <c r="E1104" i="10"/>
  <c r="B1104" i="10"/>
  <c r="S1103" i="10"/>
  <c r="Q1103" i="10"/>
  <c r="P1103" i="10"/>
  <c r="O1103" i="10"/>
  <c r="M1103" i="10"/>
  <c r="E1103" i="10"/>
  <c r="B1103" i="10"/>
  <c r="S1102" i="10"/>
  <c r="Q1102" i="10"/>
  <c r="P1102" i="10"/>
  <c r="O1102" i="10"/>
  <c r="M1102" i="10"/>
  <c r="E1102" i="10"/>
  <c r="B1102" i="10"/>
  <c r="S1101" i="10"/>
  <c r="Q1101" i="10"/>
  <c r="P1101" i="10"/>
  <c r="O1101" i="10"/>
  <c r="M1101" i="10"/>
  <c r="B1101" i="10"/>
  <c r="S1100" i="10"/>
  <c r="Q1100" i="10"/>
  <c r="P1100" i="10"/>
  <c r="O1100" i="10"/>
  <c r="M1100" i="10"/>
  <c r="E1100" i="10"/>
  <c r="B1100" i="10"/>
  <c r="S1099" i="10"/>
  <c r="Q1099" i="10"/>
  <c r="P1099" i="10"/>
  <c r="O1099" i="10"/>
  <c r="M1099" i="10"/>
  <c r="E1099" i="10"/>
  <c r="B1099" i="10"/>
  <c r="S1098" i="10"/>
  <c r="Q1098" i="10"/>
  <c r="P1098" i="10"/>
  <c r="O1098" i="10"/>
  <c r="M1098" i="10"/>
  <c r="E1098" i="10"/>
  <c r="B1098" i="10"/>
  <c r="S1097" i="10"/>
  <c r="Q1097" i="10"/>
  <c r="P1097" i="10"/>
  <c r="O1097" i="10"/>
  <c r="M1097" i="10"/>
  <c r="E1097" i="10"/>
  <c r="B1097" i="10"/>
  <c r="S1096" i="10"/>
  <c r="Q1096" i="10"/>
  <c r="P1096" i="10"/>
  <c r="O1096" i="10"/>
  <c r="M1096" i="10"/>
  <c r="E1096" i="10"/>
  <c r="B1096" i="10"/>
  <c r="S1095" i="10"/>
  <c r="Q1095" i="10"/>
  <c r="P1095" i="10"/>
  <c r="O1095" i="10"/>
  <c r="M1095" i="10"/>
  <c r="E1095" i="10"/>
  <c r="B1095" i="10"/>
  <c r="S1094" i="10"/>
  <c r="Q1094" i="10"/>
  <c r="P1094" i="10"/>
  <c r="O1094" i="10"/>
  <c r="M1094" i="10"/>
  <c r="E1094" i="10"/>
  <c r="B1094" i="10"/>
  <c r="S1093" i="10"/>
  <c r="Q1093" i="10"/>
  <c r="P1093" i="10"/>
  <c r="O1093" i="10"/>
  <c r="M1093" i="10"/>
  <c r="E1093" i="10"/>
  <c r="B1093" i="10"/>
  <c r="S1092" i="10"/>
  <c r="Q1092" i="10"/>
  <c r="P1092" i="10"/>
  <c r="O1092" i="10"/>
  <c r="M1092" i="10"/>
  <c r="E1092" i="10"/>
  <c r="B1092" i="10"/>
  <c r="S1091" i="10"/>
  <c r="Q1091" i="10"/>
  <c r="P1091" i="10"/>
  <c r="O1091" i="10"/>
  <c r="M1091" i="10"/>
  <c r="E1091" i="10"/>
  <c r="B1091" i="10"/>
  <c r="S1090" i="10"/>
  <c r="Q1090" i="10"/>
  <c r="P1090" i="10"/>
  <c r="O1090" i="10"/>
  <c r="M1090" i="10"/>
  <c r="E1090" i="10"/>
  <c r="B1090" i="10"/>
  <c r="S1089" i="10"/>
  <c r="Q1089" i="10"/>
  <c r="P1089" i="10"/>
  <c r="O1089" i="10"/>
  <c r="M1089" i="10"/>
  <c r="E1089" i="10"/>
  <c r="B1089" i="10"/>
  <c r="S1088" i="10"/>
  <c r="Q1088" i="10"/>
  <c r="P1088" i="10"/>
  <c r="O1088" i="10"/>
  <c r="M1088" i="10"/>
  <c r="E1088" i="10"/>
  <c r="B1088" i="10"/>
  <c r="S1087" i="10"/>
  <c r="Q1087" i="10"/>
  <c r="P1087" i="10"/>
  <c r="O1087" i="10"/>
  <c r="M1087" i="10"/>
  <c r="B1087" i="10"/>
  <c r="S1086" i="10"/>
  <c r="Q1086" i="10"/>
  <c r="P1086" i="10"/>
  <c r="O1086" i="10"/>
  <c r="M1086" i="10"/>
  <c r="E1086" i="10"/>
  <c r="B1086" i="10"/>
  <c r="S1085" i="10"/>
  <c r="Q1085" i="10"/>
  <c r="P1085" i="10"/>
  <c r="O1085" i="10"/>
  <c r="M1085" i="10"/>
  <c r="B1085" i="10"/>
  <c r="S1084" i="10"/>
  <c r="Q1084" i="10"/>
  <c r="P1084" i="10"/>
  <c r="O1084" i="10"/>
  <c r="M1084" i="10"/>
  <c r="E1084" i="10"/>
  <c r="B1084" i="10"/>
  <c r="S1083" i="10"/>
  <c r="Q1083" i="10"/>
  <c r="P1083" i="10"/>
  <c r="O1083" i="10"/>
  <c r="M1083" i="10"/>
  <c r="E1083" i="10"/>
  <c r="B1083" i="10"/>
  <c r="S1082" i="10"/>
  <c r="Q1082" i="10"/>
  <c r="P1082" i="10"/>
  <c r="O1082" i="10"/>
  <c r="M1082" i="10"/>
  <c r="E1082" i="10"/>
  <c r="B1082" i="10"/>
  <c r="S1081" i="10"/>
  <c r="Q1081" i="10"/>
  <c r="P1081" i="10"/>
  <c r="O1081" i="10"/>
  <c r="M1081" i="10"/>
  <c r="E1081" i="10"/>
  <c r="B1081" i="10"/>
  <c r="S1080" i="10"/>
  <c r="Q1080" i="10"/>
  <c r="P1080" i="10"/>
  <c r="O1080" i="10"/>
  <c r="M1080" i="10"/>
  <c r="E1080" i="10"/>
  <c r="B1080" i="10"/>
  <c r="S1079" i="10"/>
  <c r="Q1079" i="10"/>
  <c r="P1079" i="10"/>
  <c r="O1079" i="10"/>
  <c r="M1079" i="10"/>
  <c r="E1079" i="10"/>
  <c r="B1079" i="10"/>
  <c r="S1078" i="10"/>
  <c r="Q1078" i="10"/>
  <c r="P1078" i="10"/>
  <c r="O1078" i="10"/>
  <c r="M1078" i="10"/>
  <c r="E1078" i="10"/>
  <c r="B1078" i="10"/>
  <c r="S1077" i="10"/>
  <c r="Q1077" i="10"/>
  <c r="P1077" i="10"/>
  <c r="O1077" i="10"/>
  <c r="M1077" i="10"/>
  <c r="E1077" i="10"/>
  <c r="B1077" i="10"/>
  <c r="S1076" i="10"/>
  <c r="Q1076" i="10"/>
  <c r="P1076" i="10"/>
  <c r="O1076" i="10"/>
  <c r="M1076" i="10"/>
  <c r="B1076" i="10"/>
  <c r="S1075" i="10"/>
  <c r="Q1075" i="10"/>
  <c r="P1075" i="10"/>
  <c r="O1075" i="10"/>
  <c r="M1075" i="10"/>
  <c r="E1075" i="10"/>
  <c r="B1075" i="10"/>
  <c r="S1074" i="10"/>
  <c r="Q1074" i="10"/>
  <c r="P1074" i="10"/>
  <c r="O1074" i="10"/>
  <c r="M1074" i="10"/>
  <c r="E1074" i="10"/>
  <c r="B1074" i="10"/>
  <c r="S1073" i="10"/>
  <c r="Q1073" i="10"/>
  <c r="P1073" i="10"/>
  <c r="O1073" i="10"/>
  <c r="M1073" i="10"/>
  <c r="B1073" i="10"/>
  <c r="S1072" i="10"/>
  <c r="Q1072" i="10"/>
  <c r="P1072" i="10"/>
  <c r="O1072" i="10"/>
  <c r="M1072" i="10"/>
  <c r="E1072" i="10"/>
  <c r="B1072" i="10"/>
  <c r="S1071" i="10"/>
  <c r="Q1071" i="10"/>
  <c r="P1071" i="10"/>
  <c r="O1071" i="10"/>
  <c r="M1071" i="10"/>
  <c r="B1071" i="10"/>
  <c r="S1070" i="10"/>
  <c r="Q1070" i="10"/>
  <c r="P1070" i="10"/>
  <c r="O1070" i="10"/>
  <c r="M1070" i="10"/>
  <c r="E1070" i="10"/>
  <c r="B1070" i="10"/>
  <c r="S1069" i="10"/>
  <c r="Q1069" i="10"/>
  <c r="P1069" i="10"/>
  <c r="O1069" i="10"/>
  <c r="M1069" i="10"/>
  <c r="E1069" i="10"/>
  <c r="B1069" i="10"/>
  <c r="S1068" i="10"/>
  <c r="Q1068" i="10"/>
  <c r="P1068" i="10"/>
  <c r="O1068" i="10"/>
  <c r="M1068" i="10"/>
  <c r="B1068" i="10"/>
  <c r="S1067" i="10"/>
  <c r="Q1067" i="10"/>
  <c r="P1067" i="10"/>
  <c r="O1067" i="10"/>
  <c r="M1067" i="10"/>
  <c r="E1067" i="10"/>
  <c r="B1067" i="10"/>
  <c r="S1066" i="10"/>
  <c r="Q1066" i="10"/>
  <c r="P1066" i="10"/>
  <c r="O1066" i="10"/>
  <c r="M1066" i="10"/>
  <c r="E1066" i="10"/>
  <c r="B1066" i="10"/>
  <c r="S1065" i="10"/>
  <c r="Q1065" i="10"/>
  <c r="P1065" i="10"/>
  <c r="O1065" i="10"/>
  <c r="M1065" i="10"/>
  <c r="B1065" i="10"/>
  <c r="S1064" i="10"/>
  <c r="Q1064" i="10"/>
  <c r="P1064" i="10"/>
  <c r="O1064" i="10"/>
  <c r="M1064" i="10"/>
  <c r="E1064" i="10"/>
  <c r="B1064" i="10"/>
  <c r="S1063" i="10"/>
  <c r="Q1063" i="10"/>
  <c r="P1063" i="10"/>
  <c r="O1063" i="10"/>
  <c r="M1063" i="10"/>
  <c r="E1063" i="10"/>
  <c r="B1063" i="10"/>
  <c r="S1062" i="10"/>
  <c r="Q1062" i="10"/>
  <c r="P1062" i="10"/>
  <c r="O1062" i="10"/>
  <c r="M1062" i="10"/>
  <c r="E1062" i="10"/>
  <c r="B1062" i="10"/>
  <c r="S1061" i="10"/>
  <c r="Q1061" i="10"/>
  <c r="P1061" i="10"/>
  <c r="O1061" i="10"/>
  <c r="M1061" i="10"/>
  <c r="E1061" i="10"/>
  <c r="B1061" i="10"/>
  <c r="S1060" i="10"/>
  <c r="Q1060" i="10"/>
  <c r="P1060" i="10"/>
  <c r="O1060" i="10"/>
  <c r="M1060" i="10"/>
  <c r="B1060" i="10"/>
  <c r="S1059" i="10"/>
  <c r="Q1059" i="10"/>
  <c r="P1059" i="10"/>
  <c r="O1059" i="10"/>
  <c r="M1059" i="10"/>
  <c r="E1059" i="10"/>
  <c r="B1059" i="10"/>
  <c r="S1058" i="10"/>
  <c r="Q1058" i="10"/>
  <c r="P1058" i="10"/>
  <c r="O1058" i="10"/>
  <c r="M1058" i="10"/>
  <c r="E1058" i="10"/>
  <c r="B1058" i="10"/>
  <c r="S1057" i="10"/>
  <c r="Q1057" i="10"/>
  <c r="P1057" i="10"/>
  <c r="O1057" i="10"/>
  <c r="M1057" i="10"/>
  <c r="E1057" i="10"/>
  <c r="B1057" i="10"/>
  <c r="S1056" i="10"/>
  <c r="Q1056" i="10"/>
  <c r="P1056" i="10"/>
  <c r="O1056" i="10"/>
  <c r="M1056" i="10"/>
  <c r="E1056" i="10"/>
  <c r="B1056" i="10"/>
  <c r="S1055" i="10"/>
  <c r="Q1055" i="10"/>
  <c r="P1055" i="10"/>
  <c r="O1055" i="10"/>
  <c r="M1055" i="10"/>
  <c r="E1055" i="10"/>
  <c r="B1055" i="10"/>
  <c r="S1054" i="10"/>
  <c r="Q1054" i="10"/>
  <c r="P1054" i="10"/>
  <c r="O1054" i="10"/>
  <c r="M1054" i="10"/>
  <c r="E1054" i="10"/>
  <c r="B1054" i="10"/>
  <c r="S1053" i="10"/>
  <c r="Q1053" i="10"/>
  <c r="P1053" i="10"/>
  <c r="O1053" i="10"/>
  <c r="M1053" i="10"/>
  <c r="E1053" i="10"/>
  <c r="B1053" i="10"/>
  <c r="S1052" i="10"/>
  <c r="Q1052" i="10"/>
  <c r="P1052" i="10"/>
  <c r="O1052" i="10"/>
  <c r="M1052" i="10"/>
  <c r="E1052" i="10"/>
  <c r="B1052" i="10"/>
  <c r="S1051" i="10"/>
  <c r="Q1051" i="10"/>
  <c r="P1051" i="10"/>
  <c r="O1051" i="10"/>
  <c r="M1051" i="10"/>
  <c r="E1051" i="10"/>
  <c r="B1051" i="10"/>
  <c r="S1050" i="10"/>
  <c r="Q1050" i="10"/>
  <c r="P1050" i="10"/>
  <c r="O1050" i="10"/>
  <c r="M1050" i="10"/>
  <c r="E1050" i="10"/>
  <c r="B1050" i="10"/>
  <c r="S1049" i="10"/>
  <c r="Q1049" i="10"/>
  <c r="P1049" i="10"/>
  <c r="O1049" i="10"/>
  <c r="M1049" i="10"/>
  <c r="E1049" i="10"/>
  <c r="B1049" i="10"/>
  <c r="S1048" i="10"/>
  <c r="Q1048" i="10"/>
  <c r="P1048" i="10"/>
  <c r="O1048" i="10"/>
  <c r="M1048" i="10"/>
  <c r="E1048" i="10"/>
  <c r="B1048" i="10"/>
  <c r="S1047" i="10"/>
  <c r="Q1047" i="10"/>
  <c r="P1047" i="10"/>
  <c r="O1047" i="10"/>
  <c r="M1047" i="10"/>
  <c r="E1047" i="10"/>
  <c r="B1047" i="10"/>
  <c r="S1046" i="10"/>
  <c r="Q1046" i="10"/>
  <c r="P1046" i="10"/>
  <c r="O1046" i="10"/>
  <c r="M1046" i="10"/>
  <c r="E1046" i="10"/>
  <c r="B1046" i="10"/>
  <c r="S1045" i="10"/>
  <c r="Q1045" i="10"/>
  <c r="P1045" i="10"/>
  <c r="O1045" i="10"/>
  <c r="M1045" i="10"/>
  <c r="E1045" i="10"/>
  <c r="B1045" i="10"/>
  <c r="S1044" i="10"/>
  <c r="Q1044" i="10"/>
  <c r="P1044" i="10"/>
  <c r="O1044" i="10"/>
  <c r="M1044" i="10"/>
  <c r="E1044" i="10"/>
  <c r="B1044" i="10"/>
  <c r="S1043" i="10"/>
  <c r="Q1043" i="10"/>
  <c r="P1043" i="10"/>
  <c r="O1043" i="10"/>
  <c r="M1043" i="10"/>
  <c r="E1043" i="10"/>
  <c r="B1043" i="10"/>
  <c r="S1042" i="10"/>
  <c r="Q1042" i="10"/>
  <c r="P1042" i="10"/>
  <c r="O1042" i="10"/>
  <c r="M1042" i="10"/>
  <c r="E1042" i="10"/>
  <c r="B1042" i="10"/>
  <c r="S1041" i="10"/>
  <c r="Q1041" i="10"/>
  <c r="P1041" i="10"/>
  <c r="O1041" i="10"/>
  <c r="M1041" i="10"/>
  <c r="E1041" i="10"/>
  <c r="B1041" i="10"/>
  <c r="S1040" i="10"/>
  <c r="Q1040" i="10"/>
  <c r="P1040" i="10"/>
  <c r="O1040" i="10"/>
  <c r="M1040" i="10"/>
  <c r="E1040" i="10"/>
  <c r="B1040" i="10"/>
  <c r="S1039" i="10"/>
  <c r="Q1039" i="10"/>
  <c r="P1039" i="10"/>
  <c r="O1039" i="10"/>
  <c r="M1039" i="10"/>
  <c r="E1039" i="10"/>
  <c r="B1039" i="10"/>
  <c r="S1038" i="10"/>
  <c r="Q1038" i="10"/>
  <c r="P1038" i="10"/>
  <c r="O1038" i="10"/>
  <c r="M1038" i="10"/>
  <c r="E1038" i="10"/>
  <c r="B1038" i="10"/>
  <c r="S1037" i="10"/>
  <c r="Q1037" i="10"/>
  <c r="P1037" i="10"/>
  <c r="O1037" i="10"/>
  <c r="M1037" i="10"/>
  <c r="E1037" i="10"/>
  <c r="B1037" i="10"/>
  <c r="S1036" i="10"/>
  <c r="Q1036" i="10"/>
  <c r="P1036" i="10"/>
  <c r="O1036" i="10"/>
  <c r="M1036" i="10"/>
  <c r="E1036" i="10"/>
  <c r="B1036" i="10"/>
  <c r="S1035" i="10"/>
  <c r="Q1035" i="10"/>
  <c r="P1035" i="10"/>
  <c r="O1035" i="10"/>
  <c r="M1035" i="10"/>
  <c r="E1035" i="10"/>
  <c r="B1035" i="10"/>
  <c r="S1034" i="10"/>
  <c r="Q1034" i="10"/>
  <c r="P1034" i="10"/>
  <c r="O1034" i="10"/>
  <c r="M1034" i="10"/>
  <c r="E1034" i="10"/>
  <c r="B1034" i="10"/>
  <c r="S1033" i="10"/>
  <c r="Q1033" i="10"/>
  <c r="P1033" i="10"/>
  <c r="O1033" i="10"/>
  <c r="M1033" i="10"/>
  <c r="E1033" i="10"/>
  <c r="B1033" i="10"/>
  <c r="S1032" i="10"/>
  <c r="Q1032" i="10"/>
  <c r="P1032" i="10"/>
  <c r="O1032" i="10"/>
  <c r="M1032" i="10"/>
  <c r="E1032" i="10"/>
  <c r="B1032" i="10"/>
  <c r="S1031" i="10"/>
  <c r="Q1031" i="10"/>
  <c r="P1031" i="10"/>
  <c r="O1031" i="10"/>
  <c r="M1031" i="10"/>
  <c r="B1031" i="10"/>
  <c r="S1030" i="10"/>
  <c r="Q1030" i="10"/>
  <c r="P1030" i="10"/>
  <c r="O1030" i="10"/>
  <c r="M1030" i="10"/>
  <c r="B1030" i="10"/>
  <c r="S1029" i="10"/>
  <c r="Q1029" i="10"/>
  <c r="P1029" i="10"/>
  <c r="O1029" i="10"/>
  <c r="M1029" i="10"/>
  <c r="B1029" i="10"/>
  <c r="S1028" i="10"/>
  <c r="Q1028" i="10"/>
  <c r="P1028" i="10"/>
  <c r="O1028" i="10"/>
  <c r="M1028" i="10"/>
  <c r="E1028" i="10"/>
  <c r="B1028" i="10"/>
  <c r="S1027" i="10"/>
  <c r="Q1027" i="10"/>
  <c r="P1027" i="10"/>
  <c r="O1027" i="10"/>
  <c r="M1027" i="10"/>
  <c r="E1027" i="10"/>
  <c r="B1027" i="10"/>
  <c r="S1026" i="10"/>
  <c r="Q1026" i="10"/>
  <c r="P1026" i="10"/>
  <c r="O1026" i="10"/>
  <c r="M1026" i="10"/>
  <c r="E1026" i="10"/>
  <c r="B1026" i="10"/>
  <c r="S1025" i="10"/>
  <c r="Q1025" i="10"/>
  <c r="P1025" i="10"/>
  <c r="O1025" i="10"/>
  <c r="M1025" i="10"/>
  <c r="E1025" i="10"/>
  <c r="B1025" i="10"/>
  <c r="S1024" i="10"/>
  <c r="Q1024" i="10"/>
  <c r="P1024" i="10"/>
  <c r="O1024" i="10"/>
  <c r="M1024" i="10"/>
  <c r="E1024" i="10"/>
  <c r="B1024" i="10"/>
  <c r="S1023" i="10"/>
  <c r="Q1023" i="10"/>
  <c r="P1023" i="10"/>
  <c r="O1023" i="10"/>
  <c r="M1023" i="10"/>
  <c r="E1023" i="10"/>
  <c r="B1023" i="10"/>
  <c r="S1022" i="10"/>
  <c r="Q1022" i="10"/>
  <c r="P1022" i="10"/>
  <c r="O1022" i="10"/>
  <c r="M1022" i="10"/>
  <c r="E1022" i="10"/>
  <c r="B1022" i="10"/>
  <c r="S1021" i="10"/>
  <c r="Q1021" i="10"/>
  <c r="P1021" i="10"/>
  <c r="O1021" i="10"/>
  <c r="M1021" i="10"/>
  <c r="E1021" i="10"/>
  <c r="B1021" i="10"/>
  <c r="S1020" i="10"/>
  <c r="Q1020" i="10"/>
  <c r="P1020" i="10"/>
  <c r="O1020" i="10"/>
  <c r="M1020" i="10"/>
  <c r="E1020" i="10"/>
  <c r="B1020" i="10"/>
  <c r="S1019" i="10"/>
  <c r="Q1019" i="10"/>
  <c r="P1019" i="10"/>
  <c r="O1019" i="10"/>
  <c r="M1019" i="10"/>
  <c r="E1019" i="10"/>
  <c r="B1019" i="10"/>
  <c r="S1018" i="10"/>
  <c r="Q1018" i="10"/>
  <c r="P1018" i="10"/>
  <c r="O1018" i="10"/>
  <c r="M1018" i="10"/>
  <c r="E1018" i="10"/>
  <c r="B1018" i="10"/>
  <c r="S1017" i="10"/>
  <c r="Q1017" i="10"/>
  <c r="P1017" i="10"/>
  <c r="O1017" i="10"/>
  <c r="M1017" i="10"/>
  <c r="E1017" i="10"/>
  <c r="B1017" i="10"/>
  <c r="S1016" i="10"/>
  <c r="Q1016" i="10"/>
  <c r="P1016" i="10"/>
  <c r="O1016" i="10"/>
  <c r="M1016" i="10"/>
  <c r="E1016" i="10"/>
  <c r="B1016" i="10"/>
  <c r="S1015" i="10"/>
  <c r="Q1015" i="10"/>
  <c r="P1015" i="10"/>
  <c r="O1015" i="10"/>
  <c r="M1015" i="10"/>
  <c r="E1015" i="10"/>
  <c r="B1015" i="10"/>
  <c r="S1014" i="10"/>
  <c r="Q1014" i="10"/>
  <c r="P1014" i="10"/>
  <c r="O1014" i="10"/>
  <c r="M1014" i="10"/>
  <c r="E1014" i="10"/>
  <c r="B1014" i="10"/>
  <c r="S1013" i="10"/>
  <c r="Q1013" i="10"/>
  <c r="P1013" i="10"/>
  <c r="O1013" i="10"/>
  <c r="M1013" i="10"/>
  <c r="E1013" i="10"/>
  <c r="B1013" i="10"/>
  <c r="S1012" i="10"/>
  <c r="Q1012" i="10"/>
  <c r="P1012" i="10"/>
  <c r="O1012" i="10"/>
  <c r="M1012" i="10"/>
  <c r="E1012" i="10"/>
  <c r="B1012" i="10"/>
  <c r="S1011" i="10"/>
  <c r="Q1011" i="10"/>
  <c r="P1011" i="10"/>
  <c r="O1011" i="10"/>
  <c r="M1011" i="10"/>
  <c r="E1011" i="10"/>
  <c r="B1011" i="10"/>
  <c r="S1010" i="10"/>
  <c r="Q1010" i="10"/>
  <c r="P1010" i="10"/>
  <c r="O1010" i="10"/>
  <c r="M1010" i="10"/>
  <c r="B1010" i="10"/>
  <c r="S1009" i="10"/>
  <c r="Q1009" i="10"/>
  <c r="P1009" i="10"/>
  <c r="O1009" i="10"/>
  <c r="M1009" i="10"/>
  <c r="E1009" i="10"/>
  <c r="B1009" i="10"/>
  <c r="S1008" i="10"/>
  <c r="Q1008" i="10"/>
  <c r="P1008" i="10"/>
  <c r="O1008" i="10"/>
  <c r="M1008" i="10"/>
  <c r="E1008" i="10"/>
  <c r="B1008" i="10"/>
  <c r="S1007" i="10"/>
  <c r="Q1007" i="10"/>
  <c r="P1007" i="10"/>
  <c r="O1007" i="10"/>
  <c r="M1007" i="10"/>
  <c r="B1007" i="10"/>
  <c r="S1006" i="10"/>
  <c r="Q1006" i="10"/>
  <c r="P1006" i="10"/>
  <c r="O1006" i="10"/>
  <c r="M1006" i="10"/>
  <c r="E1006" i="10"/>
  <c r="B1006" i="10"/>
  <c r="S1005" i="10"/>
  <c r="Q1005" i="10"/>
  <c r="P1005" i="10"/>
  <c r="O1005" i="10"/>
  <c r="M1005" i="10"/>
  <c r="E1005" i="10"/>
  <c r="B1005" i="10"/>
  <c r="S1004" i="10"/>
  <c r="Q1004" i="10"/>
  <c r="P1004" i="10"/>
  <c r="O1004" i="10"/>
  <c r="M1004" i="10"/>
  <c r="E1004" i="10"/>
  <c r="B1004" i="10"/>
  <c r="S1003" i="10"/>
  <c r="Q1003" i="10"/>
  <c r="P1003" i="10"/>
  <c r="O1003" i="10"/>
  <c r="M1003" i="10"/>
  <c r="E1003" i="10"/>
  <c r="B1003" i="10"/>
  <c r="S1002" i="10"/>
  <c r="Q1002" i="10"/>
  <c r="P1002" i="10"/>
  <c r="O1002" i="10"/>
  <c r="M1002" i="10"/>
  <c r="E1002" i="10"/>
  <c r="B1002" i="10"/>
  <c r="S1001" i="10"/>
  <c r="Q1001" i="10"/>
  <c r="P1001" i="10"/>
  <c r="O1001" i="10"/>
  <c r="M1001" i="10"/>
  <c r="E1001" i="10"/>
  <c r="B1001" i="10"/>
  <c r="S1000" i="10"/>
  <c r="Q1000" i="10"/>
  <c r="P1000" i="10"/>
  <c r="O1000" i="10"/>
  <c r="M1000" i="10"/>
  <c r="E1000" i="10"/>
  <c r="B1000" i="10"/>
  <c r="S999" i="10"/>
  <c r="Q999" i="10"/>
  <c r="P999" i="10"/>
  <c r="O999" i="10"/>
  <c r="M999" i="10"/>
  <c r="E999" i="10"/>
  <c r="B999" i="10"/>
  <c r="S998" i="10"/>
  <c r="Q998" i="10"/>
  <c r="P998" i="10"/>
  <c r="O998" i="10"/>
  <c r="M998" i="10"/>
  <c r="B998" i="10"/>
  <c r="S997" i="10"/>
  <c r="Q997" i="10"/>
  <c r="P997" i="10"/>
  <c r="O997" i="10"/>
  <c r="M997" i="10"/>
  <c r="E997" i="10"/>
  <c r="B997" i="10"/>
  <c r="S996" i="10"/>
  <c r="Q996" i="10"/>
  <c r="P996" i="10"/>
  <c r="O996" i="10"/>
  <c r="M996" i="10"/>
  <c r="E996" i="10"/>
  <c r="B996" i="10"/>
  <c r="S995" i="10"/>
  <c r="Q995" i="10"/>
  <c r="P995" i="10"/>
  <c r="O995" i="10"/>
  <c r="M995" i="10"/>
  <c r="E995" i="10"/>
  <c r="B995" i="10"/>
  <c r="S994" i="10"/>
  <c r="Q994" i="10"/>
  <c r="P994" i="10"/>
  <c r="O994" i="10"/>
  <c r="M994" i="10"/>
  <c r="E994" i="10"/>
  <c r="B994" i="10"/>
  <c r="S993" i="10"/>
  <c r="Q993" i="10"/>
  <c r="P993" i="10"/>
  <c r="O993" i="10"/>
  <c r="M993" i="10"/>
  <c r="E993" i="10"/>
  <c r="B993" i="10"/>
  <c r="S992" i="10"/>
  <c r="Q992" i="10"/>
  <c r="P992" i="10"/>
  <c r="O992" i="10"/>
  <c r="M992" i="10"/>
  <c r="E992" i="10"/>
  <c r="B992" i="10"/>
  <c r="S991" i="10"/>
  <c r="Q991" i="10"/>
  <c r="P991" i="10"/>
  <c r="O991" i="10"/>
  <c r="M991" i="10"/>
  <c r="E991" i="10"/>
  <c r="B991" i="10"/>
  <c r="S990" i="10"/>
  <c r="Q990" i="10"/>
  <c r="P990" i="10"/>
  <c r="O990" i="10"/>
  <c r="M990" i="10"/>
  <c r="E990" i="10"/>
  <c r="B990" i="10"/>
  <c r="S989" i="10"/>
  <c r="Q989" i="10"/>
  <c r="P989" i="10"/>
  <c r="O989" i="10"/>
  <c r="M989" i="10"/>
  <c r="E989" i="10"/>
  <c r="B989" i="10"/>
  <c r="S988" i="10"/>
  <c r="Q988" i="10"/>
  <c r="P988" i="10"/>
  <c r="O988" i="10"/>
  <c r="M988" i="10"/>
  <c r="B988" i="10"/>
  <c r="S987" i="10"/>
  <c r="Q987" i="10"/>
  <c r="P987" i="10"/>
  <c r="O987" i="10"/>
  <c r="M987" i="10"/>
  <c r="E987" i="10"/>
  <c r="B987" i="10"/>
  <c r="S986" i="10"/>
  <c r="Q986" i="10"/>
  <c r="P986" i="10"/>
  <c r="O986" i="10"/>
  <c r="M986" i="10"/>
  <c r="E986" i="10"/>
  <c r="B986" i="10"/>
  <c r="S985" i="10"/>
  <c r="Q985" i="10"/>
  <c r="P985" i="10"/>
  <c r="O985" i="10"/>
  <c r="M985" i="10"/>
  <c r="E985" i="10"/>
  <c r="B985" i="10"/>
  <c r="S984" i="10"/>
  <c r="Q984" i="10"/>
  <c r="P984" i="10"/>
  <c r="O984" i="10"/>
  <c r="M984" i="10"/>
  <c r="E984" i="10"/>
  <c r="B984" i="10"/>
  <c r="S983" i="10"/>
  <c r="Q983" i="10"/>
  <c r="P983" i="10"/>
  <c r="O983" i="10"/>
  <c r="M983" i="10"/>
  <c r="B983" i="10"/>
  <c r="S982" i="10"/>
  <c r="Q982" i="10"/>
  <c r="P982" i="10"/>
  <c r="O982" i="10"/>
  <c r="M982" i="10"/>
  <c r="E982" i="10"/>
  <c r="B982" i="10"/>
  <c r="S981" i="10"/>
  <c r="Q981" i="10"/>
  <c r="P981" i="10"/>
  <c r="O981" i="10"/>
  <c r="M981" i="10"/>
  <c r="E981" i="10"/>
  <c r="B981" i="10"/>
  <c r="S980" i="10"/>
  <c r="Q980" i="10"/>
  <c r="P980" i="10"/>
  <c r="O980" i="10"/>
  <c r="M980" i="10"/>
  <c r="E980" i="10"/>
  <c r="B980" i="10"/>
  <c r="S979" i="10"/>
  <c r="Q979" i="10"/>
  <c r="P979" i="10"/>
  <c r="O979" i="10"/>
  <c r="M979" i="10"/>
  <c r="E979" i="10"/>
  <c r="B979" i="10"/>
  <c r="S978" i="10"/>
  <c r="Q978" i="10"/>
  <c r="P978" i="10"/>
  <c r="O978" i="10"/>
  <c r="M978" i="10"/>
  <c r="E978" i="10"/>
  <c r="B978" i="10"/>
  <c r="S977" i="10"/>
  <c r="Q977" i="10"/>
  <c r="P977" i="10"/>
  <c r="O977" i="10"/>
  <c r="M977" i="10"/>
  <c r="B977" i="10"/>
  <c r="S976" i="10"/>
  <c r="Q976" i="10"/>
  <c r="P976" i="10"/>
  <c r="O976" i="10"/>
  <c r="M976" i="10"/>
  <c r="E976" i="10"/>
  <c r="B976" i="10"/>
  <c r="S975" i="10"/>
  <c r="Q975" i="10"/>
  <c r="P975" i="10"/>
  <c r="O975" i="10"/>
  <c r="M975" i="10"/>
  <c r="E975" i="10"/>
  <c r="B975" i="10"/>
  <c r="S974" i="10"/>
  <c r="Q974" i="10"/>
  <c r="P974" i="10"/>
  <c r="O974" i="10"/>
  <c r="M974" i="10"/>
  <c r="E974" i="10"/>
  <c r="B974" i="10"/>
  <c r="S973" i="10"/>
  <c r="Q973" i="10"/>
  <c r="P973" i="10"/>
  <c r="O973" i="10"/>
  <c r="M973" i="10"/>
  <c r="E973" i="10"/>
  <c r="B973" i="10"/>
  <c r="S972" i="10"/>
  <c r="Q972" i="10"/>
  <c r="P972" i="10"/>
  <c r="O972" i="10"/>
  <c r="M972" i="10"/>
  <c r="E972" i="10"/>
  <c r="B972" i="10"/>
  <c r="S971" i="10"/>
  <c r="Q971" i="10"/>
  <c r="P971" i="10"/>
  <c r="O971" i="10"/>
  <c r="M971" i="10"/>
  <c r="E971" i="10"/>
  <c r="B971" i="10"/>
  <c r="S970" i="10"/>
  <c r="Q970" i="10"/>
  <c r="P970" i="10"/>
  <c r="O970" i="10"/>
  <c r="M970" i="10"/>
  <c r="E970" i="10"/>
  <c r="B970" i="10"/>
  <c r="S969" i="10"/>
  <c r="Q969" i="10"/>
  <c r="P969" i="10"/>
  <c r="O969" i="10"/>
  <c r="M969" i="10"/>
  <c r="E969" i="10"/>
  <c r="B969" i="10"/>
  <c r="S968" i="10"/>
  <c r="Q968" i="10"/>
  <c r="P968" i="10"/>
  <c r="O968" i="10"/>
  <c r="M968" i="10"/>
  <c r="E968" i="10"/>
  <c r="B968" i="10"/>
  <c r="S967" i="10"/>
  <c r="Q967" i="10"/>
  <c r="P967" i="10"/>
  <c r="O967" i="10"/>
  <c r="M967" i="10"/>
  <c r="B967" i="10"/>
  <c r="S966" i="10"/>
  <c r="Q966" i="10"/>
  <c r="P966" i="10"/>
  <c r="O966" i="10"/>
  <c r="M966" i="10"/>
  <c r="E966" i="10"/>
  <c r="B966" i="10"/>
  <c r="S965" i="10"/>
  <c r="Q965" i="10"/>
  <c r="P965" i="10"/>
  <c r="O965" i="10"/>
  <c r="M965" i="10"/>
  <c r="E965" i="10"/>
  <c r="B965" i="10"/>
  <c r="S964" i="10"/>
  <c r="Q964" i="10"/>
  <c r="P964" i="10"/>
  <c r="O964" i="10"/>
  <c r="M964" i="10"/>
  <c r="E964" i="10"/>
  <c r="B964" i="10"/>
  <c r="S963" i="10"/>
  <c r="Q963" i="10"/>
  <c r="P963" i="10"/>
  <c r="O963" i="10"/>
  <c r="M963" i="10"/>
  <c r="E963" i="10"/>
  <c r="B963" i="10"/>
  <c r="S962" i="10"/>
  <c r="Q962" i="10"/>
  <c r="P962" i="10"/>
  <c r="O962" i="10"/>
  <c r="M962" i="10"/>
  <c r="E962" i="10"/>
  <c r="B962" i="10"/>
  <c r="S961" i="10"/>
  <c r="Q961" i="10"/>
  <c r="P961" i="10"/>
  <c r="O961" i="10"/>
  <c r="M961" i="10"/>
  <c r="E961" i="10"/>
  <c r="B961" i="10"/>
  <c r="S960" i="10"/>
  <c r="Q960" i="10"/>
  <c r="P960" i="10"/>
  <c r="O960" i="10"/>
  <c r="M960" i="10"/>
  <c r="E960" i="10"/>
  <c r="B960" i="10"/>
  <c r="S959" i="10"/>
  <c r="Q959" i="10"/>
  <c r="P959" i="10"/>
  <c r="O959" i="10"/>
  <c r="M959" i="10"/>
  <c r="E959" i="10"/>
  <c r="B959" i="10"/>
  <c r="S958" i="10"/>
  <c r="Q958" i="10"/>
  <c r="P958" i="10"/>
  <c r="O958" i="10"/>
  <c r="M958" i="10"/>
  <c r="E958" i="10"/>
  <c r="B958" i="10"/>
  <c r="S957" i="10"/>
  <c r="Q957" i="10"/>
  <c r="P957" i="10"/>
  <c r="O957" i="10"/>
  <c r="M957" i="10"/>
  <c r="E957" i="10"/>
  <c r="B957" i="10"/>
  <c r="S956" i="10"/>
  <c r="Q956" i="10"/>
  <c r="P956" i="10"/>
  <c r="O956" i="10"/>
  <c r="M956" i="10"/>
  <c r="E956" i="10"/>
  <c r="B956" i="10"/>
  <c r="S955" i="10"/>
  <c r="Q955" i="10"/>
  <c r="P955" i="10"/>
  <c r="O955" i="10"/>
  <c r="M955" i="10"/>
  <c r="E955" i="10"/>
  <c r="B955" i="10"/>
  <c r="S954" i="10"/>
  <c r="Q954" i="10"/>
  <c r="P954" i="10"/>
  <c r="O954" i="10"/>
  <c r="M954" i="10"/>
  <c r="E954" i="10"/>
  <c r="B954" i="10"/>
  <c r="S953" i="10"/>
  <c r="Q953" i="10"/>
  <c r="P953" i="10"/>
  <c r="O953" i="10"/>
  <c r="M953" i="10"/>
  <c r="E953" i="10"/>
  <c r="B953" i="10"/>
  <c r="S952" i="10"/>
  <c r="Q952" i="10"/>
  <c r="P952" i="10"/>
  <c r="O952" i="10"/>
  <c r="M952" i="10"/>
  <c r="E952" i="10"/>
  <c r="B952" i="10"/>
  <c r="S951" i="10"/>
  <c r="Q951" i="10"/>
  <c r="P951" i="10"/>
  <c r="O951" i="10"/>
  <c r="M951" i="10"/>
  <c r="E951" i="10"/>
  <c r="B951" i="10"/>
  <c r="S950" i="10"/>
  <c r="Q950" i="10"/>
  <c r="P950" i="10"/>
  <c r="O950" i="10"/>
  <c r="M950" i="10"/>
  <c r="E950" i="10"/>
  <c r="B950" i="10"/>
  <c r="S949" i="10"/>
  <c r="Q949" i="10"/>
  <c r="P949" i="10"/>
  <c r="O949" i="10"/>
  <c r="M949" i="10"/>
  <c r="E949" i="10"/>
  <c r="B949" i="10"/>
  <c r="S948" i="10"/>
  <c r="Q948" i="10"/>
  <c r="P948" i="10"/>
  <c r="O948" i="10"/>
  <c r="M948" i="10"/>
  <c r="E948" i="10"/>
  <c r="B948" i="10"/>
  <c r="S947" i="10"/>
  <c r="Q947" i="10"/>
  <c r="P947" i="10"/>
  <c r="O947" i="10"/>
  <c r="M947" i="10"/>
  <c r="E947" i="10"/>
  <c r="B947" i="10"/>
  <c r="S946" i="10"/>
  <c r="Q946" i="10"/>
  <c r="P946" i="10"/>
  <c r="O946" i="10"/>
  <c r="M946" i="10"/>
  <c r="E946" i="10"/>
  <c r="B946" i="10"/>
  <c r="S945" i="10"/>
  <c r="Q945" i="10"/>
  <c r="P945" i="10"/>
  <c r="O945" i="10"/>
  <c r="M945" i="10"/>
  <c r="E945" i="10"/>
  <c r="B945" i="10"/>
  <c r="S944" i="10"/>
  <c r="Q944" i="10"/>
  <c r="P944" i="10"/>
  <c r="O944" i="10"/>
  <c r="M944" i="10"/>
  <c r="E944" i="10"/>
  <c r="B944" i="10"/>
  <c r="S943" i="10"/>
  <c r="Q943" i="10"/>
  <c r="P943" i="10"/>
  <c r="O943" i="10"/>
  <c r="M943" i="10"/>
  <c r="B943" i="10"/>
  <c r="S942" i="10"/>
  <c r="Q942" i="10"/>
  <c r="P942" i="10"/>
  <c r="O942" i="10"/>
  <c r="M942" i="10"/>
  <c r="E942" i="10"/>
  <c r="B942" i="10"/>
  <c r="S941" i="10"/>
  <c r="Q941" i="10"/>
  <c r="P941" i="10"/>
  <c r="O941" i="10"/>
  <c r="M941" i="10"/>
  <c r="E941" i="10"/>
  <c r="B941" i="10"/>
  <c r="S940" i="10"/>
  <c r="Q940" i="10"/>
  <c r="P940" i="10"/>
  <c r="O940" i="10"/>
  <c r="M940" i="10"/>
  <c r="E940" i="10"/>
  <c r="B940" i="10"/>
  <c r="S939" i="10"/>
  <c r="Q939" i="10"/>
  <c r="P939" i="10"/>
  <c r="O939" i="10"/>
  <c r="M939" i="10"/>
  <c r="E939" i="10"/>
  <c r="B939" i="10"/>
  <c r="S938" i="10"/>
  <c r="Q938" i="10"/>
  <c r="P938" i="10"/>
  <c r="O938" i="10"/>
  <c r="M938" i="10"/>
  <c r="E938" i="10"/>
  <c r="B938" i="10"/>
  <c r="S937" i="10"/>
  <c r="Q937" i="10"/>
  <c r="P937" i="10"/>
  <c r="O937" i="10"/>
  <c r="M937" i="10"/>
  <c r="E937" i="10"/>
  <c r="B937" i="10"/>
  <c r="S936" i="10"/>
  <c r="Q936" i="10"/>
  <c r="P936" i="10"/>
  <c r="O936" i="10"/>
  <c r="M936" i="10"/>
  <c r="B936" i="10"/>
  <c r="S935" i="10"/>
  <c r="Q935" i="10"/>
  <c r="P935" i="10"/>
  <c r="O935" i="10"/>
  <c r="M935" i="10"/>
  <c r="B935" i="10"/>
  <c r="S934" i="10"/>
  <c r="Q934" i="10"/>
  <c r="P934" i="10"/>
  <c r="O934" i="10"/>
  <c r="M934" i="10"/>
  <c r="E934" i="10"/>
  <c r="B934" i="10"/>
  <c r="S933" i="10"/>
  <c r="Q933" i="10"/>
  <c r="P933" i="10"/>
  <c r="O933" i="10"/>
  <c r="M933" i="10"/>
  <c r="E933" i="10"/>
  <c r="B933" i="10"/>
  <c r="S932" i="10"/>
  <c r="Q932" i="10"/>
  <c r="P932" i="10"/>
  <c r="O932" i="10"/>
  <c r="M932" i="10"/>
  <c r="E932" i="10"/>
  <c r="B932" i="10"/>
  <c r="S931" i="10"/>
  <c r="Q931" i="10"/>
  <c r="P931" i="10"/>
  <c r="O931" i="10"/>
  <c r="M931" i="10"/>
  <c r="B931" i="10"/>
  <c r="S930" i="10"/>
  <c r="Q930" i="10"/>
  <c r="P930" i="10"/>
  <c r="O930" i="10"/>
  <c r="M930" i="10"/>
  <c r="E930" i="10"/>
  <c r="B930" i="10"/>
  <c r="S929" i="10"/>
  <c r="Q929" i="10"/>
  <c r="P929" i="10"/>
  <c r="O929" i="10"/>
  <c r="M929" i="10"/>
  <c r="E929" i="10"/>
  <c r="B929" i="10"/>
  <c r="S928" i="10"/>
  <c r="Q928" i="10"/>
  <c r="P928" i="10"/>
  <c r="O928" i="10"/>
  <c r="M928" i="10"/>
  <c r="E928" i="10"/>
  <c r="B928" i="10"/>
  <c r="S927" i="10"/>
  <c r="Q927" i="10"/>
  <c r="P927" i="10"/>
  <c r="O927" i="10"/>
  <c r="M927" i="10"/>
  <c r="E927" i="10"/>
  <c r="B927" i="10"/>
  <c r="S926" i="10"/>
  <c r="Q926" i="10"/>
  <c r="P926" i="10"/>
  <c r="O926" i="10"/>
  <c r="M926" i="10"/>
  <c r="E926" i="10"/>
  <c r="B926" i="10"/>
  <c r="S925" i="10"/>
  <c r="Q925" i="10"/>
  <c r="P925" i="10"/>
  <c r="O925" i="10"/>
  <c r="M925" i="10"/>
  <c r="E925" i="10"/>
  <c r="B925" i="10"/>
  <c r="S924" i="10"/>
  <c r="Q924" i="10"/>
  <c r="P924" i="10"/>
  <c r="O924" i="10"/>
  <c r="M924" i="10"/>
  <c r="E924" i="10"/>
  <c r="B924" i="10"/>
  <c r="S923" i="10"/>
  <c r="Q923" i="10"/>
  <c r="P923" i="10"/>
  <c r="O923" i="10"/>
  <c r="M923" i="10"/>
  <c r="E923" i="10"/>
  <c r="B923" i="10"/>
  <c r="S922" i="10"/>
  <c r="Q922" i="10"/>
  <c r="P922" i="10"/>
  <c r="O922" i="10"/>
  <c r="M922" i="10"/>
  <c r="E922" i="10"/>
  <c r="B922" i="10"/>
  <c r="S921" i="10"/>
  <c r="Q921" i="10"/>
  <c r="P921" i="10"/>
  <c r="O921" i="10"/>
  <c r="M921" i="10"/>
  <c r="E921" i="10"/>
  <c r="B921" i="10"/>
  <c r="S920" i="10"/>
  <c r="Q920" i="10"/>
  <c r="P920" i="10"/>
  <c r="O920" i="10"/>
  <c r="M920" i="10"/>
  <c r="E920" i="10"/>
  <c r="B920" i="10"/>
  <c r="S919" i="10"/>
  <c r="Q919" i="10"/>
  <c r="P919" i="10"/>
  <c r="O919" i="10"/>
  <c r="M919" i="10"/>
  <c r="E919" i="10"/>
  <c r="B919" i="10"/>
  <c r="S918" i="10"/>
  <c r="Q918" i="10"/>
  <c r="P918" i="10"/>
  <c r="O918" i="10"/>
  <c r="M918" i="10"/>
  <c r="E918" i="10"/>
  <c r="B918" i="10"/>
  <c r="S917" i="10"/>
  <c r="Q917" i="10"/>
  <c r="P917" i="10"/>
  <c r="O917" i="10"/>
  <c r="M917" i="10"/>
  <c r="E917" i="10"/>
  <c r="B917" i="10"/>
  <c r="S916" i="10"/>
  <c r="Q916" i="10"/>
  <c r="P916" i="10"/>
  <c r="O916" i="10"/>
  <c r="M916" i="10"/>
  <c r="E916" i="10"/>
  <c r="B916" i="10"/>
  <c r="S915" i="10"/>
  <c r="Q915" i="10"/>
  <c r="P915" i="10"/>
  <c r="O915" i="10"/>
  <c r="M915" i="10"/>
  <c r="E915" i="10"/>
  <c r="B915" i="10"/>
  <c r="S914" i="10"/>
  <c r="Q914" i="10"/>
  <c r="P914" i="10"/>
  <c r="O914" i="10"/>
  <c r="M914" i="10"/>
  <c r="E914" i="10"/>
  <c r="B914" i="10"/>
  <c r="S913" i="10"/>
  <c r="Q913" i="10"/>
  <c r="P913" i="10"/>
  <c r="O913" i="10"/>
  <c r="M913" i="10"/>
  <c r="E913" i="10"/>
  <c r="B913" i="10"/>
  <c r="S912" i="10"/>
  <c r="Q912" i="10"/>
  <c r="P912" i="10"/>
  <c r="O912" i="10"/>
  <c r="M912" i="10"/>
  <c r="E912" i="10"/>
  <c r="B912" i="10"/>
  <c r="S911" i="10"/>
  <c r="Q911" i="10"/>
  <c r="P911" i="10"/>
  <c r="O911" i="10"/>
  <c r="M911" i="10"/>
  <c r="E911" i="10"/>
  <c r="B911" i="10"/>
  <c r="S910" i="10"/>
  <c r="Q910" i="10"/>
  <c r="P910" i="10"/>
  <c r="O910" i="10"/>
  <c r="M910" i="10"/>
  <c r="E910" i="10"/>
  <c r="B910" i="10"/>
  <c r="S909" i="10"/>
  <c r="Q909" i="10"/>
  <c r="P909" i="10"/>
  <c r="O909" i="10"/>
  <c r="M909" i="10"/>
  <c r="E909" i="10"/>
  <c r="B909" i="10"/>
  <c r="S908" i="10"/>
  <c r="Q908" i="10"/>
  <c r="P908" i="10"/>
  <c r="O908" i="10"/>
  <c r="M908" i="10"/>
  <c r="E908" i="10"/>
  <c r="B908" i="10"/>
  <c r="S907" i="10"/>
  <c r="Q907" i="10"/>
  <c r="P907" i="10"/>
  <c r="O907" i="10"/>
  <c r="M907" i="10"/>
  <c r="E907" i="10"/>
  <c r="B907" i="10"/>
  <c r="S906" i="10"/>
  <c r="Q906" i="10"/>
  <c r="P906" i="10"/>
  <c r="O906" i="10"/>
  <c r="M906" i="10"/>
  <c r="E906" i="10"/>
  <c r="B906" i="10"/>
  <c r="S905" i="10"/>
  <c r="Q905" i="10"/>
  <c r="P905" i="10"/>
  <c r="O905" i="10"/>
  <c r="M905" i="10"/>
  <c r="E905" i="10"/>
  <c r="B905" i="10"/>
  <c r="S904" i="10"/>
  <c r="Q904" i="10"/>
  <c r="P904" i="10"/>
  <c r="O904" i="10"/>
  <c r="M904" i="10"/>
  <c r="E904" i="10"/>
  <c r="B904" i="10"/>
  <c r="S903" i="10"/>
  <c r="Q903" i="10"/>
  <c r="P903" i="10"/>
  <c r="O903" i="10"/>
  <c r="M903" i="10"/>
  <c r="B903" i="10"/>
  <c r="S902" i="10"/>
  <c r="Q902" i="10"/>
  <c r="P902" i="10"/>
  <c r="O902" i="10"/>
  <c r="M902" i="10"/>
  <c r="E902" i="10"/>
  <c r="B902" i="10"/>
  <c r="S901" i="10"/>
  <c r="Q901" i="10"/>
  <c r="P901" i="10"/>
  <c r="O901" i="10"/>
  <c r="M901" i="10"/>
  <c r="E901" i="10"/>
  <c r="B901" i="10"/>
  <c r="S900" i="10"/>
  <c r="Q900" i="10"/>
  <c r="P900" i="10"/>
  <c r="O900" i="10"/>
  <c r="M900" i="10"/>
  <c r="E900" i="10"/>
  <c r="B900" i="10"/>
  <c r="S899" i="10"/>
  <c r="Q899" i="10"/>
  <c r="P899" i="10"/>
  <c r="O899" i="10"/>
  <c r="M899" i="10"/>
  <c r="E899" i="10"/>
  <c r="B899" i="10"/>
  <c r="S898" i="10"/>
  <c r="Q898" i="10"/>
  <c r="P898" i="10"/>
  <c r="O898" i="10"/>
  <c r="M898" i="10"/>
  <c r="E898" i="10"/>
  <c r="B898" i="10"/>
  <c r="S897" i="10"/>
  <c r="Q897" i="10"/>
  <c r="P897" i="10"/>
  <c r="O897" i="10"/>
  <c r="M897" i="10"/>
  <c r="E897" i="10"/>
  <c r="B897" i="10"/>
  <c r="S896" i="10"/>
  <c r="Q896" i="10"/>
  <c r="P896" i="10"/>
  <c r="O896" i="10"/>
  <c r="M896" i="10"/>
  <c r="B896" i="10"/>
  <c r="S895" i="10"/>
  <c r="Q895" i="10"/>
  <c r="P895" i="10"/>
  <c r="O895" i="10"/>
  <c r="M895" i="10"/>
  <c r="B895" i="10"/>
  <c r="S894" i="10"/>
  <c r="Q894" i="10"/>
  <c r="P894" i="10"/>
  <c r="O894" i="10"/>
  <c r="M894" i="10"/>
  <c r="E894" i="10"/>
  <c r="B894" i="10"/>
  <c r="S893" i="10"/>
  <c r="Q893" i="10"/>
  <c r="P893" i="10"/>
  <c r="O893" i="10"/>
  <c r="M893" i="10"/>
  <c r="E893" i="10"/>
  <c r="B893" i="10"/>
  <c r="S892" i="10"/>
  <c r="Q892" i="10"/>
  <c r="P892" i="10"/>
  <c r="O892" i="10"/>
  <c r="M892" i="10"/>
  <c r="E892" i="10"/>
  <c r="B892" i="10"/>
  <c r="S891" i="10"/>
  <c r="Q891" i="10"/>
  <c r="P891" i="10"/>
  <c r="O891" i="10"/>
  <c r="M891" i="10"/>
  <c r="E891" i="10"/>
  <c r="B891" i="10"/>
  <c r="S890" i="10"/>
  <c r="Q890" i="10"/>
  <c r="P890" i="10"/>
  <c r="O890" i="10"/>
  <c r="M890" i="10"/>
  <c r="E890" i="10"/>
  <c r="B890" i="10"/>
  <c r="S889" i="10"/>
  <c r="Q889" i="10"/>
  <c r="P889" i="10"/>
  <c r="O889" i="10"/>
  <c r="M889" i="10"/>
  <c r="E889" i="10"/>
  <c r="B889" i="10"/>
  <c r="S888" i="10"/>
  <c r="Q888" i="10"/>
  <c r="P888" i="10"/>
  <c r="O888" i="10"/>
  <c r="M888" i="10"/>
  <c r="E888" i="10"/>
  <c r="B888" i="10"/>
  <c r="S887" i="10"/>
  <c r="Q887" i="10"/>
  <c r="P887" i="10"/>
  <c r="O887" i="10"/>
  <c r="M887" i="10"/>
  <c r="E887" i="10"/>
  <c r="B887" i="10"/>
  <c r="S886" i="10"/>
  <c r="Q886" i="10"/>
  <c r="P886" i="10"/>
  <c r="O886" i="10"/>
  <c r="M886" i="10"/>
  <c r="E886" i="10"/>
  <c r="B886" i="10"/>
  <c r="S885" i="10"/>
  <c r="Q885" i="10"/>
  <c r="P885" i="10"/>
  <c r="O885" i="10"/>
  <c r="M885" i="10"/>
  <c r="B885" i="10"/>
  <c r="S884" i="10"/>
  <c r="Q884" i="10"/>
  <c r="P884" i="10"/>
  <c r="O884" i="10"/>
  <c r="M884" i="10"/>
  <c r="E884" i="10"/>
  <c r="B884" i="10"/>
  <c r="S883" i="10"/>
  <c r="Q883" i="10"/>
  <c r="P883" i="10"/>
  <c r="O883" i="10"/>
  <c r="M883" i="10"/>
  <c r="E883" i="10"/>
  <c r="B883" i="10"/>
  <c r="S882" i="10"/>
  <c r="Q882" i="10"/>
  <c r="P882" i="10"/>
  <c r="O882" i="10"/>
  <c r="M882" i="10"/>
  <c r="E882" i="10"/>
  <c r="B882" i="10"/>
  <c r="S881" i="10"/>
  <c r="Q881" i="10"/>
  <c r="P881" i="10"/>
  <c r="O881" i="10"/>
  <c r="M881" i="10"/>
  <c r="E881" i="10"/>
  <c r="B881" i="10"/>
  <c r="S880" i="10"/>
  <c r="Q880" i="10"/>
  <c r="P880" i="10"/>
  <c r="O880" i="10"/>
  <c r="M880" i="10"/>
  <c r="E880" i="10"/>
  <c r="B880" i="10"/>
  <c r="S879" i="10"/>
  <c r="Q879" i="10"/>
  <c r="P879" i="10"/>
  <c r="O879" i="10"/>
  <c r="M879" i="10"/>
  <c r="B879" i="10"/>
  <c r="S878" i="10"/>
  <c r="Q878" i="10"/>
  <c r="P878" i="10"/>
  <c r="O878" i="10"/>
  <c r="M878" i="10"/>
  <c r="E878" i="10"/>
  <c r="B878" i="10"/>
  <c r="S877" i="10"/>
  <c r="Q877" i="10"/>
  <c r="P877" i="10"/>
  <c r="O877" i="10"/>
  <c r="M877" i="10"/>
  <c r="B877" i="10"/>
  <c r="S876" i="10"/>
  <c r="Q876" i="10"/>
  <c r="P876" i="10"/>
  <c r="O876" i="10"/>
  <c r="M876" i="10"/>
  <c r="E876" i="10"/>
  <c r="B876" i="10"/>
  <c r="S875" i="10"/>
  <c r="Q875" i="10"/>
  <c r="P875" i="10"/>
  <c r="O875" i="10"/>
  <c r="M875" i="10"/>
  <c r="E875" i="10"/>
  <c r="B875" i="10"/>
  <c r="S874" i="10"/>
  <c r="Q874" i="10"/>
  <c r="P874" i="10"/>
  <c r="O874" i="10"/>
  <c r="M874" i="10"/>
  <c r="E874" i="10"/>
  <c r="B874" i="10"/>
  <c r="S873" i="10"/>
  <c r="Q873" i="10"/>
  <c r="P873" i="10"/>
  <c r="O873" i="10"/>
  <c r="M873" i="10"/>
  <c r="E873" i="10"/>
  <c r="B873" i="10"/>
  <c r="S872" i="10"/>
  <c r="Q872" i="10"/>
  <c r="P872" i="10"/>
  <c r="O872" i="10"/>
  <c r="M872" i="10"/>
  <c r="B872" i="10"/>
  <c r="S871" i="10"/>
  <c r="Q871" i="10"/>
  <c r="P871" i="10"/>
  <c r="O871" i="10"/>
  <c r="M871" i="10"/>
  <c r="B871" i="10"/>
  <c r="S870" i="10"/>
  <c r="Q870" i="10"/>
  <c r="P870" i="10"/>
  <c r="O870" i="10"/>
  <c r="M870" i="10"/>
  <c r="B870" i="10"/>
  <c r="S869" i="10"/>
  <c r="Q869" i="10"/>
  <c r="P869" i="10"/>
  <c r="O869" i="10"/>
  <c r="M869" i="10"/>
  <c r="B869" i="10"/>
  <c r="S868" i="10"/>
  <c r="Q868" i="10"/>
  <c r="P868" i="10"/>
  <c r="O868" i="10"/>
  <c r="M868" i="10"/>
  <c r="E868" i="10"/>
  <c r="B868" i="10"/>
  <c r="S867" i="10"/>
  <c r="Q867" i="10"/>
  <c r="P867" i="10"/>
  <c r="O867" i="10"/>
  <c r="M867" i="10"/>
  <c r="B867" i="10"/>
  <c r="S866" i="10"/>
  <c r="Q866" i="10"/>
  <c r="P866" i="10"/>
  <c r="O866" i="10"/>
  <c r="M866" i="10"/>
  <c r="E866" i="10"/>
  <c r="B866" i="10"/>
  <c r="S865" i="10"/>
  <c r="Q865" i="10"/>
  <c r="P865" i="10"/>
  <c r="O865" i="10"/>
  <c r="M865" i="10"/>
  <c r="E865" i="10"/>
  <c r="B865" i="10"/>
  <c r="S864" i="10"/>
  <c r="Q864" i="10"/>
  <c r="P864" i="10"/>
  <c r="O864" i="10"/>
  <c r="M864" i="10"/>
  <c r="B864" i="10"/>
  <c r="S863" i="10"/>
  <c r="Q863" i="10"/>
  <c r="P863" i="10"/>
  <c r="O863" i="10"/>
  <c r="M863" i="10"/>
  <c r="E863" i="10"/>
  <c r="B863" i="10"/>
  <c r="S862" i="10"/>
  <c r="Q862" i="10"/>
  <c r="P862" i="10"/>
  <c r="O862" i="10"/>
  <c r="M862" i="10"/>
  <c r="E862" i="10"/>
  <c r="B862" i="10"/>
  <c r="S861" i="10"/>
  <c r="Q861" i="10"/>
  <c r="P861" i="10"/>
  <c r="O861" i="10"/>
  <c r="M861" i="10"/>
  <c r="E861" i="10"/>
  <c r="B861" i="10"/>
  <c r="S860" i="10"/>
  <c r="Q860" i="10"/>
  <c r="P860" i="10"/>
  <c r="O860" i="10"/>
  <c r="M860" i="10"/>
  <c r="E860" i="10"/>
  <c r="B860" i="10"/>
  <c r="S859" i="10"/>
  <c r="Q859" i="10"/>
  <c r="P859" i="10"/>
  <c r="O859" i="10"/>
  <c r="M859" i="10"/>
  <c r="E859" i="10"/>
  <c r="B859" i="10"/>
  <c r="S858" i="10"/>
  <c r="Q858" i="10"/>
  <c r="P858" i="10"/>
  <c r="O858" i="10"/>
  <c r="M858" i="10"/>
  <c r="B858" i="10"/>
  <c r="S857" i="10"/>
  <c r="Q857" i="10"/>
  <c r="P857" i="10"/>
  <c r="O857" i="10"/>
  <c r="M857" i="10"/>
  <c r="E857" i="10"/>
  <c r="B857" i="10"/>
  <c r="S856" i="10"/>
  <c r="Q856" i="10"/>
  <c r="P856" i="10"/>
  <c r="O856" i="10"/>
  <c r="M856" i="10"/>
  <c r="E856" i="10"/>
  <c r="B856" i="10"/>
  <c r="S855" i="10"/>
  <c r="Q855" i="10"/>
  <c r="P855" i="10"/>
  <c r="O855" i="10"/>
  <c r="M855" i="10"/>
  <c r="E855" i="10"/>
  <c r="B855" i="10"/>
  <c r="S854" i="10"/>
  <c r="Q854" i="10"/>
  <c r="P854" i="10"/>
  <c r="O854" i="10"/>
  <c r="M854" i="10"/>
  <c r="E854" i="10"/>
  <c r="B854" i="10"/>
  <c r="S853" i="10"/>
  <c r="Q853" i="10"/>
  <c r="P853" i="10"/>
  <c r="O853" i="10"/>
  <c r="M853" i="10"/>
  <c r="E853" i="10"/>
  <c r="B853" i="10"/>
  <c r="S852" i="10"/>
  <c r="Q852" i="10"/>
  <c r="P852" i="10"/>
  <c r="O852" i="10"/>
  <c r="M852" i="10"/>
  <c r="E852" i="10"/>
  <c r="B852" i="10"/>
  <c r="S851" i="10"/>
  <c r="Q851" i="10"/>
  <c r="P851" i="10"/>
  <c r="O851" i="10"/>
  <c r="M851" i="10"/>
  <c r="E851" i="10"/>
  <c r="B851" i="10"/>
  <c r="S850" i="10"/>
  <c r="Q850" i="10"/>
  <c r="P850" i="10"/>
  <c r="O850" i="10"/>
  <c r="M850" i="10"/>
  <c r="E850" i="10"/>
  <c r="B850" i="10"/>
  <c r="S849" i="10"/>
  <c r="Q849" i="10"/>
  <c r="P849" i="10"/>
  <c r="O849" i="10"/>
  <c r="M849" i="10"/>
  <c r="E849" i="10"/>
  <c r="B849" i="10"/>
  <c r="S848" i="10"/>
  <c r="Q848" i="10"/>
  <c r="P848" i="10"/>
  <c r="O848" i="10"/>
  <c r="M848" i="10"/>
  <c r="B848" i="10"/>
  <c r="S847" i="10"/>
  <c r="Q847" i="10"/>
  <c r="P847" i="10"/>
  <c r="O847" i="10"/>
  <c r="M847" i="10"/>
  <c r="E847" i="10"/>
  <c r="B847" i="10"/>
  <c r="S846" i="10"/>
  <c r="Q846" i="10"/>
  <c r="P846" i="10"/>
  <c r="O846" i="10"/>
  <c r="M846" i="10"/>
  <c r="E846" i="10"/>
  <c r="B846" i="10"/>
  <c r="S845" i="10"/>
  <c r="Q845" i="10"/>
  <c r="P845" i="10"/>
  <c r="O845" i="10"/>
  <c r="M845" i="10"/>
  <c r="E845" i="10"/>
  <c r="B845" i="10"/>
  <c r="S844" i="10"/>
  <c r="Q844" i="10"/>
  <c r="P844" i="10"/>
  <c r="O844" i="10"/>
  <c r="M844" i="10"/>
  <c r="E844" i="10"/>
  <c r="B844" i="10"/>
  <c r="S843" i="10"/>
  <c r="Q843" i="10"/>
  <c r="P843" i="10"/>
  <c r="O843" i="10"/>
  <c r="M843" i="10"/>
  <c r="B843" i="10"/>
  <c r="S842" i="10"/>
  <c r="Q842" i="10"/>
  <c r="P842" i="10"/>
  <c r="O842" i="10"/>
  <c r="M842" i="10"/>
  <c r="E842" i="10"/>
  <c r="B842" i="10"/>
  <c r="S841" i="10"/>
  <c r="Q841" i="10"/>
  <c r="P841" i="10"/>
  <c r="O841" i="10"/>
  <c r="M841" i="10"/>
  <c r="E841" i="10"/>
  <c r="B841" i="10"/>
  <c r="S840" i="10"/>
  <c r="Q840" i="10"/>
  <c r="P840" i="10"/>
  <c r="O840" i="10"/>
  <c r="M840" i="10"/>
  <c r="E840" i="10"/>
  <c r="B840" i="10"/>
  <c r="S839" i="10"/>
  <c r="Q839" i="10"/>
  <c r="P839" i="10"/>
  <c r="O839" i="10"/>
  <c r="M839" i="10"/>
  <c r="E839" i="10"/>
  <c r="B839" i="10"/>
  <c r="S838" i="10"/>
  <c r="Q838" i="10"/>
  <c r="P838" i="10"/>
  <c r="O838" i="10"/>
  <c r="M838" i="10"/>
  <c r="E838" i="10"/>
  <c r="B838" i="10"/>
  <c r="S837" i="10"/>
  <c r="Q837" i="10"/>
  <c r="P837" i="10"/>
  <c r="O837" i="10"/>
  <c r="M837" i="10"/>
  <c r="E837" i="10"/>
  <c r="B837" i="10"/>
  <c r="S836" i="10"/>
  <c r="Q836" i="10"/>
  <c r="P836" i="10"/>
  <c r="O836" i="10"/>
  <c r="M836" i="10"/>
  <c r="E836" i="10"/>
  <c r="B836" i="10"/>
  <c r="S835" i="10"/>
  <c r="Q835" i="10"/>
  <c r="P835" i="10"/>
  <c r="O835" i="10"/>
  <c r="M835" i="10"/>
  <c r="E835" i="10"/>
  <c r="B835" i="10"/>
  <c r="S834" i="10"/>
  <c r="Q834" i="10"/>
  <c r="P834" i="10"/>
  <c r="O834" i="10"/>
  <c r="M834" i="10"/>
  <c r="E834" i="10"/>
  <c r="B834" i="10"/>
  <c r="S833" i="10"/>
  <c r="Q833" i="10"/>
  <c r="P833" i="10"/>
  <c r="O833" i="10"/>
  <c r="M833" i="10"/>
  <c r="E833" i="10"/>
  <c r="B833" i="10"/>
  <c r="S832" i="10"/>
  <c r="Q832" i="10"/>
  <c r="P832" i="10"/>
  <c r="O832" i="10"/>
  <c r="M832" i="10"/>
  <c r="E832" i="10"/>
  <c r="B832" i="10"/>
  <c r="S831" i="10"/>
  <c r="Q831" i="10"/>
  <c r="P831" i="10"/>
  <c r="O831" i="10"/>
  <c r="M831" i="10"/>
  <c r="B831" i="10"/>
  <c r="S830" i="10"/>
  <c r="Q830" i="10"/>
  <c r="P830" i="10"/>
  <c r="O830" i="10"/>
  <c r="M830" i="10"/>
  <c r="E830" i="10"/>
  <c r="B830" i="10"/>
  <c r="S829" i="10"/>
  <c r="Q829" i="10"/>
  <c r="P829" i="10"/>
  <c r="O829" i="10"/>
  <c r="M829" i="10"/>
  <c r="E829" i="10"/>
  <c r="B829" i="10"/>
  <c r="S828" i="10"/>
  <c r="Q828" i="10"/>
  <c r="P828" i="10"/>
  <c r="O828" i="10"/>
  <c r="M828" i="10"/>
  <c r="E828" i="10"/>
  <c r="B828" i="10"/>
  <c r="S827" i="10"/>
  <c r="Q827" i="10"/>
  <c r="P827" i="10"/>
  <c r="O827" i="10"/>
  <c r="M827" i="10"/>
  <c r="E827" i="10"/>
  <c r="B827" i="10"/>
  <c r="S826" i="10"/>
  <c r="Q826" i="10"/>
  <c r="P826" i="10"/>
  <c r="O826" i="10"/>
  <c r="M826" i="10"/>
  <c r="E826" i="10"/>
  <c r="B826" i="10"/>
  <c r="S825" i="10"/>
  <c r="Q825" i="10"/>
  <c r="P825" i="10"/>
  <c r="O825" i="10"/>
  <c r="M825" i="10"/>
  <c r="B825" i="10"/>
  <c r="S824" i="10"/>
  <c r="Q824" i="10"/>
  <c r="P824" i="10"/>
  <c r="O824" i="10"/>
  <c r="M824" i="10"/>
  <c r="B824" i="10"/>
  <c r="S823" i="10"/>
  <c r="Q823" i="10"/>
  <c r="P823" i="10"/>
  <c r="O823" i="10"/>
  <c r="M823" i="10"/>
  <c r="E823" i="10"/>
  <c r="B823" i="10"/>
  <c r="S822" i="10"/>
  <c r="Q822" i="10"/>
  <c r="P822" i="10"/>
  <c r="O822" i="10"/>
  <c r="M822" i="10"/>
  <c r="E822" i="10"/>
  <c r="B822" i="10"/>
  <c r="S821" i="10"/>
  <c r="Q821" i="10"/>
  <c r="P821" i="10"/>
  <c r="O821" i="10"/>
  <c r="M821" i="10"/>
  <c r="E821" i="10"/>
  <c r="B821" i="10"/>
  <c r="S820" i="10"/>
  <c r="Q820" i="10"/>
  <c r="P820" i="10"/>
  <c r="O820" i="10"/>
  <c r="M820" i="10"/>
  <c r="B820" i="10"/>
  <c r="S819" i="10"/>
  <c r="Q819" i="10"/>
  <c r="P819" i="10"/>
  <c r="O819" i="10"/>
  <c r="M819" i="10"/>
  <c r="B819" i="10"/>
  <c r="S818" i="10"/>
  <c r="Q818" i="10"/>
  <c r="P818" i="10"/>
  <c r="O818" i="10"/>
  <c r="M818" i="10"/>
  <c r="E818" i="10"/>
  <c r="B818" i="10"/>
  <c r="S817" i="10"/>
  <c r="Q817" i="10"/>
  <c r="P817" i="10"/>
  <c r="O817" i="10"/>
  <c r="M817" i="10"/>
  <c r="E817" i="10"/>
  <c r="B817" i="10"/>
  <c r="S816" i="10"/>
  <c r="Q816" i="10"/>
  <c r="P816" i="10"/>
  <c r="O816" i="10"/>
  <c r="M816" i="10"/>
  <c r="E816" i="10"/>
  <c r="B816" i="10"/>
  <c r="S815" i="10"/>
  <c r="Q815" i="10"/>
  <c r="P815" i="10"/>
  <c r="O815" i="10"/>
  <c r="M815" i="10"/>
  <c r="E815" i="10"/>
  <c r="B815" i="10"/>
  <c r="S814" i="10"/>
  <c r="Q814" i="10"/>
  <c r="P814" i="10"/>
  <c r="O814" i="10"/>
  <c r="M814" i="10"/>
  <c r="E814" i="10"/>
  <c r="B814" i="10"/>
  <c r="S813" i="10"/>
  <c r="Q813" i="10"/>
  <c r="P813" i="10"/>
  <c r="O813" i="10"/>
  <c r="M813" i="10"/>
  <c r="B813" i="10"/>
  <c r="S812" i="10"/>
  <c r="Q812" i="10"/>
  <c r="P812" i="10"/>
  <c r="O812" i="10"/>
  <c r="M812" i="10"/>
  <c r="E812" i="10"/>
  <c r="B812" i="10"/>
  <c r="S811" i="10"/>
  <c r="Q811" i="10"/>
  <c r="P811" i="10"/>
  <c r="O811" i="10"/>
  <c r="M811" i="10"/>
  <c r="E811" i="10"/>
  <c r="B811" i="10"/>
  <c r="S810" i="10"/>
  <c r="Q810" i="10"/>
  <c r="P810" i="10"/>
  <c r="O810" i="10"/>
  <c r="M810" i="10"/>
  <c r="E810" i="10"/>
  <c r="B810" i="10"/>
  <c r="S809" i="10"/>
  <c r="Q809" i="10"/>
  <c r="P809" i="10"/>
  <c r="O809" i="10"/>
  <c r="M809" i="10"/>
  <c r="E809" i="10"/>
  <c r="B809" i="10"/>
  <c r="S808" i="10"/>
  <c r="Q808" i="10"/>
  <c r="P808" i="10"/>
  <c r="O808" i="10"/>
  <c r="M808" i="10"/>
  <c r="B808" i="10"/>
  <c r="S807" i="10"/>
  <c r="Q807" i="10"/>
  <c r="P807" i="10"/>
  <c r="O807" i="10"/>
  <c r="M807" i="10"/>
  <c r="E807" i="10"/>
  <c r="B807" i="10"/>
  <c r="S806" i="10"/>
  <c r="Q806" i="10"/>
  <c r="P806" i="10"/>
  <c r="O806" i="10"/>
  <c r="M806" i="10"/>
  <c r="E806" i="10"/>
  <c r="B806" i="10"/>
  <c r="S805" i="10"/>
  <c r="Q805" i="10"/>
  <c r="P805" i="10"/>
  <c r="O805" i="10"/>
  <c r="M805" i="10"/>
  <c r="E805" i="10"/>
  <c r="B805" i="10"/>
  <c r="S804" i="10"/>
  <c r="Q804" i="10"/>
  <c r="P804" i="10"/>
  <c r="O804" i="10"/>
  <c r="M804" i="10"/>
  <c r="E804" i="10"/>
  <c r="B804" i="10"/>
  <c r="S803" i="10"/>
  <c r="Q803" i="10"/>
  <c r="P803" i="10"/>
  <c r="O803" i="10"/>
  <c r="M803" i="10"/>
  <c r="E803" i="10"/>
  <c r="B803" i="10"/>
  <c r="S802" i="10"/>
  <c r="Q802" i="10"/>
  <c r="P802" i="10"/>
  <c r="O802" i="10"/>
  <c r="M802" i="10"/>
  <c r="E802" i="10"/>
  <c r="B802" i="10"/>
  <c r="S801" i="10"/>
  <c r="Q801" i="10"/>
  <c r="P801" i="10"/>
  <c r="O801" i="10"/>
  <c r="M801" i="10"/>
  <c r="E801" i="10"/>
  <c r="B801" i="10"/>
  <c r="S800" i="10"/>
  <c r="Q800" i="10"/>
  <c r="P800" i="10"/>
  <c r="O800" i="10"/>
  <c r="M800" i="10"/>
  <c r="E800" i="10"/>
  <c r="B800" i="10"/>
  <c r="S799" i="10"/>
  <c r="Q799" i="10"/>
  <c r="P799" i="10"/>
  <c r="O799" i="10"/>
  <c r="M799" i="10"/>
  <c r="E799" i="10"/>
  <c r="B799" i="10"/>
  <c r="S798" i="10"/>
  <c r="Q798" i="10"/>
  <c r="P798" i="10"/>
  <c r="O798" i="10"/>
  <c r="M798" i="10"/>
  <c r="E798" i="10"/>
  <c r="B798" i="10"/>
  <c r="S797" i="10"/>
  <c r="Q797" i="10"/>
  <c r="P797" i="10"/>
  <c r="O797" i="10"/>
  <c r="M797" i="10"/>
  <c r="E797" i="10"/>
  <c r="B797" i="10"/>
  <c r="S796" i="10"/>
  <c r="Q796" i="10"/>
  <c r="P796" i="10"/>
  <c r="O796" i="10"/>
  <c r="M796" i="10"/>
  <c r="E796" i="10"/>
  <c r="B796" i="10"/>
  <c r="S795" i="10"/>
  <c r="Q795" i="10"/>
  <c r="P795" i="10"/>
  <c r="O795" i="10"/>
  <c r="M795" i="10"/>
  <c r="E795" i="10"/>
  <c r="B795" i="10"/>
  <c r="S794" i="10"/>
  <c r="Q794" i="10"/>
  <c r="P794" i="10"/>
  <c r="O794" i="10"/>
  <c r="M794" i="10"/>
  <c r="E794" i="10"/>
  <c r="B794" i="10"/>
  <c r="S793" i="10"/>
  <c r="Q793" i="10"/>
  <c r="P793" i="10"/>
  <c r="O793" i="10"/>
  <c r="M793" i="10"/>
  <c r="E793" i="10"/>
  <c r="B793" i="10"/>
  <c r="S792" i="10"/>
  <c r="Q792" i="10"/>
  <c r="P792" i="10"/>
  <c r="O792" i="10"/>
  <c r="M792" i="10"/>
  <c r="E792" i="10"/>
  <c r="B792" i="10"/>
  <c r="S791" i="10"/>
  <c r="Q791" i="10"/>
  <c r="P791" i="10"/>
  <c r="O791" i="10"/>
  <c r="M791" i="10"/>
  <c r="E791" i="10"/>
  <c r="B791" i="10"/>
  <c r="S790" i="10"/>
  <c r="Q790" i="10"/>
  <c r="P790" i="10"/>
  <c r="O790" i="10"/>
  <c r="M790" i="10"/>
  <c r="E790" i="10"/>
  <c r="B790" i="10"/>
  <c r="S789" i="10"/>
  <c r="Q789" i="10"/>
  <c r="P789" i="10"/>
  <c r="O789" i="10"/>
  <c r="M789" i="10"/>
  <c r="E789" i="10"/>
  <c r="B789" i="10"/>
  <c r="S788" i="10"/>
  <c r="Q788" i="10"/>
  <c r="P788" i="10"/>
  <c r="O788" i="10"/>
  <c r="M788" i="10"/>
  <c r="E788" i="10"/>
  <c r="B788" i="10"/>
  <c r="S787" i="10"/>
  <c r="Q787" i="10"/>
  <c r="P787" i="10"/>
  <c r="O787" i="10"/>
  <c r="M787" i="10"/>
  <c r="E787" i="10"/>
  <c r="B787" i="10"/>
  <c r="S786" i="10"/>
  <c r="Q786" i="10"/>
  <c r="P786" i="10"/>
  <c r="O786" i="10"/>
  <c r="M786" i="10"/>
  <c r="E786" i="10"/>
  <c r="B786" i="10"/>
  <c r="S785" i="10"/>
  <c r="Q785" i="10"/>
  <c r="P785" i="10"/>
  <c r="O785" i="10"/>
  <c r="M785" i="10"/>
  <c r="E785" i="10"/>
  <c r="B785" i="10"/>
  <c r="S784" i="10"/>
  <c r="Q784" i="10"/>
  <c r="P784" i="10"/>
  <c r="O784" i="10"/>
  <c r="M784" i="10"/>
  <c r="E784" i="10"/>
  <c r="B784" i="10"/>
  <c r="S783" i="10"/>
  <c r="Q783" i="10"/>
  <c r="P783" i="10"/>
  <c r="O783" i="10"/>
  <c r="M783" i="10"/>
  <c r="E783" i="10"/>
  <c r="B783" i="10"/>
  <c r="S782" i="10"/>
  <c r="Q782" i="10"/>
  <c r="P782" i="10"/>
  <c r="O782" i="10"/>
  <c r="M782" i="10"/>
  <c r="E782" i="10"/>
  <c r="B782" i="10"/>
  <c r="S781" i="10"/>
  <c r="Q781" i="10"/>
  <c r="P781" i="10"/>
  <c r="O781" i="10"/>
  <c r="M781" i="10"/>
  <c r="E781" i="10"/>
  <c r="B781" i="10"/>
  <c r="S780" i="10"/>
  <c r="Q780" i="10"/>
  <c r="P780" i="10"/>
  <c r="O780" i="10"/>
  <c r="M780" i="10"/>
  <c r="E780" i="10"/>
  <c r="B780" i="10"/>
  <c r="S779" i="10"/>
  <c r="Q779" i="10"/>
  <c r="P779" i="10"/>
  <c r="O779" i="10"/>
  <c r="M779" i="10"/>
  <c r="E779" i="10"/>
  <c r="B779" i="10"/>
  <c r="S778" i="10"/>
  <c r="Q778" i="10"/>
  <c r="P778" i="10"/>
  <c r="O778" i="10"/>
  <c r="M778" i="10"/>
  <c r="E778" i="10"/>
  <c r="B778" i="10"/>
  <c r="S777" i="10"/>
  <c r="Q777" i="10"/>
  <c r="P777" i="10"/>
  <c r="O777" i="10"/>
  <c r="M777" i="10"/>
  <c r="E777" i="10"/>
  <c r="B777" i="10"/>
  <c r="S776" i="10"/>
  <c r="Q776" i="10"/>
  <c r="P776" i="10"/>
  <c r="O776" i="10"/>
  <c r="M776" i="10"/>
  <c r="E776" i="10"/>
  <c r="B776" i="10"/>
  <c r="S775" i="10"/>
  <c r="Q775" i="10"/>
  <c r="P775" i="10"/>
  <c r="O775" i="10"/>
  <c r="M775" i="10"/>
  <c r="E775" i="10"/>
  <c r="B775" i="10"/>
  <c r="S774" i="10"/>
  <c r="Q774" i="10"/>
  <c r="P774" i="10"/>
  <c r="O774" i="10"/>
  <c r="M774" i="10"/>
  <c r="E774" i="10"/>
  <c r="B774" i="10"/>
  <c r="S773" i="10"/>
  <c r="Q773" i="10"/>
  <c r="P773" i="10"/>
  <c r="O773" i="10"/>
  <c r="M773" i="10"/>
  <c r="E773" i="10"/>
  <c r="B773" i="10"/>
  <c r="S772" i="10"/>
  <c r="Q772" i="10"/>
  <c r="P772" i="10"/>
  <c r="O772" i="10"/>
  <c r="M772" i="10"/>
  <c r="E772" i="10"/>
  <c r="B772" i="10"/>
  <c r="S771" i="10"/>
  <c r="Q771" i="10"/>
  <c r="P771" i="10"/>
  <c r="O771" i="10"/>
  <c r="M771" i="10"/>
  <c r="E771" i="10"/>
  <c r="B771" i="10"/>
  <c r="S770" i="10"/>
  <c r="Q770" i="10"/>
  <c r="P770" i="10"/>
  <c r="O770" i="10"/>
  <c r="M770" i="10"/>
  <c r="E770" i="10"/>
  <c r="B770" i="10"/>
  <c r="S769" i="10"/>
  <c r="Q769" i="10"/>
  <c r="P769" i="10"/>
  <c r="O769" i="10"/>
  <c r="M769" i="10"/>
  <c r="E769" i="10"/>
  <c r="B769" i="10"/>
  <c r="S768" i="10"/>
  <c r="Q768" i="10"/>
  <c r="P768" i="10"/>
  <c r="O768" i="10"/>
  <c r="M768" i="10"/>
  <c r="B768" i="10"/>
  <c r="S767" i="10"/>
  <c r="Q767" i="10"/>
  <c r="P767" i="10"/>
  <c r="O767" i="10"/>
  <c r="M767" i="10"/>
  <c r="E767" i="10"/>
  <c r="B767" i="10"/>
  <c r="S766" i="10"/>
  <c r="Q766" i="10"/>
  <c r="P766" i="10"/>
  <c r="O766" i="10"/>
  <c r="M766" i="10"/>
  <c r="E766" i="10"/>
  <c r="B766" i="10"/>
  <c r="S765" i="10"/>
  <c r="Q765" i="10"/>
  <c r="P765" i="10"/>
  <c r="O765" i="10"/>
  <c r="M765" i="10"/>
  <c r="E765" i="10"/>
  <c r="B765" i="10"/>
  <c r="S764" i="10"/>
  <c r="Q764" i="10"/>
  <c r="P764" i="10"/>
  <c r="O764" i="10"/>
  <c r="M764" i="10"/>
  <c r="E764" i="10"/>
  <c r="B764" i="10"/>
  <c r="S763" i="10"/>
  <c r="Q763" i="10"/>
  <c r="P763" i="10"/>
  <c r="O763" i="10"/>
  <c r="M763" i="10"/>
  <c r="B763" i="10"/>
  <c r="S762" i="10"/>
  <c r="Q762" i="10"/>
  <c r="P762" i="10"/>
  <c r="O762" i="10"/>
  <c r="M762" i="10"/>
  <c r="B762" i="10"/>
  <c r="S761" i="10"/>
  <c r="Q761" i="10"/>
  <c r="P761" i="10"/>
  <c r="O761" i="10"/>
  <c r="M761" i="10"/>
  <c r="B761" i="10"/>
  <c r="S760" i="10"/>
  <c r="Q760" i="10"/>
  <c r="P760" i="10"/>
  <c r="O760" i="10"/>
  <c r="M760" i="10"/>
  <c r="E760" i="10"/>
  <c r="B760" i="10"/>
  <c r="S759" i="10"/>
  <c r="Q759" i="10"/>
  <c r="P759" i="10"/>
  <c r="O759" i="10"/>
  <c r="M759" i="10"/>
  <c r="E759" i="10"/>
  <c r="B759" i="10"/>
  <c r="S758" i="10"/>
  <c r="Q758" i="10"/>
  <c r="P758" i="10"/>
  <c r="O758" i="10"/>
  <c r="M758" i="10"/>
  <c r="B758" i="10"/>
  <c r="S757" i="10"/>
  <c r="Q757" i="10"/>
  <c r="P757" i="10"/>
  <c r="O757" i="10"/>
  <c r="M757" i="10"/>
  <c r="E757" i="10"/>
  <c r="B757" i="10"/>
  <c r="S756" i="10"/>
  <c r="Q756" i="10"/>
  <c r="P756" i="10"/>
  <c r="O756" i="10"/>
  <c r="M756" i="10"/>
  <c r="E756" i="10"/>
  <c r="B756" i="10"/>
  <c r="S755" i="10"/>
  <c r="Q755" i="10"/>
  <c r="P755" i="10"/>
  <c r="O755" i="10"/>
  <c r="M755" i="10"/>
  <c r="E755" i="10"/>
  <c r="B755" i="10"/>
  <c r="S754" i="10"/>
  <c r="Q754" i="10"/>
  <c r="P754" i="10"/>
  <c r="O754" i="10"/>
  <c r="M754" i="10"/>
  <c r="B754" i="10"/>
  <c r="S753" i="10"/>
  <c r="Q753" i="10"/>
  <c r="P753" i="10"/>
  <c r="O753" i="10"/>
  <c r="M753" i="10"/>
  <c r="E753" i="10"/>
  <c r="B753" i="10"/>
  <c r="S752" i="10"/>
  <c r="Q752" i="10"/>
  <c r="P752" i="10"/>
  <c r="O752" i="10"/>
  <c r="M752" i="10"/>
  <c r="B752" i="10"/>
  <c r="S751" i="10"/>
  <c r="Q751" i="10"/>
  <c r="P751" i="10"/>
  <c r="O751" i="10"/>
  <c r="M751" i="10"/>
  <c r="E751" i="10"/>
  <c r="B751" i="10"/>
  <c r="S750" i="10"/>
  <c r="Q750" i="10"/>
  <c r="P750" i="10"/>
  <c r="O750" i="10"/>
  <c r="M750" i="10"/>
  <c r="E750" i="10"/>
  <c r="B750" i="10"/>
  <c r="S749" i="10"/>
  <c r="Q749" i="10"/>
  <c r="P749" i="10"/>
  <c r="O749" i="10"/>
  <c r="M749" i="10"/>
  <c r="E749" i="10"/>
  <c r="B749" i="10"/>
  <c r="S748" i="10"/>
  <c r="Q748" i="10"/>
  <c r="P748" i="10"/>
  <c r="O748" i="10"/>
  <c r="M748" i="10"/>
  <c r="E748" i="10"/>
  <c r="B748" i="10"/>
  <c r="S747" i="10"/>
  <c r="Q747" i="10"/>
  <c r="P747" i="10"/>
  <c r="O747" i="10"/>
  <c r="M747" i="10"/>
  <c r="E747" i="10"/>
  <c r="B747" i="10"/>
  <c r="S746" i="10"/>
  <c r="Q746" i="10"/>
  <c r="P746" i="10"/>
  <c r="O746" i="10"/>
  <c r="M746" i="10"/>
  <c r="E746" i="10"/>
  <c r="B746" i="10"/>
  <c r="S745" i="10"/>
  <c r="Q745" i="10"/>
  <c r="P745" i="10"/>
  <c r="O745" i="10"/>
  <c r="M745" i="10"/>
  <c r="B745" i="10"/>
  <c r="S744" i="10"/>
  <c r="Q744" i="10"/>
  <c r="P744" i="10"/>
  <c r="O744" i="10"/>
  <c r="M744" i="10"/>
  <c r="E744" i="10"/>
  <c r="B744" i="10"/>
  <c r="S743" i="10"/>
  <c r="Q743" i="10"/>
  <c r="P743" i="10"/>
  <c r="O743" i="10"/>
  <c r="M743" i="10"/>
  <c r="E743" i="10"/>
  <c r="B743" i="10"/>
  <c r="S742" i="10"/>
  <c r="Q742" i="10"/>
  <c r="P742" i="10"/>
  <c r="O742" i="10"/>
  <c r="M742" i="10"/>
  <c r="E742" i="10"/>
  <c r="B742" i="10"/>
  <c r="S741" i="10"/>
  <c r="Q741" i="10"/>
  <c r="P741" i="10"/>
  <c r="O741" i="10"/>
  <c r="M741" i="10"/>
  <c r="E741" i="10"/>
  <c r="B741" i="10"/>
  <c r="S740" i="10"/>
  <c r="Q740" i="10"/>
  <c r="P740" i="10"/>
  <c r="O740" i="10"/>
  <c r="M740" i="10"/>
  <c r="E740" i="10"/>
  <c r="B740" i="10"/>
  <c r="S739" i="10"/>
  <c r="Q739" i="10"/>
  <c r="P739" i="10"/>
  <c r="O739" i="10"/>
  <c r="M739" i="10"/>
  <c r="E739" i="10"/>
  <c r="B739" i="10"/>
  <c r="S738" i="10"/>
  <c r="Q738" i="10"/>
  <c r="P738" i="10"/>
  <c r="O738" i="10"/>
  <c r="M738" i="10"/>
  <c r="E738" i="10"/>
  <c r="B738" i="10"/>
  <c r="S737" i="10"/>
  <c r="Q737" i="10"/>
  <c r="P737" i="10"/>
  <c r="O737" i="10"/>
  <c r="M737" i="10"/>
  <c r="E737" i="10"/>
  <c r="B737" i="10"/>
  <c r="S736" i="10"/>
  <c r="Q736" i="10"/>
  <c r="P736" i="10"/>
  <c r="O736" i="10"/>
  <c r="M736" i="10"/>
  <c r="E736" i="10"/>
  <c r="B736" i="10"/>
  <c r="S735" i="10"/>
  <c r="Q735" i="10"/>
  <c r="P735" i="10"/>
  <c r="O735" i="10"/>
  <c r="M735" i="10"/>
  <c r="E735" i="10"/>
  <c r="B735" i="10"/>
  <c r="S734" i="10"/>
  <c r="Q734" i="10"/>
  <c r="P734" i="10"/>
  <c r="O734" i="10"/>
  <c r="M734" i="10"/>
  <c r="E734" i="10"/>
  <c r="B734" i="10"/>
  <c r="S733" i="10"/>
  <c r="Q733" i="10"/>
  <c r="P733" i="10"/>
  <c r="O733" i="10"/>
  <c r="M733" i="10"/>
  <c r="E733" i="10"/>
  <c r="B733" i="10"/>
  <c r="S732" i="10"/>
  <c r="Q732" i="10"/>
  <c r="P732" i="10"/>
  <c r="O732" i="10"/>
  <c r="M732" i="10"/>
  <c r="E732" i="10"/>
  <c r="B732" i="10"/>
  <c r="S731" i="10"/>
  <c r="Q731" i="10"/>
  <c r="P731" i="10"/>
  <c r="O731" i="10"/>
  <c r="M731" i="10"/>
  <c r="E731" i="10"/>
  <c r="B731" i="10"/>
  <c r="S730" i="10"/>
  <c r="Q730" i="10"/>
  <c r="P730" i="10"/>
  <c r="O730" i="10"/>
  <c r="M730" i="10"/>
  <c r="E730" i="10"/>
  <c r="B730" i="10"/>
  <c r="S729" i="10"/>
  <c r="Q729" i="10"/>
  <c r="P729" i="10"/>
  <c r="O729" i="10"/>
  <c r="M729" i="10"/>
  <c r="B729" i="10"/>
  <c r="S728" i="10"/>
  <c r="Q728" i="10"/>
  <c r="P728" i="10"/>
  <c r="O728" i="10"/>
  <c r="M728" i="10"/>
  <c r="B728" i="10"/>
  <c r="S727" i="10"/>
  <c r="Q727" i="10"/>
  <c r="P727" i="10"/>
  <c r="O727" i="10"/>
  <c r="M727" i="10"/>
  <c r="E727" i="10"/>
  <c r="B727" i="10"/>
  <c r="S726" i="10"/>
  <c r="Q726" i="10"/>
  <c r="P726" i="10"/>
  <c r="O726" i="10"/>
  <c r="M726" i="10"/>
  <c r="E726" i="10"/>
  <c r="B726" i="10"/>
  <c r="S725" i="10"/>
  <c r="Q725" i="10"/>
  <c r="P725" i="10"/>
  <c r="O725" i="10"/>
  <c r="M725" i="10"/>
  <c r="E725" i="10"/>
  <c r="B725" i="10"/>
  <c r="S724" i="10"/>
  <c r="Q724" i="10"/>
  <c r="P724" i="10"/>
  <c r="O724" i="10"/>
  <c r="M724" i="10"/>
  <c r="E724" i="10"/>
  <c r="B724" i="10"/>
  <c r="S723" i="10"/>
  <c r="Q723" i="10"/>
  <c r="P723" i="10"/>
  <c r="O723" i="10"/>
  <c r="M723" i="10"/>
  <c r="E723" i="10"/>
  <c r="B723" i="10"/>
  <c r="S722" i="10"/>
  <c r="Q722" i="10"/>
  <c r="P722" i="10"/>
  <c r="O722" i="10"/>
  <c r="M722" i="10"/>
  <c r="E722" i="10"/>
  <c r="B722" i="10"/>
  <c r="S721" i="10"/>
  <c r="Q721" i="10"/>
  <c r="P721" i="10"/>
  <c r="O721" i="10"/>
  <c r="M721" i="10"/>
  <c r="E721" i="10"/>
  <c r="B721" i="10"/>
  <c r="S720" i="10"/>
  <c r="Q720" i="10"/>
  <c r="P720" i="10"/>
  <c r="O720" i="10"/>
  <c r="M720" i="10"/>
  <c r="E720" i="10"/>
  <c r="B720" i="10"/>
  <c r="S719" i="10"/>
  <c r="Q719" i="10"/>
  <c r="P719" i="10"/>
  <c r="O719" i="10"/>
  <c r="M719" i="10"/>
  <c r="E719" i="10"/>
  <c r="B719" i="10"/>
  <c r="S718" i="10"/>
  <c r="Q718" i="10"/>
  <c r="P718" i="10"/>
  <c r="O718" i="10"/>
  <c r="M718" i="10"/>
  <c r="E718" i="10"/>
  <c r="B718" i="10"/>
  <c r="S717" i="10"/>
  <c r="Q717" i="10"/>
  <c r="P717" i="10"/>
  <c r="O717" i="10"/>
  <c r="M717" i="10"/>
  <c r="E717" i="10"/>
  <c r="B717" i="10"/>
  <c r="S716" i="10"/>
  <c r="Q716" i="10"/>
  <c r="P716" i="10"/>
  <c r="O716" i="10"/>
  <c r="M716" i="10"/>
  <c r="B716" i="10"/>
  <c r="S715" i="10"/>
  <c r="Q715" i="10"/>
  <c r="P715" i="10"/>
  <c r="O715" i="10"/>
  <c r="M715" i="10"/>
  <c r="E715" i="10"/>
  <c r="B715" i="10"/>
  <c r="S714" i="10"/>
  <c r="Q714" i="10"/>
  <c r="P714" i="10"/>
  <c r="O714" i="10"/>
  <c r="M714" i="10"/>
  <c r="E714" i="10"/>
  <c r="B714" i="10"/>
  <c r="S713" i="10"/>
  <c r="Q713" i="10"/>
  <c r="P713" i="10"/>
  <c r="O713" i="10"/>
  <c r="M713" i="10"/>
  <c r="E713" i="10"/>
  <c r="B713" i="10"/>
  <c r="S712" i="10"/>
  <c r="Q712" i="10"/>
  <c r="P712" i="10"/>
  <c r="O712" i="10"/>
  <c r="M712" i="10"/>
  <c r="E712" i="10"/>
  <c r="B712" i="10"/>
  <c r="S711" i="10"/>
  <c r="Q711" i="10"/>
  <c r="P711" i="10"/>
  <c r="O711" i="10"/>
  <c r="M711" i="10"/>
  <c r="E711" i="10"/>
  <c r="B711" i="10"/>
  <c r="S710" i="10"/>
  <c r="Q710" i="10"/>
  <c r="P710" i="10"/>
  <c r="O710" i="10"/>
  <c r="M710" i="10"/>
  <c r="B710" i="10"/>
  <c r="S709" i="10"/>
  <c r="Q709" i="10"/>
  <c r="P709" i="10"/>
  <c r="O709" i="10"/>
  <c r="M709" i="10"/>
  <c r="E709" i="10"/>
  <c r="B709" i="10"/>
  <c r="S708" i="10"/>
  <c r="Q708" i="10"/>
  <c r="P708" i="10"/>
  <c r="O708" i="10"/>
  <c r="M708" i="10"/>
  <c r="E708" i="10"/>
  <c r="B708" i="10"/>
  <c r="S707" i="10"/>
  <c r="Q707" i="10"/>
  <c r="P707" i="10"/>
  <c r="O707" i="10"/>
  <c r="M707" i="10"/>
  <c r="E707" i="10"/>
  <c r="B707" i="10"/>
  <c r="S706" i="10"/>
  <c r="Q706" i="10"/>
  <c r="P706" i="10"/>
  <c r="O706" i="10"/>
  <c r="M706" i="10"/>
  <c r="E706" i="10"/>
  <c r="B706" i="10"/>
  <c r="S705" i="10"/>
  <c r="Q705" i="10"/>
  <c r="P705" i="10"/>
  <c r="O705" i="10"/>
  <c r="M705" i="10"/>
  <c r="E705" i="10"/>
  <c r="B705" i="10"/>
  <c r="S704" i="10"/>
  <c r="Q704" i="10"/>
  <c r="P704" i="10"/>
  <c r="O704" i="10"/>
  <c r="M704" i="10"/>
  <c r="E704" i="10"/>
  <c r="B704" i="10"/>
  <c r="S703" i="10"/>
  <c r="Q703" i="10"/>
  <c r="P703" i="10"/>
  <c r="O703" i="10"/>
  <c r="M703" i="10"/>
  <c r="E703" i="10"/>
  <c r="B703" i="10"/>
  <c r="S702" i="10"/>
  <c r="Q702" i="10"/>
  <c r="P702" i="10"/>
  <c r="O702" i="10"/>
  <c r="M702" i="10"/>
  <c r="E702" i="10"/>
  <c r="B702" i="10"/>
  <c r="S701" i="10"/>
  <c r="Q701" i="10"/>
  <c r="P701" i="10"/>
  <c r="O701" i="10"/>
  <c r="M701" i="10"/>
  <c r="E701" i="10"/>
  <c r="B701" i="10"/>
  <c r="S700" i="10"/>
  <c r="Q700" i="10"/>
  <c r="P700" i="10"/>
  <c r="O700" i="10"/>
  <c r="M700" i="10"/>
  <c r="E700" i="10"/>
  <c r="B700" i="10"/>
  <c r="S699" i="10"/>
  <c r="Q699" i="10"/>
  <c r="P699" i="10"/>
  <c r="O699" i="10"/>
  <c r="M699" i="10"/>
  <c r="B699" i="10"/>
  <c r="S698" i="10"/>
  <c r="Q698" i="10"/>
  <c r="P698" i="10"/>
  <c r="O698" i="10"/>
  <c r="M698" i="10"/>
  <c r="E698" i="10"/>
  <c r="B698" i="10"/>
  <c r="S697" i="10"/>
  <c r="Q697" i="10"/>
  <c r="P697" i="10"/>
  <c r="O697" i="10"/>
  <c r="M697" i="10"/>
  <c r="E697" i="10"/>
  <c r="B697" i="10"/>
  <c r="S696" i="10"/>
  <c r="Q696" i="10"/>
  <c r="P696" i="10"/>
  <c r="O696" i="10"/>
  <c r="M696" i="10"/>
  <c r="B696" i="10"/>
  <c r="S695" i="10"/>
  <c r="Q695" i="10"/>
  <c r="P695" i="10"/>
  <c r="O695" i="10"/>
  <c r="M695" i="10"/>
  <c r="E695" i="10"/>
  <c r="B695" i="10"/>
  <c r="S694" i="10"/>
  <c r="Q694" i="10"/>
  <c r="P694" i="10"/>
  <c r="O694" i="10"/>
  <c r="M694" i="10"/>
  <c r="E694" i="10"/>
  <c r="B694" i="10"/>
  <c r="S693" i="10"/>
  <c r="Q693" i="10"/>
  <c r="P693" i="10"/>
  <c r="O693" i="10"/>
  <c r="M693" i="10"/>
  <c r="B693" i="10"/>
  <c r="S692" i="10"/>
  <c r="Q692" i="10"/>
  <c r="P692" i="10"/>
  <c r="O692" i="10"/>
  <c r="M692" i="10"/>
  <c r="E692" i="10"/>
  <c r="B692" i="10"/>
  <c r="S691" i="10"/>
  <c r="Q691" i="10"/>
  <c r="P691" i="10"/>
  <c r="O691" i="10"/>
  <c r="M691" i="10"/>
  <c r="B691" i="10"/>
  <c r="S690" i="10"/>
  <c r="Q690" i="10"/>
  <c r="P690" i="10"/>
  <c r="O690" i="10"/>
  <c r="M690" i="10"/>
  <c r="E690" i="10"/>
  <c r="B690" i="10"/>
  <c r="S689" i="10"/>
  <c r="Q689" i="10"/>
  <c r="P689" i="10"/>
  <c r="O689" i="10"/>
  <c r="M689" i="10"/>
  <c r="E689" i="10"/>
  <c r="B689" i="10"/>
  <c r="S688" i="10"/>
  <c r="Q688" i="10"/>
  <c r="P688" i="10"/>
  <c r="O688" i="10"/>
  <c r="M688" i="10"/>
  <c r="E688" i="10"/>
  <c r="B688" i="10"/>
  <c r="S687" i="10"/>
  <c r="Q687" i="10"/>
  <c r="P687" i="10"/>
  <c r="O687" i="10"/>
  <c r="M687" i="10"/>
  <c r="E687" i="10"/>
  <c r="B687" i="10"/>
  <c r="S686" i="10"/>
  <c r="Q686" i="10"/>
  <c r="P686" i="10"/>
  <c r="O686" i="10"/>
  <c r="M686" i="10"/>
  <c r="E686" i="10"/>
  <c r="B686" i="10"/>
  <c r="S685" i="10"/>
  <c r="Q685" i="10"/>
  <c r="P685" i="10"/>
  <c r="O685" i="10"/>
  <c r="M685" i="10"/>
  <c r="E685" i="10"/>
  <c r="B685" i="10"/>
  <c r="S684" i="10"/>
  <c r="Q684" i="10"/>
  <c r="P684" i="10"/>
  <c r="O684" i="10"/>
  <c r="M684" i="10"/>
  <c r="E684" i="10"/>
  <c r="B684" i="10"/>
  <c r="S683" i="10"/>
  <c r="Q683" i="10"/>
  <c r="P683" i="10"/>
  <c r="O683" i="10"/>
  <c r="M683" i="10"/>
  <c r="E683" i="10"/>
  <c r="B683" i="10"/>
  <c r="S682" i="10"/>
  <c r="Q682" i="10"/>
  <c r="P682" i="10"/>
  <c r="O682" i="10"/>
  <c r="M682" i="10"/>
  <c r="E682" i="10"/>
  <c r="B682" i="10"/>
  <c r="S681" i="10"/>
  <c r="Q681" i="10"/>
  <c r="P681" i="10"/>
  <c r="O681" i="10"/>
  <c r="M681" i="10"/>
  <c r="E681" i="10"/>
  <c r="B681" i="10"/>
  <c r="S680" i="10"/>
  <c r="Q680" i="10"/>
  <c r="P680" i="10"/>
  <c r="O680" i="10"/>
  <c r="M680" i="10"/>
  <c r="E680" i="10"/>
  <c r="B680" i="10"/>
  <c r="S679" i="10"/>
  <c r="Q679" i="10"/>
  <c r="P679" i="10"/>
  <c r="O679" i="10"/>
  <c r="M679" i="10"/>
  <c r="E679" i="10"/>
  <c r="B679" i="10"/>
  <c r="S678" i="10"/>
  <c r="Q678" i="10"/>
  <c r="P678" i="10"/>
  <c r="O678" i="10"/>
  <c r="M678" i="10"/>
  <c r="E678" i="10"/>
  <c r="B678" i="10"/>
  <c r="S677" i="10"/>
  <c r="Q677" i="10"/>
  <c r="P677" i="10"/>
  <c r="O677" i="10"/>
  <c r="M677" i="10"/>
  <c r="B677" i="10"/>
  <c r="S676" i="10"/>
  <c r="Q676" i="10"/>
  <c r="P676" i="10"/>
  <c r="O676" i="10"/>
  <c r="M676" i="10"/>
  <c r="E676" i="10"/>
  <c r="B676" i="10"/>
  <c r="S675" i="10"/>
  <c r="Q675" i="10"/>
  <c r="P675" i="10"/>
  <c r="O675" i="10"/>
  <c r="M675" i="10"/>
  <c r="E675" i="10"/>
  <c r="B675" i="10"/>
  <c r="S674" i="10"/>
  <c r="Q674" i="10"/>
  <c r="P674" i="10"/>
  <c r="O674" i="10"/>
  <c r="M674" i="10"/>
  <c r="E674" i="10"/>
  <c r="B674" i="10"/>
  <c r="S673" i="10"/>
  <c r="Q673" i="10"/>
  <c r="P673" i="10"/>
  <c r="O673" i="10"/>
  <c r="M673" i="10"/>
  <c r="B673" i="10"/>
  <c r="S672" i="10"/>
  <c r="Q672" i="10"/>
  <c r="P672" i="10"/>
  <c r="O672" i="10"/>
  <c r="M672" i="10"/>
  <c r="E672" i="10"/>
  <c r="B672" i="10"/>
  <c r="S671" i="10"/>
  <c r="Q671" i="10"/>
  <c r="P671" i="10"/>
  <c r="O671" i="10"/>
  <c r="M671" i="10"/>
  <c r="E671" i="10"/>
  <c r="B671" i="10"/>
  <c r="S670" i="10"/>
  <c r="Q670" i="10"/>
  <c r="P670" i="10"/>
  <c r="O670" i="10"/>
  <c r="M670" i="10"/>
  <c r="E670" i="10"/>
  <c r="B670" i="10"/>
  <c r="S669" i="10"/>
  <c r="Q669" i="10"/>
  <c r="P669" i="10"/>
  <c r="O669" i="10"/>
  <c r="M669" i="10"/>
  <c r="E669" i="10"/>
  <c r="B669" i="10"/>
  <c r="S668" i="10"/>
  <c r="Q668" i="10"/>
  <c r="P668" i="10"/>
  <c r="O668" i="10"/>
  <c r="M668" i="10"/>
  <c r="E668" i="10"/>
  <c r="B668" i="10"/>
  <c r="S667" i="10"/>
  <c r="Q667" i="10"/>
  <c r="P667" i="10"/>
  <c r="O667" i="10"/>
  <c r="M667" i="10"/>
  <c r="E667" i="10"/>
  <c r="B667" i="10"/>
  <c r="S666" i="10"/>
  <c r="Q666" i="10"/>
  <c r="P666" i="10"/>
  <c r="O666" i="10"/>
  <c r="M666" i="10"/>
  <c r="E666" i="10"/>
  <c r="B666" i="10"/>
  <c r="S665" i="10"/>
  <c r="Q665" i="10"/>
  <c r="P665" i="10"/>
  <c r="O665" i="10"/>
  <c r="M665" i="10"/>
  <c r="E665" i="10"/>
  <c r="B665" i="10"/>
  <c r="S664" i="10"/>
  <c r="Q664" i="10"/>
  <c r="P664" i="10"/>
  <c r="O664" i="10"/>
  <c r="M664" i="10"/>
  <c r="E664" i="10"/>
  <c r="B664" i="10"/>
  <c r="S663" i="10"/>
  <c r="Q663" i="10"/>
  <c r="P663" i="10"/>
  <c r="O663" i="10"/>
  <c r="M663" i="10"/>
  <c r="E663" i="10"/>
  <c r="B663" i="10"/>
  <c r="S662" i="10"/>
  <c r="Q662" i="10"/>
  <c r="P662" i="10"/>
  <c r="O662" i="10"/>
  <c r="M662" i="10"/>
  <c r="E662" i="10"/>
  <c r="B662" i="10"/>
  <c r="S661" i="10"/>
  <c r="Q661" i="10"/>
  <c r="P661" i="10"/>
  <c r="O661" i="10"/>
  <c r="M661" i="10"/>
  <c r="E661" i="10"/>
  <c r="B661" i="10"/>
  <c r="S660" i="10"/>
  <c r="Q660" i="10"/>
  <c r="P660" i="10"/>
  <c r="O660" i="10"/>
  <c r="M660" i="10"/>
  <c r="E660" i="10"/>
  <c r="B660" i="10"/>
  <c r="S659" i="10"/>
  <c r="Q659" i="10"/>
  <c r="P659" i="10"/>
  <c r="O659" i="10"/>
  <c r="M659" i="10"/>
  <c r="E659" i="10"/>
  <c r="B659" i="10"/>
  <c r="S658" i="10"/>
  <c r="Q658" i="10"/>
  <c r="P658" i="10"/>
  <c r="O658" i="10"/>
  <c r="M658" i="10"/>
  <c r="B658" i="10"/>
  <c r="S657" i="10"/>
  <c r="Q657" i="10"/>
  <c r="P657" i="10"/>
  <c r="O657" i="10"/>
  <c r="M657" i="10"/>
  <c r="E657" i="10"/>
  <c r="B657" i="10"/>
  <c r="S656" i="10"/>
  <c r="Q656" i="10"/>
  <c r="P656" i="10"/>
  <c r="O656" i="10"/>
  <c r="M656" i="10"/>
  <c r="E656" i="10"/>
  <c r="B656" i="10"/>
  <c r="S655" i="10"/>
  <c r="Q655" i="10"/>
  <c r="P655" i="10"/>
  <c r="O655" i="10"/>
  <c r="M655" i="10"/>
  <c r="E655" i="10"/>
  <c r="B655" i="10"/>
  <c r="S654" i="10"/>
  <c r="Q654" i="10"/>
  <c r="P654" i="10"/>
  <c r="O654" i="10"/>
  <c r="M654" i="10"/>
  <c r="E654" i="10"/>
  <c r="B654" i="10"/>
  <c r="S653" i="10"/>
  <c r="Q653" i="10"/>
  <c r="P653" i="10"/>
  <c r="O653" i="10"/>
  <c r="M653" i="10"/>
  <c r="E653" i="10"/>
  <c r="B653" i="10"/>
  <c r="S652" i="10"/>
  <c r="Q652" i="10"/>
  <c r="P652" i="10"/>
  <c r="O652" i="10"/>
  <c r="M652" i="10"/>
  <c r="E652" i="10"/>
  <c r="B652" i="10"/>
  <c r="S651" i="10"/>
  <c r="Q651" i="10"/>
  <c r="P651" i="10"/>
  <c r="O651" i="10"/>
  <c r="M651" i="10"/>
  <c r="E651" i="10"/>
  <c r="B651" i="10"/>
  <c r="S650" i="10"/>
  <c r="Q650" i="10"/>
  <c r="P650" i="10"/>
  <c r="O650" i="10"/>
  <c r="M650" i="10"/>
  <c r="E650" i="10"/>
  <c r="B650" i="10"/>
  <c r="S649" i="10"/>
  <c r="Q649" i="10"/>
  <c r="P649" i="10"/>
  <c r="O649" i="10"/>
  <c r="M649" i="10"/>
  <c r="E649" i="10"/>
  <c r="B649" i="10"/>
  <c r="S648" i="10"/>
  <c r="Q648" i="10"/>
  <c r="P648" i="10"/>
  <c r="O648" i="10"/>
  <c r="M648" i="10"/>
  <c r="E648" i="10"/>
  <c r="B648" i="10"/>
  <c r="S647" i="10"/>
  <c r="Q647" i="10"/>
  <c r="P647" i="10"/>
  <c r="O647" i="10"/>
  <c r="M647" i="10"/>
  <c r="E647" i="10"/>
  <c r="B647" i="10"/>
  <c r="S646" i="10"/>
  <c r="Q646" i="10"/>
  <c r="P646" i="10"/>
  <c r="O646" i="10"/>
  <c r="M646" i="10"/>
  <c r="E646" i="10"/>
  <c r="B646" i="10"/>
  <c r="S645" i="10"/>
  <c r="Q645" i="10"/>
  <c r="P645" i="10"/>
  <c r="O645" i="10"/>
  <c r="M645" i="10"/>
  <c r="E645" i="10"/>
  <c r="B645" i="10"/>
  <c r="S644" i="10"/>
  <c r="Q644" i="10"/>
  <c r="P644" i="10"/>
  <c r="O644" i="10"/>
  <c r="M644" i="10"/>
  <c r="B644" i="10"/>
  <c r="S643" i="10"/>
  <c r="Q643" i="10"/>
  <c r="P643" i="10"/>
  <c r="O643" i="10"/>
  <c r="M643" i="10"/>
  <c r="E643" i="10"/>
  <c r="B643" i="10"/>
  <c r="S642" i="10"/>
  <c r="Q642" i="10"/>
  <c r="P642" i="10"/>
  <c r="O642" i="10"/>
  <c r="M642" i="10"/>
  <c r="E642" i="10"/>
  <c r="B642" i="10"/>
  <c r="S641" i="10"/>
  <c r="Q641" i="10"/>
  <c r="P641" i="10"/>
  <c r="O641" i="10"/>
  <c r="M641" i="10"/>
  <c r="E641" i="10"/>
  <c r="B641" i="10"/>
  <c r="S640" i="10"/>
  <c r="Q640" i="10"/>
  <c r="P640" i="10"/>
  <c r="O640" i="10"/>
  <c r="M640" i="10"/>
  <c r="E640" i="10"/>
  <c r="B640" i="10"/>
  <c r="S639" i="10"/>
  <c r="Q639" i="10"/>
  <c r="P639" i="10"/>
  <c r="O639" i="10"/>
  <c r="M639" i="10"/>
  <c r="E639" i="10"/>
  <c r="B639" i="10"/>
  <c r="S638" i="10"/>
  <c r="Q638" i="10"/>
  <c r="P638" i="10"/>
  <c r="O638" i="10"/>
  <c r="M638" i="10"/>
  <c r="E638" i="10"/>
  <c r="B638" i="10"/>
  <c r="S637" i="10"/>
  <c r="Q637" i="10"/>
  <c r="P637" i="10"/>
  <c r="O637" i="10"/>
  <c r="M637" i="10"/>
  <c r="E637" i="10"/>
  <c r="B637" i="10"/>
  <c r="S636" i="10"/>
  <c r="Q636" i="10"/>
  <c r="P636" i="10"/>
  <c r="O636" i="10"/>
  <c r="M636" i="10"/>
  <c r="E636" i="10"/>
  <c r="B636" i="10"/>
  <c r="S635" i="10"/>
  <c r="Q635" i="10"/>
  <c r="P635" i="10"/>
  <c r="O635" i="10"/>
  <c r="M635" i="10"/>
  <c r="E635" i="10"/>
  <c r="B635" i="10"/>
  <c r="S634" i="10"/>
  <c r="Q634" i="10"/>
  <c r="P634" i="10"/>
  <c r="O634" i="10"/>
  <c r="M634" i="10"/>
  <c r="E634" i="10"/>
  <c r="B634" i="10"/>
  <c r="S633" i="10"/>
  <c r="Q633" i="10"/>
  <c r="P633" i="10"/>
  <c r="O633" i="10"/>
  <c r="M633" i="10"/>
  <c r="B633" i="10"/>
  <c r="S632" i="10"/>
  <c r="Q632" i="10"/>
  <c r="P632" i="10"/>
  <c r="O632" i="10"/>
  <c r="M632" i="10"/>
  <c r="E632" i="10"/>
  <c r="B632" i="10"/>
  <c r="S631" i="10"/>
  <c r="Q631" i="10"/>
  <c r="P631" i="10"/>
  <c r="O631" i="10"/>
  <c r="M631" i="10"/>
  <c r="E631" i="10"/>
  <c r="B631" i="10"/>
  <c r="S630" i="10"/>
  <c r="Q630" i="10"/>
  <c r="P630" i="10"/>
  <c r="O630" i="10"/>
  <c r="M630" i="10"/>
  <c r="E630" i="10"/>
  <c r="B630" i="10"/>
  <c r="S629" i="10"/>
  <c r="Q629" i="10"/>
  <c r="P629" i="10"/>
  <c r="O629" i="10"/>
  <c r="M629" i="10"/>
  <c r="E629" i="10"/>
  <c r="B629" i="10"/>
  <c r="S628" i="10"/>
  <c r="Q628" i="10"/>
  <c r="P628" i="10"/>
  <c r="O628" i="10"/>
  <c r="M628" i="10"/>
  <c r="E628" i="10"/>
  <c r="B628" i="10"/>
  <c r="S627" i="10"/>
  <c r="Q627" i="10"/>
  <c r="P627" i="10"/>
  <c r="O627" i="10"/>
  <c r="M627" i="10"/>
  <c r="B627" i="10"/>
  <c r="S626" i="10"/>
  <c r="Q626" i="10"/>
  <c r="P626" i="10"/>
  <c r="O626" i="10"/>
  <c r="M626" i="10"/>
  <c r="E626" i="10"/>
  <c r="B626" i="10"/>
  <c r="S625" i="10"/>
  <c r="Q625" i="10"/>
  <c r="P625" i="10"/>
  <c r="O625" i="10"/>
  <c r="M625" i="10"/>
  <c r="E625" i="10"/>
  <c r="B625" i="10"/>
  <c r="S624" i="10"/>
  <c r="Q624" i="10"/>
  <c r="P624" i="10"/>
  <c r="O624" i="10"/>
  <c r="M624" i="10"/>
  <c r="E624" i="10"/>
  <c r="B624" i="10"/>
  <c r="S623" i="10"/>
  <c r="Q623" i="10"/>
  <c r="P623" i="10"/>
  <c r="O623" i="10"/>
  <c r="M623" i="10"/>
  <c r="E623" i="10"/>
  <c r="B623" i="10"/>
  <c r="S622" i="10"/>
  <c r="Q622" i="10"/>
  <c r="P622" i="10"/>
  <c r="O622" i="10"/>
  <c r="M622" i="10"/>
  <c r="E622" i="10"/>
  <c r="B622" i="10"/>
  <c r="S621" i="10"/>
  <c r="Q621" i="10"/>
  <c r="P621" i="10"/>
  <c r="O621" i="10"/>
  <c r="M621" i="10"/>
  <c r="E621" i="10"/>
  <c r="B621" i="10"/>
  <c r="S620" i="10"/>
  <c r="Q620" i="10"/>
  <c r="P620" i="10"/>
  <c r="O620" i="10"/>
  <c r="M620" i="10"/>
  <c r="E620" i="10"/>
  <c r="B620" i="10"/>
  <c r="S619" i="10"/>
  <c r="Q619" i="10"/>
  <c r="P619" i="10"/>
  <c r="O619" i="10"/>
  <c r="M619" i="10"/>
  <c r="E619" i="10"/>
  <c r="B619" i="10"/>
  <c r="S618" i="10"/>
  <c r="Q618" i="10"/>
  <c r="P618" i="10"/>
  <c r="O618" i="10"/>
  <c r="M618" i="10"/>
  <c r="E618" i="10"/>
  <c r="B618" i="10"/>
  <c r="S617" i="10"/>
  <c r="Q617" i="10"/>
  <c r="P617" i="10"/>
  <c r="O617" i="10"/>
  <c r="M617" i="10"/>
  <c r="E617" i="10"/>
  <c r="B617" i="10"/>
  <c r="S616" i="10"/>
  <c r="Q616" i="10"/>
  <c r="P616" i="10"/>
  <c r="O616" i="10"/>
  <c r="M616" i="10"/>
  <c r="E616" i="10"/>
  <c r="B616" i="10"/>
  <c r="S615" i="10"/>
  <c r="Q615" i="10"/>
  <c r="P615" i="10"/>
  <c r="O615" i="10"/>
  <c r="M615" i="10"/>
  <c r="E615" i="10"/>
  <c r="B615" i="10"/>
  <c r="S614" i="10"/>
  <c r="Q614" i="10"/>
  <c r="P614" i="10"/>
  <c r="O614" i="10"/>
  <c r="M614" i="10"/>
  <c r="E614" i="10"/>
  <c r="B614" i="10"/>
  <c r="S613" i="10"/>
  <c r="Q613" i="10"/>
  <c r="P613" i="10"/>
  <c r="O613" i="10"/>
  <c r="M613" i="10"/>
  <c r="E613" i="10"/>
  <c r="B613" i="10"/>
  <c r="S612" i="10"/>
  <c r="Q612" i="10"/>
  <c r="P612" i="10"/>
  <c r="O612" i="10"/>
  <c r="M612" i="10"/>
  <c r="E612" i="10"/>
  <c r="B612" i="10"/>
  <c r="S611" i="10"/>
  <c r="Q611" i="10"/>
  <c r="P611" i="10"/>
  <c r="O611" i="10"/>
  <c r="M611" i="10"/>
  <c r="E611" i="10"/>
  <c r="B611" i="10"/>
  <c r="S610" i="10"/>
  <c r="Q610" i="10"/>
  <c r="P610" i="10"/>
  <c r="O610" i="10"/>
  <c r="M610" i="10"/>
  <c r="E610" i="10"/>
  <c r="B610" i="10"/>
  <c r="S609" i="10"/>
  <c r="Q609" i="10"/>
  <c r="P609" i="10"/>
  <c r="O609" i="10"/>
  <c r="M609" i="10"/>
  <c r="E609" i="10"/>
  <c r="B609" i="10"/>
  <c r="S608" i="10"/>
  <c r="Q608" i="10"/>
  <c r="P608" i="10"/>
  <c r="O608" i="10"/>
  <c r="M608" i="10"/>
  <c r="E608" i="10"/>
  <c r="B608" i="10"/>
  <c r="S607" i="10"/>
  <c r="Q607" i="10"/>
  <c r="P607" i="10"/>
  <c r="O607" i="10"/>
  <c r="M607" i="10"/>
  <c r="E607" i="10"/>
  <c r="B607" i="10"/>
  <c r="S606" i="10"/>
  <c r="Q606" i="10"/>
  <c r="P606" i="10"/>
  <c r="O606" i="10"/>
  <c r="M606" i="10"/>
  <c r="E606" i="10"/>
  <c r="B606" i="10"/>
  <c r="S605" i="10"/>
  <c r="Q605" i="10"/>
  <c r="P605" i="10"/>
  <c r="O605" i="10"/>
  <c r="M605" i="10"/>
  <c r="E605" i="10"/>
  <c r="B605" i="10"/>
  <c r="S604" i="10"/>
  <c r="Q604" i="10"/>
  <c r="P604" i="10"/>
  <c r="O604" i="10"/>
  <c r="M604" i="10"/>
  <c r="E604" i="10"/>
  <c r="B604" i="10"/>
  <c r="S603" i="10"/>
  <c r="Q603" i="10"/>
  <c r="P603" i="10"/>
  <c r="O603" i="10"/>
  <c r="M603" i="10"/>
  <c r="E603" i="10"/>
  <c r="B603" i="10"/>
  <c r="S602" i="10"/>
  <c r="Q602" i="10"/>
  <c r="P602" i="10"/>
  <c r="O602" i="10"/>
  <c r="M602" i="10"/>
  <c r="B602" i="10"/>
  <c r="S601" i="10"/>
  <c r="Q601" i="10"/>
  <c r="P601" i="10"/>
  <c r="O601" i="10"/>
  <c r="M601" i="10"/>
  <c r="E601" i="10"/>
  <c r="B601" i="10"/>
  <c r="S600" i="10"/>
  <c r="Q600" i="10"/>
  <c r="P600" i="10"/>
  <c r="O600" i="10"/>
  <c r="M600" i="10"/>
  <c r="E600" i="10"/>
  <c r="B600" i="10"/>
  <c r="S599" i="10"/>
  <c r="Q599" i="10"/>
  <c r="P599" i="10"/>
  <c r="O599" i="10"/>
  <c r="M599" i="10"/>
  <c r="B599" i="10"/>
  <c r="S598" i="10"/>
  <c r="Q598" i="10"/>
  <c r="P598" i="10"/>
  <c r="O598" i="10"/>
  <c r="M598" i="10"/>
  <c r="E598" i="10"/>
  <c r="B598" i="10"/>
  <c r="S597" i="10"/>
  <c r="Q597" i="10"/>
  <c r="P597" i="10"/>
  <c r="O597" i="10"/>
  <c r="M597" i="10"/>
  <c r="E597" i="10"/>
  <c r="B597" i="10"/>
  <c r="S596" i="10"/>
  <c r="Q596" i="10"/>
  <c r="P596" i="10"/>
  <c r="O596" i="10"/>
  <c r="M596" i="10"/>
  <c r="B596" i="10"/>
  <c r="S595" i="10"/>
  <c r="Q595" i="10"/>
  <c r="P595" i="10"/>
  <c r="O595" i="10"/>
  <c r="M595" i="10"/>
  <c r="E595" i="10"/>
  <c r="B595" i="10"/>
  <c r="S594" i="10"/>
  <c r="Q594" i="10"/>
  <c r="P594" i="10"/>
  <c r="O594" i="10"/>
  <c r="M594" i="10"/>
  <c r="B594" i="10"/>
  <c r="S593" i="10"/>
  <c r="Q593" i="10"/>
  <c r="P593" i="10"/>
  <c r="O593" i="10"/>
  <c r="M593" i="10"/>
  <c r="B593" i="10"/>
  <c r="S592" i="10"/>
  <c r="Q592" i="10"/>
  <c r="P592" i="10"/>
  <c r="O592" i="10"/>
  <c r="M592" i="10"/>
  <c r="B592" i="10"/>
  <c r="S591" i="10"/>
  <c r="Q591" i="10"/>
  <c r="P591" i="10"/>
  <c r="O591" i="10"/>
  <c r="M591" i="10"/>
  <c r="B591" i="10"/>
  <c r="S590" i="10"/>
  <c r="Q590" i="10"/>
  <c r="P590" i="10"/>
  <c r="O590" i="10"/>
  <c r="M590" i="10"/>
  <c r="E590" i="10"/>
  <c r="B590" i="10"/>
  <c r="S589" i="10"/>
  <c r="Q589" i="10"/>
  <c r="P589" i="10"/>
  <c r="O589" i="10"/>
  <c r="M589" i="10"/>
  <c r="E589" i="10"/>
  <c r="B589" i="10"/>
  <c r="S588" i="10"/>
  <c r="Q588" i="10"/>
  <c r="P588" i="10"/>
  <c r="O588" i="10"/>
  <c r="M588" i="10"/>
  <c r="E588" i="10"/>
  <c r="B588" i="10"/>
  <c r="S587" i="10"/>
  <c r="Q587" i="10"/>
  <c r="P587" i="10"/>
  <c r="O587" i="10"/>
  <c r="M587" i="10"/>
  <c r="E587" i="10"/>
  <c r="B587" i="10"/>
  <c r="S586" i="10"/>
  <c r="Q586" i="10"/>
  <c r="P586" i="10"/>
  <c r="O586" i="10"/>
  <c r="M586" i="10"/>
  <c r="B586" i="10"/>
  <c r="S585" i="10"/>
  <c r="Q585" i="10"/>
  <c r="P585" i="10"/>
  <c r="O585" i="10"/>
  <c r="M585" i="10"/>
  <c r="B585" i="10"/>
  <c r="S584" i="10"/>
  <c r="Q584" i="10"/>
  <c r="P584" i="10"/>
  <c r="O584" i="10"/>
  <c r="M584" i="10"/>
  <c r="E584" i="10"/>
  <c r="B584" i="10"/>
  <c r="S583" i="10"/>
  <c r="Q583" i="10"/>
  <c r="P583" i="10"/>
  <c r="O583" i="10"/>
  <c r="M583" i="10"/>
  <c r="E583" i="10"/>
  <c r="B583" i="10"/>
  <c r="S582" i="10"/>
  <c r="Q582" i="10"/>
  <c r="P582" i="10"/>
  <c r="O582" i="10"/>
  <c r="M582" i="10"/>
  <c r="E582" i="10"/>
  <c r="B582" i="10"/>
  <c r="S581" i="10"/>
  <c r="Q581" i="10"/>
  <c r="P581" i="10"/>
  <c r="O581" i="10"/>
  <c r="M581" i="10"/>
  <c r="E581" i="10"/>
  <c r="B581" i="10"/>
  <c r="S580" i="10"/>
  <c r="Q580" i="10"/>
  <c r="P580" i="10"/>
  <c r="O580" i="10"/>
  <c r="M580" i="10"/>
  <c r="E580" i="10"/>
  <c r="B580" i="10"/>
  <c r="S579" i="10"/>
  <c r="Q579" i="10"/>
  <c r="P579" i="10"/>
  <c r="O579" i="10"/>
  <c r="M579" i="10"/>
  <c r="E579" i="10"/>
  <c r="B579" i="10"/>
  <c r="S578" i="10"/>
  <c r="Q578" i="10"/>
  <c r="P578" i="10"/>
  <c r="O578" i="10"/>
  <c r="M578" i="10"/>
  <c r="E578" i="10"/>
  <c r="B578" i="10"/>
  <c r="S577" i="10"/>
  <c r="Q577" i="10"/>
  <c r="P577" i="10"/>
  <c r="O577" i="10"/>
  <c r="M577" i="10"/>
  <c r="E577" i="10"/>
  <c r="B577" i="10"/>
  <c r="S576" i="10"/>
  <c r="Q576" i="10"/>
  <c r="P576" i="10"/>
  <c r="O576" i="10"/>
  <c r="M576" i="10"/>
  <c r="E576" i="10"/>
  <c r="B576" i="10"/>
  <c r="S575" i="10"/>
  <c r="Q575" i="10"/>
  <c r="P575" i="10"/>
  <c r="O575" i="10"/>
  <c r="M575" i="10"/>
  <c r="B575" i="10"/>
  <c r="S574" i="10"/>
  <c r="Q574" i="10"/>
  <c r="P574" i="10"/>
  <c r="O574" i="10"/>
  <c r="M574" i="10"/>
  <c r="E574" i="10"/>
  <c r="B574" i="10"/>
  <c r="S573" i="10"/>
  <c r="Q573" i="10"/>
  <c r="P573" i="10"/>
  <c r="O573" i="10"/>
  <c r="M573" i="10"/>
  <c r="E573" i="10"/>
  <c r="B573" i="10"/>
  <c r="S572" i="10"/>
  <c r="Q572" i="10"/>
  <c r="P572" i="10"/>
  <c r="O572" i="10"/>
  <c r="M572" i="10"/>
  <c r="B572" i="10"/>
  <c r="S571" i="10"/>
  <c r="Q571" i="10"/>
  <c r="P571" i="10"/>
  <c r="O571" i="10"/>
  <c r="M571" i="10"/>
  <c r="B571" i="10"/>
  <c r="S570" i="10"/>
  <c r="Q570" i="10"/>
  <c r="P570" i="10"/>
  <c r="O570" i="10"/>
  <c r="M570" i="10"/>
  <c r="E570" i="10"/>
  <c r="B570" i="10"/>
  <c r="S569" i="10"/>
  <c r="Q569" i="10"/>
  <c r="P569" i="10"/>
  <c r="O569" i="10"/>
  <c r="M569" i="10"/>
  <c r="E569" i="10"/>
  <c r="B569" i="10"/>
  <c r="S568" i="10"/>
  <c r="Q568" i="10"/>
  <c r="P568" i="10"/>
  <c r="O568" i="10"/>
  <c r="M568" i="10"/>
  <c r="E568" i="10"/>
  <c r="B568" i="10"/>
  <c r="S567" i="10"/>
  <c r="Q567" i="10"/>
  <c r="P567" i="10"/>
  <c r="O567" i="10"/>
  <c r="M567" i="10"/>
  <c r="E567" i="10"/>
  <c r="B567" i="10"/>
  <c r="S566" i="10"/>
  <c r="Q566" i="10"/>
  <c r="P566" i="10"/>
  <c r="O566" i="10"/>
  <c r="M566" i="10"/>
  <c r="E566" i="10"/>
  <c r="B566" i="10"/>
  <c r="S565" i="10"/>
  <c r="Q565" i="10"/>
  <c r="P565" i="10"/>
  <c r="O565" i="10"/>
  <c r="M565" i="10"/>
  <c r="E565" i="10"/>
  <c r="B565" i="10"/>
  <c r="S564" i="10"/>
  <c r="Q564" i="10"/>
  <c r="P564" i="10"/>
  <c r="O564" i="10"/>
  <c r="M564" i="10"/>
  <c r="E564" i="10"/>
  <c r="B564" i="10"/>
  <c r="S563" i="10"/>
  <c r="Q563" i="10"/>
  <c r="P563" i="10"/>
  <c r="O563" i="10"/>
  <c r="M563" i="10"/>
  <c r="E563" i="10"/>
  <c r="B563" i="10"/>
  <c r="S562" i="10"/>
  <c r="Q562" i="10"/>
  <c r="P562" i="10"/>
  <c r="O562" i="10"/>
  <c r="M562" i="10"/>
  <c r="B562" i="10"/>
  <c r="S561" i="10"/>
  <c r="Q561" i="10"/>
  <c r="P561" i="10"/>
  <c r="O561" i="10"/>
  <c r="M561" i="10"/>
  <c r="E561" i="10"/>
  <c r="B561" i="10"/>
  <c r="S560" i="10"/>
  <c r="Q560" i="10"/>
  <c r="P560" i="10"/>
  <c r="O560" i="10"/>
  <c r="M560" i="10"/>
  <c r="E560" i="10"/>
  <c r="B560" i="10"/>
  <c r="S559" i="10"/>
  <c r="Q559" i="10"/>
  <c r="P559" i="10"/>
  <c r="O559" i="10"/>
  <c r="M559" i="10"/>
  <c r="E559" i="10"/>
  <c r="B559" i="10"/>
  <c r="S558" i="10"/>
  <c r="Q558" i="10"/>
  <c r="P558" i="10"/>
  <c r="O558" i="10"/>
  <c r="M558" i="10"/>
  <c r="E558" i="10"/>
  <c r="B558" i="10"/>
  <c r="S557" i="10"/>
  <c r="Q557" i="10"/>
  <c r="P557" i="10"/>
  <c r="O557" i="10"/>
  <c r="M557" i="10"/>
  <c r="E557" i="10"/>
  <c r="B557" i="10"/>
  <c r="S556" i="10"/>
  <c r="Q556" i="10"/>
  <c r="P556" i="10"/>
  <c r="O556" i="10"/>
  <c r="M556" i="10"/>
  <c r="E556" i="10"/>
  <c r="B556" i="10"/>
  <c r="S555" i="10"/>
  <c r="Q555" i="10"/>
  <c r="P555" i="10"/>
  <c r="O555" i="10"/>
  <c r="M555" i="10"/>
  <c r="E555" i="10"/>
  <c r="B555" i="10"/>
  <c r="S554" i="10"/>
  <c r="Q554" i="10"/>
  <c r="P554" i="10"/>
  <c r="O554" i="10"/>
  <c r="M554" i="10"/>
  <c r="E554" i="10"/>
  <c r="B554" i="10"/>
  <c r="S553" i="10"/>
  <c r="Q553" i="10"/>
  <c r="P553" i="10"/>
  <c r="O553" i="10"/>
  <c r="M553" i="10"/>
  <c r="E553" i="10"/>
  <c r="B553" i="10"/>
  <c r="S552" i="10"/>
  <c r="Q552" i="10"/>
  <c r="P552" i="10"/>
  <c r="O552" i="10"/>
  <c r="M552" i="10"/>
  <c r="E552" i="10"/>
  <c r="B552" i="10"/>
  <c r="S551" i="10"/>
  <c r="Q551" i="10"/>
  <c r="P551" i="10"/>
  <c r="O551" i="10"/>
  <c r="M551" i="10"/>
  <c r="B551" i="10"/>
  <c r="S550" i="10"/>
  <c r="Q550" i="10"/>
  <c r="P550" i="10"/>
  <c r="O550" i="10"/>
  <c r="M550" i="10"/>
  <c r="E550" i="10"/>
  <c r="B550" i="10"/>
  <c r="S549" i="10"/>
  <c r="Q549" i="10"/>
  <c r="P549" i="10"/>
  <c r="O549" i="10"/>
  <c r="M549" i="10"/>
  <c r="E549" i="10"/>
  <c r="B549" i="10"/>
  <c r="S548" i="10"/>
  <c r="Q548" i="10"/>
  <c r="P548" i="10"/>
  <c r="O548" i="10"/>
  <c r="M548" i="10"/>
  <c r="E548" i="10"/>
  <c r="B548" i="10"/>
  <c r="S547" i="10"/>
  <c r="Q547" i="10"/>
  <c r="P547" i="10"/>
  <c r="O547" i="10"/>
  <c r="M547" i="10"/>
  <c r="B547" i="10"/>
  <c r="S546" i="10"/>
  <c r="Q546" i="10"/>
  <c r="P546" i="10"/>
  <c r="O546" i="10"/>
  <c r="M546" i="10"/>
  <c r="E546" i="10"/>
  <c r="B546" i="10"/>
  <c r="S545" i="10"/>
  <c r="Q545" i="10"/>
  <c r="P545" i="10"/>
  <c r="O545" i="10"/>
  <c r="M545" i="10"/>
  <c r="E545" i="10"/>
  <c r="B545" i="10"/>
  <c r="S544" i="10"/>
  <c r="Q544" i="10"/>
  <c r="P544" i="10"/>
  <c r="O544" i="10"/>
  <c r="M544" i="10"/>
  <c r="B544" i="10"/>
  <c r="S543" i="10"/>
  <c r="Q543" i="10"/>
  <c r="P543" i="10"/>
  <c r="O543" i="10"/>
  <c r="M543" i="10"/>
  <c r="B543" i="10"/>
  <c r="S542" i="10"/>
  <c r="Q542" i="10"/>
  <c r="P542" i="10"/>
  <c r="O542" i="10"/>
  <c r="M542" i="10"/>
  <c r="E542" i="10"/>
  <c r="B542" i="10"/>
  <c r="S541" i="10"/>
  <c r="Q541" i="10"/>
  <c r="P541" i="10"/>
  <c r="O541" i="10"/>
  <c r="M541" i="10"/>
  <c r="B541" i="10"/>
  <c r="S540" i="10"/>
  <c r="Q540" i="10"/>
  <c r="P540" i="10"/>
  <c r="O540" i="10"/>
  <c r="M540" i="10"/>
  <c r="B540" i="10"/>
  <c r="S539" i="10"/>
  <c r="Q539" i="10"/>
  <c r="P539" i="10"/>
  <c r="O539" i="10"/>
  <c r="M539" i="10"/>
  <c r="E539" i="10"/>
  <c r="B539" i="10"/>
  <c r="S538" i="10"/>
  <c r="Q538" i="10"/>
  <c r="P538" i="10"/>
  <c r="O538" i="10"/>
  <c r="M538" i="10"/>
  <c r="E538" i="10"/>
  <c r="B538" i="10"/>
  <c r="S537" i="10"/>
  <c r="Q537" i="10"/>
  <c r="P537" i="10"/>
  <c r="O537" i="10"/>
  <c r="M537" i="10"/>
  <c r="E537" i="10"/>
  <c r="B537" i="10"/>
  <c r="S536" i="10"/>
  <c r="Q536" i="10"/>
  <c r="P536" i="10"/>
  <c r="O536" i="10"/>
  <c r="M536" i="10"/>
  <c r="E536" i="10"/>
  <c r="B536" i="10"/>
  <c r="S535" i="10"/>
  <c r="Q535" i="10"/>
  <c r="P535" i="10"/>
  <c r="O535" i="10"/>
  <c r="M535" i="10"/>
  <c r="B535" i="10"/>
  <c r="S534" i="10"/>
  <c r="Q534" i="10"/>
  <c r="P534" i="10"/>
  <c r="O534" i="10"/>
  <c r="M534" i="10"/>
  <c r="E534" i="10"/>
  <c r="B534" i="10"/>
  <c r="S533" i="10"/>
  <c r="Q533" i="10"/>
  <c r="P533" i="10"/>
  <c r="O533" i="10"/>
  <c r="M533" i="10"/>
  <c r="E533" i="10"/>
  <c r="B533" i="10"/>
  <c r="S532" i="10"/>
  <c r="Q532" i="10"/>
  <c r="P532" i="10"/>
  <c r="O532" i="10"/>
  <c r="M532" i="10"/>
  <c r="E532" i="10"/>
  <c r="B532" i="10"/>
  <c r="S531" i="10"/>
  <c r="Q531" i="10"/>
  <c r="P531" i="10"/>
  <c r="O531" i="10"/>
  <c r="M531" i="10"/>
  <c r="E531" i="10"/>
  <c r="B531" i="10"/>
  <c r="S530" i="10"/>
  <c r="Q530" i="10"/>
  <c r="P530" i="10"/>
  <c r="O530" i="10"/>
  <c r="M530" i="10"/>
  <c r="E530" i="10"/>
  <c r="B530" i="10"/>
  <c r="S529" i="10"/>
  <c r="Q529" i="10"/>
  <c r="P529" i="10"/>
  <c r="O529" i="10"/>
  <c r="M529" i="10"/>
  <c r="E529" i="10"/>
  <c r="B529" i="10"/>
  <c r="S528" i="10"/>
  <c r="Q528" i="10"/>
  <c r="P528" i="10"/>
  <c r="O528" i="10"/>
  <c r="M528" i="10"/>
  <c r="E528" i="10"/>
  <c r="B528" i="10"/>
  <c r="S527" i="10"/>
  <c r="Q527" i="10"/>
  <c r="P527" i="10"/>
  <c r="O527" i="10"/>
  <c r="M527" i="10"/>
  <c r="E527" i="10"/>
  <c r="B527" i="10"/>
  <c r="S526" i="10"/>
  <c r="Q526" i="10"/>
  <c r="P526" i="10"/>
  <c r="O526" i="10"/>
  <c r="M526" i="10"/>
  <c r="E526" i="10"/>
  <c r="B526" i="10"/>
  <c r="S525" i="10"/>
  <c r="Q525" i="10"/>
  <c r="P525" i="10"/>
  <c r="O525" i="10"/>
  <c r="M525" i="10"/>
  <c r="E525" i="10"/>
  <c r="B525" i="10"/>
  <c r="S524" i="10"/>
  <c r="Q524" i="10"/>
  <c r="P524" i="10"/>
  <c r="O524" i="10"/>
  <c r="M524" i="10"/>
  <c r="E524" i="10"/>
  <c r="B524" i="10"/>
  <c r="S523" i="10"/>
  <c r="Q523" i="10"/>
  <c r="P523" i="10"/>
  <c r="O523" i="10"/>
  <c r="M523" i="10"/>
  <c r="B523" i="10"/>
  <c r="S522" i="10"/>
  <c r="Q522" i="10"/>
  <c r="P522" i="10"/>
  <c r="O522" i="10"/>
  <c r="M522" i="10"/>
  <c r="E522" i="10"/>
  <c r="B522" i="10"/>
  <c r="S521" i="10"/>
  <c r="Q521" i="10"/>
  <c r="P521" i="10"/>
  <c r="O521" i="10"/>
  <c r="M521" i="10"/>
  <c r="B521" i="10"/>
  <c r="S520" i="10"/>
  <c r="Q520" i="10"/>
  <c r="P520" i="10"/>
  <c r="O520" i="10"/>
  <c r="M520" i="10"/>
  <c r="E520" i="10"/>
  <c r="B520" i="10"/>
  <c r="S519" i="10"/>
  <c r="Q519" i="10"/>
  <c r="P519" i="10"/>
  <c r="O519" i="10"/>
  <c r="M519" i="10"/>
  <c r="E519" i="10"/>
  <c r="B519" i="10"/>
  <c r="S518" i="10"/>
  <c r="Q518" i="10"/>
  <c r="P518" i="10"/>
  <c r="O518" i="10"/>
  <c r="M518" i="10"/>
  <c r="E518" i="10"/>
  <c r="B518" i="10"/>
  <c r="S517" i="10"/>
  <c r="Q517" i="10"/>
  <c r="P517" i="10"/>
  <c r="O517" i="10"/>
  <c r="M517" i="10"/>
  <c r="E517" i="10"/>
  <c r="B517" i="10"/>
  <c r="S516" i="10"/>
  <c r="Q516" i="10"/>
  <c r="P516" i="10"/>
  <c r="O516" i="10"/>
  <c r="M516" i="10"/>
  <c r="E516" i="10"/>
  <c r="B516" i="10"/>
  <c r="S515" i="10"/>
  <c r="Q515" i="10"/>
  <c r="P515" i="10"/>
  <c r="O515" i="10"/>
  <c r="M515" i="10"/>
  <c r="E515" i="10"/>
  <c r="B515" i="10"/>
  <c r="S514" i="10"/>
  <c r="Q514" i="10"/>
  <c r="P514" i="10"/>
  <c r="O514" i="10"/>
  <c r="M514" i="10"/>
  <c r="E514" i="10"/>
  <c r="B514" i="10"/>
  <c r="S513" i="10"/>
  <c r="Q513" i="10"/>
  <c r="P513" i="10"/>
  <c r="O513" i="10"/>
  <c r="M513" i="10"/>
  <c r="E513" i="10"/>
  <c r="B513" i="10"/>
  <c r="S512" i="10"/>
  <c r="Q512" i="10"/>
  <c r="P512" i="10"/>
  <c r="O512" i="10"/>
  <c r="M512" i="10"/>
  <c r="E512" i="10"/>
  <c r="B512" i="10"/>
  <c r="S511" i="10"/>
  <c r="Q511" i="10"/>
  <c r="P511" i="10"/>
  <c r="O511" i="10"/>
  <c r="M511" i="10"/>
  <c r="E511" i="10"/>
  <c r="B511" i="10"/>
  <c r="S510" i="10"/>
  <c r="Q510" i="10"/>
  <c r="P510" i="10"/>
  <c r="O510" i="10"/>
  <c r="M510" i="10"/>
  <c r="B510" i="10"/>
  <c r="S509" i="10"/>
  <c r="Q509" i="10"/>
  <c r="P509" i="10"/>
  <c r="O509" i="10"/>
  <c r="M509" i="10"/>
  <c r="E509" i="10"/>
  <c r="B509" i="10"/>
  <c r="S508" i="10"/>
  <c r="Q508" i="10"/>
  <c r="P508" i="10"/>
  <c r="O508" i="10"/>
  <c r="M508" i="10"/>
  <c r="E508" i="10"/>
  <c r="B508" i="10"/>
  <c r="S507" i="10"/>
  <c r="Q507" i="10"/>
  <c r="P507" i="10"/>
  <c r="O507" i="10"/>
  <c r="M507" i="10"/>
  <c r="E507" i="10"/>
  <c r="B507" i="10"/>
  <c r="S506" i="10"/>
  <c r="Q506" i="10"/>
  <c r="P506" i="10"/>
  <c r="O506" i="10"/>
  <c r="M506" i="10"/>
  <c r="E506" i="10"/>
  <c r="B506" i="10"/>
  <c r="S505" i="10"/>
  <c r="Q505" i="10"/>
  <c r="P505" i="10"/>
  <c r="O505" i="10"/>
  <c r="M505" i="10"/>
  <c r="E505" i="10"/>
  <c r="B505" i="10"/>
  <c r="S504" i="10"/>
  <c r="Q504" i="10"/>
  <c r="P504" i="10"/>
  <c r="O504" i="10"/>
  <c r="M504" i="10"/>
  <c r="E504" i="10"/>
  <c r="B504" i="10"/>
  <c r="S503" i="10"/>
  <c r="Q503" i="10"/>
  <c r="P503" i="10"/>
  <c r="O503" i="10"/>
  <c r="M503" i="10"/>
  <c r="E503" i="10"/>
  <c r="B503" i="10"/>
  <c r="S502" i="10"/>
  <c r="Q502" i="10"/>
  <c r="P502" i="10"/>
  <c r="O502" i="10"/>
  <c r="M502" i="10"/>
  <c r="E502" i="10"/>
  <c r="B502" i="10"/>
  <c r="S501" i="10"/>
  <c r="Q501" i="10"/>
  <c r="P501" i="10"/>
  <c r="O501" i="10"/>
  <c r="M501" i="10"/>
  <c r="E501" i="10"/>
  <c r="B501" i="10"/>
  <c r="S500" i="10"/>
  <c r="Q500" i="10"/>
  <c r="P500" i="10"/>
  <c r="O500" i="10"/>
  <c r="M500" i="10"/>
  <c r="E500" i="10"/>
  <c r="B500" i="10"/>
  <c r="S499" i="10"/>
  <c r="Q499" i="10"/>
  <c r="P499" i="10"/>
  <c r="O499" i="10"/>
  <c r="M499" i="10"/>
  <c r="E499" i="10"/>
  <c r="B499" i="10"/>
  <c r="S498" i="10"/>
  <c r="Q498" i="10"/>
  <c r="P498" i="10"/>
  <c r="O498" i="10"/>
  <c r="M498" i="10"/>
  <c r="E498" i="10"/>
  <c r="B498" i="10"/>
  <c r="S497" i="10"/>
  <c r="Q497" i="10"/>
  <c r="P497" i="10"/>
  <c r="O497" i="10"/>
  <c r="M497" i="10"/>
  <c r="E497" i="10"/>
  <c r="B497" i="10"/>
  <c r="S496" i="10"/>
  <c r="Q496" i="10"/>
  <c r="P496" i="10"/>
  <c r="O496" i="10"/>
  <c r="M496" i="10"/>
  <c r="B496" i="10"/>
  <c r="S495" i="10"/>
  <c r="Q495" i="10"/>
  <c r="P495" i="10"/>
  <c r="O495" i="10"/>
  <c r="M495" i="10"/>
  <c r="B495" i="10"/>
  <c r="S494" i="10"/>
  <c r="Q494" i="10"/>
  <c r="P494" i="10"/>
  <c r="O494" i="10"/>
  <c r="M494" i="10"/>
  <c r="B494" i="10"/>
  <c r="S493" i="10"/>
  <c r="Q493" i="10"/>
  <c r="P493" i="10"/>
  <c r="O493" i="10"/>
  <c r="M493" i="10"/>
  <c r="E493" i="10"/>
  <c r="B493" i="10"/>
  <c r="S492" i="10"/>
  <c r="Q492" i="10"/>
  <c r="P492" i="10"/>
  <c r="O492" i="10"/>
  <c r="M492" i="10"/>
  <c r="B492" i="10"/>
  <c r="S491" i="10"/>
  <c r="Q491" i="10"/>
  <c r="P491" i="10"/>
  <c r="O491" i="10"/>
  <c r="M491" i="10"/>
  <c r="E491" i="10"/>
  <c r="B491" i="10"/>
  <c r="S490" i="10"/>
  <c r="Q490" i="10"/>
  <c r="P490" i="10"/>
  <c r="O490" i="10"/>
  <c r="M490" i="10"/>
  <c r="E490" i="10"/>
  <c r="B490" i="10"/>
  <c r="S489" i="10"/>
  <c r="Q489" i="10"/>
  <c r="P489" i="10"/>
  <c r="O489" i="10"/>
  <c r="M489" i="10"/>
  <c r="E489" i="10"/>
  <c r="B489" i="10"/>
  <c r="S488" i="10"/>
  <c r="Q488" i="10"/>
  <c r="P488" i="10"/>
  <c r="O488" i="10"/>
  <c r="M488" i="10"/>
  <c r="E488" i="10"/>
  <c r="B488" i="10"/>
  <c r="S487" i="10"/>
  <c r="Q487" i="10"/>
  <c r="P487" i="10"/>
  <c r="O487" i="10"/>
  <c r="M487" i="10"/>
  <c r="E487" i="10"/>
  <c r="B487" i="10"/>
  <c r="S486" i="10"/>
  <c r="Q486" i="10"/>
  <c r="P486" i="10"/>
  <c r="O486" i="10"/>
  <c r="M486" i="10"/>
  <c r="E486" i="10"/>
  <c r="B486" i="10"/>
  <c r="S485" i="10"/>
  <c r="Q485" i="10"/>
  <c r="P485" i="10"/>
  <c r="O485" i="10"/>
  <c r="M485" i="10"/>
  <c r="E485" i="10"/>
  <c r="B485" i="10"/>
  <c r="S484" i="10"/>
  <c r="Q484" i="10"/>
  <c r="P484" i="10"/>
  <c r="O484" i="10"/>
  <c r="M484" i="10"/>
  <c r="E484" i="10"/>
  <c r="B484" i="10"/>
  <c r="S483" i="10"/>
  <c r="Q483" i="10"/>
  <c r="P483" i="10"/>
  <c r="O483" i="10"/>
  <c r="M483" i="10"/>
  <c r="E483" i="10"/>
  <c r="B483" i="10"/>
  <c r="S482" i="10"/>
  <c r="Q482" i="10"/>
  <c r="P482" i="10"/>
  <c r="O482" i="10"/>
  <c r="M482" i="10"/>
  <c r="E482" i="10"/>
  <c r="B482" i="10"/>
  <c r="S481" i="10"/>
  <c r="Q481" i="10"/>
  <c r="P481" i="10"/>
  <c r="O481" i="10"/>
  <c r="M481" i="10"/>
  <c r="E481" i="10"/>
  <c r="B481" i="10"/>
  <c r="S480" i="10"/>
  <c r="Q480" i="10"/>
  <c r="P480" i="10"/>
  <c r="O480" i="10"/>
  <c r="M480" i="10"/>
  <c r="E480" i="10"/>
  <c r="B480" i="10"/>
  <c r="S479" i="10"/>
  <c r="Q479" i="10"/>
  <c r="P479" i="10"/>
  <c r="O479" i="10"/>
  <c r="M479" i="10"/>
  <c r="E479" i="10"/>
  <c r="B479" i="10"/>
  <c r="S478" i="10"/>
  <c r="Q478" i="10"/>
  <c r="P478" i="10"/>
  <c r="O478" i="10"/>
  <c r="M478" i="10"/>
  <c r="E478" i="10"/>
  <c r="B478" i="10"/>
  <c r="S477" i="10"/>
  <c r="Q477" i="10"/>
  <c r="P477" i="10"/>
  <c r="O477" i="10"/>
  <c r="M477" i="10"/>
  <c r="E477" i="10"/>
  <c r="B477" i="10"/>
  <c r="S476" i="10"/>
  <c r="Q476" i="10"/>
  <c r="P476" i="10"/>
  <c r="O476" i="10"/>
  <c r="M476" i="10"/>
  <c r="E476" i="10"/>
  <c r="B476" i="10"/>
  <c r="S475" i="10"/>
  <c r="Q475" i="10"/>
  <c r="P475" i="10"/>
  <c r="O475" i="10"/>
  <c r="M475" i="10"/>
  <c r="E475" i="10"/>
  <c r="B475" i="10"/>
  <c r="S474" i="10"/>
  <c r="Q474" i="10"/>
  <c r="P474" i="10"/>
  <c r="O474" i="10"/>
  <c r="M474" i="10"/>
  <c r="E474" i="10"/>
  <c r="B474" i="10"/>
  <c r="S473" i="10"/>
  <c r="Q473" i="10"/>
  <c r="P473" i="10"/>
  <c r="O473" i="10"/>
  <c r="M473" i="10"/>
  <c r="E473" i="10"/>
  <c r="B473" i="10"/>
  <c r="S472" i="10"/>
  <c r="Q472" i="10"/>
  <c r="P472" i="10"/>
  <c r="O472" i="10"/>
  <c r="M472" i="10"/>
  <c r="E472" i="10"/>
  <c r="B472" i="10"/>
  <c r="S471" i="10"/>
  <c r="Q471" i="10"/>
  <c r="P471" i="10"/>
  <c r="O471" i="10"/>
  <c r="M471" i="10"/>
  <c r="E471" i="10"/>
  <c r="B471" i="10"/>
  <c r="S470" i="10"/>
  <c r="Q470" i="10"/>
  <c r="P470" i="10"/>
  <c r="O470" i="10"/>
  <c r="M470" i="10"/>
  <c r="E470" i="10"/>
  <c r="B470" i="10"/>
  <c r="S469" i="10"/>
  <c r="Q469" i="10"/>
  <c r="P469" i="10"/>
  <c r="O469" i="10"/>
  <c r="M469" i="10"/>
  <c r="E469" i="10"/>
  <c r="B469" i="10"/>
  <c r="S468" i="10"/>
  <c r="Q468" i="10"/>
  <c r="P468" i="10"/>
  <c r="O468" i="10"/>
  <c r="M468" i="10"/>
  <c r="E468" i="10"/>
  <c r="B468" i="10"/>
  <c r="S467" i="10"/>
  <c r="Q467" i="10"/>
  <c r="P467" i="10"/>
  <c r="O467" i="10"/>
  <c r="M467" i="10"/>
  <c r="E467" i="10"/>
  <c r="B467" i="10"/>
  <c r="S466" i="10"/>
  <c r="Q466" i="10"/>
  <c r="P466" i="10"/>
  <c r="O466" i="10"/>
  <c r="M466" i="10"/>
  <c r="E466" i="10"/>
  <c r="B466" i="10"/>
  <c r="S465" i="10"/>
  <c r="Q465" i="10"/>
  <c r="P465" i="10"/>
  <c r="O465" i="10"/>
  <c r="M465" i="10"/>
  <c r="E465" i="10"/>
  <c r="B465" i="10"/>
  <c r="S464" i="10"/>
  <c r="Q464" i="10"/>
  <c r="P464" i="10"/>
  <c r="O464" i="10"/>
  <c r="M464" i="10"/>
  <c r="E464" i="10"/>
  <c r="B464" i="10"/>
  <c r="S463" i="10"/>
  <c r="Q463" i="10"/>
  <c r="P463" i="10"/>
  <c r="O463" i="10"/>
  <c r="M463" i="10"/>
  <c r="E463" i="10"/>
  <c r="B463" i="10"/>
  <c r="S462" i="10"/>
  <c r="Q462" i="10"/>
  <c r="P462" i="10"/>
  <c r="O462" i="10"/>
  <c r="M462" i="10"/>
  <c r="E462" i="10"/>
  <c r="B462" i="10"/>
  <c r="S461" i="10"/>
  <c r="Q461" i="10"/>
  <c r="P461" i="10"/>
  <c r="O461" i="10"/>
  <c r="M461" i="10"/>
  <c r="E461" i="10"/>
  <c r="B461" i="10"/>
  <c r="S460" i="10"/>
  <c r="Q460" i="10"/>
  <c r="P460" i="10"/>
  <c r="O460" i="10"/>
  <c r="M460" i="10"/>
  <c r="E460" i="10"/>
  <c r="B460" i="10"/>
  <c r="S459" i="10"/>
  <c r="Q459" i="10"/>
  <c r="P459" i="10"/>
  <c r="O459" i="10"/>
  <c r="M459" i="10"/>
  <c r="E459" i="10"/>
  <c r="B459" i="10"/>
  <c r="S458" i="10"/>
  <c r="Q458" i="10"/>
  <c r="P458" i="10"/>
  <c r="O458" i="10"/>
  <c r="M458" i="10"/>
  <c r="E458" i="10"/>
  <c r="B458" i="10"/>
  <c r="S457" i="10"/>
  <c r="Q457" i="10"/>
  <c r="P457" i="10"/>
  <c r="O457" i="10"/>
  <c r="M457" i="10"/>
  <c r="E457" i="10"/>
  <c r="B457" i="10"/>
  <c r="S456" i="10"/>
  <c r="Q456" i="10"/>
  <c r="P456" i="10"/>
  <c r="O456" i="10"/>
  <c r="M456" i="10"/>
  <c r="E456" i="10"/>
  <c r="B456" i="10"/>
  <c r="S455" i="10"/>
  <c r="Q455" i="10"/>
  <c r="P455" i="10"/>
  <c r="O455" i="10"/>
  <c r="M455" i="10"/>
  <c r="E455" i="10"/>
  <c r="B455" i="10"/>
  <c r="S454" i="10"/>
  <c r="Q454" i="10"/>
  <c r="P454" i="10"/>
  <c r="O454" i="10"/>
  <c r="M454" i="10"/>
  <c r="E454" i="10"/>
  <c r="B454" i="10"/>
  <c r="S453" i="10"/>
  <c r="Q453" i="10"/>
  <c r="P453" i="10"/>
  <c r="O453" i="10"/>
  <c r="M453" i="10"/>
  <c r="E453" i="10"/>
  <c r="B453" i="10"/>
  <c r="S452" i="10"/>
  <c r="Q452" i="10"/>
  <c r="P452" i="10"/>
  <c r="O452" i="10"/>
  <c r="M452" i="10"/>
  <c r="E452" i="10"/>
  <c r="B452" i="10"/>
  <c r="S451" i="10"/>
  <c r="Q451" i="10"/>
  <c r="P451" i="10"/>
  <c r="O451" i="10"/>
  <c r="M451" i="10"/>
  <c r="E451" i="10"/>
  <c r="B451" i="10"/>
  <c r="S450" i="10"/>
  <c r="Q450" i="10"/>
  <c r="P450" i="10"/>
  <c r="O450" i="10"/>
  <c r="M450" i="10"/>
  <c r="E450" i="10"/>
  <c r="B450" i="10"/>
  <c r="S449" i="10"/>
  <c r="Q449" i="10"/>
  <c r="P449" i="10"/>
  <c r="O449" i="10"/>
  <c r="M449" i="10"/>
  <c r="E449" i="10"/>
  <c r="B449" i="10"/>
  <c r="S448" i="10"/>
  <c r="Q448" i="10"/>
  <c r="P448" i="10"/>
  <c r="O448" i="10"/>
  <c r="M448" i="10"/>
  <c r="E448" i="10"/>
  <c r="B448" i="10"/>
  <c r="S447" i="10"/>
  <c r="Q447" i="10"/>
  <c r="P447" i="10"/>
  <c r="O447" i="10"/>
  <c r="M447" i="10"/>
  <c r="E447" i="10"/>
  <c r="B447" i="10"/>
  <c r="S446" i="10"/>
  <c r="Q446" i="10"/>
  <c r="P446" i="10"/>
  <c r="O446" i="10"/>
  <c r="M446" i="10"/>
  <c r="E446" i="10"/>
  <c r="B446" i="10"/>
  <c r="S445" i="10"/>
  <c r="Q445" i="10"/>
  <c r="P445" i="10"/>
  <c r="O445" i="10"/>
  <c r="M445" i="10"/>
  <c r="E445" i="10"/>
  <c r="B445" i="10"/>
  <c r="S444" i="10"/>
  <c r="Q444" i="10"/>
  <c r="P444" i="10"/>
  <c r="O444" i="10"/>
  <c r="M444" i="10"/>
  <c r="E444" i="10"/>
  <c r="B444" i="10"/>
  <c r="S443" i="10"/>
  <c r="Q443" i="10"/>
  <c r="P443" i="10"/>
  <c r="O443" i="10"/>
  <c r="M443" i="10"/>
  <c r="E443" i="10"/>
  <c r="B443" i="10"/>
  <c r="S442" i="10"/>
  <c r="Q442" i="10"/>
  <c r="P442" i="10"/>
  <c r="O442" i="10"/>
  <c r="M442" i="10"/>
  <c r="E442" i="10"/>
  <c r="B442" i="10"/>
  <c r="S441" i="10"/>
  <c r="Q441" i="10"/>
  <c r="P441" i="10"/>
  <c r="O441" i="10"/>
  <c r="M441" i="10"/>
  <c r="E441" i="10"/>
  <c r="B441" i="10"/>
  <c r="S440" i="10"/>
  <c r="Q440" i="10"/>
  <c r="P440" i="10"/>
  <c r="O440" i="10"/>
  <c r="M440" i="10"/>
  <c r="E440" i="10"/>
  <c r="B440" i="10"/>
  <c r="S439" i="10"/>
  <c r="Q439" i="10"/>
  <c r="P439" i="10"/>
  <c r="O439" i="10"/>
  <c r="M439" i="10"/>
  <c r="E439" i="10"/>
  <c r="B439" i="10"/>
  <c r="S438" i="10"/>
  <c r="Q438" i="10"/>
  <c r="P438" i="10"/>
  <c r="O438" i="10"/>
  <c r="M438" i="10"/>
  <c r="E438" i="10"/>
  <c r="B438" i="10"/>
  <c r="S437" i="10"/>
  <c r="Q437" i="10"/>
  <c r="P437" i="10"/>
  <c r="O437" i="10"/>
  <c r="M437" i="10"/>
  <c r="E437" i="10"/>
  <c r="B437" i="10"/>
  <c r="S436" i="10"/>
  <c r="Q436" i="10"/>
  <c r="P436" i="10"/>
  <c r="O436" i="10"/>
  <c r="M436" i="10"/>
  <c r="E436" i="10"/>
  <c r="B436" i="10"/>
  <c r="S435" i="10"/>
  <c r="Q435" i="10"/>
  <c r="P435" i="10"/>
  <c r="O435" i="10"/>
  <c r="M435" i="10"/>
  <c r="E435" i="10"/>
  <c r="B435" i="10"/>
  <c r="S434" i="10"/>
  <c r="Q434" i="10"/>
  <c r="P434" i="10"/>
  <c r="O434" i="10"/>
  <c r="M434" i="10"/>
  <c r="E434" i="10"/>
  <c r="B434" i="10"/>
  <c r="S433" i="10"/>
  <c r="Q433" i="10"/>
  <c r="P433" i="10"/>
  <c r="O433" i="10"/>
  <c r="M433" i="10"/>
  <c r="E433" i="10"/>
  <c r="B433" i="10"/>
  <c r="S432" i="10"/>
  <c r="Q432" i="10"/>
  <c r="P432" i="10"/>
  <c r="O432" i="10"/>
  <c r="M432" i="10"/>
  <c r="E432" i="10"/>
  <c r="B432" i="10"/>
  <c r="S431" i="10"/>
  <c r="Q431" i="10"/>
  <c r="P431" i="10"/>
  <c r="O431" i="10"/>
  <c r="M431" i="10"/>
  <c r="E431" i="10"/>
  <c r="B431" i="10"/>
  <c r="S430" i="10"/>
  <c r="Q430" i="10"/>
  <c r="P430" i="10"/>
  <c r="O430" i="10"/>
  <c r="M430" i="10"/>
  <c r="E430" i="10"/>
  <c r="B430" i="10"/>
  <c r="S429" i="10"/>
  <c r="Q429" i="10"/>
  <c r="P429" i="10"/>
  <c r="O429" i="10"/>
  <c r="M429" i="10"/>
  <c r="E429" i="10"/>
  <c r="B429" i="10"/>
  <c r="S428" i="10"/>
  <c r="Q428" i="10"/>
  <c r="P428" i="10"/>
  <c r="O428" i="10"/>
  <c r="M428" i="10"/>
  <c r="E428" i="10"/>
  <c r="B428" i="10"/>
  <c r="S427" i="10"/>
  <c r="Q427" i="10"/>
  <c r="P427" i="10"/>
  <c r="O427" i="10"/>
  <c r="M427" i="10"/>
  <c r="B427" i="10"/>
  <c r="S426" i="10"/>
  <c r="Q426" i="10"/>
  <c r="P426" i="10"/>
  <c r="O426" i="10"/>
  <c r="M426" i="10"/>
  <c r="E426" i="10"/>
  <c r="B426" i="10"/>
  <c r="S425" i="10"/>
  <c r="Q425" i="10"/>
  <c r="P425" i="10"/>
  <c r="O425" i="10"/>
  <c r="M425" i="10"/>
  <c r="B425" i="10"/>
  <c r="S424" i="10"/>
  <c r="Q424" i="10"/>
  <c r="P424" i="10"/>
  <c r="O424" i="10"/>
  <c r="M424" i="10"/>
  <c r="B424" i="10"/>
  <c r="S423" i="10"/>
  <c r="Q423" i="10"/>
  <c r="P423" i="10"/>
  <c r="O423" i="10"/>
  <c r="M423" i="10"/>
  <c r="E423" i="10"/>
  <c r="B423" i="10"/>
  <c r="S422" i="10"/>
  <c r="Q422" i="10"/>
  <c r="P422" i="10"/>
  <c r="O422" i="10"/>
  <c r="M422" i="10"/>
  <c r="B422" i="10"/>
  <c r="S421" i="10"/>
  <c r="Q421" i="10"/>
  <c r="P421" i="10"/>
  <c r="O421" i="10"/>
  <c r="M421" i="10"/>
  <c r="E421" i="10"/>
  <c r="B421" i="10"/>
  <c r="S420" i="10"/>
  <c r="Q420" i="10"/>
  <c r="P420" i="10"/>
  <c r="O420" i="10"/>
  <c r="M420" i="10"/>
  <c r="E420" i="10"/>
  <c r="B420" i="10"/>
  <c r="S419" i="10"/>
  <c r="Q419" i="10"/>
  <c r="P419" i="10"/>
  <c r="O419" i="10"/>
  <c r="M419" i="10"/>
  <c r="E419" i="10"/>
  <c r="B419" i="10"/>
  <c r="S418" i="10"/>
  <c r="Q418" i="10"/>
  <c r="P418" i="10"/>
  <c r="O418" i="10"/>
  <c r="M418" i="10"/>
  <c r="B418" i="10"/>
  <c r="S417" i="10"/>
  <c r="Q417" i="10"/>
  <c r="P417" i="10"/>
  <c r="O417" i="10"/>
  <c r="M417" i="10"/>
  <c r="E417" i="10"/>
  <c r="B417" i="10"/>
  <c r="S416" i="10"/>
  <c r="Q416" i="10"/>
  <c r="P416" i="10"/>
  <c r="O416" i="10"/>
  <c r="M416" i="10"/>
  <c r="E416" i="10"/>
  <c r="B416" i="10"/>
  <c r="S415" i="10"/>
  <c r="Q415" i="10"/>
  <c r="P415" i="10"/>
  <c r="O415" i="10"/>
  <c r="M415" i="10"/>
  <c r="E415" i="10"/>
  <c r="B415" i="10"/>
  <c r="S414" i="10"/>
  <c r="Q414" i="10"/>
  <c r="P414" i="10"/>
  <c r="O414" i="10"/>
  <c r="M414" i="10"/>
  <c r="E414" i="10"/>
  <c r="B414" i="10"/>
  <c r="S413" i="10"/>
  <c r="Q413" i="10"/>
  <c r="P413" i="10"/>
  <c r="O413" i="10"/>
  <c r="M413" i="10"/>
  <c r="B413" i="10"/>
  <c r="S412" i="10"/>
  <c r="Q412" i="10"/>
  <c r="P412" i="10"/>
  <c r="O412" i="10"/>
  <c r="M412" i="10"/>
  <c r="B412" i="10"/>
  <c r="S411" i="10"/>
  <c r="Q411" i="10"/>
  <c r="P411" i="10"/>
  <c r="O411" i="10"/>
  <c r="M411" i="10"/>
  <c r="E411" i="10"/>
  <c r="B411" i="10"/>
  <c r="S410" i="10"/>
  <c r="Q410" i="10"/>
  <c r="P410" i="10"/>
  <c r="O410" i="10"/>
  <c r="M410" i="10"/>
  <c r="E410" i="10"/>
  <c r="B410" i="10"/>
  <c r="S409" i="10"/>
  <c r="Q409" i="10"/>
  <c r="P409" i="10"/>
  <c r="O409" i="10"/>
  <c r="M409" i="10"/>
  <c r="E409" i="10"/>
  <c r="B409" i="10"/>
  <c r="S408" i="10"/>
  <c r="Q408" i="10"/>
  <c r="P408" i="10"/>
  <c r="O408" i="10"/>
  <c r="M408" i="10"/>
  <c r="E408" i="10"/>
  <c r="B408" i="10"/>
  <c r="S407" i="10"/>
  <c r="Q407" i="10"/>
  <c r="P407" i="10"/>
  <c r="O407" i="10"/>
  <c r="M407" i="10"/>
  <c r="E407" i="10"/>
  <c r="B407" i="10"/>
  <c r="S406" i="10"/>
  <c r="Q406" i="10"/>
  <c r="P406" i="10"/>
  <c r="O406" i="10"/>
  <c r="M406" i="10"/>
  <c r="E406" i="10"/>
  <c r="B406" i="10"/>
  <c r="S405" i="10"/>
  <c r="Q405" i="10"/>
  <c r="P405" i="10"/>
  <c r="O405" i="10"/>
  <c r="M405" i="10"/>
  <c r="E405" i="10"/>
  <c r="B405" i="10"/>
  <c r="S404" i="10"/>
  <c r="Q404" i="10"/>
  <c r="P404" i="10"/>
  <c r="O404" i="10"/>
  <c r="M404" i="10"/>
  <c r="E404" i="10"/>
  <c r="B404" i="10"/>
  <c r="S403" i="10"/>
  <c r="Q403" i="10"/>
  <c r="P403" i="10"/>
  <c r="O403" i="10"/>
  <c r="M403" i="10"/>
  <c r="E403" i="10"/>
  <c r="B403" i="10"/>
  <c r="S402" i="10"/>
  <c r="Q402" i="10"/>
  <c r="P402" i="10"/>
  <c r="O402" i="10"/>
  <c r="M402" i="10"/>
  <c r="E402" i="10"/>
  <c r="B402" i="10"/>
  <c r="S401" i="10"/>
  <c r="Q401" i="10"/>
  <c r="P401" i="10"/>
  <c r="O401" i="10"/>
  <c r="M401" i="10"/>
  <c r="E401" i="10"/>
  <c r="B401" i="10"/>
  <c r="S400" i="10"/>
  <c r="Q400" i="10"/>
  <c r="P400" i="10"/>
  <c r="O400" i="10"/>
  <c r="M400" i="10"/>
  <c r="E400" i="10"/>
  <c r="B400" i="10"/>
  <c r="S399" i="10"/>
  <c r="Q399" i="10"/>
  <c r="P399" i="10"/>
  <c r="O399" i="10"/>
  <c r="M399" i="10"/>
  <c r="E399" i="10"/>
  <c r="B399" i="10"/>
  <c r="S398" i="10"/>
  <c r="Q398" i="10"/>
  <c r="P398" i="10"/>
  <c r="O398" i="10"/>
  <c r="M398" i="10"/>
  <c r="B398" i="10"/>
  <c r="S397" i="10"/>
  <c r="Q397" i="10"/>
  <c r="P397" i="10"/>
  <c r="O397" i="10"/>
  <c r="M397" i="10"/>
  <c r="E397" i="10"/>
  <c r="B397" i="10"/>
  <c r="S396" i="10"/>
  <c r="Q396" i="10"/>
  <c r="P396" i="10"/>
  <c r="O396" i="10"/>
  <c r="M396" i="10"/>
  <c r="E396" i="10"/>
  <c r="B396" i="10"/>
  <c r="S395" i="10"/>
  <c r="Q395" i="10"/>
  <c r="P395" i="10"/>
  <c r="O395" i="10"/>
  <c r="M395" i="10"/>
  <c r="E395" i="10"/>
  <c r="B395" i="10"/>
  <c r="S394" i="10"/>
  <c r="Q394" i="10"/>
  <c r="P394" i="10"/>
  <c r="O394" i="10"/>
  <c r="M394" i="10"/>
  <c r="E394" i="10"/>
  <c r="B394" i="10"/>
  <c r="S393" i="10"/>
  <c r="Q393" i="10"/>
  <c r="P393" i="10"/>
  <c r="O393" i="10"/>
  <c r="M393" i="10"/>
  <c r="E393" i="10"/>
  <c r="B393" i="10"/>
  <c r="S392" i="10"/>
  <c r="Q392" i="10"/>
  <c r="P392" i="10"/>
  <c r="O392" i="10"/>
  <c r="M392" i="10"/>
  <c r="E392" i="10"/>
  <c r="B392" i="10"/>
  <c r="S391" i="10"/>
  <c r="Q391" i="10"/>
  <c r="P391" i="10"/>
  <c r="O391" i="10"/>
  <c r="M391" i="10"/>
  <c r="E391" i="10"/>
  <c r="B391" i="10"/>
  <c r="S390" i="10"/>
  <c r="Q390" i="10"/>
  <c r="P390" i="10"/>
  <c r="O390" i="10"/>
  <c r="M390" i="10"/>
  <c r="E390" i="10"/>
  <c r="B390" i="10"/>
  <c r="S389" i="10"/>
  <c r="Q389" i="10"/>
  <c r="P389" i="10"/>
  <c r="O389" i="10"/>
  <c r="M389" i="10"/>
  <c r="E389" i="10"/>
  <c r="B389" i="10"/>
  <c r="S388" i="10"/>
  <c r="Q388" i="10"/>
  <c r="P388" i="10"/>
  <c r="O388" i="10"/>
  <c r="M388" i="10"/>
  <c r="E388" i="10"/>
  <c r="B388" i="10"/>
  <c r="S387" i="10"/>
  <c r="Q387" i="10"/>
  <c r="P387" i="10"/>
  <c r="O387" i="10"/>
  <c r="M387" i="10"/>
  <c r="E387" i="10"/>
  <c r="B387" i="10"/>
  <c r="S386" i="10"/>
  <c r="Q386" i="10"/>
  <c r="P386" i="10"/>
  <c r="O386" i="10"/>
  <c r="M386" i="10"/>
  <c r="E386" i="10"/>
  <c r="B386" i="10"/>
  <c r="S385" i="10"/>
  <c r="Q385" i="10"/>
  <c r="P385" i="10"/>
  <c r="O385" i="10"/>
  <c r="M385" i="10"/>
  <c r="E385" i="10"/>
  <c r="B385" i="10"/>
  <c r="S384" i="10"/>
  <c r="Q384" i="10"/>
  <c r="P384" i="10"/>
  <c r="O384" i="10"/>
  <c r="M384" i="10"/>
  <c r="E384" i="10"/>
  <c r="B384" i="10"/>
  <c r="S383" i="10"/>
  <c r="Q383" i="10"/>
  <c r="P383" i="10"/>
  <c r="O383" i="10"/>
  <c r="M383" i="10"/>
  <c r="E383" i="10"/>
  <c r="B383" i="10"/>
  <c r="S382" i="10"/>
  <c r="Q382" i="10"/>
  <c r="P382" i="10"/>
  <c r="O382" i="10"/>
  <c r="M382" i="10"/>
  <c r="E382" i="10"/>
  <c r="B382" i="10"/>
  <c r="S381" i="10"/>
  <c r="Q381" i="10"/>
  <c r="P381" i="10"/>
  <c r="O381" i="10"/>
  <c r="M381" i="10"/>
  <c r="E381" i="10"/>
  <c r="B381" i="10"/>
  <c r="S380" i="10"/>
  <c r="Q380" i="10"/>
  <c r="P380" i="10"/>
  <c r="O380" i="10"/>
  <c r="M380" i="10"/>
  <c r="E380" i="10"/>
  <c r="B380" i="10"/>
  <c r="S379" i="10"/>
  <c r="Q379" i="10"/>
  <c r="P379" i="10"/>
  <c r="O379" i="10"/>
  <c r="M379" i="10"/>
  <c r="E379" i="10"/>
  <c r="B379" i="10"/>
  <c r="S378" i="10"/>
  <c r="Q378" i="10"/>
  <c r="P378" i="10"/>
  <c r="O378" i="10"/>
  <c r="M378" i="10"/>
  <c r="E378" i="10"/>
  <c r="B378" i="10"/>
  <c r="S377" i="10"/>
  <c r="Q377" i="10"/>
  <c r="P377" i="10"/>
  <c r="O377" i="10"/>
  <c r="M377" i="10"/>
  <c r="B377" i="10"/>
  <c r="S376" i="10"/>
  <c r="Q376" i="10"/>
  <c r="P376" i="10"/>
  <c r="O376" i="10"/>
  <c r="M376" i="10"/>
  <c r="B376" i="10"/>
  <c r="S375" i="10"/>
  <c r="Q375" i="10"/>
  <c r="P375" i="10"/>
  <c r="O375" i="10"/>
  <c r="M375" i="10"/>
  <c r="E375" i="10"/>
  <c r="B375" i="10"/>
  <c r="S374" i="10"/>
  <c r="Q374" i="10"/>
  <c r="P374" i="10"/>
  <c r="O374" i="10"/>
  <c r="M374" i="10"/>
  <c r="E374" i="10"/>
  <c r="B374" i="10"/>
  <c r="S373" i="10"/>
  <c r="Q373" i="10"/>
  <c r="P373" i="10"/>
  <c r="O373" i="10"/>
  <c r="M373" i="10"/>
  <c r="E373" i="10"/>
  <c r="B373" i="10"/>
  <c r="S372" i="10"/>
  <c r="Q372" i="10"/>
  <c r="P372" i="10"/>
  <c r="O372" i="10"/>
  <c r="M372" i="10"/>
  <c r="E372" i="10"/>
  <c r="B372" i="10"/>
  <c r="S371" i="10"/>
  <c r="Q371" i="10"/>
  <c r="P371" i="10"/>
  <c r="O371" i="10"/>
  <c r="M371" i="10"/>
  <c r="E371" i="10"/>
  <c r="B371" i="10"/>
  <c r="S370" i="10"/>
  <c r="Q370" i="10"/>
  <c r="P370" i="10"/>
  <c r="O370" i="10"/>
  <c r="M370" i="10"/>
  <c r="E370" i="10"/>
  <c r="B370" i="10"/>
  <c r="S369" i="10"/>
  <c r="Q369" i="10"/>
  <c r="P369" i="10"/>
  <c r="O369" i="10"/>
  <c r="M369" i="10"/>
  <c r="E369" i="10"/>
  <c r="B369" i="10"/>
  <c r="S368" i="10"/>
  <c r="Q368" i="10"/>
  <c r="P368" i="10"/>
  <c r="O368" i="10"/>
  <c r="M368" i="10"/>
  <c r="E368" i="10"/>
  <c r="B368" i="10"/>
  <c r="S367" i="10"/>
  <c r="Q367" i="10"/>
  <c r="P367" i="10"/>
  <c r="O367" i="10"/>
  <c r="M367" i="10"/>
  <c r="E367" i="10"/>
  <c r="B367" i="10"/>
  <c r="S366" i="10"/>
  <c r="Q366" i="10"/>
  <c r="P366" i="10"/>
  <c r="O366" i="10"/>
  <c r="M366" i="10"/>
  <c r="E366" i="10"/>
  <c r="B366" i="10"/>
  <c r="S365" i="10"/>
  <c r="Q365" i="10"/>
  <c r="P365" i="10"/>
  <c r="O365" i="10"/>
  <c r="M365" i="10"/>
  <c r="E365" i="10"/>
  <c r="B365" i="10"/>
  <c r="S364" i="10"/>
  <c r="Q364" i="10"/>
  <c r="P364" i="10"/>
  <c r="O364" i="10"/>
  <c r="M364" i="10"/>
  <c r="E364" i="10"/>
  <c r="B364" i="10"/>
  <c r="S363" i="10"/>
  <c r="Q363" i="10"/>
  <c r="P363" i="10"/>
  <c r="O363" i="10"/>
  <c r="M363" i="10"/>
  <c r="E363" i="10"/>
  <c r="B363" i="10"/>
  <c r="S362" i="10"/>
  <c r="Q362" i="10"/>
  <c r="P362" i="10"/>
  <c r="O362" i="10"/>
  <c r="M362" i="10"/>
  <c r="E362" i="10"/>
  <c r="B362" i="10"/>
  <c r="S361" i="10"/>
  <c r="Q361" i="10"/>
  <c r="P361" i="10"/>
  <c r="O361" i="10"/>
  <c r="M361" i="10"/>
  <c r="E361" i="10"/>
  <c r="B361" i="10"/>
  <c r="S360" i="10"/>
  <c r="Q360" i="10"/>
  <c r="P360" i="10"/>
  <c r="O360" i="10"/>
  <c r="M360" i="10"/>
  <c r="E360" i="10"/>
  <c r="B360" i="10"/>
  <c r="S359" i="10"/>
  <c r="Q359" i="10"/>
  <c r="P359" i="10"/>
  <c r="O359" i="10"/>
  <c r="M359" i="10"/>
  <c r="E359" i="10"/>
  <c r="B359" i="10"/>
  <c r="S358" i="10"/>
  <c r="Q358" i="10"/>
  <c r="P358" i="10"/>
  <c r="O358" i="10"/>
  <c r="M358" i="10"/>
  <c r="E358" i="10"/>
  <c r="B358" i="10"/>
  <c r="S357" i="10"/>
  <c r="Q357" i="10"/>
  <c r="P357" i="10"/>
  <c r="O357" i="10"/>
  <c r="M357" i="10"/>
  <c r="E357" i="10"/>
  <c r="B357" i="10"/>
  <c r="S356" i="10"/>
  <c r="Q356" i="10"/>
  <c r="P356" i="10"/>
  <c r="O356" i="10"/>
  <c r="M356" i="10"/>
  <c r="E356" i="10"/>
  <c r="B356" i="10"/>
  <c r="S355" i="10"/>
  <c r="Q355" i="10"/>
  <c r="P355" i="10"/>
  <c r="O355" i="10"/>
  <c r="M355" i="10"/>
  <c r="E355" i="10"/>
  <c r="B355" i="10"/>
  <c r="S354" i="10"/>
  <c r="Q354" i="10"/>
  <c r="P354" i="10"/>
  <c r="O354" i="10"/>
  <c r="M354" i="10"/>
  <c r="E354" i="10"/>
  <c r="B354" i="10"/>
  <c r="S353" i="10"/>
  <c r="Q353" i="10"/>
  <c r="P353" i="10"/>
  <c r="O353" i="10"/>
  <c r="M353" i="10"/>
  <c r="E353" i="10"/>
  <c r="B353" i="10"/>
  <c r="S352" i="10"/>
  <c r="Q352" i="10"/>
  <c r="P352" i="10"/>
  <c r="O352" i="10"/>
  <c r="M352" i="10"/>
  <c r="E352" i="10"/>
  <c r="B352" i="10"/>
  <c r="S351" i="10"/>
  <c r="Q351" i="10"/>
  <c r="P351" i="10"/>
  <c r="O351" i="10"/>
  <c r="M351" i="10"/>
  <c r="E351" i="10"/>
  <c r="B351" i="10"/>
  <c r="S350" i="10"/>
  <c r="Q350" i="10"/>
  <c r="P350" i="10"/>
  <c r="O350" i="10"/>
  <c r="M350" i="10"/>
  <c r="E350" i="10"/>
  <c r="B350" i="10"/>
  <c r="S349" i="10"/>
  <c r="Q349" i="10"/>
  <c r="P349" i="10"/>
  <c r="O349" i="10"/>
  <c r="M349" i="10"/>
  <c r="E349" i="10"/>
  <c r="B349" i="10"/>
  <c r="S348" i="10"/>
  <c r="Q348" i="10"/>
  <c r="P348" i="10"/>
  <c r="O348" i="10"/>
  <c r="M348" i="10"/>
  <c r="E348" i="10"/>
  <c r="B348" i="10"/>
  <c r="S347" i="10"/>
  <c r="Q347" i="10"/>
  <c r="P347" i="10"/>
  <c r="O347" i="10"/>
  <c r="M347" i="10"/>
  <c r="E347" i="10"/>
  <c r="B347" i="10"/>
  <c r="S346" i="10"/>
  <c r="Q346" i="10"/>
  <c r="P346" i="10"/>
  <c r="O346" i="10"/>
  <c r="M346" i="10"/>
  <c r="E346" i="10"/>
  <c r="B346" i="10"/>
  <c r="S345" i="10"/>
  <c r="Q345" i="10"/>
  <c r="P345" i="10"/>
  <c r="O345" i="10"/>
  <c r="M345" i="10"/>
  <c r="E345" i="10"/>
  <c r="B345" i="10"/>
  <c r="S344" i="10"/>
  <c r="Q344" i="10"/>
  <c r="P344" i="10"/>
  <c r="O344" i="10"/>
  <c r="M344" i="10"/>
  <c r="E344" i="10"/>
  <c r="B344" i="10"/>
  <c r="S343" i="10"/>
  <c r="Q343" i="10"/>
  <c r="P343" i="10"/>
  <c r="O343" i="10"/>
  <c r="M343" i="10"/>
  <c r="B343" i="10"/>
  <c r="S342" i="10"/>
  <c r="Q342" i="10"/>
  <c r="P342" i="10"/>
  <c r="O342" i="10"/>
  <c r="M342" i="10"/>
  <c r="E342" i="10"/>
  <c r="B342" i="10"/>
  <c r="S341" i="10"/>
  <c r="Q341" i="10"/>
  <c r="P341" i="10"/>
  <c r="O341" i="10"/>
  <c r="M341" i="10"/>
  <c r="E341" i="10"/>
  <c r="B341" i="10"/>
  <c r="S340" i="10"/>
  <c r="Q340" i="10"/>
  <c r="P340" i="10"/>
  <c r="O340" i="10"/>
  <c r="M340" i="10"/>
  <c r="E340" i="10"/>
  <c r="B340" i="10"/>
  <c r="S339" i="10"/>
  <c r="Q339" i="10"/>
  <c r="P339" i="10"/>
  <c r="O339" i="10"/>
  <c r="M339" i="10"/>
  <c r="E339" i="10"/>
  <c r="B339" i="10"/>
  <c r="S338" i="10"/>
  <c r="Q338" i="10"/>
  <c r="P338" i="10"/>
  <c r="O338" i="10"/>
  <c r="M338" i="10"/>
  <c r="E338" i="10"/>
  <c r="B338" i="10"/>
  <c r="S337" i="10"/>
  <c r="Q337" i="10"/>
  <c r="P337" i="10"/>
  <c r="O337" i="10"/>
  <c r="M337" i="10"/>
  <c r="B337" i="10"/>
  <c r="S336" i="10"/>
  <c r="Q336" i="10"/>
  <c r="P336" i="10"/>
  <c r="O336" i="10"/>
  <c r="M336" i="10"/>
  <c r="E336" i="10"/>
  <c r="B336" i="10"/>
  <c r="S335" i="10"/>
  <c r="Q335" i="10"/>
  <c r="P335" i="10"/>
  <c r="O335" i="10"/>
  <c r="M335" i="10"/>
  <c r="E335" i="10"/>
  <c r="B335" i="10"/>
  <c r="S334" i="10"/>
  <c r="Q334" i="10"/>
  <c r="P334" i="10"/>
  <c r="O334" i="10"/>
  <c r="M334" i="10"/>
  <c r="E334" i="10"/>
  <c r="B334" i="10"/>
  <c r="S333" i="10"/>
  <c r="Q333" i="10"/>
  <c r="P333" i="10"/>
  <c r="O333" i="10"/>
  <c r="M333" i="10"/>
  <c r="E333" i="10"/>
  <c r="B333" i="10"/>
  <c r="S332" i="10"/>
  <c r="Q332" i="10"/>
  <c r="P332" i="10"/>
  <c r="O332" i="10"/>
  <c r="M332" i="10"/>
  <c r="E332" i="10"/>
  <c r="B332" i="10"/>
  <c r="S331" i="10"/>
  <c r="Q331" i="10"/>
  <c r="P331" i="10"/>
  <c r="O331" i="10"/>
  <c r="M331" i="10"/>
  <c r="E331" i="10"/>
  <c r="B331" i="10"/>
  <c r="S330" i="10"/>
  <c r="Q330" i="10"/>
  <c r="P330" i="10"/>
  <c r="O330" i="10"/>
  <c r="M330" i="10"/>
  <c r="E330" i="10"/>
  <c r="B330" i="10"/>
  <c r="S329" i="10"/>
  <c r="Q329" i="10"/>
  <c r="P329" i="10"/>
  <c r="O329" i="10"/>
  <c r="M329" i="10"/>
  <c r="E329" i="10"/>
  <c r="B329" i="10"/>
  <c r="S328" i="10"/>
  <c r="Q328" i="10"/>
  <c r="P328" i="10"/>
  <c r="O328" i="10"/>
  <c r="M328" i="10"/>
  <c r="E328" i="10"/>
  <c r="B328" i="10"/>
  <c r="S327" i="10"/>
  <c r="Q327" i="10"/>
  <c r="P327" i="10"/>
  <c r="O327" i="10"/>
  <c r="M327" i="10"/>
  <c r="E327" i="10"/>
  <c r="B327" i="10"/>
  <c r="S326" i="10"/>
  <c r="Q326" i="10"/>
  <c r="P326" i="10"/>
  <c r="O326" i="10"/>
  <c r="M326" i="10"/>
  <c r="E326" i="10"/>
  <c r="B326" i="10"/>
  <c r="S325" i="10"/>
  <c r="Q325" i="10"/>
  <c r="P325" i="10"/>
  <c r="O325" i="10"/>
  <c r="M325" i="10"/>
  <c r="E325" i="10"/>
  <c r="B325" i="10"/>
  <c r="S324" i="10"/>
  <c r="Q324" i="10"/>
  <c r="P324" i="10"/>
  <c r="O324" i="10"/>
  <c r="M324" i="10"/>
  <c r="E324" i="10"/>
  <c r="B324" i="10"/>
  <c r="S323" i="10"/>
  <c r="Q323" i="10"/>
  <c r="P323" i="10"/>
  <c r="O323" i="10"/>
  <c r="M323" i="10"/>
  <c r="E323" i="10"/>
  <c r="B323" i="10"/>
  <c r="S322" i="10"/>
  <c r="Q322" i="10"/>
  <c r="P322" i="10"/>
  <c r="O322" i="10"/>
  <c r="M322" i="10"/>
  <c r="E322" i="10"/>
  <c r="B322" i="10"/>
  <c r="S321" i="10"/>
  <c r="Q321" i="10"/>
  <c r="P321" i="10"/>
  <c r="O321" i="10"/>
  <c r="M321" i="10"/>
  <c r="B321" i="10"/>
  <c r="S320" i="10"/>
  <c r="Q320" i="10"/>
  <c r="P320" i="10"/>
  <c r="O320" i="10"/>
  <c r="M320" i="10"/>
  <c r="E320" i="10"/>
  <c r="B320" i="10"/>
  <c r="S319" i="10"/>
  <c r="Q319" i="10"/>
  <c r="P319" i="10"/>
  <c r="O319" i="10"/>
  <c r="M319" i="10"/>
  <c r="E319" i="10"/>
  <c r="B319" i="10"/>
  <c r="S318" i="10"/>
  <c r="Q318" i="10"/>
  <c r="P318" i="10"/>
  <c r="O318" i="10"/>
  <c r="M318" i="10"/>
  <c r="B318" i="10"/>
  <c r="S317" i="10"/>
  <c r="Q317" i="10"/>
  <c r="P317" i="10"/>
  <c r="O317" i="10"/>
  <c r="M317" i="10"/>
  <c r="E317" i="10"/>
  <c r="B317" i="10"/>
  <c r="S316" i="10"/>
  <c r="Q316" i="10"/>
  <c r="P316" i="10"/>
  <c r="O316" i="10"/>
  <c r="M316" i="10"/>
  <c r="E316" i="10"/>
  <c r="B316" i="10"/>
  <c r="S315" i="10"/>
  <c r="Q315" i="10"/>
  <c r="P315" i="10"/>
  <c r="O315" i="10"/>
  <c r="M315" i="10"/>
  <c r="E315" i="10"/>
  <c r="B315" i="10"/>
  <c r="S314" i="10"/>
  <c r="Q314" i="10"/>
  <c r="P314" i="10"/>
  <c r="O314" i="10"/>
  <c r="M314" i="10"/>
  <c r="E314" i="10"/>
  <c r="B314" i="10"/>
  <c r="S313" i="10"/>
  <c r="Q313" i="10"/>
  <c r="P313" i="10"/>
  <c r="O313" i="10"/>
  <c r="M313" i="10"/>
  <c r="E313" i="10"/>
  <c r="B313" i="10"/>
  <c r="S312" i="10"/>
  <c r="Q312" i="10"/>
  <c r="P312" i="10"/>
  <c r="O312" i="10"/>
  <c r="M312" i="10"/>
  <c r="E312" i="10"/>
  <c r="B312" i="10"/>
  <c r="S311" i="10"/>
  <c r="Q311" i="10"/>
  <c r="P311" i="10"/>
  <c r="O311" i="10"/>
  <c r="M311" i="10"/>
  <c r="E311" i="10"/>
  <c r="B311" i="10"/>
  <c r="S310" i="10"/>
  <c r="Q310" i="10"/>
  <c r="P310" i="10"/>
  <c r="O310" i="10"/>
  <c r="M310" i="10"/>
  <c r="E310" i="10"/>
  <c r="B310" i="10"/>
  <c r="S309" i="10"/>
  <c r="Q309" i="10"/>
  <c r="P309" i="10"/>
  <c r="O309" i="10"/>
  <c r="M309" i="10"/>
  <c r="E309" i="10"/>
  <c r="B309" i="10"/>
  <c r="S308" i="10"/>
  <c r="Q308" i="10"/>
  <c r="P308" i="10"/>
  <c r="O308" i="10"/>
  <c r="M308" i="10"/>
  <c r="B308" i="10"/>
  <c r="S307" i="10"/>
  <c r="Q307" i="10"/>
  <c r="P307" i="10"/>
  <c r="O307" i="10"/>
  <c r="M307" i="10"/>
  <c r="E307" i="10"/>
  <c r="B307" i="10"/>
  <c r="S306" i="10"/>
  <c r="Q306" i="10"/>
  <c r="P306" i="10"/>
  <c r="O306" i="10"/>
  <c r="M306" i="10"/>
  <c r="E306" i="10"/>
  <c r="B306" i="10"/>
  <c r="S305" i="10"/>
  <c r="Q305" i="10"/>
  <c r="P305" i="10"/>
  <c r="O305" i="10"/>
  <c r="M305" i="10"/>
  <c r="B305" i="10"/>
  <c r="S304" i="10"/>
  <c r="Q304" i="10"/>
  <c r="P304" i="10"/>
  <c r="O304" i="10"/>
  <c r="M304" i="10"/>
  <c r="E304" i="10"/>
  <c r="B304" i="10"/>
  <c r="S303" i="10"/>
  <c r="Q303" i="10"/>
  <c r="P303" i="10"/>
  <c r="O303" i="10"/>
  <c r="M303" i="10"/>
  <c r="E303" i="10"/>
  <c r="B303" i="10"/>
  <c r="S302" i="10"/>
  <c r="Q302" i="10"/>
  <c r="P302" i="10"/>
  <c r="O302" i="10"/>
  <c r="M302" i="10"/>
  <c r="E302" i="10"/>
  <c r="B302" i="10"/>
  <c r="S301" i="10"/>
  <c r="Q301" i="10"/>
  <c r="P301" i="10"/>
  <c r="O301" i="10"/>
  <c r="M301" i="10"/>
  <c r="E301" i="10"/>
  <c r="B301" i="10"/>
  <c r="S300" i="10"/>
  <c r="Q300" i="10"/>
  <c r="P300" i="10"/>
  <c r="O300" i="10"/>
  <c r="M300" i="10"/>
  <c r="E300" i="10"/>
  <c r="B300" i="10"/>
  <c r="S299" i="10"/>
  <c r="Q299" i="10"/>
  <c r="P299" i="10"/>
  <c r="O299" i="10"/>
  <c r="M299" i="10"/>
  <c r="E299" i="10"/>
  <c r="B299" i="10"/>
  <c r="S298" i="10"/>
  <c r="Q298" i="10"/>
  <c r="P298" i="10"/>
  <c r="O298" i="10"/>
  <c r="M298" i="10"/>
  <c r="E298" i="10"/>
  <c r="B298" i="10"/>
  <c r="S297" i="10"/>
  <c r="Q297" i="10"/>
  <c r="P297" i="10"/>
  <c r="O297" i="10"/>
  <c r="M297" i="10"/>
  <c r="E297" i="10"/>
  <c r="B297" i="10"/>
  <c r="S296" i="10"/>
  <c r="Q296" i="10"/>
  <c r="P296" i="10"/>
  <c r="O296" i="10"/>
  <c r="M296" i="10"/>
  <c r="E296" i="10"/>
  <c r="B296" i="10"/>
  <c r="S295" i="10"/>
  <c r="Q295" i="10"/>
  <c r="P295" i="10"/>
  <c r="O295" i="10"/>
  <c r="M295" i="10"/>
  <c r="E295" i="10"/>
  <c r="B295" i="10"/>
  <c r="S294" i="10"/>
  <c r="Q294" i="10"/>
  <c r="P294" i="10"/>
  <c r="O294" i="10"/>
  <c r="M294" i="10"/>
  <c r="E294" i="10"/>
  <c r="B294" i="10"/>
  <c r="S293" i="10"/>
  <c r="Q293" i="10"/>
  <c r="P293" i="10"/>
  <c r="O293" i="10"/>
  <c r="M293" i="10"/>
  <c r="E293" i="10"/>
  <c r="B293" i="10"/>
  <c r="S292" i="10"/>
  <c r="Q292" i="10"/>
  <c r="P292" i="10"/>
  <c r="O292" i="10"/>
  <c r="M292" i="10"/>
  <c r="E292" i="10"/>
  <c r="B292" i="10"/>
  <c r="S291" i="10"/>
  <c r="Q291" i="10"/>
  <c r="P291" i="10"/>
  <c r="O291" i="10"/>
  <c r="M291" i="10"/>
  <c r="E291" i="10"/>
  <c r="B291" i="10"/>
  <c r="S290" i="10"/>
  <c r="Q290" i="10"/>
  <c r="P290" i="10"/>
  <c r="O290" i="10"/>
  <c r="M290" i="10"/>
  <c r="E290" i="10"/>
  <c r="B290" i="10"/>
  <c r="S289" i="10"/>
  <c r="Q289" i="10"/>
  <c r="P289" i="10"/>
  <c r="O289" i="10"/>
  <c r="M289" i="10"/>
  <c r="E289" i="10"/>
  <c r="B289" i="10"/>
  <c r="S288" i="10"/>
  <c r="Q288" i="10"/>
  <c r="P288" i="10"/>
  <c r="O288" i="10"/>
  <c r="M288" i="10"/>
  <c r="E288" i="10"/>
  <c r="B288" i="10"/>
  <c r="S287" i="10"/>
  <c r="Q287" i="10"/>
  <c r="P287" i="10"/>
  <c r="O287" i="10"/>
  <c r="M287" i="10"/>
  <c r="E287" i="10"/>
  <c r="B287" i="10"/>
  <c r="S286" i="10"/>
  <c r="Q286" i="10"/>
  <c r="P286" i="10"/>
  <c r="O286" i="10"/>
  <c r="M286" i="10"/>
  <c r="E286" i="10"/>
  <c r="B286" i="10"/>
  <c r="S285" i="10"/>
  <c r="Q285" i="10"/>
  <c r="P285" i="10"/>
  <c r="O285" i="10"/>
  <c r="M285" i="10"/>
  <c r="E285" i="10"/>
  <c r="B285" i="10"/>
  <c r="S284" i="10"/>
  <c r="Q284" i="10"/>
  <c r="P284" i="10"/>
  <c r="O284" i="10"/>
  <c r="M284" i="10"/>
  <c r="E284" i="10"/>
  <c r="B284" i="10"/>
  <c r="S283" i="10"/>
  <c r="Q283" i="10"/>
  <c r="P283" i="10"/>
  <c r="O283" i="10"/>
  <c r="M283" i="10"/>
  <c r="E283" i="10"/>
  <c r="B283" i="10"/>
  <c r="S282" i="10"/>
  <c r="Q282" i="10"/>
  <c r="P282" i="10"/>
  <c r="O282" i="10"/>
  <c r="M282" i="10"/>
  <c r="E282" i="10"/>
  <c r="B282" i="10"/>
  <c r="S281" i="10"/>
  <c r="Q281" i="10"/>
  <c r="P281" i="10"/>
  <c r="O281" i="10"/>
  <c r="M281" i="10"/>
  <c r="E281" i="10"/>
  <c r="B281" i="10"/>
  <c r="S280" i="10"/>
  <c r="Q280" i="10"/>
  <c r="P280" i="10"/>
  <c r="O280" i="10"/>
  <c r="M280" i="10"/>
  <c r="E280" i="10"/>
  <c r="B280" i="10"/>
  <c r="S279" i="10"/>
  <c r="Q279" i="10"/>
  <c r="P279" i="10"/>
  <c r="O279" i="10"/>
  <c r="M279" i="10"/>
  <c r="E279" i="10"/>
  <c r="B279" i="10"/>
  <c r="S278" i="10"/>
  <c r="Q278" i="10"/>
  <c r="P278" i="10"/>
  <c r="O278" i="10"/>
  <c r="M278" i="10"/>
  <c r="E278" i="10"/>
  <c r="B278" i="10"/>
  <c r="S277" i="10"/>
  <c r="Q277" i="10"/>
  <c r="P277" i="10"/>
  <c r="O277" i="10"/>
  <c r="M277" i="10"/>
  <c r="E277" i="10"/>
  <c r="B277" i="10"/>
  <c r="S276" i="10"/>
  <c r="Q276" i="10"/>
  <c r="P276" i="10"/>
  <c r="O276" i="10"/>
  <c r="M276" i="10"/>
  <c r="E276" i="10"/>
  <c r="B276" i="10"/>
  <c r="S275" i="10"/>
  <c r="Q275" i="10"/>
  <c r="P275" i="10"/>
  <c r="O275" i="10"/>
  <c r="M275" i="10"/>
  <c r="E275" i="10"/>
  <c r="B275" i="10"/>
  <c r="S274" i="10"/>
  <c r="Q274" i="10"/>
  <c r="P274" i="10"/>
  <c r="O274" i="10"/>
  <c r="M274" i="10"/>
  <c r="E274" i="10"/>
  <c r="B274" i="10"/>
  <c r="S273" i="10"/>
  <c r="Q273" i="10"/>
  <c r="P273" i="10"/>
  <c r="O273" i="10"/>
  <c r="M273" i="10"/>
  <c r="B273" i="10"/>
  <c r="S272" i="10"/>
  <c r="Q272" i="10"/>
  <c r="P272" i="10"/>
  <c r="O272" i="10"/>
  <c r="M272" i="10"/>
  <c r="E272" i="10"/>
  <c r="B272" i="10"/>
  <c r="S271" i="10"/>
  <c r="Q271" i="10"/>
  <c r="P271" i="10"/>
  <c r="O271" i="10"/>
  <c r="M271" i="10"/>
  <c r="E271" i="10"/>
  <c r="B271" i="10"/>
  <c r="S270" i="10"/>
  <c r="Q270" i="10"/>
  <c r="P270" i="10"/>
  <c r="O270" i="10"/>
  <c r="M270" i="10"/>
  <c r="E270" i="10"/>
  <c r="B270" i="10"/>
  <c r="S269" i="10"/>
  <c r="Q269" i="10"/>
  <c r="P269" i="10"/>
  <c r="O269" i="10"/>
  <c r="M269" i="10"/>
  <c r="E269" i="10"/>
  <c r="B269" i="10"/>
  <c r="S268" i="10"/>
  <c r="Q268" i="10"/>
  <c r="P268" i="10"/>
  <c r="O268" i="10"/>
  <c r="M268" i="10"/>
  <c r="E268" i="10"/>
  <c r="B268" i="10"/>
  <c r="S267" i="10"/>
  <c r="Q267" i="10"/>
  <c r="P267" i="10"/>
  <c r="O267" i="10"/>
  <c r="M267" i="10"/>
  <c r="E267" i="10"/>
  <c r="B267" i="10"/>
  <c r="S266" i="10"/>
  <c r="Q266" i="10"/>
  <c r="P266" i="10"/>
  <c r="O266" i="10"/>
  <c r="M266" i="10"/>
  <c r="E266" i="10"/>
  <c r="B266" i="10"/>
  <c r="S265" i="10"/>
  <c r="Q265" i="10"/>
  <c r="P265" i="10"/>
  <c r="O265" i="10"/>
  <c r="M265" i="10"/>
  <c r="E265" i="10"/>
  <c r="B265" i="10"/>
  <c r="S264" i="10"/>
  <c r="Q264" i="10"/>
  <c r="P264" i="10"/>
  <c r="O264" i="10"/>
  <c r="M264" i="10"/>
  <c r="E264" i="10"/>
  <c r="B264" i="10"/>
  <c r="S263" i="10"/>
  <c r="Q263" i="10"/>
  <c r="P263" i="10"/>
  <c r="O263" i="10"/>
  <c r="M263" i="10"/>
  <c r="E263" i="10"/>
  <c r="B263" i="10"/>
  <c r="S262" i="10"/>
  <c r="Q262" i="10"/>
  <c r="P262" i="10"/>
  <c r="O262" i="10"/>
  <c r="M262" i="10"/>
  <c r="E262" i="10"/>
  <c r="B262" i="10"/>
  <c r="S261" i="10"/>
  <c r="Q261" i="10"/>
  <c r="P261" i="10"/>
  <c r="O261" i="10"/>
  <c r="M261" i="10"/>
  <c r="E261" i="10"/>
  <c r="B261" i="10"/>
  <c r="S260" i="10"/>
  <c r="Q260" i="10"/>
  <c r="P260" i="10"/>
  <c r="O260" i="10"/>
  <c r="M260" i="10"/>
  <c r="E260" i="10"/>
  <c r="B260" i="10"/>
  <c r="S259" i="10"/>
  <c r="Q259" i="10"/>
  <c r="P259" i="10"/>
  <c r="O259" i="10"/>
  <c r="M259" i="10"/>
  <c r="B259" i="10"/>
  <c r="S258" i="10"/>
  <c r="Q258" i="10"/>
  <c r="P258" i="10"/>
  <c r="O258" i="10"/>
  <c r="M258" i="10"/>
  <c r="E258" i="10"/>
  <c r="B258" i="10"/>
  <c r="S257" i="10"/>
  <c r="Q257" i="10"/>
  <c r="P257" i="10"/>
  <c r="O257" i="10"/>
  <c r="M257" i="10"/>
  <c r="E257" i="10"/>
  <c r="B257" i="10"/>
  <c r="S256" i="10"/>
  <c r="Q256" i="10"/>
  <c r="P256" i="10"/>
  <c r="O256" i="10"/>
  <c r="M256" i="10"/>
  <c r="E256" i="10"/>
  <c r="B256" i="10"/>
  <c r="S255" i="10"/>
  <c r="Q255" i="10"/>
  <c r="P255" i="10"/>
  <c r="O255" i="10"/>
  <c r="M255" i="10"/>
  <c r="E255" i="10"/>
  <c r="B255" i="10"/>
  <c r="S254" i="10"/>
  <c r="Q254" i="10"/>
  <c r="P254" i="10"/>
  <c r="O254" i="10"/>
  <c r="M254" i="10"/>
  <c r="E254" i="10"/>
  <c r="B254" i="10"/>
  <c r="S253" i="10"/>
  <c r="Q253" i="10"/>
  <c r="P253" i="10"/>
  <c r="O253" i="10"/>
  <c r="M253" i="10"/>
  <c r="E253" i="10"/>
  <c r="B253" i="10"/>
  <c r="S252" i="10"/>
  <c r="Q252" i="10"/>
  <c r="P252" i="10"/>
  <c r="O252" i="10"/>
  <c r="M252" i="10"/>
  <c r="E252" i="10"/>
  <c r="B252" i="10"/>
  <c r="S251" i="10"/>
  <c r="Q251" i="10"/>
  <c r="P251" i="10"/>
  <c r="O251" i="10"/>
  <c r="M251" i="10"/>
  <c r="E251" i="10"/>
  <c r="B251" i="10"/>
  <c r="S250" i="10"/>
  <c r="Q250" i="10"/>
  <c r="P250" i="10"/>
  <c r="O250" i="10"/>
  <c r="M250" i="10"/>
  <c r="E250" i="10"/>
  <c r="B250" i="10"/>
  <c r="S249" i="10"/>
  <c r="Q249" i="10"/>
  <c r="P249" i="10"/>
  <c r="O249" i="10"/>
  <c r="M249" i="10"/>
  <c r="E249" i="10"/>
  <c r="B249" i="10"/>
  <c r="S248" i="10"/>
  <c r="Q248" i="10"/>
  <c r="P248" i="10"/>
  <c r="O248" i="10"/>
  <c r="M248" i="10"/>
  <c r="E248" i="10"/>
  <c r="B248" i="10"/>
  <c r="S247" i="10"/>
  <c r="Q247" i="10"/>
  <c r="P247" i="10"/>
  <c r="O247" i="10"/>
  <c r="M247" i="10"/>
  <c r="E247" i="10"/>
  <c r="B247" i="10"/>
  <c r="S246" i="10"/>
  <c r="Q246" i="10"/>
  <c r="P246" i="10"/>
  <c r="O246" i="10"/>
  <c r="M246" i="10"/>
  <c r="E246" i="10"/>
  <c r="B246" i="10"/>
  <c r="S245" i="10"/>
  <c r="Q245" i="10"/>
  <c r="P245" i="10"/>
  <c r="O245" i="10"/>
  <c r="M245" i="10"/>
  <c r="E245" i="10"/>
  <c r="B245" i="10"/>
  <c r="S244" i="10"/>
  <c r="Q244" i="10"/>
  <c r="P244" i="10"/>
  <c r="O244" i="10"/>
  <c r="M244" i="10"/>
  <c r="B244" i="10"/>
  <c r="S243" i="10"/>
  <c r="Q243" i="10"/>
  <c r="P243" i="10"/>
  <c r="O243" i="10"/>
  <c r="M243" i="10"/>
  <c r="B243" i="10"/>
  <c r="S242" i="10"/>
  <c r="Q242" i="10"/>
  <c r="P242" i="10"/>
  <c r="O242" i="10"/>
  <c r="M242" i="10"/>
  <c r="E242" i="10"/>
  <c r="B242" i="10"/>
  <c r="S241" i="10"/>
  <c r="Q241" i="10"/>
  <c r="P241" i="10"/>
  <c r="O241" i="10"/>
  <c r="M241" i="10"/>
  <c r="E241" i="10"/>
  <c r="B241" i="10"/>
  <c r="S240" i="10"/>
  <c r="Q240" i="10"/>
  <c r="P240" i="10"/>
  <c r="O240" i="10"/>
  <c r="M240" i="10"/>
  <c r="E240" i="10"/>
  <c r="B240" i="10"/>
  <c r="S239" i="10"/>
  <c r="Q239" i="10"/>
  <c r="P239" i="10"/>
  <c r="O239" i="10"/>
  <c r="M239" i="10"/>
  <c r="E239" i="10"/>
  <c r="B239" i="10"/>
  <c r="S238" i="10"/>
  <c r="Q238" i="10"/>
  <c r="P238" i="10"/>
  <c r="O238" i="10"/>
  <c r="M238" i="10"/>
  <c r="E238" i="10"/>
  <c r="B238" i="10"/>
  <c r="S237" i="10"/>
  <c r="Q237" i="10"/>
  <c r="P237" i="10"/>
  <c r="O237" i="10"/>
  <c r="M237" i="10"/>
  <c r="E237" i="10"/>
  <c r="B237" i="10"/>
  <c r="S236" i="10"/>
  <c r="Q236" i="10"/>
  <c r="P236" i="10"/>
  <c r="O236" i="10"/>
  <c r="M236" i="10"/>
  <c r="E236" i="10"/>
  <c r="B236" i="10"/>
  <c r="S235" i="10"/>
  <c r="Q235" i="10"/>
  <c r="P235" i="10"/>
  <c r="O235" i="10"/>
  <c r="M235" i="10"/>
  <c r="E235" i="10"/>
  <c r="B235" i="10"/>
  <c r="S234" i="10"/>
  <c r="Q234" i="10"/>
  <c r="P234" i="10"/>
  <c r="O234" i="10"/>
  <c r="M234" i="10"/>
  <c r="E234" i="10"/>
  <c r="B234" i="10"/>
  <c r="S233" i="10"/>
  <c r="Q233" i="10"/>
  <c r="P233" i="10"/>
  <c r="O233" i="10"/>
  <c r="M233" i="10"/>
  <c r="E233" i="10"/>
  <c r="B233" i="10"/>
  <c r="S232" i="10"/>
  <c r="Q232" i="10"/>
  <c r="P232" i="10"/>
  <c r="O232" i="10"/>
  <c r="M232" i="10"/>
  <c r="E232" i="10"/>
  <c r="B232" i="10"/>
  <c r="S231" i="10"/>
  <c r="Q231" i="10"/>
  <c r="P231" i="10"/>
  <c r="O231" i="10"/>
  <c r="M231" i="10"/>
  <c r="E231" i="10"/>
  <c r="B231" i="10"/>
  <c r="S230" i="10"/>
  <c r="Q230" i="10"/>
  <c r="P230" i="10"/>
  <c r="O230" i="10"/>
  <c r="M230" i="10"/>
  <c r="E230" i="10"/>
  <c r="B230" i="10"/>
  <c r="S229" i="10"/>
  <c r="Q229" i="10"/>
  <c r="P229" i="10"/>
  <c r="O229" i="10"/>
  <c r="M229" i="10"/>
  <c r="E229" i="10"/>
  <c r="B229" i="10"/>
  <c r="S228" i="10"/>
  <c r="Q228" i="10"/>
  <c r="P228" i="10"/>
  <c r="O228" i="10"/>
  <c r="M228" i="10"/>
  <c r="E228" i="10"/>
  <c r="B228" i="10"/>
  <c r="S227" i="10"/>
  <c r="Q227" i="10"/>
  <c r="P227" i="10"/>
  <c r="O227" i="10"/>
  <c r="M227" i="10"/>
  <c r="E227" i="10"/>
  <c r="B227" i="10"/>
  <c r="S226" i="10"/>
  <c r="Q226" i="10"/>
  <c r="P226" i="10"/>
  <c r="O226" i="10"/>
  <c r="M226" i="10"/>
  <c r="E226" i="10"/>
  <c r="B226" i="10"/>
  <c r="S225" i="10"/>
  <c r="Q225" i="10"/>
  <c r="P225" i="10"/>
  <c r="O225" i="10"/>
  <c r="M225" i="10"/>
  <c r="E225" i="10"/>
  <c r="B225" i="10"/>
  <c r="S224" i="10"/>
  <c r="Q224" i="10"/>
  <c r="P224" i="10"/>
  <c r="O224" i="10"/>
  <c r="M224" i="10"/>
  <c r="E224" i="10"/>
  <c r="B224" i="10"/>
  <c r="S223" i="10"/>
  <c r="Q223" i="10"/>
  <c r="P223" i="10"/>
  <c r="O223" i="10"/>
  <c r="M223" i="10"/>
  <c r="E223" i="10"/>
  <c r="B223" i="10"/>
  <c r="S222" i="10"/>
  <c r="Q222" i="10"/>
  <c r="P222" i="10"/>
  <c r="O222" i="10"/>
  <c r="M222" i="10"/>
  <c r="E222" i="10"/>
  <c r="B222" i="10"/>
  <c r="S221" i="10"/>
  <c r="Q221" i="10"/>
  <c r="P221" i="10"/>
  <c r="O221" i="10"/>
  <c r="M221" i="10"/>
  <c r="E221" i="10"/>
  <c r="B221" i="10"/>
  <c r="S220" i="10"/>
  <c r="Q220" i="10"/>
  <c r="P220" i="10"/>
  <c r="O220" i="10"/>
  <c r="M220" i="10"/>
  <c r="E220" i="10"/>
  <c r="B220" i="10"/>
  <c r="S219" i="10"/>
  <c r="Q219" i="10"/>
  <c r="P219" i="10"/>
  <c r="O219" i="10"/>
  <c r="M219" i="10"/>
  <c r="E219" i="10"/>
  <c r="B219" i="10"/>
  <c r="S218" i="10"/>
  <c r="Q218" i="10"/>
  <c r="P218" i="10"/>
  <c r="O218" i="10"/>
  <c r="M218" i="10"/>
  <c r="E218" i="10"/>
  <c r="B218" i="10"/>
  <c r="S217" i="10"/>
  <c r="Q217" i="10"/>
  <c r="P217" i="10"/>
  <c r="O217" i="10"/>
  <c r="M217" i="10"/>
  <c r="E217" i="10"/>
  <c r="B217" i="10"/>
  <c r="S216" i="10"/>
  <c r="Q216" i="10"/>
  <c r="P216" i="10"/>
  <c r="O216" i="10"/>
  <c r="M216" i="10"/>
  <c r="E216" i="10"/>
  <c r="B216" i="10"/>
  <c r="S215" i="10"/>
  <c r="Q215" i="10"/>
  <c r="P215" i="10"/>
  <c r="O215" i="10"/>
  <c r="M215" i="10"/>
  <c r="E215" i="10"/>
  <c r="B215" i="10"/>
  <c r="S214" i="10"/>
  <c r="Q214" i="10"/>
  <c r="P214" i="10"/>
  <c r="O214" i="10"/>
  <c r="M214" i="10"/>
  <c r="E214" i="10"/>
  <c r="B214" i="10"/>
  <c r="S213" i="10"/>
  <c r="Q213" i="10"/>
  <c r="P213" i="10"/>
  <c r="O213" i="10"/>
  <c r="M213" i="10"/>
  <c r="E213" i="10"/>
  <c r="B213" i="10"/>
  <c r="S212" i="10"/>
  <c r="Q212" i="10"/>
  <c r="P212" i="10"/>
  <c r="O212" i="10"/>
  <c r="M212" i="10"/>
  <c r="E212" i="10"/>
  <c r="B212" i="10"/>
  <c r="S211" i="10"/>
  <c r="Q211" i="10"/>
  <c r="P211" i="10"/>
  <c r="O211" i="10"/>
  <c r="M211" i="10"/>
  <c r="B211" i="10"/>
  <c r="S210" i="10"/>
  <c r="Q210" i="10"/>
  <c r="P210" i="10"/>
  <c r="O210" i="10"/>
  <c r="M210" i="10"/>
  <c r="E210" i="10"/>
  <c r="B210" i="10"/>
  <c r="S209" i="10"/>
  <c r="Q209" i="10"/>
  <c r="P209" i="10"/>
  <c r="O209" i="10"/>
  <c r="M209" i="10"/>
  <c r="E209" i="10"/>
  <c r="B209" i="10"/>
  <c r="S208" i="10"/>
  <c r="Q208" i="10"/>
  <c r="P208" i="10"/>
  <c r="O208" i="10"/>
  <c r="M208" i="10"/>
  <c r="E208" i="10"/>
  <c r="B208" i="10"/>
  <c r="S207" i="10"/>
  <c r="Q207" i="10"/>
  <c r="P207" i="10"/>
  <c r="O207" i="10"/>
  <c r="M207" i="10"/>
  <c r="E207" i="10"/>
  <c r="B207" i="10"/>
  <c r="S206" i="10"/>
  <c r="Q206" i="10"/>
  <c r="P206" i="10"/>
  <c r="O206" i="10"/>
  <c r="M206" i="10"/>
  <c r="E206" i="10"/>
  <c r="B206" i="10"/>
  <c r="S205" i="10"/>
  <c r="Q205" i="10"/>
  <c r="P205" i="10"/>
  <c r="O205" i="10"/>
  <c r="M205" i="10"/>
  <c r="E205" i="10"/>
  <c r="B205" i="10"/>
  <c r="S204" i="10"/>
  <c r="Q204" i="10"/>
  <c r="P204" i="10"/>
  <c r="O204" i="10"/>
  <c r="M204" i="10"/>
  <c r="E204" i="10"/>
  <c r="B204" i="10"/>
  <c r="S203" i="10"/>
  <c r="Q203" i="10"/>
  <c r="P203" i="10"/>
  <c r="O203" i="10"/>
  <c r="M203" i="10"/>
  <c r="E203" i="10"/>
  <c r="B203" i="10"/>
  <c r="S202" i="10"/>
  <c r="Q202" i="10"/>
  <c r="P202" i="10"/>
  <c r="O202" i="10"/>
  <c r="M202" i="10"/>
  <c r="E202" i="10"/>
  <c r="B202" i="10"/>
  <c r="S201" i="10"/>
  <c r="Q201" i="10"/>
  <c r="P201" i="10"/>
  <c r="O201" i="10"/>
  <c r="M201" i="10"/>
  <c r="E201" i="10"/>
  <c r="B201" i="10"/>
  <c r="S200" i="10"/>
  <c r="Q200" i="10"/>
  <c r="P200" i="10"/>
  <c r="O200" i="10"/>
  <c r="M200" i="10"/>
  <c r="E200" i="10"/>
  <c r="B200" i="10"/>
  <c r="S199" i="10"/>
  <c r="Q199" i="10"/>
  <c r="P199" i="10"/>
  <c r="O199" i="10"/>
  <c r="M199" i="10"/>
  <c r="E199" i="10"/>
  <c r="B199" i="10"/>
  <c r="S198" i="10"/>
  <c r="Q198" i="10"/>
  <c r="P198" i="10"/>
  <c r="O198" i="10"/>
  <c r="M198" i="10"/>
  <c r="E198" i="10"/>
  <c r="B198" i="10"/>
  <c r="S197" i="10"/>
  <c r="Q197" i="10"/>
  <c r="P197" i="10"/>
  <c r="O197" i="10"/>
  <c r="M197" i="10"/>
  <c r="E197" i="10"/>
  <c r="B197" i="10"/>
  <c r="S196" i="10"/>
  <c r="Q196" i="10"/>
  <c r="P196" i="10"/>
  <c r="O196" i="10"/>
  <c r="M196" i="10"/>
  <c r="E196" i="10"/>
  <c r="B196" i="10"/>
  <c r="S195" i="10"/>
  <c r="Q195" i="10"/>
  <c r="P195" i="10"/>
  <c r="O195" i="10"/>
  <c r="M195" i="10"/>
  <c r="E195" i="10"/>
  <c r="B195" i="10"/>
  <c r="S194" i="10"/>
  <c r="Q194" i="10"/>
  <c r="P194" i="10"/>
  <c r="O194" i="10"/>
  <c r="M194" i="10"/>
  <c r="E194" i="10"/>
  <c r="B194" i="10"/>
  <c r="S193" i="10"/>
  <c r="Q193" i="10"/>
  <c r="P193" i="10"/>
  <c r="O193" i="10"/>
  <c r="M193" i="10"/>
  <c r="E193" i="10"/>
  <c r="B193" i="10"/>
  <c r="S192" i="10"/>
  <c r="Q192" i="10"/>
  <c r="P192" i="10"/>
  <c r="O192" i="10"/>
  <c r="M192" i="10"/>
  <c r="E192" i="10"/>
  <c r="B192" i="10"/>
  <c r="S191" i="10"/>
  <c r="Q191" i="10"/>
  <c r="P191" i="10"/>
  <c r="O191" i="10"/>
  <c r="M191" i="10"/>
  <c r="E191" i="10"/>
  <c r="B191" i="10"/>
  <c r="S190" i="10"/>
  <c r="Q190" i="10"/>
  <c r="P190" i="10"/>
  <c r="O190" i="10"/>
  <c r="M190" i="10"/>
  <c r="E190" i="10"/>
  <c r="B190" i="10"/>
  <c r="S189" i="10"/>
  <c r="Q189" i="10"/>
  <c r="P189" i="10"/>
  <c r="O189" i="10"/>
  <c r="M189" i="10"/>
  <c r="B189" i="10"/>
  <c r="S188" i="10"/>
  <c r="Q188" i="10"/>
  <c r="P188" i="10"/>
  <c r="O188" i="10"/>
  <c r="M188" i="10"/>
  <c r="E188" i="10"/>
  <c r="B188" i="10"/>
  <c r="S187" i="10"/>
  <c r="Q187" i="10"/>
  <c r="P187" i="10"/>
  <c r="O187" i="10"/>
  <c r="M187" i="10"/>
  <c r="E187" i="10"/>
  <c r="B187" i="10"/>
  <c r="S186" i="10"/>
  <c r="Q186" i="10"/>
  <c r="P186" i="10"/>
  <c r="O186" i="10"/>
  <c r="M186" i="10"/>
  <c r="E186" i="10"/>
  <c r="B186" i="10"/>
  <c r="S185" i="10"/>
  <c r="Q185" i="10"/>
  <c r="P185" i="10"/>
  <c r="O185" i="10"/>
  <c r="M185" i="10"/>
  <c r="E185" i="10"/>
  <c r="B185" i="10"/>
  <c r="S184" i="10"/>
  <c r="Q184" i="10"/>
  <c r="P184" i="10"/>
  <c r="O184" i="10"/>
  <c r="M184" i="10"/>
  <c r="E184" i="10"/>
  <c r="B184" i="10"/>
  <c r="S183" i="10"/>
  <c r="Q183" i="10"/>
  <c r="P183" i="10"/>
  <c r="O183" i="10"/>
  <c r="M183" i="10"/>
  <c r="E183" i="10"/>
  <c r="B183" i="10"/>
  <c r="S182" i="10"/>
  <c r="Q182" i="10"/>
  <c r="P182" i="10"/>
  <c r="O182" i="10"/>
  <c r="M182" i="10"/>
  <c r="E182" i="10"/>
  <c r="B182" i="10"/>
  <c r="S181" i="10"/>
  <c r="Q181" i="10"/>
  <c r="P181" i="10"/>
  <c r="O181" i="10"/>
  <c r="M181" i="10"/>
  <c r="E181" i="10"/>
  <c r="B181" i="10"/>
  <c r="S180" i="10"/>
  <c r="Q180" i="10"/>
  <c r="P180" i="10"/>
  <c r="O180" i="10"/>
  <c r="M180" i="10"/>
  <c r="E180" i="10"/>
  <c r="B180" i="10"/>
  <c r="S179" i="10"/>
  <c r="Q179" i="10"/>
  <c r="P179" i="10"/>
  <c r="O179" i="10"/>
  <c r="M179" i="10"/>
  <c r="E179" i="10"/>
  <c r="B179" i="10"/>
  <c r="S178" i="10"/>
  <c r="Q178" i="10"/>
  <c r="P178" i="10"/>
  <c r="O178" i="10"/>
  <c r="M178" i="10"/>
  <c r="E178" i="10"/>
  <c r="B178" i="10"/>
  <c r="S177" i="10"/>
  <c r="Q177" i="10"/>
  <c r="P177" i="10"/>
  <c r="O177" i="10"/>
  <c r="M177" i="10"/>
  <c r="E177" i="10"/>
  <c r="B177" i="10"/>
  <c r="S176" i="10"/>
  <c r="Q176" i="10"/>
  <c r="P176" i="10"/>
  <c r="O176" i="10"/>
  <c r="M176" i="10"/>
  <c r="E176" i="10"/>
  <c r="B176" i="10"/>
  <c r="S175" i="10"/>
  <c r="Q175" i="10"/>
  <c r="P175" i="10"/>
  <c r="O175" i="10"/>
  <c r="M175" i="10"/>
  <c r="E175" i="10"/>
  <c r="B175" i="10"/>
  <c r="S174" i="10"/>
  <c r="Q174" i="10"/>
  <c r="P174" i="10"/>
  <c r="O174" i="10"/>
  <c r="M174" i="10"/>
  <c r="E174" i="10"/>
  <c r="B174" i="10"/>
  <c r="S173" i="10"/>
  <c r="Q173" i="10"/>
  <c r="P173" i="10"/>
  <c r="O173" i="10"/>
  <c r="M173" i="10"/>
  <c r="E173" i="10"/>
  <c r="B173" i="10"/>
  <c r="S172" i="10"/>
  <c r="Q172" i="10"/>
  <c r="P172" i="10"/>
  <c r="O172" i="10"/>
  <c r="M172" i="10"/>
  <c r="E172" i="10"/>
  <c r="B172" i="10"/>
  <c r="S171" i="10"/>
  <c r="Q171" i="10"/>
  <c r="P171" i="10"/>
  <c r="O171" i="10"/>
  <c r="M171" i="10"/>
  <c r="E171" i="10"/>
  <c r="B171" i="10"/>
  <c r="S170" i="10"/>
  <c r="Q170" i="10"/>
  <c r="P170" i="10"/>
  <c r="O170" i="10"/>
  <c r="M170" i="10"/>
  <c r="E170" i="10"/>
  <c r="B170" i="10"/>
  <c r="S169" i="10"/>
  <c r="Q169" i="10"/>
  <c r="P169" i="10"/>
  <c r="O169" i="10"/>
  <c r="M169" i="10"/>
  <c r="E169" i="10"/>
  <c r="B169" i="10"/>
  <c r="S168" i="10"/>
  <c r="Q168" i="10"/>
  <c r="P168" i="10"/>
  <c r="O168" i="10"/>
  <c r="M168" i="10"/>
  <c r="E168" i="10"/>
  <c r="B168" i="10"/>
  <c r="S167" i="10"/>
  <c r="Q167" i="10"/>
  <c r="P167" i="10"/>
  <c r="O167" i="10"/>
  <c r="M167" i="10"/>
  <c r="E167" i="10"/>
  <c r="B167" i="10"/>
  <c r="S166" i="10"/>
  <c r="Q166" i="10"/>
  <c r="P166" i="10"/>
  <c r="O166" i="10"/>
  <c r="M166" i="10"/>
  <c r="E166" i="10"/>
  <c r="B166" i="10"/>
  <c r="S165" i="10"/>
  <c r="Q165" i="10"/>
  <c r="P165" i="10"/>
  <c r="O165" i="10"/>
  <c r="M165" i="10"/>
  <c r="E165" i="10"/>
  <c r="B165" i="10"/>
  <c r="S164" i="10"/>
  <c r="Q164" i="10"/>
  <c r="P164" i="10"/>
  <c r="O164" i="10"/>
  <c r="M164" i="10"/>
  <c r="E164" i="10"/>
  <c r="B164" i="10"/>
  <c r="S163" i="10"/>
  <c r="Q163" i="10"/>
  <c r="P163" i="10"/>
  <c r="O163" i="10"/>
  <c r="M163" i="10"/>
  <c r="E163" i="10"/>
  <c r="B163" i="10"/>
  <c r="S162" i="10"/>
  <c r="Q162" i="10"/>
  <c r="P162" i="10"/>
  <c r="O162" i="10"/>
  <c r="M162" i="10"/>
  <c r="E162" i="10"/>
  <c r="B162" i="10"/>
  <c r="S161" i="10"/>
  <c r="Q161" i="10"/>
  <c r="P161" i="10"/>
  <c r="O161" i="10"/>
  <c r="M161" i="10"/>
  <c r="E161" i="10"/>
  <c r="B161" i="10"/>
  <c r="S160" i="10"/>
  <c r="Q160" i="10"/>
  <c r="P160" i="10"/>
  <c r="O160" i="10"/>
  <c r="M160" i="10"/>
  <c r="E160" i="10"/>
  <c r="B160" i="10"/>
  <c r="S159" i="10"/>
  <c r="Q159" i="10"/>
  <c r="P159" i="10"/>
  <c r="O159" i="10"/>
  <c r="M159" i="10"/>
  <c r="E159" i="10"/>
  <c r="B159" i="10"/>
  <c r="S158" i="10"/>
  <c r="Q158" i="10"/>
  <c r="P158" i="10"/>
  <c r="O158" i="10"/>
  <c r="M158" i="10"/>
  <c r="E158" i="10"/>
  <c r="B158" i="10"/>
  <c r="S157" i="10"/>
  <c r="Q157" i="10"/>
  <c r="P157" i="10"/>
  <c r="O157" i="10"/>
  <c r="M157" i="10"/>
  <c r="E157" i="10"/>
  <c r="B157" i="10"/>
  <c r="S156" i="10"/>
  <c r="Q156" i="10"/>
  <c r="P156" i="10"/>
  <c r="O156" i="10"/>
  <c r="M156" i="10"/>
  <c r="B156" i="10"/>
  <c r="S155" i="10"/>
  <c r="Q155" i="10"/>
  <c r="P155" i="10"/>
  <c r="O155" i="10"/>
  <c r="M155" i="10"/>
  <c r="E155" i="10"/>
  <c r="B155" i="10"/>
  <c r="S154" i="10"/>
  <c r="Q154" i="10"/>
  <c r="P154" i="10"/>
  <c r="O154" i="10"/>
  <c r="M154" i="10"/>
  <c r="E154" i="10"/>
  <c r="B154" i="10"/>
  <c r="S153" i="10"/>
  <c r="Q153" i="10"/>
  <c r="P153" i="10"/>
  <c r="O153" i="10"/>
  <c r="M153" i="10"/>
  <c r="E153" i="10"/>
  <c r="B153" i="10"/>
  <c r="S152" i="10"/>
  <c r="Q152" i="10"/>
  <c r="P152" i="10"/>
  <c r="O152" i="10"/>
  <c r="M152" i="10"/>
  <c r="E152" i="10"/>
  <c r="B152" i="10"/>
  <c r="S151" i="10"/>
  <c r="Q151" i="10"/>
  <c r="P151" i="10"/>
  <c r="O151" i="10"/>
  <c r="M151" i="10"/>
  <c r="E151" i="10"/>
  <c r="B151" i="10"/>
  <c r="S150" i="10"/>
  <c r="Q150" i="10"/>
  <c r="P150" i="10"/>
  <c r="O150" i="10"/>
  <c r="M150" i="10"/>
  <c r="E150" i="10"/>
  <c r="B150" i="10"/>
  <c r="S149" i="10"/>
  <c r="Q149" i="10"/>
  <c r="P149" i="10"/>
  <c r="O149" i="10"/>
  <c r="M149" i="10"/>
  <c r="E149" i="10"/>
  <c r="B149" i="10"/>
  <c r="S148" i="10"/>
  <c r="Q148" i="10"/>
  <c r="P148" i="10"/>
  <c r="O148" i="10"/>
  <c r="M148" i="10"/>
  <c r="E148" i="10"/>
  <c r="B148" i="10"/>
  <c r="S147" i="10"/>
  <c r="Q147" i="10"/>
  <c r="P147" i="10"/>
  <c r="O147" i="10"/>
  <c r="M147" i="10"/>
  <c r="E147" i="10"/>
  <c r="B147" i="10"/>
  <c r="S146" i="10"/>
  <c r="Q146" i="10"/>
  <c r="P146" i="10"/>
  <c r="O146" i="10"/>
  <c r="M146" i="10"/>
  <c r="E146" i="10"/>
  <c r="B146" i="10"/>
  <c r="S145" i="10"/>
  <c r="Q145" i="10"/>
  <c r="P145" i="10"/>
  <c r="O145" i="10"/>
  <c r="M145" i="10"/>
  <c r="E145" i="10"/>
  <c r="B145" i="10"/>
  <c r="S144" i="10"/>
  <c r="Q144" i="10"/>
  <c r="P144" i="10"/>
  <c r="O144" i="10"/>
  <c r="M144" i="10"/>
  <c r="E144" i="10"/>
  <c r="B144" i="10"/>
  <c r="S143" i="10"/>
  <c r="Q143" i="10"/>
  <c r="P143" i="10"/>
  <c r="O143" i="10"/>
  <c r="M143" i="10"/>
  <c r="E143" i="10"/>
  <c r="B143" i="10"/>
  <c r="S142" i="10"/>
  <c r="Q142" i="10"/>
  <c r="P142" i="10"/>
  <c r="O142" i="10"/>
  <c r="M142" i="10"/>
  <c r="E142" i="10"/>
  <c r="B142" i="10"/>
  <c r="S141" i="10"/>
  <c r="Q141" i="10"/>
  <c r="P141" i="10"/>
  <c r="O141" i="10"/>
  <c r="M141" i="10"/>
  <c r="E141" i="10"/>
  <c r="B141" i="10"/>
  <c r="S140" i="10"/>
  <c r="Q140" i="10"/>
  <c r="P140" i="10"/>
  <c r="O140" i="10"/>
  <c r="M140" i="10"/>
  <c r="E140" i="10"/>
  <c r="B140" i="10"/>
  <c r="S139" i="10"/>
  <c r="Q139" i="10"/>
  <c r="P139" i="10"/>
  <c r="O139" i="10"/>
  <c r="M139" i="10"/>
  <c r="E139" i="10"/>
  <c r="B139" i="10"/>
  <c r="S138" i="10"/>
  <c r="Q138" i="10"/>
  <c r="P138" i="10"/>
  <c r="O138" i="10"/>
  <c r="M138" i="10"/>
  <c r="E138" i="10"/>
  <c r="B138" i="10"/>
  <c r="S137" i="10"/>
  <c r="Q137" i="10"/>
  <c r="P137" i="10"/>
  <c r="O137" i="10"/>
  <c r="M137" i="10"/>
  <c r="E137" i="10"/>
  <c r="B137" i="10"/>
  <c r="S136" i="10"/>
  <c r="Q136" i="10"/>
  <c r="P136" i="10"/>
  <c r="O136" i="10"/>
  <c r="M136" i="10"/>
  <c r="E136" i="10"/>
  <c r="B136" i="10"/>
  <c r="S135" i="10"/>
  <c r="Q135" i="10"/>
  <c r="P135" i="10"/>
  <c r="O135" i="10"/>
  <c r="M135" i="10"/>
  <c r="E135" i="10"/>
  <c r="B135" i="10"/>
  <c r="S134" i="10"/>
  <c r="Q134" i="10"/>
  <c r="P134" i="10"/>
  <c r="O134" i="10"/>
  <c r="M134" i="10"/>
  <c r="E134" i="10"/>
  <c r="B134" i="10"/>
  <c r="S133" i="10"/>
  <c r="Q133" i="10"/>
  <c r="P133" i="10"/>
  <c r="O133" i="10"/>
  <c r="M133" i="10"/>
  <c r="E133" i="10"/>
  <c r="B133" i="10"/>
  <c r="S132" i="10"/>
  <c r="Q132" i="10"/>
  <c r="P132" i="10"/>
  <c r="O132" i="10"/>
  <c r="M132" i="10"/>
  <c r="B132" i="10"/>
  <c r="S131" i="10"/>
  <c r="Q131" i="10"/>
  <c r="P131" i="10"/>
  <c r="O131" i="10"/>
  <c r="M131" i="10"/>
  <c r="E131" i="10"/>
  <c r="B131" i="10"/>
  <c r="S130" i="10"/>
  <c r="Q130" i="10"/>
  <c r="P130" i="10"/>
  <c r="O130" i="10"/>
  <c r="M130" i="10"/>
  <c r="E130" i="10"/>
  <c r="B130" i="10"/>
  <c r="S129" i="10"/>
  <c r="Q129" i="10"/>
  <c r="P129" i="10"/>
  <c r="O129" i="10"/>
  <c r="M129" i="10"/>
  <c r="E129" i="10"/>
  <c r="B129" i="10"/>
  <c r="S128" i="10"/>
  <c r="Q128" i="10"/>
  <c r="P128" i="10"/>
  <c r="O128" i="10"/>
  <c r="M128" i="10"/>
  <c r="E128" i="10"/>
  <c r="B128" i="10"/>
  <c r="S127" i="10"/>
  <c r="Q127" i="10"/>
  <c r="P127" i="10"/>
  <c r="O127" i="10"/>
  <c r="M127" i="10"/>
  <c r="E127" i="10"/>
  <c r="B127" i="10"/>
  <c r="S126" i="10"/>
  <c r="Q126" i="10"/>
  <c r="P126" i="10"/>
  <c r="O126" i="10"/>
  <c r="M126" i="10"/>
  <c r="E126" i="10"/>
  <c r="B126" i="10"/>
  <c r="S125" i="10"/>
  <c r="Q125" i="10"/>
  <c r="P125" i="10"/>
  <c r="O125" i="10"/>
  <c r="M125" i="10"/>
  <c r="B125" i="10"/>
  <c r="S124" i="10"/>
  <c r="Q124" i="10"/>
  <c r="P124" i="10"/>
  <c r="O124" i="10"/>
  <c r="M124" i="10"/>
  <c r="E124" i="10"/>
  <c r="B124" i="10"/>
  <c r="S123" i="10"/>
  <c r="Q123" i="10"/>
  <c r="P123" i="10"/>
  <c r="O123" i="10"/>
  <c r="M123" i="10"/>
  <c r="E123" i="10"/>
  <c r="B123" i="10"/>
  <c r="S122" i="10"/>
  <c r="Q122" i="10"/>
  <c r="P122" i="10"/>
  <c r="O122" i="10"/>
  <c r="M122" i="10"/>
  <c r="E122" i="10"/>
  <c r="B122" i="10"/>
  <c r="S121" i="10"/>
  <c r="Q121" i="10"/>
  <c r="P121" i="10"/>
  <c r="O121" i="10"/>
  <c r="M121" i="10"/>
  <c r="E121" i="10"/>
  <c r="B121" i="10"/>
  <c r="S120" i="10"/>
  <c r="Q120" i="10"/>
  <c r="P120" i="10"/>
  <c r="O120" i="10"/>
  <c r="M120" i="10"/>
  <c r="E120" i="10"/>
  <c r="B120" i="10"/>
  <c r="S119" i="10"/>
  <c r="Q119" i="10"/>
  <c r="P119" i="10"/>
  <c r="O119" i="10"/>
  <c r="M119" i="10"/>
  <c r="E119" i="10"/>
  <c r="B119" i="10"/>
  <c r="S118" i="10"/>
  <c r="Q118" i="10"/>
  <c r="P118" i="10"/>
  <c r="O118" i="10"/>
  <c r="M118" i="10"/>
  <c r="E118" i="10"/>
  <c r="B118" i="10"/>
  <c r="S117" i="10"/>
  <c r="Q117" i="10"/>
  <c r="P117" i="10"/>
  <c r="O117" i="10"/>
  <c r="M117" i="10"/>
  <c r="E117" i="10"/>
  <c r="B117" i="10"/>
  <c r="S116" i="10"/>
  <c r="Q116" i="10"/>
  <c r="P116" i="10"/>
  <c r="O116" i="10"/>
  <c r="M116" i="10"/>
  <c r="E116" i="10"/>
  <c r="B116" i="10"/>
  <c r="S115" i="10"/>
  <c r="Q115" i="10"/>
  <c r="P115" i="10"/>
  <c r="O115" i="10"/>
  <c r="M115" i="10"/>
  <c r="E115" i="10"/>
  <c r="B115" i="10"/>
  <c r="S114" i="10"/>
  <c r="Q114" i="10"/>
  <c r="P114" i="10"/>
  <c r="O114" i="10"/>
  <c r="M114" i="10"/>
  <c r="E114" i="10"/>
  <c r="B114" i="10"/>
  <c r="S113" i="10"/>
  <c r="Q113" i="10"/>
  <c r="P113" i="10"/>
  <c r="O113" i="10"/>
  <c r="M113" i="10"/>
  <c r="E113" i="10"/>
  <c r="B113" i="10"/>
  <c r="S112" i="10"/>
  <c r="Q112" i="10"/>
  <c r="P112" i="10"/>
  <c r="O112" i="10"/>
  <c r="M112" i="10"/>
  <c r="E112" i="10"/>
  <c r="B112" i="10"/>
  <c r="S111" i="10"/>
  <c r="Q111" i="10"/>
  <c r="P111" i="10"/>
  <c r="O111" i="10"/>
  <c r="M111" i="10"/>
  <c r="E111" i="10"/>
  <c r="B111" i="10"/>
  <c r="S110" i="10"/>
  <c r="Q110" i="10"/>
  <c r="P110" i="10"/>
  <c r="O110" i="10"/>
  <c r="M110" i="10"/>
  <c r="E110" i="10"/>
  <c r="B110" i="10"/>
  <c r="S109" i="10"/>
  <c r="Q109" i="10"/>
  <c r="P109" i="10"/>
  <c r="O109" i="10"/>
  <c r="M109" i="10"/>
  <c r="E109" i="10"/>
  <c r="B109" i="10"/>
  <c r="S108" i="10"/>
  <c r="Q108" i="10"/>
  <c r="P108" i="10"/>
  <c r="O108" i="10"/>
  <c r="M108" i="10"/>
  <c r="E108" i="10"/>
  <c r="B108" i="10"/>
  <c r="S107" i="10"/>
  <c r="Q107" i="10"/>
  <c r="P107" i="10"/>
  <c r="O107" i="10"/>
  <c r="M107" i="10"/>
  <c r="E107" i="10"/>
  <c r="B107" i="10"/>
  <c r="S106" i="10"/>
  <c r="Q106" i="10"/>
  <c r="P106" i="10"/>
  <c r="O106" i="10"/>
  <c r="M106" i="10"/>
  <c r="E106" i="10"/>
  <c r="B106" i="10"/>
  <c r="S105" i="10"/>
  <c r="Q105" i="10"/>
  <c r="P105" i="10"/>
  <c r="O105" i="10"/>
  <c r="M105" i="10"/>
  <c r="E105" i="10"/>
  <c r="B105" i="10"/>
  <c r="S104" i="10"/>
  <c r="Q104" i="10"/>
  <c r="P104" i="10"/>
  <c r="O104" i="10"/>
  <c r="M104" i="10"/>
  <c r="E104" i="10"/>
  <c r="B104" i="10"/>
  <c r="S103" i="10"/>
  <c r="Q103" i="10"/>
  <c r="P103" i="10"/>
  <c r="O103" i="10"/>
  <c r="M103" i="10"/>
  <c r="E103" i="10"/>
  <c r="B103" i="10"/>
  <c r="S102" i="10"/>
  <c r="Q102" i="10"/>
  <c r="P102" i="10"/>
  <c r="O102" i="10"/>
  <c r="M102" i="10"/>
  <c r="E102" i="10"/>
  <c r="B102" i="10"/>
  <c r="S101" i="10"/>
  <c r="Q101" i="10"/>
  <c r="P101" i="10"/>
  <c r="O101" i="10"/>
  <c r="M101" i="10"/>
  <c r="E101" i="10"/>
  <c r="B101" i="10"/>
  <c r="S100" i="10"/>
  <c r="Q100" i="10"/>
  <c r="P100" i="10"/>
  <c r="O100" i="10"/>
  <c r="M100" i="10"/>
  <c r="E100" i="10"/>
  <c r="B100" i="10"/>
  <c r="S99" i="10"/>
  <c r="Q99" i="10"/>
  <c r="P99" i="10"/>
  <c r="O99" i="10"/>
  <c r="M99" i="10"/>
  <c r="E99" i="10"/>
  <c r="B99" i="10"/>
  <c r="S98" i="10"/>
  <c r="Q98" i="10"/>
  <c r="P98" i="10"/>
  <c r="O98" i="10"/>
  <c r="M98" i="10"/>
  <c r="E98" i="10"/>
  <c r="B98" i="10"/>
  <c r="S97" i="10"/>
  <c r="Q97" i="10"/>
  <c r="P97" i="10"/>
  <c r="O97" i="10"/>
  <c r="M97" i="10"/>
  <c r="E97" i="10"/>
  <c r="B97" i="10"/>
  <c r="S96" i="10"/>
  <c r="Q96" i="10"/>
  <c r="P96" i="10"/>
  <c r="O96" i="10"/>
  <c r="M96" i="10"/>
  <c r="E96" i="10"/>
  <c r="B96" i="10"/>
  <c r="S95" i="10"/>
  <c r="Q95" i="10"/>
  <c r="P95" i="10"/>
  <c r="O95" i="10"/>
  <c r="M95" i="10"/>
  <c r="E95" i="10"/>
  <c r="B95" i="10"/>
  <c r="S94" i="10"/>
  <c r="Q94" i="10"/>
  <c r="P94" i="10"/>
  <c r="O94" i="10"/>
  <c r="M94" i="10"/>
  <c r="E94" i="10"/>
  <c r="B94" i="10"/>
  <c r="S93" i="10"/>
  <c r="Q93" i="10"/>
  <c r="P93" i="10"/>
  <c r="O93" i="10"/>
  <c r="M93" i="10"/>
  <c r="E93" i="10"/>
  <c r="B93" i="10"/>
  <c r="S92" i="10"/>
  <c r="Q92" i="10"/>
  <c r="P92" i="10"/>
  <c r="O92" i="10"/>
  <c r="M92" i="10"/>
  <c r="E92" i="10"/>
  <c r="B92" i="10"/>
  <c r="S91" i="10"/>
  <c r="Q91" i="10"/>
  <c r="P91" i="10"/>
  <c r="O91" i="10"/>
  <c r="M91" i="10"/>
  <c r="E91" i="10"/>
  <c r="B91" i="10"/>
  <c r="S90" i="10"/>
  <c r="Q90" i="10"/>
  <c r="P90" i="10"/>
  <c r="O90" i="10"/>
  <c r="M90" i="10"/>
  <c r="E90" i="10"/>
  <c r="B90" i="10"/>
  <c r="S89" i="10"/>
  <c r="Q89" i="10"/>
  <c r="P89" i="10"/>
  <c r="O89" i="10"/>
  <c r="M89" i="10"/>
  <c r="E89" i="10"/>
  <c r="B89" i="10"/>
  <c r="S88" i="10"/>
  <c r="Q88" i="10"/>
  <c r="P88" i="10"/>
  <c r="O88" i="10"/>
  <c r="M88" i="10"/>
  <c r="E88" i="10"/>
  <c r="B88" i="10"/>
  <c r="S87" i="10"/>
  <c r="Q87" i="10"/>
  <c r="P87" i="10"/>
  <c r="O87" i="10"/>
  <c r="M87" i="10"/>
  <c r="E87" i="10"/>
  <c r="B87" i="10"/>
  <c r="S86" i="10"/>
  <c r="Q86" i="10"/>
  <c r="P86" i="10"/>
  <c r="O86" i="10"/>
  <c r="M86" i="10"/>
  <c r="E86" i="10"/>
  <c r="B86" i="10"/>
  <c r="S85" i="10"/>
  <c r="Q85" i="10"/>
  <c r="P85" i="10"/>
  <c r="O85" i="10"/>
  <c r="M85" i="10"/>
  <c r="E85" i="10"/>
  <c r="B85" i="10"/>
  <c r="S84" i="10"/>
  <c r="Q84" i="10"/>
  <c r="P84" i="10"/>
  <c r="O84" i="10"/>
  <c r="M84" i="10"/>
  <c r="E84" i="10"/>
  <c r="B84" i="10"/>
  <c r="S83" i="10"/>
  <c r="Q83" i="10"/>
  <c r="P83" i="10"/>
  <c r="O83" i="10"/>
  <c r="M83" i="10"/>
  <c r="E83" i="10"/>
  <c r="B83" i="10"/>
  <c r="S82" i="10"/>
  <c r="Q82" i="10"/>
  <c r="P82" i="10"/>
  <c r="O82" i="10"/>
  <c r="M82" i="10"/>
  <c r="E82" i="10"/>
  <c r="B82" i="10"/>
  <c r="S81" i="10"/>
  <c r="Q81" i="10"/>
  <c r="P81" i="10"/>
  <c r="O81" i="10"/>
  <c r="M81" i="10"/>
  <c r="E81" i="10"/>
  <c r="B81" i="10"/>
  <c r="S80" i="10"/>
  <c r="Q80" i="10"/>
  <c r="P80" i="10"/>
  <c r="O80" i="10"/>
  <c r="M80" i="10"/>
  <c r="B80" i="10"/>
  <c r="S79" i="10"/>
  <c r="Q79" i="10"/>
  <c r="P79" i="10"/>
  <c r="O79" i="10"/>
  <c r="M79" i="10"/>
  <c r="E79" i="10"/>
  <c r="B79" i="10"/>
  <c r="S78" i="10"/>
  <c r="Q78" i="10"/>
  <c r="P78" i="10"/>
  <c r="O78" i="10"/>
  <c r="M78" i="10"/>
  <c r="E78" i="10"/>
  <c r="B78" i="10"/>
  <c r="S77" i="10"/>
  <c r="Q77" i="10"/>
  <c r="P77" i="10"/>
  <c r="O77" i="10"/>
  <c r="M77" i="10"/>
  <c r="E77" i="10"/>
  <c r="B77" i="10"/>
  <c r="S76" i="10"/>
  <c r="Q76" i="10"/>
  <c r="P76" i="10"/>
  <c r="O76" i="10"/>
  <c r="M76" i="10"/>
  <c r="E76" i="10"/>
  <c r="B76" i="10"/>
  <c r="S75" i="10"/>
  <c r="Q75" i="10"/>
  <c r="P75" i="10"/>
  <c r="O75" i="10"/>
  <c r="M75" i="10"/>
  <c r="E75" i="10"/>
  <c r="B75" i="10"/>
  <c r="S74" i="10"/>
  <c r="Q74" i="10"/>
  <c r="P74" i="10"/>
  <c r="O74" i="10"/>
  <c r="M74" i="10"/>
  <c r="E74" i="10"/>
  <c r="B74" i="10"/>
  <c r="S73" i="10"/>
  <c r="Q73" i="10"/>
  <c r="P73" i="10"/>
  <c r="O73" i="10"/>
  <c r="M73" i="10"/>
  <c r="E73" i="10"/>
  <c r="B73" i="10"/>
  <c r="S72" i="10"/>
  <c r="Q72" i="10"/>
  <c r="P72" i="10"/>
  <c r="O72" i="10"/>
  <c r="M72" i="10"/>
  <c r="E72" i="10"/>
  <c r="B72" i="10"/>
  <c r="S71" i="10"/>
  <c r="Q71" i="10"/>
  <c r="P71" i="10"/>
  <c r="O71" i="10"/>
  <c r="M71" i="10"/>
  <c r="E71" i="10"/>
  <c r="B71" i="10"/>
  <c r="S70" i="10"/>
  <c r="Q70" i="10"/>
  <c r="P70" i="10"/>
  <c r="O70" i="10"/>
  <c r="M70" i="10"/>
  <c r="E70" i="10"/>
  <c r="B70" i="10"/>
  <c r="S69" i="10"/>
  <c r="Q69" i="10"/>
  <c r="P69" i="10"/>
  <c r="O69" i="10"/>
  <c r="M69" i="10"/>
  <c r="E69" i="10"/>
  <c r="B69" i="10"/>
  <c r="S68" i="10"/>
  <c r="Q68" i="10"/>
  <c r="P68" i="10"/>
  <c r="O68" i="10"/>
  <c r="M68" i="10"/>
  <c r="B68" i="10"/>
  <c r="S67" i="10"/>
  <c r="Q67" i="10"/>
  <c r="P67" i="10"/>
  <c r="O67" i="10"/>
  <c r="M67" i="10"/>
  <c r="E67" i="10"/>
  <c r="B67" i="10"/>
  <c r="S66" i="10"/>
  <c r="Q66" i="10"/>
  <c r="P66" i="10"/>
  <c r="O66" i="10"/>
  <c r="M66" i="10"/>
  <c r="E66" i="10"/>
  <c r="B66" i="10"/>
  <c r="S65" i="10"/>
  <c r="Q65" i="10"/>
  <c r="P65" i="10"/>
  <c r="O65" i="10"/>
  <c r="M65" i="10"/>
  <c r="E65" i="10"/>
  <c r="B65" i="10"/>
  <c r="S64" i="10"/>
  <c r="Q64" i="10"/>
  <c r="P64" i="10"/>
  <c r="O64" i="10"/>
  <c r="M64" i="10"/>
  <c r="E64" i="10"/>
  <c r="B64" i="10"/>
  <c r="S63" i="10"/>
  <c r="Q63" i="10"/>
  <c r="P63" i="10"/>
  <c r="O63" i="10"/>
  <c r="M63" i="10"/>
  <c r="E63" i="10"/>
  <c r="B63" i="10"/>
  <c r="S62" i="10"/>
  <c r="Q62" i="10"/>
  <c r="P62" i="10"/>
  <c r="O62" i="10"/>
  <c r="M62" i="10"/>
  <c r="E62" i="10"/>
  <c r="B62" i="10"/>
  <c r="S61" i="10"/>
  <c r="Q61" i="10"/>
  <c r="P61" i="10"/>
  <c r="O61" i="10"/>
  <c r="M61" i="10"/>
  <c r="B61" i="10"/>
  <c r="S60" i="10"/>
  <c r="Q60" i="10"/>
  <c r="P60" i="10"/>
  <c r="O60" i="10"/>
  <c r="M60" i="10"/>
  <c r="E60" i="10"/>
  <c r="B60" i="10"/>
  <c r="S59" i="10"/>
  <c r="Q59" i="10"/>
  <c r="P59" i="10"/>
  <c r="O59" i="10"/>
  <c r="M59" i="10"/>
  <c r="E59" i="10"/>
  <c r="B59" i="10"/>
  <c r="S58" i="10"/>
  <c r="Q58" i="10"/>
  <c r="P58" i="10"/>
  <c r="O58" i="10"/>
  <c r="M58" i="10"/>
  <c r="E58" i="10"/>
  <c r="B58" i="10"/>
  <c r="S57" i="10"/>
  <c r="Q57" i="10"/>
  <c r="P57" i="10"/>
  <c r="O57" i="10"/>
  <c r="M57" i="10"/>
  <c r="E57" i="10"/>
  <c r="B57" i="10"/>
  <c r="S56" i="10"/>
  <c r="Q56" i="10"/>
  <c r="P56" i="10"/>
  <c r="O56" i="10"/>
  <c r="M56" i="10"/>
  <c r="E56" i="10"/>
  <c r="B56" i="10"/>
  <c r="S55" i="10"/>
  <c r="Q55" i="10"/>
  <c r="P55" i="10"/>
  <c r="O55" i="10"/>
  <c r="M55" i="10"/>
  <c r="E55" i="10"/>
  <c r="B55" i="10"/>
  <c r="S54" i="10"/>
  <c r="Q54" i="10"/>
  <c r="P54" i="10"/>
  <c r="O54" i="10"/>
  <c r="M54" i="10"/>
  <c r="E54" i="10"/>
  <c r="B54" i="10"/>
  <c r="S53" i="10"/>
  <c r="Q53" i="10"/>
  <c r="P53" i="10"/>
  <c r="O53" i="10"/>
  <c r="M53" i="10"/>
  <c r="E53" i="10"/>
  <c r="B53" i="10"/>
  <c r="S52" i="10"/>
  <c r="Q52" i="10"/>
  <c r="P52" i="10"/>
  <c r="O52" i="10"/>
  <c r="M52" i="10"/>
  <c r="E52" i="10"/>
  <c r="B52" i="10"/>
  <c r="S51" i="10"/>
  <c r="Q51" i="10"/>
  <c r="P51" i="10"/>
  <c r="O51" i="10"/>
  <c r="M51" i="10"/>
  <c r="E51" i="10"/>
  <c r="B51" i="10"/>
  <c r="S50" i="10"/>
  <c r="Q50" i="10"/>
  <c r="P50" i="10"/>
  <c r="O50" i="10"/>
  <c r="M50" i="10"/>
  <c r="E50" i="10"/>
  <c r="B50" i="10"/>
  <c r="S49" i="10"/>
  <c r="Q49" i="10"/>
  <c r="P49" i="10"/>
  <c r="O49" i="10"/>
  <c r="M49" i="10"/>
  <c r="E49" i="10"/>
  <c r="B49" i="10"/>
  <c r="S48" i="10"/>
  <c r="Q48" i="10"/>
  <c r="P48" i="10"/>
  <c r="O48" i="10"/>
  <c r="M48" i="10"/>
  <c r="E48" i="10"/>
  <c r="B48" i="10"/>
  <c r="S47" i="10"/>
  <c r="Q47" i="10"/>
  <c r="P47" i="10"/>
  <c r="O47" i="10"/>
  <c r="M47" i="10"/>
  <c r="B47" i="10"/>
  <c r="S46" i="10"/>
  <c r="Q46" i="10"/>
  <c r="P46" i="10"/>
  <c r="O46" i="10"/>
  <c r="M46" i="10"/>
  <c r="E46" i="10"/>
  <c r="B46" i="10"/>
  <c r="S45" i="10"/>
  <c r="Q45" i="10"/>
  <c r="P45" i="10"/>
  <c r="O45" i="10"/>
  <c r="M45" i="10"/>
  <c r="E45" i="10"/>
  <c r="B45" i="10"/>
  <c r="S44" i="10"/>
  <c r="Q44" i="10"/>
  <c r="P44" i="10"/>
  <c r="O44" i="10"/>
  <c r="M44" i="10"/>
  <c r="E44" i="10"/>
  <c r="B44" i="10"/>
  <c r="S43" i="10"/>
  <c r="Q43" i="10"/>
  <c r="P43" i="10"/>
  <c r="O43" i="10"/>
  <c r="M43" i="10"/>
  <c r="E43" i="10"/>
  <c r="B43" i="10"/>
  <c r="S42" i="10"/>
  <c r="Q42" i="10"/>
  <c r="P42" i="10"/>
  <c r="O42" i="10"/>
  <c r="M42" i="10"/>
  <c r="E42" i="10"/>
  <c r="B42" i="10"/>
  <c r="S41" i="10"/>
  <c r="Q41" i="10"/>
  <c r="P41" i="10"/>
  <c r="O41" i="10"/>
  <c r="M41" i="10"/>
  <c r="E41" i="10"/>
  <c r="B41" i="10"/>
  <c r="S40" i="10"/>
  <c r="Q40" i="10"/>
  <c r="P40" i="10"/>
  <c r="O40" i="10"/>
  <c r="M40" i="10"/>
  <c r="E40" i="10"/>
  <c r="B40" i="10"/>
  <c r="S39" i="10"/>
  <c r="Q39" i="10"/>
  <c r="P39" i="10"/>
  <c r="O39" i="10"/>
  <c r="M39" i="10"/>
  <c r="E39" i="10"/>
  <c r="B39" i="10"/>
  <c r="S38" i="10"/>
  <c r="Q38" i="10"/>
  <c r="P38" i="10"/>
  <c r="O38" i="10"/>
  <c r="M38" i="10"/>
  <c r="E38" i="10"/>
  <c r="B38" i="10"/>
  <c r="S37" i="10"/>
  <c r="Q37" i="10"/>
  <c r="P37" i="10"/>
  <c r="O37" i="10"/>
  <c r="M37" i="10"/>
  <c r="E37" i="10"/>
  <c r="B37" i="10"/>
  <c r="S36" i="10"/>
  <c r="Q36" i="10"/>
  <c r="P36" i="10"/>
  <c r="O36" i="10"/>
  <c r="M36" i="10"/>
  <c r="B36" i="10"/>
  <c r="S35" i="10"/>
  <c r="Q35" i="10"/>
  <c r="P35" i="10"/>
  <c r="O35" i="10"/>
  <c r="M35" i="10"/>
  <c r="E35" i="10"/>
  <c r="B35" i="10"/>
  <c r="S34" i="10"/>
  <c r="Q34" i="10"/>
  <c r="P34" i="10"/>
  <c r="O34" i="10"/>
  <c r="M34" i="10"/>
  <c r="E34" i="10"/>
  <c r="B34" i="10"/>
  <c r="S33" i="10"/>
  <c r="Q33" i="10"/>
  <c r="P33" i="10"/>
  <c r="O33" i="10"/>
  <c r="M33" i="10"/>
  <c r="E33" i="10"/>
  <c r="B33" i="10"/>
  <c r="S32" i="10"/>
  <c r="Q32" i="10"/>
  <c r="P32" i="10"/>
  <c r="O32" i="10"/>
  <c r="M32" i="10"/>
  <c r="B32" i="10"/>
  <c r="S31" i="10"/>
  <c r="Q31" i="10"/>
  <c r="P31" i="10"/>
  <c r="O31" i="10"/>
  <c r="M31" i="10"/>
  <c r="B31" i="10"/>
  <c r="S30" i="10"/>
  <c r="Q30" i="10"/>
  <c r="P30" i="10"/>
  <c r="O30" i="10"/>
  <c r="M30" i="10"/>
  <c r="B30" i="10"/>
  <c r="S29" i="10"/>
  <c r="Q29" i="10"/>
  <c r="P29" i="10"/>
  <c r="O29" i="10"/>
  <c r="M29" i="10"/>
  <c r="B29" i="10"/>
  <c r="S28" i="10"/>
  <c r="Q28" i="10"/>
  <c r="P28" i="10"/>
  <c r="O28" i="10"/>
  <c r="M28" i="10"/>
  <c r="E28" i="10"/>
  <c r="B28" i="10"/>
  <c r="S27" i="10"/>
  <c r="Q27" i="10"/>
  <c r="P27" i="10"/>
  <c r="O27" i="10"/>
  <c r="M27" i="10"/>
  <c r="E27" i="10"/>
  <c r="B27" i="10"/>
  <c r="S26" i="10"/>
  <c r="Q26" i="10"/>
  <c r="P26" i="10"/>
  <c r="O26" i="10"/>
  <c r="M26" i="10"/>
  <c r="E26" i="10"/>
  <c r="B26" i="10"/>
  <c r="S25" i="10"/>
  <c r="Q25" i="10"/>
  <c r="P25" i="10"/>
  <c r="O25" i="10"/>
  <c r="M25" i="10"/>
  <c r="E25" i="10"/>
  <c r="B25" i="10"/>
  <c r="S24" i="10"/>
  <c r="Q24" i="10"/>
  <c r="P24" i="10"/>
  <c r="O24" i="10"/>
  <c r="M24" i="10"/>
  <c r="E24" i="10"/>
  <c r="B24" i="10"/>
  <c r="S23" i="10"/>
  <c r="Q23" i="10"/>
  <c r="P23" i="10"/>
  <c r="O23" i="10"/>
  <c r="M23" i="10"/>
  <c r="E23" i="10"/>
  <c r="B23" i="10"/>
  <c r="S22" i="10"/>
  <c r="Q22" i="10"/>
  <c r="P22" i="10"/>
  <c r="O22" i="10"/>
  <c r="M22" i="10"/>
  <c r="E22" i="10"/>
  <c r="B22" i="10"/>
  <c r="S21" i="10"/>
  <c r="Q21" i="10"/>
  <c r="P21" i="10"/>
  <c r="O21" i="10"/>
  <c r="M21" i="10"/>
  <c r="E21" i="10"/>
  <c r="B21" i="10"/>
  <c r="S20" i="10"/>
  <c r="Q20" i="10"/>
  <c r="P20" i="10"/>
  <c r="O20" i="10"/>
  <c r="M20" i="10"/>
  <c r="E20" i="10"/>
  <c r="B20" i="10"/>
  <c r="S19" i="10"/>
  <c r="Q19" i="10"/>
  <c r="P19" i="10"/>
  <c r="O19" i="10"/>
  <c r="M19" i="10"/>
  <c r="E19" i="10"/>
  <c r="B19" i="10"/>
  <c r="S18" i="10"/>
  <c r="Q18" i="10"/>
  <c r="P18" i="10"/>
  <c r="O18" i="10"/>
  <c r="M18" i="10"/>
  <c r="E18" i="10"/>
  <c r="B18" i="10"/>
  <c r="S17" i="10"/>
  <c r="Q17" i="10"/>
  <c r="P17" i="10"/>
  <c r="O17" i="10"/>
  <c r="M17" i="10"/>
  <c r="E17" i="10"/>
  <c r="B17" i="10"/>
  <c r="S16" i="10"/>
  <c r="Q16" i="10"/>
  <c r="P16" i="10"/>
  <c r="O16" i="10"/>
  <c r="M16" i="10"/>
  <c r="B16" i="10"/>
  <c r="S15" i="10"/>
  <c r="Q15" i="10"/>
  <c r="P15" i="10"/>
  <c r="O15" i="10"/>
  <c r="M15" i="10"/>
  <c r="E15" i="10"/>
  <c r="B15" i="10"/>
  <c r="S14" i="10"/>
  <c r="Q14" i="10"/>
  <c r="P14" i="10"/>
  <c r="O14" i="10"/>
  <c r="M14" i="10"/>
  <c r="E14" i="10"/>
  <c r="B14" i="10"/>
  <c r="S13" i="10"/>
  <c r="Q13" i="10"/>
  <c r="P13" i="10"/>
  <c r="O13" i="10"/>
  <c r="M13" i="10"/>
  <c r="E13" i="10"/>
  <c r="B13" i="10"/>
  <c r="S12" i="10"/>
  <c r="Q12" i="10"/>
  <c r="P12" i="10"/>
  <c r="O12" i="10"/>
  <c r="M12" i="10"/>
  <c r="E12" i="10"/>
  <c r="B12" i="10"/>
  <c r="S11" i="10"/>
  <c r="Q11" i="10"/>
  <c r="P11" i="10"/>
  <c r="O11" i="10"/>
  <c r="M11" i="10"/>
  <c r="E11" i="10"/>
  <c r="B11" i="10"/>
  <c r="S10" i="10"/>
  <c r="Q10" i="10"/>
  <c r="P10" i="10"/>
  <c r="O10" i="10"/>
  <c r="M10" i="10"/>
  <c r="E10" i="10"/>
  <c r="B10" i="10"/>
  <c r="S9" i="10"/>
  <c r="Q9" i="10"/>
  <c r="P9" i="10"/>
  <c r="O9" i="10"/>
  <c r="M9" i="10"/>
  <c r="E9" i="10"/>
  <c r="B9" i="10"/>
  <c r="S8" i="10"/>
  <c r="Q8" i="10"/>
  <c r="P8" i="10"/>
  <c r="O8" i="10"/>
  <c r="M8" i="10"/>
  <c r="E8" i="10"/>
  <c r="B8" i="10"/>
  <c r="S7" i="10"/>
  <c r="Q7" i="10"/>
  <c r="P7" i="10"/>
  <c r="O7" i="10"/>
  <c r="M7" i="10"/>
  <c r="E7" i="10"/>
  <c r="B7" i="10"/>
  <c r="K105" i="6"/>
  <c r="D15" i="2" l="1"/>
  <c r="L105" i="6"/>
  <c r="G105" i="6"/>
  <c r="O51" i="6"/>
  <c r="D75" i="20" s="1"/>
  <c r="O58" i="6"/>
  <c r="D76" i="20" s="1"/>
  <c r="O62" i="6"/>
  <c r="D77" i="20" s="1"/>
  <c r="O6" i="6"/>
  <c r="D72" i="20" s="1"/>
  <c r="O9" i="6"/>
  <c r="D73" i="20" s="1"/>
  <c r="O10" i="6"/>
  <c r="D74" i="20" s="1"/>
  <c r="J74" i="6"/>
  <c r="I123" i="6"/>
  <c r="I126" i="6"/>
  <c r="P105" i="6" l="1"/>
  <c r="E105" i="6" s="1"/>
  <c r="Q105" i="6" s="1"/>
  <c r="C3" i="20"/>
  <c r="C4" i="20"/>
  <c r="O7" i="6" s="1"/>
  <c r="D4" i="20" s="1"/>
  <c r="C5" i="20"/>
  <c r="O8" i="6" s="1"/>
  <c r="D5" i="20" s="1"/>
  <c r="C6" i="20"/>
  <c r="C7" i="20"/>
  <c r="O12" i="6" s="1"/>
  <c r="D7" i="20" s="1"/>
  <c r="C8" i="20"/>
  <c r="O13" i="6" s="1"/>
  <c r="D8" i="20" s="1"/>
  <c r="C9" i="20"/>
  <c r="O14" i="6" s="1"/>
  <c r="D9" i="20" s="1"/>
  <c r="C10" i="20"/>
  <c r="O15" i="6" s="1"/>
  <c r="D10" i="20" s="1"/>
  <c r="C11" i="20"/>
  <c r="O16" i="6" s="1"/>
  <c r="D11" i="20" s="1"/>
  <c r="C12" i="20"/>
  <c r="O17" i="6" s="1"/>
  <c r="D12" i="20" s="1"/>
  <c r="C13" i="20"/>
  <c r="O18" i="6" s="1"/>
  <c r="D13" i="20" s="1"/>
  <c r="C14" i="20"/>
  <c r="C15" i="20"/>
  <c r="O19" i="6" s="1"/>
  <c r="D15" i="20" s="1"/>
  <c r="C16" i="20"/>
  <c r="O20" i="6" s="1"/>
  <c r="D16" i="20" s="1"/>
  <c r="C17" i="20"/>
  <c r="O22" i="6" s="1"/>
  <c r="D17" i="20" s="1"/>
  <c r="C18" i="20"/>
  <c r="O23" i="6" s="1"/>
  <c r="D18" i="20" s="1"/>
  <c r="C19" i="20"/>
  <c r="O24" i="6" s="1"/>
  <c r="D19" i="20" s="1"/>
  <c r="C20" i="20"/>
  <c r="C21" i="20"/>
  <c r="O25" i="6" s="1"/>
  <c r="D21" i="20" s="1"/>
  <c r="C22" i="20"/>
  <c r="O26" i="6" s="1"/>
  <c r="D22" i="20" s="1"/>
  <c r="C23" i="20"/>
  <c r="C24" i="20"/>
  <c r="C25" i="20"/>
  <c r="O27" i="6" s="1"/>
  <c r="D25" i="20" s="1"/>
  <c r="C26" i="20"/>
  <c r="O28" i="6" s="1"/>
  <c r="D26" i="20" s="1"/>
  <c r="C27" i="20"/>
  <c r="C28" i="20"/>
  <c r="O29" i="6" s="1"/>
  <c r="D28" i="20" s="1"/>
  <c r="C29" i="20"/>
  <c r="O30" i="6" s="1"/>
  <c r="D29" i="20" s="1"/>
  <c r="C30" i="20"/>
  <c r="C31" i="20"/>
  <c r="O31" i="6" s="1"/>
  <c r="D31" i="20" s="1"/>
  <c r="C32" i="20"/>
  <c r="O32" i="6" s="1"/>
  <c r="D32" i="20" s="1"/>
  <c r="C33" i="20"/>
  <c r="O33" i="6" s="1"/>
  <c r="D33" i="20" s="1"/>
  <c r="C34" i="20"/>
  <c r="O35" i="6" s="1"/>
  <c r="D34" i="20" s="1"/>
  <c r="C35" i="20"/>
  <c r="C36" i="20"/>
  <c r="O37" i="6" s="1"/>
  <c r="D36" i="20" s="1"/>
  <c r="C37" i="20"/>
  <c r="O38" i="6" s="1"/>
  <c r="D37" i="20" s="1"/>
  <c r="C38" i="20"/>
  <c r="O39" i="6" s="1"/>
  <c r="D38" i="20" s="1"/>
  <c r="C39" i="20"/>
  <c r="C40" i="20"/>
  <c r="O40" i="6" s="1"/>
  <c r="D40" i="20" s="1"/>
  <c r="C41" i="20"/>
  <c r="C42" i="20"/>
  <c r="O43" i="6" s="1"/>
  <c r="D42" i="20" s="1"/>
  <c r="C43" i="20"/>
  <c r="O44" i="6" s="1"/>
  <c r="D43" i="20" s="1"/>
  <c r="C44" i="20"/>
  <c r="O45" i="6" s="1"/>
  <c r="D44" i="20" s="1"/>
  <c r="C45" i="20"/>
  <c r="O46" i="6" s="1"/>
  <c r="D45" i="20" s="1"/>
  <c r="C46" i="20"/>
  <c r="O48" i="6" s="1"/>
  <c r="D46" i="20" s="1"/>
  <c r="C47" i="20"/>
  <c r="O49" i="6" s="1"/>
  <c r="D47" i="20" s="1"/>
  <c r="C48" i="20"/>
  <c r="O55" i="6" s="1"/>
  <c r="D48" i="20" s="1"/>
  <c r="C49" i="20"/>
  <c r="O57" i="6" s="1"/>
  <c r="D49" i="20" s="1"/>
  <c r="C50" i="20"/>
  <c r="O60" i="6" s="1"/>
  <c r="D50" i="20" s="1"/>
  <c r="C51" i="20"/>
  <c r="O63" i="6" s="1"/>
  <c r="D51" i="20" s="1"/>
  <c r="C52" i="20"/>
  <c r="O61" i="6" s="1"/>
  <c r="D52" i="20" s="1"/>
  <c r="C53" i="20"/>
  <c r="O64" i="6" s="1"/>
  <c r="D53" i="20" s="1"/>
  <c r="C54" i="20"/>
  <c r="O65" i="6" s="1"/>
  <c r="D54" i="20" s="1"/>
  <c r="C55" i="20"/>
  <c r="O68" i="6" s="1"/>
  <c r="D55" i="20" s="1"/>
  <c r="C56" i="20"/>
  <c r="O11" i="6" s="1"/>
  <c r="D56" i="20" s="1"/>
  <c r="C57" i="20"/>
  <c r="C58" i="20"/>
  <c r="C59" i="20"/>
  <c r="O21" i="6" s="1"/>
  <c r="D59" i="20" s="1"/>
  <c r="C60" i="20"/>
  <c r="C61" i="20"/>
  <c r="C62" i="20"/>
  <c r="C63" i="20"/>
  <c r="C64" i="20"/>
  <c r="C65" i="20"/>
  <c r="C66" i="20"/>
  <c r="C67" i="20"/>
  <c r="C68" i="20"/>
  <c r="C69" i="20"/>
  <c r="C70" i="20"/>
  <c r="C71" i="20"/>
  <c r="C2" i="20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9" i="14"/>
  <c r="C2" i="14"/>
  <c r="C3" i="15"/>
  <c r="F90" i="6" s="1"/>
  <c r="C4" i="15"/>
  <c r="F91" i="6" s="1"/>
  <c r="C5" i="15"/>
  <c r="F92" i="6" s="1"/>
  <c r="C6" i="15"/>
  <c r="F93" i="6" s="1"/>
  <c r="C7" i="15"/>
  <c r="F97" i="6" s="1"/>
  <c r="C8" i="15"/>
  <c r="F98" i="6" s="1"/>
  <c r="C9" i="15"/>
  <c r="F99" i="6" s="1"/>
  <c r="C10" i="15"/>
  <c r="F100" i="6" s="1"/>
  <c r="C11" i="15"/>
  <c r="F106" i="6" s="1"/>
  <c r="C2" i="15"/>
  <c r="F87" i="6" s="1"/>
  <c r="I8" i="6" l="1"/>
  <c r="B124" i="6"/>
  <c r="B125" i="6"/>
  <c r="B126" i="6"/>
  <c r="B127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22" i="2"/>
  <c r="A123" i="2"/>
  <c r="A124" i="2"/>
  <c r="A125" i="2"/>
  <c r="A126" i="2"/>
  <c r="A127" i="2"/>
  <c r="H125" i="1"/>
  <c r="H105" i="1"/>
  <c r="K6152" i="10" l="1"/>
  <c r="G124" i="6" l="1"/>
  <c r="L124" i="6"/>
  <c r="E124" i="2"/>
  <c r="G124" i="2"/>
  <c r="I124" i="2"/>
  <c r="K124" i="2"/>
  <c r="M124" i="2"/>
  <c r="E106" i="2"/>
  <c r="G106" i="2"/>
  <c r="I106" i="2"/>
  <c r="K106" i="2"/>
  <c r="M106" i="2"/>
  <c r="N106" i="2"/>
  <c r="F124" i="6"/>
  <c r="K124" i="6"/>
  <c r="M124" i="6"/>
  <c r="D124" i="2"/>
  <c r="F124" i="2"/>
  <c r="H124" i="2"/>
  <c r="J124" i="2"/>
  <c r="L124" i="2"/>
  <c r="N124" i="2"/>
  <c r="D106" i="2"/>
  <c r="F106" i="2"/>
  <c r="H106" i="2"/>
  <c r="J106" i="2"/>
  <c r="L106" i="2"/>
  <c r="G35" i="2"/>
  <c r="G10" i="2"/>
  <c r="G55" i="2"/>
  <c r="M5" i="2"/>
  <c r="G79" i="2"/>
  <c r="G4" i="2"/>
  <c r="G51" i="2"/>
  <c r="G30" i="2"/>
  <c r="G61" i="2"/>
  <c r="G20" i="2"/>
  <c r="G40" i="2"/>
  <c r="M57" i="2"/>
  <c r="G66" i="2"/>
  <c r="G46" i="2"/>
  <c r="G24" i="2"/>
  <c r="M75" i="2"/>
  <c r="G49" i="2"/>
  <c r="M4" i="2"/>
  <c r="G62" i="2"/>
  <c r="G57" i="2"/>
  <c r="G52" i="2"/>
  <c r="G47" i="2"/>
  <c r="G42" i="2"/>
  <c r="G36" i="2"/>
  <c r="G31" i="2"/>
  <c r="G26" i="2"/>
  <c r="G21" i="2"/>
  <c r="G12" i="2"/>
  <c r="G75" i="2"/>
  <c r="M77" i="2"/>
  <c r="M42" i="2"/>
  <c r="M65" i="2"/>
  <c r="G63" i="2"/>
  <c r="G43" i="2"/>
  <c r="G32" i="2"/>
  <c r="G23" i="2"/>
  <c r="G14" i="2"/>
  <c r="G83" i="2"/>
  <c r="G67" i="2"/>
  <c r="G69" i="2"/>
  <c r="G58" i="2"/>
  <c r="G48" i="2"/>
  <c r="G38" i="2"/>
  <c r="G27" i="2"/>
  <c r="G73" i="2"/>
  <c r="M26" i="2"/>
  <c r="G70" i="2"/>
  <c r="G65" i="2"/>
  <c r="G59" i="2"/>
  <c r="G54" i="2"/>
  <c r="G50" i="2"/>
  <c r="G44" i="2"/>
  <c r="G39" i="2"/>
  <c r="G34" i="2"/>
  <c r="G28" i="2"/>
  <c r="G18" i="2"/>
  <c r="G6" i="2"/>
  <c r="G81" i="2"/>
  <c r="M13" i="2"/>
  <c r="M79" i="2"/>
  <c r="M7" i="2"/>
  <c r="M15" i="2"/>
  <c r="M30" i="2"/>
  <c r="M46" i="2"/>
  <c r="M61" i="2"/>
  <c r="M68" i="2"/>
  <c r="M83" i="2"/>
  <c r="M11" i="2"/>
  <c r="M23" i="2"/>
  <c r="M38" i="2"/>
  <c r="M69" i="2"/>
  <c r="G68" i="2"/>
  <c r="G64" i="2"/>
  <c r="G60" i="2"/>
  <c r="G56" i="2"/>
  <c r="G53" i="2"/>
  <c r="G45" i="2"/>
  <c r="G41" i="2"/>
  <c r="G37" i="2"/>
  <c r="G33" i="2"/>
  <c r="G29" i="2"/>
  <c r="G25" i="2"/>
  <c r="G22" i="2"/>
  <c r="G16" i="2"/>
  <c r="G8" i="2"/>
  <c r="G77" i="2"/>
  <c r="M73" i="2"/>
  <c r="M81" i="2"/>
  <c r="M9" i="2"/>
  <c r="M19" i="2"/>
  <c r="M34" i="2"/>
  <c r="M50" i="2"/>
  <c r="M17" i="2"/>
  <c r="M21" i="2"/>
  <c r="M24" i="2"/>
  <c r="M28" i="2"/>
  <c r="M32" i="2"/>
  <c r="M36" i="2"/>
  <c r="M40" i="2"/>
  <c r="M44" i="2"/>
  <c r="M48" i="2"/>
  <c r="M52" i="2"/>
  <c r="M55" i="2"/>
  <c r="M59" i="2"/>
  <c r="M63" i="2"/>
  <c r="M67" i="2"/>
  <c r="N4" i="2"/>
  <c r="G17" i="2"/>
  <c r="G13" i="2"/>
  <c r="G9" i="2"/>
  <c r="G5" i="2"/>
  <c r="G76" i="2"/>
  <c r="G80" i="2"/>
  <c r="G84" i="2"/>
  <c r="M76" i="2"/>
  <c r="M80" i="2"/>
  <c r="M84" i="2"/>
  <c r="M8" i="2"/>
  <c r="M12" i="2"/>
  <c r="M16" i="2"/>
  <c r="M20" i="2"/>
  <c r="M27" i="2"/>
  <c r="M31" i="2"/>
  <c r="M35" i="2"/>
  <c r="M39" i="2"/>
  <c r="M43" i="2"/>
  <c r="M47" i="2"/>
  <c r="M51" i="2"/>
  <c r="M54" i="2"/>
  <c r="M58" i="2"/>
  <c r="M62" i="2"/>
  <c r="M66" i="2"/>
  <c r="M70" i="2"/>
  <c r="G19" i="2"/>
  <c r="G15" i="2"/>
  <c r="G11" i="2"/>
  <c r="G7" i="2"/>
  <c r="G74" i="2"/>
  <c r="G78" i="2"/>
  <c r="G82" i="2"/>
  <c r="M74" i="2"/>
  <c r="M78" i="2"/>
  <c r="M82" i="2"/>
  <c r="M6" i="2"/>
  <c r="M10" i="2"/>
  <c r="M14" i="2"/>
  <c r="M18" i="2"/>
  <c r="M22" i="2"/>
  <c r="M25" i="2"/>
  <c r="M29" i="2"/>
  <c r="M33" i="2"/>
  <c r="M37" i="2"/>
  <c r="M41" i="2"/>
  <c r="M45" i="2"/>
  <c r="M49" i="2"/>
  <c r="M53" i="2"/>
  <c r="M56" i="2"/>
  <c r="M60" i="2"/>
  <c r="M64" i="2"/>
  <c r="C188" i="13"/>
  <c r="P106" i="2" l="1"/>
  <c r="R106" i="2" s="1"/>
  <c r="G105" i="1" s="1"/>
  <c r="O124" i="2"/>
  <c r="O106" i="2"/>
  <c r="P124" i="6"/>
  <c r="E124" i="6" s="1"/>
  <c r="P124" i="2"/>
  <c r="I125" i="1" s="1"/>
  <c r="O110" i="6"/>
  <c r="D14" i="20" s="1"/>
  <c r="O111" i="6"/>
  <c r="D20" i="20" s="1"/>
  <c r="O112" i="6"/>
  <c r="D23" i="20" s="1"/>
  <c r="O113" i="6"/>
  <c r="D24" i="20" s="1"/>
  <c r="O114" i="6"/>
  <c r="D27" i="20" s="1"/>
  <c r="O115" i="6"/>
  <c r="D30" i="20" s="1"/>
  <c r="O116" i="6"/>
  <c r="D35" i="20" s="1"/>
  <c r="O117" i="6"/>
  <c r="D39" i="20" s="1"/>
  <c r="O118" i="6"/>
  <c r="D41" i="20" s="1"/>
  <c r="O125" i="6"/>
  <c r="D57" i="20" s="1"/>
  <c r="O109" i="6"/>
  <c r="D6" i="20" s="1"/>
  <c r="O90" i="6"/>
  <c r="D66" i="20" s="1"/>
  <c r="O94" i="6"/>
  <c r="D67" i="20" s="1"/>
  <c r="O96" i="6"/>
  <c r="D68" i="20" s="1"/>
  <c r="O100" i="6"/>
  <c r="D69" i="20" s="1"/>
  <c r="O101" i="6"/>
  <c r="D70" i="20" s="1"/>
  <c r="O102" i="6"/>
  <c r="D71" i="20" s="1"/>
  <c r="O74" i="6"/>
  <c r="D60" i="20" s="1"/>
  <c r="O75" i="6"/>
  <c r="D61" i="20" s="1"/>
  <c r="O78" i="6"/>
  <c r="D65" i="20" s="1"/>
  <c r="O80" i="6"/>
  <c r="D62" i="20" s="1"/>
  <c r="O81" i="6"/>
  <c r="D63" i="20" s="1"/>
  <c r="O82" i="6"/>
  <c r="D64" i="20" s="1"/>
  <c r="O73" i="6"/>
  <c r="D58" i="20" s="1"/>
  <c r="O5" i="6"/>
  <c r="D3" i="20" s="1"/>
  <c r="O4" i="6"/>
  <c r="D2" i="20" s="1"/>
  <c r="N70" i="6"/>
  <c r="N54" i="6"/>
  <c r="N82" i="6"/>
  <c r="N96" i="6"/>
  <c r="N92" i="6"/>
  <c r="N112" i="6"/>
  <c r="C7" i="19"/>
  <c r="C5" i="18"/>
  <c r="H78" i="6"/>
  <c r="H79" i="6"/>
  <c r="H22" i="6"/>
  <c r="H52" i="6"/>
  <c r="I37" i="6"/>
  <c r="C12" i="17"/>
  <c r="M11" i="6"/>
  <c r="M27" i="6"/>
  <c r="M52" i="6"/>
  <c r="M93" i="6"/>
  <c r="M94" i="6"/>
  <c r="M95" i="6"/>
  <c r="M98" i="6"/>
  <c r="M103" i="6"/>
  <c r="L7" i="6"/>
  <c r="J106" i="6"/>
  <c r="J88" i="6"/>
  <c r="J89" i="6"/>
  <c r="J90" i="6"/>
  <c r="J91" i="6"/>
  <c r="J92" i="6"/>
  <c r="J93" i="6"/>
  <c r="J94" i="6"/>
  <c r="J95" i="6"/>
  <c r="J96" i="6"/>
  <c r="J97" i="6"/>
  <c r="J98" i="6"/>
  <c r="J99" i="6"/>
  <c r="J101" i="6"/>
  <c r="J102" i="6"/>
  <c r="J103" i="6"/>
  <c r="J104" i="6"/>
  <c r="J87" i="6"/>
  <c r="J75" i="6"/>
  <c r="J76" i="6"/>
  <c r="J77" i="6"/>
  <c r="J78" i="6"/>
  <c r="J79" i="6"/>
  <c r="J80" i="6"/>
  <c r="J81" i="6"/>
  <c r="J82" i="6"/>
  <c r="J83" i="6"/>
  <c r="J84" i="6"/>
  <c r="J73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4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5" i="6"/>
  <c r="F127" i="6"/>
  <c r="F73" i="6"/>
  <c r="F74" i="6"/>
  <c r="F75" i="6"/>
  <c r="F76" i="6"/>
  <c r="F77" i="6"/>
  <c r="F78" i="6"/>
  <c r="F79" i="6"/>
  <c r="F80" i="6"/>
  <c r="F81" i="6"/>
  <c r="F82" i="6"/>
  <c r="F83" i="6"/>
  <c r="F8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6" i="6"/>
  <c r="I87" i="6"/>
  <c r="I74" i="6"/>
  <c r="I75" i="6"/>
  <c r="I76" i="6"/>
  <c r="I77" i="6"/>
  <c r="I78" i="6"/>
  <c r="I79" i="6"/>
  <c r="I80" i="6"/>
  <c r="I81" i="6"/>
  <c r="I82" i="6"/>
  <c r="I83" i="6"/>
  <c r="I84" i="6"/>
  <c r="I73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6" i="6"/>
  <c r="I7" i="6"/>
  <c r="I5" i="6"/>
  <c r="I4" i="6"/>
  <c r="N84" i="2"/>
  <c r="L84" i="2"/>
  <c r="K84" i="2"/>
  <c r="J84" i="2"/>
  <c r="I84" i="2"/>
  <c r="H84" i="2"/>
  <c r="F84" i="2"/>
  <c r="E84" i="2"/>
  <c r="D84" i="2"/>
  <c r="N83" i="2"/>
  <c r="L83" i="2"/>
  <c r="K83" i="2"/>
  <c r="J83" i="2"/>
  <c r="I83" i="2"/>
  <c r="H83" i="2"/>
  <c r="F83" i="2"/>
  <c r="E83" i="2"/>
  <c r="D83" i="2"/>
  <c r="N82" i="2"/>
  <c r="L82" i="2"/>
  <c r="K82" i="2"/>
  <c r="J82" i="2"/>
  <c r="I82" i="2"/>
  <c r="H82" i="2"/>
  <c r="F82" i="2"/>
  <c r="E82" i="2"/>
  <c r="D82" i="2"/>
  <c r="N81" i="2"/>
  <c r="L81" i="2"/>
  <c r="K81" i="2"/>
  <c r="J81" i="2"/>
  <c r="I81" i="2"/>
  <c r="H81" i="2"/>
  <c r="F81" i="2"/>
  <c r="E81" i="2"/>
  <c r="D81" i="2"/>
  <c r="N80" i="2"/>
  <c r="L80" i="2"/>
  <c r="K80" i="2"/>
  <c r="J80" i="2"/>
  <c r="I80" i="2"/>
  <c r="H80" i="2"/>
  <c r="F80" i="2"/>
  <c r="E80" i="2"/>
  <c r="D80" i="2"/>
  <c r="N79" i="2"/>
  <c r="L79" i="2"/>
  <c r="K79" i="2"/>
  <c r="J79" i="2"/>
  <c r="I79" i="2"/>
  <c r="H79" i="2"/>
  <c r="F79" i="2"/>
  <c r="E79" i="2"/>
  <c r="D79" i="2"/>
  <c r="N78" i="2"/>
  <c r="L78" i="2"/>
  <c r="K78" i="2"/>
  <c r="J78" i="2"/>
  <c r="I78" i="2"/>
  <c r="H78" i="2"/>
  <c r="F78" i="2"/>
  <c r="E78" i="2"/>
  <c r="D78" i="2"/>
  <c r="N77" i="2"/>
  <c r="L77" i="2"/>
  <c r="K77" i="2"/>
  <c r="J77" i="2"/>
  <c r="I77" i="2"/>
  <c r="H77" i="2"/>
  <c r="F77" i="2"/>
  <c r="E77" i="2"/>
  <c r="D77" i="2"/>
  <c r="N76" i="2"/>
  <c r="L76" i="2"/>
  <c r="K76" i="2"/>
  <c r="J76" i="2"/>
  <c r="I76" i="2"/>
  <c r="H76" i="2"/>
  <c r="F76" i="2"/>
  <c r="E76" i="2"/>
  <c r="D76" i="2"/>
  <c r="N75" i="2"/>
  <c r="L75" i="2"/>
  <c r="K75" i="2"/>
  <c r="J75" i="2"/>
  <c r="I75" i="2"/>
  <c r="H75" i="2"/>
  <c r="F75" i="2"/>
  <c r="E75" i="2"/>
  <c r="D75" i="2"/>
  <c r="N74" i="2"/>
  <c r="L74" i="2"/>
  <c r="K74" i="2"/>
  <c r="J74" i="2"/>
  <c r="I74" i="2"/>
  <c r="H74" i="2"/>
  <c r="F74" i="2"/>
  <c r="E74" i="2"/>
  <c r="D74" i="2"/>
  <c r="N73" i="2"/>
  <c r="L73" i="2"/>
  <c r="K73" i="2"/>
  <c r="J73" i="2"/>
  <c r="I73" i="2"/>
  <c r="H73" i="2"/>
  <c r="F73" i="2"/>
  <c r="E73" i="2"/>
  <c r="D73" i="2"/>
  <c r="D5" i="2"/>
  <c r="E5" i="2"/>
  <c r="F5" i="2"/>
  <c r="H5" i="2"/>
  <c r="I5" i="2"/>
  <c r="J5" i="2"/>
  <c r="K5" i="2"/>
  <c r="L5" i="2"/>
  <c r="N5" i="2"/>
  <c r="D6" i="2"/>
  <c r="E6" i="2"/>
  <c r="F6" i="2"/>
  <c r="H6" i="2"/>
  <c r="I6" i="2"/>
  <c r="J6" i="2"/>
  <c r="K6" i="2"/>
  <c r="L6" i="2"/>
  <c r="N6" i="2"/>
  <c r="D7" i="2"/>
  <c r="E7" i="2"/>
  <c r="F7" i="2"/>
  <c r="H7" i="2"/>
  <c r="I7" i="2"/>
  <c r="J7" i="2"/>
  <c r="K7" i="2"/>
  <c r="L7" i="2"/>
  <c r="N7" i="2"/>
  <c r="D8" i="2"/>
  <c r="E8" i="2"/>
  <c r="F8" i="2"/>
  <c r="H8" i="2"/>
  <c r="I8" i="2"/>
  <c r="J8" i="2"/>
  <c r="K8" i="2"/>
  <c r="L8" i="2"/>
  <c r="N8" i="2"/>
  <c r="D9" i="2"/>
  <c r="E9" i="2"/>
  <c r="F9" i="2"/>
  <c r="H9" i="2"/>
  <c r="I9" i="2"/>
  <c r="J9" i="2"/>
  <c r="K9" i="2"/>
  <c r="L9" i="2"/>
  <c r="N9" i="2"/>
  <c r="D10" i="2"/>
  <c r="E10" i="2"/>
  <c r="F10" i="2"/>
  <c r="H10" i="2"/>
  <c r="I10" i="2"/>
  <c r="J10" i="2"/>
  <c r="K10" i="2"/>
  <c r="L10" i="2"/>
  <c r="N10" i="2"/>
  <c r="D11" i="2"/>
  <c r="E11" i="2"/>
  <c r="F11" i="2"/>
  <c r="H11" i="2"/>
  <c r="I11" i="2"/>
  <c r="J11" i="2"/>
  <c r="K11" i="2"/>
  <c r="L11" i="2"/>
  <c r="N11" i="2"/>
  <c r="D12" i="2"/>
  <c r="E12" i="2"/>
  <c r="F12" i="2"/>
  <c r="H12" i="2"/>
  <c r="I12" i="2"/>
  <c r="J12" i="2"/>
  <c r="K12" i="2"/>
  <c r="L12" i="2"/>
  <c r="N12" i="2"/>
  <c r="D13" i="2"/>
  <c r="E13" i="2"/>
  <c r="F13" i="2"/>
  <c r="H13" i="2"/>
  <c r="I13" i="2"/>
  <c r="J13" i="2"/>
  <c r="K13" i="2"/>
  <c r="L13" i="2"/>
  <c r="N13" i="2"/>
  <c r="D14" i="2"/>
  <c r="E14" i="2"/>
  <c r="F14" i="2"/>
  <c r="H14" i="2"/>
  <c r="I14" i="2"/>
  <c r="J14" i="2"/>
  <c r="K14" i="2"/>
  <c r="L14" i="2"/>
  <c r="N14" i="2"/>
  <c r="E15" i="2"/>
  <c r="F15" i="2"/>
  <c r="H15" i="2"/>
  <c r="I15" i="2"/>
  <c r="J15" i="2"/>
  <c r="K15" i="2"/>
  <c r="L15" i="2"/>
  <c r="N15" i="2"/>
  <c r="D16" i="2"/>
  <c r="E16" i="2"/>
  <c r="F16" i="2"/>
  <c r="H16" i="2"/>
  <c r="I16" i="2"/>
  <c r="J16" i="2"/>
  <c r="K16" i="2"/>
  <c r="L16" i="2"/>
  <c r="N16" i="2"/>
  <c r="D17" i="2"/>
  <c r="E17" i="2"/>
  <c r="F17" i="2"/>
  <c r="H17" i="2"/>
  <c r="I17" i="2"/>
  <c r="J17" i="2"/>
  <c r="K17" i="2"/>
  <c r="L17" i="2"/>
  <c r="N17" i="2"/>
  <c r="D18" i="2"/>
  <c r="E18" i="2"/>
  <c r="F18" i="2"/>
  <c r="H18" i="2"/>
  <c r="I18" i="2"/>
  <c r="J18" i="2"/>
  <c r="K18" i="2"/>
  <c r="L18" i="2"/>
  <c r="N18" i="2"/>
  <c r="D19" i="2"/>
  <c r="E19" i="2"/>
  <c r="F19" i="2"/>
  <c r="H19" i="2"/>
  <c r="I19" i="2"/>
  <c r="J19" i="2"/>
  <c r="K19" i="2"/>
  <c r="L19" i="2"/>
  <c r="N19" i="2"/>
  <c r="D20" i="2"/>
  <c r="E20" i="2"/>
  <c r="F20" i="2"/>
  <c r="H20" i="2"/>
  <c r="I20" i="2"/>
  <c r="J20" i="2"/>
  <c r="K20" i="2"/>
  <c r="L20" i="2"/>
  <c r="N20" i="2"/>
  <c r="D21" i="2"/>
  <c r="E21" i="2"/>
  <c r="F21" i="2"/>
  <c r="H21" i="2"/>
  <c r="I21" i="2"/>
  <c r="J21" i="2"/>
  <c r="K21" i="2"/>
  <c r="L21" i="2"/>
  <c r="N21" i="2"/>
  <c r="D22" i="2"/>
  <c r="E22" i="2"/>
  <c r="F22" i="2"/>
  <c r="H22" i="2"/>
  <c r="I22" i="2"/>
  <c r="J22" i="2"/>
  <c r="K22" i="2"/>
  <c r="L22" i="2"/>
  <c r="N22" i="2"/>
  <c r="D23" i="2"/>
  <c r="E23" i="2"/>
  <c r="F23" i="2"/>
  <c r="H23" i="2"/>
  <c r="I23" i="2"/>
  <c r="J23" i="2"/>
  <c r="K23" i="2"/>
  <c r="L23" i="2"/>
  <c r="N23" i="2"/>
  <c r="D24" i="2"/>
  <c r="E24" i="2"/>
  <c r="F24" i="2"/>
  <c r="H24" i="2"/>
  <c r="I24" i="2"/>
  <c r="J24" i="2"/>
  <c r="K24" i="2"/>
  <c r="L24" i="2"/>
  <c r="N24" i="2"/>
  <c r="D25" i="2"/>
  <c r="E25" i="2"/>
  <c r="F25" i="2"/>
  <c r="H25" i="2"/>
  <c r="I25" i="2"/>
  <c r="J25" i="2"/>
  <c r="K25" i="2"/>
  <c r="L25" i="2"/>
  <c r="N25" i="2"/>
  <c r="D26" i="2"/>
  <c r="E26" i="2"/>
  <c r="F26" i="2"/>
  <c r="H26" i="2"/>
  <c r="I26" i="2"/>
  <c r="J26" i="2"/>
  <c r="K26" i="2"/>
  <c r="L26" i="2"/>
  <c r="N26" i="2"/>
  <c r="D27" i="2"/>
  <c r="E27" i="2"/>
  <c r="F27" i="2"/>
  <c r="H27" i="2"/>
  <c r="I27" i="2"/>
  <c r="J27" i="2"/>
  <c r="K27" i="2"/>
  <c r="L27" i="2"/>
  <c r="N27" i="2"/>
  <c r="D28" i="2"/>
  <c r="E28" i="2"/>
  <c r="F28" i="2"/>
  <c r="H28" i="2"/>
  <c r="I28" i="2"/>
  <c r="J28" i="2"/>
  <c r="K28" i="2"/>
  <c r="L28" i="2"/>
  <c r="N28" i="2"/>
  <c r="D29" i="2"/>
  <c r="E29" i="2"/>
  <c r="F29" i="2"/>
  <c r="H29" i="2"/>
  <c r="I29" i="2"/>
  <c r="J29" i="2"/>
  <c r="K29" i="2"/>
  <c r="L29" i="2"/>
  <c r="N29" i="2"/>
  <c r="D30" i="2"/>
  <c r="E30" i="2"/>
  <c r="F30" i="2"/>
  <c r="H30" i="2"/>
  <c r="I30" i="2"/>
  <c r="J30" i="2"/>
  <c r="K30" i="2"/>
  <c r="L30" i="2"/>
  <c r="N30" i="2"/>
  <c r="D31" i="2"/>
  <c r="E31" i="2"/>
  <c r="F31" i="2"/>
  <c r="H31" i="2"/>
  <c r="I31" i="2"/>
  <c r="J31" i="2"/>
  <c r="K31" i="2"/>
  <c r="L31" i="2"/>
  <c r="N31" i="2"/>
  <c r="D32" i="2"/>
  <c r="E32" i="2"/>
  <c r="F32" i="2"/>
  <c r="H32" i="2"/>
  <c r="I32" i="2"/>
  <c r="J32" i="2"/>
  <c r="K32" i="2"/>
  <c r="L32" i="2"/>
  <c r="N32" i="2"/>
  <c r="D33" i="2"/>
  <c r="E33" i="2"/>
  <c r="F33" i="2"/>
  <c r="H33" i="2"/>
  <c r="I33" i="2"/>
  <c r="J33" i="2"/>
  <c r="K33" i="2"/>
  <c r="L33" i="2"/>
  <c r="N33" i="2"/>
  <c r="D34" i="2"/>
  <c r="E34" i="2"/>
  <c r="F34" i="2"/>
  <c r="H34" i="2"/>
  <c r="I34" i="2"/>
  <c r="J34" i="2"/>
  <c r="K34" i="2"/>
  <c r="L34" i="2"/>
  <c r="N34" i="2"/>
  <c r="D35" i="2"/>
  <c r="E35" i="2"/>
  <c r="F35" i="2"/>
  <c r="H35" i="2"/>
  <c r="I35" i="2"/>
  <c r="J35" i="2"/>
  <c r="K35" i="2"/>
  <c r="L35" i="2"/>
  <c r="N35" i="2"/>
  <c r="D36" i="2"/>
  <c r="E36" i="2"/>
  <c r="F36" i="2"/>
  <c r="H36" i="2"/>
  <c r="I36" i="2"/>
  <c r="J36" i="2"/>
  <c r="K36" i="2"/>
  <c r="L36" i="2"/>
  <c r="N36" i="2"/>
  <c r="D37" i="2"/>
  <c r="E37" i="2"/>
  <c r="F37" i="2"/>
  <c r="H37" i="2"/>
  <c r="I37" i="2"/>
  <c r="J37" i="2"/>
  <c r="K37" i="2"/>
  <c r="L37" i="2"/>
  <c r="N37" i="2"/>
  <c r="D38" i="2"/>
  <c r="E38" i="2"/>
  <c r="F38" i="2"/>
  <c r="H38" i="2"/>
  <c r="I38" i="2"/>
  <c r="J38" i="2"/>
  <c r="K38" i="2"/>
  <c r="L38" i="2"/>
  <c r="N38" i="2"/>
  <c r="D39" i="2"/>
  <c r="E39" i="2"/>
  <c r="F39" i="2"/>
  <c r="H39" i="2"/>
  <c r="I39" i="2"/>
  <c r="J39" i="2"/>
  <c r="K39" i="2"/>
  <c r="L39" i="2"/>
  <c r="N39" i="2"/>
  <c r="D40" i="2"/>
  <c r="E40" i="2"/>
  <c r="F40" i="2"/>
  <c r="H40" i="2"/>
  <c r="I40" i="2"/>
  <c r="J40" i="2"/>
  <c r="K40" i="2"/>
  <c r="L40" i="2"/>
  <c r="N40" i="2"/>
  <c r="D41" i="2"/>
  <c r="E41" i="2"/>
  <c r="F41" i="2"/>
  <c r="H41" i="2"/>
  <c r="I41" i="2"/>
  <c r="J41" i="2"/>
  <c r="K41" i="2"/>
  <c r="L41" i="2"/>
  <c r="N41" i="2"/>
  <c r="D42" i="2"/>
  <c r="E42" i="2"/>
  <c r="F42" i="2"/>
  <c r="H42" i="2"/>
  <c r="I42" i="2"/>
  <c r="J42" i="2"/>
  <c r="K42" i="2"/>
  <c r="L42" i="2"/>
  <c r="N42" i="2"/>
  <c r="D43" i="2"/>
  <c r="E43" i="2"/>
  <c r="F43" i="2"/>
  <c r="H43" i="2"/>
  <c r="I43" i="2"/>
  <c r="J43" i="2"/>
  <c r="K43" i="2"/>
  <c r="L43" i="2"/>
  <c r="N43" i="2"/>
  <c r="D44" i="2"/>
  <c r="E44" i="2"/>
  <c r="F44" i="2"/>
  <c r="H44" i="2"/>
  <c r="I44" i="2"/>
  <c r="J44" i="2"/>
  <c r="K44" i="2"/>
  <c r="L44" i="2"/>
  <c r="N44" i="2"/>
  <c r="D45" i="2"/>
  <c r="E45" i="2"/>
  <c r="F45" i="2"/>
  <c r="H45" i="2"/>
  <c r="I45" i="2"/>
  <c r="J45" i="2"/>
  <c r="K45" i="2"/>
  <c r="L45" i="2"/>
  <c r="N45" i="2"/>
  <c r="D46" i="2"/>
  <c r="E46" i="2"/>
  <c r="F46" i="2"/>
  <c r="H46" i="2"/>
  <c r="I46" i="2"/>
  <c r="J46" i="2"/>
  <c r="K46" i="2"/>
  <c r="L46" i="2"/>
  <c r="N46" i="2"/>
  <c r="D47" i="2"/>
  <c r="E47" i="2"/>
  <c r="F47" i="2"/>
  <c r="H47" i="2"/>
  <c r="I47" i="2"/>
  <c r="J47" i="2"/>
  <c r="K47" i="2"/>
  <c r="L47" i="2"/>
  <c r="N47" i="2"/>
  <c r="D48" i="2"/>
  <c r="E48" i="2"/>
  <c r="F48" i="2"/>
  <c r="H48" i="2"/>
  <c r="I48" i="2"/>
  <c r="J48" i="2"/>
  <c r="K48" i="2"/>
  <c r="L48" i="2"/>
  <c r="N48" i="2"/>
  <c r="D49" i="2"/>
  <c r="E49" i="2"/>
  <c r="F49" i="2"/>
  <c r="H49" i="2"/>
  <c r="I49" i="2"/>
  <c r="J49" i="2"/>
  <c r="K49" i="2"/>
  <c r="L49" i="2"/>
  <c r="N49" i="2"/>
  <c r="D50" i="2"/>
  <c r="E50" i="2"/>
  <c r="F50" i="2"/>
  <c r="H50" i="2"/>
  <c r="I50" i="2"/>
  <c r="J50" i="2"/>
  <c r="K50" i="2"/>
  <c r="L50" i="2"/>
  <c r="N50" i="2"/>
  <c r="D51" i="2"/>
  <c r="E51" i="2"/>
  <c r="F51" i="2"/>
  <c r="H51" i="2"/>
  <c r="I51" i="2"/>
  <c r="J51" i="2"/>
  <c r="K51" i="2"/>
  <c r="L51" i="2"/>
  <c r="N51" i="2"/>
  <c r="D52" i="2"/>
  <c r="E52" i="2"/>
  <c r="F52" i="2"/>
  <c r="H52" i="2"/>
  <c r="I52" i="2"/>
  <c r="J52" i="2"/>
  <c r="K52" i="2"/>
  <c r="L52" i="2"/>
  <c r="N52" i="2"/>
  <c r="D53" i="2"/>
  <c r="E53" i="2"/>
  <c r="F53" i="2"/>
  <c r="H53" i="2"/>
  <c r="I53" i="2"/>
  <c r="J53" i="2"/>
  <c r="K53" i="2"/>
  <c r="L53" i="2"/>
  <c r="N53" i="2"/>
  <c r="D54" i="2"/>
  <c r="E54" i="2"/>
  <c r="F54" i="2"/>
  <c r="H54" i="2"/>
  <c r="I54" i="2"/>
  <c r="J54" i="2"/>
  <c r="K54" i="2"/>
  <c r="L54" i="2"/>
  <c r="N54" i="2"/>
  <c r="D55" i="2"/>
  <c r="E55" i="2"/>
  <c r="F55" i="2"/>
  <c r="H55" i="2"/>
  <c r="I55" i="2"/>
  <c r="J55" i="2"/>
  <c r="K55" i="2"/>
  <c r="L55" i="2"/>
  <c r="N55" i="2"/>
  <c r="D56" i="2"/>
  <c r="E56" i="2"/>
  <c r="F56" i="2"/>
  <c r="H56" i="2"/>
  <c r="I56" i="2"/>
  <c r="J56" i="2"/>
  <c r="K56" i="2"/>
  <c r="L56" i="2"/>
  <c r="N56" i="2"/>
  <c r="D57" i="2"/>
  <c r="E57" i="2"/>
  <c r="F57" i="2"/>
  <c r="H57" i="2"/>
  <c r="I57" i="2"/>
  <c r="J57" i="2"/>
  <c r="K57" i="2"/>
  <c r="L57" i="2"/>
  <c r="N57" i="2"/>
  <c r="D58" i="2"/>
  <c r="E58" i="2"/>
  <c r="F58" i="2"/>
  <c r="H58" i="2"/>
  <c r="I58" i="2"/>
  <c r="J58" i="2"/>
  <c r="K58" i="2"/>
  <c r="L58" i="2"/>
  <c r="N58" i="2"/>
  <c r="D59" i="2"/>
  <c r="E59" i="2"/>
  <c r="F59" i="2"/>
  <c r="H59" i="2"/>
  <c r="I59" i="2"/>
  <c r="J59" i="2"/>
  <c r="K59" i="2"/>
  <c r="L59" i="2"/>
  <c r="N59" i="2"/>
  <c r="D60" i="2"/>
  <c r="E60" i="2"/>
  <c r="F60" i="2"/>
  <c r="H60" i="2"/>
  <c r="I60" i="2"/>
  <c r="J60" i="2"/>
  <c r="K60" i="2"/>
  <c r="L60" i="2"/>
  <c r="N60" i="2"/>
  <c r="D61" i="2"/>
  <c r="E61" i="2"/>
  <c r="F61" i="2"/>
  <c r="H61" i="2"/>
  <c r="I61" i="2"/>
  <c r="J61" i="2"/>
  <c r="K61" i="2"/>
  <c r="L61" i="2"/>
  <c r="N61" i="2"/>
  <c r="D62" i="2"/>
  <c r="E62" i="2"/>
  <c r="F62" i="2"/>
  <c r="H62" i="2"/>
  <c r="I62" i="2"/>
  <c r="J62" i="2"/>
  <c r="K62" i="2"/>
  <c r="L62" i="2"/>
  <c r="N62" i="2"/>
  <c r="D63" i="2"/>
  <c r="E63" i="2"/>
  <c r="F63" i="2"/>
  <c r="H63" i="2"/>
  <c r="I63" i="2"/>
  <c r="J63" i="2"/>
  <c r="K63" i="2"/>
  <c r="L63" i="2"/>
  <c r="N63" i="2"/>
  <c r="D64" i="2"/>
  <c r="E64" i="2"/>
  <c r="F64" i="2"/>
  <c r="H64" i="2"/>
  <c r="I64" i="2"/>
  <c r="J64" i="2"/>
  <c r="K64" i="2"/>
  <c r="L64" i="2"/>
  <c r="N64" i="2"/>
  <c r="D65" i="2"/>
  <c r="E65" i="2"/>
  <c r="F65" i="2"/>
  <c r="H65" i="2"/>
  <c r="I65" i="2"/>
  <c r="J65" i="2"/>
  <c r="K65" i="2"/>
  <c r="L65" i="2"/>
  <c r="N65" i="2"/>
  <c r="D66" i="2"/>
  <c r="E66" i="2"/>
  <c r="F66" i="2"/>
  <c r="H66" i="2"/>
  <c r="I66" i="2"/>
  <c r="J66" i="2"/>
  <c r="K66" i="2"/>
  <c r="L66" i="2"/>
  <c r="N66" i="2"/>
  <c r="D67" i="2"/>
  <c r="E67" i="2"/>
  <c r="F67" i="2"/>
  <c r="H67" i="2"/>
  <c r="I67" i="2"/>
  <c r="J67" i="2"/>
  <c r="K67" i="2"/>
  <c r="L67" i="2"/>
  <c r="N67" i="2"/>
  <c r="D68" i="2"/>
  <c r="E68" i="2"/>
  <c r="F68" i="2"/>
  <c r="H68" i="2"/>
  <c r="I68" i="2"/>
  <c r="J68" i="2"/>
  <c r="K68" i="2"/>
  <c r="L68" i="2"/>
  <c r="N68" i="2"/>
  <c r="D69" i="2"/>
  <c r="E69" i="2"/>
  <c r="F69" i="2"/>
  <c r="H69" i="2"/>
  <c r="I69" i="2"/>
  <c r="J69" i="2"/>
  <c r="K69" i="2"/>
  <c r="L69" i="2"/>
  <c r="N69" i="2"/>
  <c r="D70" i="2"/>
  <c r="E70" i="2"/>
  <c r="F70" i="2"/>
  <c r="H70" i="2"/>
  <c r="I70" i="2"/>
  <c r="J70" i="2"/>
  <c r="K70" i="2"/>
  <c r="L70" i="2"/>
  <c r="N70" i="2"/>
  <c r="E4" i="2"/>
  <c r="F4" i="2"/>
  <c r="H4" i="2"/>
  <c r="I4" i="2"/>
  <c r="J4" i="2"/>
  <c r="K4" i="2"/>
  <c r="L4" i="2"/>
  <c r="D4" i="2"/>
  <c r="M84" i="6"/>
  <c r="L84" i="6"/>
  <c r="K84" i="6"/>
  <c r="G84" i="6"/>
  <c r="M83" i="6"/>
  <c r="L83" i="6"/>
  <c r="K83" i="6"/>
  <c r="G83" i="6"/>
  <c r="M82" i="6"/>
  <c r="L82" i="6"/>
  <c r="K82" i="6"/>
  <c r="G82" i="6"/>
  <c r="M81" i="6"/>
  <c r="L81" i="6"/>
  <c r="K81" i="6"/>
  <c r="G81" i="6"/>
  <c r="M80" i="6"/>
  <c r="L80" i="6"/>
  <c r="K80" i="6"/>
  <c r="G80" i="6"/>
  <c r="M79" i="6"/>
  <c r="L79" i="6"/>
  <c r="K79" i="6"/>
  <c r="G79" i="6"/>
  <c r="M78" i="6"/>
  <c r="L78" i="6"/>
  <c r="K78" i="6"/>
  <c r="G78" i="6"/>
  <c r="M77" i="6"/>
  <c r="L77" i="6"/>
  <c r="K77" i="6"/>
  <c r="G77" i="6"/>
  <c r="M76" i="6"/>
  <c r="L76" i="6"/>
  <c r="K76" i="6"/>
  <c r="G76" i="6"/>
  <c r="M75" i="6"/>
  <c r="L75" i="6"/>
  <c r="K75" i="6"/>
  <c r="G75" i="6"/>
  <c r="M74" i="6"/>
  <c r="L74" i="6"/>
  <c r="K74" i="6"/>
  <c r="G74" i="6"/>
  <c r="M73" i="6"/>
  <c r="L73" i="6"/>
  <c r="K73" i="6"/>
  <c r="G73" i="6"/>
  <c r="G5" i="6"/>
  <c r="K5" i="6"/>
  <c r="L5" i="6"/>
  <c r="G6" i="6"/>
  <c r="K6" i="6"/>
  <c r="L6" i="6"/>
  <c r="G7" i="6"/>
  <c r="K7" i="6"/>
  <c r="G8" i="6"/>
  <c r="K8" i="6"/>
  <c r="L8" i="6"/>
  <c r="G9" i="6"/>
  <c r="K9" i="6"/>
  <c r="L9" i="6"/>
  <c r="G10" i="6"/>
  <c r="K10" i="6"/>
  <c r="L10" i="6"/>
  <c r="G11" i="6"/>
  <c r="K11" i="6"/>
  <c r="L11" i="6"/>
  <c r="G12" i="6"/>
  <c r="K12" i="6"/>
  <c r="L12" i="6"/>
  <c r="G13" i="6"/>
  <c r="K13" i="6"/>
  <c r="L13" i="6"/>
  <c r="G14" i="6"/>
  <c r="K14" i="6"/>
  <c r="L14" i="6"/>
  <c r="G15" i="6"/>
  <c r="K15" i="6"/>
  <c r="L15" i="6"/>
  <c r="G16" i="6"/>
  <c r="K16" i="6"/>
  <c r="L16" i="6"/>
  <c r="G17" i="6"/>
  <c r="K17" i="6"/>
  <c r="L17" i="6"/>
  <c r="G18" i="6"/>
  <c r="K18" i="6"/>
  <c r="L18" i="6"/>
  <c r="G19" i="6"/>
  <c r="K19" i="6"/>
  <c r="L19" i="6"/>
  <c r="G20" i="6"/>
  <c r="K20" i="6"/>
  <c r="L20" i="6"/>
  <c r="G21" i="6"/>
  <c r="K21" i="6"/>
  <c r="L21" i="6"/>
  <c r="G22" i="6"/>
  <c r="K22" i="6"/>
  <c r="L22" i="6"/>
  <c r="G23" i="6"/>
  <c r="K23" i="6"/>
  <c r="L23" i="6"/>
  <c r="G24" i="6"/>
  <c r="K24" i="6"/>
  <c r="L24" i="6"/>
  <c r="G25" i="6"/>
  <c r="K25" i="6"/>
  <c r="L25" i="6"/>
  <c r="G26" i="6"/>
  <c r="K26" i="6"/>
  <c r="L26" i="6"/>
  <c r="G27" i="6"/>
  <c r="K27" i="6"/>
  <c r="L27" i="6"/>
  <c r="G28" i="6"/>
  <c r="K28" i="6"/>
  <c r="L28" i="6"/>
  <c r="G29" i="6"/>
  <c r="K29" i="6"/>
  <c r="L29" i="6"/>
  <c r="G30" i="6"/>
  <c r="K30" i="6"/>
  <c r="L30" i="6"/>
  <c r="G31" i="6"/>
  <c r="K31" i="6"/>
  <c r="L31" i="6"/>
  <c r="G32" i="6"/>
  <c r="K32" i="6"/>
  <c r="L32" i="6"/>
  <c r="G33" i="6"/>
  <c r="K33" i="6"/>
  <c r="L33" i="6"/>
  <c r="G34" i="6"/>
  <c r="K34" i="6"/>
  <c r="L34" i="6"/>
  <c r="G35" i="6"/>
  <c r="K35" i="6"/>
  <c r="L35" i="6"/>
  <c r="G36" i="6"/>
  <c r="K36" i="6"/>
  <c r="L36" i="6"/>
  <c r="G37" i="6"/>
  <c r="K37" i="6"/>
  <c r="L37" i="6"/>
  <c r="G38" i="6"/>
  <c r="K38" i="6"/>
  <c r="L38" i="6"/>
  <c r="G39" i="6"/>
  <c r="K39" i="6"/>
  <c r="L39" i="6"/>
  <c r="G40" i="6"/>
  <c r="K40" i="6"/>
  <c r="L40" i="6"/>
  <c r="G41" i="6"/>
  <c r="K41" i="6"/>
  <c r="L41" i="6"/>
  <c r="G42" i="6"/>
  <c r="K42" i="6"/>
  <c r="L42" i="6"/>
  <c r="G43" i="6"/>
  <c r="K43" i="6"/>
  <c r="L43" i="6"/>
  <c r="G44" i="6"/>
  <c r="K44" i="6"/>
  <c r="L44" i="6"/>
  <c r="G45" i="6"/>
  <c r="K45" i="6"/>
  <c r="L45" i="6"/>
  <c r="G46" i="6"/>
  <c r="K46" i="6"/>
  <c r="L46" i="6"/>
  <c r="G47" i="6"/>
  <c r="K47" i="6"/>
  <c r="L47" i="6"/>
  <c r="G48" i="6"/>
  <c r="K48" i="6"/>
  <c r="L48" i="6"/>
  <c r="G49" i="6"/>
  <c r="K49" i="6"/>
  <c r="L49" i="6"/>
  <c r="G50" i="6"/>
  <c r="K50" i="6"/>
  <c r="L50" i="6"/>
  <c r="G51" i="6"/>
  <c r="K51" i="6"/>
  <c r="L51" i="6"/>
  <c r="G52" i="6"/>
  <c r="K52" i="6"/>
  <c r="L52" i="6"/>
  <c r="G53" i="6"/>
  <c r="K53" i="6"/>
  <c r="L53" i="6"/>
  <c r="G54" i="6"/>
  <c r="K54" i="6"/>
  <c r="L54" i="6"/>
  <c r="G55" i="6"/>
  <c r="K55" i="6"/>
  <c r="L55" i="6"/>
  <c r="G56" i="6"/>
  <c r="K56" i="6"/>
  <c r="L56" i="6"/>
  <c r="G57" i="6"/>
  <c r="K57" i="6"/>
  <c r="L57" i="6"/>
  <c r="G58" i="6"/>
  <c r="K58" i="6"/>
  <c r="L58" i="6"/>
  <c r="G59" i="6"/>
  <c r="K59" i="6"/>
  <c r="L59" i="6"/>
  <c r="G60" i="6"/>
  <c r="K60" i="6"/>
  <c r="L60" i="6"/>
  <c r="G61" i="6"/>
  <c r="K61" i="6"/>
  <c r="L61" i="6"/>
  <c r="G62" i="6"/>
  <c r="K62" i="6"/>
  <c r="L62" i="6"/>
  <c r="G63" i="6"/>
  <c r="K63" i="6"/>
  <c r="L63" i="6"/>
  <c r="G64" i="6"/>
  <c r="K64" i="6"/>
  <c r="L64" i="6"/>
  <c r="G65" i="6"/>
  <c r="K65" i="6"/>
  <c r="L65" i="6"/>
  <c r="G66" i="6"/>
  <c r="K66" i="6"/>
  <c r="L66" i="6"/>
  <c r="G67" i="6"/>
  <c r="K67" i="6"/>
  <c r="L67" i="6"/>
  <c r="G68" i="6"/>
  <c r="K68" i="6"/>
  <c r="L68" i="6"/>
  <c r="G69" i="6"/>
  <c r="K69" i="6"/>
  <c r="L69" i="6"/>
  <c r="G70" i="6"/>
  <c r="K70" i="6"/>
  <c r="L70" i="6"/>
  <c r="G4" i="6"/>
  <c r="K4" i="6"/>
  <c r="L4" i="6"/>
  <c r="H119" i="1"/>
  <c r="H128" i="1"/>
  <c r="H126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6" i="1"/>
  <c r="H104" i="1"/>
  <c r="H103" i="1"/>
  <c r="H102" i="1"/>
  <c r="H101" i="1"/>
  <c r="H100" i="1"/>
  <c r="H99" i="1"/>
  <c r="H98" i="1"/>
  <c r="H97" i="1"/>
  <c r="H96" i="1"/>
  <c r="H95" i="1"/>
  <c r="H127" i="1"/>
  <c r="H94" i="1"/>
  <c r="H93" i="1"/>
  <c r="H92" i="1"/>
  <c r="H91" i="1"/>
  <c r="H90" i="1"/>
  <c r="H89" i="1"/>
  <c r="H88" i="1"/>
  <c r="H87" i="1"/>
  <c r="H84" i="1"/>
  <c r="H83" i="1"/>
  <c r="H82" i="1"/>
  <c r="H81" i="1"/>
  <c r="H80" i="1"/>
  <c r="H79" i="1"/>
  <c r="H78" i="1"/>
  <c r="H77" i="1"/>
  <c r="H76" i="1"/>
  <c r="H75" i="1"/>
  <c r="H74" i="1"/>
  <c r="H73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C135" i="7"/>
  <c r="J138" i="8"/>
  <c r="F138" i="8"/>
  <c r="N136" i="8"/>
  <c r="M136" i="8"/>
  <c r="L136" i="8"/>
  <c r="M135" i="8"/>
  <c r="L135" i="8"/>
  <c r="K135" i="8"/>
  <c r="H135" i="8"/>
  <c r="M134" i="8"/>
  <c r="L134" i="8"/>
  <c r="H134" i="8"/>
  <c r="M133" i="8"/>
  <c r="L133" i="8"/>
  <c r="N133" i="8"/>
  <c r="M132" i="8"/>
  <c r="L132" i="8"/>
  <c r="K132" i="8"/>
  <c r="H132" i="8"/>
  <c r="M131" i="8"/>
  <c r="L131" i="8"/>
  <c r="K131" i="8"/>
  <c r="H131" i="8"/>
  <c r="M130" i="8"/>
  <c r="L130" i="8"/>
  <c r="K130" i="8"/>
  <c r="H130" i="8"/>
  <c r="M129" i="8"/>
  <c r="L129" i="8"/>
  <c r="K129" i="8"/>
  <c r="H129" i="8"/>
  <c r="M128" i="8"/>
  <c r="L128" i="8"/>
  <c r="K128" i="8"/>
  <c r="H128" i="8"/>
  <c r="M127" i="8"/>
  <c r="L127" i="8"/>
  <c r="K127" i="8"/>
  <c r="H127" i="8"/>
  <c r="M126" i="8"/>
  <c r="L126" i="8"/>
  <c r="K126" i="8"/>
  <c r="H126" i="8"/>
  <c r="M125" i="8"/>
  <c r="L125" i="8"/>
  <c r="K125" i="8"/>
  <c r="H125" i="8"/>
  <c r="M124" i="8"/>
  <c r="L124" i="8"/>
  <c r="K124" i="8"/>
  <c r="H124" i="8"/>
  <c r="M123" i="8"/>
  <c r="L123" i="8"/>
  <c r="K123" i="8"/>
  <c r="H123" i="8"/>
  <c r="M122" i="8"/>
  <c r="L122" i="8"/>
  <c r="K122" i="8"/>
  <c r="H122" i="8"/>
  <c r="M121" i="8"/>
  <c r="L121" i="8"/>
  <c r="K121" i="8"/>
  <c r="H121" i="8"/>
  <c r="M120" i="8"/>
  <c r="L120" i="8"/>
  <c r="K120" i="8"/>
  <c r="H120" i="8"/>
  <c r="M119" i="8"/>
  <c r="L119" i="8"/>
  <c r="M118" i="8"/>
  <c r="L118" i="8"/>
  <c r="N118" i="8"/>
  <c r="M117" i="8"/>
  <c r="L117" i="8"/>
  <c r="K117" i="8"/>
  <c r="H117" i="8"/>
  <c r="M116" i="8"/>
  <c r="L116" i="8"/>
  <c r="K116" i="8"/>
  <c r="H116" i="8"/>
  <c r="M115" i="8"/>
  <c r="L115" i="8"/>
  <c r="K115" i="8"/>
  <c r="H115" i="8"/>
  <c r="M114" i="8"/>
  <c r="L114" i="8"/>
  <c r="K114" i="8"/>
  <c r="H114" i="8"/>
  <c r="M113" i="8"/>
  <c r="L113" i="8"/>
  <c r="K113" i="8"/>
  <c r="H113" i="8"/>
  <c r="M112" i="8"/>
  <c r="L112" i="8"/>
  <c r="K112" i="8"/>
  <c r="H112" i="8"/>
  <c r="M111" i="8"/>
  <c r="L111" i="8"/>
  <c r="K111" i="8"/>
  <c r="H111" i="8"/>
  <c r="M110" i="8"/>
  <c r="L110" i="8"/>
  <c r="K110" i="8"/>
  <c r="H110" i="8"/>
  <c r="M109" i="8"/>
  <c r="L109" i="8"/>
  <c r="K109" i="8"/>
  <c r="H109" i="8"/>
  <c r="M108" i="8"/>
  <c r="L108" i="8"/>
  <c r="K108" i="8"/>
  <c r="H108" i="8"/>
  <c r="M107" i="8"/>
  <c r="L107" i="8"/>
  <c r="K107" i="8"/>
  <c r="H107" i="8"/>
  <c r="M106" i="8"/>
  <c r="L106" i="8"/>
  <c r="K106" i="8"/>
  <c r="H106" i="8"/>
  <c r="M105" i="8"/>
  <c r="L105" i="8"/>
  <c r="K105" i="8"/>
  <c r="H105" i="8"/>
  <c r="M104" i="8"/>
  <c r="L104" i="8"/>
  <c r="K104" i="8"/>
  <c r="H104" i="8"/>
  <c r="M103" i="8"/>
  <c r="L103" i="8"/>
  <c r="K103" i="8"/>
  <c r="H103" i="8"/>
  <c r="M102" i="8"/>
  <c r="L102" i="8"/>
  <c r="N102" i="8"/>
  <c r="M101" i="8"/>
  <c r="L101" i="8"/>
  <c r="K101" i="8"/>
  <c r="H101" i="8"/>
  <c r="M100" i="8"/>
  <c r="L100" i="8"/>
  <c r="K100" i="8"/>
  <c r="H100" i="8"/>
  <c r="M99" i="8"/>
  <c r="L99" i="8"/>
  <c r="K99" i="8"/>
  <c r="H99" i="8"/>
  <c r="M98" i="8"/>
  <c r="L98" i="8"/>
  <c r="K98" i="8"/>
  <c r="H98" i="8"/>
  <c r="M97" i="8"/>
  <c r="L97" i="8"/>
  <c r="K97" i="8"/>
  <c r="H97" i="8"/>
  <c r="M96" i="8"/>
  <c r="L96" i="8"/>
  <c r="K96" i="8"/>
  <c r="H96" i="8"/>
  <c r="M95" i="8"/>
  <c r="L95" i="8"/>
  <c r="K95" i="8"/>
  <c r="H95" i="8"/>
  <c r="M94" i="8"/>
  <c r="L94" i="8"/>
  <c r="K94" i="8"/>
  <c r="H94" i="8"/>
  <c r="M93" i="8"/>
  <c r="L93" i="8"/>
  <c r="H93" i="8"/>
  <c r="M92" i="8"/>
  <c r="L92" i="8"/>
  <c r="K92" i="8"/>
  <c r="H92" i="8"/>
  <c r="M91" i="8"/>
  <c r="L91" i="8"/>
  <c r="K91" i="8"/>
  <c r="H91" i="8"/>
  <c r="M90" i="8"/>
  <c r="L90" i="8"/>
  <c r="K90" i="8"/>
  <c r="H90" i="8"/>
  <c r="M89" i="8"/>
  <c r="L89" i="8"/>
  <c r="K89" i="8"/>
  <c r="H89" i="8"/>
  <c r="M88" i="8"/>
  <c r="L88" i="8"/>
  <c r="K88" i="8"/>
  <c r="H88" i="8"/>
  <c r="M87" i="8"/>
  <c r="L87" i="8"/>
  <c r="K87" i="8"/>
  <c r="H87" i="8"/>
  <c r="M86" i="8"/>
  <c r="L86" i="8"/>
  <c r="K86" i="8"/>
  <c r="H86" i="8"/>
  <c r="M85" i="8"/>
  <c r="L85" i="8"/>
  <c r="K85" i="8"/>
  <c r="H85" i="8"/>
  <c r="M84" i="8"/>
  <c r="L84" i="8"/>
  <c r="K84" i="8"/>
  <c r="H84" i="8"/>
  <c r="L83" i="8"/>
  <c r="K83" i="8"/>
  <c r="M83" i="8"/>
  <c r="M82" i="8"/>
  <c r="L82" i="8"/>
  <c r="K82" i="8"/>
  <c r="H82" i="8"/>
  <c r="M81" i="8"/>
  <c r="L81" i="8"/>
  <c r="K81" i="8"/>
  <c r="H81" i="8"/>
  <c r="M80" i="8"/>
  <c r="L80" i="8"/>
  <c r="K80" i="8"/>
  <c r="H80" i="8"/>
  <c r="M79" i="8"/>
  <c r="L79" i="8"/>
  <c r="K79" i="8"/>
  <c r="H79" i="8"/>
  <c r="M78" i="8"/>
  <c r="L78" i="8"/>
  <c r="K78" i="8"/>
  <c r="H78" i="8"/>
  <c r="M77" i="8"/>
  <c r="L77" i="8"/>
  <c r="K77" i="8"/>
  <c r="N77" i="8" s="1"/>
  <c r="M76" i="8"/>
  <c r="L76" i="8"/>
  <c r="K76" i="8"/>
  <c r="H76" i="8"/>
  <c r="M75" i="8"/>
  <c r="L75" i="8"/>
  <c r="K75" i="8"/>
  <c r="H75" i="8"/>
  <c r="M74" i="8"/>
  <c r="L74" i="8"/>
  <c r="K74" i="8"/>
  <c r="H74" i="8"/>
  <c r="M73" i="8"/>
  <c r="L73" i="8"/>
  <c r="K73" i="8"/>
  <c r="H73" i="8"/>
  <c r="M72" i="8"/>
  <c r="L72" i="8"/>
  <c r="K72" i="8"/>
  <c r="H72" i="8"/>
  <c r="M71" i="8"/>
  <c r="L71" i="8"/>
  <c r="K71" i="8"/>
  <c r="H71" i="8"/>
  <c r="M70" i="8"/>
  <c r="L70" i="8"/>
  <c r="K70" i="8"/>
  <c r="H70" i="8"/>
  <c r="M69" i="8"/>
  <c r="L69" i="8"/>
  <c r="K69" i="8"/>
  <c r="H69" i="8"/>
  <c r="M68" i="8"/>
  <c r="L68" i="8"/>
  <c r="K68" i="8"/>
  <c r="H68" i="8"/>
  <c r="M67" i="8"/>
  <c r="L67" i="8"/>
  <c r="K67" i="8"/>
  <c r="H67" i="8"/>
  <c r="M66" i="8"/>
  <c r="L66" i="8"/>
  <c r="K66" i="8"/>
  <c r="H66" i="8"/>
  <c r="M65" i="8"/>
  <c r="L65" i="8"/>
  <c r="K65" i="8"/>
  <c r="H65" i="8"/>
  <c r="M64" i="8"/>
  <c r="L64" i="8"/>
  <c r="K64" i="8"/>
  <c r="H64" i="8"/>
  <c r="M63" i="8"/>
  <c r="L63" i="8"/>
  <c r="K63" i="8"/>
  <c r="H63" i="8"/>
  <c r="M62" i="8"/>
  <c r="L62" i="8"/>
  <c r="K62" i="8"/>
  <c r="H62" i="8"/>
  <c r="M61" i="8"/>
  <c r="L61" i="8"/>
  <c r="K61" i="8"/>
  <c r="H61" i="8"/>
  <c r="M60" i="8"/>
  <c r="L60" i="8"/>
  <c r="K60" i="8"/>
  <c r="H60" i="8"/>
  <c r="M59" i="8"/>
  <c r="L59" i="8"/>
  <c r="K59" i="8"/>
  <c r="H59" i="8"/>
  <c r="M58" i="8"/>
  <c r="L58" i="8"/>
  <c r="K58" i="8"/>
  <c r="H58" i="8"/>
  <c r="M57" i="8"/>
  <c r="L57" i="8"/>
  <c r="K57" i="8"/>
  <c r="H57" i="8"/>
  <c r="M56" i="8"/>
  <c r="L56" i="8"/>
  <c r="K56" i="8"/>
  <c r="H56" i="8"/>
  <c r="M55" i="8"/>
  <c r="L55" i="8"/>
  <c r="K55" i="8"/>
  <c r="H55" i="8"/>
  <c r="M54" i="8"/>
  <c r="L54" i="8"/>
  <c r="K54" i="8"/>
  <c r="H54" i="8"/>
  <c r="M53" i="8"/>
  <c r="L53" i="8"/>
  <c r="K53" i="8"/>
  <c r="H53" i="8"/>
  <c r="M52" i="8"/>
  <c r="L52" i="8"/>
  <c r="N52" i="8"/>
  <c r="M51" i="8"/>
  <c r="L51" i="8"/>
  <c r="K51" i="8"/>
  <c r="H51" i="8"/>
  <c r="M50" i="8"/>
  <c r="L50" i="8"/>
  <c r="K50" i="8"/>
  <c r="H50" i="8"/>
  <c r="M49" i="8"/>
  <c r="L49" i="8"/>
  <c r="K49" i="8"/>
  <c r="H49" i="8"/>
  <c r="M48" i="8"/>
  <c r="L48" i="8"/>
  <c r="K48" i="8"/>
  <c r="H48" i="8"/>
  <c r="M47" i="8"/>
  <c r="L47" i="8"/>
  <c r="K47" i="8"/>
  <c r="H47" i="8"/>
  <c r="M46" i="8"/>
  <c r="L46" i="8"/>
  <c r="K46" i="8"/>
  <c r="H46" i="8"/>
  <c r="M45" i="8"/>
  <c r="L45" i="8"/>
  <c r="K45" i="8"/>
  <c r="H45" i="8"/>
  <c r="M44" i="8"/>
  <c r="L44" i="8"/>
  <c r="K44" i="8"/>
  <c r="H44" i="8"/>
  <c r="M43" i="8"/>
  <c r="L43" i="8"/>
  <c r="K43" i="8"/>
  <c r="H43" i="8"/>
  <c r="M42" i="8"/>
  <c r="L42" i="8"/>
  <c r="N42" i="8"/>
  <c r="M41" i="8"/>
  <c r="L41" i="8"/>
  <c r="K41" i="8"/>
  <c r="H41" i="8"/>
  <c r="M40" i="8"/>
  <c r="L40" i="8"/>
  <c r="K40" i="8"/>
  <c r="H40" i="8"/>
  <c r="M39" i="8"/>
  <c r="L39" i="8"/>
  <c r="K39" i="8"/>
  <c r="H39" i="8"/>
  <c r="M38" i="8"/>
  <c r="L38" i="8"/>
  <c r="K38" i="8"/>
  <c r="H38" i="8"/>
  <c r="M37" i="8"/>
  <c r="L37" i="8"/>
  <c r="M36" i="8"/>
  <c r="K36" i="8"/>
  <c r="H36" i="8"/>
  <c r="M35" i="8"/>
  <c r="L35" i="8"/>
  <c r="K35" i="8"/>
  <c r="H35" i="8"/>
  <c r="M34" i="8"/>
  <c r="L34" i="8"/>
  <c r="K34" i="8"/>
  <c r="H34" i="8"/>
  <c r="M33" i="8"/>
  <c r="L33" i="8"/>
  <c r="K33" i="8"/>
  <c r="H33" i="8"/>
  <c r="M32" i="8"/>
  <c r="L32" i="8"/>
  <c r="K32" i="8"/>
  <c r="H32" i="8"/>
  <c r="M31" i="8"/>
  <c r="L31" i="8"/>
  <c r="H31" i="8"/>
  <c r="M30" i="8"/>
  <c r="L30" i="8"/>
  <c r="K30" i="8"/>
  <c r="H30" i="8"/>
  <c r="M29" i="8"/>
  <c r="L29" i="8"/>
  <c r="K29" i="8"/>
  <c r="H29" i="8"/>
  <c r="M28" i="8"/>
  <c r="L28" i="8"/>
  <c r="K28" i="8"/>
  <c r="H28" i="8"/>
  <c r="M27" i="8"/>
  <c r="L27" i="8"/>
  <c r="K27" i="8"/>
  <c r="H27" i="8"/>
  <c r="M26" i="8"/>
  <c r="L26" i="8"/>
  <c r="K26" i="8"/>
  <c r="H26" i="8"/>
  <c r="M25" i="8"/>
  <c r="L25" i="8"/>
  <c r="K25" i="8"/>
  <c r="H25" i="8"/>
  <c r="M24" i="8"/>
  <c r="L24" i="8"/>
  <c r="K24" i="8"/>
  <c r="H24" i="8"/>
  <c r="M23" i="8"/>
  <c r="L23" i="8"/>
  <c r="K23" i="8"/>
  <c r="H23" i="8"/>
  <c r="M22" i="8"/>
  <c r="L22" i="8"/>
  <c r="K22" i="8"/>
  <c r="H22" i="8"/>
  <c r="M21" i="8"/>
  <c r="L21" i="8"/>
  <c r="K21" i="8"/>
  <c r="H21" i="8"/>
  <c r="M20" i="8"/>
  <c r="L20" i="8"/>
  <c r="K20" i="8"/>
  <c r="H20" i="8"/>
  <c r="M19" i="8"/>
  <c r="L19" i="8"/>
  <c r="K19" i="8"/>
  <c r="H19" i="8"/>
  <c r="M18" i="8"/>
  <c r="L18" i="8"/>
  <c r="K18" i="8"/>
  <c r="H18" i="8"/>
  <c r="M17" i="8"/>
  <c r="L17" i="8"/>
  <c r="K17" i="8"/>
  <c r="H17" i="8"/>
  <c r="M16" i="8"/>
  <c r="L16" i="8"/>
  <c r="K16" i="8"/>
  <c r="H16" i="8"/>
  <c r="M15" i="8"/>
  <c r="L15" i="8"/>
  <c r="K15" i="8"/>
  <c r="H15" i="8"/>
  <c r="M14" i="8"/>
  <c r="L14" i="8"/>
  <c r="K14" i="8"/>
  <c r="H14" i="8"/>
  <c r="M13" i="8"/>
  <c r="L13" i="8"/>
  <c r="K13" i="8"/>
  <c r="H13" i="8"/>
  <c r="M12" i="8"/>
  <c r="L12" i="8"/>
  <c r="K12" i="8"/>
  <c r="H12" i="8"/>
  <c r="M11" i="8"/>
  <c r="L11" i="8"/>
  <c r="K11" i="8"/>
  <c r="H11" i="8"/>
  <c r="M10" i="8"/>
  <c r="L10" i="8"/>
  <c r="K10" i="8"/>
  <c r="H10" i="8"/>
  <c r="M9" i="8"/>
  <c r="L9" i="8"/>
  <c r="K9" i="8"/>
  <c r="H9" i="8"/>
  <c r="M8" i="8"/>
  <c r="L8" i="8"/>
  <c r="K8" i="8"/>
  <c r="H8" i="8"/>
  <c r="M7" i="8"/>
  <c r="L7" i="8"/>
  <c r="K7" i="8"/>
  <c r="H7" i="8"/>
  <c r="M6" i="8"/>
  <c r="L6" i="8"/>
  <c r="K6" i="8"/>
  <c r="H6" i="8"/>
  <c r="M5" i="8"/>
  <c r="L5" i="8"/>
  <c r="K5" i="8"/>
  <c r="H5" i="8"/>
  <c r="O64" i="2" l="1"/>
  <c r="R124" i="2"/>
  <c r="Q106" i="2"/>
  <c r="S106" i="2" s="1"/>
  <c r="Q124" i="2"/>
  <c r="Q124" i="6"/>
  <c r="S124" i="6" s="1"/>
  <c r="I129" i="6"/>
  <c r="F105" i="1"/>
  <c r="O129" i="6"/>
  <c r="N129" i="6"/>
  <c r="P69" i="6"/>
  <c r="E69" i="6" s="1"/>
  <c r="P67" i="6"/>
  <c r="E67" i="6" s="1"/>
  <c r="P65" i="6"/>
  <c r="E65" i="6" s="1"/>
  <c r="P63" i="6"/>
  <c r="E63" i="6" s="1"/>
  <c r="P61" i="6"/>
  <c r="E61" i="6" s="1"/>
  <c r="P59" i="6"/>
  <c r="E59" i="6" s="1"/>
  <c r="P57" i="6"/>
  <c r="E57" i="6" s="1"/>
  <c r="P55" i="6"/>
  <c r="E55" i="6" s="1"/>
  <c r="P52" i="6"/>
  <c r="E52" i="6" s="1"/>
  <c r="P50" i="6"/>
  <c r="E50" i="6" s="1"/>
  <c r="P48" i="6"/>
  <c r="E48" i="6" s="1"/>
  <c r="P46" i="6"/>
  <c r="E46" i="6" s="1"/>
  <c r="P44" i="6"/>
  <c r="E44" i="6" s="1"/>
  <c r="P42" i="6"/>
  <c r="E42" i="6" s="1"/>
  <c r="P40" i="6"/>
  <c r="E40" i="6" s="1"/>
  <c r="P38" i="6"/>
  <c r="E38" i="6" s="1"/>
  <c r="P36" i="6"/>
  <c r="E36" i="6" s="1"/>
  <c r="P34" i="6"/>
  <c r="E34" i="6" s="1"/>
  <c r="P32" i="6"/>
  <c r="E32" i="6" s="1"/>
  <c r="P30" i="6"/>
  <c r="E30" i="6" s="1"/>
  <c r="P28" i="6"/>
  <c r="E28" i="6" s="1"/>
  <c r="P26" i="6"/>
  <c r="E26" i="6" s="1"/>
  <c r="P24" i="6"/>
  <c r="E24" i="6" s="1"/>
  <c r="P23" i="6"/>
  <c r="E23" i="6" s="1"/>
  <c r="P21" i="6"/>
  <c r="E21" i="6" s="1"/>
  <c r="P19" i="6"/>
  <c r="E19" i="6" s="1"/>
  <c r="P17" i="6"/>
  <c r="E17" i="6" s="1"/>
  <c r="P15" i="6"/>
  <c r="E15" i="6" s="1"/>
  <c r="P13" i="6"/>
  <c r="E13" i="6" s="1"/>
  <c r="P11" i="6"/>
  <c r="E11" i="6" s="1"/>
  <c r="P9" i="6"/>
  <c r="E9" i="6" s="1"/>
  <c r="P7" i="6"/>
  <c r="E7" i="6" s="1"/>
  <c r="P5" i="6"/>
  <c r="E5" i="6" s="1"/>
  <c r="P83" i="6"/>
  <c r="E83" i="6" s="1"/>
  <c r="P81" i="6"/>
  <c r="E81" i="6" s="1"/>
  <c r="P79" i="6"/>
  <c r="E79" i="6" s="1"/>
  <c r="P77" i="6"/>
  <c r="E77" i="6" s="1"/>
  <c r="P75" i="6"/>
  <c r="E75" i="6" s="1"/>
  <c r="P73" i="6"/>
  <c r="E73" i="6" s="1"/>
  <c r="P4" i="6"/>
  <c r="E4" i="6" s="1"/>
  <c r="P70" i="6"/>
  <c r="E70" i="6" s="1"/>
  <c r="P68" i="6"/>
  <c r="E68" i="6" s="1"/>
  <c r="P66" i="6"/>
  <c r="E66" i="6" s="1"/>
  <c r="P64" i="6"/>
  <c r="E64" i="6" s="1"/>
  <c r="P62" i="6"/>
  <c r="E62" i="6" s="1"/>
  <c r="P60" i="6"/>
  <c r="E60" i="6" s="1"/>
  <c r="P58" i="6"/>
  <c r="E58" i="6" s="1"/>
  <c r="P56" i="6"/>
  <c r="E56" i="6" s="1"/>
  <c r="P54" i="6"/>
  <c r="E54" i="6" s="1"/>
  <c r="P53" i="6"/>
  <c r="E53" i="6" s="1"/>
  <c r="P51" i="6"/>
  <c r="E51" i="6" s="1"/>
  <c r="P49" i="6"/>
  <c r="E49" i="6" s="1"/>
  <c r="P47" i="6"/>
  <c r="E47" i="6" s="1"/>
  <c r="P45" i="6"/>
  <c r="E45" i="6" s="1"/>
  <c r="P43" i="6"/>
  <c r="E43" i="6" s="1"/>
  <c r="P41" i="6"/>
  <c r="E41" i="6" s="1"/>
  <c r="P39" i="6"/>
  <c r="E39" i="6" s="1"/>
  <c r="P37" i="6"/>
  <c r="E37" i="6" s="1"/>
  <c r="P35" i="6"/>
  <c r="E35" i="6" s="1"/>
  <c r="P33" i="6"/>
  <c r="E33" i="6" s="1"/>
  <c r="P31" i="6"/>
  <c r="E31" i="6" s="1"/>
  <c r="P29" i="6"/>
  <c r="E29" i="6" s="1"/>
  <c r="P27" i="6"/>
  <c r="E27" i="6" s="1"/>
  <c r="P25" i="6"/>
  <c r="E25" i="6" s="1"/>
  <c r="P22" i="6"/>
  <c r="E22" i="6" s="1"/>
  <c r="P20" i="6"/>
  <c r="E20" i="6" s="1"/>
  <c r="P18" i="6"/>
  <c r="E18" i="6" s="1"/>
  <c r="P16" i="6"/>
  <c r="E16" i="6" s="1"/>
  <c r="P14" i="6"/>
  <c r="E14" i="6" s="1"/>
  <c r="P12" i="6"/>
  <c r="E12" i="6" s="1"/>
  <c r="P10" i="6"/>
  <c r="E10" i="6" s="1"/>
  <c r="P8" i="6"/>
  <c r="E8" i="6" s="1"/>
  <c r="P6" i="6"/>
  <c r="E6" i="6" s="1"/>
  <c r="P84" i="6"/>
  <c r="E84" i="6" s="1"/>
  <c r="P82" i="6"/>
  <c r="E82" i="6" s="1"/>
  <c r="P80" i="6"/>
  <c r="E80" i="6" s="1"/>
  <c r="P78" i="6"/>
  <c r="E78" i="6" s="1"/>
  <c r="P76" i="6"/>
  <c r="E76" i="6" s="1"/>
  <c r="P74" i="6"/>
  <c r="E74" i="6" s="1"/>
  <c r="H129" i="6"/>
  <c r="J129" i="6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N134" i="8"/>
  <c r="N135" i="8"/>
  <c r="N38" i="8"/>
  <c r="N39" i="8"/>
  <c r="N40" i="8"/>
  <c r="N41" i="8"/>
  <c r="N43" i="8"/>
  <c r="N44" i="8"/>
  <c r="N45" i="8"/>
  <c r="N46" i="8"/>
  <c r="N47" i="8"/>
  <c r="N48" i="8"/>
  <c r="N49" i="8"/>
  <c r="N50" i="8"/>
  <c r="N51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8" i="8"/>
  <c r="N79" i="8"/>
  <c r="N80" i="8"/>
  <c r="N81" i="8"/>
  <c r="N82" i="8"/>
  <c r="N99" i="8"/>
  <c r="N100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101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O134" i="8"/>
  <c r="O135" i="8"/>
  <c r="H83" i="8"/>
  <c r="N83" i="8" s="1"/>
  <c r="O36" i="8"/>
  <c r="N36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L36" i="8"/>
  <c r="O38" i="8"/>
  <c r="O39" i="8"/>
  <c r="O40" i="8"/>
  <c r="O41" i="8"/>
  <c r="O43" i="8"/>
  <c r="O44" i="8"/>
  <c r="O45" i="8"/>
  <c r="O46" i="8"/>
  <c r="O47" i="8"/>
  <c r="O48" i="8"/>
  <c r="O49" i="8"/>
  <c r="O50" i="8"/>
  <c r="O51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8" i="8"/>
  <c r="O79" i="8"/>
  <c r="O80" i="8"/>
  <c r="O81" i="8"/>
  <c r="O82" i="8"/>
  <c r="O118" i="8"/>
  <c r="G138" i="8"/>
  <c r="I138" i="8"/>
  <c r="S124" i="2" l="1"/>
  <c r="R124" i="6"/>
  <c r="T124" i="6" s="1"/>
  <c r="Q4" i="6"/>
  <c r="O83" i="8"/>
  <c r="L138" i="8"/>
  <c r="K138" i="8"/>
  <c r="H138" i="8"/>
  <c r="M138" i="8"/>
  <c r="N138" i="8" l="1"/>
  <c r="O138" i="8"/>
  <c r="H129" i="1" l="1"/>
  <c r="D127" i="6" l="1"/>
  <c r="D125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B111" i="6"/>
  <c r="D110" i="6"/>
  <c r="B110" i="6"/>
  <c r="D109" i="6"/>
  <c r="B109" i="6"/>
  <c r="D108" i="6"/>
  <c r="D104" i="6"/>
  <c r="D103" i="6"/>
  <c r="D102" i="6"/>
  <c r="D101" i="6"/>
  <c r="D100" i="6"/>
  <c r="D99" i="6"/>
  <c r="D98" i="6"/>
  <c r="D97" i="6"/>
  <c r="D96" i="6"/>
  <c r="D95" i="6"/>
  <c r="D126" i="6"/>
  <c r="D94" i="6"/>
  <c r="D93" i="6"/>
  <c r="D92" i="6"/>
  <c r="D91" i="6"/>
  <c r="D90" i="6"/>
  <c r="D89" i="6"/>
  <c r="B89" i="6"/>
  <c r="D88" i="6"/>
  <c r="B88" i="6"/>
  <c r="D87" i="6"/>
  <c r="B87" i="6"/>
  <c r="B125" i="2"/>
  <c r="C125" i="2"/>
  <c r="B127" i="2"/>
  <c r="C127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C108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C109" i="2"/>
  <c r="A109" i="2"/>
  <c r="A87" i="2"/>
  <c r="A88" i="2"/>
  <c r="A89" i="2"/>
  <c r="A90" i="2"/>
  <c r="B109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126" i="2"/>
  <c r="C126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C87" i="2"/>
  <c r="B87" i="2"/>
  <c r="M87" i="2" l="1"/>
  <c r="G87" i="2"/>
  <c r="G109" i="2"/>
  <c r="M109" i="2"/>
  <c r="G123" i="2"/>
  <c r="M123" i="2"/>
  <c r="M122" i="2"/>
  <c r="G122" i="2"/>
  <c r="G121" i="2"/>
  <c r="M121" i="2"/>
  <c r="M120" i="2"/>
  <c r="G120" i="2"/>
  <c r="G119" i="2"/>
  <c r="M119" i="2"/>
  <c r="M118" i="2"/>
  <c r="G118" i="2"/>
  <c r="G117" i="2"/>
  <c r="M117" i="2"/>
  <c r="M116" i="2"/>
  <c r="G116" i="2"/>
  <c r="G115" i="2"/>
  <c r="M115" i="2"/>
  <c r="M114" i="2"/>
  <c r="G114" i="2"/>
  <c r="G113" i="2"/>
  <c r="M113" i="2"/>
  <c r="M112" i="2"/>
  <c r="G112" i="2"/>
  <c r="G111" i="2"/>
  <c r="M111" i="2"/>
  <c r="M110" i="2"/>
  <c r="G110" i="2"/>
  <c r="G127" i="2"/>
  <c r="M127" i="2"/>
  <c r="M125" i="2"/>
  <c r="G125" i="2"/>
  <c r="M105" i="2"/>
  <c r="G105" i="2"/>
  <c r="M104" i="2"/>
  <c r="G104" i="2"/>
  <c r="M103" i="2"/>
  <c r="G103" i="2"/>
  <c r="M102" i="2"/>
  <c r="G102" i="2"/>
  <c r="M101" i="2"/>
  <c r="G101" i="2"/>
  <c r="M100" i="2"/>
  <c r="G100" i="2"/>
  <c r="M99" i="2"/>
  <c r="G99" i="2"/>
  <c r="M98" i="2"/>
  <c r="G98" i="2"/>
  <c r="M97" i="2"/>
  <c r="G97" i="2"/>
  <c r="M96" i="2"/>
  <c r="G96" i="2"/>
  <c r="M95" i="2"/>
  <c r="G95" i="2"/>
  <c r="M126" i="2"/>
  <c r="G126" i="2"/>
  <c r="M94" i="2"/>
  <c r="G94" i="2"/>
  <c r="M93" i="2"/>
  <c r="G93" i="2"/>
  <c r="M92" i="2"/>
  <c r="G92" i="2"/>
  <c r="M91" i="2"/>
  <c r="G91" i="2"/>
  <c r="M90" i="2"/>
  <c r="G90" i="2"/>
  <c r="M89" i="2"/>
  <c r="G89" i="2"/>
  <c r="M88" i="2"/>
  <c r="G88" i="2"/>
  <c r="N105" i="2"/>
  <c r="K105" i="2"/>
  <c r="I105" i="2"/>
  <c r="F105" i="2"/>
  <c r="D105" i="2"/>
  <c r="L105" i="2"/>
  <c r="J105" i="2"/>
  <c r="H105" i="2"/>
  <c r="E105" i="2"/>
  <c r="L104" i="2"/>
  <c r="J104" i="2"/>
  <c r="H104" i="2"/>
  <c r="E104" i="2"/>
  <c r="N104" i="2"/>
  <c r="K104" i="2"/>
  <c r="I104" i="2"/>
  <c r="F104" i="2"/>
  <c r="D104" i="2"/>
  <c r="N103" i="2"/>
  <c r="K103" i="2"/>
  <c r="I103" i="2"/>
  <c r="F103" i="2"/>
  <c r="D103" i="2"/>
  <c r="L103" i="2"/>
  <c r="J103" i="2"/>
  <c r="H103" i="2"/>
  <c r="E103" i="2"/>
  <c r="L102" i="2"/>
  <c r="J102" i="2"/>
  <c r="H102" i="2"/>
  <c r="E102" i="2"/>
  <c r="N102" i="2"/>
  <c r="K102" i="2"/>
  <c r="I102" i="2"/>
  <c r="F102" i="2"/>
  <c r="D102" i="2"/>
  <c r="N101" i="2"/>
  <c r="K101" i="2"/>
  <c r="I101" i="2"/>
  <c r="F101" i="2"/>
  <c r="D101" i="2"/>
  <c r="L101" i="2"/>
  <c r="J101" i="2"/>
  <c r="H101" i="2"/>
  <c r="E101" i="2"/>
  <c r="L100" i="2"/>
  <c r="J100" i="2"/>
  <c r="H100" i="2"/>
  <c r="E100" i="2"/>
  <c r="N100" i="2"/>
  <c r="K100" i="2"/>
  <c r="I100" i="2"/>
  <c r="F100" i="2"/>
  <c r="D100" i="2"/>
  <c r="N99" i="2"/>
  <c r="K99" i="2"/>
  <c r="I99" i="2"/>
  <c r="F99" i="2"/>
  <c r="D99" i="2"/>
  <c r="L99" i="2"/>
  <c r="J99" i="2"/>
  <c r="H99" i="2"/>
  <c r="E99" i="2"/>
  <c r="L98" i="2"/>
  <c r="J98" i="2"/>
  <c r="H98" i="2"/>
  <c r="E98" i="2"/>
  <c r="N98" i="2"/>
  <c r="K98" i="2"/>
  <c r="I98" i="2"/>
  <c r="F98" i="2"/>
  <c r="D98" i="2"/>
  <c r="N97" i="2"/>
  <c r="K97" i="2"/>
  <c r="I97" i="2"/>
  <c r="F97" i="2"/>
  <c r="D97" i="2"/>
  <c r="L97" i="2"/>
  <c r="J97" i="2"/>
  <c r="H97" i="2"/>
  <c r="E97" i="2"/>
  <c r="L96" i="2"/>
  <c r="J96" i="2"/>
  <c r="H96" i="2"/>
  <c r="E96" i="2"/>
  <c r="N96" i="2"/>
  <c r="K96" i="2"/>
  <c r="I96" i="2"/>
  <c r="F96" i="2"/>
  <c r="D96" i="2"/>
  <c r="N95" i="2"/>
  <c r="K95" i="2"/>
  <c r="I95" i="2"/>
  <c r="F95" i="2"/>
  <c r="D95" i="2"/>
  <c r="L95" i="2"/>
  <c r="J95" i="2"/>
  <c r="H95" i="2"/>
  <c r="E95" i="2"/>
  <c r="L126" i="2"/>
  <c r="J126" i="2"/>
  <c r="H126" i="2"/>
  <c r="E126" i="2"/>
  <c r="N126" i="2"/>
  <c r="K126" i="2"/>
  <c r="I126" i="2"/>
  <c r="F126" i="2"/>
  <c r="D126" i="2"/>
  <c r="N94" i="2"/>
  <c r="K94" i="2"/>
  <c r="I94" i="2"/>
  <c r="F94" i="2"/>
  <c r="D94" i="2"/>
  <c r="L94" i="2"/>
  <c r="J94" i="2"/>
  <c r="H94" i="2"/>
  <c r="E94" i="2"/>
  <c r="L93" i="2"/>
  <c r="J93" i="2"/>
  <c r="H93" i="2"/>
  <c r="E93" i="2"/>
  <c r="N93" i="2"/>
  <c r="K93" i="2"/>
  <c r="I93" i="2"/>
  <c r="F93" i="2"/>
  <c r="D93" i="2"/>
  <c r="N92" i="2"/>
  <c r="K92" i="2"/>
  <c r="I92" i="2"/>
  <c r="F92" i="2"/>
  <c r="D92" i="2"/>
  <c r="L92" i="2"/>
  <c r="J92" i="2"/>
  <c r="H92" i="2"/>
  <c r="E92" i="2"/>
  <c r="L91" i="2"/>
  <c r="J91" i="2"/>
  <c r="H91" i="2"/>
  <c r="E91" i="2"/>
  <c r="N91" i="2"/>
  <c r="K91" i="2"/>
  <c r="I91" i="2"/>
  <c r="F91" i="2"/>
  <c r="D91" i="2"/>
  <c r="N90" i="2"/>
  <c r="K90" i="2"/>
  <c r="I90" i="2"/>
  <c r="F90" i="2"/>
  <c r="D90" i="2"/>
  <c r="L90" i="2"/>
  <c r="J90" i="2"/>
  <c r="H90" i="2"/>
  <c r="E90" i="2"/>
  <c r="L89" i="2"/>
  <c r="J89" i="2"/>
  <c r="H89" i="2"/>
  <c r="E89" i="2"/>
  <c r="N89" i="2"/>
  <c r="K89" i="2"/>
  <c r="I89" i="2"/>
  <c r="F89" i="2"/>
  <c r="D89" i="2"/>
  <c r="N88" i="2"/>
  <c r="K88" i="2"/>
  <c r="I88" i="2"/>
  <c r="F88" i="2"/>
  <c r="D88" i="2"/>
  <c r="L88" i="2"/>
  <c r="J88" i="2"/>
  <c r="H88" i="2"/>
  <c r="E88" i="2"/>
  <c r="L88" i="6"/>
  <c r="G88" i="6"/>
  <c r="K88" i="6"/>
  <c r="L90" i="6"/>
  <c r="G90" i="6"/>
  <c r="K90" i="6"/>
  <c r="L92" i="6"/>
  <c r="G92" i="6"/>
  <c r="K92" i="6"/>
  <c r="L94" i="6"/>
  <c r="G94" i="6"/>
  <c r="K94" i="6"/>
  <c r="L95" i="6"/>
  <c r="G95" i="6"/>
  <c r="K95" i="6"/>
  <c r="L97" i="6"/>
  <c r="G97" i="6"/>
  <c r="K97" i="6"/>
  <c r="L99" i="6"/>
  <c r="G99" i="6"/>
  <c r="K99" i="6"/>
  <c r="L101" i="6"/>
  <c r="G101" i="6"/>
  <c r="K101" i="6"/>
  <c r="K103" i="6"/>
  <c r="L103" i="6"/>
  <c r="G103" i="6"/>
  <c r="K106" i="6"/>
  <c r="L106" i="6"/>
  <c r="G106" i="6"/>
  <c r="L109" i="6"/>
  <c r="G109" i="6"/>
  <c r="M109" i="6"/>
  <c r="K109" i="6"/>
  <c r="L111" i="6"/>
  <c r="G111" i="6"/>
  <c r="K111" i="6"/>
  <c r="M111" i="6"/>
  <c r="L113" i="6"/>
  <c r="G113" i="6"/>
  <c r="M113" i="6"/>
  <c r="K113" i="6"/>
  <c r="L115" i="6"/>
  <c r="G115" i="6"/>
  <c r="K115" i="6"/>
  <c r="M115" i="6"/>
  <c r="L117" i="6"/>
  <c r="G117" i="6"/>
  <c r="M117" i="6"/>
  <c r="K117" i="6"/>
  <c r="L119" i="6"/>
  <c r="G119" i="6"/>
  <c r="K119" i="6"/>
  <c r="M119" i="6"/>
  <c r="L121" i="6"/>
  <c r="G121" i="6"/>
  <c r="M121" i="6"/>
  <c r="K121" i="6"/>
  <c r="L87" i="2"/>
  <c r="J87" i="2"/>
  <c r="H87" i="2"/>
  <c r="E87" i="2"/>
  <c r="N87" i="2"/>
  <c r="K87" i="2"/>
  <c r="I87" i="2"/>
  <c r="F87" i="2"/>
  <c r="D87" i="2"/>
  <c r="L109" i="2"/>
  <c r="J109" i="2"/>
  <c r="H109" i="2"/>
  <c r="E109" i="2"/>
  <c r="N109" i="2"/>
  <c r="K109" i="2"/>
  <c r="I109" i="2"/>
  <c r="F109" i="2"/>
  <c r="D109" i="2"/>
  <c r="P109" i="2" s="1"/>
  <c r="L123" i="2"/>
  <c r="J123" i="2"/>
  <c r="H123" i="2"/>
  <c r="E123" i="2"/>
  <c r="N123" i="2"/>
  <c r="K123" i="2"/>
  <c r="I123" i="2"/>
  <c r="F123" i="2"/>
  <c r="D123" i="2"/>
  <c r="N122" i="2"/>
  <c r="K122" i="2"/>
  <c r="I122" i="2"/>
  <c r="F122" i="2"/>
  <c r="D122" i="2"/>
  <c r="L122" i="2"/>
  <c r="J122" i="2"/>
  <c r="H122" i="2"/>
  <c r="E122" i="2"/>
  <c r="L121" i="2"/>
  <c r="J121" i="2"/>
  <c r="H121" i="2"/>
  <c r="E121" i="2"/>
  <c r="N121" i="2"/>
  <c r="K121" i="2"/>
  <c r="I121" i="2"/>
  <c r="F121" i="2"/>
  <c r="D121" i="2"/>
  <c r="N120" i="2"/>
  <c r="K120" i="2"/>
  <c r="I120" i="2"/>
  <c r="F120" i="2"/>
  <c r="D120" i="2"/>
  <c r="L120" i="2"/>
  <c r="J120" i="2"/>
  <c r="H120" i="2"/>
  <c r="E120" i="2"/>
  <c r="L119" i="2"/>
  <c r="J119" i="2"/>
  <c r="H119" i="2"/>
  <c r="E119" i="2"/>
  <c r="N119" i="2"/>
  <c r="K119" i="2"/>
  <c r="I119" i="2"/>
  <c r="F119" i="2"/>
  <c r="D119" i="2"/>
  <c r="N118" i="2"/>
  <c r="K118" i="2"/>
  <c r="I118" i="2"/>
  <c r="F118" i="2"/>
  <c r="D118" i="2"/>
  <c r="L118" i="2"/>
  <c r="J118" i="2"/>
  <c r="H118" i="2"/>
  <c r="E118" i="2"/>
  <c r="L117" i="2"/>
  <c r="J117" i="2"/>
  <c r="H117" i="2"/>
  <c r="E117" i="2"/>
  <c r="N117" i="2"/>
  <c r="K117" i="2"/>
  <c r="I117" i="2"/>
  <c r="F117" i="2"/>
  <c r="D117" i="2"/>
  <c r="N116" i="2"/>
  <c r="K116" i="2"/>
  <c r="I116" i="2"/>
  <c r="F116" i="2"/>
  <c r="D116" i="2"/>
  <c r="L116" i="2"/>
  <c r="J116" i="2"/>
  <c r="H116" i="2"/>
  <c r="E116" i="2"/>
  <c r="L115" i="2"/>
  <c r="J115" i="2"/>
  <c r="H115" i="2"/>
  <c r="E115" i="2"/>
  <c r="N115" i="2"/>
  <c r="K115" i="2"/>
  <c r="I115" i="2"/>
  <c r="F115" i="2"/>
  <c r="D115" i="2"/>
  <c r="N114" i="2"/>
  <c r="K114" i="2"/>
  <c r="I114" i="2"/>
  <c r="F114" i="2"/>
  <c r="D114" i="2"/>
  <c r="L114" i="2"/>
  <c r="J114" i="2"/>
  <c r="H114" i="2"/>
  <c r="E114" i="2"/>
  <c r="L113" i="2"/>
  <c r="J113" i="2"/>
  <c r="H113" i="2"/>
  <c r="E113" i="2"/>
  <c r="N113" i="2"/>
  <c r="K113" i="2"/>
  <c r="I113" i="2"/>
  <c r="F113" i="2"/>
  <c r="D113" i="2"/>
  <c r="N112" i="2"/>
  <c r="K112" i="2"/>
  <c r="I112" i="2"/>
  <c r="F112" i="2"/>
  <c r="D112" i="2"/>
  <c r="L112" i="2"/>
  <c r="J112" i="2"/>
  <c r="H112" i="2"/>
  <c r="E112" i="2"/>
  <c r="L111" i="2"/>
  <c r="J111" i="2"/>
  <c r="H111" i="2"/>
  <c r="E111" i="2"/>
  <c r="N111" i="2"/>
  <c r="K111" i="2"/>
  <c r="I111" i="2"/>
  <c r="F111" i="2"/>
  <c r="D111" i="2"/>
  <c r="N110" i="2"/>
  <c r="K110" i="2"/>
  <c r="I110" i="2"/>
  <c r="F110" i="2"/>
  <c r="D110" i="2"/>
  <c r="L110" i="2"/>
  <c r="J110" i="2"/>
  <c r="H110" i="2"/>
  <c r="E110" i="2"/>
  <c r="L127" i="2"/>
  <c r="J127" i="2"/>
  <c r="H127" i="2"/>
  <c r="E127" i="2"/>
  <c r="N127" i="2"/>
  <c r="K127" i="2"/>
  <c r="I127" i="2"/>
  <c r="F127" i="2"/>
  <c r="D127" i="2"/>
  <c r="N125" i="2"/>
  <c r="K125" i="2"/>
  <c r="I125" i="2"/>
  <c r="F125" i="2"/>
  <c r="D125" i="2"/>
  <c r="L125" i="2"/>
  <c r="J125" i="2"/>
  <c r="H125" i="2"/>
  <c r="E125" i="2"/>
  <c r="K87" i="6"/>
  <c r="L87" i="6"/>
  <c r="G87" i="6"/>
  <c r="K89" i="6"/>
  <c r="L89" i="6"/>
  <c r="G89" i="6"/>
  <c r="K91" i="6"/>
  <c r="L91" i="6"/>
  <c r="G91" i="6"/>
  <c r="K93" i="6"/>
  <c r="L93" i="6"/>
  <c r="G93" i="6"/>
  <c r="K126" i="6"/>
  <c r="L126" i="6"/>
  <c r="G126" i="6"/>
  <c r="K96" i="6"/>
  <c r="L96" i="6"/>
  <c r="G96" i="6"/>
  <c r="K98" i="6"/>
  <c r="L98" i="6"/>
  <c r="G98" i="6"/>
  <c r="K100" i="6"/>
  <c r="L100" i="6"/>
  <c r="G100" i="6"/>
  <c r="K102" i="6"/>
  <c r="L102" i="6"/>
  <c r="G102" i="6"/>
  <c r="L104" i="6"/>
  <c r="G104" i="6"/>
  <c r="K104" i="6"/>
  <c r="M110" i="6"/>
  <c r="K110" i="6"/>
  <c r="L110" i="6"/>
  <c r="G110" i="6"/>
  <c r="M112" i="6"/>
  <c r="K112" i="6"/>
  <c r="L112" i="6"/>
  <c r="G112" i="6"/>
  <c r="M114" i="6"/>
  <c r="K114" i="6"/>
  <c r="L114" i="6"/>
  <c r="G114" i="6"/>
  <c r="M116" i="6"/>
  <c r="K116" i="6"/>
  <c r="L116" i="6"/>
  <c r="G116" i="6"/>
  <c r="M118" i="6"/>
  <c r="K118" i="6"/>
  <c r="L118" i="6"/>
  <c r="G118" i="6"/>
  <c r="M120" i="6"/>
  <c r="K120" i="6"/>
  <c r="L120" i="6"/>
  <c r="G120" i="6"/>
  <c r="M122" i="6"/>
  <c r="K122" i="6"/>
  <c r="L122" i="6"/>
  <c r="G122" i="6"/>
  <c r="L123" i="6"/>
  <c r="G123" i="6"/>
  <c r="K123" i="6"/>
  <c r="M123" i="6"/>
  <c r="M125" i="6"/>
  <c r="K125" i="6"/>
  <c r="L125" i="6"/>
  <c r="G125" i="6"/>
  <c r="L127" i="6"/>
  <c r="G127" i="6"/>
  <c r="M127" i="6"/>
  <c r="K127" i="6"/>
  <c r="P84" i="2"/>
  <c r="I84" i="1" s="1"/>
  <c r="P83" i="2"/>
  <c r="I83" i="1" s="1"/>
  <c r="P82" i="2"/>
  <c r="I82" i="1" s="1"/>
  <c r="P81" i="2"/>
  <c r="I81" i="1" s="1"/>
  <c r="P80" i="2"/>
  <c r="I80" i="1" s="1"/>
  <c r="P79" i="2"/>
  <c r="I79" i="1" s="1"/>
  <c r="P78" i="2"/>
  <c r="I78" i="1" s="1"/>
  <c r="P76" i="2"/>
  <c r="I76" i="1" s="1"/>
  <c r="P75" i="2"/>
  <c r="I75" i="1" s="1"/>
  <c r="P74" i="2"/>
  <c r="I74" i="1" s="1"/>
  <c r="Q29" i="6"/>
  <c r="S29" i="6" s="1"/>
  <c r="G29" i="1" s="1"/>
  <c r="Q33" i="6"/>
  <c r="S33" i="6" s="1"/>
  <c r="G33" i="1" s="1"/>
  <c r="P5" i="2"/>
  <c r="I5" i="1" s="1"/>
  <c r="Q52" i="6"/>
  <c r="Q55" i="6"/>
  <c r="Q59" i="6"/>
  <c r="Q63" i="6"/>
  <c r="Q67" i="6"/>
  <c r="Q73" i="6"/>
  <c r="S4" i="6"/>
  <c r="G4" i="1" s="1"/>
  <c r="Q6" i="6"/>
  <c r="S6" i="6" s="1"/>
  <c r="G6" i="1" s="1"/>
  <c r="Q8" i="6"/>
  <c r="S8" i="6" s="1"/>
  <c r="G8" i="1" s="1"/>
  <c r="Q10" i="6"/>
  <c r="S10" i="6" s="1"/>
  <c r="G10" i="1" s="1"/>
  <c r="Q12" i="6"/>
  <c r="S12" i="6" s="1"/>
  <c r="G12" i="1" s="1"/>
  <c r="Q14" i="6"/>
  <c r="S14" i="6" s="1"/>
  <c r="G14" i="1" s="1"/>
  <c r="Q16" i="6"/>
  <c r="S16" i="6" s="1"/>
  <c r="G16" i="1" s="1"/>
  <c r="Q18" i="6"/>
  <c r="S18" i="6" s="1"/>
  <c r="G18" i="1" s="1"/>
  <c r="Q20" i="6"/>
  <c r="S20" i="6" s="1"/>
  <c r="G20" i="1" s="1"/>
  <c r="Q22" i="6"/>
  <c r="S22" i="6" s="1"/>
  <c r="G22" i="1" s="1"/>
  <c r="Q25" i="6"/>
  <c r="S25" i="6" s="1"/>
  <c r="G25" i="1" s="1"/>
  <c r="Q27" i="6"/>
  <c r="S27" i="6" s="1"/>
  <c r="G27" i="1" s="1"/>
  <c r="Q31" i="6"/>
  <c r="S31" i="6" s="1"/>
  <c r="G31" i="1" s="1"/>
  <c r="Q35" i="6"/>
  <c r="S35" i="6" s="1"/>
  <c r="G35" i="1" s="1"/>
  <c r="Q37" i="6"/>
  <c r="S37" i="6" s="1"/>
  <c r="G37" i="1" s="1"/>
  <c r="Q39" i="6"/>
  <c r="S39" i="6" s="1"/>
  <c r="G39" i="1" s="1"/>
  <c r="Q41" i="6"/>
  <c r="S41" i="6" s="1"/>
  <c r="G41" i="1" s="1"/>
  <c r="Q43" i="6"/>
  <c r="S43" i="6" s="1"/>
  <c r="G43" i="1" s="1"/>
  <c r="Q45" i="6"/>
  <c r="S45" i="6" s="1"/>
  <c r="G45" i="1" s="1"/>
  <c r="Q47" i="6"/>
  <c r="S47" i="6" s="1"/>
  <c r="G47" i="1" s="1"/>
  <c r="Q49" i="6"/>
  <c r="S49" i="6" s="1"/>
  <c r="G49" i="1" s="1"/>
  <c r="Q51" i="6"/>
  <c r="S51" i="6" s="1"/>
  <c r="G51" i="1" s="1"/>
  <c r="Q57" i="6"/>
  <c r="S57" i="6" s="1"/>
  <c r="G57" i="1" s="1"/>
  <c r="Q61" i="6"/>
  <c r="S61" i="6" s="1"/>
  <c r="G61" i="1" s="1"/>
  <c r="Q65" i="6"/>
  <c r="S65" i="6" s="1"/>
  <c r="G65" i="1" s="1"/>
  <c r="Q69" i="6"/>
  <c r="S69" i="6" s="1"/>
  <c r="G69" i="1" s="1"/>
  <c r="Q5" i="6"/>
  <c r="Q7" i="6"/>
  <c r="Q9" i="6"/>
  <c r="Q11" i="6"/>
  <c r="Q13" i="6"/>
  <c r="Q15" i="6"/>
  <c r="Q17" i="6"/>
  <c r="Q19" i="6"/>
  <c r="Q21" i="6"/>
  <c r="Q23" i="6"/>
  <c r="Q24" i="6"/>
  <c r="Q26" i="6"/>
  <c r="Q28" i="6"/>
  <c r="Q30" i="6"/>
  <c r="Q32" i="6"/>
  <c r="Q34" i="6"/>
  <c r="Q36" i="6"/>
  <c r="Q38" i="6"/>
  <c r="Q40" i="6"/>
  <c r="Q42" i="6"/>
  <c r="Q44" i="6"/>
  <c r="Q46" i="6"/>
  <c r="Q48" i="6"/>
  <c r="Q50" i="6"/>
  <c r="Q53" i="6"/>
  <c r="S53" i="6" s="1"/>
  <c r="G53" i="1" s="1"/>
  <c r="Q56" i="6"/>
  <c r="S56" i="6" s="1"/>
  <c r="G56" i="1" s="1"/>
  <c r="Q60" i="6"/>
  <c r="S60" i="6" s="1"/>
  <c r="G60" i="1" s="1"/>
  <c r="Q64" i="6"/>
  <c r="S64" i="6" s="1"/>
  <c r="G64" i="1" s="1"/>
  <c r="Q68" i="6"/>
  <c r="S68" i="6" s="1"/>
  <c r="G68" i="1" s="1"/>
  <c r="Q74" i="6"/>
  <c r="S74" i="6" s="1"/>
  <c r="Q76" i="6"/>
  <c r="S76" i="6" s="1"/>
  <c r="Q78" i="6"/>
  <c r="S78" i="6" s="1"/>
  <c r="Q80" i="6"/>
  <c r="S80" i="6" s="1"/>
  <c r="Q82" i="6"/>
  <c r="S82" i="6" s="1"/>
  <c r="Q84" i="6"/>
  <c r="S84" i="6" s="1"/>
  <c r="Q75" i="6"/>
  <c r="S75" i="6" s="1"/>
  <c r="Q77" i="6"/>
  <c r="S77" i="6" s="1"/>
  <c r="Q79" i="6"/>
  <c r="S79" i="6" s="1"/>
  <c r="Q81" i="6"/>
  <c r="S81" i="6" s="1"/>
  <c r="Q83" i="6"/>
  <c r="S83" i="6" s="1"/>
  <c r="P4" i="2"/>
  <c r="I4" i="1" s="1"/>
  <c r="J4" i="1" l="1"/>
  <c r="P96" i="6"/>
  <c r="E96" i="6" s="1"/>
  <c r="P89" i="6"/>
  <c r="E89" i="6" s="1"/>
  <c r="P125" i="6"/>
  <c r="E125" i="6" s="1"/>
  <c r="P122" i="6"/>
  <c r="E122" i="6" s="1"/>
  <c r="P116" i="6"/>
  <c r="E116" i="6" s="1"/>
  <c r="P114" i="6"/>
  <c r="E114" i="6" s="1"/>
  <c r="P112" i="6"/>
  <c r="E112" i="6" s="1"/>
  <c r="P110" i="6"/>
  <c r="E110" i="6" s="1"/>
  <c r="P100" i="6"/>
  <c r="E100" i="6" s="1"/>
  <c r="Q100" i="6" s="1"/>
  <c r="R100" i="6" s="1"/>
  <c r="P93" i="6"/>
  <c r="E93" i="6" s="1"/>
  <c r="P120" i="6"/>
  <c r="E120" i="6" s="1"/>
  <c r="P106" i="6"/>
  <c r="E106" i="6" s="1"/>
  <c r="P118" i="6"/>
  <c r="E118" i="6" s="1"/>
  <c r="G129" i="2"/>
  <c r="P99" i="6"/>
  <c r="E99" i="6" s="1"/>
  <c r="P95" i="6"/>
  <c r="E95" i="6" s="1"/>
  <c r="P92" i="6"/>
  <c r="E92" i="6" s="1"/>
  <c r="P88" i="6"/>
  <c r="E88" i="6" s="1"/>
  <c r="M129" i="2"/>
  <c r="F129" i="2"/>
  <c r="K129" i="2"/>
  <c r="E129" i="2"/>
  <c r="J129" i="2"/>
  <c r="I129" i="2"/>
  <c r="N129" i="2"/>
  <c r="H129" i="2"/>
  <c r="L129" i="2"/>
  <c r="D129" i="2"/>
  <c r="P123" i="6"/>
  <c r="E123" i="6" s="1"/>
  <c r="P121" i="6"/>
  <c r="E121" i="6" s="1"/>
  <c r="P119" i="6"/>
  <c r="E119" i="6" s="1"/>
  <c r="P117" i="6"/>
  <c r="E117" i="6" s="1"/>
  <c r="P115" i="6"/>
  <c r="E115" i="6" s="1"/>
  <c r="P113" i="6"/>
  <c r="E113" i="6" s="1"/>
  <c r="P111" i="6"/>
  <c r="E111" i="6" s="1"/>
  <c r="P109" i="6"/>
  <c r="E109" i="6" s="1"/>
  <c r="P127" i="6"/>
  <c r="E127" i="6" s="1"/>
  <c r="P104" i="6"/>
  <c r="E104" i="6" s="1"/>
  <c r="P102" i="6"/>
  <c r="E102" i="6" s="1"/>
  <c r="P98" i="6"/>
  <c r="E98" i="6" s="1"/>
  <c r="P126" i="6"/>
  <c r="E126" i="6" s="1"/>
  <c r="P91" i="6"/>
  <c r="E91" i="6" s="1"/>
  <c r="P87" i="6"/>
  <c r="E87" i="6" s="1"/>
  <c r="P103" i="6"/>
  <c r="E103" i="6" s="1"/>
  <c r="P101" i="6"/>
  <c r="E101" i="6" s="1"/>
  <c r="P97" i="6"/>
  <c r="E97" i="6" s="1"/>
  <c r="P94" i="6"/>
  <c r="E94" i="6" s="1"/>
  <c r="P90" i="6"/>
  <c r="E90" i="6" s="1"/>
  <c r="R26" i="6"/>
  <c r="F26" i="1" s="1"/>
  <c r="R23" i="6"/>
  <c r="F23" i="1" s="1"/>
  <c r="R19" i="6"/>
  <c r="F19" i="1" s="1"/>
  <c r="R15" i="6"/>
  <c r="F15" i="1" s="1"/>
  <c r="R11" i="6"/>
  <c r="F11" i="1" s="1"/>
  <c r="R7" i="6"/>
  <c r="F7" i="1" s="1"/>
  <c r="R32" i="6"/>
  <c r="F32" i="1" s="1"/>
  <c r="R73" i="6"/>
  <c r="R28" i="6"/>
  <c r="F28" i="1" s="1"/>
  <c r="R24" i="6"/>
  <c r="F24" i="1" s="1"/>
  <c r="R21" i="6"/>
  <c r="F21" i="1" s="1"/>
  <c r="R17" i="6"/>
  <c r="F17" i="1" s="1"/>
  <c r="R13" i="6"/>
  <c r="F13" i="1" s="1"/>
  <c r="R9" i="6"/>
  <c r="F9" i="1" s="1"/>
  <c r="R5" i="6"/>
  <c r="F5" i="1" s="1"/>
  <c r="R63" i="6"/>
  <c r="F63" i="1" s="1"/>
  <c r="R55" i="6"/>
  <c r="F55" i="1" s="1"/>
  <c r="R30" i="6"/>
  <c r="F30" i="1" s="1"/>
  <c r="F129" i="6"/>
  <c r="K129" i="6"/>
  <c r="G129" i="6"/>
  <c r="L129" i="6"/>
  <c r="M129" i="6"/>
  <c r="O5" i="2"/>
  <c r="Q5" i="2" s="1"/>
  <c r="O9" i="2"/>
  <c r="O13" i="2"/>
  <c r="O17" i="2"/>
  <c r="O21" i="2"/>
  <c r="O24" i="2"/>
  <c r="O28" i="2"/>
  <c r="O32" i="2"/>
  <c r="O36" i="2"/>
  <c r="O40" i="2"/>
  <c r="O44" i="2"/>
  <c r="O4" i="2"/>
  <c r="Q4" i="2" s="1"/>
  <c r="O8" i="2"/>
  <c r="O12" i="2"/>
  <c r="O16" i="2"/>
  <c r="O20" i="2"/>
  <c r="O27" i="2"/>
  <c r="O31" i="2"/>
  <c r="O35" i="2"/>
  <c r="O39" i="2"/>
  <c r="O43" i="2"/>
  <c r="O47" i="2"/>
  <c r="O51" i="2"/>
  <c r="O54" i="2"/>
  <c r="O58" i="2"/>
  <c r="O62" i="2"/>
  <c r="O66" i="2"/>
  <c r="O70" i="2"/>
  <c r="O76" i="2"/>
  <c r="O80" i="2"/>
  <c r="O84" i="2"/>
  <c r="O90" i="2"/>
  <c r="O94" i="2"/>
  <c r="O97" i="2"/>
  <c r="O101" i="2"/>
  <c r="O105" i="2"/>
  <c r="O112" i="2"/>
  <c r="O116" i="2"/>
  <c r="O120" i="2"/>
  <c r="O125" i="2"/>
  <c r="O50" i="2"/>
  <c r="O57" i="2"/>
  <c r="O61" i="2"/>
  <c r="O65" i="2"/>
  <c r="O69" i="2"/>
  <c r="O75" i="2"/>
  <c r="O79" i="2"/>
  <c r="O83" i="2"/>
  <c r="O89" i="2"/>
  <c r="O93" i="2"/>
  <c r="O96" i="2"/>
  <c r="O100" i="2"/>
  <c r="O104" i="2"/>
  <c r="O111" i="2"/>
  <c r="O115" i="2"/>
  <c r="O119" i="2"/>
  <c r="O123" i="2"/>
  <c r="O7" i="2"/>
  <c r="O11" i="2"/>
  <c r="O15" i="2"/>
  <c r="O19" i="2"/>
  <c r="O23" i="2"/>
  <c r="O26" i="2"/>
  <c r="O30" i="2"/>
  <c r="O34" i="2"/>
  <c r="O38" i="2"/>
  <c r="O42" i="2"/>
  <c r="O46" i="2"/>
  <c r="O6" i="2"/>
  <c r="O10" i="2"/>
  <c r="O14" i="2"/>
  <c r="O18" i="2"/>
  <c r="O22" i="2"/>
  <c r="O25" i="2"/>
  <c r="O29" i="2"/>
  <c r="O33" i="2"/>
  <c r="O37" i="2"/>
  <c r="O41" i="2"/>
  <c r="O45" i="2"/>
  <c r="O49" i="2"/>
  <c r="O53" i="2"/>
  <c r="O56" i="2"/>
  <c r="O60" i="2"/>
  <c r="O68" i="2"/>
  <c r="O74" i="2"/>
  <c r="O78" i="2"/>
  <c r="O82" i="2"/>
  <c r="O88" i="2"/>
  <c r="O92" i="2"/>
  <c r="O95" i="2"/>
  <c r="O99" i="2"/>
  <c r="O103" i="2"/>
  <c r="O110" i="2"/>
  <c r="O114" i="2"/>
  <c r="O118" i="2"/>
  <c r="O122" i="2"/>
  <c r="O48" i="2"/>
  <c r="O52" i="2"/>
  <c r="O55" i="2"/>
  <c r="O59" i="2"/>
  <c r="O63" i="2"/>
  <c r="O67" i="2"/>
  <c r="O73" i="2"/>
  <c r="O77" i="2"/>
  <c r="O81" i="2"/>
  <c r="O87" i="2"/>
  <c r="O91" i="2"/>
  <c r="O126" i="2"/>
  <c r="O98" i="2"/>
  <c r="O102" i="2"/>
  <c r="O109" i="2"/>
  <c r="O113" i="2"/>
  <c r="O117" i="2"/>
  <c r="O121" i="2"/>
  <c r="O127" i="2"/>
  <c r="P110" i="2"/>
  <c r="I111" i="1" s="1"/>
  <c r="P88" i="2"/>
  <c r="I88" i="1" s="1"/>
  <c r="R4" i="6"/>
  <c r="P87" i="2"/>
  <c r="I87" i="1" s="1"/>
  <c r="P73" i="2"/>
  <c r="I73" i="1" s="1"/>
  <c r="P77" i="2"/>
  <c r="I77" i="1" s="1"/>
  <c r="R35" i="6"/>
  <c r="R39" i="6"/>
  <c r="R41" i="6"/>
  <c r="R43" i="6"/>
  <c r="R47" i="6"/>
  <c r="R51" i="6"/>
  <c r="R53" i="6"/>
  <c r="R60" i="6"/>
  <c r="Q66" i="6"/>
  <c r="S66" i="6" s="1"/>
  <c r="G66" i="1" s="1"/>
  <c r="R68" i="6"/>
  <c r="Q58" i="6"/>
  <c r="S58" i="6" s="1"/>
  <c r="G58" i="1" s="1"/>
  <c r="R45" i="6"/>
  <c r="R37" i="6"/>
  <c r="R49" i="6"/>
  <c r="I110" i="1"/>
  <c r="Q54" i="6"/>
  <c r="R56" i="6"/>
  <c r="Q62" i="6"/>
  <c r="R64" i="6"/>
  <c r="Q70" i="6"/>
  <c r="R74" i="6"/>
  <c r="T74" i="6" s="1"/>
  <c r="R76" i="6"/>
  <c r="T76" i="6" s="1"/>
  <c r="R78" i="6"/>
  <c r="T78" i="6" s="1"/>
  <c r="R80" i="6"/>
  <c r="T80" i="6" s="1"/>
  <c r="R82" i="6"/>
  <c r="T82" i="6" s="1"/>
  <c r="R84" i="6"/>
  <c r="T84" i="6" s="1"/>
  <c r="R33" i="6"/>
  <c r="R31" i="6"/>
  <c r="R29" i="6"/>
  <c r="R27" i="6"/>
  <c r="R25" i="6"/>
  <c r="R22" i="6"/>
  <c r="R20" i="6"/>
  <c r="R18" i="6"/>
  <c r="R16" i="6"/>
  <c r="R14" i="6"/>
  <c r="R12" i="6"/>
  <c r="R10" i="6"/>
  <c r="R8" i="6"/>
  <c r="R6" i="6"/>
  <c r="R34" i="6"/>
  <c r="F34" i="1" s="1"/>
  <c r="R36" i="6"/>
  <c r="F36" i="1" s="1"/>
  <c r="R38" i="6"/>
  <c r="F38" i="1" s="1"/>
  <c r="R40" i="6"/>
  <c r="F40" i="1" s="1"/>
  <c r="R42" i="6"/>
  <c r="F42" i="1" s="1"/>
  <c r="R44" i="6"/>
  <c r="F44" i="1" s="1"/>
  <c r="R46" i="6"/>
  <c r="F46" i="1" s="1"/>
  <c r="R48" i="6"/>
  <c r="F48" i="1" s="1"/>
  <c r="R50" i="6"/>
  <c r="F50" i="1" s="1"/>
  <c r="R52" i="6"/>
  <c r="F52" i="1" s="1"/>
  <c r="R59" i="6"/>
  <c r="F59" i="1" s="1"/>
  <c r="R61" i="6"/>
  <c r="R67" i="6"/>
  <c r="F67" i="1" s="1"/>
  <c r="R69" i="6"/>
  <c r="R109" i="2"/>
  <c r="P6" i="2"/>
  <c r="I6" i="1" s="1"/>
  <c r="Q122" i="6"/>
  <c r="S122" i="6" s="1"/>
  <c r="Q121" i="6"/>
  <c r="S121" i="6" s="1"/>
  <c r="Q118" i="6"/>
  <c r="S118" i="6" s="1"/>
  <c r="Q116" i="6"/>
  <c r="S116" i="6" s="1"/>
  <c r="Q114" i="6"/>
  <c r="S114" i="6" s="1"/>
  <c r="Q110" i="6"/>
  <c r="S110" i="6" s="1"/>
  <c r="R83" i="6"/>
  <c r="T83" i="6" s="1"/>
  <c r="R81" i="6"/>
  <c r="T81" i="6" s="1"/>
  <c r="R79" i="6"/>
  <c r="T79" i="6" s="1"/>
  <c r="R77" i="6"/>
  <c r="T77" i="6" s="1"/>
  <c r="R75" i="6"/>
  <c r="T75" i="6" s="1"/>
  <c r="S73" i="6"/>
  <c r="S67" i="6"/>
  <c r="S63" i="6"/>
  <c r="S59" i="6"/>
  <c r="S55" i="6"/>
  <c r="S52" i="6"/>
  <c r="R65" i="6"/>
  <c r="R57" i="6"/>
  <c r="S50" i="6"/>
  <c r="S48" i="6"/>
  <c r="S46" i="6"/>
  <c r="S44" i="6"/>
  <c r="S42" i="6"/>
  <c r="S40" i="6"/>
  <c r="S38" i="6"/>
  <c r="S36" i="6"/>
  <c r="S34" i="6"/>
  <c r="S32" i="6"/>
  <c r="S30" i="6"/>
  <c r="S28" i="6"/>
  <c r="S26" i="6"/>
  <c r="S24" i="6"/>
  <c r="S23" i="6"/>
  <c r="S21" i="6"/>
  <c r="S19" i="6"/>
  <c r="S17" i="6"/>
  <c r="S15" i="6"/>
  <c r="S13" i="6"/>
  <c r="S11" i="6"/>
  <c r="S9" i="6"/>
  <c r="S7" i="6"/>
  <c r="S5" i="6"/>
  <c r="Q93" i="6"/>
  <c r="S93" i="6" s="1"/>
  <c r="R4" i="2"/>
  <c r="T4" i="6" l="1"/>
  <c r="F4" i="1"/>
  <c r="Q94" i="6"/>
  <c r="S94" i="6" s="1"/>
  <c r="Q101" i="6"/>
  <c r="S101" i="6" s="1"/>
  <c r="Q87" i="6"/>
  <c r="S87" i="6" s="1"/>
  <c r="Q126" i="6"/>
  <c r="S126" i="6" s="1"/>
  <c r="Q102" i="6"/>
  <c r="S102" i="6" s="1"/>
  <c r="Q127" i="6"/>
  <c r="S127" i="6" s="1"/>
  <c r="Q111" i="6"/>
  <c r="S111" i="6" s="1"/>
  <c r="Q115" i="6"/>
  <c r="S115" i="6" s="1"/>
  <c r="Q119" i="6"/>
  <c r="S119" i="6" s="1"/>
  <c r="Q123" i="6"/>
  <c r="S123" i="6" s="1"/>
  <c r="Q92" i="6"/>
  <c r="S92" i="6" s="1"/>
  <c r="Q99" i="6"/>
  <c r="S99" i="6" s="1"/>
  <c r="Q120" i="6"/>
  <c r="S120" i="6" s="1"/>
  <c r="Q112" i="6"/>
  <c r="S112" i="6" s="1"/>
  <c r="Q125" i="6"/>
  <c r="S125" i="6" s="1"/>
  <c r="G126" i="1" s="1"/>
  <c r="Q96" i="6"/>
  <c r="R96" i="6" s="1"/>
  <c r="Q90" i="6"/>
  <c r="S90" i="6" s="1"/>
  <c r="Q97" i="6"/>
  <c r="S97" i="6" s="1"/>
  <c r="Q103" i="6"/>
  <c r="S103" i="6" s="1"/>
  <c r="Q91" i="6"/>
  <c r="S91" i="6" s="1"/>
  <c r="Q98" i="6"/>
  <c r="S98" i="6" s="1"/>
  <c r="Q104" i="6"/>
  <c r="S104" i="6" s="1"/>
  <c r="Q109" i="6"/>
  <c r="S109" i="6" s="1"/>
  <c r="Q113" i="6"/>
  <c r="S113" i="6" s="1"/>
  <c r="Q117" i="6"/>
  <c r="S117" i="6" s="1"/>
  <c r="Q88" i="6"/>
  <c r="S88" i="6" s="1"/>
  <c r="Q95" i="6"/>
  <c r="S95" i="6" s="1"/>
  <c r="Q106" i="6"/>
  <c r="S106" i="6" s="1"/>
  <c r="Q89" i="6"/>
  <c r="R89" i="6" s="1"/>
  <c r="Q109" i="2"/>
  <c r="F110" i="1" s="1"/>
  <c r="O129" i="2"/>
  <c r="E129" i="6"/>
  <c r="Q129" i="6" s="1"/>
  <c r="R122" i="6"/>
  <c r="T122" i="6" s="1"/>
  <c r="R104" i="6"/>
  <c r="T73" i="6"/>
  <c r="R110" i="2"/>
  <c r="G111" i="1" s="1"/>
  <c r="Q110" i="2"/>
  <c r="F111" i="1" s="1"/>
  <c r="P111" i="2"/>
  <c r="P89" i="2"/>
  <c r="I89" i="1" s="1"/>
  <c r="R115" i="6"/>
  <c r="T115" i="6" s="1"/>
  <c r="R90" i="6"/>
  <c r="T90" i="6" s="1"/>
  <c r="R111" i="6"/>
  <c r="T111" i="6" s="1"/>
  <c r="R92" i="6"/>
  <c r="T92" i="6" s="1"/>
  <c r="R99" i="6"/>
  <c r="T99" i="6" s="1"/>
  <c r="R58" i="6"/>
  <c r="F58" i="1" s="1"/>
  <c r="R66" i="6"/>
  <c r="F66" i="1" s="1"/>
  <c r="P129" i="6"/>
  <c r="R114" i="6"/>
  <c r="T114" i="6" s="1"/>
  <c r="T10" i="6"/>
  <c r="F10" i="1"/>
  <c r="T25" i="6"/>
  <c r="F25" i="1"/>
  <c r="T33" i="6"/>
  <c r="F33" i="1"/>
  <c r="T49" i="6"/>
  <c r="F49" i="1"/>
  <c r="T64" i="6"/>
  <c r="F64" i="1"/>
  <c r="T6" i="6"/>
  <c r="F6" i="1"/>
  <c r="T14" i="6"/>
  <c r="F14" i="1"/>
  <c r="T22" i="6"/>
  <c r="F22" i="1"/>
  <c r="T29" i="6"/>
  <c r="F29" i="1"/>
  <c r="T37" i="6"/>
  <c r="F37" i="1"/>
  <c r="T45" i="6"/>
  <c r="F45" i="1"/>
  <c r="T56" i="6"/>
  <c r="F56" i="1"/>
  <c r="T7" i="6"/>
  <c r="G7" i="1"/>
  <c r="T11" i="6"/>
  <c r="G11" i="1"/>
  <c r="T15" i="6"/>
  <c r="G15" i="1"/>
  <c r="T19" i="6"/>
  <c r="G19" i="1"/>
  <c r="T23" i="6"/>
  <c r="G23" i="1"/>
  <c r="T26" i="6"/>
  <c r="G26" i="1"/>
  <c r="T30" i="6"/>
  <c r="G30" i="1"/>
  <c r="T34" i="6"/>
  <c r="G34" i="1"/>
  <c r="T38" i="6"/>
  <c r="G38" i="1"/>
  <c r="T42" i="6"/>
  <c r="G42" i="1"/>
  <c r="T46" i="6"/>
  <c r="G46" i="1"/>
  <c r="T50" i="6"/>
  <c r="G50" i="1"/>
  <c r="T61" i="6"/>
  <c r="F61" i="1"/>
  <c r="T8" i="6"/>
  <c r="F8" i="1"/>
  <c r="T16" i="6"/>
  <c r="F16" i="1"/>
  <c r="T31" i="6"/>
  <c r="F31" i="1"/>
  <c r="T39" i="6"/>
  <c r="F39" i="1"/>
  <c r="T47" i="6"/>
  <c r="F47" i="1"/>
  <c r="T57" i="6"/>
  <c r="F57" i="1"/>
  <c r="T52" i="6"/>
  <c r="G52" i="1"/>
  <c r="T59" i="6"/>
  <c r="G59" i="1"/>
  <c r="T67" i="6"/>
  <c r="G67" i="1"/>
  <c r="T53" i="6"/>
  <c r="F53" i="1"/>
  <c r="T68" i="6"/>
  <c r="F68" i="1"/>
  <c r="S70" i="6"/>
  <c r="G70" i="1" s="1"/>
  <c r="R70" i="6"/>
  <c r="S54" i="6"/>
  <c r="G54" i="1" s="1"/>
  <c r="R54" i="6"/>
  <c r="S100" i="6"/>
  <c r="T100" i="6" s="1"/>
  <c r="R110" i="6"/>
  <c r="T110" i="6" s="1"/>
  <c r="R118" i="6"/>
  <c r="T118" i="6" s="1"/>
  <c r="T18" i="6"/>
  <c r="F18" i="1"/>
  <c r="T41" i="6"/>
  <c r="F41" i="1"/>
  <c r="T5" i="6"/>
  <c r="G5" i="1"/>
  <c r="T9" i="6"/>
  <c r="G9" i="1"/>
  <c r="T13" i="6"/>
  <c r="G13" i="1"/>
  <c r="T17" i="6"/>
  <c r="G17" i="1"/>
  <c r="T21" i="6"/>
  <c r="G21" i="1"/>
  <c r="T24" i="6"/>
  <c r="G24" i="1"/>
  <c r="T28" i="6"/>
  <c r="G28" i="1"/>
  <c r="T32" i="6"/>
  <c r="G32" i="1"/>
  <c r="T36" i="6"/>
  <c r="G36" i="1"/>
  <c r="T40" i="6"/>
  <c r="G40" i="1"/>
  <c r="T44" i="6"/>
  <c r="G44" i="1"/>
  <c r="T48" i="6"/>
  <c r="G48" i="1"/>
  <c r="T69" i="6"/>
  <c r="F69" i="1"/>
  <c r="T12" i="6"/>
  <c r="F12" i="1"/>
  <c r="T20" i="6"/>
  <c r="F20" i="1"/>
  <c r="T27" i="6"/>
  <c r="F27" i="1"/>
  <c r="T35" i="6"/>
  <c r="F35" i="1"/>
  <c r="T43" i="6"/>
  <c r="F43" i="1"/>
  <c r="T51" i="6"/>
  <c r="F51" i="1"/>
  <c r="T65" i="6"/>
  <c r="F65" i="1"/>
  <c r="T55" i="6"/>
  <c r="G55" i="1"/>
  <c r="T63" i="6"/>
  <c r="G63" i="1"/>
  <c r="T60" i="6"/>
  <c r="F60" i="1"/>
  <c r="S62" i="6"/>
  <c r="G62" i="1" s="1"/>
  <c r="R62" i="6"/>
  <c r="R121" i="6"/>
  <c r="T121" i="6" s="1"/>
  <c r="R116" i="6"/>
  <c r="T116" i="6" s="1"/>
  <c r="P7" i="2"/>
  <c r="I7" i="1" s="1"/>
  <c r="Q6" i="2"/>
  <c r="R93" i="6"/>
  <c r="T93" i="6" s="1"/>
  <c r="G110" i="1"/>
  <c r="R94" i="6" l="1"/>
  <c r="T94" i="6" s="1"/>
  <c r="R87" i="6"/>
  <c r="T87" i="6" s="1"/>
  <c r="R95" i="6"/>
  <c r="T95" i="6" s="1"/>
  <c r="R101" i="6"/>
  <c r="T101" i="6" s="1"/>
  <c r="R125" i="6"/>
  <c r="F126" i="1" s="1"/>
  <c r="R103" i="6"/>
  <c r="T103" i="6" s="1"/>
  <c r="S89" i="6"/>
  <c r="T89" i="6" s="1"/>
  <c r="R98" i="6"/>
  <c r="T98" i="6" s="1"/>
  <c r="R102" i="6"/>
  <c r="T102" i="6" s="1"/>
  <c r="T104" i="6"/>
  <c r="R117" i="6"/>
  <c r="T117" i="6" s="1"/>
  <c r="R113" i="6"/>
  <c r="T113" i="6" s="1"/>
  <c r="R126" i="6"/>
  <c r="T126" i="6" s="1"/>
  <c r="R120" i="6"/>
  <c r="T120" i="6" s="1"/>
  <c r="R119" i="6"/>
  <c r="T119" i="6" s="1"/>
  <c r="R112" i="6"/>
  <c r="T112" i="6" s="1"/>
  <c r="R109" i="6"/>
  <c r="T109" i="6" s="1"/>
  <c r="R127" i="6"/>
  <c r="T127" i="6" s="1"/>
  <c r="S96" i="6"/>
  <c r="T96" i="6" s="1"/>
  <c r="R123" i="6"/>
  <c r="T123" i="6" s="1"/>
  <c r="R97" i="6"/>
  <c r="T97" i="6" s="1"/>
  <c r="R91" i="6"/>
  <c r="T91" i="6" s="1"/>
  <c r="R88" i="6"/>
  <c r="T88" i="6" s="1"/>
  <c r="R106" i="6"/>
  <c r="T106" i="6" s="1"/>
  <c r="S109" i="2"/>
  <c r="T58" i="6"/>
  <c r="T66" i="6"/>
  <c r="S110" i="2"/>
  <c r="P112" i="2"/>
  <c r="I112" i="1"/>
  <c r="R111" i="2"/>
  <c r="G112" i="1" s="1"/>
  <c r="Q111" i="2"/>
  <c r="P90" i="2"/>
  <c r="I90" i="1" s="1"/>
  <c r="R129" i="6"/>
  <c r="T125" i="6"/>
  <c r="T62" i="6"/>
  <c r="F62" i="1"/>
  <c r="T54" i="6"/>
  <c r="F54" i="1"/>
  <c r="T70" i="6"/>
  <c r="F70" i="1"/>
  <c r="S129" i="6"/>
  <c r="P8" i="2"/>
  <c r="I8" i="1" s="1"/>
  <c r="Q7" i="2"/>
  <c r="P91" i="2" l="1"/>
  <c r="I91" i="1" s="1"/>
  <c r="F112" i="1"/>
  <c r="S111" i="2"/>
  <c r="I113" i="1"/>
  <c r="R112" i="2"/>
  <c r="G113" i="1" s="1"/>
  <c r="Q112" i="2"/>
  <c r="P113" i="2"/>
  <c r="P9" i="2"/>
  <c r="I9" i="1" s="1"/>
  <c r="Q8" i="2"/>
  <c r="P92" i="2" l="1"/>
  <c r="I92" i="1" s="1"/>
  <c r="P114" i="2"/>
  <c r="I114" i="1"/>
  <c r="R113" i="2"/>
  <c r="G114" i="1" s="1"/>
  <c r="Q113" i="2"/>
  <c r="F113" i="1"/>
  <c r="S112" i="2"/>
  <c r="P10" i="2"/>
  <c r="I10" i="1" s="1"/>
  <c r="Q9" i="2"/>
  <c r="P93" i="2" l="1"/>
  <c r="I93" i="1" s="1"/>
  <c r="P115" i="2"/>
  <c r="F114" i="1"/>
  <c r="S113" i="2"/>
  <c r="I115" i="1"/>
  <c r="R114" i="2"/>
  <c r="G115" i="1" s="1"/>
  <c r="Q114" i="2"/>
  <c r="P11" i="2"/>
  <c r="I11" i="1" s="1"/>
  <c r="Q10" i="2"/>
  <c r="P94" i="2" l="1"/>
  <c r="I94" i="1" s="1"/>
  <c r="I116" i="1"/>
  <c r="R115" i="2"/>
  <c r="G116" i="1" s="1"/>
  <c r="Q115" i="2"/>
  <c r="F115" i="1"/>
  <c r="S114" i="2"/>
  <c r="P116" i="2"/>
  <c r="Q11" i="2"/>
  <c r="P12" i="2"/>
  <c r="I12" i="1" s="1"/>
  <c r="I117" i="1" l="1"/>
  <c r="R116" i="2"/>
  <c r="G117" i="1" s="1"/>
  <c r="Q116" i="2"/>
  <c r="P126" i="2"/>
  <c r="I127" i="1" s="1"/>
  <c r="P117" i="2"/>
  <c r="F116" i="1"/>
  <c r="S115" i="2"/>
  <c r="Q12" i="2"/>
  <c r="P13" i="2"/>
  <c r="I13" i="1" s="1"/>
  <c r="P118" i="2" l="1"/>
  <c r="F117" i="1"/>
  <c r="S116" i="2"/>
  <c r="I118" i="1"/>
  <c r="R117" i="2"/>
  <c r="G118" i="1" s="1"/>
  <c r="Q117" i="2"/>
  <c r="P95" i="2"/>
  <c r="I95" i="1" s="1"/>
  <c r="P14" i="2"/>
  <c r="I14" i="1" s="1"/>
  <c r="Q13" i="2"/>
  <c r="P96" i="2" l="1"/>
  <c r="I96" i="1" s="1"/>
  <c r="F118" i="1"/>
  <c r="S117" i="2"/>
  <c r="I119" i="1"/>
  <c r="R118" i="2"/>
  <c r="G119" i="1" s="1"/>
  <c r="Q118" i="2"/>
  <c r="P119" i="2"/>
  <c r="P15" i="2"/>
  <c r="I15" i="1" s="1"/>
  <c r="Q14" i="2"/>
  <c r="P97" i="2" l="1"/>
  <c r="I97" i="1" s="1"/>
  <c r="P120" i="2"/>
  <c r="I120" i="1"/>
  <c r="R119" i="2"/>
  <c r="G120" i="1" s="1"/>
  <c r="Q119" i="2"/>
  <c r="F119" i="1"/>
  <c r="S118" i="2"/>
  <c r="P16" i="2"/>
  <c r="I16" i="1" s="1"/>
  <c r="Q15" i="2"/>
  <c r="P98" i="2" l="1"/>
  <c r="I98" i="1" s="1"/>
  <c r="P121" i="2"/>
  <c r="F120" i="1"/>
  <c r="S119" i="2"/>
  <c r="I121" i="1"/>
  <c r="R120" i="2"/>
  <c r="G121" i="1" s="1"/>
  <c r="Q120" i="2"/>
  <c r="P17" i="2"/>
  <c r="I17" i="1" s="1"/>
  <c r="Q16" i="2"/>
  <c r="P99" i="2" l="1"/>
  <c r="I99" i="1" s="1"/>
  <c r="I122" i="1"/>
  <c r="R121" i="2"/>
  <c r="G122" i="1" s="1"/>
  <c r="Q121" i="2"/>
  <c r="F121" i="1"/>
  <c r="S120" i="2"/>
  <c r="P122" i="2"/>
  <c r="P18" i="2"/>
  <c r="I18" i="1" s="1"/>
  <c r="Q17" i="2"/>
  <c r="P100" i="2" l="1"/>
  <c r="I100" i="1" s="1"/>
  <c r="I123" i="1"/>
  <c r="R122" i="2"/>
  <c r="G123" i="1" s="1"/>
  <c r="Q122" i="2"/>
  <c r="P123" i="2"/>
  <c r="F122" i="1"/>
  <c r="S121" i="2"/>
  <c r="P19" i="2"/>
  <c r="I19" i="1" s="1"/>
  <c r="Q18" i="2"/>
  <c r="P101" i="2" l="1"/>
  <c r="I101" i="1" s="1"/>
  <c r="P125" i="2"/>
  <c r="P127" i="2"/>
  <c r="I124" i="1"/>
  <c r="R123" i="2"/>
  <c r="G124" i="1" s="1"/>
  <c r="Q123" i="2"/>
  <c r="F123" i="1"/>
  <c r="S122" i="2"/>
  <c r="P20" i="2"/>
  <c r="I20" i="1" s="1"/>
  <c r="Q19" i="2"/>
  <c r="P102" i="2" l="1"/>
  <c r="I128" i="1"/>
  <c r="R127" i="2"/>
  <c r="G128" i="1" s="1"/>
  <c r="Q127" i="2"/>
  <c r="F124" i="1"/>
  <c r="S123" i="2"/>
  <c r="I126" i="1"/>
  <c r="R125" i="2"/>
  <c r="G125" i="1" s="1"/>
  <c r="J125" i="1" s="1"/>
  <c r="L125" i="1" s="1"/>
  <c r="Q125" i="2"/>
  <c r="F125" i="1" s="1"/>
  <c r="K125" i="1" s="1"/>
  <c r="Q20" i="2"/>
  <c r="P21" i="2"/>
  <c r="I21" i="1" s="1"/>
  <c r="S125" i="2" l="1"/>
  <c r="Q102" i="2"/>
  <c r="F102" i="1" s="1"/>
  <c r="P103" i="2"/>
  <c r="I103" i="1" s="1"/>
  <c r="F128" i="1"/>
  <c r="S127" i="2"/>
  <c r="I102" i="1"/>
  <c r="R102" i="2"/>
  <c r="G102" i="1" s="1"/>
  <c r="P22" i="2"/>
  <c r="I22" i="1" s="1"/>
  <c r="Q21" i="2"/>
  <c r="P104" i="2" l="1"/>
  <c r="I104" i="1" s="1"/>
  <c r="S102" i="2"/>
  <c r="P23" i="2"/>
  <c r="I23" i="1" s="1"/>
  <c r="Q22" i="2"/>
  <c r="P105" i="2" l="1"/>
  <c r="Q23" i="2"/>
  <c r="I106" i="1" l="1"/>
  <c r="I105" i="1"/>
  <c r="P24" i="2"/>
  <c r="I24" i="1" s="1"/>
  <c r="K105" i="1" l="1"/>
  <c r="J105" i="1"/>
  <c r="L105" i="1" s="1"/>
  <c r="P25" i="2"/>
  <c r="I25" i="1" s="1"/>
  <c r="Q24" i="2"/>
  <c r="P26" i="2" l="1"/>
  <c r="I26" i="1" s="1"/>
  <c r="Q25" i="2"/>
  <c r="P27" i="2" l="1"/>
  <c r="I27" i="1" s="1"/>
  <c r="Q26" i="2"/>
  <c r="P28" i="2" l="1"/>
  <c r="I28" i="1" s="1"/>
  <c r="Q27" i="2"/>
  <c r="P29" i="2" l="1"/>
  <c r="I29" i="1" s="1"/>
  <c r="Q28" i="2"/>
  <c r="P30" i="2" l="1"/>
  <c r="I30" i="1" s="1"/>
  <c r="Q29" i="2"/>
  <c r="P31" i="2" l="1"/>
  <c r="I31" i="1" s="1"/>
  <c r="Q30" i="2"/>
  <c r="P32" i="2" l="1"/>
  <c r="I32" i="1" s="1"/>
  <c r="Q31" i="2"/>
  <c r="P33" i="2" l="1"/>
  <c r="I33" i="1" s="1"/>
  <c r="Q32" i="2"/>
  <c r="P34" i="2" l="1"/>
  <c r="I34" i="1" s="1"/>
  <c r="Q33" i="2"/>
  <c r="P35" i="2" l="1"/>
  <c r="I35" i="1" s="1"/>
  <c r="Q34" i="2"/>
  <c r="P36" i="2" l="1"/>
  <c r="I36" i="1" s="1"/>
  <c r="Q35" i="2"/>
  <c r="P37" i="2" l="1"/>
  <c r="I37" i="1" s="1"/>
  <c r="Q36" i="2"/>
  <c r="P38" i="2" l="1"/>
  <c r="I38" i="1" s="1"/>
  <c r="Q37" i="2"/>
  <c r="P39" i="2" l="1"/>
  <c r="I39" i="1" s="1"/>
  <c r="Q38" i="2"/>
  <c r="P40" i="2" l="1"/>
  <c r="I40" i="1" s="1"/>
  <c r="Q39" i="2"/>
  <c r="P41" i="2" l="1"/>
  <c r="I41" i="1" s="1"/>
  <c r="Q40" i="2"/>
  <c r="W128" i="1"/>
  <c r="U128" i="1"/>
  <c r="V128" i="1" s="1"/>
  <c r="W126" i="1"/>
  <c r="U126" i="1"/>
  <c r="V126" i="1" s="1"/>
  <c r="W124" i="1"/>
  <c r="U124" i="1"/>
  <c r="V124" i="1" s="1"/>
  <c r="J124" i="1"/>
  <c r="L124" i="1" s="1"/>
  <c r="W123" i="1"/>
  <c r="U123" i="1"/>
  <c r="V123" i="1" s="1"/>
  <c r="J123" i="1"/>
  <c r="L123" i="1" s="1"/>
  <c r="W122" i="1"/>
  <c r="U122" i="1"/>
  <c r="V122" i="1" s="1"/>
  <c r="J122" i="1"/>
  <c r="L122" i="1" s="1"/>
  <c r="W121" i="1"/>
  <c r="U121" i="1"/>
  <c r="V121" i="1" s="1"/>
  <c r="J121" i="1"/>
  <c r="L121" i="1" s="1"/>
  <c r="W120" i="1"/>
  <c r="U120" i="1"/>
  <c r="V120" i="1" s="1"/>
  <c r="J120" i="1"/>
  <c r="L120" i="1" s="1"/>
  <c r="W119" i="1"/>
  <c r="U119" i="1"/>
  <c r="V119" i="1" s="1"/>
  <c r="J119" i="1"/>
  <c r="L119" i="1" s="1"/>
  <c r="W118" i="1"/>
  <c r="U118" i="1"/>
  <c r="V118" i="1" s="1"/>
  <c r="J118" i="1"/>
  <c r="L118" i="1" s="1"/>
  <c r="W117" i="1"/>
  <c r="U117" i="1"/>
  <c r="V117" i="1" s="1"/>
  <c r="J117" i="1"/>
  <c r="L117" i="1" s="1"/>
  <c r="W116" i="1"/>
  <c r="U116" i="1"/>
  <c r="V116" i="1" s="1"/>
  <c r="J116" i="1"/>
  <c r="L116" i="1" s="1"/>
  <c r="W115" i="1"/>
  <c r="U115" i="1"/>
  <c r="V115" i="1" s="1"/>
  <c r="J115" i="1"/>
  <c r="L115" i="1" s="1"/>
  <c r="W114" i="1"/>
  <c r="U114" i="1"/>
  <c r="V114" i="1" s="1"/>
  <c r="J114" i="1"/>
  <c r="L114" i="1" s="1"/>
  <c r="W113" i="1"/>
  <c r="U113" i="1"/>
  <c r="V113" i="1" s="1"/>
  <c r="J113" i="1"/>
  <c r="L113" i="1" s="1"/>
  <c r="W112" i="1"/>
  <c r="U112" i="1"/>
  <c r="V112" i="1" s="1"/>
  <c r="J112" i="1"/>
  <c r="L112" i="1" s="1"/>
  <c r="W111" i="1"/>
  <c r="U111" i="1"/>
  <c r="V111" i="1" s="1"/>
  <c r="J111" i="1"/>
  <c r="L111" i="1" s="1"/>
  <c r="W110" i="1"/>
  <c r="U110" i="1"/>
  <c r="V110" i="1" s="1"/>
  <c r="J110" i="1"/>
  <c r="V109" i="1"/>
  <c r="V108" i="1"/>
  <c r="W106" i="1"/>
  <c r="U106" i="1"/>
  <c r="V106" i="1" s="1"/>
  <c r="W104" i="1"/>
  <c r="U104" i="1"/>
  <c r="V104" i="1" s="1"/>
  <c r="W103" i="1"/>
  <c r="U103" i="1"/>
  <c r="V103" i="1" s="1"/>
  <c r="W102" i="1"/>
  <c r="U102" i="1"/>
  <c r="V102" i="1" s="1"/>
  <c r="W101" i="1"/>
  <c r="U101" i="1"/>
  <c r="V101" i="1" s="1"/>
  <c r="W100" i="1"/>
  <c r="U100" i="1"/>
  <c r="V100" i="1" s="1"/>
  <c r="W99" i="1"/>
  <c r="U99" i="1"/>
  <c r="V99" i="1" s="1"/>
  <c r="W98" i="1"/>
  <c r="U98" i="1"/>
  <c r="V98" i="1" s="1"/>
  <c r="W97" i="1"/>
  <c r="U97" i="1"/>
  <c r="V97" i="1" s="1"/>
  <c r="W96" i="1"/>
  <c r="U96" i="1"/>
  <c r="V96" i="1" s="1"/>
  <c r="W95" i="1"/>
  <c r="U95" i="1"/>
  <c r="V95" i="1" s="1"/>
  <c r="W94" i="1"/>
  <c r="U94" i="1"/>
  <c r="V94" i="1" s="1"/>
  <c r="W93" i="1"/>
  <c r="U93" i="1"/>
  <c r="V93" i="1" s="1"/>
  <c r="W92" i="1"/>
  <c r="U92" i="1"/>
  <c r="V92" i="1" s="1"/>
  <c r="W91" i="1"/>
  <c r="U91" i="1"/>
  <c r="V91" i="1" s="1"/>
  <c r="W90" i="1"/>
  <c r="U90" i="1"/>
  <c r="V90" i="1" s="1"/>
  <c r="W89" i="1"/>
  <c r="U89" i="1"/>
  <c r="V89" i="1" s="1"/>
  <c r="W88" i="1"/>
  <c r="U88" i="1"/>
  <c r="V88" i="1" s="1"/>
  <c r="W87" i="1"/>
  <c r="U87" i="1"/>
  <c r="V87" i="1" s="1"/>
  <c r="V86" i="1"/>
  <c r="V85" i="1"/>
  <c r="W84" i="1"/>
  <c r="U84" i="1"/>
  <c r="V84" i="1" s="1"/>
  <c r="W83" i="1"/>
  <c r="U83" i="1"/>
  <c r="V83" i="1" s="1"/>
  <c r="W82" i="1"/>
  <c r="U82" i="1"/>
  <c r="V82" i="1" s="1"/>
  <c r="W81" i="1"/>
  <c r="U81" i="1"/>
  <c r="V81" i="1" s="1"/>
  <c r="W80" i="1"/>
  <c r="U80" i="1"/>
  <c r="V80" i="1" s="1"/>
  <c r="W79" i="1"/>
  <c r="U79" i="1"/>
  <c r="V79" i="1" s="1"/>
  <c r="W78" i="1"/>
  <c r="U78" i="1"/>
  <c r="V78" i="1" s="1"/>
  <c r="W77" i="1"/>
  <c r="U77" i="1"/>
  <c r="V77" i="1" s="1"/>
  <c r="W76" i="1"/>
  <c r="U76" i="1"/>
  <c r="V76" i="1" s="1"/>
  <c r="W75" i="1"/>
  <c r="U75" i="1"/>
  <c r="V75" i="1" s="1"/>
  <c r="W74" i="1"/>
  <c r="U74" i="1"/>
  <c r="V74" i="1" s="1"/>
  <c r="W73" i="1"/>
  <c r="U73" i="1"/>
  <c r="V73" i="1" s="1"/>
  <c r="V72" i="1"/>
  <c r="V71" i="1"/>
  <c r="W70" i="1"/>
  <c r="U70" i="1"/>
  <c r="V70" i="1" s="1"/>
  <c r="W69" i="1"/>
  <c r="U69" i="1"/>
  <c r="V69" i="1" s="1"/>
  <c r="W68" i="1"/>
  <c r="U68" i="1"/>
  <c r="V68" i="1" s="1"/>
  <c r="W67" i="1"/>
  <c r="U67" i="1"/>
  <c r="V67" i="1" s="1"/>
  <c r="W66" i="1"/>
  <c r="U66" i="1"/>
  <c r="V66" i="1" s="1"/>
  <c r="W65" i="1"/>
  <c r="U65" i="1"/>
  <c r="V65" i="1" s="1"/>
  <c r="W64" i="1"/>
  <c r="U64" i="1"/>
  <c r="V64" i="1" s="1"/>
  <c r="W63" i="1"/>
  <c r="U63" i="1"/>
  <c r="V63" i="1" s="1"/>
  <c r="W62" i="1"/>
  <c r="U62" i="1"/>
  <c r="V62" i="1" s="1"/>
  <c r="W61" i="1"/>
  <c r="U61" i="1"/>
  <c r="V61" i="1" s="1"/>
  <c r="W60" i="1"/>
  <c r="U60" i="1"/>
  <c r="V60" i="1" s="1"/>
  <c r="W59" i="1"/>
  <c r="U59" i="1"/>
  <c r="V59" i="1" s="1"/>
  <c r="W58" i="1"/>
  <c r="U58" i="1"/>
  <c r="V58" i="1" s="1"/>
  <c r="W57" i="1"/>
  <c r="U57" i="1"/>
  <c r="V57" i="1" s="1"/>
  <c r="W56" i="1"/>
  <c r="U56" i="1"/>
  <c r="V56" i="1" s="1"/>
  <c r="W55" i="1"/>
  <c r="U55" i="1"/>
  <c r="V55" i="1" s="1"/>
  <c r="W54" i="1"/>
  <c r="U54" i="1"/>
  <c r="V54" i="1" s="1"/>
  <c r="W53" i="1"/>
  <c r="U53" i="1"/>
  <c r="V53" i="1" s="1"/>
  <c r="W52" i="1"/>
  <c r="U52" i="1"/>
  <c r="V52" i="1" s="1"/>
  <c r="W51" i="1"/>
  <c r="U51" i="1"/>
  <c r="V51" i="1" s="1"/>
  <c r="W50" i="1"/>
  <c r="U50" i="1"/>
  <c r="V50" i="1" s="1"/>
  <c r="W49" i="1"/>
  <c r="U49" i="1"/>
  <c r="V49" i="1" s="1"/>
  <c r="W48" i="1"/>
  <c r="U48" i="1"/>
  <c r="V48" i="1" s="1"/>
  <c r="W47" i="1"/>
  <c r="U47" i="1"/>
  <c r="V47" i="1" s="1"/>
  <c r="W46" i="1"/>
  <c r="U46" i="1"/>
  <c r="V46" i="1" s="1"/>
  <c r="W45" i="1"/>
  <c r="U45" i="1"/>
  <c r="V45" i="1" s="1"/>
  <c r="W44" i="1"/>
  <c r="U44" i="1"/>
  <c r="V44" i="1" s="1"/>
  <c r="W43" i="1"/>
  <c r="U43" i="1"/>
  <c r="V43" i="1" s="1"/>
  <c r="W42" i="1"/>
  <c r="U42" i="1"/>
  <c r="V42" i="1" s="1"/>
  <c r="W41" i="1"/>
  <c r="U41" i="1"/>
  <c r="V41" i="1" s="1"/>
  <c r="W40" i="1"/>
  <c r="U40" i="1"/>
  <c r="V40" i="1" s="1"/>
  <c r="W39" i="1"/>
  <c r="U39" i="1"/>
  <c r="V39" i="1" s="1"/>
  <c r="W38" i="1"/>
  <c r="U38" i="1"/>
  <c r="V38" i="1" s="1"/>
  <c r="W37" i="1"/>
  <c r="U37" i="1"/>
  <c r="V37" i="1" s="1"/>
  <c r="W36" i="1"/>
  <c r="U36" i="1"/>
  <c r="V36" i="1" s="1"/>
  <c r="W35" i="1"/>
  <c r="U35" i="1"/>
  <c r="V35" i="1" s="1"/>
  <c r="W34" i="1"/>
  <c r="U34" i="1"/>
  <c r="V34" i="1" s="1"/>
  <c r="W33" i="1"/>
  <c r="U33" i="1"/>
  <c r="V33" i="1" s="1"/>
  <c r="W32" i="1"/>
  <c r="U32" i="1"/>
  <c r="V32" i="1" s="1"/>
  <c r="W31" i="1"/>
  <c r="U31" i="1"/>
  <c r="V31" i="1" s="1"/>
  <c r="W30" i="1"/>
  <c r="U30" i="1"/>
  <c r="V30" i="1" s="1"/>
  <c r="W29" i="1"/>
  <c r="U29" i="1"/>
  <c r="V29" i="1" s="1"/>
  <c r="W28" i="1"/>
  <c r="U28" i="1"/>
  <c r="V28" i="1" s="1"/>
  <c r="W27" i="1"/>
  <c r="U27" i="1"/>
  <c r="V27" i="1" s="1"/>
  <c r="W26" i="1"/>
  <c r="U26" i="1"/>
  <c r="V26" i="1" s="1"/>
  <c r="W25" i="1"/>
  <c r="U25" i="1"/>
  <c r="V25" i="1" s="1"/>
  <c r="W24" i="1"/>
  <c r="U24" i="1"/>
  <c r="V24" i="1" s="1"/>
  <c r="W23" i="1"/>
  <c r="U23" i="1"/>
  <c r="V23" i="1" s="1"/>
  <c r="W22" i="1"/>
  <c r="U22" i="1"/>
  <c r="V22" i="1" s="1"/>
  <c r="W21" i="1"/>
  <c r="U21" i="1"/>
  <c r="V21" i="1" s="1"/>
  <c r="W20" i="1"/>
  <c r="U20" i="1"/>
  <c r="V20" i="1" s="1"/>
  <c r="W19" i="1"/>
  <c r="U19" i="1"/>
  <c r="V19" i="1" s="1"/>
  <c r="W18" i="1"/>
  <c r="U18" i="1"/>
  <c r="V18" i="1" s="1"/>
  <c r="W17" i="1"/>
  <c r="U17" i="1"/>
  <c r="V17" i="1" s="1"/>
  <c r="W16" i="1"/>
  <c r="U16" i="1"/>
  <c r="V16" i="1" s="1"/>
  <c r="W15" i="1"/>
  <c r="U15" i="1"/>
  <c r="V15" i="1" s="1"/>
  <c r="W14" i="1"/>
  <c r="U14" i="1"/>
  <c r="V14" i="1" s="1"/>
  <c r="W13" i="1"/>
  <c r="U13" i="1"/>
  <c r="V13" i="1" s="1"/>
  <c r="W12" i="1"/>
  <c r="U12" i="1"/>
  <c r="V12" i="1" s="1"/>
  <c r="W11" i="1"/>
  <c r="U11" i="1"/>
  <c r="V11" i="1" s="1"/>
  <c r="W10" i="1"/>
  <c r="U10" i="1"/>
  <c r="V10" i="1" s="1"/>
  <c r="W9" i="1"/>
  <c r="U9" i="1"/>
  <c r="V9" i="1" s="1"/>
  <c r="W8" i="1"/>
  <c r="U8" i="1"/>
  <c r="V8" i="1" s="1"/>
  <c r="W7" i="1"/>
  <c r="U7" i="1"/>
  <c r="V7" i="1" s="1"/>
  <c r="W6" i="1"/>
  <c r="U6" i="1"/>
  <c r="V6" i="1" s="1"/>
  <c r="W5" i="1"/>
  <c r="U5" i="1"/>
  <c r="V5" i="1" s="1"/>
  <c r="W4" i="1"/>
  <c r="U4" i="1"/>
  <c r="V4" i="1" s="1"/>
  <c r="P42" i="2" l="1"/>
  <c r="I42" i="1" s="1"/>
  <c r="Q41" i="2"/>
  <c r="R5" i="2"/>
  <c r="J5" i="1" s="1"/>
  <c r="L5" i="1" s="1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74" i="2"/>
  <c r="G74" i="1" s="1"/>
  <c r="R76" i="2"/>
  <c r="G76" i="1" s="1"/>
  <c r="R78" i="2"/>
  <c r="G78" i="1" s="1"/>
  <c r="R80" i="2"/>
  <c r="G80" i="1" s="1"/>
  <c r="R82" i="2"/>
  <c r="G82" i="1" s="1"/>
  <c r="R84" i="2"/>
  <c r="G84" i="1" s="1"/>
  <c r="R88" i="2"/>
  <c r="G88" i="1" s="1"/>
  <c r="R90" i="2"/>
  <c r="G90" i="1" s="1"/>
  <c r="R92" i="2"/>
  <c r="G92" i="1" s="1"/>
  <c r="R94" i="2"/>
  <c r="G94" i="1" s="1"/>
  <c r="R95" i="2"/>
  <c r="G95" i="1" s="1"/>
  <c r="J95" i="1" s="1"/>
  <c r="R98" i="2"/>
  <c r="G98" i="1" s="1"/>
  <c r="R100" i="2"/>
  <c r="G100" i="1" s="1"/>
  <c r="R103" i="2"/>
  <c r="G103" i="1" s="1"/>
  <c r="R25" i="2"/>
  <c r="R27" i="2"/>
  <c r="R29" i="2"/>
  <c r="R31" i="2"/>
  <c r="R33" i="2"/>
  <c r="R35" i="2"/>
  <c r="R37" i="2"/>
  <c r="R39" i="2"/>
  <c r="R41" i="2"/>
  <c r="K30" i="1"/>
  <c r="L110" i="1"/>
  <c r="K32" i="1"/>
  <c r="K34" i="1"/>
  <c r="K36" i="1"/>
  <c r="K38" i="1"/>
  <c r="K40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P43" i="2" l="1"/>
  <c r="Q42" i="2"/>
  <c r="K42" i="1" s="1"/>
  <c r="Q84" i="2"/>
  <c r="F84" i="1" s="1"/>
  <c r="Q82" i="2"/>
  <c r="F82" i="1" s="1"/>
  <c r="Q80" i="2"/>
  <c r="F80" i="1" s="1"/>
  <c r="Q78" i="2"/>
  <c r="F78" i="1" s="1"/>
  <c r="Q76" i="2"/>
  <c r="F76" i="1" s="1"/>
  <c r="Q74" i="2"/>
  <c r="F74" i="1" s="1"/>
  <c r="Q83" i="2"/>
  <c r="F83" i="1" s="1"/>
  <c r="K83" i="1" s="1"/>
  <c r="Q81" i="2"/>
  <c r="F81" i="1" s="1"/>
  <c r="K81" i="1" s="1"/>
  <c r="Q79" i="2"/>
  <c r="F79" i="1" s="1"/>
  <c r="K79" i="1" s="1"/>
  <c r="Q77" i="2"/>
  <c r="F77" i="1" s="1"/>
  <c r="K77" i="1" s="1"/>
  <c r="Q75" i="2"/>
  <c r="F75" i="1" s="1"/>
  <c r="K75" i="1" s="1"/>
  <c r="Q73" i="2"/>
  <c r="F73" i="1" s="1"/>
  <c r="K73" i="1" s="1"/>
  <c r="Q103" i="2"/>
  <c r="F103" i="1" s="1"/>
  <c r="Q100" i="2"/>
  <c r="F100" i="1" s="1"/>
  <c r="Q96" i="2"/>
  <c r="F96" i="1" s="1"/>
  <c r="K96" i="1" s="1"/>
  <c r="Q98" i="2"/>
  <c r="F98" i="1" s="1"/>
  <c r="Q95" i="2"/>
  <c r="F95" i="1" s="1"/>
  <c r="K95" i="1" s="1"/>
  <c r="Q94" i="2"/>
  <c r="F94" i="1" s="1"/>
  <c r="Q92" i="2"/>
  <c r="F92" i="1" s="1"/>
  <c r="Q90" i="2"/>
  <c r="F90" i="1" s="1"/>
  <c r="Q88" i="2"/>
  <c r="F88" i="1" s="1"/>
  <c r="Q104" i="2"/>
  <c r="F104" i="1" s="1"/>
  <c r="Q101" i="2"/>
  <c r="F101" i="1" s="1"/>
  <c r="K101" i="1" s="1"/>
  <c r="Q105" i="2"/>
  <c r="F106" i="1" s="1"/>
  <c r="Q99" i="2"/>
  <c r="F99" i="1" s="1"/>
  <c r="Q97" i="2"/>
  <c r="F97" i="1" s="1"/>
  <c r="Q126" i="2"/>
  <c r="F127" i="1" s="1"/>
  <c r="K127" i="1" s="1"/>
  <c r="Q93" i="2"/>
  <c r="F93" i="1" s="1"/>
  <c r="K93" i="1" s="1"/>
  <c r="Q91" i="2"/>
  <c r="F91" i="1" s="1"/>
  <c r="K91" i="1" s="1"/>
  <c r="Q89" i="2"/>
  <c r="F89" i="1" s="1"/>
  <c r="Q87" i="2"/>
  <c r="F87" i="1" s="1"/>
  <c r="K87" i="1" s="1"/>
  <c r="K4" i="1"/>
  <c r="K23" i="1"/>
  <c r="K5" i="1"/>
  <c r="K28" i="1"/>
  <c r="K24" i="1"/>
  <c r="K26" i="1"/>
  <c r="S4" i="2"/>
  <c r="R104" i="2"/>
  <c r="R101" i="2"/>
  <c r="R105" i="2"/>
  <c r="R96" i="2"/>
  <c r="R99" i="2"/>
  <c r="R97" i="2"/>
  <c r="R126" i="2"/>
  <c r="R93" i="2"/>
  <c r="R91" i="2"/>
  <c r="R89" i="2"/>
  <c r="R87" i="2"/>
  <c r="R83" i="2"/>
  <c r="R81" i="2"/>
  <c r="R79" i="2"/>
  <c r="R77" i="2"/>
  <c r="R75" i="2"/>
  <c r="R73" i="2"/>
  <c r="R42" i="2"/>
  <c r="R40" i="2"/>
  <c r="R38" i="2"/>
  <c r="R36" i="2"/>
  <c r="R34" i="2"/>
  <c r="R32" i="2"/>
  <c r="R30" i="2"/>
  <c r="R28" i="2"/>
  <c r="R26" i="2"/>
  <c r="R24" i="2"/>
  <c r="R23" i="2"/>
  <c r="S17" i="2"/>
  <c r="S13" i="2"/>
  <c r="S5" i="2"/>
  <c r="S18" i="2"/>
  <c r="S10" i="2"/>
  <c r="L4" i="1"/>
  <c r="R43" i="2" l="1"/>
  <c r="I43" i="1"/>
  <c r="P44" i="2"/>
  <c r="Q43" i="2"/>
  <c r="S24" i="2"/>
  <c r="J24" i="1"/>
  <c r="L24" i="1" s="1"/>
  <c r="S28" i="2"/>
  <c r="J28" i="1"/>
  <c r="L28" i="1" s="1"/>
  <c r="S32" i="2"/>
  <c r="J32" i="1"/>
  <c r="L32" i="1" s="1"/>
  <c r="S36" i="2"/>
  <c r="J36" i="1"/>
  <c r="L36" i="1" s="1"/>
  <c r="S40" i="2"/>
  <c r="J40" i="1"/>
  <c r="L40" i="1" s="1"/>
  <c r="S75" i="2"/>
  <c r="G75" i="1"/>
  <c r="J75" i="1" s="1"/>
  <c r="L75" i="1" s="1"/>
  <c r="S79" i="2"/>
  <c r="G79" i="1"/>
  <c r="J79" i="1" s="1"/>
  <c r="L79" i="1" s="1"/>
  <c r="S83" i="2"/>
  <c r="G83" i="1"/>
  <c r="J83" i="1" s="1"/>
  <c r="L83" i="1" s="1"/>
  <c r="S89" i="2"/>
  <c r="G89" i="1"/>
  <c r="S93" i="2"/>
  <c r="G93" i="1"/>
  <c r="J93" i="1" s="1"/>
  <c r="L93" i="1" s="1"/>
  <c r="S97" i="2"/>
  <c r="G97" i="1"/>
  <c r="S96" i="2"/>
  <c r="G96" i="1"/>
  <c r="J96" i="1" s="1"/>
  <c r="L96" i="1" s="1"/>
  <c r="S101" i="2"/>
  <c r="G101" i="1"/>
  <c r="J101" i="1" s="1"/>
  <c r="L101" i="1" s="1"/>
  <c r="S23" i="2"/>
  <c r="J23" i="1"/>
  <c r="L23" i="1" s="1"/>
  <c r="S26" i="2"/>
  <c r="J26" i="1"/>
  <c r="L26" i="1" s="1"/>
  <c r="S30" i="2"/>
  <c r="J30" i="1"/>
  <c r="L30" i="1" s="1"/>
  <c r="S34" i="2"/>
  <c r="J34" i="1"/>
  <c r="L34" i="1" s="1"/>
  <c r="S38" i="2"/>
  <c r="J38" i="1"/>
  <c r="L38" i="1" s="1"/>
  <c r="S42" i="2"/>
  <c r="J42" i="1"/>
  <c r="L42" i="1" s="1"/>
  <c r="S73" i="2"/>
  <c r="G73" i="1"/>
  <c r="J73" i="1" s="1"/>
  <c r="L73" i="1" s="1"/>
  <c r="S77" i="2"/>
  <c r="G77" i="1"/>
  <c r="J77" i="1" s="1"/>
  <c r="L77" i="1" s="1"/>
  <c r="S81" i="2"/>
  <c r="G81" i="1"/>
  <c r="J81" i="1" s="1"/>
  <c r="L81" i="1" s="1"/>
  <c r="S87" i="2"/>
  <c r="G87" i="1"/>
  <c r="J87" i="1" s="1"/>
  <c r="L87" i="1" s="1"/>
  <c r="S91" i="2"/>
  <c r="G91" i="1"/>
  <c r="J91" i="1" s="1"/>
  <c r="L91" i="1" s="1"/>
  <c r="S126" i="2"/>
  <c r="G127" i="1"/>
  <c r="J127" i="1" s="1"/>
  <c r="L127" i="1" s="1"/>
  <c r="S99" i="2"/>
  <c r="G99" i="1"/>
  <c r="S105" i="2"/>
  <c r="G106" i="1"/>
  <c r="S104" i="2"/>
  <c r="G104" i="1"/>
  <c r="J104" i="1" s="1"/>
  <c r="L104" i="1" s="1"/>
  <c r="S7" i="2"/>
  <c r="J98" i="1"/>
  <c r="L98" i="1" s="1"/>
  <c r="K98" i="1"/>
  <c r="K104" i="1"/>
  <c r="J88" i="1"/>
  <c r="L88" i="1" s="1"/>
  <c r="K88" i="1"/>
  <c r="S6" i="2"/>
  <c r="S14" i="2"/>
  <c r="S9" i="2"/>
  <c r="S15" i="2"/>
  <c r="S21" i="2"/>
  <c r="S11" i="2"/>
  <c r="S19" i="2"/>
  <c r="S27" i="2"/>
  <c r="S31" i="2"/>
  <c r="S35" i="2"/>
  <c r="S39" i="2"/>
  <c r="S74" i="2"/>
  <c r="S78" i="2"/>
  <c r="S82" i="2"/>
  <c r="J6" i="1"/>
  <c r="L6" i="1" s="1"/>
  <c r="K6" i="1"/>
  <c r="J10" i="1"/>
  <c r="L10" i="1" s="1"/>
  <c r="K10" i="1"/>
  <c r="J14" i="1"/>
  <c r="L14" i="1" s="1"/>
  <c r="K14" i="1"/>
  <c r="J18" i="1"/>
  <c r="L18" i="1" s="1"/>
  <c r="K18" i="1"/>
  <c r="J7" i="1"/>
  <c r="L7" i="1" s="1"/>
  <c r="K7" i="1"/>
  <c r="J15" i="1"/>
  <c r="L15" i="1" s="1"/>
  <c r="K15" i="1"/>
  <c r="J9" i="1"/>
  <c r="L9" i="1" s="1"/>
  <c r="K9" i="1"/>
  <c r="J21" i="1"/>
  <c r="L21" i="1" s="1"/>
  <c r="K21" i="1"/>
  <c r="S25" i="2"/>
  <c r="S29" i="2"/>
  <c r="S33" i="2"/>
  <c r="S37" i="2"/>
  <c r="S41" i="2"/>
  <c r="S76" i="2"/>
  <c r="S80" i="2"/>
  <c r="S84" i="2"/>
  <c r="S22" i="2"/>
  <c r="S8" i="2"/>
  <c r="S12" i="2"/>
  <c r="S16" i="2"/>
  <c r="S20" i="2"/>
  <c r="J11" i="1"/>
  <c r="L11" i="1" s="1"/>
  <c r="K11" i="1"/>
  <c r="J19" i="1"/>
  <c r="L19" i="1" s="1"/>
  <c r="K19" i="1"/>
  <c r="J17" i="1"/>
  <c r="L17" i="1" s="1"/>
  <c r="K17" i="1"/>
  <c r="J13" i="1"/>
  <c r="L13" i="1" s="1"/>
  <c r="K13" i="1"/>
  <c r="S90" i="2"/>
  <c r="S94" i="2"/>
  <c r="S98" i="2"/>
  <c r="S103" i="2"/>
  <c r="S88" i="2"/>
  <c r="S92" i="2"/>
  <c r="S95" i="2"/>
  <c r="S100" i="2"/>
  <c r="S43" i="2" l="1"/>
  <c r="R44" i="2"/>
  <c r="I44" i="1"/>
  <c r="P45" i="2"/>
  <c r="Q44" i="2"/>
  <c r="J103" i="1"/>
  <c r="L103" i="1" s="1"/>
  <c r="K103" i="1"/>
  <c r="J20" i="1"/>
  <c r="L20" i="1" s="1"/>
  <c r="K20" i="1"/>
  <c r="J16" i="1"/>
  <c r="L16" i="1" s="1"/>
  <c r="K16" i="1"/>
  <c r="J12" i="1"/>
  <c r="L12" i="1" s="1"/>
  <c r="K12" i="1"/>
  <c r="J8" i="1"/>
  <c r="L8" i="1" s="1"/>
  <c r="K8" i="1"/>
  <c r="J22" i="1"/>
  <c r="L22" i="1" s="1"/>
  <c r="K22" i="1"/>
  <c r="J84" i="1"/>
  <c r="L84" i="1" s="1"/>
  <c r="K84" i="1"/>
  <c r="J80" i="1"/>
  <c r="L80" i="1" s="1"/>
  <c r="K80" i="1"/>
  <c r="J76" i="1"/>
  <c r="L76" i="1" s="1"/>
  <c r="K76" i="1"/>
  <c r="J41" i="1"/>
  <c r="L41" i="1" s="1"/>
  <c r="K41" i="1"/>
  <c r="J37" i="1"/>
  <c r="L37" i="1" s="1"/>
  <c r="K37" i="1"/>
  <c r="J33" i="1"/>
  <c r="L33" i="1" s="1"/>
  <c r="K33" i="1"/>
  <c r="K29" i="1"/>
  <c r="J29" i="1"/>
  <c r="L29" i="1" s="1"/>
  <c r="J25" i="1"/>
  <c r="L25" i="1" s="1"/>
  <c r="K25" i="1"/>
  <c r="J82" i="1"/>
  <c r="L82" i="1" s="1"/>
  <c r="K82" i="1"/>
  <c r="J78" i="1"/>
  <c r="L78" i="1" s="1"/>
  <c r="K78" i="1"/>
  <c r="J74" i="1"/>
  <c r="L74" i="1" s="1"/>
  <c r="K74" i="1"/>
  <c r="J43" i="1"/>
  <c r="L43" i="1" s="1"/>
  <c r="K43" i="1"/>
  <c r="J39" i="1"/>
  <c r="L39" i="1" s="1"/>
  <c r="K39" i="1"/>
  <c r="J35" i="1"/>
  <c r="L35" i="1" s="1"/>
  <c r="K35" i="1"/>
  <c r="K31" i="1"/>
  <c r="J31" i="1"/>
  <c r="L31" i="1" s="1"/>
  <c r="J27" i="1"/>
  <c r="L27" i="1" s="1"/>
  <c r="K27" i="1"/>
  <c r="J102" i="1"/>
  <c r="L102" i="1" s="1"/>
  <c r="K102" i="1"/>
  <c r="J92" i="1"/>
  <c r="L92" i="1" s="1"/>
  <c r="K92" i="1"/>
  <c r="J99" i="1"/>
  <c r="L99" i="1" s="1"/>
  <c r="K99" i="1"/>
  <c r="L95" i="1"/>
  <c r="J89" i="1"/>
  <c r="K89" i="1"/>
  <c r="J106" i="1"/>
  <c r="L106" i="1" s="1"/>
  <c r="K106" i="1"/>
  <c r="J100" i="1"/>
  <c r="L100" i="1" s="1"/>
  <c r="K100" i="1"/>
  <c r="J97" i="1"/>
  <c r="L97" i="1" s="1"/>
  <c r="K97" i="1"/>
  <c r="J94" i="1"/>
  <c r="L94" i="1" s="1"/>
  <c r="K94" i="1"/>
  <c r="J90" i="1"/>
  <c r="L90" i="1" s="1"/>
  <c r="K90" i="1"/>
  <c r="J44" i="1" l="1"/>
  <c r="L44" i="1" s="1"/>
  <c r="R45" i="2"/>
  <c r="I45" i="1"/>
  <c r="K44" i="1"/>
  <c r="S44" i="2"/>
  <c r="P46" i="2"/>
  <c r="Q45" i="2"/>
  <c r="L89" i="1"/>
  <c r="J45" i="1" l="1"/>
  <c r="L45" i="1" s="1"/>
  <c r="R46" i="2"/>
  <c r="I46" i="1"/>
  <c r="K45" i="1"/>
  <c r="S45" i="2"/>
  <c r="P47" i="2"/>
  <c r="Q46" i="2"/>
  <c r="R47" i="2" l="1"/>
  <c r="I47" i="1"/>
  <c r="J46" i="1"/>
  <c r="L46" i="1" s="1"/>
  <c r="K46" i="1"/>
  <c r="S46" i="2"/>
  <c r="P48" i="2"/>
  <c r="Q47" i="2"/>
  <c r="R48" i="2" l="1"/>
  <c r="I48" i="1"/>
  <c r="J47" i="1"/>
  <c r="L47" i="1" s="1"/>
  <c r="K47" i="1"/>
  <c r="S47" i="2"/>
  <c r="P49" i="2"/>
  <c r="Q48" i="2"/>
  <c r="R49" i="2" l="1"/>
  <c r="I49" i="1"/>
  <c r="J48" i="1"/>
  <c r="L48" i="1" s="1"/>
  <c r="P50" i="2"/>
  <c r="K48" i="1"/>
  <c r="S48" i="2"/>
  <c r="Q49" i="2"/>
  <c r="R50" i="2" l="1"/>
  <c r="I50" i="1"/>
  <c r="J49" i="1"/>
  <c r="L49" i="1" s="1"/>
  <c r="P51" i="2"/>
  <c r="K49" i="1"/>
  <c r="S49" i="2"/>
  <c r="Q50" i="2"/>
  <c r="R51" i="2" l="1"/>
  <c r="I51" i="1"/>
  <c r="J50" i="1"/>
  <c r="L50" i="1" s="1"/>
  <c r="K50" i="1"/>
  <c r="S50" i="2"/>
  <c r="P52" i="2"/>
  <c r="Q51" i="2"/>
  <c r="R52" i="2" l="1"/>
  <c r="I52" i="1"/>
  <c r="J51" i="1"/>
  <c r="L51" i="1" s="1"/>
  <c r="P53" i="2"/>
  <c r="K51" i="1"/>
  <c r="S51" i="2"/>
  <c r="Q52" i="2"/>
  <c r="R53" i="2" l="1"/>
  <c r="I53" i="1"/>
  <c r="J52" i="1"/>
  <c r="L52" i="1" s="1"/>
  <c r="K52" i="1"/>
  <c r="S52" i="2"/>
  <c r="Q53" i="2"/>
  <c r="J53" i="1" l="1"/>
  <c r="L53" i="1" s="1"/>
  <c r="P54" i="2"/>
  <c r="K53" i="1"/>
  <c r="S53" i="2"/>
  <c r="R54" i="2" l="1"/>
  <c r="I54" i="1"/>
  <c r="P55" i="2"/>
  <c r="Q54" i="2"/>
  <c r="R55" i="2" l="1"/>
  <c r="I55" i="1"/>
  <c r="J54" i="1"/>
  <c r="L54" i="1" s="1"/>
  <c r="P56" i="2"/>
  <c r="K54" i="1"/>
  <c r="S54" i="2"/>
  <c r="Q55" i="2"/>
  <c r="R56" i="2" l="1"/>
  <c r="I56" i="1"/>
  <c r="J55" i="1"/>
  <c r="L55" i="1" s="1"/>
  <c r="K55" i="1"/>
  <c r="S55" i="2"/>
  <c r="P57" i="2"/>
  <c r="Q56" i="2"/>
  <c r="R57" i="2" l="1"/>
  <c r="I57" i="1"/>
  <c r="J56" i="1"/>
  <c r="L56" i="1" s="1"/>
  <c r="P58" i="2"/>
  <c r="K56" i="1"/>
  <c r="S56" i="2"/>
  <c r="Q57" i="2"/>
  <c r="R58" i="2" l="1"/>
  <c r="I58" i="1"/>
  <c r="J57" i="1"/>
  <c r="L57" i="1" s="1"/>
  <c r="K57" i="1"/>
  <c r="S57" i="2"/>
  <c r="P59" i="2"/>
  <c r="Q58" i="2"/>
  <c r="R59" i="2" l="1"/>
  <c r="I59" i="1"/>
  <c r="J58" i="1"/>
  <c r="L58" i="1" s="1"/>
  <c r="P60" i="2"/>
  <c r="K58" i="1"/>
  <c r="S58" i="2"/>
  <c r="Q59" i="2"/>
  <c r="Q60" i="2" l="1"/>
  <c r="I60" i="1"/>
  <c r="K60" i="1" s="1"/>
  <c r="J59" i="1"/>
  <c r="L59" i="1" s="1"/>
  <c r="R60" i="2"/>
  <c r="K59" i="1"/>
  <c r="S59" i="2"/>
  <c r="P61" i="2"/>
  <c r="I61" i="1" s="1"/>
  <c r="S60" i="2" l="1"/>
  <c r="J60" i="1"/>
  <c r="L60" i="1" s="1"/>
  <c r="R61" i="2"/>
  <c r="J61" i="1" s="1"/>
  <c r="L61" i="1" s="1"/>
  <c r="P62" i="2"/>
  <c r="Q62" i="2" s="1"/>
  <c r="Q61" i="2"/>
  <c r="R62" i="2" l="1"/>
  <c r="I62" i="1"/>
  <c r="K61" i="1"/>
  <c r="S61" i="2"/>
  <c r="P63" i="2"/>
  <c r="Q63" i="2" l="1"/>
  <c r="I63" i="1"/>
  <c r="K63" i="1" s="1"/>
  <c r="J62" i="1"/>
  <c r="L62" i="1" s="1"/>
  <c r="R63" i="2"/>
  <c r="P64" i="2"/>
  <c r="I64" i="1" s="1"/>
  <c r="K62" i="1"/>
  <c r="S62" i="2"/>
  <c r="J63" i="1" l="1"/>
  <c r="L63" i="1" s="1"/>
  <c r="S63" i="2"/>
  <c r="R64" i="2"/>
  <c r="J64" i="1" s="1"/>
  <c r="L64" i="1" s="1"/>
  <c r="P65" i="2"/>
  <c r="Q64" i="2"/>
  <c r="R65" i="2" l="1"/>
  <c r="I65" i="1"/>
  <c r="P66" i="2"/>
  <c r="K64" i="1"/>
  <c r="S64" i="2"/>
  <c r="Q65" i="2"/>
  <c r="R66" i="2" l="1"/>
  <c r="I66" i="1"/>
  <c r="J65" i="1"/>
  <c r="L65" i="1" s="1"/>
  <c r="P67" i="2"/>
  <c r="K65" i="1"/>
  <c r="S65" i="2"/>
  <c r="Q66" i="2"/>
  <c r="Q67" i="2" l="1"/>
  <c r="I67" i="1"/>
  <c r="K67" i="1" s="1"/>
  <c r="J66" i="1"/>
  <c r="L66" i="1" s="1"/>
  <c r="R67" i="2"/>
  <c r="P68" i="2"/>
  <c r="I68" i="1" s="1"/>
  <c r="K66" i="1"/>
  <c r="S66" i="2"/>
  <c r="J67" i="1" l="1"/>
  <c r="L67" i="1" s="1"/>
  <c r="S67" i="2"/>
  <c r="R68" i="2"/>
  <c r="J68" i="1" s="1"/>
  <c r="L68" i="1" s="1"/>
  <c r="P69" i="2"/>
  <c r="Q68" i="2"/>
  <c r="R69" i="2" l="1"/>
  <c r="I69" i="1"/>
  <c r="P70" i="2"/>
  <c r="I70" i="1" s="1"/>
  <c r="K68" i="1"/>
  <c r="S68" i="2"/>
  <c r="Q69" i="2"/>
  <c r="R70" i="2" l="1"/>
  <c r="J70" i="1" s="1"/>
  <c r="L70" i="1" s="1"/>
  <c r="J69" i="1"/>
  <c r="L69" i="1" s="1"/>
  <c r="P129" i="2"/>
  <c r="R129" i="2" s="1"/>
  <c r="J126" i="1" s="1"/>
  <c r="Q70" i="2"/>
  <c r="K69" i="1"/>
  <c r="S69" i="2"/>
  <c r="Q129" i="2" l="1"/>
  <c r="K126" i="1" s="1"/>
  <c r="L126" i="1"/>
  <c r="K70" i="1"/>
  <c r="S70" i="2"/>
  <c r="J128" i="1" l="1"/>
  <c r="K128" i="1"/>
  <c r="K129" i="1" s="1"/>
  <c r="L128" i="1" l="1"/>
  <c r="L129" i="1" s="1"/>
  <c r="L130" i="1" s="1"/>
  <c r="M105" i="1" s="1"/>
  <c r="J129" i="1"/>
  <c r="J130" i="1" s="1"/>
  <c r="O105" i="1" l="1"/>
  <c r="P105" i="1" s="1"/>
  <c r="Q105" i="1" s="1"/>
  <c r="R105" i="1" s="1"/>
  <c r="N105" i="1"/>
  <c r="M102" i="1"/>
  <c r="M80" i="1"/>
  <c r="M99" i="1"/>
  <c r="M73" i="1"/>
  <c r="M54" i="1"/>
  <c r="M39" i="1"/>
  <c r="M94" i="1"/>
  <c r="M61" i="1"/>
  <c r="M46" i="1"/>
  <c r="M30" i="1"/>
  <c r="M17" i="1"/>
  <c r="M25" i="1"/>
  <c r="M10" i="1"/>
  <c r="M93" i="1"/>
  <c r="M74" i="1"/>
  <c r="M92" i="1"/>
  <c r="M64" i="1"/>
  <c r="M49" i="1"/>
  <c r="M33" i="1"/>
  <c r="M79" i="1"/>
  <c r="M55" i="1"/>
  <c r="M40" i="1"/>
  <c r="M26" i="1"/>
  <c r="M11" i="1"/>
  <c r="M20" i="1"/>
  <c r="M4" i="1"/>
  <c r="M84" i="1"/>
  <c r="M106" i="1"/>
  <c r="M81" i="1"/>
  <c r="M58" i="1"/>
  <c r="M43" i="1"/>
  <c r="M98" i="1"/>
  <c r="M50" i="1"/>
  <c r="M21" i="1"/>
  <c r="M14" i="1"/>
  <c r="M97" i="1"/>
  <c r="M53" i="1"/>
  <c r="M88" i="1"/>
  <c r="M29" i="1"/>
  <c r="M91" i="1"/>
  <c r="M69" i="1"/>
  <c r="M89" i="1"/>
  <c r="M62" i="1"/>
  <c r="M47" i="1"/>
  <c r="M31" i="1"/>
  <c r="M75" i="1"/>
  <c r="M38" i="1"/>
  <c r="M24" i="1"/>
  <c r="M9" i="1"/>
  <c r="M18" i="1"/>
  <c r="M104" i="1"/>
  <c r="M82" i="1"/>
  <c r="M103" i="1"/>
  <c r="M77" i="1"/>
  <c r="M56" i="1"/>
  <c r="M41" i="1"/>
  <c r="M96" i="1"/>
  <c r="M63" i="1"/>
  <c r="M48" i="1"/>
  <c r="M32" i="1"/>
  <c r="M19" i="1"/>
  <c r="M27" i="1"/>
  <c r="M12" i="1"/>
  <c r="M95" i="1"/>
  <c r="M76" i="1"/>
  <c r="M66" i="1"/>
  <c r="M51" i="1"/>
  <c r="M35" i="1"/>
  <c r="M83" i="1"/>
  <c r="M57" i="1"/>
  <c r="M42" i="1"/>
  <c r="M28" i="1"/>
  <c r="M13" i="1"/>
  <c r="M22" i="1"/>
  <c r="M6" i="1"/>
  <c r="M90" i="1"/>
  <c r="M67" i="1"/>
  <c r="M87" i="1"/>
  <c r="M60" i="1"/>
  <c r="M45" i="1"/>
  <c r="M101" i="1"/>
  <c r="M68" i="1"/>
  <c r="M52" i="1"/>
  <c r="M36" i="1"/>
  <c r="M23" i="1"/>
  <c r="M7" i="1"/>
  <c r="M16" i="1"/>
  <c r="M65" i="1"/>
  <c r="M34" i="1"/>
  <c r="M5" i="1"/>
  <c r="M100" i="1"/>
  <c r="M78" i="1"/>
  <c r="M70" i="1"/>
  <c r="M37" i="1"/>
  <c r="M59" i="1"/>
  <c r="M44" i="1"/>
  <c r="M15" i="1"/>
  <c r="M8" i="1"/>
  <c r="O8" i="1" l="1"/>
  <c r="P8" i="1" s="1"/>
  <c r="Q8" i="1" s="1"/>
  <c r="N8" i="1"/>
  <c r="O44" i="1"/>
  <c r="P44" i="1" s="1"/>
  <c r="Q44" i="1" s="1"/>
  <c r="N44" i="1"/>
  <c r="O37" i="1"/>
  <c r="P37" i="1" s="1"/>
  <c r="Q37" i="1" s="1"/>
  <c r="N37" i="1"/>
  <c r="N78" i="1"/>
  <c r="O78" i="1"/>
  <c r="P78" i="1" s="1"/>
  <c r="Q78" i="1" s="1"/>
  <c r="O5" i="1"/>
  <c r="P5" i="1" s="1"/>
  <c r="Q5" i="1" s="1"/>
  <c r="N5" i="1"/>
  <c r="N65" i="1"/>
  <c r="O65" i="1"/>
  <c r="P65" i="1" s="1"/>
  <c r="Q65" i="1" s="1"/>
  <c r="O7" i="1"/>
  <c r="P7" i="1" s="1"/>
  <c r="Q7" i="1" s="1"/>
  <c r="N7" i="1"/>
  <c r="N36" i="1"/>
  <c r="O36" i="1"/>
  <c r="P36" i="1" s="1"/>
  <c r="Q36" i="1" s="1"/>
  <c r="O68" i="1"/>
  <c r="P68" i="1" s="1"/>
  <c r="Q68" i="1" s="1"/>
  <c r="N68" i="1"/>
  <c r="N45" i="1"/>
  <c r="O45" i="1"/>
  <c r="P45" i="1" s="1"/>
  <c r="Q45" i="1" s="1"/>
  <c r="O87" i="1"/>
  <c r="P87" i="1" s="1"/>
  <c r="Q87" i="1" s="1"/>
  <c r="R87" i="1" s="1"/>
  <c r="N87" i="1"/>
  <c r="N90" i="1"/>
  <c r="O90" i="1"/>
  <c r="P90" i="1" s="1"/>
  <c r="Q90" i="1" s="1"/>
  <c r="R90" i="1" s="1"/>
  <c r="N22" i="1"/>
  <c r="O22" i="1"/>
  <c r="P22" i="1" s="1"/>
  <c r="Q22" i="1" s="1"/>
  <c r="O28" i="1"/>
  <c r="P28" i="1" s="1"/>
  <c r="Q28" i="1" s="1"/>
  <c r="N28" i="1"/>
  <c r="O57" i="1"/>
  <c r="P57" i="1" s="1"/>
  <c r="Q57" i="1" s="1"/>
  <c r="N57" i="1"/>
  <c r="O35" i="1"/>
  <c r="P35" i="1" s="1"/>
  <c r="Q35" i="1" s="1"/>
  <c r="N35" i="1"/>
  <c r="N66" i="1"/>
  <c r="O66" i="1"/>
  <c r="P66" i="1" s="1"/>
  <c r="Q66" i="1" s="1"/>
  <c r="O76" i="1"/>
  <c r="P76" i="1" s="1"/>
  <c r="Q76" i="1" s="1"/>
  <c r="N76" i="1"/>
  <c r="O12" i="1"/>
  <c r="P12" i="1" s="1"/>
  <c r="Q12" i="1" s="1"/>
  <c r="N12" i="1"/>
  <c r="N19" i="1"/>
  <c r="O19" i="1"/>
  <c r="P19" i="1" s="1"/>
  <c r="Q19" i="1" s="1"/>
  <c r="N48" i="1"/>
  <c r="O48" i="1"/>
  <c r="P48" i="1" s="1"/>
  <c r="Q48" i="1" s="1"/>
  <c r="N96" i="1"/>
  <c r="O96" i="1"/>
  <c r="P96" i="1" s="1"/>
  <c r="Q96" i="1" s="1"/>
  <c r="R96" i="1" s="1"/>
  <c r="O56" i="1"/>
  <c r="P56" i="1" s="1"/>
  <c r="Q56" i="1" s="1"/>
  <c r="N56" i="1"/>
  <c r="N103" i="1"/>
  <c r="O103" i="1"/>
  <c r="P103" i="1" s="1"/>
  <c r="Q103" i="1" s="1"/>
  <c r="O104" i="1"/>
  <c r="P104" i="1" s="1"/>
  <c r="Q104" i="1" s="1"/>
  <c r="N104" i="1"/>
  <c r="N9" i="1"/>
  <c r="O9" i="1"/>
  <c r="P9" i="1" s="1"/>
  <c r="Q9" i="1" s="1"/>
  <c r="N38" i="1"/>
  <c r="O38" i="1"/>
  <c r="P38" i="1" s="1"/>
  <c r="Q38" i="1" s="1"/>
  <c r="N75" i="1"/>
  <c r="O75" i="1"/>
  <c r="P75" i="1" s="1"/>
  <c r="Q75" i="1" s="1"/>
  <c r="O47" i="1"/>
  <c r="P47" i="1" s="1"/>
  <c r="Q47" i="1" s="1"/>
  <c r="R47" i="1" s="1"/>
  <c r="N47" i="1"/>
  <c r="N89" i="1"/>
  <c r="O89" i="1"/>
  <c r="P89" i="1" s="1"/>
  <c r="Q89" i="1" s="1"/>
  <c r="R89" i="1" s="1"/>
  <c r="N91" i="1"/>
  <c r="O91" i="1"/>
  <c r="P91" i="1" s="1"/>
  <c r="Q91" i="1" s="1"/>
  <c r="O29" i="1"/>
  <c r="P29" i="1" s="1"/>
  <c r="Q29" i="1" s="1"/>
  <c r="R29" i="1" s="1"/>
  <c r="N29" i="1"/>
  <c r="O53" i="1"/>
  <c r="P53" i="1" s="1"/>
  <c r="Q53" i="1" s="1"/>
  <c r="N53" i="1"/>
  <c r="N14" i="1"/>
  <c r="O14" i="1"/>
  <c r="P14" i="1" s="1"/>
  <c r="Q14" i="1" s="1"/>
  <c r="O50" i="1"/>
  <c r="P50" i="1" s="1"/>
  <c r="Q50" i="1" s="1"/>
  <c r="N50" i="1"/>
  <c r="O43" i="1"/>
  <c r="P43" i="1" s="1"/>
  <c r="Q43" i="1" s="1"/>
  <c r="N43" i="1"/>
  <c r="O81" i="1"/>
  <c r="P81" i="1" s="1"/>
  <c r="Q81" i="1" s="1"/>
  <c r="N81" i="1"/>
  <c r="O84" i="1"/>
  <c r="P84" i="1" s="1"/>
  <c r="Q84" i="1" s="1"/>
  <c r="N84" i="1"/>
  <c r="O20" i="1"/>
  <c r="P20" i="1" s="1"/>
  <c r="Q20" i="1" s="1"/>
  <c r="N20" i="1"/>
  <c r="O26" i="1"/>
  <c r="P26" i="1" s="1"/>
  <c r="Q26" i="1" s="1"/>
  <c r="N26" i="1"/>
  <c r="N55" i="1"/>
  <c r="O55" i="1"/>
  <c r="P55" i="1" s="1"/>
  <c r="Q55" i="1" s="1"/>
  <c r="N33" i="1"/>
  <c r="O33" i="1"/>
  <c r="P33" i="1" s="1"/>
  <c r="Q33" i="1" s="1"/>
  <c r="O64" i="1"/>
  <c r="P64" i="1" s="1"/>
  <c r="Q64" i="1" s="1"/>
  <c r="N64" i="1"/>
  <c r="N74" i="1"/>
  <c r="O74" i="1"/>
  <c r="P74" i="1" s="1"/>
  <c r="Q74" i="1" s="1"/>
  <c r="N10" i="1"/>
  <c r="O10" i="1"/>
  <c r="P10" i="1" s="1"/>
  <c r="Q10" i="1" s="1"/>
  <c r="N17" i="1"/>
  <c r="O17" i="1"/>
  <c r="P17" i="1" s="1"/>
  <c r="Q17" i="1" s="1"/>
  <c r="O46" i="1"/>
  <c r="P46" i="1" s="1"/>
  <c r="Q46" i="1" s="1"/>
  <c r="N46" i="1"/>
  <c r="O94" i="1"/>
  <c r="P94" i="1" s="1"/>
  <c r="Q94" i="1" s="1"/>
  <c r="R94" i="1" s="1"/>
  <c r="N94" i="1"/>
  <c r="N54" i="1"/>
  <c r="O54" i="1"/>
  <c r="P54" i="1" s="1"/>
  <c r="Q54" i="1" s="1"/>
  <c r="N99" i="1"/>
  <c r="O99" i="1"/>
  <c r="P99" i="1" s="1"/>
  <c r="Q99" i="1" s="1"/>
  <c r="O102" i="1"/>
  <c r="P102" i="1" s="1"/>
  <c r="Q102" i="1" s="1"/>
  <c r="R102" i="1" s="1"/>
  <c r="N102" i="1"/>
  <c r="O15" i="1"/>
  <c r="P15" i="1" s="1"/>
  <c r="Q15" i="1" s="1"/>
  <c r="N15" i="1"/>
  <c r="O59" i="1"/>
  <c r="P59" i="1" s="1"/>
  <c r="Q59" i="1" s="1"/>
  <c r="N59" i="1"/>
  <c r="N70" i="1"/>
  <c r="O70" i="1"/>
  <c r="P70" i="1" s="1"/>
  <c r="Q70" i="1" s="1"/>
  <c r="N100" i="1"/>
  <c r="O100" i="1"/>
  <c r="P100" i="1" s="1"/>
  <c r="Q100" i="1" s="1"/>
  <c r="N34" i="1"/>
  <c r="O34" i="1"/>
  <c r="P34" i="1" s="1"/>
  <c r="Q34" i="1" s="1"/>
  <c r="O16" i="1"/>
  <c r="P16" i="1" s="1"/>
  <c r="Q16" i="1" s="1"/>
  <c r="N16" i="1"/>
  <c r="N23" i="1"/>
  <c r="O23" i="1"/>
  <c r="P23" i="1" s="1"/>
  <c r="Q23" i="1" s="1"/>
  <c r="N52" i="1"/>
  <c r="O52" i="1"/>
  <c r="P52" i="1" s="1"/>
  <c r="Q52" i="1" s="1"/>
  <c r="R52" i="1" s="1"/>
  <c r="O101" i="1"/>
  <c r="P101" i="1" s="1"/>
  <c r="Q101" i="1" s="1"/>
  <c r="R101" i="1" s="1"/>
  <c r="N101" i="1"/>
  <c r="N60" i="1"/>
  <c r="O60" i="1"/>
  <c r="P60" i="1" s="1"/>
  <c r="Q60" i="1" s="1"/>
  <c r="N67" i="1"/>
  <c r="O67" i="1"/>
  <c r="P67" i="1" s="1"/>
  <c r="Q67" i="1" s="1"/>
  <c r="N6" i="1"/>
  <c r="O6" i="1"/>
  <c r="P6" i="1" s="1"/>
  <c r="Q6" i="1" s="1"/>
  <c r="O13" i="1"/>
  <c r="P13" i="1" s="1"/>
  <c r="Q13" i="1" s="1"/>
  <c r="N13" i="1"/>
  <c r="N42" i="1"/>
  <c r="O42" i="1"/>
  <c r="P42" i="1" s="1"/>
  <c r="Q42" i="1" s="1"/>
  <c r="N83" i="1"/>
  <c r="O83" i="1"/>
  <c r="P83" i="1" s="1"/>
  <c r="Q83" i="1" s="1"/>
  <c r="N51" i="1"/>
  <c r="O51" i="1"/>
  <c r="P51" i="1" s="1"/>
  <c r="Q51" i="1" s="1"/>
  <c r="N95" i="1"/>
  <c r="O95" i="1"/>
  <c r="P95" i="1" s="1"/>
  <c r="Q95" i="1" s="1"/>
  <c r="R95" i="1" s="1"/>
  <c r="N27" i="1"/>
  <c r="O27" i="1"/>
  <c r="P27" i="1" s="1"/>
  <c r="Q27" i="1" s="1"/>
  <c r="N32" i="1"/>
  <c r="O32" i="1"/>
  <c r="P32" i="1" s="1"/>
  <c r="Q32" i="1" s="1"/>
  <c r="N63" i="1"/>
  <c r="O63" i="1"/>
  <c r="P63" i="1" s="1"/>
  <c r="Q63" i="1" s="1"/>
  <c r="O41" i="1"/>
  <c r="P41" i="1" s="1"/>
  <c r="Q41" i="1" s="1"/>
  <c r="N41" i="1"/>
  <c r="O77" i="1"/>
  <c r="P77" i="1" s="1"/>
  <c r="Q77" i="1" s="1"/>
  <c r="N77" i="1"/>
  <c r="N82" i="1"/>
  <c r="O82" i="1"/>
  <c r="P82" i="1" s="1"/>
  <c r="Q82" i="1" s="1"/>
  <c r="N18" i="1"/>
  <c r="O18" i="1"/>
  <c r="P18" i="1" s="1"/>
  <c r="Q18" i="1" s="1"/>
  <c r="O24" i="1"/>
  <c r="P24" i="1" s="1"/>
  <c r="Q24" i="1" s="1"/>
  <c r="R24" i="1" s="1"/>
  <c r="N24" i="1"/>
  <c r="O31" i="1"/>
  <c r="P31" i="1" s="1"/>
  <c r="Q31" i="1" s="1"/>
  <c r="R31" i="1" s="1"/>
  <c r="N31" i="1"/>
  <c r="O62" i="1"/>
  <c r="P62" i="1" s="1"/>
  <c r="Q62" i="1" s="1"/>
  <c r="N62" i="1"/>
  <c r="N69" i="1"/>
  <c r="O69" i="1"/>
  <c r="P69" i="1" s="1"/>
  <c r="Q69" i="1" s="1"/>
  <c r="O88" i="1"/>
  <c r="P88" i="1" s="1"/>
  <c r="Q88" i="1" s="1"/>
  <c r="R88" i="1" s="1"/>
  <c r="N88" i="1"/>
  <c r="N97" i="1"/>
  <c r="O97" i="1"/>
  <c r="P97" i="1" s="1"/>
  <c r="Q97" i="1" s="1"/>
  <c r="R97" i="1" s="1"/>
  <c r="O21" i="1"/>
  <c r="P21" i="1" s="1"/>
  <c r="Q21" i="1" s="1"/>
  <c r="N21" i="1"/>
  <c r="N98" i="1"/>
  <c r="O98" i="1"/>
  <c r="P98" i="1" s="1"/>
  <c r="Q98" i="1" s="1"/>
  <c r="R98" i="1" s="1"/>
  <c r="O58" i="1"/>
  <c r="P58" i="1" s="1"/>
  <c r="Q58" i="1" s="1"/>
  <c r="N58" i="1"/>
  <c r="N106" i="1"/>
  <c r="O106" i="1"/>
  <c r="P106" i="1" s="1"/>
  <c r="Q106" i="1" s="1"/>
  <c r="O4" i="1"/>
  <c r="P4" i="1" s="1"/>
  <c r="Q4" i="1" s="1"/>
  <c r="N4" i="1"/>
  <c r="N11" i="1"/>
  <c r="O11" i="1"/>
  <c r="P11" i="1" s="1"/>
  <c r="Q11" i="1" s="1"/>
  <c r="O40" i="1"/>
  <c r="P40" i="1" s="1"/>
  <c r="Q40" i="1" s="1"/>
  <c r="N40" i="1"/>
  <c r="N79" i="1"/>
  <c r="O79" i="1"/>
  <c r="P79" i="1" s="1"/>
  <c r="Q79" i="1" s="1"/>
  <c r="O49" i="1"/>
  <c r="P49" i="1" s="1"/>
  <c r="Q49" i="1" s="1"/>
  <c r="N49" i="1"/>
  <c r="O92" i="1"/>
  <c r="P92" i="1" s="1"/>
  <c r="Q92" i="1" s="1"/>
  <c r="R92" i="1" s="1"/>
  <c r="N92" i="1"/>
  <c r="O93" i="1"/>
  <c r="P93" i="1" s="1"/>
  <c r="Q93" i="1" s="1"/>
  <c r="R93" i="1" s="1"/>
  <c r="N93" i="1"/>
  <c r="N25" i="1"/>
  <c r="O25" i="1"/>
  <c r="P25" i="1" s="1"/>
  <c r="Q25" i="1" s="1"/>
  <c r="N30" i="1"/>
  <c r="O30" i="1"/>
  <c r="P30" i="1" s="1"/>
  <c r="Q30" i="1" s="1"/>
  <c r="R30" i="1" s="1"/>
  <c r="N61" i="1"/>
  <c r="O61" i="1"/>
  <c r="P61" i="1" s="1"/>
  <c r="Q61" i="1" s="1"/>
  <c r="N39" i="1"/>
  <c r="O39" i="1"/>
  <c r="P39" i="1" s="1"/>
  <c r="Q39" i="1" s="1"/>
  <c r="O73" i="1"/>
  <c r="P73" i="1" s="1"/>
  <c r="Q73" i="1" s="1"/>
  <c r="N73" i="1"/>
  <c r="O80" i="1"/>
  <c r="P80" i="1" s="1"/>
  <c r="Q80" i="1" s="1"/>
  <c r="N80" i="1"/>
  <c r="N71" i="1" l="1"/>
  <c r="N85" i="1"/>
  <c r="S39" i="1"/>
  <c r="R39" i="1"/>
  <c r="R61" i="1"/>
  <c r="S61" i="1"/>
  <c r="S25" i="1"/>
  <c r="R25" i="1"/>
  <c r="S79" i="1"/>
  <c r="R79" i="1"/>
  <c r="S11" i="1"/>
  <c r="R11" i="1"/>
  <c r="R106" i="1"/>
  <c r="S106" i="1"/>
  <c r="S80" i="1"/>
  <c r="R80" i="1"/>
  <c r="S73" i="1"/>
  <c r="R73" i="1"/>
  <c r="S49" i="1"/>
  <c r="R49" i="1"/>
  <c r="R40" i="1"/>
  <c r="S40" i="1"/>
  <c r="S4" i="1"/>
  <c r="R4" i="1"/>
  <c r="R58" i="1"/>
  <c r="S58" i="1"/>
  <c r="S21" i="1"/>
  <c r="R21" i="1"/>
  <c r="R62" i="1"/>
  <c r="S62" i="1"/>
  <c r="R77" i="1"/>
  <c r="S77" i="1"/>
  <c r="S41" i="1"/>
  <c r="R41" i="1"/>
  <c r="R13" i="1"/>
  <c r="S13" i="1"/>
  <c r="S16" i="1"/>
  <c r="R16" i="1"/>
  <c r="R59" i="1"/>
  <c r="S59" i="1"/>
  <c r="R15" i="1"/>
  <c r="S15" i="1"/>
  <c r="S46" i="1"/>
  <c r="R46" i="1"/>
  <c r="S64" i="1"/>
  <c r="R64" i="1"/>
  <c r="R26" i="1"/>
  <c r="S26" i="1"/>
  <c r="S20" i="1"/>
  <c r="R20" i="1"/>
  <c r="S84" i="1"/>
  <c r="R84" i="1"/>
  <c r="R81" i="1"/>
  <c r="S81" i="1"/>
  <c r="S43" i="1"/>
  <c r="R43" i="1"/>
  <c r="S50" i="1"/>
  <c r="R50" i="1"/>
  <c r="R53" i="1"/>
  <c r="S53" i="1"/>
  <c r="S104" i="1"/>
  <c r="R104" i="1"/>
  <c r="R56" i="1"/>
  <c r="S56" i="1"/>
  <c r="S12" i="1"/>
  <c r="R12" i="1"/>
  <c r="S76" i="1"/>
  <c r="R76" i="1"/>
  <c r="S35" i="1"/>
  <c r="R35" i="1"/>
  <c r="R57" i="1"/>
  <c r="S57" i="1"/>
  <c r="R28" i="1"/>
  <c r="S28" i="1"/>
  <c r="S68" i="1"/>
  <c r="R68" i="1"/>
  <c r="R7" i="1"/>
  <c r="S7" i="1"/>
  <c r="S5" i="1"/>
  <c r="R5" i="1"/>
  <c r="S37" i="1"/>
  <c r="R37" i="1"/>
  <c r="S44" i="1"/>
  <c r="R44" i="1"/>
  <c r="S8" i="1"/>
  <c r="R8" i="1"/>
  <c r="R69" i="1"/>
  <c r="S69" i="1"/>
  <c r="S18" i="1"/>
  <c r="R18" i="1"/>
  <c r="S82" i="1"/>
  <c r="R82" i="1"/>
  <c r="S63" i="1"/>
  <c r="R63" i="1"/>
  <c r="R32" i="1"/>
  <c r="S32" i="1"/>
  <c r="S27" i="1"/>
  <c r="R27" i="1"/>
  <c r="S51" i="1"/>
  <c r="R51" i="1"/>
  <c r="S83" i="1"/>
  <c r="R83" i="1"/>
  <c r="R42" i="1"/>
  <c r="S42" i="1"/>
  <c r="R6" i="1"/>
  <c r="S6" i="1"/>
  <c r="R67" i="1"/>
  <c r="S67" i="1"/>
  <c r="R60" i="1"/>
  <c r="S60" i="1"/>
  <c r="R23" i="1"/>
  <c r="S23" i="1"/>
  <c r="R34" i="1"/>
  <c r="S34" i="1"/>
  <c r="R100" i="1"/>
  <c r="S100" i="1"/>
  <c r="S70" i="1"/>
  <c r="R70" i="1"/>
  <c r="R99" i="1"/>
  <c r="S99" i="1"/>
  <c r="R54" i="1"/>
  <c r="S54" i="1"/>
  <c r="S17" i="1"/>
  <c r="R17" i="1"/>
  <c r="S10" i="1"/>
  <c r="R10" i="1"/>
  <c r="S74" i="1"/>
  <c r="R74" i="1"/>
  <c r="S33" i="1"/>
  <c r="R33" i="1"/>
  <c r="R55" i="1"/>
  <c r="S55" i="1"/>
  <c r="R14" i="1"/>
  <c r="S14" i="1"/>
  <c r="R91" i="1"/>
  <c r="S91" i="1"/>
  <c r="S75" i="1"/>
  <c r="R75" i="1"/>
  <c r="S38" i="1"/>
  <c r="R38" i="1"/>
  <c r="R9" i="1"/>
  <c r="S9" i="1"/>
  <c r="S103" i="1"/>
  <c r="R103" i="1"/>
  <c r="S48" i="1"/>
  <c r="R48" i="1"/>
  <c r="S19" i="1"/>
  <c r="R19" i="1"/>
  <c r="S66" i="1"/>
  <c r="R66" i="1"/>
  <c r="S22" i="1"/>
  <c r="R22" i="1"/>
  <c r="S45" i="1"/>
  <c r="R45" i="1"/>
  <c r="S36" i="1"/>
  <c r="R36" i="1"/>
  <c r="S65" i="1"/>
  <c r="R65" i="1"/>
  <c r="S78" i="1"/>
  <c r="R78" i="1"/>
  <c r="N107" i="1"/>
</calcChain>
</file>

<file path=xl/sharedStrings.xml><?xml version="1.0" encoding="utf-8"?>
<sst xmlns="http://schemas.openxmlformats.org/spreadsheetml/2006/main" count="44154" uniqueCount="6081">
  <si>
    <t>Org. Code</t>
  </si>
  <si>
    <t>School</t>
  </si>
  <si>
    <r>
      <rPr>
        <b/>
        <sz val="12"/>
        <color rgb="FF00B050"/>
        <rFont val="Calibri"/>
        <family val="2"/>
        <scheme val="minor"/>
      </rPr>
      <t>Federal</t>
    </r>
    <r>
      <rPr>
        <b/>
        <sz val="12"/>
        <color indexed="8"/>
        <rFont val="Calibri"/>
        <family val="2"/>
        <scheme val="minor"/>
      </rPr>
      <t xml:space="preserve"> Funds
%</t>
    </r>
  </si>
  <si>
    <r>
      <rPr>
        <b/>
        <sz val="12"/>
        <color rgb="FFFF0000"/>
        <rFont val="Calibri"/>
        <family val="2"/>
        <scheme val="minor"/>
      </rPr>
      <t xml:space="preserve">Local </t>
    </r>
    <r>
      <rPr>
        <b/>
        <sz val="12"/>
        <color indexed="8"/>
        <rFont val="Calibri"/>
        <family val="2"/>
        <scheme val="minor"/>
      </rPr>
      <t>Funds
%</t>
    </r>
  </si>
  <si>
    <r>
      <rPr>
        <b/>
        <sz val="12"/>
        <color rgb="FFFF0000"/>
        <rFont val="Calibri"/>
        <family val="2"/>
        <scheme val="minor"/>
      </rPr>
      <t>Local</t>
    </r>
    <r>
      <rPr>
        <b/>
        <sz val="12"/>
        <color rgb="FF00B05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 xml:space="preserve">Instructional Staff 
Total FTE </t>
    </r>
  </si>
  <si>
    <r>
      <rPr>
        <b/>
        <sz val="12"/>
        <color rgb="FF00B050"/>
        <rFont val="Calibri"/>
        <family val="2"/>
        <scheme val="minor"/>
      </rPr>
      <t xml:space="preserve">Federal </t>
    </r>
    <r>
      <rPr>
        <b/>
        <sz val="12"/>
        <color indexed="8"/>
        <rFont val="Calibri"/>
        <family val="2"/>
        <scheme val="minor"/>
      </rPr>
      <t xml:space="preserve">Instructional Staff 
Total FTE </t>
    </r>
  </si>
  <si>
    <t>Student/   Instructional Staff Ratio</t>
  </si>
  <si>
    <t>Standard Student/ Instructional Staff Ratio</t>
  </si>
  <si>
    <t>Non-compliant Schools</t>
  </si>
  <si>
    <t xml:space="preserve">extra students/ teacher </t>
  </si>
  <si>
    <t>total extra students taught by local</t>
  </si>
  <si>
    <t>total add'l local teachers needed</t>
  </si>
  <si>
    <t>Required Instructional Staff Increase</t>
  </si>
  <si>
    <t>Overage In Teachers</t>
  </si>
  <si>
    <t>Aiton ES</t>
  </si>
  <si>
    <t>Amidon-Bowen ES</t>
  </si>
  <si>
    <t>Bancroft ES</t>
  </si>
  <si>
    <t>Barnard ES</t>
  </si>
  <si>
    <t>Beers ES</t>
  </si>
  <si>
    <t>Brightwood ES</t>
  </si>
  <si>
    <t>Brookland-Bunker Hill ES</t>
  </si>
  <si>
    <t>Browne EC</t>
  </si>
  <si>
    <t>Bruce-Monroe ES</t>
  </si>
  <si>
    <t>Burroughs-Slowe ES</t>
  </si>
  <si>
    <t>Burrville ES</t>
  </si>
  <si>
    <t>Cleveland ES</t>
  </si>
  <si>
    <t xml:space="preserve">Cooke, H.D. ES </t>
  </si>
  <si>
    <t>Davis ES</t>
  </si>
  <si>
    <t>Drew ES</t>
  </si>
  <si>
    <t>Emery ES</t>
  </si>
  <si>
    <t>Ferebee-Hope ES</t>
  </si>
  <si>
    <t>Francis -Stevens EC</t>
  </si>
  <si>
    <t>Garfield ES</t>
  </si>
  <si>
    <t>Garrison ES</t>
  </si>
  <si>
    <t>Hamilton Center</t>
  </si>
  <si>
    <t>Harris, C.W. ES</t>
  </si>
  <si>
    <t>Hendley ES</t>
  </si>
  <si>
    <t>Houston ES</t>
  </si>
  <si>
    <t>Kenilworth ES</t>
  </si>
  <si>
    <t>Ketcham ES</t>
  </si>
  <si>
    <t>Kimball ES</t>
  </si>
  <si>
    <t>King, M.L ES.</t>
  </si>
  <si>
    <t>Langdon ES</t>
  </si>
  <si>
    <t>LaSalle-Backus EC</t>
  </si>
  <si>
    <t>Leckie ES</t>
  </si>
  <si>
    <t>Ludlow-Taylor ES</t>
  </si>
  <si>
    <t>Malcolm X ES</t>
  </si>
  <si>
    <t>Thurgood Marshall EC</t>
  </si>
  <si>
    <t>Maury ES</t>
  </si>
  <si>
    <t>Miner ES</t>
  </si>
  <si>
    <t>Moten-Wilkinson ES</t>
  </si>
  <si>
    <t>Nalle ES</t>
  </si>
  <si>
    <t>Noyes ES</t>
  </si>
  <si>
    <t>Orr ES</t>
  </si>
  <si>
    <t xml:space="preserve">Patterson ES </t>
  </si>
  <si>
    <t>Payne ES</t>
  </si>
  <si>
    <t>Plummer ES</t>
  </si>
  <si>
    <t>Powell ES</t>
  </si>
  <si>
    <t>Randle Highland ES</t>
  </si>
  <si>
    <t>Raymond ES</t>
  </si>
  <si>
    <t>Reed, Marie</t>
  </si>
  <si>
    <t>River Terrace ES</t>
  </si>
  <si>
    <r>
      <t xml:space="preserve">Ross ES </t>
    </r>
    <r>
      <rPr>
        <sz val="10"/>
        <color indexed="8"/>
        <rFont val="Calibri"/>
        <family val="2"/>
        <scheme val="minor"/>
      </rPr>
      <t>(Targeted Assistance)</t>
    </r>
  </si>
  <si>
    <t>Savoy ES</t>
  </si>
  <si>
    <t>Seaton ES</t>
  </si>
  <si>
    <t>Simon ES</t>
  </si>
  <si>
    <t>Smothers-Benning ES</t>
  </si>
  <si>
    <t>Stanton ES</t>
  </si>
  <si>
    <t>Takoma ES</t>
  </si>
  <si>
    <t>Terrell, M.C. ES</t>
  </si>
  <si>
    <t>Thomas ES</t>
  </si>
  <si>
    <t xml:space="preserve">Thomson ES </t>
  </si>
  <si>
    <t>Truesdell ES</t>
  </si>
  <si>
    <t>Tubman ES</t>
  </si>
  <si>
    <t>Turner-Green ES</t>
  </si>
  <si>
    <t>Tyler ES</t>
  </si>
  <si>
    <t>Walker-Jones -R.H. Terrell ES</t>
  </si>
  <si>
    <t>Webb ES/Wheatley</t>
  </si>
  <si>
    <t>West ES</t>
  </si>
  <si>
    <t>Whittier ES</t>
  </si>
  <si>
    <t>Wilson, J.O. ES</t>
  </si>
  <si>
    <t>Winston ES</t>
  </si>
  <si>
    <t>Elementary Schools Out of Compliance</t>
  </si>
  <si>
    <t>Eliot-Hine MS</t>
  </si>
  <si>
    <r>
      <t xml:space="preserve">Hardy MS </t>
    </r>
    <r>
      <rPr>
        <sz val="10"/>
        <color indexed="8"/>
        <rFont val="Calibri"/>
        <family val="2"/>
        <scheme val="minor"/>
      </rPr>
      <t>(Targeted Assistance)</t>
    </r>
  </si>
  <si>
    <t>Hart MS</t>
  </si>
  <si>
    <t>Jefferson MS</t>
  </si>
  <si>
    <t>Johnson MS</t>
  </si>
  <si>
    <t>Kelly Miller MS</t>
  </si>
  <si>
    <t>Kramer MS</t>
  </si>
  <si>
    <t>MacFarland MS</t>
  </si>
  <si>
    <t>Ron Brown MS</t>
  </si>
  <si>
    <t>Shaw MS</t>
  </si>
  <si>
    <t>Sousa MS</t>
  </si>
  <si>
    <t>Stuart-Hobson MS</t>
  </si>
  <si>
    <t>Middle/Junior High Schools Out of Compliance</t>
  </si>
  <si>
    <t>Anacostia SHS</t>
  </si>
  <si>
    <t>Banneker SHS</t>
  </si>
  <si>
    <t>Ballou SHS</t>
  </si>
  <si>
    <t>Columbia Heights EC</t>
  </si>
  <si>
    <t>Cardozo SHS</t>
  </si>
  <si>
    <t>Coolidge SHS</t>
  </si>
  <si>
    <t>Dunbar SHS</t>
  </si>
  <si>
    <t>Eastern SHS</t>
  </si>
  <si>
    <r>
      <t xml:space="preserve">Ellington SHS </t>
    </r>
    <r>
      <rPr>
        <sz val="10"/>
        <color indexed="8"/>
        <rFont val="Calibri"/>
        <family val="2"/>
        <scheme val="minor"/>
      </rPr>
      <t>(Targeted Assistance)</t>
    </r>
  </si>
  <si>
    <t>Luke C. Moore SHS</t>
  </si>
  <si>
    <t>Roosevelt SHS</t>
  </si>
  <si>
    <t>Spingarn SHS</t>
  </si>
  <si>
    <t>Woodson SHS</t>
  </si>
  <si>
    <t>Sharpe Health Spec Ed</t>
  </si>
  <si>
    <t>Prospect  LC</t>
  </si>
  <si>
    <t>McKinley SHS</t>
  </si>
  <si>
    <t>Wilson SHS</t>
  </si>
  <si>
    <t>Mamie D Lee</t>
  </si>
  <si>
    <t>Phelps SHS</t>
  </si>
  <si>
    <t>Senior High Schools Out of Compliance</t>
  </si>
  <si>
    <t>Non-Title I Schools</t>
  </si>
  <si>
    <t>Brent ES</t>
  </si>
  <si>
    <t>Eaton ES</t>
  </si>
  <si>
    <t>Hearst ES</t>
  </si>
  <si>
    <t>Hyde ES</t>
  </si>
  <si>
    <t>Janney ES</t>
  </si>
  <si>
    <t>Key ES</t>
  </si>
  <si>
    <t>Lafayette ES</t>
  </si>
  <si>
    <t>Mann ES</t>
  </si>
  <si>
    <t>Murch ES</t>
  </si>
  <si>
    <t>Oyster-Adams ES</t>
  </si>
  <si>
    <t xml:space="preserve">Peabody ES </t>
  </si>
  <si>
    <t>Reggio Emilia</t>
  </si>
  <si>
    <t>Shepherd ES</t>
  </si>
  <si>
    <t>Stoddert ES</t>
  </si>
  <si>
    <t>Watkins ES</t>
  </si>
  <si>
    <t>Deal MS</t>
  </si>
  <si>
    <t>School W/O Walls SHS</t>
  </si>
  <si>
    <t>Title I Schools</t>
  </si>
  <si>
    <t xml:space="preserve">Title I Funds      </t>
  </si>
  <si>
    <t xml:space="preserve">Title II Funds </t>
  </si>
  <si>
    <t>Total Schoolwide Allocation</t>
  </si>
  <si>
    <t>Federal Percentage</t>
  </si>
  <si>
    <t>Local Percentage</t>
  </si>
  <si>
    <t>Francis-Stevens EC</t>
  </si>
  <si>
    <t xml:space="preserve">LaSalle-Backus </t>
  </si>
  <si>
    <t>Marshall EC</t>
  </si>
  <si>
    <t>Ross ES (Targeted Assistance School)</t>
  </si>
  <si>
    <t>Webb-Wheatley ES</t>
  </si>
  <si>
    <t>Middle Schools</t>
  </si>
  <si>
    <t>Hardy ES (Targeted Assistance School)</t>
  </si>
  <si>
    <t>Hart JHS</t>
  </si>
  <si>
    <t>Jefferson JHS</t>
  </si>
  <si>
    <t>Johnson JHS</t>
  </si>
  <si>
    <t>Kelly Miller JHS</t>
  </si>
  <si>
    <t>Kramer JHS</t>
  </si>
  <si>
    <t>MacFarland JHS</t>
  </si>
  <si>
    <t>Ron Brown-Merritt MS</t>
  </si>
  <si>
    <t>Shaw-Garnett-Patterson MS</t>
  </si>
  <si>
    <t>Sousa JHS</t>
  </si>
  <si>
    <t>Stuart-Hobson JHS</t>
  </si>
  <si>
    <t>High Schools</t>
  </si>
  <si>
    <t>Totals</t>
  </si>
  <si>
    <t>l</t>
  </si>
  <si>
    <t>Local Funds</t>
  </si>
  <si>
    <t>PeopleSoft</t>
  </si>
  <si>
    <t>POSITION FUNDING DETAIL REPORT</t>
  </si>
  <si>
    <t>OCFO - DCPS</t>
  </si>
  <si>
    <t>Run Time</t>
  </si>
  <si>
    <t>AY</t>
  </si>
  <si>
    <t>Posn Nbr</t>
  </si>
  <si>
    <t>Emplid</t>
  </si>
  <si>
    <t>Empl Rcd</t>
  </si>
  <si>
    <t>Hire Date</t>
  </si>
  <si>
    <t>V</t>
  </si>
  <si>
    <t>Step</t>
  </si>
  <si>
    <t>Salary</t>
  </si>
  <si>
    <t>Agy</t>
  </si>
  <si>
    <t>Index</t>
  </si>
  <si>
    <t>PCA</t>
  </si>
  <si>
    <t>ORG</t>
  </si>
  <si>
    <t>Department Name</t>
  </si>
  <si>
    <t>Location Name</t>
  </si>
  <si>
    <t>A</t>
  </si>
  <si>
    <t>TEACHER,ELEMENTARY</t>
  </si>
  <si>
    <t>BEALE-DAVIS,TRESA</t>
  </si>
  <si>
    <t>F</t>
  </si>
  <si>
    <t>GA0</t>
  </si>
  <si>
    <t>MOODY,STEPHANIE D</t>
  </si>
  <si>
    <t>BURLESON,KATHY R</t>
  </si>
  <si>
    <t>NORRIS,SUSAN</t>
  </si>
  <si>
    <t>ALLEN,ANGELA J</t>
  </si>
  <si>
    <t>LEE,DARLENE M</t>
  </si>
  <si>
    <t>TEACHER</t>
  </si>
  <si>
    <t>KNIGHT,KEVA J</t>
  </si>
  <si>
    <t>WILEY,CRYSTAL Y</t>
  </si>
  <si>
    <t>HARRIS,SHEREE</t>
  </si>
  <si>
    <t>PRINCIPAL,ES</t>
  </si>
  <si>
    <t>MALYKHINA,IRINA</t>
  </si>
  <si>
    <t>HART,JANICE R</t>
  </si>
  <si>
    <t>HOWARD,VIVIAN</t>
  </si>
  <si>
    <t>WRIGHT,SHANNON</t>
  </si>
  <si>
    <t>DENBOW,MELISSA L</t>
  </si>
  <si>
    <t>ABDULLAH,IMANI A</t>
  </si>
  <si>
    <t>Social Worker</t>
  </si>
  <si>
    <t>NOBLE,JOHN</t>
  </si>
  <si>
    <t>Reuter,Robert William</t>
  </si>
  <si>
    <t>COMPUTER LAB COORDINATOR</t>
  </si>
  <si>
    <t>Teacher</t>
  </si>
  <si>
    <t>Frizzell,Tiffany Renee'</t>
  </si>
  <si>
    <t>P</t>
  </si>
  <si>
    <t>Amidon ES</t>
  </si>
  <si>
    <t>SOCIAL WORKER</t>
  </si>
  <si>
    <t>BROADWATER,JENNIFER</t>
  </si>
  <si>
    <t>PERRY,PARA C</t>
  </si>
  <si>
    <t>CARTER,ELLEN</t>
  </si>
  <si>
    <t>Teacher, Special Education</t>
  </si>
  <si>
    <t>WORTHINGTON,BEVERLY</t>
  </si>
  <si>
    <t>DICKENS JONES,JACQUELINE</t>
  </si>
  <si>
    <t>GRAY,DAWN CHRISTINE</t>
  </si>
  <si>
    <t>Neathery,Teresa M</t>
  </si>
  <si>
    <t>HUGEE,MIRIAM E</t>
  </si>
  <si>
    <t>DAVIS,BARBARA JOYCE</t>
  </si>
  <si>
    <t>WILLIAMS,DEVARNITA</t>
  </si>
  <si>
    <t>PEAKE,AYANNIE M</t>
  </si>
  <si>
    <t>NISHIMURA,BRENDA K</t>
  </si>
  <si>
    <t>TAYLOR,CAROL M</t>
  </si>
  <si>
    <t>BOWMAN JR,LEVI</t>
  </si>
  <si>
    <t>TUCKER,PAMELA J</t>
  </si>
  <si>
    <t>ENGLISH,SUZIE A</t>
  </si>
  <si>
    <t>Corneille,Gina L</t>
  </si>
  <si>
    <t>COUNSELOR</t>
  </si>
  <si>
    <t>PRINCIPAL</t>
  </si>
  <si>
    <t>Roberts,Ian A.</t>
  </si>
  <si>
    <t>Davidow,Molly Hannah</t>
  </si>
  <si>
    <t>Lehar,Sarah Y</t>
  </si>
  <si>
    <t>Carmichael,John Hayden</t>
  </si>
  <si>
    <t>Lucas,Hillary L.</t>
  </si>
  <si>
    <t>Comeforo,Kristofer</t>
  </si>
  <si>
    <t>Goddard,Stephen L.</t>
  </si>
  <si>
    <t>Keatley,Sean P.</t>
  </si>
  <si>
    <t>MITCHELL,KRISTIN L</t>
  </si>
  <si>
    <t>Bond,Walter T</t>
  </si>
  <si>
    <t>Copley,Brianna Marie</t>
  </si>
  <si>
    <t>Bailey,Deidra M.</t>
  </si>
  <si>
    <t>Walker,Lindsey J.</t>
  </si>
  <si>
    <t>Sturner,Lauren Marie</t>
  </si>
  <si>
    <t>Maignan,Genevieve</t>
  </si>
  <si>
    <t>SCOTT,QUIANA M</t>
  </si>
  <si>
    <t>Schimmerling,Jessica K</t>
  </si>
  <si>
    <t>Pachikara,Abraham Johnny</t>
  </si>
  <si>
    <t>KILLGO,KEITH W W.</t>
  </si>
  <si>
    <t>Tellado,Sindia L.</t>
  </si>
  <si>
    <t>Reidy,Anne-Marie</t>
  </si>
  <si>
    <t>Taylor,Melissa D</t>
  </si>
  <si>
    <t>Taylor III,James</t>
  </si>
  <si>
    <t>Wright,Zalika Siti</t>
  </si>
  <si>
    <t>Slade,Dedras M.</t>
  </si>
  <si>
    <t>Parks IV,Alonzo Darrel</t>
  </si>
  <si>
    <t>Wright,Felecia Kerline</t>
  </si>
  <si>
    <t>MITCHELL,SHEILA</t>
  </si>
  <si>
    <t>Robson,Willina Lucille</t>
  </si>
  <si>
    <t>NICHOLAS,NIA N</t>
  </si>
  <si>
    <t>ALLEN SIMMONS,LORETTA H</t>
  </si>
  <si>
    <t>BUTLER,DERRICK</t>
  </si>
  <si>
    <t>Vakharia,Ummkulthum Y.</t>
  </si>
  <si>
    <t>BEAN,SHARON A</t>
  </si>
  <si>
    <t>WATSON,DARRELL</t>
  </si>
  <si>
    <t>FRENCH,DWAYNE E</t>
  </si>
  <si>
    <t>DANIELS,SYLVIA R</t>
  </si>
  <si>
    <t>NELSON,JOANNE</t>
  </si>
  <si>
    <t>IVERSON,DEBRA</t>
  </si>
  <si>
    <t>NASH,MARK A</t>
  </si>
  <si>
    <t>DOROSTI,MAHMOOD</t>
  </si>
  <si>
    <t>WILCOTS,KENNETH A</t>
  </si>
  <si>
    <t>GIVENS,KELLEY R</t>
  </si>
  <si>
    <t>PETERSEN,MONIQUE</t>
  </si>
  <si>
    <t>GATHERS,STACEY R</t>
  </si>
  <si>
    <t>FETALCORIN,SONNY E</t>
  </si>
  <si>
    <t>BRANCH,RAHMAN L</t>
  </si>
  <si>
    <t>MORTIMER,MELISSA A</t>
  </si>
  <si>
    <t>KILLINGLEY,JESSICA LYNN</t>
  </si>
  <si>
    <t>Stutsman-Hubbell,Natasha E.</t>
  </si>
  <si>
    <t>GALLOWAY,ANITA A</t>
  </si>
  <si>
    <t>Byrd,Phyllis Nicholas</t>
  </si>
  <si>
    <t>BAUGHER,ALLISON R</t>
  </si>
  <si>
    <t>PATTERSON,MEGAN M</t>
  </si>
  <si>
    <t>BACA,ANDREW G</t>
  </si>
  <si>
    <t>SHINE,LEENA</t>
  </si>
  <si>
    <t>PUGH,TRAVIS</t>
  </si>
  <si>
    <t>DIMATTIO,STEPHEN J</t>
  </si>
  <si>
    <t>Masimini,M Themba</t>
  </si>
  <si>
    <t>STRAUGHTER,SHAMELE R</t>
  </si>
  <si>
    <t>Polk,Audra A</t>
  </si>
  <si>
    <t>Reece,Peter Fitzgerald</t>
  </si>
  <si>
    <t>Faber,Jonathan I.</t>
  </si>
  <si>
    <t>Hendricks,Robert L.</t>
  </si>
  <si>
    <t>Ford,Andre Lamont</t>
  </si>
  <si>
    <t>KIDD,TIFFANY P</t>
  </si>
  <si>
    <t>Romano,Lawrence J.</t>
  </si>
  <si>
    <t>PERRIN,SHANI S</t>
  </si>
  <si>
    <t>Fenton,Tonesia R.</t>
  </si>
  <si>
    <t>Libert,Claire Anne</t>
  </si>
  <si>
    <t>Erazo,Shajena</t>
  </si>
  <si>
    <t>Boddorff,Andrew Kevin</t>
  </si>
  <si>
    <t>FALLS,LAUREN B</t>
  </si>
  <si>
    <t>Rowe,Kira M</t>
  </si>
  <si>
    <t>Person,Dawn Charmayne</t>
  </si>
  <si>
    <t>Texada,Jessica Lanell</t>
  </si>
  <si>
    <t>AVERETT,SAMANTHA T</t>
  </si>
  <si>
    <t>Hill,Bryan M.</t>
  </si>
  <si>
    <t>JACKSON,MELISSA L</t>
  </si>
  <si>
    <t>JACKSON,SARAH M</t>
  </si>
  <si>
    <t>DAVIS,BENJAMIN</t>
  </si>
  <si>
    <t>GIBSON,KOURA  S R</t>
  </si>
  <si>
    <t>Tamdem,Erwana Jaquen</t>
  </si>
  <si>
    <t>MILLER,WILBERT L</t>
  </si>
  <si>
    <t>PENDER,MARSHA K</t>
  </si>
  <si>
    <t>TEACHER,WAE</t>
  </si>
  <si>
    <t>DAVIS,MARSTEN L</t>
  </si>
  <si>
    <t>FOWLER SMITH,ROSEMARY</t>
  </si>
  <si>
    <t>CURLEY,DARNELL</t>
  </si>
  <si>
    <t>TEACHER, WAE</t>
  </si>
  <si>
    <t>FORRESTER,VIOLA M</t>
  </si>
  <si>
    <t>TINNER,VALDENA Z</t>
  </si>
  <si>
    <t>WRIGHT,KIMBERLY D</t>
  </si>
  <si>
    <t>TEACHER, EDP</t>
  </si>
  <si>
    <t>HART,DEREK</t>
  </si>
  <si>
    <t>DAGGETT,RAOUL J</t>
  </si>
  <si>
    <t>MITCHELL,EARL M</t>
  </si>
  <si>
    <t>SHAIBU,MARY O</t>
  </si>
  <si>
    <t>TEACHER,READING</t>
  </si>
  <si>
    <t>MOORE,DORIS M</t>
  </si>
  <si>
    <t>JOHNSON,BRENDA V</t>
  </si>
  <si>
    <t>STEWARD,JEANETTE M</t>
  </si>
  <si>
    <t>TEACHER(WAE)</t>
  </si>
  <si>
    <t>HARRIS,BAROOK L</t>
  </si>
  <si>
    <t>PASLEY,BETTIE J</t>
  </si>
  <si>
    <t>School Psychologist</t>
  </si>
  <si>
    <t>TEACHER, WAE (ART)</t>
  </si>
  <si>
    <t>TEACHER, WAE (BARBER)</t>
  </si>
  <si>
    <t>Burnette,Gregory T</t>
  </si>
  <si>
    <t>WILLIAMS,TROY D</t>
  </si>
  <si>
    <t>ABRAMS,ROYLIN R</t>
  </si>
  <si>
    <t>BURBANK,MICHELE C</t>
  </si>
  <si>
    <t>BELL,KALAH E</t>
  </si>
  <si>
    <t>TEACHER,</t>
  </si>
  <si>
    <t>VERNON,GABRIEL N</t>
  </si>
  <si>
    <t>LAB COORDINATOR</t>
  </si>
  <si>
    <t>BOXLEY-DREW,ANNETTE O</t>
  </si>
  <si>
    <t>GRIFFIN JENKINS,MOLLIE H</t>
  </si>
  <si>
    <t>WHITE,HELEN-MARIE S</t>
  </si>
  <si>
    <t>SOCAIL STUDIES TEACHER</t>
  </si>
  <si>
    <t>BLACKETT,JOSEPH</t>
  </si>
  <si>
    <t>SARTER,JOANNE L</t>
  </si>
  <si>
    <t>Long,Sylvia M</t>
  </si>
  <si>
    <t>Symonette,Carolyn L</t>
  </si>
  <si>
    <t>Lyons,Judy Carol</t>
  </si>
  <si>
    <t>WHITENER,YOLANDA L</t>
  </si>
  <si>
    <t>Larsen,Laura Ann</t>
  </si>
  <si>
    <t>Bradley,Tina N</t>
  </si>
  <si>
    <t>SCARANO,PAMELA STEWART</t>
  </si>
  <si>
    <t>CHAMORRO BECKENHAUER,MARIA E</t>
  </si>
  <si>
    <t>ADAMS,JOYCE L</t>
  </si>
  <si>
    <t>FRYE,BRIAN L</t>
  </si>
  <si>
    <t>ALCALDE,MARY ANN</t>
  </si>
  <si>
    <t>CLIPPER,SHARON M</t>
  </si>
  <si>
    <t>Sackor,Zakiya Tiomaya</t>
  </si>
  <si>
    <t>MIELE,ANDREW T</t>
  </si>
  <si>
    <t>FRANKLIN,JACQUELINE D</t>
  </si>
  <si>
    <t>CARIAS,AIDA Y</t>
  </si>
  <si>
    <t>WATTS,TARA M</t>
  </si>
  <si>
    <t>LEMOS,JUAN M</t>
  </si>
  <si>
    <t>MARTINEZ,JESSICA Y</t>
  </si>
  <si>
    <t>MCCOY,MICHAEL</t>
  </si>
  <si>
    <t>PALMA,ELISA-JIMENA</t>
  </si>
  <si>
    <t>DAO,LAN NHU</t>
  </si>
  <si>
    <t>GARDUNO,GABRIELA</t>
  </si>
  <si>
    <t>Sims,Linda C.</t>
  </si>
  <si>
    <t>MELCHOR,ELIZABETH</t>
  </si>
  <si>
    <t>NGUYEN,LY N</t>
  </si>
  <si>
    <t>MEYER,JORDAN R</t>
  </si>
  <si>
    <t>Foy,Meghan A.</t>
  </si>
  <si>
    <t>CASANOVA,ANTONIO</t>
  </si>
  <si>
    <t>Carrasco Curiel,Luis L</t>
  </si>
  <si>
    <t>Lozano,Ines M.</t>
  </si>
  <si>
    <t>Lebowitz,Rebecca Blazar</t>
  </si>
  <si>
    <t>Flores,Valerie Diana</t>
  </si>
  <si>
    <t>Raseman,Jacqueline K</t>
  </si>
  <si>
    <t>BRADLEY,MARNETTA L</t>
  </si>
  <si>
    <t>Zu,Prince Nicholas</t>
  </si>
  <si>
    <t>VASQUEZ GONZALEZ,ANA</t>
  </si>
  <si>
    <t>ALLEN,SANDRA</t>
  </si>
  <si>
    <t>JEFFERSON,VERNITA L</t>
  </si>
  <si>
    <t>HYLTON,JANICE J</t>
  </si>
  <si>
    <t>TEACH,JOSEPH F</t>
  </si>
  <si>
    <t>WARREN,WHITNEY M</t>
  </si>
  <si>
    <t>MAHONEY,JOHN F</t>
  </si>
  <si>
    <t>KERN,RAYMOND L</t>
  </si>
  <si>
    <t>PRESLEY,JOSEPH J</t>
  </si>
  <si>
    <t>SINGER,RICHARD</t>
  </si>
  <si>
    <t>BERGER,ANITA M</t>
  </si>
  <si>
    <t>SPICER,GARY W</t>
  </si>
  <si>
    <t>BOONE,SIMONE</t>
  </si>
  <si>
    <t>NGUYEN,DUCTAI</t>
  </si>
  <si>
    <t>SPINNER,MARVIN A</t>
  </si>
  <si>
    <t>GOLDFARB,DANIEL</t>
  </si>
  <si>
    <t>JOMUAD,AMADOR B</t>
  </si>
  <si>
    <t>LEIGHTY,JACQUE W</t>
  </si>
  <si>
    <t>LEVKNECHT,JESSICA M</t>
  </si>
  <si>
    <t>BURRELL,OLUTOSIN</t>
  </si>
  <si>
    <t>FEESER,CHARLES L</t>
  </si>
  <si>
    <t>JACOBSON,MANDI A</t>
  </si>
  <si>
    <t>MOORE,KRISTEN C</t>
  </si>
  <si>
    <t>KABINGUE,JESUS C</t>
  </si>
  <si>
    <t>TEACEHR, HEALTH PE</t>
  </si>
  <si>
    <t>DENNIS,JANICE C</t>
  </si>
  <si>
    <t>Jones,Tiffani J.</t>
  </si>
  <si>
    <t>WILLIAMS,TEDRA N</t>
  </si>
  <si>
    <t>REID,GRACE ALWEN</t>
  </si>
  <si>
    <t>MONTGOMERY,SANDRA V</t>
  </si>
  <si>
    <t>MOORE,DEDRA D</t>
  </si>
  <si>
    <t>MCCREA,SHARON FRANCEA</t>
  </si>
  <si>
    <t>MEDLEY,VALERIE</t>
  </si>
  <si>
    <t>FLANAGAN,DEBORAH A</t>
  </si>
  <si>
    <t>BLAIR,SITA</t>
  </si>
  <si>
    <t>NEITA,JANICE KAMAL</t>
  </si>
  <si>
    <t>THOMPSON,VERONICA</t>
  </si>
  <si>
    <t>SANTANA,DANNIELLE R</t>
  </si>
  <si>
    <t>Jackson,Katherine E.</t>
  </si>
  <si>
    <t>LEWIS,D RENEE</t>
  </si>
  <si>
    <t>VARGAS,MARIBEL</t>
  </si>
  <si>
    <t>BURKE,NKENGE K</t>
  </si>
  <si>
    <t>Feldman,Erica</t>
  </si>
  <si>
    <t>THOMPSON,GEM A</t>
  </si>
  <si>
    <t>MEREDITH,GERALDINE</t>
  </si>
  <si>
    <t>MAJER,ALINA</t>
  </si>
  <si>
    <t>Lowe-Watson,Rahshita Takeshia</t>
  </si>
  <si>
    <t>Golden,Nicole A.</t>
  </si>
  <si>
    <t>Lukcic,Lee Anne</t>
  </si>
  <si>
    <t>ROBINSON,TERENCE A</t>
  </si>
  <si>
    <t>Jain,Amonica</t>
  </si>
  <si>
    <t>CORNISH,JOANN J</t>
  </si>
  <si>
    <t>Alston,Robyn Nicole</t>
  </si>
  <si>
    <t>Druelinger,Erin E.</t>
  </si>
  <si>
    <t>PAYTON,GWENDOLYN</t>
  </si>
  <si>
    <t>AGURS,KATRINKA M</t>
  </si>
  <si>
    <t>HALLFORD,JESSICA D</t>
  </si>
  <si>
    <t>WOODY,SANDRA B</t>
  </si>
  <si>
    <t>PARSON,WANDA Y</t>
  </si>
  <si>
    <t>OBRYANT,CRYSTAL</t>
  </si>
  <si>
    <t>WILLIAMS,HUBERT A</t>
  </si>
  <si>
    <t>Latney,Constance M</t>
  </si>
  <si>
    <t>MATTHEWS,RHODA S</t>
  </si>
  <si>
    <t>FAULK,KAREN A</t>
  </si>
  <si>
    <t>JACKSON,JAMES</t>
  </si>
  <si>
    <t>GUMBS,LYDIA E</t>
  </si>
  <si>
    <t>COX,DEBORAH K</t>
  </si>
  <si>
    <t>FULLEN JR,THOMAS HENRY</t>
  </si>
  <si>
    <t>EVERETTE,THERESA</t>
  </si>
  <si>
    <t>Marbury,Cara J.</t>
  </si>
  <si>
    <t>Brown,Jeffrey</t>
  </si>
  <si>
    <t>Easter,Debra R.</t>
  </si>
  <si>
    <t>Dunne,Meghan Theresa</t>
  </si>
  <si>
    <t>Harris,Stephanie</t>
  </si>
  <si>
    <t>Goldstein,Julia Michelle</t>
  </si>
  <si>
    <t>Little,Richard K.</t>
  </si>
  <si>
    <t>LEWIS,DEIRDRE A</t>
  </si>
  <si>
    <t>DERR,STACEY</t>
  </si>
  <si>
    <t>COPELAND,MELINDA Y</t>
  </si>
  <si>
    <t>LEVIN,JANINE E</t>
  </si>
  <si>
    <t>HILL,JOANN S</t>
  </si>
  <si>
    <t>HOMAYOUN-SALIMI,SHOHREH</t>
  </si>
  <si>
    <t>PIERCE  STEUBER,DANIELLE E</t>
  </si>
  <si>
    <t>Grossman,Nathaniel L.</t>
  </si>
  <si>
    <t>DINKES,MICHELLE H</t>
  </si>
  <si>
    <t>Connolly,Sean D</t>
  </si>
  <si>
    <t>Smith,Shareen Christine-Lessie</t>
  </si>
  <si>
    <t>Mangiaracina,Michael Bernard</t>
  </si>
  <si>
    <t>Ewbanks,Sara Hart</t>
  </si>
  <si>
    <t>Harding-Wright,Amy M.</t>
  </si>
  <si>
    <t>O'Rourke,Michelle A</t>
  </si>
  <si>
    <t>Montgomery,Meagan</t>
  </si>
  <si>
    <t>PAXSON,WHITNEY B</t>
  </si>
  <si>
    <t>Vaugeois,Kimberly A</t>
  </si>
  <si>
    <t>Sadowsky,Julia B</t>
  </si>
  <si>
    <t>NEAL,KAREN M</t>
  </si>
  <si>
    <t>AYANGBESAN,OLUBUSOLA O</t>
  </si>
  <si>
    <t>WEHLIYE,ABDI EYNI</t>
  </si>
  <si>
    <t>VELI,BRENDA S</t>
  </si>
  <si>
    <t>HUDSON,ALICIA D</t>
  </si>
  <si>
    <t>STAPLEFOOTE,CLARENCE T</t>
  </si>
  <si>
    <t>RANSOM,NONA A</t>
  </si>
  <si>
    <t>GRACE,JACQUELINE A</t>
  </si>
  <si>
    <t>WILLIAMS,DESIREE H</t>
  </si>
  <si>
    <t>FENNEL,DENISE Y</t>
  </si>
  <si>
    <t>RIVERA,GENEVA C</t>
  </si>
  <si>
    <t>ALEXANDER,CLIFFORD A</t>
  </si>
  <si>
    <t>ESPINEL ROBERTS,CRISTINA</t>
  </si>
  <si>
    <t>BROWN,ANDREW T.</t>
  </si>
  <si>
    <t>CLARK,SABRINA E</t>
  </si>
  <si>
    <t>GALLOWAY,DOROTHY M</t>
  </si>
  <si>
    <t>LANDBERG,STEPHEN ERIC</t>
  </si>
  <si>
    <t>BARNETT,ERICA R</t>
  </si>
  <si>
    <t>HASSAN,LAURA</t>
  </si>
  <si>
    <t>RIZK,NAGWA</t>
  </si>
  <si>
    <t>ANDERSON,JOHN</t>
  </si>
  <si>
    <t>FOX,WANDA A</t>
  </si>
  <si>
    <t>ROY,DAMEION P</t>
  </si>
  <si>
    <t>LEVY,JAMES D</t>
  </si>
  <si>
    <t>SHARMA,KALPANA KUMAR</t>
  </si>
  <si>
    <t>DELA TORRE,EDWIN O</t>
  </si>
  <si>
    <t>CONOVER,CARYNNE A</t>
  </si>
  <si>
    <t>GRADOS,RAUL</t>
  </si>
  <si>
    <t>NEAT,KENNETH J</t>
  </si>
  <si>
    <t>RILEY,QUIANA A</t>
  </si>
  <si>
    <t>SCHURMAN,RUBEN H</t>
  </si>
  <si>
    <t>CHANSAVONG,SINPHENG C</t>
  </si>
  <si>
    <t>WILLS,MONICA V</t>
  </si>
  <si>
    <t>NELSON,SHANNON M</t>
  </si>
  <si>
    <t>Swick,Michelle P.</t>
  </si>
  <si>
    <t>Oliver-Kee,Shakera S.</t>
  </si>
  <si>
    <t>Gingrich,Megan L.</t>
  </si>
  <si>
    <t>Ayrom,Alexander</t>
  </si>
  <si>
    <t>Davis,Laterrita M.R.</t>
  </si>
  <si>
    <t>STEVENS,VALERIE J</t>
  </si>
  <si>
    <t>Brookland ES</t>
  </si>
  <si>
    <t>TURNER,RONNELLE J</t>
  </si>
  <si>
    <t>LEHMAN II,JOEL D</t>
  </si>
  <si>
    <t>PENDLETON,FRANK</t>
  </si>
  <si>
    <t>STARKE,TIFFANY S</t>
  </si>
  <si>
    <t>LANG,SHEILA</t>
  </si>
  <si>
    <t>WILLIAMS,DENISE</t>
  </si>
  <si>
    <t>HASTY,PAULA L</t>
  </si>
  <si>
    <t>DAVID,LINDA L</t>
  </si>
  <si>
    <t>CREPPY HETHERINGTON,GLADYS A</t>
  </si>
  <si>
    <t>HOUSTON,MICHELE D</t>
  </si>
  <si>
    <t>BYNUM-JACKSON,TONUIA I</t>
  </si>
  <si>
    <t>LEE PENDER,SHONDA</t>
  </si>
  <si>
    <t>JONES,DEREYK A</t>
  </si>
  <si>
    <t>MACAULAY,MABEL A</t>
  </si>
  <si>
    <t>MADUAKO,ELEANOR N</t>
  </si>
  <si>
    <t>OTERO,MARK</t>
  </si>
  <si>
    <t>JONES,DERIK I</t>
  </si>
  <si>
    <t>REESE,MONIQUE BENAI</t>
  </si>
  <si>
    <t>LEVY,SAMUEL B</t>
  </si>
  <si>
    <t>Wilson,Tawana Nicole</t>
  </si>
  <si>
    <t>KOMMA,PAVANAJA D</t>
  </si>
  <si>
    <t>Jones,Bridget M.</t>
  </si>
  <si>
    <t>Sholtas,Stephen M.</t>
  </si>
  <si>
    <t>MILLER,LINDA D.</t>
  </si>
  <si>
    <t>ROBERSON,ANNE ELIZABETH</t>
  </si>
  <si>
    <t>MACK,RASHAD IAN</t>
  </si>
  <si>
    <t>Browne JHS</t>
  </si>
  <si>
    <t>BICKERSTAFF,LINDA</t>
  </si>
  <si>
    <t>PHILYAW WEANS,LORRAINE R</t>
  </si>
  <si>
    <t>BROWN,DEATER J</t>
  </si>
  <si>
    <t>MITCHELL,GWENDOLYN A</t>
  </si>
  <si>
    <t>MCDOWELL,BEVERLY</t>
  </si>
  <si>
    <t>BELK,HARRIET C M</t>
  </si>
  <si>
    <t>SHARPE,CYNTHIA E</t>
  </si>
  <si>
    <t>RICH,DEANGELA M</t>
  </si>
  <si>
    <t>HAILSTORKS,INGA</t>
  </si>
  <si>
    <t>NANTAIS,HOLLY ANN</t>
  </si>
  <si>
    <t>DORITY,CLEOLA E</t>
  </si>
  <si>
    <t>HAWKINS,DONALD M</t>
  </si>
  <si>
    <t>VELEZ,STEPHEN J-C</t>
  </si>
  <si>
    <t>Taylor,William A</t>
  </si>
  <si>
    <t>BARKER,DAVID</t>
  </si>
  <si>
    <t>SMITH,MICHELLE D</t>
  </si>
  <si>
    <t>Cherry,Linda R.</t>
  </si>
  <si>
    <t>CHU,CATHERINE A</t>
  </si>
  <si>
    <t>SALAHUDDIN,NAIMAH V</t>
  </si>
  <si>
    <t>LANEY,PATRICIA T</t>
  </si>
  <si>
    <t>Raben,Kelly L</t>
  </si>
  <si>
    <t>Lookner,Benjamin J.</t>
  </si>
  <si>
    <t>HENDERSON,DJUNA MARCIA</t>
  </si>
  <si>
    <t>Parker,Isaac L.</t>
  </si>
  <si>
    <t>BUTLER,MAURICE L</t>
  </si>
  <si>
    <t>FOSTER,TRACY</t>
  </si>
  <si>
    <t>CANALES CRUZ,FLOR</t>
  </si>
  <si>
    <t>ACOSTA,RAMIRO</t>
  </si>
  <si>
    <t>Lucas,Karen D</t>
  </si>
  <si>
    <t>MASSEY,RONALD L</t>
  </si>
  <si>
    <t>BEGAZO,REBECCA</t>
  </si>
  <si>
    <t>ALMAZAN-JOHNSON,LUCRECIA</t>
  </si>
  <si>
    <t>HURTADO,SENOVA L</t>
  </si>
  <si>
    <t>PALACIOS,MARTA N</t>
  </si>
  <si>
    <t>SYLVIA,CRYSTAL</t>
  </si>
  <si>
    <t>BUSTILLO,ALETHEA B</t>
  </si>
  <si>
    <t>Irby,Patricia L.</t>
  </si>
  <si>
    <t>GHANADAN,GHOLAM R</t>
  </si>
  <si>
    <t>SWEENEY,ANN C</t>
  </si>
  <si>
    <t>LAHTI-HOMMEYER,LYNN</t>
  </si>
  <si>
    <t>Angel,Eric A.</t>
  </si>
  <si>
    <t>FRAGER,AVIGAIL S</t>
  </si>
  <si>
    <t>VALDIVIA,NARDA C</t>
  </si>
  <si>
    <t>MCMILLAN,JACQUELINE A</t>
  </si>
  <si>
    <t>Mills,Vivienne V.</t>
  </si>
  <si>
    <t>Pierson,Jennifer L.</t>
  </si>
  <si>
    <t>THULIER,EMILY J</t>
  </si>
  <si>
    <t>ABDUSSALAAM,KATRINA M</t>
  </si>
  <si>
    <t>YOMBO,ERNEST M</t>
  </si>
  <si>
    <t>Padilla,Kelley Michele</t>
  </si>
  <si>
    <t>Lingat,John Eric</t>
  </si>
  <si>
    <t>Santana-Acevedo,Jeannette L</t>
  </si>
  <si>
    <t>PINEDA DE HERNANDEZ,LILIAN M</t>
  </si>
  <si>
    <t>Velez,Vivian</t>
  </si>
  <si>
    <t>Secore,Maribel B.</t>
  </si>
  <si>
    <t>Conley,Charlotte Cocke</t>
  </si>
  <si>
    <t>Burroughs ES</t>
  </si>
  <si>
    <t>CROSS,OLIVIA D</t>
  </si>
  <si>
    <t>NOLAN,KERRY</t>
  </si>
  <si>
    <t>PARKER,VEALETTA A</t>
  </si>
  <si>
    <t>TAYLOR III,RODERICK</t>
  </si>
  <si>
    <t>Weston,Mary Elizabeth</t>
  </si>
  <si>
    <t>ROSS,KATHRYN R</t>
  </si>
  <si>
    <t>BROWN,GLORIA M</t>
  </si>
  <si>
    <t>WATTS,GAYLE A</t>
  </si>
  <si>
    <t>COOK,THERESA CAROLYN</t>
  </si>
  <si>
    <t>NEZNEK,MARY E</t>
  </si>
  <si>
    <t>HARROD,HOPE C</t>
  </si>
  <si>
    <t>TEEL,PHYLLIS D</t>
  </si>
  <si>
    <t>Fulford,Chintina R</t>
  </si>
  <si>
    <t>HENRY,EMILY A</t>
  </si>
  <si>
    <t>RIDLEY,NIKKI A</t>
  </si>
  <si>
    <t>Toye,Tarsha</t>
  </si>
  <si>
    <t>KELLY,BRENDA S</t>
  </si>
  <si>
    <t>HEGNER,AMY</t>
  </si>
  <si>
    <t>EWING,ALISON LORRAINE</t>
  </si>
  <si>
    <t>Graham,Tiphanie C.</t>
  </si>
  <si>
    <t>WEHNER,JENNIFER M.</t>
  </si>
  <si>
    <t>Wills,Erick P.</t>
  </si>
  <si>
    <t>Kennedy,Laurine Denise</t>
  </si>
  <si>
    <t>JONES,MELVINA V</t>
  </si>
  <si>
    <t>Moonie,Jajuana D</t>
  </si>
  <si>
    <t>O'NEAL,KENNETH</t>
  </si>
  <si>
    <t>Marlow,Carlton</t>
  </si>
  <si>
    <t>HARPER,FLORENCE B</t>
  </si>
  <si>
    <t>JOHNSON,NATALLE P</t>
  </si>
  <si>
    <t>GILL,CANDACE E</t>
  </si>
  <si>
    <t>COMPUTER LAB COORD.</t>
  </si>
  <si>
    <t>ALLEN,LILLIAN R</t>
  </si>
  <si>
    <t>SMITH,KAREN M</t>
  </si>
  <si>
    <t>OWUSU ACHEAW,SAM K</t>
  </si>
  <si>
    <t>ISOM,ANGELA D</t>
  </si>
  <si>
    <t>MASON,ANGELA D</t>
  </si>
  <si>
    <t>RICE,ROBIN Y</t>
  </si>
  <si>
    <t>FORTE,DARYL L</t>
  </si>
  <si>
    <t>PURYEAR,CHRYSTAL R</t>
  </si>
  <si>
    <t>MCCOY,CATHY L</t>
  </si>
  <si>
    <t>RUTLEDGE,DONNIE R</t>
  </si>
  <si>
    <t>Brown,Jamal A.</t>
  </si>
  <si>
    <t>WHITE,DELISSA S</t>
  </si>
  <si>
    <t>Davis,Tracy L.</t>
  </si>
  <si>
    <t>DALTON,KANIKA</t>
  </si>
  <si>
    <t>LEE,CHIARA</t>
  </si>
  <si>
    <t>Haizlip,Tiffany Antionette</t>
  </si>
  <si>
    <t>CRITCHFIELD,LUCINDA</t>
  </si>
  <si>
    <t>INSTRUCTOR,JROTC</t>
  </si>
  <si>
    <t>THOMAS,GEORGE E</t>
  </si>
  <si>
    <t>O Leary Jr.,Frazier L</t>
  </si>
  <si>
    <t>PIERROT,C ADRIENNE</t>
  </si>
  <si>
    <t>HUTCHINSON,GAYLE B</t>
  </si>
  <si>
    <t>Brown,Joan T</t>
  </si>
  <si>
    <t>MCCALL,SHIRLEY C</t>
  </si>
  <si>
    <t>TELZROW,GEORGE</t>
  </si>
  <si>
    <t>STARK,JANICE A</t>
  </si>
  <si>
    <t>COOKS,DORIS M</t>
  </si>
  <si>
    <t>SHAKOOR,WAHEEDAH A</t>
  </si>
  <si>
    <t>PEARMAN,DEBORAH S</t>
  </si>
  <si>
    <t>PARKER RANKIN,DEBORAH P</t>
  </si>
  <si>
    <t>TURNER,CAROLYN A</t>
  </si>
  <si>
    <t>MOORE,MICHAEL</t>
  </si>
  <si>
    <t>JANIFER,MARSHALL D</t>
  </si>
  <si>
    <t>BANKS,ERICA J</t>
  </si>
  <si>
    <t>GRIFFIN,SCOTT ART</t>
  </si>
  <si>
    <t>FOX,KEVIN M</t>
  </si>
  <si>
    <t>POPOL,LEONEL O</t>
  </si>
  <si>
    <t>EVANS,JIM A</t>
  </si>
  <si>
    <t>TABRON,MICHAEL V</t>
  </si>
  <si>
    <t>SYLVIA,KERRY L</t>
  </si>
  <si>
    <t>JONES,CHRISTOPHER E</t>
  </si>
  <si>
    <t>MARDRE,VICTORIA R</t>
  </si>
  <si>
    <t>CAUTHEN,MURIEL L</t>
  </si>
  <si>
    <t>BUCKNER,HARRISON</t>
  </si>
  <si>
    <t>JACKSON,FLOYD H</t>
  </si>
  <si>
    <t>MCLAUGHLIN,JENNIFER A</t>
  </si>
  <si>
    <t>BRUNSON,MITCHELL V</t>
  </si>
  <si>
    <t>MCCANTS,GREGORY</t>
  </si>
  <si>
    <t>SMITH,MOLLY E</t>
  </si>
  <si>
    <t>LEATHERMAN,JAMES A</t>
  </si>
  <si>
    <t>GREGORY,DEWAYNE R</t>
  </si>
  <si>
    <t>KING,KIMBERLY</t>
  </si>
  <si>
    <t>Mommandi,Wagma S.</t>
  </si>
  <si>
    <t>Thompson,Brian M.</t>
  </si>
  <si>
    <t>Hofmann,Rachel M</t>
  </si>
  <si>
    <t>Reyes-Matos,Roberto</t>
  </si>
  <si>
    <t>Stryker,Alexandra T</t>
  </si>
  <si>
    <t>Campbell,Clover Elaine</t>
  </si>
  <si>
    <t>Franklin-Zaslavsky,Lea C.</t>
  </si>
  <si>
    <t>WHITEHEAD,DEIDRA</t>
  </si>
  <si>
    <t>NOTYCE,CONRADO E</t>
  </si>
  <si>
    <t>SATTERFIELD,TERRY L</t>
  </si>
  <si>
    <t>Douglas</t>
  </si>
  <si>
    <t>STATEN,LILLIAN M</t>
  </si>
  <si>
    <t>JOHNSON,CRYSTAL L</t>
  </si>
  <si>
    <t>HARRIS,ALFREDA E</t>
  </si>
  <si>
    <t>DREHER,ANNETTE SHEVONNE</t>
  </si>
  <si>
    <t>BURTON,FREDRICK</t>
  </si>
  <si>
    <t>GIVENS,TERESA</t>
  </si>
  <si>
    <t>HOWARD III,BENNIE C</t>
  </si>
  <si>
    <t>West,Patricia</t>
  </si>
  <si>
    <t>STEWART,ERNESH D</t>
  </si>
  <si>
    <t>HUDSON,KANO</t>
  </si>
  <si>
    <t>LAWS,YARBROUGH C</t>
  </si>
  <si>
    <t>GIBSON,SHENIKA</t>
  </si>
  <si>
    <t>HERRING MENSAH,MADIA</t>
  </si>
  <si>
    <t>WILLIAMS,CHARLIE</t>
  </si>
  <si>
    <t>TRANSITION SPECIALIST</t>
  </si>
  <si>
    <t>Thomas,Carlos R</t>
  </si>
  <si>
    <t>BLAND,KIMBERLY</t>
  </si>
  <si>
    <t>FRANK,STEPHANIE E</t>
  </si>
  <si>
    <t>OMENITSCH,BELINDA M</t>
  </si>
  <si>
    <t>MCLAUGHLIN,BARBARA J</t>
  </si>
  <si>
    <t>MICKEY,RITA A</t>
  </si>
  <si>
    <t>MAIR,ANNIE R</t>
  </si>
  <si>
    <t>TAYLOR BROWN,HARDETT</t>
  </si>
  <si>
    <t>MCDONALD,GAIL M</t>
  </si>
  <si>
    <t>JOHNSON,YOLANDA R</t>
  </si>
  <si>
    <t>MAXIMILIANO,ROSSANA</t>
  </si>
  <si>
    <t>RUSHING,DELORES M</t>
  </si>
  <si>
    <t>BLAYLOCK,HELEN L</t>
  </si>
  <si>
    <t>LUBKEMAN,VICKI D</t>
  </si>
  <si>
    <t>NELSON,JACQUELINE D</t>
  </si>
  <si>
    <t>WRIGHT,WILLIAM V</t>
  </si>
  <si>
    <t>WOODEN-GREEN,MARY L</t>
  </si>
  <si>
    <t>SUGARAY,JOSE A</t>
  </si>
  <si>
    <t>RANDALL,AISHA J</t>
  </si>
  <si>
    <t>FORDE,MERLENE E</t>
  </si>
  <si>
    <t>MONTIEL,JULIETA</t>
  </si>
  <si>
    <t>PARKER,PAMELA J</t>
  </si>
  <si>
    <t>Robinson,Charisse Herron</t>
  </si>
  <si>
    <t>Kendrick,Ivonne</t>
  </si>
  <si>
    <t>GATLING,CRYSTAL B</t>
  </si>
  <si>
    <t>Timmons,Mieya A.</t>
  </si>
  <si>
    <t>PRYOR,CHERYL</t>
  </si>
  <si>
    <t>LINDSAY,CAROLYN M</t>
  </si>
  <si>
    <t>ACADEMY COORDINATOR</t>
  </si>
  <si>
    <t>EMAMI,FAKROLSADA A</t>
  </si>
  <si>
    <t>ATTOH,GOZIAM T</t>
  </si>
  <si>
    <t>AKWARANDU,AGNES C</t>
  </si>
  <si>
    <t>BAKER,SANDRA S</t>
  </si>
  <si>
    <t>SMITH,KERVIN R</t>
  </si>
  <si>
    <t>GAETJENS,LESLY</t>
  </si>
  <si>
    <t>ECHEVARRIA,EDITH</t>
  </si>
  <si>
    <t>Belser,Megan Prunty</t>
  </si>
  <si>
    <t>SALAH,MOUSA M</t>
  </si>
  <si>
    <t>DANIELS,GARY</t>
  </si>
  <si>
    <t>VIALPANDO,JACQUELINE M</t>
  </si>
  <si>
    <t>MOLINA,VICTOR</t>
  </si>
  <si>
    <t>ELWELL,SARAH A</t>
  </si>
  <si>
    <t>CABRERA ROSALES,SANDRA L</t>
  </si>
  <si>
    <t>BUCKMAN,DEBORAH</t>
  </si>
  <si>
    <t>EDWARDS,KRISTIE M</t>
  </si>
  <si>
    <t>MADRIGAL,VERONICA N.</t>
  </si>
  <si>
    <t>MCCULLOCH,MANDY M</t>
  </si>
  <si>
    <t>ALEXANDER,DESMOND D</t>
  </si>
  <si>
    <t>ALLEN,REISS J</t>
  </si>
  <si>
    <t>TUKEVA,MARIA</t>
  </si>
  <si>
    <t>DIAZ,LUIS A</t>
  </si>
  <si>
    <t>Smith,Roman A.</t>
  </si>
  <si>
    <t>MOLINA,ANDREA</t>
  </si>
  <si>
    <t>Nachemja- Bunton,Stephanie K</t>
  </si>
  <si>
    <t>LYONS,O'KIYYAH L</t>
  </si>
  <si>
    <t>GIRON,KATHERINE D</t>
  </si>
  <si>
    <t>DE VARGAS,DESEPE K</t>
  </si>
  <si>
    <t>CRIVELLI-DIAMOND,PAULA C</t>
  </si>
  <si>
    <t>BOYKIN III,JOSEPH V</t>
  </si>
  <si>
    <t>Magee,Peter Matthew</t>
  </si>
  <si>
    <t>Nugent,Taneka Ann</t>
  </si>
  <si>
    <t>SHAW,JANATHEL M</t>
  </si>
  <si>
    <t>Malcolm,Elizabeth Anne</t>
  </si>
  <si>
    <t>NESETH,PAULA C</t>
  </si>
  <si>
    <t>BARNETT,AMYLIA C</t>
  </si>
  <si>
    <t>DADZIE,SUZANNE A</t>
  </si>
  <si>
    <t>Chatalian,Megan E.</t>
  </si>
  <si>
    <t>DEYON,JOHNSON</t>
  </si>
  <si>
    <t>CHIU,SHUK-KUEN</t>
  </si>
  <si>
    <t>MBELLA,STEPHANIE</t>
  </si>
  <si>
    <t>PEDDYREDDY,LAKSHMI D</t>
  </si>
  <si>
    <t>CONNOR,GEORGE R</t>
  </si>
  <si>
    <t>Delabar,Amanda Darline</t>
  </si>
  <si>
    <t>Athmer,Robert M.</t>
  </si>
  <si>
    <t>Aljets,Diana Carrie</t>
  </si>
  <si>
    <t>Lebovich,Taylor K.</t>
  </si>
  <si>
    <t>WADE,JEROME J</t>
  </si>
  <si>
    <t>Thweatt,Adrian D.</t>
  </si>
  <si>
    <t>HARVEY,CARLINGTON G</t>
  </si>
  <si>
    <t>Shoenthal,Michael</t>
  </si>
  <si>
    <t>Edmonds,Laramarie B.</t>
  </si>
  <si>
    <t>CLARK,NIKI M.</t>
  </si>
  <si>
    <t>Cadogan Sr.,Rene Felipe</t>
  </si>
  <si>
    <t>Monreal,Iyoel</t>
  </si>
  <si>
    <t>Standish,Alice S.</t>
  </si>
  <si>
    <t>Melmed,Jonathan Kyle</t>
  </si>
  <si>
    <t>Saxon,Donna Felice</t>
  </si>
  <si>
    <t>Cannon,LaToshia N</t>
  </si>
  <si>
    <t>Walker,Paulette Simoni</t>
  </si>
  <si>
    <t>Schutt,Thomas H.</t>
  </si>
  <si>
    <t>Hughes,Molly M.</t>
  </si>
  <si>
    <t>Restak,Jennifer M.</t>
  </si>
  <si>
    <t>CANIZALES,MAYRA A.</t>
  </si>
  <si>
    <t>Berke,Clare R.</t>
  </si>
  <si>
    <t>HINKSON,RESHEEDA A</t>
  </si>
  <si>
    <t>Davis,Walter L.</t>
  </si>
  <si>
    <t>Hashem,Rasha</t>
  </si>
  <si>
    <t>YOUNG,TYNIKA T</t>
  </si>
  <si>
    <t>Onley,David A.</t>
  </si>
  <si>
    <t>CHISLEY,CHRISTOPHER</t>
  </si>
  <si>
    <t>Cooke H.D. ES</t>
  </si>
  <si>
    <t>Jones,Meredith</t>
  </si>
  <si>
    <t>CARRION,CESAR</t>
  </si>
  <si>
    <t>MILLER,LISA M</t>
  </si>
  <si>
    <t>BRUNSON,ZAKIA A</t>
  </si>
  <si>
    <t>BERGHEA,LIVIA D.</t>
  </si>
  <si>
    <t>WESLEY,KAREN D</t>
  </si>
  <si>
    <t>Morgan,Dawn J.</t>
  </si>
  <si>
    <t>SILVA,JESSICA M</t>
  </si>
  <si>
    <t>CAMPBELL,ANNE</t>
  </si>
  <si>
    <t>ROSENBERG,RACHEL E</t>
  </si>
  <si>
    <t>MCCONICO,NOELE H</t>
  </si>
  <si>
    <t>BLACK,KATHLEEN G</t>
  </si>
  <si>
    <t>Green,Whitney F</t>
  </si>
  <si>
    <t>HIGH,LEROY SEWALL</t>
  </si>
  <si>
    <t>Arbiter,Brabara Ilene</t>
  </si>
  <si>
    <t>BRANCH Jr.,EUGENE</t>
  </si>
  <si>
    <t>SANJURJO DAVILA,JOSE E</t>
  </si>
  <si>
    <t>James Toorie,Bonita E</t>
  </si>
  <si>
    <t>AWUNYO AKABA,SIKA A</t>
  </si>
  <si>
    <t>Dargan,Maia K.</t>
  </si>
  <si>
    <t>Doctor,Caroline Silva</t>
  </si>
  <si>
    <t>Faria,Sandra C</t>
  </si>
  <si>
    <t>Thiam,Mame F.</t>
  </si>
  <si>
    <t>BERGFALK,CHRISTOPHER I</t>
  </si>
  <si>
    <t>SAVOY,DORIS JEAN</t>
  </si>
  <si>
    <t>WILSON,KEINO</t>
  </si>
  <si>
    <t>MITCHELL,ADA D</t>
  </si>
  <si>
    <t>SANDS JR,BENJAMIN C</t>
  </si>
  <si>
    <t>JOHNSON,ANTOINETTE</t>
  </si>
  <si>
    <t>ADAMS,COURTNEY A</t>
  </si>
  <si>
    <t>Randolph,Natalie M</t>
  </si>
  <si>
    <t>SHEPPARD,CYNTHIA</t>
  </si>
  <si>
    <t>FEUCHT,JEROME</t>
  </si>
  <si>
    <t>BROWN,AUBREY</t>
  </si>
  <si>
    <t>JARRETT,THELMA M</t>
  </si>
  <si>
    <t>EDGERTON,MICHAEL C</t>
  </si>
  <si>
    <t>MCCLURE,REGINA H</t>
  </si>
  <si>
    <t>COLLINS,ELIZABETH M</t>
  </si>
  <si>
    <t>FRANKEN,ADAM S</t>
  </si>
  <si>
    <t>COGAS,PAMELA J</t>
  </si>
  <si>
    <t>SAVOY,COURTNEY M</t>
  </si>
  <si>
    <t>Pascucci,Eileen</t>
  </si>
  <si>
    <t>Pakes,Sol M.</t>
  </si>
  <si>
    <t>Gregory,Chenise B.</t>
  </si>
  <si>
    <t>Thomas,Wendy</t>
  </si>
  <si>
    <t>Howard,Vernard D.</t>
  </si>
  <si>
    <t>JONES,SONJA D</t>
  </si>
  <si>
    <t>CRAWFORD,STEPHAINE L</t>
  </si>
  <si>
    <t>Richards,Marc Keno</t>
  </si>
  <si>
    <t>POLLEN COLE,ELLA M</t>
  </si>
  <si>
    <t>CAMPBELL,VIRGINIA</t>
  </si>
  <si>
    <t>Riddlesprigger,Maisha Uzuri</t>
  </si>
  <si>
    <t>BYRD JR,RICHARD H</t>
  </si>
  <si>
    <t>FESSEHA,SELAMAWIT</t>
  </si>
  <si>
    <t>PETTICOLAS,TAMEKA A</t>
  </si>
  <si>
    <t>Clark,Demetria Cherice</t>
  </si>
  <si>
    <t>Lee,Christina Marie</t>
  </si>
  <si>
    <t>Deal JHS</t>
  </si>
  <si>
    <t>WHITE,CAMILLE M</t>
  </si>
  <si>
    <t>SIMPSON,YVETTE L</t>
  </si>
  <si>
    <t>CLEMENTS,BARBARA A</t>
  </si>
  <si>
    <t>HERNANDEZ,ANA</t>
  </si>
  <si>
    <t>MOSTOLLER,CYNTHIA S</t>
  </si>
  <si>
    <t>WANG,JIHONG</t>
  </si>
  <si>
    <t>MCFARLAND,DIANE A</t>
  </si>
  <si>
    <t>JENKINS,RONALD W</t>
  </si>
  <si>
    <t>Spann,Clydie</t>
  </si>
  <si>
    <t>NEAL,DIEDRE L</t>
  </si>
  <si>
    <t>MUNGAI,JOHN K</t>
  </si>
  <si>
    <t>HUMES JR,CLARENCE</t>
  </si>
  <si>
    <t>MBAYU,FREDERICK NYIA</t>
  </si>
  <si>
    <t>HAMPTON,DARCY L</t>
  </si>
  <si>
    <t>KINZER,HARLAN R</t>
  </si>
  <si>
    <t>PHILIP,CAROLE N</t>
  </si>
  <si>
    <t>NGWA,TERENCE</t>
  </si>
  <si>
    <t>LERUM,ELYSE K</t>
  </si>
  <si>
    <t>GEREMIA,ROBERT J</t>
  </si>
  <si>
    <t>ORTIZ,MICHELLE L</t>
  </si>
  <si>
    <t>KOPLOWITZ,JESSE H</t>
  </si>
  <si>
    <t>WICKERSHAM,TINLEY</t>
  </si>
  <si>
    <t>HOVANCSEK,MARCELLA</t>
  </si>
  <si>
    <t>KIRSCHENBAUM,ADAM</t>
  </si>
  <si>
    <t>MCDOWELL,RUFUS A</t>
  </si>
  <si>
    <t>Kouri,Carolyn Grace</t>
  </si>
  <si>
    <t>Otterstatter,Robert A.</t>
  </si>
  <si>
    <t>Lotts,Stephen Ellis</t>
  </si>
  <si>
    <t>Banal,Bethany D</t>
  </si>
  <si>
    <t>Milikin,Patricia Delores</t>
  </si>
  <si>
    <t>Ruiz,Anita A</t>
  </si>
  <si>
    <t>Popadich,Christine Lynn Elias</t>
  </si>
  <si>
    <t>Guetig Jr.,Michael L.</t>
  </si>
  <si>
    <t>Mazzone,Jacklyn</t>
  </si>
  <si>
    <t>Ward,Margaret M</t>
  </si>
  <si>
    <t>Downing,Neal</t>
  </si>
  <si>
    <t>Assael,Daniel Shane</t>
  </si>
  <si>
    <t>TURNER,STACY N</t>
  </si>
  <si>
    <t>Bustos,Margaret M</t>
  </si>
  <si>
    <t>Henderson,Anna K</t>
  </si>
  <si>
    <t>Cadavid,Ana M.</t>
  </si>
  <si>
    <t>JACKSON,DEBRA L</t>
  </si>
  <si>
    <t>Wisniewski,Kelly R.</t>
  </si>
  <si>
    <t>Zhi,Yanming</t>
  </si>
  <si>
    <t>Redekopp,Tasara E.</t>
  </si>
  <si>
    <t>ALBRIGHT,JAMES</t>
  </si>
  <si>
    <t>RANSOME,CHARLES W</t>
  </si>
  <si>
    <t>ELLIS,SANDRA L</t>
  </si>
  <si>
    <t>GILL,JULIE N</t>
  </si>
  <si>
    <t>JOHNSON,MELVIN L</t>
  </si>
  <si>
    <t>DAVIS,KIMBERLY R</t>
  </si>
  <si>
    <t>JACKSON FLOYD,LAUREN P</t>
  </si>
  <si>
    <t>JOHNSON,CYNTHIA D</t>
  </si>
  <si>
    <t>Cyrus,Kimberlyy N.</t>
  </si>
  <si>
    <t>WINN RITZENBERG,KATHERINE M</t>
  </si>
  <si>
    <t>Ellington School of the Arts</t>
  </si>
  <si>
    <t>AYERS,MARY JANE</t>
  </si>
  <si>
    <t>YARBOROUGH,DAVEY S</t>
  </si>
  <si>
    <t>BORN-OZMENT,SUSAN</t>
  </si>
  <si>
    <t>BENNETT,JAMES D</t>
  </si>
  <si>
    <t>CARZON,ASUNCION V</t>
  </si>
  <si>
    <t>BRECHER,SETH W</t>
  </si>
  <si>
    <t>JARDINE,ESMOND F</t>
  </si>
  <si>
    <t>HATCHER,CHARLES</t>
  </si>
  <si>
    <t>MCKENZIE,LAUREN T.</t>
  </si>
  <si>
    <t>TURNER,VERNICE T</t>
  </si>
  <si>
    <t>WALKER,ERIKA S</t>
  </si>
  <si>
    <t>CLARKE,SHARON R</t>
  </si>
  <si>
    <t>STEPHENS,JOSEPH M</t>
  </si>
  <si>
    <t>WALLACE,LINDA M</t>
  </si>
  <si>
    <t>Craighill,Charles E</t>
  </si>
  <si>
    <t>PURHAM,KOURTNEY R</t>
  </si>
  <si>
    <t>JOHNSON,HENRY</t>
  </si>
  <si>
    <t>GICHONGI,NJENGA K</t>
  </si>
  <si>
    <t>MUSCHETTE-KIRK,CAROL R</t>
  </si>
  <si>
    <t>Pixley,Antonio James</t>
  </si>
  <si>
    <t>MCKENZIE,TOMEKA N</t>
  </si>
  <si>
    <t>Montgomery,LaShawn M</t>
  </si>
  <si>
    <t>Copes,Sherema Lavone</t>
  </si>
  <si>
    <t>Stuart,Matthew R.</t>
  </si>
  <si>
    <t>Swast,Erica L.</t>
  </si>
  <si>
    <t>Zanelli,Margaux M.</t>
  </si>
  <si>
    <t>Anderson,Jeffery A.</t>
  </si>
  <si>
    <t>NGONO-BINELLI,MARIE-GABRIELLE</t>
  </si>
  <si>
    <t>Jean-Pierre,Charles Philip</t>
  </si>
  <si>
    <t>Jones,Keisha Monique</t>
  </si>
  <si>
    <t>Jackson,Patricia C.</t>
  </si>
  <si>
    <t>BURROUGHS,WILLA R</t>
  </si>
  <si>
    <t>REID,STEPHANIE M</t>
  </si>
  <si>
    <t>STANLEY WINSETT,TONI</t>
  </si>
  <si>
    <t>BELL,BETTY E</t>
  </si>
  <si>
    <t>CHISELOM,WILLIAM C</t>
  </si>
  <si>
    <t>NEDAB,BERNARD M</t>
  </si>
  <si>
    <t>RICHARDSON,BRENDA J</t>
  </si>
  <si>
    <t>SMITH,JACQUELINE T</t>
  </si>
  <si>
    <t>BRADSHAW,MARTHA L</t>
  </si>
  <si>
    <t>WILSON,LORI</t>
  </si>
  <si>
    <t>FISHER,GARY Y.</t>
  </si>
  <si>
    <t>ROBINSON JR,JAMES</t>
  </si>
  <si>
    <t>LUBLINER-WALTERS,AVRAM M</t>
  </si>
  <si>
    <t>TRENT,BRENDA F</t>
  </si>
  <si>
    <t>FOOTE,VALERIE S</t>
  </si>
  <si>
    <t>LEWIS,MARK A</t>
  </si>
  <si>
    <t>FREDA,LISA R</t>
  </si>
  <si>
    <t>STEINBERG,NOAH</t>
  </si>
  <si>
    <t>McKinley,Brianca B.</t>
  </si>
  <si>
    <t>DULLEA,ANNE</t>
  </si>
  <si>
    <t>Barnhardt,Carolyn</t>
  </si>
  <si>
    <t>TELLEY JR,BOBBY S</t>
  </si>
  <si>
    <t>FOTHERINGILL,ELIZABETH J</t>
  </si>
  <si>
    <t>BERGFALK,BENJAMIN</t>
  </si>
  <si>
    <t>COTI,SUSAN K</t>
  </si>
  <si>
    <t>CLARK,RISHA J</t>
  </si>
  <si>
    <t>EASTMAN,SUSAN B</t>
  </si>
  <si>
    <t>PARODI,ANGELO V</t>
  </si>
  <si>
    <t>RUCKER,CORINNE M E</t>
  </si>
  <si>
    <t>Barry,Lauren M.</t>
  </si>
  <si>
    <t>GARDNER,KIMBERLY</t>
  </si>
  <si>
    <t>Liu,Yutao</t>
  </si>
  <si>
    <t>Nathan,Rebecca Harumi</t>
  </si>
  <si>
    <t>Pugh,Wendy T</t>
  </si>
  <si>
    <t>McArthur,Kimberly D.</t>
  </si>
  <si>
    <t>Marshall,Monique L.</t>
  </si>
  <si>
    <t>Eliot JHS</t>
  </si>
  <si>
    <t>SMITH,GABRIELLE M</t>
  </si>
  <si>
    <t>CULBREATH,SHARON H</t>
  </si>
  <si>
    <t>BROWN,LINDA</t>
  </si>
  <si>
    <t>JOHNSON,STEPHANIE DAWN</t>
  </si>
  <si>
    <t>LAWRENCE,DORCUS BROWN</t>
  </si>
  <si>
    <t>GREENE,CLARENCE</t>
  </si>
  <si>
    <t>HOLUTA,RACHEL A</t>
  </si>
  <si>
    <t>Piser II,William</t>
  </si>
  <si>
    <t>BIRKS,MANDRELL E</t>
  </si>
  <si>
    <t>WHITE,RANDALL</t>
  </si>
  <si>
    <t>NILES,LYNDEL M</t>
  </si>
  <si>
    <t>GOFF,ANGELA NICOLE</t>
  </si>
  <si>
    <t>HARRIS,TARA L</t>
  </si>
  <si>
    <t>NAYLOR,STEPHEN</t>
  </si>
  <si>
    <t>OLIDGE,DENEEN T</t>
  </si>
  <si>
    <t>Mann,Lindsay R</t>
  </si>
  <si>
    <t>Lopez,Mirelle A</t>
  </si>
  <si>
    <t>Hall,Derek J.</t>
  </si>
  <si>
    <t>HOLCOMBE,BRYAN E</t>
  </si>
  <si>
    <t>Fisher,Judith A</t>
  </si>
  <si>
    <t>GORDON,DEMETRIA A</t>
  </si>
  <si>
    <t>Defino,Donna Maria</t>
  </si>
  <si>
    <t>BETTER,KAREN M</t>
  </si>
  <si>
    <t>Black,Vernastene Dejonette</t>
  </si>
  <si>
    <t>Robinson,Deborah W</t>
  </si>
  <si>
    <t>WORTHAM,VANESSA V</t>
  </si>
  <si>
    <t>KHAFRA,CLAUDIA</t>
  </si>
  <si>
    <t>BELL,KAREN D</t>
  </si>
  <si>
    <t>WILLIAMS,CAROL</t>
  </si>
  <si>
    <t>SENGHOR,ABUBAKAR Z.</t>
  </si>
  <si>
    <t>PRICE,JOSEPH W</t>
  </si>
  <si>
    <t>WITHERSPOON,AJA M</t>
  </si>
  <si>
    <t>SANCHEZ,DAHLIA</t>
  </si>
  <si>
    <t>PITTS-SMITH,TIA A</t>
  </si>
  <si>
    <t>PRIDGEON,MICHAEL T</t>
  </si>
  <si>
    <t>HAYES,KRISTEN L</t>
  </si>
  <si>
    <t>BAKER JACKSON,HELEN T</t>
  </si>
  <si>
    <t>Noble,David C</t>
  </si>
  <si>
    <t>Welch,Modestine E</t>
  </si>
  <si>
    <t>GIORDANO,JAMES M</t>
  </si>
  <si>
    <t>HAWTHORNE JACOB,ANDREA</t>
  </si>
  <si>
    <t>BOYKINS,SARA A</t>
  </si>
  <si>
    <t>HALL,SHIRLEY P</t>
  </si>
  <si>
    <t>MITCHELL,KATHY L</t>
  </si>
  <si>
    <t>BROWN,ROSE M</t>
  </si>
  <si>
    <t>JOHNSON,ALBERTA J</t>
  </si>
  <si>
    <t>CEPHAS,JOAN E</t>
  </si>
  <si>
    <t>Kovacs,Talia Lamour</t>
  </si>
  <si>
    <t>JOHNSON,SHAWNA J</t>
  </si>
  <si>
    <t>McKoy,Latoria D.</t>
  </si>
  <si>
    <t>Hollins,Gregory Dennard</t>
  </si>
  <si>
    <t>HARRIS,GERALDINE M</t>
  </si>
  <si>
    <t>Reed,June A.</t>
  </si>
  <si>
    <t>Charles,Eleasia Elease</t>
  </si>
  <si>
    <t>JONES,MEAGHAN J.</t>
  </si>
  <si>
    <t>WILLIAMS,MICHELLE A</t>
  </si>
  <si>
    <t>BATTLE,LASHONDA N</t>
  </si>
  <si>
    <t>CACCAVALE,SALVATORE</t>
  </si>
  <si>
    <t>Whitfield-Young,Rain</t>
  </si>
  <si>
    <t>Francis JHS</t>
  </si>
  <si>
    <t>YOUNG,GLEESON E</t>
  </si>
  <si>
    <t>HILL,JEWELINE F</t>
  </si>
  <si>
    <t>WILLIAMS,JOYCE C</t>
  </si>
  <si>
    <t>HARRISON,ONITA</t>
  </si>
  <si>
    <t>BRUCE,AUDREY Y</t>
  </si>
  <si>
    <t>FITZGERALD,SHARON</t>
  </si>
  <si>
    <t>KENNARD,MAURICE</t>
  </si>
  <si>
    <t>DIALEL,ANGELINA</t>
  </si>
  <si>
    <t>CARDENAS,ANTONIO</t>
  </si>
  <si>
    <t>VILLARRAGA,ANA L</t>
  </si>
  <si>
    <t>MILLER,CHERYL D</t>
  </si>
  <si>
    <t>Stripling,Kristal Nicole</t>
  </si>
  <si>
    <t>SCARBORO,GIVONNE</t>
  </si>
  <si>
    <t>Janssens,Johanna M.</t>
  </si>
  <si>
    <t>Crespo Posso,Tamara Tatiana</t>
  </si>
  <si>
    <t>Jerome,Luke Zizza</t>
  </si>
  <si>
    <t>SCHRAUTH,KRISTIN</t>
  </si>
  <si>
    <t>BARTON,ROXANNE L</t>
  </si>
  <si>
    <t>HARDY,SCOTTIE</t>
  </si>
  <si>
    <t>CARRINGTON,JANIS D</t>
  </si>
  <si>
    <t>CARTER,CORNELL S</t>
  </si>
  <si>
    <t>Deskins,Stephanie S</t>
  </si>
  <si>
    <t>Shaw,Tarsha Monica</t>
  </si>
  <si>
    <t>Lamont,Rosalind I.</t>
  </si>
  <si>
    <t>PRATT,NATALIE R</t>
  </si>
  <si>
    <t>Falter,Heather E</t>
  </si>
  <si>
    <t>BELL,DARNICE M</t>
  </si>
  <si>
    <t>Rey,Christine M</t>
  </si>
  <si>
    <t>Mathias,Jolene Ann</t>
  </si>
  <si>
    <t>Hensley,Sheila K.</t>
  </si>
  <si>
    <t>BATSON,TIFFANY S</t>
  </si>
  <si>
    <t>MOON,MAURICE M</t>
  </si>
  <si>
    <t>SCHULER,JANICE F</t>
  </si>
  <si>
    <t>STRINGFIELD,BEVERLY R</t>
  </si>
  <si>
    <t>ABDULLAH,HASSAN</t>
  </si>
  <si>
    <t>MILLER,TRACEY</t>
  </si>
  <si>
    <t>HERNDON,REBECCA L</t>
  </si>
  <si>
    <t>GASAWAY,THERESA G</t>
  </si>
  <si>
    <t>CRABBE,BRENDA W</t>
  </si>
  <si>
    <t>WASHINGTON,DIANE E</t>
  </si>
  <si>
    <t>ANTHONY,RONALD W</t>
  </si>
  <si>
    <t>SANCHEZ,PATRICIA C</t>
  </si>
  <si>
    <t>MARTIN,CRYSTAL CHERI</t>
  </si>
  <si>
    <t>N'DIAYE,ELMANSOR</t>
  </si>
  <si>
    <t>SEAWARD JR,REMBERT</t>
  </si>
  <si>
    <t>Lo,Alison Kwang-Fei</t>
  </si>
  <si>
    <t>Maisonet-Menendez,Teresita DeJesus</t>
  </si>
  <si>
    <t>TOWNSEND,FERLANDIA M</t>
  </si>
  <si>
    <t>ROBERSON,ANDREA D</t>
  </si>
  <si>
    <t>HESTER,RICHARD</t>
  </si>
  <si>
    <t>McNeil,Delonte M</t>
  </si>
  <si>
    <t>Osagie,Osen R</t>
  </si>
  <si>
    <t>WILSON,ROBIN ANGELA</t>
  </si>
  <si>
    <t>MCGHEE,CHY BENELLI</t>
  </si>
  <si>
    <t>Williams,Maurice K.</t>
  </si>
  <si>
    <t>Miller,Christopher G</t>
  </si>
  <si>
    <t>Jones-Robinson,Kelley E.</t>
  </si>
  <si>
    <t>THOMAS,TROY N</t>
  </si>
  <si>
    <t>DUNBAR,CALVIN</t>
  </si>
  <si>
    <t>JARRETT,THELMA L</t>
  </si>
  <si>
    <t>Hardy MS</t>
  </si>
  <si>
    <t>BOCCARDI,AMY</t>
  </si>
  <si>
    <t>BRIGHT,DENISE</t>
  </si>
  <si>
    <t>WALKER,ALICIA</t>
  </si>
  <si>
    <t>BAX,SARAH R</t>
  </si>
  <si>
    <t>Hester,Lucille W</t>
  </si>
  <si>
    <t>NERENBERG,DANA</t>
  </si>
  <si>
    <t>POPE,PATRICK</t>
  </si>
  <si>
    <t>BETHEA,MICHAEL</t>
  </si>
  <si>
    <t>WASHINGTON,ANNETTE M</t>
  </si>
  <si>
    <t>CHISOLM,JOSEPH A</t>
  </si>
  <si>
    <t>BROWN,GLORIA D</t>
  </si>
  <si>
    <t>GROSS,CHRISTINE A</t>
  </si>
  <si>
    <t>STEVENSON,CHRISTINA M</t>
  </si>
  <si>
    <t>Reynolds,Oliver</t>
  </si>
  <si>
    <t>FOSTER,ALI</t>
  </si>
  <si>
    <t>CARPENTER NICKENS,BEVERLY C</t>
  </si>
  <si>
    <t>TROGISCH,CYNTHIA</t>
  </si>
  <si>
    <t>GARCIA,MAYA M</t>
  </si>
  <si>
    <t>GARNER,CARMEN E</t>
  </si>
  <si>
    <t>Annand,Barbara S.</t>
  </si>
  <si>
    <t>Whitty,Britni A.</t>
  </si>
  <si>
    <t>Clyne,Andrea Margaret</t>
  </si>
  <si>
    <t>Wihl,Abigail M.</t>
  </si>
  <si>
    <t>Stubblefield,Stephanie Lynne</t>
  </si>
  <si>
    <t>Brody,Loren D</t>
  </si>
  <si>
    <t>goldstein,Rachel J.</t>
  </si>
  <si>
    <t>Keo,kamellia</t>
  </si>
  <si>
    <t>HUBER,JESSICA S</t>
  </si>
  <si>
    <t>Lee,Johann D</t>
  </si>
  <si>
    <t>Punwani,Perrine</t>
  </si>
  <si>
    <t>Harris C.W. ES</t>
  </si>
  <si>
    <t>Clemmons,Tiffany</t>
  </si>
  <si>
    <t>KELLEY,SONDRA D.</t>
  </si>
  <si>
    <t>Roberts,Alyson L.</t>
  </si>
  <si>
    <t>BRYANT,DIANE HARRIS</t>
  </si>
  <si>
    <t>CAPERS,HENRIETTA F</t>
  </si>
  <si>
    <t>Cook,Rodney M</t>
  </si>
  <si>
    <t>Nash,Carolyn Josefina</t>
  </si>
  <si>
    <t>Keirnan,Gisele M.</t>
  </si>
  <si>
    <t>LEWIS,OVETTA R</t>
  </si>
  <si>
    <t>FERGUSSON,GLORIA</t>
  </si>
  <si>
    <t>KING-TOLES,DONNA J</t>
  </si>
  <si>
    <t>HARRINGTON,FRANCES P</t>
  </si>
  <si>
    <t>BROGIOLI,ANN L</t>
  </si>
  <si>
    <t>CARTWRIGHT,CRYSTAL D</t>
  </si>
  <si>
    <t>TWYMAN,TIFFANY T</t>
  </si>
  <si>
    <t>KEARNEY JR,WILLIAM  HM</t>
  </si>
  <si>
    <t>Christian Sr.,Kamau J.</t>
  </si>
  <si>
    <t>FAULKNER-JONES,LISA M</t>
  </si>
  <si>
    <t>KENNEDY,EARL O</t>
  </si>
  <si>
    <t>PINER,SHARON L</t>
  </si>
  <si>
    <t>Windley,Gerald Ray</t>
  </si>
  <si>
    <t>Harris,Stephanie M.</t>
  </si>
  <si>
    <t>Duchemin,Craig Michael</t>
  </si>
  <si>
    <t>Collins,Alicia A.</t>
  </si>
  <si>
    <t>Martin,Linda M</t>
  </si>
  <si>
    <t>Jenkins,Jennifer A.</t>
  </si>
  <si>
    <t>Boison,Yaa A</t>
  </si>
  <si>
    <t>Komar,Matthew Gus</t>
  </si>
  <si>
    <t>Garcia,Maria F.</t>
  </si>
  <si>
    <t>Mathews,Kya Edece</t>
  </si>
  <si>
    <t>BROWN,LYLE L</t>
  </si>
  <si>
    <t>Hawkins,Craig A.</t>
  </si>
  <si>
    <t>Barnes Jr.,Shelby J.</t>
  </si>
  <si>
    <t>Coley,LaTasha T.</t>
  </si>
  <si>
    <t>PARKER,ANITRA J</t>
  </si>
  <si>
    <t>BROWN,BARRINGTON P</t>
  </si>
  <si>
    <t>Holman,Catherine F.K.</t>
  </si>
  <si>
    <t>Anderson,Latosha N.</t>
  </si>
  <si>
    <t>DAWKINS,DENISE J</t>
  </si>
  <si>
    <t>PRINCE,BETH S</t>
  </si>
  <si>
    <t>VANDIVIER,ELIZABETH LOUISE</t>
  </si>
  <si>
    <t>LAURINS,CATHIE K</t>
  </si>
  <si>
    <t>CARLISLE,SHANNON</t>
  </si>
  <si>
    <t>Walker,Janna Erin</t>
  </si>
  <si>
    <t>Burnham,Lisa Whitwell</t>
  </si>
  <si>
    <t>Williams,Thomson T.</t>
  </si>
  <si>
    <t>Barron,Marni Mintener</t>
  </si>
  <si>
    <t>Weng,Jamie Alexandra</t>
  </si>
  <si>
    <t>Hiatt,Crystal Maxwell</t>
  </si>
  <si>
    <t>CAMBRIDGE,ROSLYN K</t>
  </si>
  <si>
    <t>DAVIS,SEAN A</t>
  </si>
  <si>
    <t>MARTIN OWUSU,JEAN</t>
  </si>
  <si>
    <t>COLLIER,GENEVIEVE L</t>
  </si>
  <si>
    <t>GREGG,KIMIKO L</t>
  </si>
  <si>
    <t>ROBINSON,KENNETH B</t>
  </si>
  <si>
    <t>BATTLE,VALERIE R</t>
  </si>
  <si>
    <t>SPANN,ANDREA L</t>
  </si>
  <si>
    <t>THOMAS,KATHY M</t>
  </si>
  <si>
    <t>WILLIAMS,BEVERLY D</t>
  </si>
  <si>
    <t>GARNER GROSS,EDITH M</t>
  </si>
  <si>
    <t>CHAIN,WILLIAM</t>
  </si>
  <si>
    <t>SHEPHERD,CARMEN S</t>
  </si>
  <si>
    <t>SUPREME,KHADIJAH S</t>
  </si>
  <si>
    <t>INE,ROBYN R</t>
  </si>
  <si>
    <t>ADRIATICO,RYAN SIMON L</t>
  </si>
  <si>
    <t>DAUTRUCHE,NATHALIE</t>
  </si>
  <si>
    <t>ROBINSON,CAMILLE</t>
  </si>
  <si>
    <t>Cook-Huff,Tambra D.</t>
  </si>
  <si>
    <t>ALEXANDER III,OLYN</t>
  </si>
  <si>
    <t>Davis,James Jacob</t>
  </si>
  <si>
    <t>Saleem,Aneesah Madeehah</t>
  </si>
  <si>
    <t>Nelson,Darren Lee</t>
  </si>
  <si>
    <t>JOHNSON,TAWANJIA</t>
  </si>
  <si>
    <t>WILLIAMS,JAMILLAH T</t>
  </si>
  <si>
    <t>THOMAS,TRACEY BETHEA</t>
  </si>
  <si>
    <t>MALONE,SABRINA J</t>
  </si>
  <si>
    <t>GARDNER,JUNE P</t>
  </si>
  <si>
    <t>HUNTER BROWN,VALERIE D</t>
  </si>
  <si>
    <t>CRAWLEY,CRECYNTHIA G</t>
  </si>
  <si>
    <t>RILEY,MARY L</t>
  </si>
  <si>
    <t>SMITH,VIKI S</t>
  </si>
  <si>
    <t>CRUMP,CANDICE</t>
  </si>
  <si>
    <t>BRIDGERS,TONYA P</t>
  </si>
  <si>
    <t>WATKINS,CHARLOTTE R</t>
  </si>
  <si>
    <t>TURNER,TIFFANI J</t>
  </si>
  <si>
    <t>MOBLEY,KATRINA R</t>
  </si>
  <si>
    <t>Cooke-Thomas,Grace T</t>
  </si>
  <si>
    <t>THOMPSON,GELYNN G</t>
  </si>
  <si>
    <t>POGUE,JACQUELINE T</t>
  </si>
  <si>
    <t>BOYD,MARGARET GILLEN</t>
  </si>
  <si>
    <t>BAILEY,PATRICIA J</t>
  </si>
  <si>
    <t>KRAEMER,ELISABETH L</t>
  </si>
  <si>
    <t>SHEEHY,KATHLEEN M</t>
  </si>
  <si>
    <t>YOUNG,EMILY</t>
  </si>
  <si>
    <t>GLADDEN-ALSOP,ALETA Y</t>
  </si>
  <si>
    <t>ATWELL,NIGEL M</t>
  </si>
  <si>
    <t>COWDEN,KAREN SUE</t>
  </si>
  <si>
    <t>ROTH,KATHRYN NULAND</t>
  </si>
  <si>
    <t>Faden,Joshua Isaac</t>
  </si>
  <si>
    <t>TECLE,MILITEZ'EGGA</t>
  </si>
  <si>
    <t>JONES,LEONORE</t>
  </si>
  <si>
    <t>Stein,Leah A</t>
  </si>
  <si>
    <t>Schultz Zabst,Nora Kathleen</t>
  </si>
  <si>
    <t>Barros,Lauren Teresa</t>
  </si>
  <si>
    <t>TZUKER,JESSICA</t>
  </si>
  <si>
    <t>Zaid,Amina Tamaira</t>
  </si>
  <si>
    <t>HUNTER,LAURE A</t>
  </si>
  <si>
    <t>GERO,MARIJKE E</t>
  </si>
  <si>
    <t>OSTERMAN,MARY S</t>
  </si>
  <si>
    <t>MCCRACKIN,FRANCES A</t>
  </si>
  <si>
    <t>WOOD,SHELLIE N</t>
  </si>
  <si>
    <t>MORGAN WILLIAMS,WENDY D</t>
  </si>
  <si>
    <t>KORAC,VESNA</t>
  </si>
  <si>
    <t>YOUNG,LAURIE A</t>
  </si>
  <si>
    <t>RUTLEDGE,REGINA R</t>
  </si>
  <si>
    <t>ZALLMAN,SHOSHANA E</t>
  </si>
  <si>
    <t>MARTELL-STEVENSON,NANCY L</t>
  </si>
  <si>
    <t>LEVENTHAL,MAUREEN M</t>
  </si>
  <si>
    <t>BELLISSIMO,KRISTEN A</t>
  </si>
  <si>
    <t>BIGELOW,KIMBERLY Y</t>
  </si>
  <si>
    <t>LANGFORD,KAREN S</t>
  </si>
  <si>
    <t>SEWARD,JACLYN</t>
  </si>
  <si>
    <t>DAVID-MARTINEZ,NICHOLE L</t>
  </si>
  <si>
    <t>LYCKNELL,NORAH</t>
  </si>
  <si>
    <t>ROCKWELL,LAUREN W</t>
  </si>
  <si>
    <t>KOVACS,LUKE</t>
  </si>
  <si>
    <t>POTOCKI,ALLISON E</t>
  </si>
  <si>
    <t>Sell,Linda E.</t>
  </si>
  <si>
    <t>Epperson,Lyndsey Sugar</t>
  </si>
  <si>
    <t>Khuu,Nancy Noan-Nhien</t>
  </si>
  <si>
    <t>Quirin,Amanda L</t>
  </si>
  <si>
    <t>Koruda,Elizabeth A.</t>
  </si>
  <si>
    <t>Hartman,Jane C.</t>
  </si>
  <si>
    <t>Varner,Ryan Benjamin</t>
  </si>
  <si>
    <t>Lyon,Christopher T.</t>
  </si>
  <si>
    <t>Carmen,Ruby N.</t>
  </si>
  <si>
    <t>Warren,Marie N.</t>
  </si>
  <si>
    <t>Solcumb Bradford,Alesia</t>
  </si>
  <si>
    <t>LEVI GOERLICH,ULRICH</t>
  </si>
  <si>
    <t>JOU,JONATHAN S</t>
  </si>
  <si>
    <t>BROWN,CATRINA Y</t>
  </si>
  <si>
    <t>JONES,TITA D</t>
  </si>
  <si>
    <t>LOBBAN,VALERIE O</t>
  </si>
  <si>
    <t>PAYNE MCMILLAN,LESLIE</t>
  </si>
  <si>
    <t>SULLIVAN,TYDREN O</t>
  </si>
  <si>
    <t>JONES,MONICA D</t>
  </si>
  <si>
    <t>ANGALA,MARIA L C</t>
  </si>
  <si>
    <t>HARVEY,JERRY</t>
  </si>
  <si>
    <t>PRIDE,PATRICIA L</t>
  </si>
  <si>
    <t>HALLIBURTON,BRIAN</t>
  </si>
  <si>
    <t>STALLWORTH,ALIEZE H</t>
  </si>
  <si>
    <t>MEBANE,HOWARD</t>
  </si>
  <si>
    <t>MORGAN,PHILLIP M</t>
  </si>
  <si>
    <t>DAVIS,RUTHENA M</t>
  </si>
  <si>
    <t>WHITE JR,OSSIE</t>
  </si>
  <si>
    <t>BONNER,ANTHONY D</t>
  </si>
  <si>
    <t>HULL,LAQUITA</t>
  </si>
  <si>
    <t>BARKER,KRISTINA L</t>
  </si>
  <si>
    <t>Anderson,Timothy W.</t>
  </si>
  <si>
    <t>ANTHONY,TAIWANNA D</t>
  </si>
  <si>
    <t>Gianfrate,Ledina D.</t>
  </si>
  <si>
    <t>Powell,La Ron</t>
  </si>
  <si>
    <t>RICE,THEODORE D</t>
  </si>
  <si>
    <t>Djossou,Ignance D Y</t>
  </si>
  <si>
    <t>Moten,Jody M</t>
  </si>
  <si>
    <t>Ash,Jodi V.</t>
  </si>
  <si>
    <t>EWING,SYLVIA</t>
  </si>
  <si>
    <t>PHILLIPS,KATIE A.</t>
  </si>
  <si>
    <t>NGIDE,ADELEY E</t>
  </si>
  <si>
    <t>Collazo,Eric J</t>
  </si>
  <si>
    <t>TURNER-WADE,BARBARA</t>
  </si>
  <si>
    <t>LOGAN,ERICKA C</t>
  </si>
  <si>
    <t>Hamm,Harvey D.</t>
  </si>
  <si>
    <t>BAEZ,CARLOS</t>
  </si>
  <si>
    <t>ZAKI II,ABDULLAH AHMAD</t>
  </si>
  <si>
    <t>Vereen Jr.,Roy</t>
  </si>
  <si>
    <t>SCOTT,KEVIN D</t>
  </si>
  <si>
    <t>Marcus,Calvin Shann</t>
  </si>
  <si>
    <t>Gare,Cassie Tovah</t>
  </si>
  <si>
    <t>Babb,Johnny E.</t>
  </si>
  <si>
    <t>ROBINSON,CAROLYN J</t>
  </si>
  <si>
    <t>WASHINGTON,RENEE</t>
  </si>
  <si>
    <t>JOHNSON,FATIMA A</t>
  </si>
  <si>
    <t>KENNEDY,ETTA C</t>
  </si>
  <si>
    <t>WILSON,BERNARD K</t>
  </si>
  <si>
    <t>DEARING,DELORES E</t>
  </si>
  <si>
    <t>CUFFY,ERIKA E</t>
  </si>
  <si>
    <t>RANDOLPH,LINDA R</t>
  </si>
  <si>
    <t>MOORE,JANET C</t>
  </si>
  <si>
    <t>HENRY,SONIA H</t>
  </si>
  <si>
    <t>FRAYER CROCKETT,PHYLLIS</t>
  </si>
  <si>
    <t>Tyler,Tandi Russelle</t>
  </si>
  <si>
    <t>COMPTON,RONALD</t>
  </si>
  <si>
    <t>WIGGINS,KILOMA S</t>
  </si>
  <si>
    <t>HODGE,TERESA V</t>
  </si>
  <si>
    <t>TOWNSEND,CAMILLE</t>
  </si>
  <si>
    <t>GREENE,APRIL C</t>
  </si>
  <si>
    <t>Seward,Karen S.</t>
  </si>
  <si>
    <t>Anderson,Denese L</t>
  </si>
  <si>
    <t>Zahn,Julia R.</t>
  </si>
  <si>
    <t>LINDEN,JANIS S</t>
  </si>
  <si>
    <t>HAYES,JULIA ZIENTS</t>
  </si>
  <si>
    <t>SCHOLEM,SHARON E</t>
  </si>
  <si>
    <t>BIWOTT,SAMUEL</t>
  </si>
  <si>
    <t>LUCCA,JANEESE L</t>
  </si>
  <si>
    <t>LANDERYOU,DAVID L</t>
  </si>
  <si>
    <t>MORONEY,DIANA</t>
  </si>
  <si>
    <t>PALM,ELEANOR A</t>
  </si>
  <si>
    <t>FLEISHMAN- HAESE,SUSAN C</t>
  </si>
  <si>
    <t>COLTON,BRETT A.</t>
  </si>
  <si>
    <t>FLAHERTY,SHANNON</t>
  </si>
  <si>
    <t>JOHNSON,AMY H</t>
  </si>
  <si>
    <t>WEIKERT,HEATHER A</t>
  </si>
  <si>
    <t>MAHURIN,ASHLEY L</t>
  </si>
  <si>
    <t>RILEY,BRYAN W</t>
  </si>
  <si>
    <t>SHIELDS,KELLY E</t>
  </si>
  <si>
    <t>WILLIAMS,KRISTEN N</t>
  </si>
  <si>
    <t>Pizzo,Ashley K.</t>
  </si>
  <si>
    <t>Littauer,Danielle A</t>
  </si>
  <si>
    <t>Ball,Mary S.</t>
  </si>
  <si>
    <t>Maldari,Michelle</t>
  </si>
  <si>
    <t>LOWERY,LISA E</t>
  </si>
  <si>
    <t>SMITH,WANDA R</t>
  </si>
  <si>
    <t>WILLIAMS THOMAS,LYNETTE C</t>
  </si>
  <si>
    <t>LUMPKINS,RONDEL K</t>
  </si>
  <si>
    <t>WEST MILLER,SHEILIA E</t>
  </si>
  <si>
    <t>RABB,ROBIN M</t>
  </si>
  <si>
    <t>TAPSCOTT,SHERI M</t>
  </si>
  <si>
    <t>DODSON,SUSAN</t>
  </si>
  <si>
    <t>MURRAY MILLS,KATHY M</t>
  </si>
  <si>
    <t>BRUMMELL,ROXANNE</t>
  </si>
  <si>
    <t>Kenny,Angelica M.</t>
  </si>
  <si>
    <t>WRIGHT,YOLANDA A</t>
  </si>
  <si>
    <t>SAVOY,ANTOINETTE M</t>
  </si>
  <si>
    <t>Frierson-Chenier,Sheri Renee</t>
  </si>
  <si>
    <t>OPIYO,HELLEN P</t>
  </si>
  <si>
    <t>RICHARDSON,GLORIA</t>
  </si>
  <si>
    <t>COPELAND,TANYA W</t>
  </si>
  <si>
    <t>Wilkerson,Meredith Genese</t>
  </si>
  <si>
    <t>THOMAS PEACE,CRISPIN</t>
  </si>
  <si>
    <t>CREDLE,CHERYL Y</t>
  </si>
  <si>
    <t>HILL,BRYAN L</t>
  </si>
  <si>
    <t>OVERTON,KIMBERLEY A</t>
  </si>
  <si>
    <t>THORNE,CAROLYN G</t>
  </si>
  <si>
    <t>SMYERS,FONDA R</t>
  </si>
  <si>
    <t>LINDSEY,GLORIA E</t>
  </si>
  <si>
    <t>JEFFERSON,CARMEN</t>
  </si>
  <si>
    <t>JONES,NETOSH A</t>
  </si>
  <si>
    <t>HAY,MICHELLE L</t>
  </si>
  <si>
    <t>chapman,Olivia M.</t>
  </si>
  <si>
    <t>Troy,Kimberly Doris</t>
  </si>
  <si>
    <t>JOHNSON,JACKIE R</t>
  </si>
  <si>
    <t>WIGGINS-MERRICK,EVELYN L</t>
  </si>
  <si>
    <t>DAVIS,DELIA A</t>
  </si>
  <si>
    <t>PELOTE,SHAWN</t>
  </si>
  <si>
    <t>Simmons,Kwame T.</t>
  </si>
  <si>
    <t>JOHNSON SR,VERNON W</t>
  </si>
  <si>
    <t>Storlie,Amy D</t>
  </si>
  <si>
    <t>Stuk,Dulcinea A.</t>
  </si>
  <si>
    <t>UYAN,HAZEL DEJESUS</t>
  </si>
  <si>
    <t>MOORE,STEPHANIE N</t>
  </si>
  <si>
    <t>BELLAMY,DANNY</t>
  </si>
  <si>
    <t>DANIELS,ROSALIND</t>
  </si>
  <si>
    <t>SUMMERS,TINEAL</t>
  </si>
  <si>
    <t>Parker,Jaylyn R</t>
  </si>
  <si>
    <t>Igbinoba,Egheosa P.</t>
  </si>
  <si>
    <t>Gross,Jason Christopher</t>
  </si>
  <si>
    <t>DANIELS,ASA D</t>
  </si>
  <si>
    <t>BALDWIN,KATHRYN I</t>
  </si>
  <si>
    <t>CULVER,DONA</t>
  </si>
  <si>
    <t>GHAMARIAN,KIA K</t>
  </si>
  <si>
    <t>THURSTON,ROBERT E</t>
  </si>
  <si>
    <t>Plummer,Morgan E.</t>
  </si>
  <si>
    <t>NICKEL,NANCY C</t>
  </si>
  <si>
    <t>ECHAVE,MARY K</t>
  </si>
  <si>
    <t>MCCLURE,MARJORIE A</t>
  </si>
  <si>
    <t>JOHNSON,ROBERT L</t>
  </si>
  <si>
    <t>HILL,CAROL M</t>
  </si>
  <si>
    <t>SNOWDEN,JACQUELINE W</t>
  </si>
  <si>
    <t>PHILLIPS,CHERYL L</t>
  </si>
  <si>
    <t>SHAPIRO,DINA YAEL</t>
  </si>
  <si>
    <t>JEWETT,BRADFORD A</t>
  </si>
  <si>
    <t>MAIN,GAIL L</t>
  </si>
  <si>
    <t>BRESLIN,KAREN</t>
  </si>
  <si>
    <t>HAIGLER,RANI K</t>
  </si>
  <si>
    <t>HARN,CONSTANCE M</t>
  </si>
  <si>
    <t>JENSEN,LISA S</t>
  </si>
  <si>
    <t>MOSBY,RASHIDA M</t>
  </si>
  <si>
    <t>DE JONCKHEERE,ERIN E</t>
  </si>
  <si>
    <t>PERLL,ANDREA R</t>
  </si>
  <si>
    <t>DIESNER,JILLIAN M</t>
  </si>
  <si>
    <t>HOWARD,JUANITA A</t>
  </si>
  <si>
    <t>STANTON,EDITH C S</t>
  </si>
  <si>
    <t>PEREIRA,ERIKA</t>
  </si>
  <si>
    <t>BETZ,ERIN</t>
  </si>
  <si>
    <t>MCCLANAHAN,JUDITH</t>
  </si>
  <si>
    <t>SHAPIRO,LAUREN M</t>
  </si>
  <si>
    <t>TAGUIAN,IRENE E</t>
  </si>
  <si>
    <t>YEDWAB,BLAKE E N</t>
  </si>
  <si>
    <t>GREGAL JR,DAVID L</t>
  </si>
  <si>
    <t>CASSIDY,KERRY A</t>
  </si>
  <si>
    <t>FRATTO,JUDITH L</t>
  </si>
  <si>
    <t>Stinson,Elizabeth Hope</t>
  </si>
  <si>
    <t>Martinez,E C Fargis</t>
  </si>
  <si>
    <t>Paul,Gretchen Carpenter</t>
  </si>
  <si>
    <t>Young,Steven Peter</t>
  </si>
  <si>
    <t>Baker,Alycia V.</t>
  </si>
  <si>
    <t>Brooks,Erin F</t>
  </si>
  <si>
    <t>HARDY,YOLANDA E</t>
  </si>
  <si>
    <t>CROUCH,CLINTON C</t>
  </si>
  <si>
    <t>CAMPBELL,BARBARA J</t>
  </si>
  <si>
    <t>GIBSON,OTIS</t>
  </si>
  <si>
    <t>HALL,DORCAS</t>
  </si>
  <si>
    <t>WARRICK,JARRED CONNELL</t>
  </si>
  <si>
    <t>STULZ,AMANDA</t>
  </si>
  <si>
    <t>BERRY,DENISE</t>
  </si>
  <si>
    <t>GRAVELY LEE,SCHERON R</t>
  </si>
  <si>
    <t>ROSS-WILLIAMS,ANDREA S</t>
  </si>
  <si>
    <t>CORLEY-MCKAN,LAURA A</t>
  </si>
  <si>
    <t>SMITH,OTEYLIA D</t>
  </si>
  <si>
    <t>BRIDGES,WENDY D</t>
  </si>
  <si>
    <t>HEDGEPETH,LISA D</t>
  </si>
  <si>
    <t>FORTUNE,YOLANDA T</t>
  </si>
  <si>
    <t>SPELLER,SHONDELL</t>
  </si>
  <si>
    <t>BEECH LEGION,LESLIE M</t>
  </si>
  <si>
    <t>MASSALEY,HAMMED</t>
  </si>
  <si>
    <t>NORRIS,BRIAN O</t>
  </si>
  <si>
    <t>GROSS,KENNETH D</t>
  </si>
  <si>
    <t>Hinnant,April N</t>
  </si>
  <si>
    <t>Anderson,Ashley L</t>
  </si>
  <si>
    <t>Owens,Niketha Javonne</t>
  </si>
  <si>
    <t>MACK,DENITA</t>
  </si>
  <si>
    <t>SCOTT,DEBRA D</t>
  </si>
  <si>
    <t>Odukoya,Tolulola O.</t>
  </si>
  <si>
    <t>Greene,Ethel O</t>
  </si>
  <si>
    <t>Johnson,Brenda K</t>
  </si>
  <si>
    <t>KURTZ GEREAU,LIPIA M</t>
  </si>
  <si>
    <t>WEISENREDER,DEREK</t>
  </si>
  <si>
    <t>LaSalle ES</t>
  </si>
  <si>
    <t>HAWKINS,LOVIE M K</t>
  </si>
  <si>
    <t>ALLEN,JENNIFER L</t>
  </si>
  <si>
    <t>FAIRLEY,LOUISE P</t>
  </si>
  <si>
    <t>WASHBURN,SANDRA E</t>
  </si>
  <si>
    <t>SPANN,TIPPY YVETTE</t>
  </si>
  <si>
    <t>HILL,JOYCE E</t>
  </si>
  <si>
    <t>TINNER,TONI JAY</t>
  </si>
  <si>
    <t>PARKER,MICHELLE D</t>
  </si>
  <si>
    <t>ROGERS,RICHARD E</t>
  </si>
  <si>
    <t>HILMY,DAVID S M</t>
  </si>
  <si>
    <t>BYRD,HARRIETT A</t>
  </si>
  <si>
    <t>SANTOS,SHARON MARIJUDE S</t>
  </si>
  <si>
    <t>LAWSON,JEWELL E</t>
  </si>
  <si>
    <t>PACE,LANCE C</t>
  </si>
  <si>
    <t>Ugorji,Yoland Marva</t>
  </si>
  <si>
    <t>Sewell III,Luther J.</t>
  </si>
  <si>
    <t>PAYTON,TRACEY E</t>
  </si>
  <si>
    <t>Wright,Jermall Damon</t>
  </si>
  <si>
    <t>BLANKS,ROSIE MAE</t>
  </si>
  <si>
    <t>YOUNG,VALERIE C</t>
  </si>
  <si>
    <t>TATE,IRIS F M</t>
  </si>
  <si>
    <t>Williams,Rachel M</t>
  </si>
  <si>
    <t>ROBINSON,SHERYL S</t>
  </si>
  <si>
    <t>MILLER,DEBORAH A</t>
  </si>
  <si>
    <t>HAMPTON,STEPHANIE</t>
  </si>
  <si>
    <t>BRAXTON-ROWE,ALVA C</t>
  </si>
  <si>
    <t>OLOBATUYI,EMILY</t>
  </si>
  <si>
    <t>MIDDLETON,ANITA</t>
  </si>
  <si>
    <t>THIEL,DENISE M</t>
  </si>
  <si>
    <t>MERCER,ANDREA E</t>
  </si>
  <si>
    <t>JONES,KRISTEE</t>
  </si>
  <si>
    <t>WHITE III,PHILLIP</t>
  </si>
  <si>
    <t>HAWKINS,LITONYA A</t>
  </si>
  <si>
    <t>KEPHART,PAULA M</t>
  </si>
  <si>
    <t>ROBERTSON,FRANN</t>
  </si>
  <si>
    <t>BENNETT,BRITTANY R</t>
  </si>
  <si>
    <t>SHUBERT,LASHANA D</t>
  </si>
  <si>
    <t>PADGETT,TONIA M</t>
  </si>
  <si>
    <t>RAQIB,MUKHTAR U</t>
  </si>
  <si>
    <t>Kelly-Higgs,Nikia Delisia</t>
  </si>
  <si>
    <t>Samball,Elizabeth Marie</t>
  </si>
  <si>
    <t>BUCKLEY,KAREN A</t>
  </si>
  <si>
    <t>Holmes Jr.,Joel V.</t>
  </si>
  <si>
    <t>Zlockie,Jessica R.</t>
  </si>
  <si>
    <t>Tyler,Roland Vincent</t>
  </si>
  <si>
    <t>Jordan,Curtis M.</t>
  </si>
  <si>
    <t>Parker,Kerry Mia</t>
  </si>
  <si>
    <t>HENDERSON-RHODES,JO ANN</t>
  </si>
  <si>
    <t>GORDON,SHARNETTE A</t>
  </si>
  <si>
    <t>HENDERSON,KEISHA C</t>
  </si>
  <si>
    <t>SUTHERLAND,TENINA B</t>
  </si>
  <si>
    <t>HAUGHTON-FRANCIS,ALECIA</t>
  </si>
  <si>
    <t>FICKLING,ROSALYN F</t>
  </si>
  <si>
    <t>PENN,GENELL V</t>
  </si>
  <si>
    <t>JOHNSON,MARQUITA D</t>
  </si>
  <si>
    <t>COBBS,CAROLYN</t>
  </si>
  <si>
    <t>Gaines,Kelly E.</t>
  </si>
  <si>
    <t>Campbell,Donnette</t>
  </si>
  <si>
    <t>Morrison,Rebecca Drosnin</t>
  </si>
  <si>
    <t>WALKER,BONITA D</t>
  </si>
  <si>
    <t>JONES JR,ALLEN BRENT</t>
  </si>
  <si>
    <t>ANJOU,LOLA L</t>
  </si>
  <si>
    <t>Moore Luke C. Academy SHS</t>
  </si>
  <si>
    <t>WASHINGTON,EMILY Y</t>
  </si>
  <si>
    <t>HUNT,AZALIA A</t>
  </si>
  <si>
    <t>Patrick,Rose M</t>
  </si>
  <si>
    <t>WILLIAMS,DEBORAH</t>
  </si>
  <si>
    <t>DONEGAL,DANIELIA CARLITA</t>
  </si>
  <si>
    <t>NARBAY,HENRY A</t>
  </si>
  <si>
    <t>CATINDIG,AVA A</t>
  </si>
  <si>
    <t>Garza,Robert C.</t>
  </si>
  <si>
    <t>AJUEYITSI,LUCKY</t>
  </si>
  <si>
    <t>IMBRIGATO,PAULINE M</t>
  </si>
  <si>
    <t>Webb,Latasha A.</t>
  </si>
  <si>
    <t>MURPHY,DEBORAH</t>
  </si>
  <si>
    <t>COORDINATOR (EG)</t>
  </si>
  <si>
    <t>KITT,CRYSTAL Y</t>
  </si>
  <si>
    <t>Perkins,Carlos Wesley</t>
  </si>
  <si>
    <t>LEWIS,GREGORY</t>
  </si>
  <si>
    <t>SAMUELS,ANDRE C</t>
  </si>
  <si>
    <t>FIELDS,JULIANNA M</t>
  </si>
  <si>
    <t>JACKSON,KEVIN</t>
  </si>
  <si>
    <t>HARRISON,JAMIE L</t>
  </si>
  <si>
    <t>HILLENBRAND,TRILBY A</t>
  </si>
  <si>
    <t>SMITH,GUY W</t>
  </si>
  <si>
    <t>BRANCH,KENNARD</t>
  </si>
  <si>
    <t>Maingot,Maneesha E</t>
  </si>
  <si>
    <t>Willoughby,Melina J</t>
  </si>
  <si>
    <t>Martinez-Lindo,Erika</t>
  </si>
  <si>
    <t>Kane,Yvonne M.</t>
  </si>
  <si>
    <t>Jackson,Bruce William</t>
  </si>
  <si>
    <t>Jackson,Tomesha E.</t>
  </si>
  <si>
    <t>JENKINS,TRACY LEE</t>
  </si>
  <si>
    <t>CROSBY,SYANDE K</t>
  </si>
  <si>
    <t>DORTCH,ELIZABETH G</t>
  </si>
  <si>
    <t>Ogden,Jeri L.</t>
  </si>
  <si>
    <t>BAILEY,JEAN</t>
  </si>
  <si>
    <t>JARVIS,CHRISTOPHINE A</t>
  </si>
  <si>
    <t>Lee Mamie D. School</t>
  </si>
  <si>
    <t>CAROTHERS,STEPHANIE R</t>
  </si>
  <si>
    <t>NEWMAN,HELENA F</t>
  </si>
  <si>
    <t>Dresbach,Kimberley A</t>
  </si>
  <si>
    <t>BOATMAN,MARVA L</t>
  </si>
  <si>
    <t>LECHNER,SALLY R</t>
  </si>
  <si>
    <t>DERRICOTTE,DAVID S</t>
  </si>
  <si>
    <t>PETERSON,WANDA E</t>
  </si>
  <si>
    <t>GILLETTE,CHERYL D</t>
  </si>
  <si>
    <t>COBB,TYRONE</t>
  </si>
  <si>
    <t>HUDSON,AUDREY J</t>
  </si>
  <si>
    <t>LIMBOS,CHERRY ANN</t>
  </si>
  <si>
    <t>ISRAEL-BELK,REBEKAH</t>
  </si>
  <si>
    <t>ROBERTSON,HUGH J</t>
  </si>
  <si>
    <t>TURINGAN,CHARITO P</t>
  </si>
  <si>
    <t>Williams,Michael B.</t>
  </si>
  <si>
    <t>Baker,Darius R.</t>
  </si>
  <si>
    <t>Pressley,Aimee C.</t>
  </si>
  <si>
    <t>MENELL,JANE R</t>
  </si>
  <si>
    <t>DEAN,NORA A</t>
  </si>
  <si>
    <t>CALLAWAY,SARAH B</t>
  </si>
  <si>
    <t>BRASWELL,LIS</t>
  </si>
  <si>
    <t>GERARD,KATHARINE K</t>
  </si>
  <si>
    <t>Hensley,Deborah</t>
  </si>
  <si>
    <t>BYRNE,PAIGE</t>
  </si>
  <si>
    <t>WHISNANT,ELIZABETH C</t>
  </si>
  <si>
    <t>Sheehan,Anna L.</t>
  </si>
  <si>
    <t>SMITH,DARRELL R</t>
  </si>
  <si>
    <t>SIEPIOLA,AMANDA L</t>
  </si>
  <si>
    <t>PACE,SARAH J</t>
  </si>
  <si>
    <t>Park,Susan Kim</t>
  </si>
  <si>
    <t>Howes,James C.</t>
  </si>
  <si>
    <t>KAPLAN,CHLOE A.</t>
  </si>
  <si>
    <t>ULLO,MEGAN E</t>
  </si>
  <si>
    <t>WURSTER,CRISTINA MARIE CRAIG</t>
  </si>
  <si>
    <t>Marshall Thurgood ES</t>
  </si>
  <si>
    <t>FOBBS,MICHELE D</t>
  </si>
  <si>
    <t>IRBY,VINSON M</t>
  </si>
  <si>
    <t>REID,BRENDA</t>
  </si>
  <si>
    <t>STROMAN,NICOLE A</t>
  </si>
  <si>
    <t>AREMO,OLAMIJU</t>
  </si>
  <si>
    <t>Smith,Valree B.</t>
  </si>
  <si>
    <t>HUBBARD,MEGAN</t>
  </si>
  <si>
    <t>BRICKLER,AUSTIN LAINE</t>
  </si>
  <si>
    <t>ADAMS,JANET B</t>
  </si>
  <si>
    <t>HUNT,CAROLINE ROSE</t>
  </si>
  <si>
    <t>COOPER,HENRI E</t>
  </si>
  <si>
    <t>VICK,MAMIE S</t>
  </si>
  <si>
    <t>WRIGHT SPURLOCK,KIM A</t>
  </si>
  <si>
    <t>Albert-Garvey,Carolyne E.</t>
  </si>
  <si>
    <t>MITCHELL,NADINE A</t>
  </si>
  <si>
    <t>BATTLE,SHIRLEY M</t>
  </si>
  <si>
    <t>TIMMONS,DEBRA A</t>
  </si>
  <si>
    <t>DORSEY,ASONJA</t>
  </si>
  <si>
    <t>HARDING,SCOTT D</t>
  </si>
  <si>
    <t>BROOKS,HEMPHILL ANNE R</t>
  </si>
  <si>
    <t>George,Jennifer Patricia</t>
  </si>
  <si>
    <t>SWEENEY,KATRIN L</t>
  </si>
  <si>
    <t>Scott,Amber Michelle</t>
  </si>
  <si>
    <t>Roper,Tui J.</t>
  </si>
  <si>
    <t>Nesper,Megan Anne</t>
  </si>
  <si>
    <t>Kelly,Sara E.</t>
  </si>
  <si>
    <t>Hanni,Natalie Jane</t>
  </si>
  <si>
    <t>Binder,Jessica R</t>
  </si>
  <si>
    <t>WILSON,CHARLIE L</t>
  </si>
  <si>
    <t>CRUMPTON,BRYAN D</t>
  </si>
  <si>
    <t>GRIMM,CHRISTOPHER P</t>
  </si>
  <si>
    <t>WILSON,VALERIE</t>
  </si>
  <si>
    <t>OLIVER-MCKENZIE,WANDA C</t>
  </si>
  <si>
    <t>Jones,Gwendolyn W</t>
  </si>
  <si>
    <t>CORLEY,GWENELLEN L</t>
  </si>
  <si>
    <t>BARTEE,RHONDA J</t>
  </si>
  <si>
    <t>KINSMAN,ANNA</t>
  </si>
  <si>
    <t>MULABAH,BESSIE F</t>
  </si>
  <si>
    <t>PEREZ,RAYMOND A</t>
  </si>
  <si>
    <t>JARVIS,ROBERT W</t>
  </si>
  <si>
    <t>SOLANO,JOHN M</t>
  </si>
  <si>
    <t>IACOVONE,MICHAEL D</t>
  </si>
  <si>
    <t>Green,Yolanda M</t>
  </si>
  <si>
    <t>BENNETT,CHERYL P</t>
  </si>
  <si>
    <t>DICKINSON JR,RAYMOND W</t>
  </si>
  <si>
    <t>Butler,Alysha J</t>
  </si>
  <si>
    <t>ISAAC,JOSEPH A</t>
  </si>
  <si>
    <t>MOORE,JUDY</t>
  </si>
  <si>
    <t>FISHMAN,SHIRA R</t>
  </si>
  <si>
    <t>HAMMOND,JOHN B</t>
  </si>
  <si>
    <t>Mikulec,Max J.</t>
  </si>
  <si>
    <t>WALKER,SHAVON TIFFANY</t>
  </si>
  <si>
    <t>PINDER,DAVID R</t>
  </si>
  <si>
    <t>COLSTON,KOBI B</t>
  </si>
  <si>
    <t>HARTBERGER,TRAVIS M</t>
  </si>
  <si>
    <t>KATHIRESAN,PRATHIMA</t>
  </si>
  <si>
    <t>RAUGHT,DESIREE L</t>
  </si>
  <si>
    <t>Kilbourn,Caroline McGrath</t>
  </si>
  <si>
    <t>Reynolds,La-Shunda Da-Lynn</t>
  </si>
  <si>
    <t>BROUDY,RACHEL D</t>
  </si>
  <si>
    <t>MOSS,MICHAEL M</t>
  </si>
  <si>
    <t>BETHEA,CATHERINE H</t>
  </si>
  <si>
    <t>BROWN,REBECCA J</t>
  </si>
  <si>
    <t>MCCABE,FRANCES A</t>
  </si>
  <si>
    <t>STOICA,IOANA</t>
  </si>
  <si>
    <t>Allen,Ernest B</t>
  </si>
  <si>
    <t>DASENBROOK,CHRISTOPHER E</t>
  </si>
  <si>
    <t>TAYLOR,MICHAEL G</t>
  </si>
  <si>
    <t>MOUKETOU,BERNADETTE</t>
  </si>
  <si>
    <t>Gendre,Guillaume Joseph</t>
  </si>
  <si>
    <t>James,Aqueelha Ruth</t>
  </si>
  <si>
    <t>Stevens,Bruce James</t>
  </si>
  <si>
    <t>Devuono,Lauren A.</t>
  </si>
  <si>
    <t>Brummell,Michelle A</t>
  </si>
  <si>
    <t>MASON,TANISHA</t>
  </si>
  <si>
    <t>GOODE BROWN,JANET</t>
  </si>
  <si>
    <t>SANDERS,H GIDEON</t>
  </si>
  <si>
    <t>DONALVO-CARLSEN,RENEE</t>
  </si>
  <si>
    <t>ETHERIDGE,PORTIA B</t>
  </si>
  <si>
    <t>HARRIS,MARSHA Y</t>
  </si>
  <si>
    <t>SOWHO,FESTUS E</t>
  </si>
  <si>
    <t>SIMMONS,BERNETTA</t>
  </si>
  <si>
    <t>GUNTER,STEPHANIE S</t>
  </si>
  <si>
    <t>PENN,MARY</t>
  </si>
  <si>
    <t>DENNIS,CAROL A</t>
  </si>
  <si>
    <t>MONTEZ,FRANCES S</t>
  </si>
  <si>
    <t>SHARPE,TYRENEA</t>
  </si>
  <si>
    <t>FORD,MARTIN R</t>
  </si>
  <si>
    <t>SIMS GRANT,BRENDA D</t>
  </si>
  <si>
    <t>SMITH HILLIARD,PATRICIA A</t>
  </si>
  <si>
    <t>TALIAFERRO,LAVONNE R</t>
  </si>
  <si>
    <t>DAIGNAULT,COURTNEY</t>
  </si>
  <si>
    <t>ESDAILE,KIM O</t>
  </si>
  <si>
    <t>DUDKIEWICZ,KATHERINE R</t>
  </si>
  <si>
    <t>MOORE,LAUREN A</t>
  </si>
  <si>
    <t>OTTLEY,SIDDIQAH</t>
  </si>
  <si>
    <t>MOORE,NICOLE R</t>
  </si>
  <si>
    <t>HICKS,DIANNA</t>
  </si>
  <si>
    <t>ALEXANDER,CHERYL I</t>
  </si>
  <si>
    <t>POBLETE,PAMELA A</t>
  </si>
  <si>
    <t>INGRAM,ATLAS J</t>
  </si>
  <si>
    <t>JOHNSON,TENISE</t>
  </si>
  <si>
    <t>ADAMS JONES,TONJA M</t>
  </si>
  <si>
    <t>TEACHER, PROF DEV.</t>
  </si>
  <si>
    <t>TAYLOR,DORIS D</t>
  </si>
  <si>
    <t>COBB,DURIEL J</t>
  </si>
  <si>
    <t>HENRY,YVONNE D</t>
  </si>
  <si>
    <t>Woodard,Monica L</t>
  </si>
  <si>
    <t>PARKER-MORRISON,SUBIRA</t>
  </si>
  <si>
    <t>INSTRUCATIONAL MENTOR</t>
  </si>
  <si>
    <t>PARKER,MARCIA S.</t>
  </si>
  <si>
    <t>BELL,MARKEVIA</t>
  </si>
  <si>
    <t>FEASTER,SHEILA A</t>
  </si>
  <si>
    <t>TEACHER COORD,PROF DEV</t>
  </si>
  <si>
    <t>Mills,Sylvia H.</t>
  </si>
  <si>
    <t>GAULT,ADRIENNE M</t>
  </si>
  <si>
    <t>Miller,Oneika M.</t>
  </si>
  <si>
    <t>Roman,Emily R.</t>
  </si>
  <si>
    <t>Bontempo,John Dominick</t>
  </si>
  <si>
    <t>PAYNE,TIFFANY M</t>
  </si>
  <si>
    <t>Walker-Jones ES</t>
  </si>
  <si>
    <t>MARRYSHOW,EARTHA</t>
  </si>
  <si>
    <t>Moten ES</t>
  </si>
  <si>
    <t>HARRIS,CLYDE</t>
  </si>
  <si>
    <t>WEST,DONNA</t>
  </si>
  <si>
    <t>SMITH,OLLIE L</t>
  </si>
  <si>
    <t>MORROW,DONNA V</t>
  </si>
  <si>
    <t>CEPHUS,SHELIA D</t>
  </si>
  <si>
    <t>CLARK,KISSA S</t>
  </si>
  <si>
    <t>HANLON,CONSTANCE M</t>
  </si>
  <si>
    <t>Logan-Generette,Charletta L.</t>
  </si>
  <si>
    <t>GRAVES,SHEILA</t>
  </si>
  <si>
    <t>Johnson,Lakeisha</t>
  </si>
  <si>
    <t>GOLDBERG,LESLIE A</t>
  </si>
  <si>
    <t>Bowlin,Patricia Eileen</t>
  </si>
  <si>
    <t>DEGUZMAN,ANNABELLA</t>
  </si>
  <si>
    <t>Griffin,Shelia R.</t>
  </si>
  <si>
    <t>THOMAS,ROSA G</t>
  </si>
  <si>
    <t>FLETCHER BUTLER,LELIA L</t>
  </si>
  <si>
    <t>LIPSHIE,ALYSSA J</t>
  </si>
  <si>
    <t>LEVY,KAREN E</t>
  </si>
  <si>
    <t>STEPHENS,ANGELA S</t>
  </si>
  <si>
    <t>SCHAFER,ELIZABETH</t>
  </si>
  <si>
    <t>MATHUR,ASHA</t>
  </si>
  <si>
    <t>WELSH,TIMOTHY W</t>
  </si>
  <si>
    <t>ROBINSON,DONNA B</t>
  </si>
  <si>
    <t>MCCOY,AVIS O</t>
  </si>
  <si>
    <t>Patterson,Timothy Jon</t>
  </si>
  <si>
    <t>OTTEN,VICTORIA</t>
  </si>
  <si>
    <t>CRESSWELL,WENDY</t>
  </si>
  <si>
    <t>YOUNG,CHARMAINE T</t>
  </si>
  <si>
    <t>STEWART,JEANICE</t>
  </si>
  <si>
    <t>KUDUK-HSU,HEATHER L</t>
  </si>
  <si>
    <t>STEPHENS,GERALDINE</t>
  </si>
  <si>
    <t>GOUDAS,ROSE C</t>
  </si>
  <si>
    <t>BERGIN,KATHLEEN</t>
  </si>
  <si>
    <t>FINBERG,SABRINA M J</t>
  </si>
  <si>
    <t>Hayden,Daniel Patrick</t>
  </si>
  <si>
    <t>BOGAN,SARAH E</t>
  </si>
  <si>
    <t>MILLER,LAUREN B</t>
  </si>
  <si>
    <t>BERGER,SHAWN A</t>
  </si>
  <si>
    <t>GEORGE,SARAH C</t>
  </si>
  <si>
    <t>MACEK,MARY ELLEN D</t>
  </si>
  <si>
    <t>HOPE,HOLLY S S.</t>
  </si>
  <si>
    <t>Fitzpatrick,Katelyn C.</t>
  </si>
  <si>
    <t>BELL,REGINA M</t>
  </si>
  <si>
    <t>Alexander,Denise C.</t>
  </si>
  <si>
    <t>STEWART,EMILY NOELLE</t>
  </si>
  <si>
    <t>SELTZER,SARAH E</t>
  </si>
  <si>
    <t>MAILLEY,ELIZABETH A.</t>
  </si>
  <si>
    <t>Madlock,Lauren E.</t>
  </si>
  <si>
    <t>BURKE,KIM S</t>
  </si>
  <si>
    <t>OGAN OFFOR,DAKORU PAMELA</t>
  </si>
  <si>
    <t>STROMAN,SYNTHIA</t>
  </si>
  <si>
    <t>WOOD,TERRY A</t>
  </si>
  <si>
    <t>SULLIVAN,DIANNE T</t>
  </si>
  <si>
    <t>PORTER,BEVERLY</t>
  </si>
  <si>
    <t>BROADY,MARQUITA L</t>
  </si>
  <si>
    <t>Nguyen,Thanh T</t>
  </si>
  <si>
    <t>WHEELER,KYLE E</t>
  </si>
  <si>
    <t>SURLES,NATASHA M</t>
  </si>
  <si>
    <t>LEE,LAENA H</t>
  </si>
  <si>
    <t>ADE,SAMANTHA M</t>
  </si>
  <si>
    <t>DIAMONT,CATRICE M</t>
  </si>
  <si>
    <t>VINSON,ERIC T</t>
  </si>
  <si>
    <t>LUCAS,DESIREE E</t>
  </si>
  <si>
    <t>Stabler,Jessica L.</t>
  </si>
  <si>
    <t>TILGHMAN,GEORGE K</t>
  </si>
  <si>
    <t>New Transition Academy</t>
  </si>
  <si>
    <t>CLARK,SHERYL A</t>
  </si>
  <si>
    <t>PARKER,SHERA A</t>
  </si>
  <si>
    <t>KING,ANDREW</t>
  </si>
  <si>
    <t>DE GLASPELL,MA CONCEPCION</t>
  </si>
  <si>
    <t>DUMAS,DENISE</t>
  </si>
  <si>
    <t>WORKMAN,LA BONE'</t>
  </si>
  <si>
    <t>TAYLOR,CLAUDE S</t>
  </si>
  <si>
    <t>ALFORD,MICHAEL A</t>
  </si>
  <si>
    <t>MATA,JEAN A</t>
  </si>
  <si>
    <t>DE LEON,ARLENE S</t>
  </si>
  <si>
    <t>BANU,HASNA</t>
  </si>
  <si>
    <t>TAYLOR,RHONDA L</t>
  </si>
  <si>
    <t>PAGULAYAN,DOMINADOR V</t>
  </si>
  <si>
    <t>SEDGWICK,TARKITTA J</t>
  </si>
  <si>
    <t>JONES,ANDREA L</t>
  </si>
  <si>
    <t>Gardner,Brian L.</t>
  </si>
  <si>
    <t>FRANKLIN Jr.,HOWARD L.</t>
  </si>
  <si>
    <t>Zekas,Alexandra A.</t>
  </si>
  <si>
    <t>RUTHERFORD,GRISELDA Y</t>
  </si>
  <si>
    <t>LEE TREADWELL,CELESTE Y</t>
  </si>
  <si>
    <t>WILSON JONES,KIA</t>
  </si>
  <si>
    <t>KEELING,DENISE</t>
  </si>
  <si>
    <t>ROBINSON-BASS,MICHELLE</t>
  </si>
  <si>
    <t>GILES,CARVELLA D</t>
  </si>
  <si>
    <t>HENDERSON,CASSANDRA D</t>
  </si>
  <si>
    <t>FERGUSON,RHONDA D</t>
  </si>
  <si>
    <t>EDWARDS,JOHN T</t>
  </si>
  <si>
    <t>JACKSON,CAMILLE</t>
  </si>
  <si>
    <t>DORTCH,DANIELLE Y</t>
  </si>
  <si>
    <t>HOLMES JR,RUSSELL E</t>
  </si>
  <si>
    <t>Cameron,Wadiyah</t>
  </si>
  <si>
    <t>HANSBOROUGH BECKLEY,LILLIAN</t>
  </si>
  <si>
    <t>BELLAMY,SEAN A</t>
  </si>
  <si>
    <t>BETHEL,KENDRA Y</t>
  </si>
  <si>
    <t>LOFTY,RAYMOND</t>
  </si>
  <si>
    <t>DEWEES SIROMOLOT,MARINA</t>
  </si>
  <si>
    <t>BENJAMIN,ROBIN</t>
  </si>
  <si>
    <t>TOMLINSON,ANGELA D</t>
  </si>
  <si>
    <t>HOFFMAN,JULIE A</t>
  </si>
  <si>
    <t>PATTON,TONI</t>
  </si>
  <si>
    <t>BISSI,LAURA G</t>
  </si>
  <si>
    <t>Kenan,LAKIA T</t>
  </si>
  <si>
    <t>DODSON,RENET G</t>
  </si>
  <si>
    <t>EDWARDS,MICHELLE</t>
  </si>
  <si>
    <t>SULLIVAN,MEGAN M</t>
  </si>
  <si>
    <t>JOHNSON,GARLAND E</t>
  </si>
  <si>
    <t>JAMES,SAQUITA A</t>
  </si>
  <si>
    <t>JOU,JENNY</t>
  </si>
  <si>
    <t>CLARENS,CAROLINA V</t>
  </si>
  <si>
    <t>ALDEN,NANCY C</t>
  </si>
  <si>
    <t>RAMOS,NILDA</t>
  </si>
  <si>
    <t>KOVIN,ROXANE V</t>
  </si>
  <si>
    <t>SAAVEDRA,MAGDALENA E</t>
  </si>
  <si>
    <t>GIRON,PEDRO P</t>
  </si>
  <si>
    <t>BUSTIOS,ROXANA MARIA</t>
  </si>
  <si>
    <t>ROSS,PAMELA A</t>
  </si>
  <si>
    <t>DIXON,JOHN E</t>
  </si>
  <si>
    <t>AMES,ROBERT V</t>
  </si>
  <si>
    <t>DOUGLAS,KRISTIN</t>
  </si>
  <si>
    <t>ROLING,CARRIE A</t>
  </si>
  <si>
    <t>Benson,Carl Michael</t>
  </si>
  <si>
    <t>De Las HERAS,RAFAEL M.</t>
  </si>
  <si>
    <t>Wilson,Ann D.</t>
  </si>
  <si>
    <t>TEACHER,KINDERGARTEN</t>
  </si>
  <si>
    <t>LANDA,ELISA A</t>
  </si>
  <si>
    <t>NEWBOLD,GREGORY E.</t>
  </si>
  <si>
    <t>VILLEGAS,IBIS</t>
  </si>
  <si>
    <t>CANALES,SONIA M</t>
  </si>
  <si>
    <t>ARCH,FRAN</t>
  </si>
  <si>
    <t>BUNGER,KATHRYN</t>
  </si>
  <si>
    <t>GOLLAND,RICHARD M</t>
  </si>
  <si>
    <t>PENA,GIOVANNI M</t>
  </si>
  <si>
    <t>BRAINARD,ANNE F</t>
  </si>
  <si>
    <t>SANTOS,MAWILCRI</t>
  </si>
  <si>
    <t>DE LA PUENTE,OSCAR</t>
  </si>
  <si>
    <t>Smith,Leslie Allen</t>
  </si>
  <si>
    <t>Morado,Christina B.</t>
  </si>
  <si>
    <t>Gutierrez,Sandra N</t>
  </si>
  <si>
    <t>Klapper,Joseph Michael</t>
  </si>
  <si>
    <t>MARTINEZ-LOPEZ,ANA I</t>
  </si>
  <si>
    <t>Rivers,Malcolm Richard</t>
  </si>
  <si>
    <t>Gerber,Paul Merrill</t>
  </si>
  <si>
    <t>Li,Hanru</t>
  </si>
  <si>
    <t>McKechnie,Kaitlyn R</t>
  </si>
  <si>
    <t>Leonesio,Alexis Joanna</t>
  </si>
  <si>
    <t>Finn,Caroline A</t>
  </si>
  <si>
    <t>Da Costa,Melissa C.</t>
  </si>
  <si>
    <t>KLEINMANN,LAURA B</t>
  </si>
  <si>
    <t>GAMARRA,EDUARDO D</t>
  </si>
  <si>
    <t>Ayllon,Claudia Nicole</t>
  </si>
  <si>
    <t>MATUS,EVELYN P</t>
  </si>
  <si>
    <t>UCLES,JUAN C</t>
  </si>
  <si>
    <t>QUIONONES,RICHARD</t>
  </si>
  <si>
    <t>Jimeno,Maria Isabel</t>
  </si>
  <si>
    <t>HOEKSEMA,JASON W</t>
  </si>
  <si>
    <t>LEMUS,ALEXANDRIA D</t>
  </si>
  <si>
    <t>GRANT,MELISSA B</t>
  </si>
  <si>
    <t>LIANG AGUIRRE,MONICA</t>
  </si>
  <si>
    <t>SHAW,MELISSA M</t>
  </si>
  <si>
    <t>TAVAREZ,YANITZA</t>
  </si>
  <si>
    <t>GRACIA,VANESA</t>
  </si>
  <si>
    <t>Taveras,Crystal Linn</t>
  </si>
  <si>
    <t>McKillop,Veronica Nadia</t>
  </si>
  <si>
    <t>PRIDGEN,DEBBIE L</t>
  </si>
  <si>
    <t>Patterson ES</t>
  </si>
  <si>
    <t>RIVERA,PANELLA</t>
  </si>
  <si>
    <t>STANLEY,ANTHONY R</t>
  </si>
  <si>
    <t>ROBINSON,CENITA F</t>
  </si>
  <si>
    <t>DIXON,PAULETTE J</t>
  </si>
  <si>
    <t>COMBS,CUBA V</t>
  </si>
  <si>
    <t>JONES,JACQUELINE D</t>
  </si>
  <si>
    <t>JACKSON,BEECHER P</t>
  </si>
  <si>
    <t>CARTER,JUDITH</t>
  </si>
  <si>
    <t>Murphy,Angela T</t>
  </si>
  <si>
    <t>PRINGLE,LAGRETA C</t>
  </si>
  <si>
    <t>HAYNES,SANDRA D</t>
  </si>
  <si>
    <t>MUI,MINGCHEE A</t>
  </si>
  <si>
    <t>EDISON,RAJAM M.</t>
  </si>
  <si>
    <t>Fowler,Lauren L.</t>
  </si>
  <si>
    <t>Martin,Jillian L</t>
  </si>
  <si>
    <t>STOKES,JUANITA M</t>
  </si>
  <si>
    <t>GLOVER,DANIELLE M</t>
  </si>
  <si>
    <t>CRISS,KATHERINE B</t>
  </si>
  <si>
    <t>PETERSON,PAULETTE</t>
  </si>
  <si>
    <t>WILSON,TEMELY D</t>
  </si>
  <si>
    <t>MILLER,JUDITH C</t>
  </si>
  <si>
    <t>BAGGETT,MELISSA</t>
  </si>
  <si>
    <t>DOUGLAS,JACQUELINE E</t>
  </si>
  <si>
    <t>MASON,DIONNE</t>
  </si>
  <si>
    <t>FITZHUGH JOHNSON,MARY</t>
  </si>
  <si>
    <t>WHITAKER,RAKECIA J</t>
  </si>
  <si>
    <t>REED-HARVEY,KIMBERLY</t>
  </si>
  <si>
    <t>SCOTT,VIELKA I</t>
  </si>
  <si>
    <t>FOX,MARION J</t>
  </si>
  <si>
    <t>Street,Timothy D.</t>
  </si>
  <si>
    <t>Evans,Kyle E.</t>
  </si>
  <si>
    <t>EATMAN,BRANDON C</t>
  </si>
  <si>
    <t>Peabody ES</t>
  </si>
  <si>
    <t>MURDOCK,GAIL T</t>
  </si>
  <si>
    <t>White,Selma B</t>
  </si>
  <si>
    <t>MONTGOMERY KAHAN,GWENDOLYN</t>
  </si>
  <si>
    <t>WATSON,LAWRENCE</t>
  </si>
  <si>
    <t>JONES,MARNIE F</t>
  </si>
  <si>
    <t>HOUGHTON,RACHEL E</t>
  </si>
  <si>
    <t>DOUGLAS WILLIAMS,SURIYA</t>
  </si>
  <si>
    <t>SMITH,MELISSA L</t>
  </si>
  <si>
    <t>DIAZ,JOSE A</t>
  </si>
  <si>
    <t>BROWN DORSEY,SHARON R</t>
  </si>
  <si>
    <t>BLOOM,SUSAN R</t>
  </si>
  <si>
    <t>CUSHMAN,KATIE</t>
  </si>
  <si>
    <t>WHITMORE,REBECCA H</t>
  </si>
  <si>
    <t>Davis,Asa R.</t>
  </si>
  <si>
    <t>NORGROVE GOODING,CHERYL D</t>
  </si>
  <si>
    <t>DAVIS,ELIZABETH A</t>
  </si>
  <si>
    <t>WALD,TAFARI E</t>
  </si>
  <si>
    <t>Smith,Caron Nicole</t>
  </si>
  <si>
    <t>BROWN JR,MCCLINTON</t>
  </si>
  <si>
    <t>DOMINGO,ELSA F</t>
  </si>
  <si>
    <t>Salimbene,Ann E</t>
  </si>
  <si>
    <t>MATTHEW,ARDEN</t>
  </si>
  <si>
    <t>OWENS,ASHLEY</t>
  </si>
  <si>
    <t>GREEN,ANDREW</t>
  </si>
  <si>
    <t>Jones,Tonya Patrice</t>
  </si>
  <si>
    <t>GUZMAN,INGRID</t>
  </si>
  <si>
    <t>Gilchrist,Thomas</t>
  </si>
  <si>
    <t>Hill,David L</t>
  </si>
  <si>
    <t>Barker,Lena Ashley</t>
  </si>
  <si>
    <t>Masimini,Mpumelelo</t>
  </si>
  <si>
    <t>SMITH,CORNELIA A</t>
  </si>
  <si>
    <t>Hughes,Kevin M</t>
  </si>
  <si>
    <t>TEYIBO,OLATUNDUN K</t>
  </si>
  <si>
    <t>STUBBS,PATRYCE B</t>
  </si>
  <si>
    <t>NORMAN,EVELYN</t>
  </si>
  <si>
    <t>MOORE,SELERYA O</t>
  </si>
  <si>
    <t>ALLEN,GLORIA D</t>
  </si>
  <si>
    <t>GRAY,CHRISTOPHER FRANKLIN</t>
  </si>
  <si>
    <t>MINOR FORDHAM,JEWELL C</t>
  </si>
  <si>
    <t>GARDNER,DEBORAH D</t>
  </si>
  <si>
    <t>BALLARD,PAMELA</t>
  </si>
  <si>
    <t>IZLAR CARR,SHERRELL L</t>
  </si>
  <si>
    <t>POINTER,RAWLINSON L</t>
  </si>
  <si>
    <t>WORDS HOWARD,RHONDA</t>
  </si>
  <si>
    <t>MONTGOMERY,MARK H</t>
  </si>
  <si>
    <t>Thomas,Janelle C</t>
  </si>
  <si>
    <t>Pernell,Sean A.</t>
  </si>
  <si>
    <t>Baines,Beverly A.</t>
  </si>
  <si>
    <t>Cue,Mary E.</t>
  </si>
  <si>
    <t>STOESSEL,CHRISTINE M</t>
  </si>
  <si>
    <t>DOCAL,JANEECE C</t>
  </si>
  <si>
    <t>HENNESSY,JAMES</t>
  </si>
  <si>
    <t>PIERRE,CESARINA SANTANA</t>
  </si>
  <si>
    <t>DILLARD,JENNIFER MAHER</t>
  </si>
  <si>
    <t>Miller,Izabela M.</t>
  </si>
  <si>
    <t>Myers,Shauna D.</t>
  </si>
  <si>
    <t>LOEWENGUTH,JOEL S</t>
  </si>
  <si>
    <t>NICELY,CHERYL A</t>
  </si>
  <si>
    <t>CLAY,JONATHAN</t>
  </si>
  <si>
    <t>BRYANT,JAMES</t>
  </si>
  <si>
    <t>DEL VALLE,EDUARDO CARLOS</t>
  </si>
  <si>
    <t>Manning,Lauren Louise</t>
  </si>
  <si>
    <t>Lopez,Darren S.</t>
  </si>
  <si>
    <t>Karttunen,Kirsten A.</t>
  </si>
  <si>
    <t>DeMartino,Kira L.</t>
  </si>
  <si>
    <t>ROBERTS,TANISHA TOBE</t>
  </si>
  <si>
    <t>Suarez,Diana L.</t>
  </si>
  <si>
    <t>Amling,Laura E.</t>
  </si>
  <si>
    <t>Faulkner,Keely M.</t>
  </si>
  <si>
    <t>Otero,Sasha A</t>
  </si>
  <si>
    <t>HINTON JR,THEODORE C</t>
  </si>
  <si>
    <t>SYKES,ANGELIQUE</t>
  </si>
  <si>
    <t>Parker,Marvin D</t>
  </si>
  <si>
    <t>Prospect LC</t>
  </si>
  <si>
    <t>JOHN,IDALETTE</t>
  </si>
  <si>
    <t>LA CAILLE,GASTON</t>
  </si>
  <si>
    <t>WILLIAMS,TERRELL</t>
  </si>
  <si>
    <t>BROADNAX,JACQUELINE D</t>
  </si>
  <si>
    <t>ABDUSSALAAM,ALVA T</t>
  </si>
  <si>
    <t>TERRY,PAULA KAY</t>
  </si>
  <si>
    <t>O'Neal,William E.B.</t>
  </si>
  <si>
    <t>DICKERSON,JAMES L</t>
  </si>
  <si>
    <t>BURNETTE,SANDRA</t>
  </si>
  <si>
    <t>LEE,JENNIFER</t>
  </si>
  <si>
    <t>WINTERS,KAREN M</t>
  </si>
  <si>
    <t>ST CLAIR,SHARON B</t>
  </si>
  <si>
    <t>FOMBY,KEVIN D</t>
  </si>
  <si>
    <t>OCAMPO,TERESITA</t>
  </si>
  <si>
    <t>ALEXIS-WILLIAMS,THERESA J.</t>
  </si>
  <si>
    <t>DOLISON,KYRA ELIZABETH</t>
  </si>
  <si>
    <t>Randle Highlands ES</t>
  </si>
  <si>
    <t>MOBLEY,MONA LISA</t>
  </si>
  <si>
    <t>AUDU,COMFORT</t>
  </si>
  <si>
    <t>SULLIVAN,ESTRELLITA VERNETT</t>
  </si>
  <si>
    <t>KEBERE,DEBORAH R</t>
  </si>
  <si>
    <t>BALTIMORE,AVIS C</t>
  </si>
  <si>
    <t>JOHNSON,DEBRA A</t>
  </si>
  <si>
    <t>STOKES,ADDIE S</t>
  </si>
  <si>
    <t>JEFFERSON,DANE A</t>
  </si>
  <si>
    <t>FERGUSON,DARLENE M</t>
  </si>
  <si>
    <t>FROST,HARRIET</t>
  </si>
  <si>
    <t>Carabetta,Ellen Marissa</t>
  </si>
  <si>
    <t>HARDY,LYNETTE F</t>
  </si>
  <si>
    <t>CAESAR,KISHANNA</t>
  </si>
  <si>
    <t>SMITH,SHANE O O.</t>
  </si>
  <si>
    <t>Bruyning,Alicia Kay</t>
  </si>
  <si>
    <t>Harris,Regan T.</t>
  </si>
  <si>
    <t>Nelson,Quida D.</t>
  </si>
  <si>
    <t>ROGERS,NATHANIEL LEE</t>
  </si>
  <si>
    <t>SCOTT,RONDA R</t>
  </si>
  <si>
    <t>EDWARDS,MONICA LEIGH</t>
  </si>
  <si>
    <t>BUGGS,SHIRLEY G</t>
  </si>
  <si>
    <t>OLISEMEKA,EKWUTEZIE</t>
  </si>
  <si>
    <t>MILLS,LARRY D</t>
  </si>
  <si>
    <t>MCCORMICK,SHEARON D</t>
  </si>
  <si>
    <t>JOHNSON,MILDRED L</t>
  </si>
  <si>
    <t>FEBLES,JUAN C</t>
  </si>
  <si>
    <t>KOBIELUS,EGIDIA A</t>
  </si>
  <si>
    <t>GILCHRIST,DIANE</t>
  </si>
  <si>
    <t>HAYNES JOHNSON,DENISE M</t>
  </si>
  <si>
    <t>OUTLAW,PAMELA D</t>
  </si>
  <si>
    <t>GILCHRIST,SANDRA M</t>
  </si>
  <si>
    <t>WILKINS,CASSANDRA L</t>
  </si>
  <si>
    <t>WILLIS,SARAH F</t>
  </si>
  <si>
    <t>LARA,CONSUELO</t>
  </si>
  <si>
    <t>GREEN,ALICIA U</t>
  </si>
  <si>
    <t>BREWER,SILVIA A</t>
  </si>
  <si>
    <t>BOWLES,KAREN R</t>
  </si>
  <si>
    <t>ROTENBERG,ANNA M</t>
  </si>
  <si>
    <t>JONES,LAKEALA T</t>
  </si>
  <si>
    <t>HUBBARD,NATALIE</t>
  </si>
  <si>
    <t>Nolen,Melissa K</t>
  </si>
  <si>
    <t>LESLIE,SUSANNE K</t>
  </si>
  <si>
    <t>McGrath,Sean</t>
  </si>
  <si>
    <t>PARKER,JANET M</t>
  </si>
  <si>
    <t>Pough Jr.,Samuel</t>
  </si>
  <si>
    <t>Ruston,Tarianda</t>
  </si>
  <si>
    <t>Durham-Vichr,Deborah</t>
  </si>
  <si>
    <t>FOLEY,RICHARD</t>
  </si>
  <si>
    <t>PAGE,STEPHANIE Y</t>
  </si>
  <si>
    <t>ILORI,LAURA</t>
  </si>
  <si>
    <t>DE TORRES,MARIA SHEILA B</t>
  </si>
  <si>
    <t>FELIX,SHERRY A</t>
  </si>
  <si>
    <t>Pinkard,Eugene A.</t>
  </si>
  <si>
    <t>Reed Marie LC</t>
  </si>
  <si>
    <t>WILLIAMS,DARRELL A</t>
  </si>
  <si>
    <t>GONZALES,ESTELLA B</t>
  </si>
  <si>
    <t>COCKBURN BEST,PERLA A</t>
  </si>
  <si>
    <t>THORNE,CECILE</t>
  </si>
  <si>
    <t>DAVIS,MAGGIE V</t>
  </si>
  <si>
    <t>LOBIANCO,SYLVIA M</t>
  </si>
  <si>
    <t>WENDT,ELIZABETH M</t>
  </si>
  <si>
    <t>SHERARD,URSULA B</t>
  </si>
  <si>
    <t>HUGHES,CAROLE D</t>
  </si>
  <si>
    <t>ROSS,TIFFANY J</t>
  </si>
  <si>
    <t>HOPKINS,KRISTINA V</t>
  </si>
  <si>
    <t>STEPHENS,ELINOR M</t>
  </si>
  <si>
    <t>Lacomba,Leticia C</t>
  </si>
  <si>
    <t>SORIANO,JOSE</t>
  </si>
  <si>
    <t>DENIS,HARRY</t>
  </si>
  <si>
    <t>Gordon,Alexandra G</t>
  </si>
  <si>
    <t>Sontag,Claire D.</t>
  </si>
  <si>
    <t>Frailey,Rebecca P</t>
  </si>
  <si>
    <t>TURCIOS,IRIS I</t>
  </si>
  <si>
    <t>Vega,Carmen M.</t>
  </si>
  <si>
    <t>Hemming,Elizabeth C.</t>
  </si>
  <si>
    <t>BYRD,STEPHANIE N</t>
  </si>
  <si>
    <t>Vaughan,Jamie</t>
  </si>
  <si>
    <t>FOSTER,SHANNON D</t>
  </si>
  <si>
    <t>ALLEN,PAMELA A</t>
  </si>
  <si>
    <t>Coles,Shamayne J</t>
  </si>
  <si>
    <t>OWEH,LORNA R</t>
  </si>
  <si>
    <t>MATHIEU,ROBERT</t>
  </si>
  <si>
    <t>MORRISON,CASHANA</t>
  </si>
  <si>
    <t>LIVINGSTON,LATOYA</t>
  </si>
  <si>
    <t>CHAPLIN,LISA A</t>
  </si>
  <si>
    <t>STEPHENSON,BRANDY D</t>
  </si>
  <si>
    <t>Ronald Brown MS</t>
  </si>
  <si>
    <t>MAITH,ROMAS R</t>
  </si>
  <si>
    <t>EVANS,JANICE M</t>
  </si>
  <si>
    <t>PIERCE,WENDY P</t>
  </si>
  <si>
    <t>BROWN-TOBIAS,ADRIENNE A</t>
  </si>
  <si>
    <t>AGER,LORA I</t>
  </si>
  <si>
    <t>JOHNSON,TIFFANY</t>
  </si>
  <si>
    <t>Prickett,Ashley F.</t>
  </si>
  <si>
    <t>THOMPSON,ALLIE F</t>
  </si>
  <si>
    <t>MONTAGUE,DORLISA K</t>
  </si>
  <si>
    <t>MILLNER,REBECCA M</t>
  </si>
  <si>
    <t>SLADE,DARRIN A</t>
  </si>
  <si>
    <t>ABOKO-COLE DIAKITE,REMIDENE</t>
  </si>
  <si>
    <t>LEWIS,LOUISE</t>
  </si>
  <si>
    <t>ANGLIN,BROWN HENRY</t>
  </si>
  <si>
    <t>JACKSON,GLORIA B.</t>
  </si>
  <si>
    <t>WARREN,SHIRLEY</t>
  </si>
  <si>
    <t>Kensey,Danyelle Marian</t>
  </si>
  <si>
    <t>YOUNG-SHORTER,ARSTENA</t>
  </si>
  <si>
    <t>RUSSELL,BRENDA</t>
  </si>
  <si>
    <t>DOZIER,SHIRLEY A</t>
  </si>
  <si>
    <t>Anderson,Nicole Kristine</t>
  </si>
  <si>
    <t>MORRIS,DARLENE C</t>
  </si>
  <si>
    <t>QUIROS,RICARDO A</t>
  </si>
  <si>
    <t>ANDREWS JR,JOE A</t>
  </si>
  <si>
    <t>MUETHING,MARC</t>
  </si>
  <si>
    <t>HOLMES,DEBORAH M</t>
  </si>
  <si>
    <t>DICKERSON,KENNETH D</t>
  </si>
  <si>
    <t>SLOANE AKWARA,VENETTA</t>
  </si>
  <si>
    <t>WARFIELD DUREN,DONNA J</t>
  </si>
  <si>
    <t>YARBOROUGH,JAMES O</t>
  </si>
  <si>
    <t>BENNETT,DAVID E</t>
  </si>
  <si>
    <t>BROWN MAYERS,BARBARA</t>
  </si>
  <si>
    <t>WALKER,DAVIA L</t>
  </si>
  <si>
    <t>RUTLEDGE,LUJUAN L</t>
  </si>
  <si>
    <t>JACOBS,DOUGLAS</t>
  </si>
  <si>
    <t>HAWKINS,SHELLEY RENEE</t>
  </si>
  <si>
    <t>Wiltshire,Brian Eric</t>
  </si>
  <si>
    <t>GAIN,SANDRA L</t>
  </si>
  <si>
    <t>ESGUERRA SANDOVAL,CHRISTINA</t>
  </si>
  <si>
    <t>PASCUAL,MARCELINA G</t>
  </si>
  <si>
    <t>GOLDSON,RACHELLE D</t>
  </si>
  <si>
    <t>Johnson,Errol</t>
  </si>
  <si>
    <t>Grimsland,Kevin K.</t>
  </si>
  <si>
    <t>MONROE,FREDRICK R</t>
  </si>
  <si>
    <t>Mitchell,Ivor D.</t>
  </si>
  <si>
    <t>FLYNN,JA LAIR Y</t>
  </si>
  <si>
    <t>MARSH,CLIFFORD B</t>
  </si>
  <si>
    <t>Patterson,Jerome</t>
  </si>
  <si>
    <t>Boyd,Zaneta A</t>
  </si>
  <si>
    <t>DRUMMOND,PATRICIA</t>
  </si>
  <si>
    <t>Mason,Megan Miriam Mary</t>
  </si>
  <si>
    <t>Pope,Cherri Mishaun</t>
  </si>
  <si>
    <t>HAILES,STEPHANIE TRACY</t>
  </si>
  <si>
    <t>WRIGHT,VENITA EVANS</t>
  </si>
  <si>
    <t>ROPER,JOSEPH C</t>
  </si>
  <si>
    <t>CLEMENTS,ARTHUR</t>
  </si>
  <si>
    <t>Roosevelt STAY</t>
  </si>
  <si>
    <t>WILLIAMS,VERONICA B</t>
  </si>
  <si>
    <t>YISRAEL,SEAN B</t>
  </si>
  <si>
    <t>JACKSON,NICOLE JEJUAN</t>
  </si>
  <si>
    <t>HARRISTON,ANGELA D</t>
  </si>
  <si>
    <t>JONES,DARONNA</t>
  </si>
  <si>
    <t>TEACHER, WAE (ENGLISH)</t>
  </si>
  <si>
    <t>COBLE,KELLEY M</t>
  </si>
  <si>
    <t>JOHNSON,ANGELA MENSAH</t>
  </si>
  <si>
    <t>JORDAN,KEITH M</t>
  </si>
  <si>
    <t>SOTHERN,DONNA D</t>
  </si>
  <si>
    <t>Robinson,Walter K.</t>
  </si>
  <si>
    <t>MITCHELL,IRENE V</t>
  </si>
  <si>
    <t>VanDunk,Carl H.</t>
  </si>
  <si>
    <t>GIBSON,BENJAMIN J</t>
  </si>
  <si>
    <t>Anderson,Katharine B.</t>
  </si>
  <si>
    <t>Ross ES</t>
  </si>
  <si>
    <t>ROGERS,KENNETH D</t>
  </si>
  <si>
    <t>COSS,EDWARD C</t>
  </si>
  <si>
    <t>HICKS,JUANA P</t>
  </si>
  <si>
    <t>LEE,JACQUELINE</t>
  </si>
  <si>
    <t>LARKIN,KATHRYN E</t>
  </si>
  <si>
    <t>Searl,Holly M.</t>
  </si>
  <si>
    <t>Fister,Kelly E.</t>
  </si>
  <si>
    <t>JURIGA,LISA K</t>
  </si>
  <si>
    <t>Devine,Kelly Marie</t>
  </si>
  <si>
    <t>Peters,Suzanne</t>
  </si>
  <si>
    <t>MARKUS,DANIEL</t>
  </si>
  <si>
    <t>WATSON,HELEN L</t>
  </si>
  <si>
    <t>MULLINS,MARGARET A</t>
  </si>
  <si>
    <t>BULLARD,MARY E</t>
  </si>
  <si>
    <t>RAGSDALE,BILLIE L</t>
  </si>
  <si>
    <t>MASSEY,PAMELA</t>
  </si>
  <si>
    <t>MASKE,MARGARET A</t>
  </si>
  <si>
    <t>ODOM OWENS,TONDRA J</t>
  </si>
  <si>
    <t>BROWN,TIFFANY L</t>
  </si>
  <si>
    <t>MORRIS,SHARON</t>
  </si>
  <si>
    <t>DORSEY,JUNE F</t>
  </si>
  <si>
    <t>ALEXANDER,JEAN</t>
  </si>
  <si>
    <t>OLAZO,MARIE C</t>
  </si>
  <si>
    <t>Braxton,Nicole</t>
  </si>
  <si>
    <t>LAMBERT,FATIMA</t>
  </si>
  <si>
    <t>DYSON,TIFFANY D</t>
  </si>
  <si>
    <t>Webb,Andrea K.</t>
  </si>
  <si>
    <t>WOOLERY,MARIA</t>
  </si>
  <si>
    <t>Finch,Suzanne S.</t>
  </si>
  <si>
    <t>POKORAK,JENINE M</t>
  </si>
  <si>
    <t>School w/out Walls SHS</t>
  </si>
  <si>
    <t>MOTEN,JOAN E</t>
  </si>
  <si>
    <t>REIDY,GEORGE</t>
  </si>
  <si>
    <t>WEN,LEE ANN YIJIANG</t>
  </si>
  <si>
    <t>THORPE,ADEBAYO</t>
  </si>
  <si>
    <t>Diagne,Mamadou</t>
  </si>
  <si>
    <t>Ismail,Edward</t>
  </si>
  <si>
    <t>ISAAC,SYLVIA A</t>
  </si>
  <si>
    <t>Cunningham,James</t>
  </si>
  <si>
    <t>HUFF,MICHAEL A</t>
  </si>
  <si>
    <t>CATLIN,EVERETT N</t>
  </si>
  <si>
    <t>BRIGGS,GINEA L</t>
  </si>
  <si>
    <t>HOLT,ALAN K</t>
  </si>
  <si>
    <t>TYSON,VICTORIA</t>
  </si>
  <si>
    <t>BUTLER,CHARLES</t>
  </si>
  <si>
    <t>PIPER,CRISTAL</t>
  </si>
  <si>
    <t>SCHULZ,CAROLYN</t>
  </si>
  <si>
    <t>Jones Jr.,William M.</t>
  </si>
  <si>
    <t>IGOUDJIL,M.KAMEL</t>
  </si>
  <si>
    <t>PULTZ,HEATHER</t>
  </si>
  <si>
    <t>ACKERMAN,CARLTON J</t>
  </si>
  <si>
    <t>VOLLIN,SHARON K</t>
  </si>
  <si>
    <t>ALBERTS,CHRISTOPHER</t>
  </si>
  <si>
    <t>IRO,HAFSATU I</t>
  </si>
  <si>
    <t>NULL,COREY J</t>
  </si>
  <si>
    <t>BERGMAN,SYDNEY B</t>
  </si>
  <si>
    <t>Makar,Meredith Leigh</t>
  </si>
  <si>
    <t>WILLERTH,DEANA M</t>
  </si>
  <si>
    <t>BLESSING,RACHEL M</t>
  </si>
  <si>
    <t>LEIKIN,MARNI S</t>
  </si>
  <si>
    <t>CHRISTIE,KIEHL B</t>
  </si>
  <si>
    <t>BENNETT,NICHOLAS F</t>
  </si>
  <si>
    <t>GHAZI,SHAKIR</t>
  </si>
  <si>
    <t>Kapadia,Zarin K.</t>
  </si>
  <si>
    <t>Kennedy,Margaret Shippen</t>
  </si>
  <si>
    <t>Schwartz,Olivia M.</t>
  </si>
  <si>
    <t>Brinley,Jane M.</t>
  </si>
  <si>
    <t>KLAWENDER,ARTHUR C</t>
  </si>
  <si>
    <t>Adamo,Lauren Michelle</t>
  </si>
  <si>
    <t>Adam,Ameerah S.</t>
  </si>
  <si>
    <t>Lorenzen,Jere</t>
  </si>
  <si>
    <t>MCLEAN,MARLA J</t>
  </si>
  <si>
    <t>BURKE,SARAH F</t>
  </si>
  <si>
    <t>BURST,JOHN E</t>
  </si>
  <si>
    <t>RICKS,MARGARET</t>
  </si>
  <si>
    <t>Brisbane,Melissa L.</t>
  </si>
  <si>
    <t>SCOFIELD,ALYSIA C</t>
  </si>
  <si>
    <t>ARMOO,JOYCE O</t>
  </si>
  <si>
    <t>MURRAY,CATHY DUCKETT</t>
  </si>
  <si>
    <t>JACKSON,LASONYA M</t>
  </si>
  <si>
    <t>SMITH,ALTHEA I</t>
  </si>
  <si>
    <t>AUSTIN,STEPHANIE GRIGSBY</t>
  </si>
  <si>
    <t>WILLIAMS,LILLIANN</t>
  </si>
  <si>
    <t>LuSane,David E.A.</t>
  </si>
  <si>
    <t>Campbell,Amber N.</t>
  </si>
  <si>
    <t>DOYLE,JOYCE M</t>
  </si>
  <si>
    <t>COWARD,CORY A</t>
  </si>
  <si>
    <t>DUARTE,FABIANA</t>
  </si>
  <si>
    <t>THOMAS,TERRY V</t>
  </si>
  <si>
    <t>PINEIRO LANDING,GLORIA C</t>
  </si>
  <si>
    <t>GUO,SHUZHI</t>
  </si>
  <si>
    <t>HOUSEY,BARBARA</t>
  </si>
  <si>
    <t>CHAVIS,TERRENCE A</t>
  </si>
  <si>
    <t>Lam,Ryan Albrite</t>
  </si>
  <si>
    <t>LANDON,LAURA L</t>
  </si>
  <si>
    <t>Simmons,Bridget Michelle</t>
  </si>
  <si>
    <t>McAllister,Brittany Joy</t>
  </si>
  <si>
    <t>Horton,Kendra E.</t>
  </si>
  <si>
    <t>SPURGEON,BONITA</t>
  </si>
  <si>
    <t>HOUSTON,SHIRLEY M</t>
  </si>
  <si>
    <t>JAMES,GLADYS B</t>
  </si>
  <si>
    <t>ROBINSON,GAIL</t>
  </si>
  <si>
    <t>FONGOD,PATIENCE N</t>
  </si>
  <si>
    <t>Vaughn,Deanna Michelle</t>
  </si>
  <si>
    <t>MORRIS,SHATIKA Y</t>
  </si>
  <si>
    <t>SPINDLE,JACINDA</t>
  </si>
  <si>
    <t>Graves,Merlyne Juanita</t>
  </si>
  <si>
    <t>Sharpe Health School</t>
  </si>
  <si>
    <t>BRADLEY,SUSAN C</t>
  </si>
  <si>
    <t>HARRIS,YVONNE</t>
  </si>
  <si>
    <t>JACKSON,WYNNETTA E W</t>
  </si>
  <si>
    <t>PHELPS,DIANE</t>
  </si>
  <si>
    <t>ANDREWS,ARMECIA A</t>
  </si>
  <si>
    <t>MAYES BROWNE,ROAENETTA</t>
  </si>
  <si>
    <t>WARF,LAURIE M</t>
  </si>
  <si>
    <t>ROY,ROSITA L</t>
  </si>
  <si>
    <t>JONES,WILLIAM</t>
  </si>
  <si>
    <t>SHERROD,RICHELLE D</t>
  </si>
  <si>
    <t>JOHNSON,CATHERINE L</t>
  </si>
  <si>
    <t>FRANCIS,SAVETRIA Y</t>
  </si>
  <si>
    <t>ROGERS,GENNISE</t>
  </si>
  <si>
    <t>Vest,Tenisha M.</t>
  </si>
  <si>
    <t>Hurge,Felicia S.</t>
  </si>
  <si>
    <t>Vizzini,Carla M</t>
  </si>
  <si>
    <t>SYKES,AVIS S</t>
  </si>
  <si>
    <t>Pruett,Catherine E.</t>
  </si>
  <si>
    <t>Shaw JHS</t>
  </si>
  <si>
    <t>YOUNG,BENJAMIN M</t>
  </si>
  <si>
    <t>BINGHAM,ALISA K</t>
  </si>
  <si>
    <t>SHORTER,KIMANI</t>
  </si>
  <si>
    <t>COATES,JODY M</t>
  </si>
  <si>
    <t>Floyd,Jacqueline</t>
  </si>
  <si>
    <t>ALWON,KATHRYN N</t>
  </si>
  <si>
    <t>ALESHIRE,LISA</t>
  </si>
  <si>
    <t>BRENNER,TRAVIS J</t>
  </si>
  <si>
    <t>LEONARD,MEREDITH A</t>
  </si>
  <si>
    <t>JACKSON,ROGER D</t>
  </si>
  <si>
    <t>Peters,Katherine L.</t>
  </si>
  <si>
    <t>Galloway,Tarah Y.</t>
  </si>
  <si>
    <t>Baker,Kathryn Mary</t>
  </si>
  <si>
    <t>Williams,Sheritia Dansby</t>
  </si>
  <si>
    <t>Purcell,Keelan Kathryn</t>
  </si>
  <si>
    <t>Roberts,Jimmie L</t>
  </si>
  <si>
    <t>Wallace,Naima C.</t>
  </si>
  <si>
    <t>MCKENZIE,EVELYN</t>
  </si>
  <si>
    <t>JOHNSON,BEVERLY</t>
  </si>
  <si>
    <t>KING,STEVEN J</t>
  </si>
  <si>
    <t>GIBBS,PATRICIA S</t>
  </si>
  <si>
    <t>LIGGINS,GAIL S</t>
  </si>
  <si>
    <t>LAUGHINGHOUSE,CAROL D</t>
  </si>
  <si>
    <t>BOOTH,LASHAHN S</t>
  </si>
  <si>
    <t>VALENTINE-NELSON,VALENA</t>
  </si>
  <si>
    <t>MICHAUD,JOELE C</t>
  </si>
  <si>
    <t>LEONARD,TIMOTHY E</t>
  </si>
  <si>
    <t>HOLT,TIA R</t>
  </si>
  <si>
    <t>THOMAS,MARY E</t>
  </si>
  <si>
    <t>GOLDMAN,RACHEL A</t>
  </si>
  <si>
    <t>ULBA,NANCY G</t>
  </si>
  <si>
    <t>MILES,JAMIE B</t>
  </si>
  <si>
    <t>GILES,KENNETH</t>
  </si>
  <si>
    <t>MOOREFIELD,CRYSTAL C</t>
  </si>
  <si>
    <t>GADIE,KOUTOUAN C</t>
  </si>
  <si>
    <t>Hart,Sandra</t>
  </si>
  <si>
    <t>Pethtel,Nicole E.</t>
  </si>
  <si>
    <t>ROSS,DONNA C</t>
  </si>
  <si>
    <t>PLASKETT,ALENA A</t>
  </si>
  <si>
    <t>MIXON,ELAINE</t>
  </si>
  <si>
    <t>LYONS,DEBORAH D</t>
  </si>
  <si>
    <t>Cobham,Sekwana T</t>
  </si>
  <si>
    <t>FLAMER,ADELAIDE</t>
  </si>
  <si>
    <t>PLENTY,SHENORA N</t>
  </si>
  <si>
    <t>Manigault,Dominique L.</t>
  </si>
  <si>
    <t>Spriggs,Shantese U</t>
  </si>
  <si>
    <t>HOLLOWELL-MAKLE,KATHY A</t>
  </si>
  <si>
    <t>SHANKLIN,CASSANDRA C C.</t>
  </si>
  <si>
    <t>Shabazz,Islam Asad</t>
  </si>
  <si>
    <t>STRONG,VIVIAN E</t>
  </si>
  <si>
    <t>SAMS MOORE,SHERYL</t>
  </si>
  <si>
    <t>Smothers ES</t>
  </si>
  <si>
    <t>Wolf,Jessica L.</t>
  </si>
  <si>
    <t>PENN,YOLANDA D</t>
  </si>
  <si>
    <t>MCDONOUGH BERARD,MAUREEN S</t>
  </si>
  <si>
    <t>WEBER,JENNIFER</t>
  </si>
  <si>
    <t>LILLY,RHONDA C</t>
  </si>
  <si>
    <t>FEINBLATT,SHANNON</t>
  </si>
  <si>
    <t>PRESTON,BARBARA A</t>
  </si>
  <si>
    <t>OMEIR,GEORGE</t>
  </si>
  <si>
    <t>Rose,Erica Frances</t>
  </si>
  <si>
    <t>Blackwell,Markeeta Anita</t>
  </si>
  <si>
    <t>Gundling,Jilian L.</t>
  </si>
  <si>
    <t>Lutz,Alysia S.</t>
  </si>
  <si>
    <t>Krohn,Joshua S.</t>
  </si>
  <si>
    <t>Force,Ryan F.</t>
  </si>
  <si>
    <t>Jennings,Brenda L.</t>
  </si>
  <si>
    <t>DAVIS,PAULETTE T.</t>
  </si>
  <si>
    <t>Vaughn,Kristina</t>
  </si>
  <si>
    <t>Tatum,Sunaria D.</t>
  </si>
  <si>
    <t>ESPINAL,NAKIA E</t>
  </si>
  <si>
    <t>Stoop,Lauren L.</t>
  </si>
  <si>
    <t>Aldridge,Courtney E</t>
  </si>
  <si>
    <t>Harper,Hillary E.</t>
  </si>
  <si>
    <t>Bethea,Sheena</t>
  </si>
  <si>
    <t>Dabney,Doris T.</t>
  </si>
  <si>
    <t>Butler,Angelia</t>
  </si>
  <si>
    <t>Ramsey,Katrina Yvette</t>
  </si>
  <si>
    <t>Williams,Milton B</t>
  </si>
  <si>
    <t>SCOTT,RODNEY J</t>
  </si>
  <si>
    <t>HICKMAN,GAIL E</t>
  </si>
  <si>
    <t>GREEN,JOANNE C</t>
  </si>
  <si>
    <t>JOHNSON,WILLIEPEARL</t>
  </si>
  <si>
    <t>THOMAS JR,EUGENE</t>
  </si>
  <si>
    <t>MATTHEWS,JOHN F</t>
  </si>
  <si>
    <t>ANDERSON,EDWARD B</t>
  </si>
  <si>
    <t>HALL,MICHELLE H</t>
  </si>
  <si>
    <t>JACKSON,KEITH L</t>
  </si>
  <si>
    <t>LASER-ROBINSON,ALEXANDER S</t>
  </si>
  <si>
    <t>PARKER,KENNETH</t>
  </si>
  <si>
    <t>HOLMES,PAMELA Y</t>
  </si>
  <si>
    <t>BRISCOE,DONNA M</t>
  </si>
  <si>
    <t>WASHINGTON,GARY K</t>
  </si>
  <si>
    <t>TILLMAN,KENNETH</t>
  </si>
  <si>
    <t>SHARMA,BRAJENDRA P</t>
  </si>
  <si>
    <t>Norton,Jackson Hewitt</t>
  </si>
  <si>
    <t>CHAVEZ,DENNIS R</t>
  </si>
  <si>
    <t>VOUNDY,VENETTE C</t>
  </si>
  <si>
    <t>DORN,VANESSA</t>
  </si>
  <si>
    <t>MCCORVEY,KANDIIS S</t>
  </si>
  <si>
    <t>SHANK,RONALD J</t>
  </si>
  <si>
    <t>HOLMAN,JOE</t>
  </si>
  <si>
    <t>Clarke,W. Guy</t>
  </si>
  <si>
    <t>BRYANT III,LLOYD H</t>
  </si>
  <si>
    <t>YAMIN,SHADIA</t>
  </si>
  <si>
    <t>KING,RICHELLE D</t>
  </si>
  <si>
    <t>Miller II,John Brian</t>
  </si>
  <si>
    <t>Holden,Tenika Lola</t>
  </si>
  <si>
    <t>JONES,WILBERT R</t>
  </si>
  <si>
    <t>PERSON,WESLEY</t>
  </si>
  <si>
    <t>Spingarn STAY</t>
  </si>
  <si>
    <t>FISHER,CHARLOTTE R</t>
  </si>
  <si>
    <t>WILLIAMS,GERARD K</t>
  </si>
  <si>
    <t>JONES,ADRIENNE C</t>
  </si>
  <si>
    <t>POLES,PAMELA</t>
  </si>
  <si>
    <t>Dent,Mary K.</t>
  </si>
  <si>
    <t>JEFFERSON,MARSHAN D</t>
  </si>
  <si>
    <t>ROBERTS,ERIC W</t>
  </si>
  <si>
    <t>Thomas,Harold L</t>
  </si>
  <si>
    <t>LEFTWICH,MONICA A</t>
  </si>
  <si>
    <t>John,Caroline E.</t>
  </si>
  <si>
    <t>BROOKS,TIYANNA</t>
  </si>
  <si>
    <t>MISHIK,STEPHANIE J.</t>
  </si>
  <si>
    <t>Bustamante,Samantha Marbella</t>
  </si>
  <si>
    <t>Oliver,Brittany J.</t>
  </si>
  <si>
    <t>Gallo,Megan A.</t>
  </si>
  <si>
    <t>Garner,Sheryl K.</t>
  </si>
  <si>
    <t>McKay,Kerri Anne</t>
  </si>
  <si>
    <t>Richards,Julian Albertus</t>
  </si>
  <si>
    <t>Dickinson,Coreil R.</t>
  </si>
  <si>
    <t>Oliver,Mikel B</t>
  </si>
  <si>
    <t>Bryant,Melissa M.</t>
  </si>
  <si>
    <t>Locke,Matthew J</t>
  </si>
  <si>
    <t>Bosman,Sanja</t>
  </si>
  <si>
    <t>OGBURN,IRIS</t>
  </si>
  <si>
    <t>BARR,MYRILYN A</t>
  </si>
  <si>
    <t>STEVENSON,MARIAN L</t>
  </si>
  <si>
    <t>MUHAWI,HIAM</t>
  </si>
  <si>
    <t>TERRELL,DIANE D</t>
  </si>
  <si>
    <t>REDMAN,MELVA S</t>
  </si>
  <si>
    <t>SMITH,KATHLEEN K</t>
  </si>
  <si>
    <t>ZACHARY,WANDA M</t>
  </si>
  <si>
    <t>FORD BARNUM,VALERIE A</t>
  </si>
  <si>
    <t>PROSSER,MARYANNE A</t>
  </si>
  <si>
    <t>DUFF,CRAIG E</t>
  </si>
  <si>
    <t>MOISAN,BONNIE E</t>
  </si>
  <si>
    <t>GUARALDO,LAURENB</t>
  </si>
  <si>
    <t>SMITH,RICHARD</t>
  </si>
  <si>
    <t>MUNDELL,DEBRA</t>
  </si>
  <si>
    <t>BRUCE,DENEA</t>
  </si>
  <si>
    <t>GROSS,ANDREA R</t>
  </si>
  <si>
    <t>DINGLEDINE,STEVEN A</t>
  </si>
  <si>
    <t>CHOI,JINNY</t>
  </si>
  <si>
    <t>O'BEIRNE,BRIAN F</t>
  </si>
  <si>
    <t>PESEK,DOLORES D</t>
  </si>
  <si>
    <t>Marquez,Lalla R.</t>
  </si>
  <si>
    <t>PERRY,JEANETTE N</t>
  </si>
  <si>
    <t>ARTIGA,OLGA</t>
  </si>
  <si>
    <t>SPINNER,MARTIN A</t>
  </si>
  <si>
    <t>MITCHELL,SUSAN</t>
  </si>
  <si>
    <t>AIKMAN,LAURA E</t>
  </si>
  <si>
    <t>BOOKER,LEONARD N</t>
  </si>
  <si>
    <t>PENA,ANTHONETTE WILSON</t>
  </si>
  <si>
    <t>PEARSON,VICTORIA</t>
  </si>
  <si>
    <t>JONES COLEMAN,STEPHANIE</t>
  </si>
  <si>
    <t>BURST,SANDRA B</t>
  </si>
  <si>
    <t>Ledford,Anne Elizabeth</t>
  </si>
  <si>
    <t>WATERS,KAREN</t>
  </si>
  <si>
    <t>TYNES,DIANA M</t>
  </si>
  <si>
    <t>WARRICK,LESA A</t>
  </si>
  <si>
    <t>GARNER,ERNEST</t>
  </si>
  <si>
    <t>HARRIS,NINA P</t>
  </si>
  <si>
    <t>TALBOT,KATHLEEN A</t>
  </si>
  <si>
    <t>CREEF JR,EMMETT</t>
  </si>
  <si>
    <t>TRENKLE,AMY</t>
  </si>
  <si>
    <t>CANALES,JOSE R</t>
  </si>
  <si>
    <t>BROWN,KATHLEEN</t>
  </si>
  <si>
    <t>SURPRENANT,BRETT M</t>
  </si>
  <si>
    <t>BELCUORE,CYNTHIA W</t>
  </si>
  <si>
    <t>BROWN,SABRINA L</t>
  </si>
  <si>
    <t>Franklin,Katherine L.</t>
  </si>
  <si>
    <t>Williams,Robin R.</t>
  </si>
  <si>
    <t>Munz,Richard J</t>
  </si>
  <si>
    <t>WILSON,CRYSTAL RENEE</t>
  </si>
  <si>
    <t>EDWARDS,JAMES A</t>
  </si>
  <si>
    <t>Evans-Smith,Charlene L.</t>
  </si>
  <si>
    <t>SIMMONS CHATMON,MARY</t>
  </si>
  <si>
    <t>GANT,PAMELA E</t>
  </si>
  <si>
    <t>Caputo,Erika M.</t>
  </si>
  <si>
    <t>ELLIS,VALERIE D</t>
  </si>
  <si>
    <t>COATES EDMONDS,JOYCE A</t>
  </si>
  <si>
    <t>BROWN,SHAROLYN M</t>
  </si>
  <si>
    <t>GEORGE-FRIAS,LINDA A</t>
  </si>
  <si>
    <t>JACKSON,JOHN I</t>
  </si>
  <si>
    <t>THOMAS,THEA J</t>
  </si>
  <si>
    <t>BIVENS,PHYLLIS W</t>
  </si>
  <si>
    <t>CHAMBERS,CHARISSE</t>
  </si>
  <si>
    <t>MATTHEWS,MONIQUE A</t>
  </si>
  <si>
    <t>Taylor,Rikki Hunt</t>
  </si>
  <si>
    <t>GIANELLA,CINTHYA F</t>
  </si>
  <si>
    <t>Mcclure,Desiree M</t>
  </si>
  <si>
    <t>NESPER,NICOLE A</t>
  </si>
  <si>
    <t>ST HILL,ANHELA</t>
  </si>
  <si>
    <t>RUFAI,GANIAT A</t>
  </si>
  <si>
    <t>Wallace,Chad T.</t>
  </si>
  <si>
    <t>McFadden,Shannon Leora</t>
  </si>
  <si>
    <t>SANAO,MARIE ANTONETTE RAMOS</t>
  </si>
  <si>
    <t>ROBINSON,ADAM D</t>
  </si>
  <si>
    <t>CANTY,CYNTHIA A.</t>
  </si>
  <si>
    <t>Sfekas,Christina Marie</t>
  </si>
  <si>
    <t>Jackson,Zanneya M</t>
  </si>
  <si>
    <t>WILSON-LEWIS,SANDRA LEE</t>
  </si>
  <si>
    <t>Frey,Cassandra M</t>
  </si>
  <si>
    <t>Terrell M.C. ES</t>
  </si>
  <si>
    <t>BARIAL,KELSIE E</t>
  </si>
  <si>
    <t>MYAING,RANDY</t>
  </si>
  <si>
    <t>RAJI,MARGARET</t>
  </si>
  <si>
    <t>BACOTE,KITTY C</t>
  </si>
  <si>
    <t>PHILLIPS-PULLIAM,IRIS</t>
  </si>
  <si>
    <t>FOMENGIA,MARIE E</t>
  </si>
  <si>
    <t>FIELDER-LANCASTER,TIFFANY M</t>
  </si>
  <si>
    <t>ROSS,SANDRA</t>
  </si>
  <si>
    <t>PETTIFORD,SHARMAEL E</t>
  </si>
  <si>
    <t>HAYES,PAMELA B</t>
  </si>
  <si>
    <t>OREJIMI,ELIZABETH B</t>
  </si>
  <si>
    <t>CLARK,SHIRLEY S</t>
  </si>
  <si>
    <t>JACKSON,KATRINA B</t>
  </si>
  <si>
    <t>WHITE,MICHAEL W</t>
  </si>
  <si>
    <t>NEELY,MARQUERITE W</t>
  </si>
  <si>
    <t>THOMPSON,TINA M</t>
  </si>
  <si>
    <t>BARNES,RUTH N</t>
  </si>
  <si>
    <t>MANZANO,MICHELLE ALFONSA I</t>
  </si>
  <si>
    <t>CARROLL,JIAME T</t>
  </si>
  <si>
    <t>HAMILTON,GARY</t>
  </si>
  <si>
    <t>Brown,Helen W.</t>
  </si>
  <si>
    <t>Roundtree,Katrina L.</t>
  </si>
  <si>
    <t>Hart,Charlene W</t>
  </si>
  <si>
    <t>CARSON,BEVERLY E</t>
  </si>
  <si>
    <t>Thomson ES</t>
  </si>
  <si>
    <t>DINAN,AMY L</t>
  </si>
  <si>
    <t>LAFUENTE,ERICKA P</t>
  </si>
  <si>
    <t>ADEKANMBI,ADETOKUNBO</t>
  </si>
  <si>
    <t>BRUCE YAMIN,JACQUELINE</t>
  </si>
  <si>
    <t>MCCREANOR,EDWARD P</t>
  </si>
  <si>
    <t>GREAVES,ROBERTA</t>
  </si>
  <si>
    <t>McAneny,Timothy Francis</t>
  </si>
  <si>
    <t>DELOATCH,JOHN H</t>
  </si>
  <si>
    <t>QUINTANILLA,CESAR A</t>
  </si>
  <si>
    <t>SAUNDERS,ELLEN</t>
  </si>
  <si>
    <t>WANG,QING HUA</t>
  </si>
  <si>
    <t>GU,MIMI</t>
  </si>
  <si>
    <t>MCKINSEY,YANYING L</t>
  </si>
  <si>
    <t>KANE,ANN E</t>
  </si>
  <si>
    <t>DIXON,FRANCESCA G</t>
  </si>
  <si>
    <t>JIANG,BI-NU</t>
  </si>
  <si>
    <t>Prater,Emily</t>
  </si>
  <si>
    <t>McIntyre,Kathryn L.</t>
  </si>
  <si>
    <t>Maggs,Susan K.</t>
  </si>
  <si>
    <t>AKUJUO,JENNIFER IJEOMA</t>
  </si>
  <si>
    <t>Malkani,Sabina</t>
  </si>
  <si>
    <t>Tedesco,Stacy A</t>
  </si>
  <si>
    <t>Pedroza,Mark A</t>
  </si>
  <si>
    <t>MCDOWELL,KAREN SHAW</t>
  </si>
  <si>
    <t>OVERSTREET,CRYSTAL M.</t>
  </si>
  <si>
    <t>GUERZON,KATHLEEN M</t>
  </si>
  <si>
    <t>Bert,Kristen E.</t>
  </si>
  <si>
    <t>CHILDS,AUDREY</t>
  </si>
  <si>
    <t>LAW,TILWANDA R</t>
  </si>
  <si>
    <t>Dorn,Laura M</t>
  </si>
  <si>
    <t>VOISINE,CYNTHIA</t>
  </si>
  <si>
    <t>HINES,JAQUELINE</t>
  </si>
  <si>
    <t>ROSIER,PATRICIA F</t>
  </si>
  <si>
    <t>FORD,CARLA M</t>
  </si>
  <si>
    <t>Jackson,Janee L.</t>
  </si>
  <si>
    <t>RUGGIERO,MATTHEW</t>
  </si>
  <si>
    <t>Stinson,Mary Ann G.</t>
  </si>
  <si>
    <t>Turner,Clinton V</t>
  </si>
  <si>
    <t>CASTILLO,LAUREN P</t>
  </si>
  <si>
    <t>Davidson,Caryn K.</t>
  </si>
  <si>
    <t>CAINE,JENNIFER A</t>
  </si>
  <si>
    <t>CLARK,JOSEPH A</t>
  </si>
  <si>
    <t>Liddle,Kathryn M.</t>
  </si>
  <si>
    <t>Piester,Kerianne</t>
  </si>
  <si>
    <t>Dorsey,Archella Latanya</t>
  </si>
  <si>
    <t>Hagan,Elizabeth M</t>
  </si>
  <si>
    <t>Marston,Jamila Sikudhani</t>
  </si>
  <si>
    <t>Blumhardt,Tammy Rae</t>
  </si>
  <si>
    <t>Dwyer,Kelly Jo</t>
  </si>
  <si>
    <t>Gonzalez,Susan</t>
  </si>
  <si>
    <t>BARRON,FRANCHON E</t>
  </si>
  <si>
    <t>MORSE,BRIDGETTE R</t>
  </si>
  <si>
    <t>BLACK,DEENA C</t>
  </si>
  <si>
    <t>GORDON,VICTOR</t>
  </si>
  <si>
    <t>MCCLAIN,PAULA JACKSON</t>
  </si>
  <si>
    <t>DAVIS,MONICA</t>
  </si>
  <si>
    <t>WINGFIELD,BEVERLY</t>
  </si>
  <si>
    <t>POPE,VINCENT A</t>
  </si>
  <si>
    <t>MARSH,SONJA L</t>
  </si>
  <si>
    <t>ROBINSON,FRANCINE G</t>
  </si>
  <si>
    <t>BROOKS,CANDACE D</t>
  </si>
  <si>
    <t>MILES,LORETTA</t>
  </si>
  <si>
    <t>BEST,HOPE M</t>
  </si>
  <si>
    <t>MEEKINS,ARNITA D</t>
  </si>
  <si>
    <t>BELTON,DENISE D</t>
  </si>
  <si>
    <t>WEEKES,DELORES A</t>
  </si>
  <si>
    <t>MORTON,JOY C</t>
  </si>
  <si>
    <t>LUTGEN,DELILAH I</t>
  </si>
  <si>
    <t>BURT,EMMETT</t>
  </si>
  <si>
    <t>CRAIG,LORI T</t>
  </si>
  <si>
    <t>HUGHES,HARRY</t>
  </si>
  <si>
    <t>ABRAHAM,LULLA</t>
  </si>
  <si>
    <t>VAUGHAN,MINNIE L</t>
  </si>
  <si>
    <t>LOPEZ,ANTONIA</t>
  </si>
  <si>
    <t>COPELAND,SHEILA M H</t>
  </si>
  <si>
    <t>LENDORE,JUNE A</t>
  </si>
  <si>
    <t>BARBOSA,RODNIE</t>
  </si>
  <si>
    <t>RAGLAND,DESERIE V</t>
  </si>
  <si>
    <t>ROBINSON,DENISE A</t>
  </si>
  <si>
    <t>HAYES,CHERYL</t>
  </si>
  <si>
    <t>SAMENGA,MARIA J</t>
  </si>
  <si>
    <t>HELGERSON,REBECCA A</t>
  </si>
  <si>
    <t>ROBINSON,HOPE C</t>
  </si>
  <si>
    <t>Travitz,Allen</t>
  </si>
  <si>
    <t>JOHNSON,KIMYANA</t>
  </si>
  <si>
    <t>Smith,Andrew Joseph</t>
  </si>
  <si>
    <t>Zick,Sarah Elizabeth</t>
  </si>
  <si>
    <t>Schantz,Susannah Elizabeth</t>
  </si>
  <si>
    <t>COLON,LINDA M</t>
  </si>
  <si>
    <t>Turner ES</t>
  </si>
  <si>
    <t>REID,REGINA M</t>
  </si>
  <si>
    <t>MORRIS,DARGINE L</t>
  </si>
  <si>
    <t>DAVIS,HELEN M</t>
  </si>
  <si>
    <t>BERRY JR,NORRIS S</t>
  </si>
  <si>
    <t>WELLS,CAROLYN</t>
  </si>
  <si>
    <t>WILLIAMS,ROSALYN</t>
  </si>
  <si>
    <t>PUJOUE,GLENNESS</t>
  </si>
  <si>
    <t>GREGORY,ROBERT L</t>
  </si>
  <si>
    <t>PETRELLA,COQUETTE D</t>
  </si>
  <si>
    <t>HARROWER,PATRICIA A</t>
  </si>
  <si>
    <t>HOAGLAND,JOYCE A</t>
  </si>
  <si>
    <t>AGGARWAL,ALKA</t>
  </si>
  <si>
    <t>ALTEJAR,LORYNIE</t>
  </si>
  <si>
    <t>Rosenthal,Rita Lorraine</t>
  </si>
  <si>
    <t>Eiche,Catherine E.</t>
  </si>
  <si>
    <t>DOUGLAS,SESEN N</t>
  </si>
  <si>
    <t>Dickson,Marlynn J</t>
  </si>
  <si>
    <t>CHAMBERLAIN,SYLVIA</t>
  </si>
  <si>
    <t>DICKEY,MICHELLE C</t>
  </si>
  <si>
    <t>FORSCHNER,ADAM S</t>
  </si>
  <si>
    <t>ELDER,HARRIET</t>
  </si>
  <si>
    <t>WOODSON CORLEY,SHELLEY C</t>
  </si>
  <si>
    <t>HART,PEDRO C</t>
  </si>
  <si>
    <t>KRYSTOPOWICZ,JENNIFER K</t>
  </si>
  <si>
    <t>WILKINS,PATRICIA C</t>
  </si>
  <si>
    <t>MADDEN,NORVA L</t>
  </si>
  <si>
    <t>DAWKINS,KAHLIQUAH</t>
  </si>
  <si>
    <t>MBINACK,MARIEROSE V</t>
  </si>
  <si>
    <t>SCHNEIDER,EMILY A</t>
  </si>
  <si>
    <t>SYQUIA,MARIA I G</t>
  </si>
  <si>
    <t>POOLE,TAWANA RENEE</t>
  </si>
  <si>
    <t>TRUSS,NNEKA A</t>
  </si>
  <si>
    <t>Frentress,Jennifer Lea</t>
  </si>
  <si>
    <t>CRAFT,SARAH K</t>
  </si>
  <si>
    <t>CORONA VELEZ,NYDIA E</t>
  </si>
  <si>
    <t>GLADNEY,STEPHANIE</t>
  </si>
  <si>
    <t>WARNICK,BROOKS</t>
  </si>
  <si>
    <t>Dunn,Kyla Jean</t>
  </si>
  <si>
    <t>Lindsey,Sheena Jenay</t>
  </si>
  <si>
    <t>Ogonowski,Melissa L</t>
  </si>
  <si>
    <t>Eskovitz,Lauren K.</t>
  </si>
  <si>
    <t>Harris,Andres Miguel</t>
  </si>
  <si>
    <t>DANTLEY,DENISE</t>
  </si>
  <si>
    <t>BUSTIOS,NORA</t>
  </si>
  <si>
    <t>JOHNSON,MATRICE C</t>
  </si>
  <si>
    <t>Humphries,Rhonda Tiara</t>
  </si>
  <si>
    <t>HOLLIS,MICHELLE D</t>
  </si>
  <si>
    <t>CAMP,SABRINA MURRAY</t>
  </si>
  <si>
    <t>HAYES,KYRA N</t>
  </si>
  <si>
    <t>London,Amy M</t>
  </si>
  <si>
    <t>POZZI,ERNEST R</t>
  </si>
  <si>
    <t>WAGNER,SUSAN D</t>
  </si>
  <si>
    <t>HAWKINS,TAMARA E</t>
  </si>
  <si>
    <t>LARUE,JOHN</t>
  </si>
  <si>
    <t>NESETH,HANS</t>
  </si>
  <si>
    <t>Aduso,Stephanie Maria</t>
  </si>
  <si>
    <t>LUDES,MARK JOE</t>
  </si>
  <si>
    <t>Brooks,Kimberly A.</t>
  </si>
  <si>
    <t>Edgar,Suzanne Margaret</t>
  </si>
  <si>
    <t>Green,Teresa Y</t>
  </si>
  <si>
    <t>Calhoun,Mary L.</t>
  </si>
  <si>
    <t>ALLEN-KIRBY,LASHAN</t>
  </si>
  <si>
    <t>KENLEY,KIMBERLY MONIQUE</t>
  </si>
  <si>
    <t>SCHORN,CHRISTINA GRETA</t>
  </si>
  <si>
    <t>MCALEE,LAUREN W</t>
  </si>
  <si>
    <t>HASSETT,EILEEN</t>
  </si>
  <si>
    <t>DILLON,AMBER L</t>
  </si>
  <si>
    <t>Mac Gregor,Jamie R.</t>
  </si>
  <si>
    <t>Howard,Katherine W.</t>
  </si>
  <si>
    <t>RANDOLPH,BROOKE</t>
  </si>
  <si>
    <t>ERVIN,PRENTISS D</t>
  </si>
  <si>
    <t>HILL,COLLIN A</t>
  </si>
  <si>
    <t>EVANGELISTA,FRANCES T</t>
  </si>
  <si>
    <t>EWART,FRANCES L</t>
  </si>
  <si>
    <t>DEANNA,TINA R</t>
  </si>
  <si>
    <t>TATE,LAUREN M</t>
  </si>
  <si>
    <t>WERTHEIMER,AMY C</t>
  </si>
  <si>
    <t>MURPHY,JANET</t>
  </si>
  <si>
    <t>LEAK,VIOLA B</t>
  </si>
  <si>
    <t>KURTZ,CHRISTINE</t>
  </si>
  <si>
    <t>HENDERSON,INGRID B</t>
  </si>
  <si>
    <t>COUTS,KAREN J</t>
  </si>
  <si>
    <t>WILLIS BENNETT,CHRISTINE M</t>
  </si>
  <si>
    <t>Howard,Reginald</t>
  </si>
  <si>
    <t>THOMPSON,ANNIE M</t>
  </si>
  <si>
    <t>TROTMAN,CHERMINE</t>
  </si>
  <si>
    <t>DEPREZ,SASHAUM ANGELE</t>
  </si>
  <si>
    <t>BROWN,AME R</t>
  </si>
  <si>
    <t>HAVNER,NATHAN ROBERT</t>
  </si>
  <si>
    <t>JONES,LISA RENEE'</t>
  </si>
  <si>
    <t>ABDUL-TAWWAB,MARYAM</t>
  </si>
  <si>
    <t>PADILLA,FAZIA A I</t>
  </si>
  <si>
    <t>Leak-Bowers,Judy</t>
  </si>
  <si>
    <t>WARD,DAPHNE</t>
  </si>
  <si>
    <t>DAVIS,SUNMER</t>
  </si>
  <si>
    <t>HEFFELBOWER,KENDRA</t>
  </si>
  <si>
    <t>Webber,Michael Steven</t>
  </si>
  <si>
    <t>O'NEIL,TODD</t>
  </si>
  <si>
    <t>LEE,GRACE</t>
  </si>
  <si>
    <t>ACKERMAN,ALLISON M</t>
  </si>
  <si>
    <t>Bronner,Garrett E</t>
  </si>
  <si>
    <t>McNair,Dowan Amis</t>
  </si>
  <si>
    <t>Taylor,Curtis A.</t>
  </si>
  <si>
    <t>BOUGHNER,JENNIFER L</t>
  </si>
  <si>
    <t>MURPHY,BARBARA I</t>
  </si>
  <si>
    <t>MARSHALL,LASINIA C</t>
  </si>
  <si>
    <t>DIXON,TANESHA EBONY</t>
  </si>
  <si>
    <t>FERGUSON,JOHN N</t>
  </si>
  <si>
    <t>BROWN,DELORIS B</t>
  </si>
  <si>
    <t>BARBER,NIKKI E</t>
  </si>
  <si>
    <t>ROYSTER,DENISE M</t>
  </si>
  <si>
    <t>RIDGLEY,SHERENE P</t>
  </si>
  <si>
    <t>CARTLAND,MARSHALL SCOTT</t>
  </si>
  <si>
    <t>Bellardini,Elyse R</t>
  </si>
  <si>
    <t>BRYANT,KATINA L</t>
  </si>
  <si>
    <t>DAVIS,DWIGHT</t>
  </si>
  <si>
    <t>HORNE,TIFFANIE N</t>
  </si>
  <si>
    <t>ROTTMAN,PATRICK T</t>
  </si>
  <si>
    <t>SCROGGINS,STERLING</t>
  </si>
  <si>
    <t>Ott,Michael A</t>
  </si>
  <si>
    <t>SPARROW,ABIGAIL</t>
  </si>
  <si>
    <t>Fiorini,Kristin Marie</t>
  </si>
  <si>
    <t>BRONSON,BETHANY</t>
  </si>
  <si>
    <t>PEELE,LYDIA FRANCES</t>
  </si>
  <si>
    <t>Gupta,Vaani</t>
  </si>
  <si>
    <t>Ellis,Julia F.</t>
  </si>
  <si>
    <t>Teagarden,Stephanie J.</t>
  </si>
  <si>
    <t>Jackson,Lori B.</t>
  </si>
  <si>
    <t>JACKSON-KING,CAROLYN</t>
  </si>
  <si>
    <t>LITTLE,LINDSAY K.</t>
  </si>
  <si>
    <t>MCNULTY,JENNIFER KEIMIG</t>
  </si>
  <si>
    <t>CARTER,GINA R</t>
  </si>
  <si>
    <t>SCHOOLER,MICHELLE T</t>
  </si>
  <si>
    <t>YOHANNES,SHARON S</t>
  </si>
  <si>
    <t>Caruthers,Andria</t>
  </si>
  <si>
    <t>Spraggins,Janelle A.</t>
  </si>
  <si>
    <t>PAIGE,CAROL</t>
  </si>
  <si>
    <t>VINSON,MICHELE</t>
  </si>
  <si>
    <t>Phillips,Monique Melissa</t>
  </si>
  <si>
    <t>Stewart,Paul P.</t>
  </si>
  <si>
    <t>WHITE,BRENDA M</t>
  </si>
  <si>
    <t>GILLIAM,KIA D</t>
  </si>
  <si>
    <t>FLOWERS,AYANNA T</t>
  </si>
  <si>
    <t>NERO,WANDA B</t>
  </si>
  <si>
    <t>COLE,DAVID B</t>
  </si>
  <si>
    <t>GILL,KEITH ANTHONY</t>
  </si>
  <si>
    <t>BACON,DEBORAH J</t>
  </si>
  <si>
    <t>ANDERSON,JACQUELINE A</t>
  </si>
  <si>
    <t>SMITH,ABIGAIL E</t>
  </si>
  <si>
    <t>HARRIS,ETHEL</t>
  </si>
  <si>
    <t>MANN,CHARMAGNE C</t>
  </si>
  <si>
    <t>STRIPLING,ANGELA M</t>
  </si>
  <si>
    <t>PRITCHARD,TENIA N</t>
  </si>
  <si>
    <t>Brawley,Jade</t>
  </si>
  <si>
    <t>LOPES,LERTIA R</t>
  </si>
  <si>
    <t>WIEAND,NATHAN P</t>
  </si>
  <si>
    <t>TICK,SARA H</t>
  </si>
  <si>
    <t>BRADLEY,DEBORAH</t>
  </si>
  <si>
    <t>Miller,Emmilu Briggs</t>
  </si>
  <si>
    <t>OLUMBA,ANTHONY C</t>
  </si>
  <si>
    <t>Wolfe,Danica Teresa</t>
  </si>
  <si>
    <t>CORBITT,JANET W</t>
  </si>
  <si>
    <t>Ola,Galemarie O</t>
  </si>
  <si>
    <t>Perrotti,Alexandra Rowe</t>
  </si>
  <si>
    <t>NELSON,SIGNE</t>
  </si>
  <si>
    <t>HAMILTON,CINDY A</t>
  </si>
  <si>
    <t>Duncan,Megan G.</t>
  </si>
  <si>
    <t>Medley Jr.,Francis L.</t>
  </si>
  <si>
    <t>CHARLESFERGUSON,MARIA</t>
  </si>
  <si>
    <t>Wilson J.O. ES</t>
  </si>
  <si>
    <t>GREENE,JANET A</t>
  </si>
  <si>
    <t>Neptune,Alisha M.</t>
  </si>
  <si>
    <t>WILSON,GERALDINE C</t>
  </si>
  <si>
    <t>WARLEY,CHERYL B</t>
  </si>
  <si>
    <t>WASHINGTON,MARY D</t>
  </si>
  <si>
    <t>WILBURN,CHARLENE D</t>
  </si>
  <si>
    <t>JACKSON,DEBRA A</t>
  </si>
  <si>
    <t>GRASTY GRIFFIN,ROBIN S</t>
  </si>
  <si>
    <t>DEMBER,DAYNA M</t>
  </si>
  <si>
    <t>BLYTHER,CAROLYN D</t>
  </si>
  <si>
    <t>Moore,Ashley Jataun</t>
  </si>
  <si>
    <t>Casper,Brittany A.</t>
  </si>
  <si>
    <t>WEATHERSBY,REGINA M</t>
  </si>
  <si>
    <t>MARTINEZ,FLORENTINO</t>
  </si>
  <si>
    <t>Lunde,Jessica E</t>
  </si>
  <si>
    <t>COKER,CARLEEN F</t>
  </si>
  <si>
    <t>Gregory,Taiya H</t>
  </si>
  <si>
    <t>RICHARDS,DONNA</t>
  </si>
  <si>
    <t>EVANS,KENDALL J</t>
  </si>
  <si>
    <t>LONG,KAREEDA C</t>
  </si>
  <si>
    <t>GARRIS,VANETA</t>
  </si>
  <si>
    <t>Dalili,Zanso Meri-Uhm</t>
  </si>
  <si>
    <t>JACKSON,ALICIA D</t>
  </si>
  <si>
    <t>BOSWELL,LAUREN ASHLEY</t>
  </si>
  <si>
    <t>SMITH,ELAINE C</t>
  </si>
  <si>
    <t>Wilson W. SHS</t>
  </si>
  <si>
    <t>WRIGHT,SANDRA</t>
  </si>
  <si>
    <t>SPADAFOR,ARTHUR</t>
  </si>
  <si>
    <t>GRYMES,LISA E</t>
  </si>
  <si>
    <t>DIXON,COWATES</t>
  </si>
  <si>
    <t>ASOMUGHA,EMMANUEL E</t>
  </si>
  <si>
    <t>MAITES,PATRICE E</t>
  </si>
  <si>
    <t>BARNES,MARY</t>
  </si>
  <si>
    <t>BENJAMIN,ANGELA</t>
  </si>
  <si>
    <t>GIBSON,GLORIA J</t>
  </si>
  <si>
    <t>DECARVALHO,ROBERTO S</t>
  </si>
  <si>
    <t>WEAVER,VIRGINIA D</t>
  </si>
  <si>
    <t>WARD,DEIRDIA Y</t>
  </si>
  <si>
    <t>GRANT,NONA J</t>
  </si>
  <si>
    <t>FLOWERS,WANDA</t>
  </si>
  <si>
    <t>GARBUS,MICHAEL D</t>
  </si>
  <si>
    <t>THOMPSON,JULIA H</t>
  </si>
  <si>
    <t>FOXEN,ANNA L</t>
  </si>
  <si>
    <t>RODRIGUEZ-LEON,SONIA</t>
  </si>
  <si>
    <t>ANDERSON,KATHY JO</t>
  </si>
  <si>
    <t>SHEA,JONATHAN</t>
  </si>
  <si>
    <t>MERLOS,JAIME R</t>
  </si>
  <si>
    <t>TEFFERA,MENGISTU</t>
  </si>
  <si>
    <t>SCOTTI,FRANK P</t>
  </si>
  <si>
    <t>THOMPSON,MAUREEN U</t>
  </si>
  <si>
    <t>LEONARD,JAMES J</t>
  </si>
  <si>
    <t>SINGER,JEREMY</t>
  </si>
  <si>
    <t>HUNT,BARBARA M</t>
  </si>
  <si>
    <t>EVANS,ANTHONY</t>
  </si>
  <si>
    <t>WOPAT,AMY B</t>
  </si>
  <si>
    <t>BOWSER,TENNILLE</t>
  </si>
  <si>
    <t>GERHARDT,SIMONA S</t>
  </si>
  <si>
    <t>CACCAMISE,JULIE A</t>
  </si>
  <si>
    <t>LEON,FELIX</t>
  </si>
  <si>
    <t>NAMIAN,MICHAEL D</t>
  </si>
  <si>
    <t>BALL,MARY</t>
  </si>
  <si>
    <t>SAMUELS,WANDA M</t>
  </si>
  <si>
    <t>OKORO,BERNADINE O</t>
  </si>
  <si>
    <t>GEISLER,SARAH</t>
  </si>
  <si>
    <t>MCCARTHY,COLEMAN</t>
  </si>
  <si>
    <t>TEACHER WAE</t>
  </si>
  <si>
    <t>JENKINS JR,LEROY R</t>
  </si>
  <si>
    <t>CARR,ANTOINETTE</t>
  </si>
  <si>
    <t>REYES,DINA</t>
  </si>
  <si>
    <t>WILLIAMS,LORI A</t>
  </si>
  <si>
    <t>CHRISTIAN,PATRICK</t>
  </si>
  <si>
    <t>WILDER,ANNA</t>
  </si>
  <si>
    <t>KRAFFT,DANIELLE C O</t>
  </si>
  <si>
    <t>LIPSCOMB GARDNER,PAMELA</t>
  </si>
  <si>
    <t>BELEW,BELLE</t>
  </si>
  <si>
    <t>PALMER,LYNN D</t>
  </si>
  <si>
    <t>MASSENBURG,TENESHA</t>
  </si>
  <si>
    <t>GUO,QI</t>
  </si>
  <si>
    <t>Martin,Mark Efton</t>
  </si>
  <si>
    <t>MODE,JILLANN N</t>
  </si>
  <si>
    <t>CAHALL,PETER J</t>
  </si>
  <si>
    <t>BUTLER,CHARLETTE E</t>
  </si>
  <si>
    <t>WAITS,MARY BETH</t>
  </si>
  <si>
    <t>OSTEEN,JOHN P</t>
  </si>
  <si>
    <t>CLEMMONS,TAMARA</t>
  </si>
  <si>
    <t>BRIGHT,PAMELA TC</t>
  </si>
  <si>
    <t>RILEY,WALTER C</t>
  </si>
  <si>
    <t>FIORILL,MARK C</t>
  </si>
  <si>
    <t>PHIFER,PAUL A</t>
  </si>
  <si>
    <t>SNODDY,JOHN H</t>
  </si>
  <si>
    <t>SARGENT,LESLIE J</t>
  </si>
  <si>
    <t>BANGURA,DAUDA</t>
  </si>
  <si>
    <t>ALEXANDER,JANIS C</t>
  </si>
  <si>
    <t>BRONSTEIN,HARRIET E</t>
  </si>
  <si>
    <t>Campbell,Sean D</t>
  </si>
  <si>
    <t>Craig,Michael C.</t>
  </si>
  <si>
    <t>Sobrinski,Ashley</t>
  </si>
  <si>
    <t>McGlennon,Jan L</t>
  </si>
  <si>
    <t>Gore,Charles M.</t>
  </si>
  <si>
    <t>Blount,Summer</t>
  </si>
  <si>
    <t>Knight,Maritza M.</t>
  </si>
  <si>
    <t>BARGEMAN,GREGORY</t>
  </si>
  <si>
    <t>PEAGLER,PEGGY</t>
  </si>
  <si>
    <t>CHRISTIAN,WILLETTA D</t>
  </si>
  <si>
    <t>Baer,Susan Lynn</t>
  </si>
  <si>
    <t>Riesner,Gabrielle A.</t>
  </si>
  <si>
    <t>BUCKLEY,JOSEPH W</t>
  </si>
  <si>
    <t>WILLIAMS,ANDRE A</t>
  </si>
  <si>
    <t>Barnes,Andrew Jamel</t>
  </si>
  <si>
    <t>HERNANDEZ,ANGELO D</t>
  </si>
  <si>
    <t>Bradshaw-Smith,Rebecca C.</t>
  </si>
  <si>
    <t>Surles,Senneca Yusef</t>
  </si>
  <si>
    <t>JONES,GLENN</t>
  </si>
  <si>
    <t>Winston EC</t>
  </si>
  <si>
    <t>AYMAR-YAMSON,PALMYRA A</t>
  </si>
  <si>
    <t>Davis,Scott Michael</t>
  </si>
  <si>
    <t>DAVIS-LUCKEY,GEORGIA Y</t>
  </si>
  <si>
    <t>ODESOLA,YOETHESA A</t>
  </si>
  <si>
    <t>BRYAN,MAUREEN A</t>
  </si>
  <si>
    <t>BERRY,TAMARA C</t>
  </si>
  <si>
    <t>MINTER,STANYA E</t>
  </si>
  <si>
    <t>HENDERSON,MORRETTA</t>
  </si>
  <si>
    <t>YOUNG,PERNELL D</t>
  </si>
  <si>
    <t>BURTON,MICHELE V</t>
  </si>
  <si>
    <t>Adkins,Emily K.</t>
  </si>
  <si>
    <t>Howell,Falicia B.</t>
  </si>
  <si>
    <t>Huff,Adrienne T</t>
  </si>
  <si>
    <t>HOBBS,TRACY D</t>
  </si>
  <si>
    <t>WILLIAMS,MARY M</t>
  </si>
  <si>
    <t>Woodson H.D. SHS</t>
  </si>
  <si>
    <t>AJUEYITSI,BETTY O</t>
  </si>
  <si>
    <t>FUCHS,LAURA J</t>
  </si>
  <si>
    <t>BRISCOE,CARL</t>
  </si>
  <si>
    <t>DRUMMONDS,BRANDI S</t>
  </si>
  <si>
    <t>WILSON,SHELTON</t>
  </si>
  <si>
    <t>THOMPSON MEYERS,LATARA D</t>
  </si>
  <si>
    <t>OLUDIMU,EMMANUEL ABRAHAM</t>
  </si>
  <si>
    <t>HALL,GLENDA D</t>
  </si>
  <si>
    <t>KING,DOROTHY</t>
  </si>
  <si>
    <t>ALLEN,CARL A</t>
  </si>
  <si>
    <t>LUMUMBA-UMOJA,TARISAI T</t>
  </si>
  <si>
    <t>NELSON,RONNIE</t>
  </si>
  <si>
    <t>MINTER,OSCAR R</t>
  </si>
  <si>
    <t>PARKER,BARBARA</t>
  </si>
  <si>
    <t>JONES,GAIL R</t>
  </si>
  <si>
    <t>GILL CUNNINGHAM,JULIETTE T</t>
  </si>
  <si>
    <t>NEWTON,BLANCH M</t>
  </si>
  <si>
    <t>ALEXANDER,ROSEMAN</t>
  </si>
  <si>
    <t>BYRD,THOMAS E JR</t>
  </si>
  <si>
    <t>LEONARD,ANTHONY</t>
  </si>
  <si>
    <t>SANCHEZ,FRANCES B</t>
  </si>
  <si>
    <t>CHANG,RU-YING</t>
  </si>
  <si>
    <t>PANGILINAN,ARIS</t>
  </si>
  <si>
    <t>LEONE,BETH ANN</t>
  </si>
  <si>
    <t>WHITTLE,THOMAS L</t>
  </si>
  <si>
    <t>CURETON,RONALD</t>
  </si>
  <si>
    <t>Freeman,Jenise Michelle</t>
  </si>
  <si>
    <t>ABDELLA,NABIL</t>
  </si>
  <si>
    <t>Bjerregaard,Kevin P.</t>
  </si>
  <si>
    <t>Medina De Moreno,Miriam Duany</t>
  </si>
  <si>
    <t>Kennedy,Matthew D.</t>
  </si>
  <si>
    <t>Lyles,Juan T</t>
  </si>
  <si>
    <t>AUSTIN,RICHARD G</t>
  </si>
  <si>
    <t>Elbert,Maxine Tania Felisha</t>
  </si>
  <si>
    <t>Robinson,Cortez D</t>
  </si>
  <si>
    <t>Kellum,Paul H.</t>
  </si>
  <si>
    <t>FULLER,GREGORY T</t>
  </si>
  <si>
    <t>Fisk,Megan C</t>
  </si>
  <si>
    <t>Ashford,Tameika D.</t>
  </si>
  <si>
    <t>Peterson,Perren Quinn</t>
  </si>
  <si>
    <t>Archibald,Sara J.</t>
  </si>
  <si>
    <t>Lamers,Ann Jee</t>
  </si>
  <si>
    <t>Nadir,Claude A.</t>
  </si>
  <si>
    <t>Hart,Kelly R.</t>
  </si>
  <si>
    <t>1000 MT OLIVET RD NE</t>
  </si>
  <si>
    <t>LINDER,ARTHUR</t>
  </si>
  <si>
    <t>STEPHENS,WENDY D</t>
  </si>
  <si>
    <t>BROWN,NATHAN</t>
  </si>
  <si>
    <t>CHRISTOPHER,LISA A</t>
  </si>
  <si>
    <t>AUSTIN,JUBILL D</t>
  </si>
  <si>
    <t>COORD. COMP. TECH.</t>
  </si>
  <si>
    <t>HAWKINS,RONALD</t>
  </si>
  <si>
    <t>JACKSON,THOMAS G</t>
  </si>
  <si>
    <t>OU,JINYU LIU</t>
  </si>
  <si>
    <t>KELLY HOLMES,THERESA M</t>
  </si>
  <si>
    <t>Caldwell,Carolyn</t>
  </si>
  <si>
    <t>PAIK,SOON-HEE</t>
  </si>
  <si>
    <t>Tezi,Joseph Tekera</t>
  </si>
  <si>
    <t>RICHARDSON,KELLI R</t>
  </si>
  <si>
    <t>HATCHER,ERICKA V</t>
  </si>
  <si>
    <t>WRIGHT,EUGENE C</t>
  </si>
  <si>
    <t>0101</t>
  </si>
  <si>
    <t>0733</t>
  </si>
  <si>
    <t>0735</t>
  </si>
  <si>
    <t>Non Local</t>
  </si>
  <si>
    <t xml:space="preserve">Federal Funds    </t>
  </si>
  <si>
    <t>Benjamin Banneker HS</t>
  </si>
  <si>
    <t xml:space="preserve">Bruce-Monroe ES </t>
  </si>
  <si>
    <t>Cardozo HS</t>
  </si>
  <si>
    <t xml:space="preserve">Columbia Heights EC </t>
  </si>
  <si>
    <t>Cooke ES</t>
  </si>
  <si>
    <t>Marie Reed ES</t>
  </si>
  <si>
    <t xml:space="preserve">Shaw MS </t>
  </si>
  <si>
    <t>Ellington School Arts</t>
  </si>
  <si>
    <t>Hyde-Addison ES</t>
  </si>
  <si>
    <t>School Without Walls HS</t>
  </si>
  <si>
    <t xml:space="preserve">Oyster-Adams </t>
  </si>
  <si>
    <t>Wilson HS @ UDC</t>
  </si>
  <si>
    <t xml:space="preserve">Barnard ES </t>
  </si>
  <si>
    <t>Brightwood EC</t>
  </si>
  <si>
    <t>Coolidge HS</t>
  </si>
  <si>
    <t xml:space="preserve">Powell ES </t>
  </si>
  <si>
    <t>Raymond EC</t>
  </si>
  <si>
    <t>Roosevelt HS</t>
  </si>
  <si>
    <t>Takoma EC at Meyer ES</t>
  </si>
  <si>
    <t>Truesdell EC</t>
  </si>
  <si>
    <t>West EC</t>
  </si>
  <si>
    <t>Whittier EC</t>
  </si>
  <si>
    <t xml:space="preserve">Brookland EC </t>
  </si>
  <si>
    <t>Burroughs EC</t>
  </si>
  <si>
    <t>Dunbar HS</t>
  </si>
  <si>
    <t>Emery EC/Shaed</t>
  </si>
  <si>
    <t>Langdon EC</t>
  </si>
  <si>
    <t>Luke Moore  HS</t>
  </si>
  <si>
    <t>Mamie D. Lee School</t>
  </si>
  <si>
    <t>Marshall ES</t>
  </si>
  <si>
    <t>McKinley Tech HS</t>
  </si>
  <si>
    <t>Noyes EC</t>
  </si>
  <si>
    <t>Phelps ACE HS</t>
  </si>
  <si>
    <t>Shaed EC</t>
  </si>
  <si>
    <t>Spingarn HS</t>
  </si>
  <si>
    <t>Wheatley EC</t>
  </si>
  <si>
    <t>Eastern HS</t>
  </si>
  <si>
    <t>School-Within -School</t>
  </si>
  <si>
    <t xml:space="preserve">Stuart-Hobson MS </t>
  </si>
  <si>
    <t>Walker-Jones EC</t>
  </si>
  <si>
    <t>Wilson J. O. ES</t>
  </si>
  <si>
    <t>Harris ES</t>
  </si>
  <si>
    <t>Transition Academy/SHADD</t>
  </si>
  <si>
    <t xml:space="preserve">Woodson, H.D. HS </t>
  </si>
  <si>
    <t>Anacostia HS</t>
  </si>
  <si>
    <t>Ballou HS</t>
  </si>
  <si>
    <t>King, M.L. ES</t>
  </si>
  <si>
    <t>Moten ES @ Wilkinson</t>
  </si>
  <si>
    <t>Terrell</t>
  </si>
  <si>
    <t>Turner ES @ Green</t>
  </si>
  <si>
    <t>0602</t>
  </si>
  <si>
    <t>0726</t>
  </si>
  <si>
    <t>0750</t>
  </si>
  <si>
    <t>0763</t>
  </si>
  <si>
    <t>0773</t>
  </si>
  <si>
    <t>S1003g</t>
  </si>
  <si>
    <t>SAM</t>
  </si>
  <si>
    <t>FSS</t>
  </si>
  <si>
    <t>YOUTH SERVICES</t>
  </si>
  <si>
    <t>JROTC</t>
  </si>
  <si>
    <t>No Local Percentage</t>
  </si>
  <si>
    <t>(+E - +K)</t>
  </si>
  <si>
    <t>(+D - +K)</t>
  </si>
  <si>
    <t>(+E - +L)</t>
  </si>
  <si>
    <t>(+D - +L)</t>
  </si>
  <si>
    <t>M/N</t>
  </si>
  <si>
    <t>D/N</t>
  </si>
  <si>
    <t>DISTRICT OF COLUMBIA PUBLIC SHOOLS</t>
  </si>
  <si>
    <t>FY 2012</t>
  </si>
  <si>
    <t>Fiscal Year</t>
  </si>
  <si>
    <t>School - org code</t>
  </si>
  <si>
    <t>School - Name</t>
  </si>
  <si>
    <t>Ward</t>
  </si>
  <si>
    <t>School Type</t>
  </si>
  <si>
    <t>Enrollment</t>
  </si>
  <si>
    <t>Total Allocation</t>
  </si>
  <si>
    <t>Per Student (All Funds)</t>
  </si>
  <si>
    <t>Enrollment Diff</t>
  </si>
  <si>
    <t>Allocation Diff</t>
  </si>
  <si>
    <t>Per Student Diff</t>
  </si>
  <si>
    <t>% Diff Per Student</t>
  </si>
  <si>
    <t>Elem</t>
  </si>
  <si>
    <t>SHS</t>
  </si>
  <si>
    <t>Ballou STAY</t>
  </si>
  <si>
    <t>Alt</t>
  </si>
  <si>
    <t>PK-8</t>
  </si>
  <si>
    <t>CHOICE Academy MS/HS</t>
  </si>
  <si>
    <t>Middle</t>
  </si>
  <si>
    <t>Dunbar Pre-Engineering</t>
  </si>
  <si>
    <t>SPEC</t>
  </si>
  <si>
    <t>Enrollment Reserve</t>
  </si>
  <si>
    <t>SPED</t>
  </si>
  <si>
    <t xml:space="preserve">Incarcerated Youth </t>
  </si>
  <si>
    <t>Jefferson Academy</t>
  </si>
  <si>
    <t>Montessori @ Logan</t>
  </si>
  <si>
    <t>EC</t>
  </si>
  <si>
    <t>Transition Academy/Ballou</t>
  </si>
  <si>
    <t>Washington Metro HS</t>
  </si>
  <si>
    <t xml:space="preserve">Woodson Academy </t>
  </si>
  <si>
    <t>Woodson B &amp; F</t>
  </si>
  <si>
    <t>Youth Services Center</t>
  </si>
  <si>
    <t>Total</t>
  </si>
  <si>
    <t>Grand Total</t>
  </si>
  <si>
    <t xml:space="preserve">Source Enrollment Data: Transformation Management Office </t>
  </si>
  <si>
    <t>School closing</t>
  </si>
  <si>
    <t>4.27.2011</t>
  </si>
  <si>
    <t>Posn Stat</t>
  </si>
  <si>
    <t>Vac Stat</t>
  </si>
  <si>
    <t>Grade</t>
  </si>
  <si>
    <t>FTE x Dist %</t>
  </si>
  <si>
    <t>Appr Year</t>
  </si>
  <si>
    <t>Agency</t>
  </si>
  <si>
    <t>Fund Code</t>
  </si>
  <si>
    <t>Prgm Code</t>
  </si>
  <si>
    <t>Washington Metropolitan SHS</t>
  </si>
  <si>
    <t>Correctional Detention Facil.</t>
  </si>
  <si>
    <t xml:space="preserve">Total lnstructional Staff # @ </t>
  </si>
  <si>
    <t>FISCAL_YEAR</t>
  </si>
  <si>
    <t>Sum of Trans Amt</t>
  </si>
  <si>
    <t>Comp GL Acct</t>
  </si>
  <si>
    <t>Agy Fund</t>
  </si>
  <si>
    <t>Org Code 4</t>
  </si>
  <si>
    <t>2900</t>
  </si>
  <si>
    <t>0731</t>
  </si>
  <si>
    <t>0794</t>
  </si>
  <si>
    <t>8110 Total</t>
  </si>
  <si>
    <t>FOOD SERVICES DIVISION</t>
  </si>
  <si>
    <t>SHAW JUNIOR HIGH</t>
  </si>
  <si>
    <t>MCKINLEY HIGH SCHOOL</t>
  </si>
  <si>
    <t>LANGDON ELEMENTARY</t>
  </si>
  <si>
    <t>HENDLEY ELEMENTARY</t>
  </si>
  <si>
    <t>DAVIS ELEMENTARY</t>
  </si>
  <si>
    <t>WOODROW WILSON SENIOR HIGH</t>
  </si>
  <si>
    <t>JEFFERSON JUNIOR HIGH</t>
  </si>
  <si>
    <t>DEAL JUNIOR HIGH</t>
  </si>
  <si>
    <t>SIMON ELEMENTARY</t>
  </si>
  <si>
    <t>WALKER-JONES ELEMENTARY</t>
  </si>
  <si>
    <t>RECRUITMENT &amp; SELECTION DIVISION</t>
  </si>
  <si>
    <t>WTU - RETRO-PAYMENTS</t>
  </si>
  <si>
    <t>ROSS ELEMENTARY</t>
  </si>
  <si>
    <t>CHOICE ACADEMY</t>
  </si>
  <si>
    <t>WHITTIER ELEMENTARY</t>
  </si>
  <si>
    <t>FRANCIS JUNIOR HIGH</t>
  </si>
  <si>
    <t>JOHNSON JUNIOR HIGH</t>
  </si>
  <si>
    <t>FIXED COSTS (RENT, WATER, UTILITIES)</t>
  </si>
  <si>
    <t>AMIDON ELEMENTARY</t>
  </si>
  <si>
    <t>PRIVATE SCHOOLS</t>
  </si>
  <si>
    <t>BURROUGHS ELEMENTARY</t>
  </si>
  <si>
    <t>TAKOMA ELEMENTARY</t>
  </si>
  <si>
    <t>OFC COM &amp; ED PROG-CENTRAL ADMINISTRATION</t>
  </si>
  <si>
    <t>DREW ELEMENTARY</t>
  </si>
  <si>
    <t>SUMMER SCHOOL PROGRAM</t>
  </si>
  <si>
    <t>ANACOSTIA SENIOR HIGH</t>
  </si>
  <si>
    <t>OFFICE OF THE CHIEF ACADEMIC OFFICER</t>
  </si>
  <si>
    <t>TUBMAN ELEMENTARY</t>
  </si>
  <si>
    <t>H.D. WOODSON SENIOR HIGH</t>
  </si>
  <si>
    <t>BROWNE JUNIOR HIGH</t>
  </si>
  <si>
    <t>BRIGHTWOOD ELEMENTARY</t>
  </si>
  <si>
    <t>ROOSEVELT SENIOR HIGH</t>
  </si>
  <si>
    <t>FEREBEE-HOPE ELEMENTARY</t>
  </si>
  <si>
    <t>KRAMER MIDDLE</t>
  </si>
  <si>
    <t>KIMBALL ELEMENTARY</t>
  </si>
  <si>
    <t>LECKIE ELEMENTARY</t>
  </si>
  <si>
    <t>BROOKLAND ELEMENTARY</t>
  </si>
  <si>
    <t>MAURY ELEMENTARY</t>
  </si>
  <si>
    <t>MURCH ELEMENTARY</t>
  </si>
  <si>
    <t>HUMAN CAPITAL</t>
  </si>
  <si>
    <t>CHIEF OF DATA AND ACCOUNTABILITY</t>
  </si>
  <si>
    <t>BANNEKER SENIOR HIGH</t>
  </si>
  <si>
    <t>HYDE ELEMENTARY</t>
  </si>
  <si>
    <t>BEERS ELEMENTARY</t>
  </si>
  <si>
    <t>ORR ELEMENTARY</t>
  </si>
  <si>
    <t>RANDLE HIGHLANDS ELEMENTARY</t>
  </si>
  <si>
    <t>SPINGARN SENIOR HIGH</t>
  </si>
  <si>
    <t>BALLOU SENIOR HIGH</t>
  </si>
  <si>
    <t>KENILWORTH ELEMENTARY</t>
  </si>
  <si>
    <t>OYSTER ELEMENTARY</t>
  </si>
  <si>
    <t>SHEPHERD ELEMENTARY</t>
  </si>
  <si>
    <t>TEXTBOOKS</t>
  </si>
  <si>
    <t>MACFARLAND MIDDLE</t>
  </si>
  <si>
    <t>KELLY MILLER JUNIOR HIGH</t>
  </si>
  <si>
    <t>PEABODY ELEMENTARY</t>
  </si>
  <si>
    <t>EATON ELEMENTARY</t>
  </si>
  <si>
    <t>OSE RELATED SERVICES</t>
  </si>
  <si>
    <t>SCHOOL WITHOUT WALLS</t>
  </si>
  <si>
    <t>BALLOU STAY</t>
  </si>
  <si>
    <t>SPINGARN STAY</t>
  </si>
  <si>
    <t>TEACHER EFFECTIVENESS DIVISION</t>
  </si>
  <si>
    <t>OFFICE OF COMMUNICATIONS &amp; PUBLIC INFO</t>
  </si>
  <si>
    <t>KEY ELEMENTARY</t>
  </si>
  <si>
    <t>LUDLOW-TAYLOR ELEMENTARY</t>
  </si>
  <si>
    <t>COMPLIANCE DIVISION</t>
  </si>
  <si>
    <t>TYLER ELEMENTARY</t>
  </si>
  <si>
    <t>NALLE ELEMENTARY</t>
  </si>
  <si>
    <t>C.W. HARRIS ELEMENTARY</t>
  </si>
  <si>
    <t>SHARPE HEALTH</t>
  </si>
  <si>
    <t>LUKE C. MOORE ACADEMY</t>
  </si>
  <si>
    <t>WEST ELEMENTARY</t>
  </si>
  <si>
    <t>WATKINS ELEMENTARY</t>
  </si>
  <si>
    <t>EMILIA REGGIO @ PEABODY</t>
  </si>
  <si>
    <t>SAVOY ELEMENTARY</t>
  </si>
  <si>
    <t>SMOTHERS ELEMENTARY</t>
  </si>
  <si>
    <t>SCHOOL OPERATIONS</t>
  </si>
  <si>
    <t>BURRVILLE ELEMENTARY</t>
  </si>
  <si>
    <t>OSE EARLY STAGES</t>
  </si>
  <si>
    <t>THOMAS ELEMENTARY</t>
  </si>
  <si>
    <t>H.D. COOKE ELEMENTARY</t>
  </si>
  <si>
    <t>COOLIDGE SENIOR HIGH</t>
  </si>
  <si>
    <t>EASTERN SENIOR HIGH</t>
  </si>
  <si>
    <t>ELIOT JUNIOR HIGH</t>
  </si>
  <si>
    <t>RAYMOND ELEMENTARY</t>
  </si>
  <si>
    <t>CLEVELAND ELEMENTARY</t>
  </si>
  <si>
    <t>OFFICE OF BILINGUAL EDUCATION</t>
  </si>
  <si>
    <t>MALCOLM X ELEMENTARY</t>
  </si>
  <si>
    <t>MINER ELEMENTARY</t>
  </si>
  <si>
    <t>MOTEN ELEMENTARY</t>
  </si>
  <si>
    <t>CARDOZO SENIOR HIGH</t>
  </si>
  <si>
    <t>BANCROFT ELEMENTARY</t>
  </si>
  <si>
    <t>BARNARD ELEMENTARY</t>
  </si>
  <si>
    <t>POWELL ELEMENTARY</t>
  </si>
  <si>
    <t>DUNBAR SENIOR HIGH</t>
  </si>
  <si>
    <t>LONG TERM SUBSTITUTES</t>
  </si>
  <si>
    <t>MONTESORI SCHOOL</t>
  </si>
  <si>
    <t>OSE RESOLUTION</t>
  </si>
  <si>
    <t>M.C. TERRELL ELEMENTARY</t>
  </si>
  <si>
    <t>FAMILY &amp; COMMUNITY ENGAGEMENT</t>
  </si>
  <si>
    <t>PAYNE ELEMENTARY</t>
  </si>
  <si>
    <t>WINSTON ELEMENTARY</t>
  </si>
  <si>
    <t>PARENT RESOURCE CENTER</t>
  </si>
  <si>
    <t>HOUSTON ELEMENTARY</t>
  </si>
  <si>
    <t>MANN ELEMENTARY</t>
  </si>
  <si>
    <t>BRUCE-MONROE ELEMENTARY</t>
  </si>
  <si>
    <t>PHELPS SENIOR HIGH</t>
  </si>
  <si>
    <t>GARFIELD ELEMENTARY</t>
  </si>
  <si>
    <t>PLUMMER ELEMENTARY</t>
  </si>
  <si>
    <t>THURGOOD MARSHALL ELEMENTARY</t>
  </si>
  <si>
    <t>YOUTH SERVICE CENTER - YSC</t>
  </si>
  <si>
    <t>HART MIDDLE</t>
  </si>
  <si>
    <t>STODDERT ELEMENTARY</t>
  </si>
  <si>
    <t>STANTON ELEMENTARY</t>
  </si>
  <si>
    <t>RON BROWN MIDDLE</t>
  </si>
  <si>
    <t>TURNER ELEMENTARY</t>
  </si>
  <si>
    <t>MAMIE D LEE</t>
  </si>
  <si>
    <t>PROSPECT</t>
  </si>
  <si>
    <t>OFFICE OF YOUTH ENGAGEMENT</t>
  </si>
  <si>
    <t>FILMORE ART CENTER</t>
  </si>
  <si>
    <t>OFFICE OF THE CHANCELLOR</t>
  </si>
  <si>
    <t>SECURITY</t>
  </si>
  <si>
    <t>J.O. WILSON ELEMENTARY</t>
  </si>
  <si>
    <t>NOYES ELEMENTARY</t>
  </si>
  <si>
    <t>HEARST ELEMENTARY</t>
  </si>
  <si>
    <t>M. L. KING ELEMENTARY</t>
  </si>
  <si>
    <t>CHIEF OPERATING OFFICER</t>
  </si>
  <si>
    <t>OFFICE OF THE CHIEF FINANCIAL OFFICER</t>
  </si>
  <si>
    <t>TRUESDELL ELEMENTARY</t>
  </si>
  <si>
    <t>KETCHAM ELEMENTARY</t>
  </si>
  <si>
    <t>HARDY MIDDLE</t>
  </si>
  <si>
    <t>BRENT ELEMENTARY</t>
  </si>
  <si>
    <t>MARIE REED ELEMENTARY</t>
  </si>
  <si>
    <t>ACCOUNTABILITY, TESTING, RESEARCH &amp; EVAL</t>
  </si>
  <si>
    <t>LASALLE ELEMENTARY</t>
  </si>
  <si>
    <t>PRINCIPAL EFFECTIVENESS DIVISION</t>
  </si>
  <si>
    <t>JEFFERSON ACADEMY</t>
  </si>
  <si>
    <t>ELLINGTON SCHOOL OF THE ARTS</t>
  </si>
  <si>
    <t>THOMSON ELEMENTARY</t>
  </si>
  <si>
    <t>ROOSEVELT STAY</t>
  </si>
  <si>
    <t>PATTERSON ELEMENTARY</t>
  </si>
  <si>
    <t>STUART-HOBSON MIDDLE</t>
  </si>
  <si>
    <t>OSE NON - PUBLIC PLACEMENT</t>
  </si>
  <si>
    <t>OFFICE OF HUMAN RESOURCES</t>
  </si>
  <si>
    <t>SOUSA MIDDLE</t>
  </si>
  <si>
    <t>SCHOOL PERFORMANCE/RESTRUCTURING</t>
  </si>
  <si>
    <t>STUDENT DATA SYSTEMS</t>
  </si>
  <si>
    <t>SETTLEMENTS AND JUDGMENTS</t>
  </si>
  <si>
    <t>OSE EXTENDED SCHOOL YEAR</t>
  </si>
  <si>
    <t>ATHLETICS</t>
  </si>
  <si>
    <t>SPECIAL EDUCATION - LEA</t>
  </si>
  <si>
    <t>SEATON ELEMENTARY</t>
  </si>
  <si>
    <t>AITON ELEMENTARY</t>
  </si>
  <si>
    <t>GARRISON ELEMENTARY</t>
  </si>
  <si>
    <t>JANNEY ELEMENTARY</t>
  </si>
  <si>
    <t>BILINGUAL ITINERANTS</t>
  </si>
  <si>
    <t>CRITICAL RESPONSE TEAM</t>
  </si>
  <si>
    <t>OSE INCLUSIVE ACADEMIC PROGRAMS</t>
  </si>
  <si>
    <t>LAFAYETTE ELEMENTARY</t>
  </si>
  <si>
    <t>REALTY</t>
  </si>
  <si>
    <t>OSE SCHOOL SUPPORT</t>
  </si>
  <si>
    <t>OSE CENTRAL OFFICE SUPPORT</t>
  </si>
  <si>
    <t>PARTNERSHIPS</t>
  </si>
  <si>
    <t>OFFICE OF THE CHIEF OF STAFF</t>
  </si>
  <si>
    <t>PROCUREMENT DIVISION</t>
  </si>
  <si>
    <t>OFFICE OF INFORMATION TECHNOLOGY</t>
  </si>
  <si>
    <t>ATTORNEY FEES</t>
  </si>
  <si>
    <t>LOGISTICS</t>
  </si>
  <si>
    <t>Trans Amt</t>
  </si>
  <si>
    <t>Org Code 4 Title</t>
  </si>
  <si>
    <t>Approp Year</t>
  </si>
  <si>
    <t>S1003g               ARRA</t>
  </si>
  <si>
    <t>Rock Creek  Provision</t>
  </si>
  <si>
    <t>Y</t>
  </si>
  <si>
    <t>GA60001004</t>
  </si>
  <si>
    <t>GA60001885</t>
  </si>
  <si>
    <t>Harvey,Malkia Shari</t>
  </si>
  <si>
    <t>North,David</t>
  </si>
  <si>
    <t>Ham,Dwayne E.</t>
  </si>
  <si>
    <t>GA60004012</t>
  </si>
  <si>
    <t>BANKS,JANA L.</t>
  </si>
  <si>
    <t>Davis,Tiffany P</t>
  </si>
  <si>
    <t>Thomas,Winfred</t>
  </si>
  <si>
    <t>Oberski,Amanda</t>
  </si>
  <si>
    <t>Young,Lindsey B.</t>
  </si>
  <si>
    <t>Jankowski,Bernard</t>
  </si>
  <si>
    <t>HIll,Rayshonna</t>
  </si>
  <si>
    <t>Zeiler,Jessica N</t>
  </si>
  <si>
    <t>Wall,Lucy H</t>
  </si>
  <si>
    <t>Buckner,Jamie Kay</t>
  </si>
  <si>
    <t>Auerbach,Alison K.</t>
  </si>
  <si>
    <t>GA60005060</t>
  </si>
  <si>
    <t>Jenkins,Levar J.</t>
  </si>
  <si>
    <t>Hamann,Kathleen L.</t>
  </si>
  <si>
    <t>Maldonado Nunez,Maria L.</t>
  </si>
  <si>
    <t>Triveno,Miluska</t>
  </si>
  <si>
    <t>Knudsen,Allison Leigh</t>
  </si>
  <si>
    <t>Bartlett,Devon D.</t>
  </si>
  <si>
    <t>Hoehn-Saric,Gabriella P</t>
  </si>
  <si>
    <t>Amaya,Esther Elizabeth</t>
  </si>
  <si>
    <t>Firestone,Monica D</t>
  </si>
  <si>
    <t>Alonso Del Toro,Seila</t>
  </si>
  <si>
    <t>Rosario,Francine</t>
  </si>
  <si>
    <t>Pope,Rachel</t>
  </si>
  <si>
    <t>GA60005068</t>
  </si>
  <si>
    <t>Jackson,Kimbria</t>
  </si>
  <si>
    <t>SQUIREWELL,DEBORAH R</t>
  </si>
  <si>
    <t>Hamilton,Mary E.</t>
  </si>
  <si>
    <t>Bates,Jacqueline Marie</t>
  </si>
  <si>
    <t>Vazquez,Mary Bel</t>
  </si>
  <si>
    <t>Hart,Katherine B.</t>
  </si>
  <si>
    <t>Jones,Andrea L.</t>
  </si>
  <si>
    <t>Smick,Lauren B</t>
  </si>
  <si>
    <t>Richardson,Christiana Joie</t>
  </si>
  <si>
    <t>Heise,Noelle S.</t>
  </si>
  <si>
    <t>Willis,Mikaela C.</t>
  </si>
  <si>
    <t>DUKES,TIANA R</t>
  </si>
  <si>
    <t>Rich,Alicia A.</t>
  </si>
  <si>
    <t>SIMMS,JACQUELINE ANNETTE</t>
  </si>
  <si>
    <t>GA60008072</t>
  </si>
  <si>
    <t>N</t>
  </si>
  <si>
    <t>CHRISTIAN,FAYE F</t>
  </si>
  <si>
    <t>MOURNING,CONSTANCE JEAN</t>
  </si>
  <si>
    <t>Williams,Jared</t>
  </si>
  <si>
    <t>Turner,Curtis L.</t>
  </si>
  <si>
    <t>Hairston,Heather L.</t>
  </si>
  <si>
    <t>Vauter,Alena K.</t>
  </si>
  <si>
    <t>Lucas,DANA R.</t>
  </si>
  <si>
    <t>Butler,Parren A.</t>
  </si>
  <si>
    <t>GA60002124</t>
  </si>
  <si>
    <t>Timberg,Ruey T.</t>
  </si>
  <si>
    <t>Gibson,Sara A.</t>
  </si>
  <si>
    <t>Perschke,Alyson Regan</t>
  </si>
  <si>
    <t>Fields,Andrea Shantel</t>
  </si>
  <si>
    <t>Mitchell,Brian J</t>
  </si>
  <si>
    <t>Maslin,Abigail S</t>
  </si>
  <si>
    <t>Holthoff,Marcus J.</t>
  </si>
  <si>
    <t>Golden,Malaika S.</t>
  </si>
  <si>
    <t>GA60005132</t>
  </si>
  <si>
    <t>Shudtz,Geoffrey R.</t>
  </si>
  <si>
    <t>Vincent,Dana Lynn</t>
  </si>
  <si>
    <t>Hill,Aprile</t>
  </si>
  <si>
    <t>Johnson,Kristen K</t>
  </si>
  <si>
    <t>DORSEY,CAROL L</t>
  </si>
  <si>
    <t>Rosenberg,Dana B.</t>
  </si>
  <si>
    <t>GA60003138</t>
  </si>
  <si>
    <t>NELSON,DARLENE J</t>
  </si>
  <si>
    <t>Poku,Sarah S.</t>
  </si>
  <si>
    <t>Braxton,Lakisha</t>
  </si>
  <si>
    <t>GA60006146</t>
  </si>
  <si>
    <t>Sobalvarro,Clara Margarita</t>
  </si>
  <si>
    <t>MATA,DIANA</t>
  </si>
  <si>
    <t>Pozo-Lin,Luis A</t>
  </si>
  <si>
    <t>Chodak,David N.</t>
  </si>
  <si>
    <t>Paoletti,Jenna M</t>
  </si>
  <si>
    <t>Quevedo,Elizabeth</t>
  </si>
  <si>
    <t>Bostick,Todd A.</t>
  </si>
  <si>
    <t>Kirwin,Alexandra M.</t>
  </si>
  <si>
    <t>Nardella,Nicole T.</t>
  </si>
  <si>
    <t>Gallagher,Drew</t>
  </si>
  <si>
    <t>Martin De Bernardo Villarreal,Mercedes</t>
  </si>
  <si>
    <t>Mohr,Patrick D.</t>
  </si>
  <si>
    <t>GA60003168</t>
  </si>
  <si>
    <t>JOHNSON,TINA D</t>
  </si>
  <si>
    <t>Alexander,Shendrina E.</t>
  </si>
  <si>
    <t>Smith,Errin</t>
  </si>
  <si>
    <t>Allen,Brittney J.</t>
  </si>
  <si>
    <t>Cowan,Kelly A</t>
  </si>
  <si>
    <t>GA60001172</t>
  </si>
  <si>
    <t>Davidson,Stephanie D</t>
  </si>
  <si>
    <t>Phifer,Katina D.</t>
  </si>
  <si>
    <t>Smith,Charmelle M</t>
  </si>
  <si>
    <t>GA60006192</t>
  </si>
  <si>
    <t>Clark,Jr,Leon R.</t>
  </si>
  <si>
    <t>HENDERSON,CYNTHIA L</t>
  </si>
  <si>
    <t>GA60006204</t>
  </si>
  <si>
    <t>O'Leary,Taylor Yeftich</t>
  </si>
  <si>
    <t>Ponce,Liana Maria</t>
  </si>
  <si>
    <t>Garrett IV,Edwin C.</t>
  </si>
  <si>
    <t>Landstrom,Laura E</t>
  </si>
  <si>
    <t>Scopino,Ausra I</t>
  </si>
  <si>
    <t>Arranz Ramiro,Sara</t>
  </si>
  <si>
    <t>Carr,Jacqueline Albano</t>
  </si>
  <si>
    <t>Beckley,Allysen Danielle</t>
  </si>
  <si>
    <t>Cain,Shannon Eilene</t>
  </si>
  <si>
    <t>GA60001228</t>
  </si>
  <si>
    <t>COATES,THOMASINE H</t>
  </si>
  <si>
    <t>Fisher,Rachel L</t>
  </si>
  <si>
    <t>Lyons,Tianna L.</t>
  </si>
  <si>
    <t>Paull,Ryan J</t>
  </si>
  <si>
    <t>Jackson,Courtney L.</t>
  </si>
  <si>
    <t>GA60001419</t>
  </si>
  <si>
    <t>Peck,Rachel E</t>
  </si>
  <si>
    <t>GA60001564</t>
  </si>
  <si>
    <t>Garth,Sheena Alexis</t>
  </si>
  <si>
    <t>Watson,Ashlee A.</t>
  </si>
  <si>
    <t>Chavers,Amber K</t>
  </si>
  <si>
    <t>GA60007432</t>
  </si>
  <si>
    <t>Hyde,Mary</t>
  </si>
  <si>
    <t>Mann,Dale Edward</t>
  </si>
  <si>
    <t>Witcher,Tamika Latrice</t>
  </si>
  <si>
    <t>Ciampa,Kathleen A.</t>
  </si>
  <si>
    <t>Sawyer,Moniqua R.</t>
  </si>
  <si>
    <t>Miller,Jennifer Michelle</t>
  </si>
  <si>
    <t>Castin,Sarah</t>
  </si>
  <si>
    <t>Furth,Evangeline P.</t>
  </si>
  <si>
    <t>Wilson,Reginald L</t>
  </si>
  <si>
    <t>GA60003448</t>
  </si>
  <si>
    <t>Smalls,Jacqueline R.</t>
  </si>
  <si>
    <t>Ligon IV,George</t>
  </si>
  <si>
    <t>Wood,Alaina M.</t>
  </si>
  <si>
    <t>Perris,Jaime N.</t>
  </si>
  <si>
    <t>Hernandez,Milton E.</t>
  </si>
  <si>
    <t>Le Noir,Anjeli S.</t>
  </si>
  <si>
    <t>GA60008936</t>
  </si>
  <si>
    <t>GRANT,JEFFREY F</t>
  </si>
  <si>
    <t>GA60008480</t>
  </si>
  <si>
    <t>Librarian</t>
  </si>
  <si>
    <t>Clark,Tamara L</t>
  </si>
  <si>
    <t>Lewis,Lisa S</t>
  </si>
  <si>
    <t>Reid,Dominique K</t>
  </si>
  <si>
    <t>Teacher, Performing Arts</t>
  </si>
  <si>
    <t>GA60008882</t>
  </si>
  <si>
    <t>GA60006488</t>
  </si>
  <si>
    <t>Tomack,Amanda</t>
  </si>
  <si>
    <t>WEBSTER,DARRYL R</t>
  </si>
  <si>
    <t>Jackson,Ayana N.</t>
  </si>
  <si>
    <t>Stiles,Dana Leigh</t>
  </si>
  <si>
    <t>DAVILA,KIMBERLY ANN</t>
  </si>
  <si>
    <t>PARKER,CYNDRELL A.</t>
  </si>
  <si>
    <t>Schiffhauer,Megan A.</t>
  </si>
  <si>
    <t>Fields Jr.,Raymond</t>
  </si>
  <si>
    <t>GA60001515</t>
  </si>
  <si>
    <t>Crumpton,Pandora H</t>
  </si>
  <si>
    <t>Cadet,Talia J.</t>
  </si>
  <si>
    <t>Palmer,Dana C.</t>
  </si>
  <si>
    <t>Butts,Nicole L.</t>
  </si>
  <si>
    <t>RANDOLPH,URLKIA M</t>
  </si>
  <si>
    <t>Ryan,Antoynica L</t>
  </si>
  <si>
    <t>James,Dionndra Sophia</t>
  </si>
  <si>
    <t>Hayes,Tina A</t>
  </si>
  <si>
    <t>Brown,TISA M.</t>
  </si>
  <si>
    <t>Yarbrough,Curtis</t>
  </si>
  <si>
    <t>Humpton,Katherine B.</t>
  </si>
  <si>
    <t>Hoffski,Christina M.</t>
  </si>
  <si>
    <t>GA60007528</t>
  </si>
  <si>
    <t>Bergeron,Deborah Lynne</t>
  </si>
  <si>
    <t>Morris,Jessica Laine</t>
  </si>
  <si>
    <t>Massingill,Rebecca Allison</t>
  </si>
  <si>
    <t>WASHINGTON,DONNA R</t>
  </si>
  <si>
    <t>GA60008532</t>
  </si>
  <si>
    <t>WHITE,TOLORIA R</t>
  </si>
  <si>
    <t>Morrow,Gwendolyn</t>
  </si>
  <si>
    <t>GA60001538</t>
  </si>
  <si>
    <t>BRICKHOUSE,KATRINA</t>
  </si>
  <si>
    <t>HOLLOWAY,KARLA D</t>
  </si>
  <si>
    <t>GA60007540</t>
  </si>
  <si>
    <t>GEE,JENNIFER</t>
  </si>
  <si>
    <t>Campbell,Endeara L.</t>
  </si>
  <si>
    <t>Hamlin,Julie</t>
  </si>
  <si>
    <t>Johnson,Margaret E.</t>
  </si>
  <si>
    <t>Salute,Jessica R</t>
  </si>
  <si>
    <t>GA60007548</t>
  </si>
  <si>
    <t>Meshberger,Susan A.</t>
  </si>
  <si>
    <t>Klein,Abigail Sue</t>
  </si>
  <si>
    <t>Hill,Kimberly</t>
  </si>
  <si>
    <t>Spears,Lelia G</t>
  </si>
  <si>
    <t>Freedenberg,Penina W.</t>
  </si>
  <si>
    <t>Kassai,Gina M</t>
  </si>
  <si>
    <t>Walsh,Carolyn J.</t>
  </si>
  <si>
    <t>Schwartz,Julie R.</t>
  </si>
  <si>
    <t>Klane,Arielle D</t>
  </si>
  <si>
    <t>Murphy,Michele E.</t>
  </si>
  <si>
    <t>GA60005624</t>
  </si>
  <si>
    <t>CUDJOE,JULIA</t>
  </si>
  <si>
    <t>GA60001568</t>
  </si>
  <si>
    <t>Bryant II,Milton Darnell</t>
  </si>
  <si>
    <t>Pope,Victoria M</t>
  </si>
  <si>
    <t>CHAVEZ,JOSEPHINE K</t>
  </si>
  <si>
    <t>Reynolds,Felicia</t>
  </si>
  <si>
    <t>Dykes,Deanna T</t>
  </si>
  <si>
    <t>GA60007572</t>
  </si>
  <si>
    <t>MCNEALY,CAROLE</t>
  </si>
  <si>
    <t>GA60005800</t>
  </si>
  <si>
    <t>Ward,Amy Elizabeth</t>
  </si>
  <si>
    <t>Lyons,Michaela M</t>
  </si>
  <si>
    <t>Wetherald,Alan J</t>
  </si>
  <si>
    <t>GA60001576</t>
  </si>
  <si>
    <t>BYRNES,ANNE M</t>
  </si>
  <si>
    <t>MERCER JR,CHARLES B</t>
  </si>
  <si>
    <t>MCKINNEY-THOMAS,AVIS C</t>
  </si>
  <si>
    <t>GA60008199</t>
  </si>
  <si>
    <t>EMMINGER,KELLY M.</t>
  </si>
  <si>
    <t>GA60007588</t>
  </si>
  <si>
    <t>Perlin,Judith L.</t>
  </si>
  <si>
    <t>JEAN,LESLIE N</t>
  </si>
  <si>
    <t>Hallstrom,Elizabeth A.</t>
  </si>
  <si>
    <t>Cobb,Donna Knowles</t>
  </si>
  <si>
    <t>Rogall,Joseph J</t>
  </si>
  <si>
    <t>ACADEMIY Coordinator</t>
  </si>
  <si>
    <t>GA60003592</t>
  </si>
  <si>
    <t>Norton,Jacquelyn M.</t>
  </si>
  <si>
    <t>Stevens,Samantha A</t>
  </si>
  <si>
    <t>GA60005602</t>
  </si>
  <si>
    <t>Campos,Ricardo E.</t>
  </si>
  <si>
    <t>Reid,Sherilyn R.</t>
  </si>
  <si>
    <t>Richardson Jr.,Ronald C.</t>
  </si>
  <si>
    <t>McGrath,William J.</t>
  </si>
  <si>
    <t>Doughty,Michael L</t>
  </si>
  <si>
    <t>WEAVER,TIFFANI S</t>
  </si>
  <si>
    <t>GA60008598</t>
  </si>
  <si>
    <t>Williams-Gunsby,Sabreen</t>
  </si>
  <si>
    <t>Hall,Jerriel Tristan</t>
  </si>
  <si>
    <t>Thomas II,Othal H.</t>
  </si>
  <si>
    <t>GA60002099</t>
  </si>
  <si>
    <t>Cherry,Emmanuel Benjamin</t>
  </si>
  <si>
    <t>Frazier,Nicole K.</t>
  </si>
  <si>
    <t>Cifelli,Danielle E.</t>
  </si>
  <si>
    <t>LeBlanc-Karim,Miranda Chen</t>
  </si>
  <si>
    <t>Cadogan,Linda M.</t>
  </si>
  <si>
    <t>Addison,Kristen Charon</t>
  </si>
  <si>
    <t>White,Earnest M.</t>
  </si>
  <si>
    <t>Townes,Angela E.</t>
  </si>
  <si>
    <t>Yeager,Rachael M.</t>
  </si>
  <si>
    <t>D'Aguilar,Allison</t>
  </si>
  <si>
    <t>Lamb,Richard L.</t>
  </si>
  <si>
    <t>GA60008010</t>
  </si>
  <si>
    <t>Coleman,Joyce H.</t>
  </si>
  <si>
    <t>Snodgrass,Jennifer Marie</t>
  </si>
  <si>
    <t>Leadholm,Erika A</t>
  </si>
  <si>
    <t>Yohn,Roger Lynn</t>
  </si>
  <si>
    <t>Biawogei,Marpu T.</t>
  </si>
  <si>
    <t>Drew,Johnnie A.</t>
  </si>
  <si>
    <t>GA60007640</t>
  </si>
  <si>
    <t>Allen,Abigail W.</t>
  </si>
  <si>
    <t>Iger,Amy Beth</t>
  </si>
  <si>
    <t>Mercer,Whitney L.</t>
  </si>
  <si>
    <t>GA60003465</t>
  </si>
  <si>
    <t>Gallion,Bonnie A.</t>
  </si>
  <si>
    <t>GA60002644</t>
  </si>
  <si>
    <t>Bomba,Lauren</t>
  </si>
  <si>
    <t>Conley,Lauren M.</t>
  </si>
  <si>
    <t>Ford,Vanessa O</t>
  </si>
  <si>
    <t>GA60002661</t>
  </si>
  <si>
    <t>Instructional Mentor</t>
  </si>
  <si>
    <t>Tabron,Donnita</t>
  </si>
  <si>
    <t>Sawyer,Walter Wilson</t>
  </si>
  <si>
    <t>Davis Dorsey,Kim-Charlotte</t>
  </si>
  <si>
    <t>Cummings,Tarren L.</t>
  </si>
  <si>
    <t>Payne,Victoria J</t>
  </si>
  <si>
    <t>Davis,Nicol La Rae</t>
  </si>
  <si>
    <t>THORNE,DORIS T</t>
  </si>
  <si>
    <t>GA60008683</t>
  </si>
  <si>
    <t>Harris,Melody S.</t>
  </si>
  <si>
    <t>GA60007688</t>
  </si>
  <si>
    <t>Fuller,Terri M.</t>
  </si>
  <si>
    <t>Cebrzynski,Christopher J.</t>
  </si>
  <si>
    <t>Meisel,Deborah G.</t>
  </si>
  <si>
    <t>Brady,Timothy B.</t>
  </si>
  <si>
    <t>Werner,BETSY</t>
  </si>
  <si>
    <t>Lieberman,Samantha</t>
  </si>
  <si>
    <t>Braswell,Frances</t>
  </si>
  <si>
    <t>Johnson,Timothy D.</t>
  </si>
  <si>
    <t>McClelland,Sheila R.</t>
  </si>
  <si>
    <t>GA60001692</t>
  </si>
  <si>
    <t>Colson,Toniah M</t>
  </si>
  <si>
    <t>Fletcher,Stephanie S.</t>
  </si>
  <si>
    <t>Young,Zara</t>
  </si>
  <si>
    <t>GA60003696</t>
  </si>
  <si>
    <t>Cox,Winston C.</t>
  </si>
  <si>
    <t>DESSIN,CINDY F</t>
  </si>
  <si>
    <t>GA60005895</t>
  </si>
  <si>
    <t>Browder,Deborah A.</t>
  </si>
  <si>
    <t>Ray,Morgan E.</t>
  </si>
  <si>
    <t>GA60005968</t>
  </si>
  <si>
    <t>Hughes,Keyaira C.</t>
  </si>
  <si>
    <t>GA60001704</t>
  </si>
  <si>
    <t>THOMAS,DEBORAH B</t>
  </si>
  <si>
    <t>RAY,MARLON B</t>
  </si>
  <si>
    <t>Edgerton,Charron M.</t>
  </si>
  <si>
    <t>Driggs,Andrea</t>
  </si>
  <si>
    <t>Johnson,Diane B.</t>
  </si>
  <si>
    <t>Walton,Davette L</t>
  </si>
  <si>
    <t>Fitzmeyer,Scott H</t>
  </si>
  <si>
    <t>GA60006708</t>
  </si>
  <si>
    <t>FULLER,DANIELLE C</t>
  </si>
  <si>
    <t>Springer,Stephen C.</t>
  </si>
  <si>
    <t>Perez,Arlene</t>
  </si>
  <si>
    <t>Muldoon,Brian D.</t>
  </si>
  <si>
    <t>Kleinman,Madeleine J</t>
  </si>
  <si>
    <t>Carrillo,Lavina</t>
  </si>
  <si>
    <t>Connelly,Allyson L.</t>
  </si>
  <si>
    <t>Lopez,Ana</t>
  </si>
  <si>
    <t>Secaida,Vivian</t>
  </si>
  <si>
    <t>GA60008716</t>
  </si>
  <si>
    <t>RENO,AMY E</t>
  </si>
  <si>
    <t>Lowe,Derek</t>
  </si>
  <si>
    <t>SMART,PAMELA</t>
  </si>
  <si>
    <t>Young,Steve R.</t>
  </si>
  <si>
    <t>Thompson,Torrey</t>
  </si>
  <si>
    <t>GA60002724</t>
  </si>
  <si>
    <t>BROWN,JEROME Q</t>
  </si>
  <si>
    <t>Phelps,Christina Marie</t>
  </si>
  <si>
    <t>GA60002728</t>
  </si>
  <si>
    <t>REID-WITT,KARLA K.</t>
  </si>
  <si>
    <t>Wood,Kristin E.</t>
  </si>
  <si>
    <t>GA60002729</t>
  </si>
  <si>
    <t>Cross,Rachel A.</t>
  </si>
  <si>
    <t>GA60001750</t>
  </si>
  <si>
    <t>GA60005956</t>
  </si>
  <si>
    <t>Gooding,Sarah K.S.</t>
  </si>
  <si>
    <t>GA60005752</t>
  </si>
  <si>
    <t>Bradley,Sherri</t>
  </si>
  <si>
    <t>MOESSNER,CATHERINE J</t>
  </si>
  <si>
    <t>Jenkins,Kendall Ridell</t>
  </si>
  <si>
    <t>Beaulieu,Krystal L</t>
  </si>
  <si>
    <t>Akaike,Hiroko</t>
  </si>
  <si>
    <t>Schwartz,Laura R.</t>
  </si>
  <si>
    <t>Turner,Michelle E</t>
  </si>
  <si>
    <t>ARCIGA,MONICA L</t>
  </si>
  <si>
    <t>Assistant Principal</t>
  </si>
  <si>
    <t>GA60001760</t>
  </si>
  <si>
    <t>Polk-Coverdell,Celeste J.</t>
  </si>
  <si>
    <t>BOWMAN,ANNA A</t>
  </si>
  <si>
    <t>Anderson,Troy DeWain</t>
  </si>
  <si>
    <t>Powell,Kassandra K.</t>
  </si>
  <si>
    <t>Hayden,Sabrina</t>
  </si>
  <si>
    <t>Hobbs,Mieosha</t>
  </si>
  <si>
    <t>WILLIAMS,TONYA R.</t>
  </si>
  <si>
    <t>GA60005764</t>
  </si>
  <si>
    <t>Kinsella-Gold,ELAINE</t>
  </si>
  <si>
    <t>ROBINSON,TRACY B</t>
  </si>
  <si>
    <t>JOHNS GIBSON,JANETTE C</t>
  </si>
  <si>
    <t>Wilson,Sharnice S</t>
  </si>
  <si>
    <t>McCranor,Tara A.</t>
  </si>
  <si>
    <t>GA60006676</t>
  </si>
  <si>
    <t>Osborne,Rebecca V.</t>
  </si>
  <si>
    <t>Navarro,Veronica</t>
  </si>
  <si>
    <t>Reuss,Christine</t>
  </si>
  <si>
    <t>Lenaghan,Sean T.</t>
  </si>
  <si>
    <t>Guillen,Marisa</t>
  </si>
  <si>
    <t>Brown,Paul D.</t>
  </si>
  <si>
    <t>Velez,Rafael</t>
  </si>
  <si>
    <t>GA60002774</t>
  </si>
  <si>
    <t>Manchanda,Sarah K.</t>
  </si>
  <si>
    <t>Lewis-Butler,Cathy V.</t>
  </si>
  <si>
    <t>GA60006780</t>
  </si>
  <si>
    <t>Reilly,Kaitlin A.</t>
  </si>
  <si>
    <t>GA60008785</t>
  </si>
  <si>
    <t>Watkins-Foster,Carol A.</t>
  </si>
  <si>
    <t>Thomas,Tiffani L.</t>
  </si>
  <si>
    <t>FAULKNER,CARMEN</t>
  </si>
  <si>
    <t>GA60003788</t>
  </si>
  <si>
    <t>DOXIE,ANNETTE</t>
  </si>
  <si>
    <t>GA60006888</t>
  </si>
  <si>
    <t>Laguna,Lourdes D.</t>
  </si>
  <si>
    <t>Richards,Shandell</t>
  </si>
  <si>
    <t>Nguyen,Maria L</t>
  </si>
  <si>
    <t>Kaye,Alina L</t>
  </si>
  <si>
    <t>Moss,Erika Smith</t>
  </si>
  <si>
    <t>BURGESS,JARRETT I.</t>
  </si>
  <si>
    <t>GA60008808</t>
  </si>
  <si>
    <t>GA60001985</t>
  </si>
  <si>
    <t>Williams,Deborah H</t>
  </si>
  <si>
    <t>MACK,REGINA</t>
  </si>
  <si>
    <t>GA60001820</t>
  </si>
  <si>
    <t>Soto,Juliann M.</t>
  </si>
  <si>
    <t>Turner,Falon G.</t>
  </si>
  <si>
    <t>Grapes,Carla Placidi</t>
  </si>
  <si>
    <t>ANDREWS,MELVIN L.</t>
  </si>
  <si>
    <t>Brake,Nigel</t>
  </si>
  <si>
    <t>GA60008832</t>
  </si>
  <si>
    <t>Sims,Leigh-Kirstin D.</t>
  </si>
  <si>
    <t>Samples-Wright,Brieanna K</t>
  </si>
  <si>
    <t>Reilly,Emma F.</t>
  </si>
  <si>
    <t>Tillman,Tiffany D.</t>
  </si>
  <si>
    <t>Jonas,Amanda S.</t>
  </si>
  <si>
    <t>Hansen,Beth C.</t>
  </si>
  <si>
    <t>Stefon,Jessica Marie</t>
  </si>
  <si>
    <t>Miles,Angel M.</t>
  </si>
  <si>
    <t>GA60007844</t>
  </si>
  <si>
    <t>Hoyt,Margaret J</t>
  </si>
  <si>
    <t>GA60007976</t>
  </si>
  <si>
    <t>Devore,Lindsey</t>
  </si>
  <si>
    <t>GA60005872</t>
  </si>
  <si>
    <t>GA60002730</t>
  </si>
  <si>
    <t>Upchurch,Chicara R.</t>
  </si>
  <si>
    <t>Allingham,Hayleigh Merideth</t>
  </si>
  <si>
    <t>James,Atasha M.</t>
  </si>
  <si>
    <t>Diaz,Glady</t>
  </si>
  <si>
    <t>GA60005595</t>
  </si>
  <si>
    <t>Pechnyo,Anne L.</t>
  </si>
  <si>
    <t>Myles,SAUNDRA Butler</t>
  </si>
  <si>
    <t>Sweeney,Melissa K.</t>
  </si>
  <si>
    <t>Durkins,Latesha</t>
  </si>
  <si>
    <t>Cook,Aneisha B.</t>
  </si>
  <si>
    <t>Sitchenko,Marie M.</t>
  </si>
  <si>
    <t>Oliver,Amanda Elaine</t>
  </si>
  <si>
    <t>JASNOSZ,MATTHEW C</t>
  </si>
  <si>
    <t>Glenn-Chase,Amity Coykendall</t>
  </si>
  <si>
    <t>ESTABROOKE,MARIANNA H</t>
  </si>
  <si>
    <t>Schroll,Katlyn R.</t>
  </si>
  <si>
    <t>Solli,Katrine E.</t>
  </si>
  <si>
    <t>Moore,Vernon Allen</t>
  </si>
  <si>
    <t>Bruce,Saundra L</t>
  </si>
  <si>
    <t>GA60008896</t>
  </si>
  <si>
    <t>Leeth,Antrina B.</t>
  </si>
  <si>
    <t>Greene,Deborah A.</t>
  </si>
  <si>
    <t>Yahne,Karinne</t>
  </si>
  <si>
    <t>Zaletel,Tracey</t>
  </si>
  <si>
    <t>GA60006892</t>
  </si>
  <si>
    <t>Perez Hanson,Gisele</t>
  </si>
  <si>
    <t>Russell,Michael</t>
  </si>
  <si>
    <t>Nedelman,Lourdes A.</t>
  </si>
  <si>
    <t>Brown,Jennifer N.</t>
  </si>
  <si>
    <t>Mueller Jr.,Michael E</t>
  </si>
  <si>
    <t>Ou Sanchez,Gina R</t>
  </si>
  <si>
    <t>Chong,Andrea H</t>
  </si>
  <si>
    <t>Long,Mirasol A.</t>
  </si>
  <si>
    <t>Perkins,Williams J.</t>
  </si>
  <si>
    <t>GA60004904</t>
  </si>
  <si>
    <t>Brown,Dwight Dwayne</t>
  </si>
  <si>
    <t>JOHNSON,KRISTINA R</t>
  </si>
  <si>
    <t>Weston,Cesar L.</t>
  </si>
  <si>
    <t>Fratecelli,Eleris</t>
  </si>
  <si>
    <t>Manning,Meghan Kathleen</t>
  </si>
  <si>
    <t>LERENMAN,FLORA</t>
  </si>
  <si>
    <t>Farnham,Lillian Patricia</t>
  </si>
  <si>
    <t>Greene,Malcolm V.</t>
  </si>
  <si>
    <t>Lutz,Elizabeth M.</t>
  </si>
  <si>
    <t>gaba,octavius A</t>
  </si>
  <si>
    <t>Lindy,Rachel C.</t>
  </si>
  <si>
    <t>Rodriguez,Sylvia I.</t>
  </si>
  <si>
    <t>Taubman,Veronica Patricia</t>
  </si>
  <si>
    <t>GA60003940</t>
  </si>
  <si>
    <t>Czaja,Amy Elizabeth</t>
  </si>
  <si>
    <t>Costello,Kelly L.</t>
  </si>
  <si>
    <t>Berkman,Elinor N</t>
  </si>
  <si>
    <t>Scott,Stephen M.</t>
  </si>
  <si>
    <t>Sears,Shelby</t>
  </si>
  <si>
    <t>Wisniewski,Kerri</t>
  </si>
  <si>
    <t>Graham,Eleanor M.</t>
  </si>
  <si>
    <t>Snyder,Joshua</t>
  </si>
  <si>
    <t>McCormick,Jennifer L.</t>
  </si>
  <si>
    <t>GA60002947</t>
  </si>
  <si>
    <t>Thomson,Tanya E.</t>
  </si>
  <si>
    <t>Drumm,Vanessa</t>
  </si>
  <si>
    <t>Renwick,Currie O</t>
  </si>
  <si>
    <t>Principal</t>
  </si>
  <si>
    <t>Clemens,Dawn M.</t>
  </si>
  <si>
    <t>SORRELL,DEIDRA A</t>
  </si>
  <si>
    <t>Lehrer,Celeste A.</t>
  </si>
  <si>
    <t>Miller,David F</t>
  </si>
  <si>
    <t>Thompson,Francesca C.</t>
  </si>
  <si>
    <t>Kellogg,KRISTINA L L.</t>
  </si>
  <si>
    <t>Jones,Anthony E.</t>
  </si>
  <si>
    <t>GA60002950</t>
  </si>
  <si>
    <t>Mantell,Lissa E.</t>
  </si>
  <si>
    <t>Wozniak,Jacqueline I.</t>
  </si>
  <si>
    <t>Amlani,Brian</t>
  </si>
  <si>
    <t>Walters,Suzanne Gail</t>
  </si>
  <si>
    <t>Elsener,Rachel V.</t>
  </si>
  <si>
    <t>Leaphart,Desirae D.E</t>
  </si>
  <si>
    <t>VAUSS,GWENDOLYN L</t>
  </si>
  <si>
    <t>Hinds-Wynn,Bunmi T.</t>
  </si>
  <si>
    <t>Outten,Kate C</t>
  </si>
  <si>
    <t>White,Pierce M.</t>
  </si>
  <si>
    <t>PETERS,DIANE L.</t>
  </si>
  <si>
    <t>Cathirell,Ackesha J.</t>
  </si>
  <si>
    <t>SCOTT,ERIN B.</t>
  </si>
  <si>
    <t>GA60002973</t>
  </si>
  <si>
    <t>BREECE,LYNNE W</t>
  </si>
  <si>
    <t>WYRSCH-BA,ELIZABETH Mary</t>
  </si>
  <si>
    <t>Flickinger,Holly R.</t>
  </si>
  <si>
    <t>Johnson,Kimberly A</t>
  </si>
  <si>
    <t>Levitsky,Lauren R</t>
  </si>
  <si>
    <t>TAYLOR,MICHAEL</t>
  </si>
  <si>
    <t>Maitland,Kate A.</t>
  </si>
  <si>
    <t>DUFF,KATHI</t>
  </si>
  <si>
    <t>SMITH,SHAWN L</t>
  </si>
  <si>
    <t>GA60001980</t>
  </si>
  <si>
    <t>BUTLER,DIANE E</t>
  </si>
  <si>
    <t>Banks,James W.</t>
  </si>
  <si>
    <t>Gervasio,Gabriella M.</t>
  </si>
  <si>
    <t>GA60008058</t>
  </si>
  <si>
    <t>GA60008059</t>
  </si>
  <si>
    <t>GA60006176</t>
  </si>
  <si>
    <t>GA60001775</t>
  </si>
  <si>
    <t>GA60002828</t>
  </si>
  <si>
    <t>GA60003868</t>
  </si>
  <si>
    <t>GA60000323</t>
  </si>
  <si>
    <t>GA60001794</t>
  </si>
  <si>
    <t>TROWER,LARRY C</t>
  </si>
  <si>
    <t>GA60002952</t>
  </si>
  <si>
    <t>GA60000324</t>
  </si>
  <si>
    <t>GA60007232</t>
  </si>
  <si>
    <t>GA60007512</t>
  </si>
  <si>
    <t>GA60004558</t>
  </si>
  <si>
    <t>GA60004552</t>
  </si>
  <si>
    <t>GA60003136</t>
  </si>
  <si>
    <t>LEE LATTISAW,M CANDI</t>
  </si>
  <si>
    <t>IBE,CHINENYE IRENE</t>
  </si>
  <si>
    <t>GA60001660</t>
  </si>
  <si>
    <t>GA60002140</t>
  </si>
  <si>
    <t>Joseph,Jessica D</t>
  </si>
  <si>
    <t>Koroye,Ebiolade P.</t>
  </si>
  <si>
    <t>GA60005777</t>
  </si>
  <si>
    <t>GA60002444</t>
  </si>
  <si>
    <t>GA60006468</t>
  </si>
  <si>
    <t>GA60006632</t>
  </si>
  <si>
    <t>GA60002494</t>
  </si>
  <si>
    <t>GA60008518</t>
  </si>
  <si>
    <t>GA60001824</t>
  </si>
  <si>
    <t>Kaufman-Relph,Sarah Elizabeth</t>
  </si>
  <si>
    <t>Flannery,Sean</t>
  </si>
  <si>
    <t>Hylton,Anna M.</t>
  </si>
  <si>
    <t>Moore,Tanea M.</t>
  </si>
  <si>
    <t>Spence,Kerry Anne Marie</t>
  </si>
  <si>
    <t>Rodberg,Simon</t>
  </si>
  <si>
    <t>Abrams,Veronica D.</t>
  </si>
  <si>
    <t>Chang,Terence C.</t>
  </si>
  <si>
    <t>Pavy Jr.,Edwin C.</t>
  </si>
  <si>
    <t>Diaz,Nataly J.</t>
  </si>
  <si>
    <t>D'Antonio,Cecilia H.</t>
  </si>
  <si>
    <t>Richardson,Margery Kendall</t>
  </si>
  <si>
    <t>Washington,Brian</t>
  </si>
  <si>
    <t>Lang,Evette S.L.</t>
  </si>
  <si>
    <t>Wellersdick,Brittni L.</t>
  </si>
  <si>
    <t>Wallace,Meghan I.</t>
  </si>
  <si>
    <t>Lewis,Michael E.</t>
  </si>
  <si>
    <t>Campozano,Cristina L.</t>
  </si>
  <si>
    <t>Pough,Natalie O.</t>
  </si>
  <si>
    <t>HUGHES,MICHAEL D</t>
  </si>
  <si>
    <t>Woods,Brittaney A.</t>
  </si>
  <si>
    <t>Martini,Michael J.</t>
  </si>
  <si>
    <t>MCMILLAN,ANGELA T</t>
  </si>
  <si>
    <t>DANCE IV,LAWRENCE A.</t>
  </si>
  <si>
    <t>Tyner,Leslie W.</t>
  </si>
  <si>
    <t>Brown,Yolanda J.</t>
  </si>
  <si>
    <t>Hakes,Hannah Elizabeth</t>
  </si>
  <si>
    <t>Watson,Dana E.</t>
  </si>
  <si>
    <t>Kemp,Tanisha T.</t>
  </si>
  <si>
    <t>Zanobini,Annie Z.</t>
  </si>
  <si>
    <t>Parnell-Cunningham,Lisa M.</t>
  </si>
  <si>
    <t>Gauthier,Jesse L.</t>
  </si>
  <si>
    <t>Harrington,Lakesia L.</t>
  </si>
  <si>
    <t>Rosser,Brynn</t>
  </si>
  <si>
    <t>Luppino,Kristen E.</t>
  </si>
  <si>
    <t>Thorpe,Shawdae</t>
  </si>
  <si>
    <t>BROWN,SAH-U-RA</t>
  </si>
  <si>
    <t>Stefanus,Mary J.</t>
  </si>
  <si>
    <t>WATERS,GLENDA T</t>
  </si>
  <si>
    <t>Porter,Eric Andrew</t>
  </si>
  <si>
    <t>Borkman,Bianca J</t>
  </si>
  <si>
    <t>Lowery,Sandra J.</t>
  </si>
  <si>
    <t>GA60006796</t>
  </si>
  <si>
    <t>JONES,OLUFUNMILAYO V</t>
  </si>
  <si>
    <t>PROCTOR,JINA</t>
  </si>
  <si>
    <t>Corwin,Christopher B.</t>
  </si>
  <si>
    <t>Walton,Sara A.</t>
  </si>
  <si>
    <t>Flores,Araceli Y</t>
  </si>
  <si>
    <t>Rivera-Cruz,Carla B.</t>
  </si>
  <si>
    <t>Chervin,Micah J.</t>
  </si>
  <si>
    <t>Cintron Jr.,Angel L.</t>
  </si>
  <si>
    <t>George,Aileen marie</t>
  </si>
  <si>
    <t>Koyama,Perie R.</t>
  </si>
  <si>
    <t>Stewart,Maya D.</t>
  </si>
  <si>
    <t>Hughes,Sharon</t>
  </si>
  <si>
    <t>Wang,Megan P.</t>
  </si>
  <si>
    <t>Tzow,Helen</t>
  </si>
  <si>
    <t>WALLER,YVONNE C</t>
  </si>
  <si>
    <t>Martin,Evan E.</t>
  </si>
  <si>
    <t>Robson,Kelly L</t>
  </si>
  <si>
    <t>Ramble,Renae Yene</t>
  </si>
  <si>
    <t>Desinord,Richard T</t>
  </si>
  <si>
    <t>Long,Charisse J.</t>
  </si>
  <si>
    <t>Littlepage,Thea E.</t>
  </si>
  <si>
    <t>Walden,Mische A.</t>
  </si>
  <si>
    <t>Campbell,Carol E.</t>
  </si>
  <si>
    <t>Stone,Selena E</t>
  </si>
  <si>
    <t>Percival,Taylor R.</t>
  </si>
  <si>
    <t>Egbuson,Teyedo V.</t>
  </si>
  <si>
    <t>Raouda Balah,Mohamed S.</t>
  </si>
  <si>
    <t>Bonds,Tedrick</t>
  </si>
  <si>
    <t>GA60001584</t>
  </si>
  <si>
    <t>Summers,Kevin L</t>
  </si>
  <si>
    <t>Elam,Steven B.</t>
  </si>
  <si>
    <t>FLOWERS,TANYA J</t>
  </si>
  <si>
    <t>Clements,Hannah M</t>
  </si>
  <si>
    <t>Wilson,Hope R</t>
  </si>
  <si>
    <t>Williams,Portia Shanique</t>
  </si>
  <si>
    <t>Bynum,Andria M</t>
  </si>
  <si>
    <t>Thorpe,Keishia</t>
  </si>
  <si>
    <t>Smith,Lynette A</t>
  </si>
  <si>
    <t>Brown,Kathryn</t>
  </si>
  <si>
    <t>Lafci,Alexandria S.</t>
  </si>
  <si>
    <t>Maddrey,Lacey N.</t>
  </si>
  <si>
    <t>Douglass,Karen E.</t>
  </si>
  <si>
    <t>Scarlett,Lakisha S.</t>
  </si>
  <si>
    <t>Newsome,Kenneth</t>
  </si>
  <si>
    <t>Hill,Gilda M.</t>
  </si>
  <si>
    <t>Carter,Randall Laurence</t>
  </si>
  <si>
    <t>Drummond,Milele J.</t>
  </si>
  <si>
    <t>Lee,India C.</t>
  </si>
  <si>
    <t>Oppenheim,Rebecca A.</t>
  </si>
  <si>
    <t>BROOKS,CLARENCE A.</t>
  </si>
  <si>
    <t>Mathews,Trayon D.</t>
  </si>
  <si>
    <t>Caroselli,Gabrielle L.</t>
  </si>
  <si>
    <t>Lee,Jenna E</t>
  </si>
  <si>
    <t>Bradley,Twana Antwan</t>
  </si>
  <si>
    <t>Taylor,Shadayna Nicole</t>
  </si>
  <si>
    <t>Coleman,Natoya D</t>
  </si>
  <si>
    <t>Whitmire,Kathryn B.</t>
  </si>
  <si>
    <t>Carrington,Leah N. S.</t>
  </si>
  <si>
    <t>Slocumb,Brendan N</t>
  </si>
  <si>
    <t>Kemp,Laysha T.</t>
  </si>
  <si>
    <t>GA60002848</t>
  </si>
  <si>
    <t>Helm,Christina F.</t>
  </si>
  <si>
    <t>DANIELS FURMAN,KAREN V</t>
  </si>
  <si>
    <t>Sandin,Alesandra E.</t>
  </si>
  <si>
    <t>MELGAREJO,INDIRA A.</t>
  </si>
  <si>
    <t>Landers,Kelly B.</t>
  </si>
  <si>
    <t>GA60004553</t>
  </si>
  <si>
    <t>Evangelou,Sara Christine</t>
  </si>
  <si>
    <t>Patterson,Joshua C.</t>
  </si>
  <si>
    <t>Kumar,Suraj</t>
  </si>
  <si>
    <t>Cullen,Desmond B.</t>
  </si>
  <si>
    <t>Hodge,Destinee T</t>
  </si>
  <si>
    <t>Koehle,Stephanie L.</t>
  </si>
  <si>
    <t>Gardner,Kemba K</t>
  </si>
  <si>
    <t>Reed,Lia Faith</t>
  </si>
  <si>
    <t>Odom,Patricia M</t>
  </si>
  <si>
    <t>Miller,Lance A.</t>
  </si>
  <si>
    <t>Olson,Tracy L.</t>
  </si>
  <si>
    <t>Abbate,Peter</t>
  </si>
  <si>
    <t>Redd,Antonio P.</t>
  </si>
  <si>
    <t>GA60001016</t>
  </si>
  <si>
    <t>Tindle,Doranna R.</t>
  </si>
  <si>
    <t>Porter,Shatane F.</t>
  </si>
  <si>
    <t>June,Cato</t>
  </si>
  <si>
    <t>Turner,Tamu Sylvia Matrue</t>
  </si>
  <si>
    <t>McFarlane,Cicely Lilla</t>
  </si>
  <si>
    <t>POTTS,WAYNONIA M</t>
  </si>
  <si>
    <t>JONES,TIFFANY N</t>
  </si>
  <si>
    <t>KNOX HICKS,LORETTA</t>
  </si>
  <si>
    <t>Olsen,James</t>
  </si>
  <si>
    <t>Sowers,Tereasa Y.</t>
  </si>
  <si>
    <t>Nickens,Hermione A.</t>
  </si>
  <si>
    <t>Perry,Chisa L</t>
  </si>
  <si>
    <t>Sholes,Desiree H.</t>
  </si>
  <si>
    <t>Shipman,Whitney</t>
  </si>
  <si>
    <t>Freeman,Nikia O</t>
  </si>
  <si>
    <t>Dooley,Natasha Y.</t>
  </si>
  <si>
    <t>Nixon,Tesha M</t>
  </si>
  <si>
    <t>Sanger,Sherrill Ann</t>
  </si>
  <si>
    <t>Cross,Stephanie</t>
  </si>
  <si>
    <t>Stafford,Kortni R.</t>
  </si>
  <si>
    <t>Easley III,James Edward</t>
  </si>
  <si>
    <t>Shakur,Alquan Sanyika</t>
  </si>
  <si>
    <t>Mc Kenzie-Thompson,Kenann Fondelle</t>
  </si>
  <si>
    <t>Miller,Regina</t>
  </si>
  <si>
    <t>Hollins,Hkwaua Que Jol</t>
  </si>
  <si>
    <t>Dyson,Chenine M.</t>
  </si>
  <si>
    <t>Mason,Chanel Patricia</t>
  </si>
  <si>
    <t>Campbell,Lisa</t>
  </si>
  <si>
    <t>Nimer,Kawther K.</t>
  </si>
  <si>
    <t>JONES,TOUSSAINT L</t>
  </si>
  <si>
    <t>Shahrivar,Shahin</t>
  </si>
  <si>
    <t>Thompson,Ashley</t>
  </si>
  <si>
    <t>Howard,Adar F</t>
  </si>
  <si>
    <t>Smukler,Eli C.</t>
  </si>
  <si>
    <t>Blais,Kathryn L.</t>
  </si>
  <si>
    <t>Williams,Anna</t>
  </si>
  <si>
    <t>Schnog,Margaret C.</t>
  </si>
  <si>
    <t>Reed,Arneitha A.</t>
  </si>
  <si>
    <t>SMALLWOOD,MELANIE J</t>
  </si>
  <si>
    <t>Donaldson,Duane A.</t>
  </si>
  <si>
    <t>Parks,Dareck D.</t>
  </si>
  <si>
    <t>Pendleton,Lataura E</t>
  </si>
  <si>
    <t>Ramirez,LAUREN ELENA</t>
  </si>
  <si>
    <t>Hughes,Arnelle L.</t>
  </si>
  <si>
    <t>GA60006064</t>
  </si>
  <si>
    <t>WESLEY,ZILLAH J</t>
  </si>
  <si>
    <t>Samuels,Andrea L.</t>
  </si>
  <si>
    <t>FRANCE,CAMILLE LEWIS</t>
  </si>
  <si>
    <t>GA60005080</t>
  </si>
  <si>
    <t>Talarico,Joseph P.</t>
  </si>
  <si>
    <t>GARNER,THOMASINA R</t>
  </si>
  <si>
    <t>JENKINS,EVA B</t>
  </si>
  <si>
    <t>Wachs,Meredith J</t>
  </si>
  <si>
    <t>Lau,Darrel C.</t>
  </si>
  <si>
    <t>Sankofa,Sekou A.</t>
  </si>
  <si>
    <t>Colon,Carlos J.</t>
  </si>
  <si>
    <t>Zelinsky,Heather Nichole</t>
  </si>
  <si>
    <t>Yates,Brittany E.</t>
  </si>
  <si>
    <t>Penn,Krishunda</t>
  </si>
  <si>
    <t>Totress,Corey J.</t>
  </si>
  <si>
    <t>Blair,Jillian E.</t>
  </si>
  <si>
    <t>JACOBS,JUSTIN C</t>
  </si>
  <si>
    <t>Alao,Mafopefoluwa O.</t>
  </si>
  <si>
    <t>Ermis,Sarah D.</t>
  </si>
  <si>
    <t>Gibbs,Nicole J.</t>
  </si>
  <si>
    <t>Gomez Moreno,Adrian M.</t>
  </si>
  <si>
    <t>Sims,Magdalene S.</t>
  </si>
  <si>
    <t>Settle,Kaitlin</t>
  </si>
  <si>
    <t>Weir,Nicole M</t>
  </si>
  <si>
    <t>Lessek,Justin P.</t>
  </si>
  <si>
    <t>Lydia,Esi A</t>
  </si>
  <si>
    <t>Sammis,Sevana</t>
  </si>
  <si>
    <t>Robinson,Celecia E.</t>
  </si>
  <si>
    <t>Callen,Shanta K</t>
  </si>
  <si>
    <t>Anders,Tyler G.D.</t>
  </si>
  <si>
    <t>MOORE,SERETA C</t>
  </si>
  <si>
    <t>LOUIS-CHARLES,SHEILA</t>
  </si>
  <si>
    <t>Reid,Lavern O.</t>
  </si>
  <si>
    <t>Goldfarb,Juana</t>
  </si>
  <si>
    <t>GA60005208</t>
  </si>
  <si>
    <t>Goings,Terry R.</t>
  </si>
  <si>
    <t>EDWARDS,DONNA L</t>
  </si>
  <si>
    <t>BANKS,ALLEN V</t>
  </si>
  <si>
    <t>DUPPINS,DOROTHY E</t>
  </si>
  <si>
    <t>SHAW,CHARISE DENEEN</t>
  </si>
  <si>
    <t>DeSario,Bernadette D</t>
  </si>
  <si>
    <t>Jones,Kailyn P.</t>
  </si>
  <si>
    <t>Bennett,Paige C.</t>
  </si>
  <si>
    <t>Bell,Nicole C.</t>
  </si>
  <si>
    <t>Thorne,Amir R.</t>
  </si>
  <si>
    <t>Blackmon,Jonathan M.</t>
  </si>
  <si>
    <t>Sagar,Anita S.</t>
  </si>
  <si>
    <t>Gallegher,Bailey Elizabeth</t>
  </si>
  <si>
    <t>Rosey,Rebecca L.</t>
  </si>
  <si>
    <t>DeJarnett,Christopher A.S.</t>
  </si>
  <si>
    <t>Thompson,Morrall Bernard</t>
  </si>
  <si>
    <t>GA60003420</t>
  </si>
  <si>
    <t>Skinner,Angela H</t>
  </si>
  <si>
    <t>Jackson,Tiffany R</t>
  </si>
  <si>
    <t>Jackson,Stephen Drew</t>
  </si>
  <si>
    <t>McMillan,Ingrid</t>
  </si>
  <si>
    <t>MAURICE,MAX L G</t>
  </si>
  <si>
    <t>BARNES,JAMES A</t>
  </si>
  <si>
    <t>Kent,Leland R</t>
  </si>
  <si>
    <t>Hoyt,Christopher G</t>
  </si>
  <si>
    <t>Fairley,Denise W.</t>
  </si>
  <si>
    <t>Henderson,Kyeko D</t>
  </si>
  <si>
    <t>Coleman,Tyrone J</t>
  </si>
  <si>
    <t>Rodgers,Lionel A.</t>
  </si>
  <si>
    <t>Evers,Dorian L.</t>
  </si>
  <si>
    <t>SWEENEY,BRYON E</t>
  </si>
  <si>
    <t>Nelson-Henry,Latrice Nicole</t>
  </si>
  <si>
    <t>Dotson,Julian A.S.</t>
  </si>
  <si>
    <t>McDuffie,Kargsia</t>
  </si>
  <si>
    <t>GA60002428</t>
  </si>
  <si>
    <t>Titus,Andre J.</t>
  </si>
  <si>
    <t>Kakulu,Emmanuel</t>
  </si>
  <si>
    <t>Opiotennione,Niota A.</t>
  </si>
  <si>
    <t>Skerritt,Rachel</t>
  </si>
  <si>
    <t>TURNER JR,LAVAUGHN MAURICE</t>
  </si>
  <si>
    <t>Jarrard,Amanda B.</t>
  </si>
  <si>
    <t>Oluonye,Anitra J.</t>
  </si>
  <si>
    <t>Molchany,Andrew M.</t>
  </si>
  <si>
    <t>Townsend,Andrea</t>
  </si>
  <si>
    <t>Pile,Giselle C.</t>
  </si>
  <si>
    <t>Reing,Brian</t>
  </si>
  <si>
    <t>McCammon,Wesley R</t>
  </si>
  <si>
    <t>Stalnaker,Kimberly C</t>
  </si>
  <si>
    <t>Olaiya,Thajilah</t>
  </si>
  <si>
    <t>Strickland,Jason L.</t>
  </si>
  <si>
    <t>Good,Anya E</t>
  </si>
  <si>
    <t>MUSSENDEN,JOANN JONES</t>
  </si>
  <si>
    <t>GA60007960</t>
  </si>
  <si>
    <t>Murray,Rinaldo A.</t>
  </si>
  <si>
    <t>Cox,Tasheka N.</t>
  </si>
  <si>
    <t>PICKENS,WANDA F</t>
  </si>
  <si>
    <t>Mohrbacher,Brittanye S</t>
  </si>
  <si>
    <t>Strown,Tenicka V.</t>
  </si>
  <si>
    <t>GA60002740</t>
  </si>
  <si>
    <t>Ricks,Robin R</t>
  </si>
  <si>
    <t>Jefferson,Nneka L.</t>
  </si>
  <si>
    <t>Lorenz,Leslie H.</t>
  </si>
  <si>
    <t>Neenos,Jason</t>
  </si>
  <si>
    <t>DeClue Jr.,Robert T.</t>
  </si>
  <si>
    <t>Malone,Josie Johnson</t>
  </si>
  <si>
    <t>Molina-Estolano,Gloria</t>
  </si>
  <si>
    <t>GA60005776</t>
  </si>
  <si>
    <t>BUSH SAWYER,HENRIETTA R</t>
  </si>
  <si>
    <t>Eckel,Malcolm Christopher</t>
  </si>
  <si>
    <t>Testa,Vincent Francis</t>
  </si>
  <si>
    <t>Oliver,Amber N.</t>
  </si>
  <si>
    <t>Myrick,Sharlitta N.</t>
  </si>
  <si>
    <t>Cunningham,Nkenge Sumbry</t>
  </si>
  <si>
    <t>Bruno,Yolande L.</t>
  </si>
  <si>
    <t>Perkins,Zalika A.</t>
  </si>
  <si>
    <t>Thompson,Miesha D</t>
  </si>
  <si>
    <t>Kelly,Kristin M.</t>
  </si>
  <si>
    <t>WILLIAMS,LATASHA L SOLOMON</t>
  </si>
  <si>
    <t>Moses,Usher A</t>
  </si>
  <si>
    <t>WIGFALL,WILLIE</t>
  </si>
  <si>
    <t>Howard,Joseph H.</t>
  </si>
  <si>
    <t>Epting,Jeffery</t>
  </si>
  <si>
    <t>Jones,Sean J</t>
  </si>
  <si>
    <t>Hunter,Alicia S.</t>
  </si>
  <si>
    <t>Gray-Kelly,Patrcicia</t>
  </si>
  <si>
    <t>NESBETH,CARLOS O</t>
  </si>
  <si>
    <t>McCauslin,Eden Courtney</t>
  </si>
  <si>
    <t>Edley,Dane Marc</t>
  </si>
  <si>
    <t>COVINGTON,MICHAEL B</t>
  </si>
  <si>
    <t>Armstrong,Pamela Adeline</t>
  </si>
  <si>
    <t>San Gabriel,Phillip G</t>
  </si>
  <si>
    <t>GA60001986</t>
  </si>
  <si>
    <t>Zych,Ariel F.</t>
  </si>
  <si>
    <t>Dupree-Walker,Nyala A.</t>
  </si>
  <si>
    <t>Gray,LaQurisha N.</t>
  </si>
  <si>
    <t>Sauls,Edward</t>
  </si>
  <si>
    <t>Rose,Isaac F</t>
  </si>
  <si>
    <t>Smallwood,Tameka R</t>
  </si>
  <si>
    <t>Watson,Rebecca C.</t>
  </si>
  <si>
    <t>Buzard,Sara</t>
  </si>
  <si>
    <t>Song,Ruth E.Y.</t>
  </si>
  <si>
    <t>WILSON,ALEXANDER D</t>
  </si>
  <si>
    <t>THOMPSON,DAVID</t>
  </si>
  <si>
    <t>CARRILLO,JOSEPH M</t>
  </si>
  <si>
    <t>LEWIS,JOAN C</t>
  </si>
  <si>
    <t>COHENS,ROOSEVELT</t>
  </si>
  <si>
    <t>Charleston,Jennene L.</t>
  </si>
  <si>
    <t>Tucker,Sissela C.</t>
  </si>
  <si>
    <t>Kowalew,Kristin June</t>
  </si>
  <si>
    <t>Obermeyer,Christopher A.</t>
  </si>
  <si>
    <t>Lambert,Mary D.</t>
  </si>
  <si>
    <t>KAMARA,FREDERICK J.M.</t>
  </si>
  <si>
    <t>Beliveau,Jacqueline M.</t>
  </si>
  <si>
    <t>WISE BENTO,SARAH C BUSH</t>
  </si>
  <si>
    <t>Jacoby,Alexander E</t>
  </si>
  <si>
    <t>Riggen,Sarah P.</t>
  </si>
  <si>
    <t>Green,LeJanika N.</t>
  </si>
  <si>
    <t>Zapata,Carmen L.</t>
  </si>
  <si>
    <t>Gore,Cristina A</t>
  </si>
  <si>
    <t>MALLOY,FELICIA A</t>
  </si>
  <si>
    <t>Matson,Jennifer D</t>
  </si>
  <si>
    <t>Davis,Tonya L</t>
  </si>
  <si>
    <t>Zehr,Mary A.nn</t>
  </si>
  <si>
    <t>Devine,Aimee M</t>
  </si>
  <si>
    <t>Bollinger,Michele Lee</t>
  </si>
  <si>
    <t>Cole,Lawrencia C.</t>
  </si>
  <si>
    <t>Bumpass,Gloria A</t>
  </si>
  <si>
    <t>Douglas,Jennifer L.</t>
  </si>
  <si>
    <t>EDMONDS,RONALD</t>
  </si>
  <si>
    <t>brockenberry,Sharnita Aretha</t>
  </si>
  <si>
    <t>BHARAT,NAVARRO P</t>
  </si>
  <si>
    <t>GA60002417</t>
  </si>
  <si>
    <t>Mitchell-Hubbard,Diane</t>
  </si>
  <si>
    <t>Brown,Rosetta</t>
  </si>
  <si>
    <t>GA60005793</t>
  </si>
  <si>
    <t>Fouts,Rachel D.</t>
  </si>
  <si>
    <t>ASUQUO,MAURICE E</t>
  </si>
  <si>
    <t>WHITE,TROY</t>
  </si>
  <si>
    <t>LEE,SONCYREE L</t>
  </si>
  <si>
    <t>GA60000360</t>
  </si>
  <si>
    <t>AXER,PIOTR MAURYCY</t>
  </si>
  <si>
    <t>KWABENAH,ANGELIQUE</t>
  </si>
  <si>
    <t>BOWERS,LINWOOD H</t>
  </si>
  <si>
    <t>Whiting,Shertonne Renee</t>
  </si>
  <si>
    <t>Leach,Robert</t>
  </si>
  <si>
    <t>NAGEL,DAVID H</t>
  </si>
  <si>
    <t>Campbell,Helen R.</t>
  </si>
  <si>
    <t>Lewis,Kimberly J.S.</t>
  </si>
  <si>
    <t>Perez,Noemi</t>
  </si>
  <si>
    <t>Evans,Adam C.</t>
  </si>
  <si>
    <t>Steinhardt,Katherine H.J.</t>
  </si>
  <si>
    <t>Britt,Timothy Mayo</t>
  </si>
  <si>
    <t>Clayton,Derrick J</t>
  </si>
  <si>
    <t>Burke,Stephanie T.</t>
  </si>
  <si>
    <t>Cox,Travis M.</t>
  </si>
  <si>
    <t>GA60003816</t>
  </si>
  <si>
    <t>WITHERSPOON,LAKISHA THERESA</t>
  </si>
  <si>
    <t>Smythe,Jonathan P.</t>
  </si>
  <si>
    <t>Hall-D'Accordo,Tiffany D</t>
  </si>
  <si>
    <t>GA60003648</t>
  </si>
  <si>
    <t>Sanders,Mark B.</t>
  </si>
  <si>
    <t>Bacon,Gregory Algernon</t>
  </si>
  <si>
    <t>LESLEY,KENNETH</t>
  </si>
  <si>
    <t>Lallinger,Sophia S.</t>
  </si>
  <si>
    <t>Puellella-Shaw,Giovanna J.</t>
  </si>
  <si>
    <t>Tendler,Seth E.</t>
  </si>
  <si>
    <t>Wade,Devon D.</t>
  </si>
  <si>
    <t>Vick,Tomeko L.</t>
  </si>
  <si>
    <t>Rhein,Generva E.</t>
  </si>
  <si>
    <t>Miller,Sarah V</t>
  </si>
  <si>
    <t>Wagner,Mitchell C.</t>
  </si>
  <si>
    <t>HARBOUR,MORRISE</t>
  </si>
  <si>
    <t>KING,VICTOR T</t>
  </si>
  <si>
    <t>Klein,Lizbeth Rivas</t>
  </si>
  <si>
    <t>Williams,Nikea A.</t>
  </si>
  <si>
    <t>HULSLANDER,JESSICA</t>
  </si>
  <si>
    <t>PHILLIPS,MICHAEL D</t>
  </si>
  <si>
    <t>Henry-Blanchard,Angela T.</t>
  </si>
  <si>
    <t>Robinson,Eliza D.</t>
  </si>
  <si>
    <t>NASH,AMY A</t>
  </si>
  <si>
    <t>Non-Title I Average</t>
  </si>
  <si>
    <t>Non-Title I Average Plus 10%</t>
  </si>
  <si>
    <t xml:space="preserve">Washington Metropolitan HS </t>
  </si>
  <si>
    <t>Montessori@Logan</t>
  </si>
  <si>
    <t>FY13</t>
  </si>
  <si>
    <t>Counselor, Guidance, ES</t>
  </si>
  <si>
    <t>Teacher, General Secondary</t>
  </si>
  <si>
    <t>Teacher, PE</t>
  </si>
  <si>
    <t>Teacher, Career Education</t>
  </si>
  <si>
    <t>Specialist, Library/Media</t>
  </si>
  <si>
    <t>Teacher, Music</t>
  </si>
  <si>
    <t>Teacher, Art</t>
  </si>
  <si>
    <t>Coach, Instructional</t>
  </si>
  <si>
    <t>Teacher, Special Ed.</t>
  </si>
  <si>
    <t>Counselor, Guidance, HS (11 mo</t>
  </si>
  <si>
    <t>Teacher, General Elementary</t>
  </si>
  <si>
    <t>Teacher, Foreign Language</t>
  </si>
  <si>
    <t>Coach, Intervention (FSS)</t>
  </si>
  <si>
    <t>Social Worker, PT</t>
  </si>
  <si>
    <t>Teacher, Language Acquisition</t>
  </si>
  <si>
    <t>Teacher, FSS Resource</t>
  </si>
  <si>
    <t>Takoma EC</t>
  </si>
  <si>
    <t>899 N. Capitol Street NE</t>
  </si>
  <si>
    <t>Teacher, General Elementary, P</t>
  </si>
  <si>
    <t>Psychologist (WTU)</t>
  </si>
  <si>
    <t>Teacher, Early Childhood</t>
  </si>
  <si>
    <t>Seros,Katina</t>
  </si>
  <si>
    <t>Aide, 10mo Pre-K/K</t>
  </si>
  <si>
    <t>MCCULLOUGH,CATHERINE B</t>
  </si>
  <si>
    <t>Natale,Caitlin</t>
  </si>
  <si>
    <t>Lewis,Quanika R.</t>
  </si>
  <si>
    <t>WHITMYER,CARLENE D</t>
  </si>
  <si>
    <t>Hessel,Ashli</t>
  </si>
  <si>
    <t>Barnes,Tijuana</t>
  </si>
  <si>
    <t>Muhammad,Shahid</t>
  </si>
  <si>
    <t>Evans,Jasmin</t>
  </si>
  <si>
    <t>PRICE,MARY L</t>
  </si>
  <si>
    <t>Gatling,Tameka</t>
  </si>
  <si>
    <t>Kotadia,Priayaka</t>
  </si>
  <si>
    <t>Barlow,Selena</t>
  </si>
  <si>
    <t>Lyons,Molly</t>
  </si>
  <si>
    <t>Aide, 10mo Pre-school</t>
  </si>
  <si>
    <t>Small,Rena</t>
  </si>
  <si>
    <t>Aide, 10mo Special Ed</t>
  </si>
  <si>
    <t>Teacher, Music, PT</t>
  </si>
  <si>
    <t>Aide, 10mo General Ed</t>
  </si>
  <si>
    <t>Teacher, Art, PT</t>
  </si>
  <si>
    <t>Aide, Administrative</t>
  </si>
  <si>
    <t>Simpson,Tanisha M.</t>
  </si>
  <si>
    <t>Counselor, Guidance, ES, PT</t>
  </si>
  <si>
    <t>DIAMOND,ULTRESSA</t>
  </si>
  <si>
    <t>Brown,Charles</t>
  </si>
  <si>
    <t>Aide, Administrative (typing)</t>
  </si>
  <si>
    <t>TOBE,GLORIA H</t>
  </si>
  <si>
    <t>WILLIAMS,SHARRON D</t>
  </si>
  <si>
    <t>YLLI,ANITA</t>
  </si>
  <si>
    <t>Elkins,Acacia</t>
  </si>
  <si>
    <t>Mudd,John F.W.</t>
  </si>
  <si>
    <t>Mayo,Amy E. S.</t>
  </si>
  <si>
    <t>Administrative Assistant</t>
  </si>
  <si>
    <t>Francis,Alayne</t>
  </si>
  <si>
    <t>Kelly,Suzette</t>
  </si>
  <si>
    <t>Riseling,Skyelar A.</t>
  </si>
  <si>
    <t>Bertke,Margaret J.</t>
  </si>
  <si>
    <t>Hill,Lawrence M.</t>
  </si>
  <si>
    <t>Teacher Pre-School/Pre-K</t>
  </si>
  <si>
    <t>Sanchez,Osirelis</t>
  </si>
  <si>
    <t>Jones,Earl</t>
  </si>
  <si>
    <t>Hallan,Megan</t>
  </si>
  <si>
    <t>HARDEN-BROWN,DELORES A</t>
  </si>
  <si>
    <t>CHAMORRO,MARGARITA</t>
  </si>
  <si>
    <t>Lopez,Joel C.</t>
  </si>
  <si>
    <t>BUSTIOS,ENA A</t>
  </si>
  <si>
    <t>GARCIA,ANA B.</t>
  </si>
  <si>
    <t>Miller,Teresa Mae</t>
  </si>
  <si>
    <t>Morency-Brassard,Paige</t>
  </si>
  <si>
    <t>Crosson,Marija</t>
  </si>
  <si>
    <t>DE LA ROSA,CINTHYA A</t>
  </si>
  <si>
    <t>Fernandez-Medina,Arianna</t>
  </si>
  <si>
    <t>Aide, 10mo Language Acquisitio</t>
  </si>
  <si>
    <t>Cabrera,Esmeralda L.</t>
  </si>
  <si>
    <t>reyes garcía,paula azahara</t>
  </si>
  <si>
    <t>Scholl,Lauren</t>
  </si>
  <si>
    <t>Griffith,Natasha M.</t>
  </si>
  <si>
    <t>Fittin,Annie</t>
  </si>
  <si>
    <t>Peters,Walt</t>
  </si>
  <si>
    <t>Administrative Officer</t>
  </si>
  <si>
    <t>Reilly,Gina M</t>
  </si>
  <si>
    <t>Aktar,Yasmin</t>
  </si>
  <si>
    <t>GRANADOS,ANA I</t>
  </si>
  <si>
    <t>Teacher, PE, PT</t>
  </si>
  <si>
    <t>GUZMAN,JOHN L L.</t>
  </si>
  <si>
    <t>Jacobson,Abbe</t>
  </si>
  <si>
    <t>OBrien,Katherine</t>
  </si>
  <si>
    <t>Coordinator, Special Ed</t>
  </si>
  <si>
    <t>HENSON,MARGIE M</t>
  </si>
  <si>
    <t>Counselor, Guidance, Bilingual</t>
  </si>
  <si>
    <t>SYDNOR,OLIVIA</t>
  </si>
  <si>
    <t>NAMUTEBI,CHRISTINE</t>
  </si>
  <si>
    <t>Adams,Shanita R.</t>
  </si>
  <si>
    <t>Velasquez-Frink,Norma T.</t>
  </si>
  <si>
    <t>MASON,INGA B</t>
  </si>
  <si>
    <t>GENTLES,BRIDGET J</t>
  </si>
  <si>
    <t>Sloan,Shemekia S.</t>
  </si>
  <si>
    <t>MINOR,JACQUELINE M</t>
  </si>
  <si>
    <t>GUTIERREZ,CARMEN R</t>
  </si>
  <si>
    <t>MAGANA DE ESPINOZA,SONIA D</t>
  </si>
  <si>
    <t>Duncan,Courtney</t>
  </si>
  <si>
    <t>Vitelli,Nicole E.</t>
  </si>
  <si>
    <t>SALAMANCA,SANDRA M</t>
  </si>
  <si>
    <t>Russell,Kaci Brione Mackenzie</t>
  </si>
  <si>
    <t>Walker Sr.,Calvin E</t>
  </si>
  <si>
    <t>MORGAN,BLANQUET</t>
  </si>
  <si>
    <t>Aide, Administrative (non-typi</t>
  </si>
  <si>
    <t>Johnson,Sherice Nicole</t>
  </si>
  <si>
    <t>BEREK,ADDIS</t>
  </si>
  <si>
    <t>Grindley,Jacinth</t>
  </si>
  <si>
    <t>Allen,Tonya L</t>
  </si>
  <si>
    <t>ATTAH,STELLA O</t>
  </si>
  <si>
    <t>Jackson,Leqia G.</t>
  </si>
  <si>
    <t>Attendance Counselor</t>
  </si>
  <si>
    <t>Jackson,Jessica C</t>
  </si>
  <si>
    <t>Boyer,Ellen</t>
  </si>
  <si>
    <t>MASSENBURG,JARVIS B</t>
  </si>
  <si>
    <t>ORTEGA,NICOLE</t>
  </si>
  <si>
    <t>Aide, Library/Tech</t>
  </si>
  <si>
    <t>ABEBE,YACOB</t>
  </si>
  <si>
    <t>Edwards- White,Lydia</t>
  </si>
  <si>
    <t>Hamilton,Anna</t>
  </si>
  <si>
    <t>Olatunji,Njeri K.</t>
  </si>
  <si>
    <t>BURTON,DIANA W</t>
  </si>
  <si>
    <t>Hawkins,Valyncia</t>
  </si>
  <si>
    <t>DAVIS,KEONA D</t>
  </si>
  <si>
    <t>EDWARDS,ALTHEIA M</t>
  </si>
  <si>
    <t>Coordinator, Parent / Tech</t>
  </si>
  <si>
    <t>Washington,Courtney Raynell</t>
  </si>
  <si>
    <t>White,Dominic A.</t>
  </si>
  <si>
    <t>JOHNSON,LAKESHA S</t>
  </si>
  <si>
    <t>Hailemariam,Henok B.</t>
  </si>
  <si>
    <t>Peace,Sibyl Dalphene</t>
  </si>
  <si>
    <t>Coordinator, Catalyst</t>
  </si>
  <si>
    <t>Ware,Sheri Sunma</t>
  </si>
  <si>
    <t>Stokes,Joanita D.</t>
  </si>
  <si>
    <t>Casey,Leslie D.</t>
  </si>
  <si>
    <t>Samuel,Shiney</t>
  </si>
  <si>
    <t>Hines,Kyndall M</t>
  </si>
  <si>
    <t>Cook,Muwira K</t>
  </si>
  <si>
    <t>HAGANS,PAMELA J</t>
  </si>
  <si>
    <t>Dean of Students</t>
  </si>
  <si>
    <t>HARRIS,STEPHANIE A</t>
  </si>
  <si>
    <t>Obrien,Lenette</t>
  </si>
  <si>
    <t>MARINDIN,ELEANOR</t>
  </si>
  <si>
    <t>AGUNBIADE,ANGEL L</t>
  </si>
  <si>
    <t>Sprague,Catherine</t>
  </si>
  <si>
    <t>Werstuik,Sarah L.</t>
  </si>
  <si>
    <t>HAIRSTON,DAYON</t>
  </si>
  <si>
    <t>Patterson,Chloe F.</t>
  </si>
  <si>
    <t>Santora,Meredith A.</t>
  </si>
  <si>
    <t>Curtis,Anna A.</t>
  </si>
  <si>
    <t>Henry,Malika L.</t>
  </si>
  <si>
    <t>Casula,Andrea C.</t>
  </si>
  <si>
    <t>Schewe,Bettina</t>
  </si>
  <si>
    <t>Burke,Amanda</t>
  </si>
  <si>
    <t>Behavior Technician</t>
  </si>
  <si>
    <t>Hidalgo,David A.</t>
  </si>
  <si>
    <t>Alavi,Sofie</t>
  </si>
  <si>
    <t>Waizenegger,Chalis</t>
  </si>
  <si>
    <t>Gnau,Kristen</t>
  </si>
  <si>
    <t>MONTOUT,NEYSA</t>
  </si>
  <si>
    <t>Cobb,Vanessa D.</t>
  </si>
  <si>
    <t>Thomas,Monica C.</t>
  </si>
  <si>
    <t>CHEVEZ,SILVIA</t>
  </si>
  <si>
    <t>GIRON,BRENDA</t>
  </si>
  <si>
    <t>Mallory,Andrew</t>
  </si>
  <si>
    <t>Jackson,Tiffany</t>
  </si>
  <si>
    <t>NUNEZ,JASCIRY</t>
  </si>
  <si>
    <t>Roman Cuesta,Geiler G.</t>
  </si>
  <si>
    <t>Aviles,Ana Lilian A.</t>
  </si>
  <si>
    <t>Jones Jr.,Alvin H.</t>
  </si>
  <si>
    <t>Ezeh,Ada</t>
  </si>
  <si>
    <t>Acosta Hernandez,Jacquelin Y.</t>
  </si>
  <si>
    <t>Gianella,Nathalia J.</t>
  </si>
  <si>
    <t>Thompson,Chandler</t>
  </si>
  <si>
    <t>Herron,Rickisha Monique</t>
  </si>
  <si>
    <t>Barreiro,Alyssa Francesca</t>
  </si>
  <si>
    <t>MANIGAN,VALERIE A</t>
  </si>
  <si>
    <t>GUNN,JEAN M</t>
  </si>
  <si>
    <t>TCHAPCHET,CLAUDINE N</t>
  </si>
  <si>
    <t>Swinson,Natasha Renee</t>
  </si>
  <si>
    <t>BULLOCK,CAROLYN L</t>
  </si>
  <si>
    <t>Teacher, Foreign Language, PT</t>
  </si>
  <si>
    <t>Psychologist (CSO)</t>
  </si>
  <si>
    <t>EDWARDS,MARILYN</t>
  </si>
  <si>
    <t>Copeland,Renessa L.</t>
  </si>
  <si>
    <t>JENKINS,MICHELLE</t>
  </si>
  <si>
    <t>DETORRES,CECILIA DC RIVAS</t>
  </si>
  <si>
    <t>BROWN,SHANTOYA D</t>
  </si>
  <si>
    <t>FLORES FITCH,VIDELBINA</t>
  </si>
  <si>
    <t>MEJIA,MIRNA</t>
  </si>
  <si>
    <t>MORALES,SILVIA</t>
  </si>
  <si>
    <t>GONZALEZ OLIVARES,EUGENIA</t>
  </si>
  <si>
    <t>Mignery,Laura M.</t>
  </si>
  <si>
    <t>RIVERA,JAYTZANIE</t>
  </si>
  <si>
    <t>Flemming,Megan</t>
  </si>
  <si>
    <t>Cropley,Virginia F.</t>
  </si>
  <si>
    <t>De La Torre,Sonia</t>
  </si>
  <si>
    <t>MENOCAL,RAMON I</t>
  </si>
  <si>
    <t>Aquino,Brunilda</t>
  </si>
  <si>
    <t>RAMIREZ,JOSE E</t>
  </si>
  <si>
    <t>Hwang,Kyu Ryung</t>
  </si>
  <si>
    <t>Gardano,Ana C</t>
  </si>
  <si>
    <t>Ochoa,Ana M.</t>
  </si>
  <si>
    <t>Drummond,Dara D</t>
  </si>
  <si>
    <t>Hammiel,Dionne O.</t>
  </si>
  <si>
    <t>COX,SHERYL</t>
  </si>
  <si>
    <t>PINEDA,MARIA</t>
  </si>
  <si>
    <t>RICHARDSON,JOY M</t>
  </si>
  <si>
    <t>Worsley,Felecia L.</t>
  </si>
  <si>
    <t>Holmes,Phixavier A.</t>
  </si>
  <si>
    <t>Thomas,Terkeyshia Kito</t>
  </si>
  <si>
    <t>Floyd,Wanda Evangeline</t>
  </si>
  <si>
    <t>LEWIS,SHANNEL A</t>
  </si>
  <si>
    <t>McKenzie-Freeman,Tiffany M. S.</t>
  </si>
  <si>
    <t>McLean,Natalie R.</t>
  </si>
  <si>
    <t>Kuhta,Kevin</t>
  </si>
  <si>
    <t>Byrams,Jonnell</t>
  </si>
  <si>
    <t>Ransom,Nikia N.</t>
  </si>
  <si>
    <t>DORSEY,SHARON S</t>
  </si>
  <si>
    <t>Osborne,Tina</t>
  </si>
  <si>
    <t>Adams,Sekia</t>
  </si>
  <si>
    <t>LITTLEFORD,TARA L.</t>
  </si>
  <si>
    <t>LLOYD,HELENE</t>
  </si>
  <si>
    <t>Bobo,Latina</t>
  </si>
  <si>
    <t>Mahmood,Mumtaz</t>
  </si>
  <si>
    <t>Thomas,Nathaniel B.</t>
  </si>
  <si>
    <t>Jones,Connie F</t>
  </si>
  <si>
    <t>Osborne,Benjamin</t>
  </si>
  <si>
    <t>GOSS,SHIRELL A</t>
  </si>
  <si>
    <t>LEWIS,ANITA</t>
  </si>
  <si>
    <t>Aide, Attendance</t>
  </si>
  <si>
    <t>Brown,Tony Rydell</t>
  </si>
  <si>
    <t>Massiah,Beatrice H.</t>
  </si>
  <si>
    <t>CANEDO,MARIA L</t>
  </si>
  <si>
    <t>CASTELLON,AGAR</t>
  </si>
  <si>
    <t>CHARLES,TAMEKA L</t>
  </si>
  <si>
    <t>CASEY,LYNNETTE M</t>
  </si>
  <si>
    <t>HOLMES,FRANCES I</t>
  </si>
  <si>
    <t>Smith,Jennifer M.</t>
  </si>
  <si>
    <t>Okunubi,Samuel A.</t>
  </si>
  <si>
    <t>BROWN,MILDRED J</t>
  </si>
  <si>
    <t>Lopez,Roberto F.</t>
  </si>
  <si>
    <t>Walker,Kenneth</t>
  </si>
  <si>
    <t>Coordinator, Special Ed, PT</t>
  </si>
  <si>
    <t>Henderson,Nicole</t>
  </si>
  <si>
    <t>PALACIOS,DINA E</t>
  </si>
  <si>
    <t>Asihel,Alexandra</t>
  </si>
  <si>
    <t>Rytter,Brittany M.</t>
  </si>
  <si>
    <t>Runte,Julia</t>
  </si>
  <si>
    <t>OCHOA HELLEBUYCK,EVELENA</t>
  </si>
  <si>
    <t>Dorius,Stephanie</t>
  </si>
  <si>
    <t>Baird-Thompson,Tsitsi</t>
  </si>
  <si>
    <t>DE LA PARRA DE LUNA,CAROLINA M</t>
  </si>
  <si>
    <t>Smedley,ALLISON S.</t>
  </si>
  <si>
    <t>Hursh-Cesar,Alexandra</t>
  </si>
  <si>
    <t>Griffin,Dominiqua M.</t>
  </si>
  <si>
    <t>Perez,Aydee A.</t>
  </si>
  <si>
    <t>Boatwright,Heather</t>
  </si>
  <si>
    <t>ROSA,GLORIA E</t>
  </si>
  <si>
    <t>Williams,Christopher J.</t>
  </si>
  <si>
    <t>LeRosen,Robin</t>
  </si>
  <si>
    <t>Hamer Sr.,Anthony W.</t>
  </si>
  <si>
    <t>Coordinator, IB</t>
  </si>
  <si>
    <t>Sagrista Lopez,Victor</t>
  </si>
  <si>
    <t>Aide, 12mo General Ed</t>
  </si>
  <si>
    <t>Brown,Una M.</t>
  </si>
  <si>
    <t>Diljohn,Jenelle</t>
  </si>
  <si>
    <t>Williams,Kenyetta</t>
  </si>
  <si>
    <t>SALEEM,AMECIA S</t>
  </si>
  <si>
    <t>GRIFFIN,SHAUNETTE</t>
  </si>
  <si>
    <t>Burno,Gabrielle N.</t>
  </si>
  <si>
    <t>Honestybey,Faith</t>
  </si>
  <si>
    <t>Wilhelm,Christopher</t>
  </si>
  <si>
    <t>Conner,Latavia M.</t>
  </si>
  <si>
    <t>TABOR,WYKANA M</t>
  </si>
  <si>
    <t>Sheehan,Timothy</t>
  </si>
  <si>
    <t>SPRADLEY,AYINDE D</t>
  </si>
  <si>
    <t>Johnson-Frye,Annette</t>
  </si>
  <si>
    <t>YOUNG JONES,WILMA B</t>
  </si>
  <si>
    <t>Scruggs,Eric</t>
  </si>
  <si>
    <t>SNIPES,BRIMALY M</t>
  </si>
  <si>
    <t>OSBORNE,ERICA</t>
  </si>
  <si>
    <t>WESTON,RUTH E</t>
  </si>
  <si>
    <t>JORDAN,AMBER TAWANNA</t>
  </si>
  <si>
    <t>ROBERTS,JACINTA</t>
  </si>
  <si>
    <t>Brown,Monica L</t>
  </si>
  <si>
    <t>Hilliard II,Kenneth</t>
  </si>
  <si>
    <t>Bynum,Richard</t>
  </si>
  <si>
    <t>TALI,ROSE N</t>
  </si>
  <si>
    <t>Mitchell,Roy</t>
  </si>
  <si>
    <t>AVENDANO,ELIBERTA</t>
  </si>
  <si>
    <t>Hilliard,Brian J</t>
  </si>
  <si>
    <t>Bedenbaugh,Stephanie G.</t>
  </si>
  <si>
    <t>Shine,Troy</t>
  </si>
  <si>
    <t>Davis,Kimberly R.</t>
  </si>
  <si>
    <t>Harrell,Shannon M</t>
  </si>
  <si>
    <t>Schreffler,Jillian</t>
  </si>
  <si>
    <t>Henson,Virginia C.</t>
  </si>
  <si>
    <t>Cannon,Anna C.</t>
  </si>
  <si>
    <t>Hutchins,Eric</t>
  </si>
  <si>
    <t>Maubouche,Alan</t>
  </si>
  <si>
    <t>Hakans,Brian</t>
  </si>
  <si>
    <t>SO,SARA  Y</t>
  </si>
  <si>
    <t>DOBY,PATRICIA B</t>
  </si>
  <si>
    <t>STEPMAN,DEBRA J</t>
  </si>
  <si>
    <t>WILSON,ZERETIA L</t>
  </si>
  <si>
    <t>GOLDSTON,PEGGY S</t>
  </si>
  <si>
    <t>Thomas,Crystal T.</t>
  </si>
  <si>
    <t>Evans,Cachanda</t>
  </si>
  <si>
    <t>Hansberry,Yvette N.</t>
  </si>
  <si>
    <t>Davis,Crystal D.</t>
  </si>
  <si>
    <t>Jennings Jr,Sean</t>
  </si>
  <si>
    <t>Allen,Alemnesh W.</t>
  </si>
  <si>
    <t>Hall,Laquisha A.</t>
  </si>
  <si>
    <t>Akinbuwa,Christopher A.M.</t>
  </si>
  <si>
    <t>Cartwright,Shirley Eloise</t>
  </si>
  <si>
    <t>Howze,William</t>
  </si>
  <si>
    <t>NORRIS,MARGINETTE</t>
  </si>
  <si>
    <t>Teacher, Language Acquisition,</t>
  </si>
  <si>
    <t>Price,Antonio</t>
  </si>
  <si>
    <t>HYMAN,WANDA S</t>
  </si>
  <si>
    <t>WEST,JACQUALINE L</t>
  </si>
  <si>
    <t>EDWARDS,MARIE A</t>
  </si>
  <si>
    <t>Everett,Angela</t>
  </si>
  <si>
    <t>BULLUCK,JASON M.</t>
  </si>
  <si>
    <t>Gaskins,Gregory</t>
  </si>
  <si>
    <t>Roscoe,Nashee</t>
  </si>
  <si>
    <t>Leftridge,Ivette Nicole</t>
  </si>
  <si>
    <t>TIMMONS,SHELIA L</t>
  </si>
  <si>
    <t>CURINGTON,SHARON</t>
  </si>
  <si>
    <t>DUNMORE,NIKISHA L</t>
  </si>
  <si>
    <t>Smith,Charlyia J.</t>
  </si>
  <si>
    <t>Coley,Crystal R.</t>
  </si>
  <si>
    <t>Chamberlain,Sharmaine L.</t>
  </si>
  <si>
    <t>Teacher, Performing Arts, PT</t>
  </si>
  <si>
    <t>WALKER,FELICIA</t>
  </si>
  <si>
    <t>WILLIAMSON,SHEDON N</t>
  </si>
  <si>
    <t>JACKSON-SAUNDERS,CHANDRAI Y</t>
  </si>
  <si>
    <t>RAMIREZ,LIDIA M</t>
  </si>
  <si>
    <t>Posey,Michael</t>
  </si>
  <si>
    <t>Papa,Geralynne</t>
  </si>
  <si>
    <t>BAILEY,ANITA M</t>
  </si>
  <si>
    <t>CEDILLOS,FELIPA C</t>
  </si>
  <si>
    <t>SHAND,MERRIL T</t>
  </si>
  <si>
    <t>TALHA BOUAICHI,FATIMA</t>
  </si>
  <si>
    <t>WILSON,GLADYS</t>
  </si>
  <si>
    <t>HALL,JUANITA V</t>
  </si>
  <si>
    <t>Rapoza,Lisa</t>
  </si>
  <si>
    <t>Brown,Selena R</t>
  </si>
  <si>
    <t>CHAVEZ,DOMITILA</t>
  </si>
  <si>
    <t>Allan,Laura</t>
  </si>
  <si>
    <t>Wood Dengu,Ashley D.</t>
  </si>
  <si>
    <t>Eubanks,Rashawn T.L.</t>
  </si>
  <si>
    <t>Christian,Khanya N</t>
  </si>
  <si>
    <t>DAVIS,WILLIAM A</t>
  </si>
  <si>
    <t>SLAUGHTER,INA M</t>
  </si>
  <si>
    <t>DEGROATE,MILDRED D</t>
  </si>
  <si>
    <t>LACEY,CYNTHIA R</t>
  </si>
  <si>
    <t>Coordinator, ISS</t>
  </si>
  <si>
    <t>Valentine,Kimmeeka S.</t>
  </si>
  <si>
    <t>Holliday,Janice S</t>
  </si>
  <si>
    <t>FRANK,PHYLLIS D</t>
  </si>
  <si>
    <t>COLLINS,MINNIE</t>
  </si>
  <si>
    <t>MORALES,PATRICIA O</t>
  </si>
  <si>
    <t>Rossnan,Joyce</t>
  </si>
  <si>
    <t>HICKS,ELLEN LARETA</t>
  </si>
  <si>
    <t>HETTIHEWA,LAKSHMI</t>
  </si>
  <si>
    <t>Garfield,Brian</t>
  </si>
  <si>
    <t>Haith,Wallace V.</t>
  </si>
  <si>
    <t>Schiers,Sarah M</t>
  </si>
  <si>
    <t>Whittaker,Matthew S</t>
  </si>
  <si>
    <t>Smith,Paula Bailey</t>
  </si>
  <si>
    <t>WHITTAKER,YVETTE C.</t>
  </si>
  <si>
    <t>Toland,Kevin P.</t>
  </si>
  <si>
    <t>DESILVA,CLAUDIA LUVERTA</t>
  </si>
  <si>
    <t>Hughes,Rhonda</t>
  </si>
  <si>
    <t>Harmon-Hargrove,Janice G</t>
  </si>
  <si>
    <t>Crawley,Susan A.</t>
  </si>
  <si>
    <t>King,Geoffrey</t>
  </si>
  <si>
    <t>Barnes,Lue Bertha</t>
  </si>
  <si>
    <t>Washington,Benjamin John</t>
  </si>
  <si>
    <t>Haynes,Jasmine N.</t>
  </si>
  <si>
    <t>CASEY,SIDNEY R</t>
  </si>
  <si>
    <t>BRYANT,IRENE M</t>
  </si>
  <si>
    <t>AIDE,COMPUTER LABORATORY</t>
  </si>
  <si>
    <t>BARNETT,PAMUELA M</t>
  </si>
  <si>
    <t>BRYANT,DOLORES</t>
  </si>
  <si>
    <t>GRAY-WORRELL,ROBIN L</t>
  </si>
  <si>
    <t>LEVERETTE,JOI NICOLE</t>
  </si>
  <si>
    <t>MAYO,FELISHA</t>
  </si>
  <si>
    <t>Eastman,Evangela</t>
  </si>
  <si>
    <t>Spann,Linda Dean</t>
  </si>
  <si>
    <t>GRAHAM,MICHELLE</t>
  </si>
  <si>
    <t>DENNING,KIRSTEN MYERS</t>
  </si>
  <si>
    <t>Hearns-Walton,Burnetta A.</t>
  </si>
  <si>
    <t>Crutcher,Elizabeth</t>
  </si>
  <si>
    <t>VASQUEZ,ALBA R</t>
  </si>
  <si>
    <t>SINGH,SUMITA</t>
  </si>
  <si>
    <t>HAYES,CHARLOTTE BROWN</t>
  </si>
  <si>
    <t>Morgan,Janell Alvina</t>
  </si>
  <si>
    <t>Asqui-Cachicatari,Luzmila Ayde</t>
  </si>
  <si>
    <t>Zang,Kelly</t>
  </si>
  <si>
    <t>Komlan,Komi D.</t>
  </si>
  <si>
    <t>Connolly,Marie A.</t>
  </si>
  <si>
    <t>HERNANDEZ,FRANCISCO DEJESUS</t>
  </si>
  <si>
    <t>Passamonti,Nora M.</t>
  </si>
  <si>
    <t>WATKINS,ARLENE C</t>
  </si>
  <si>
    <t>PRESSLEY,MARQUITA D</t>
  </si>
  <si>
    <t>MORNING,CHERYL P</t>
  </si>
  <si>
    <t>FRANKLIN,TAWANA Y</t>
  </si>
  <si>
    <t>GREEN,LAVONNE L</t>
  </si>
  <si>
    <t>WATSON,VICTORIA</t>
  </si>
  <si>
    <t>BRUDNICK SHERMAN,REBECCA MERYL</t>
  </si>
  <si>
    <t>Haley,Christine D</t>
  </si>
  <si>
    <t>DaSilva,Emily</t>
  </si>
  <si>
    <t>Garfinkel,Alicia</t>
  </si>
  <si>
    <t>Dibella,Monica M</t>
  </si>
  <si>
    <t>Blocker,Dorcas T.</t>
  </si>
  <si>
    <t>BEUMEL,ANN C</t>
  </si>
  <si>
    <t>Coach, Instructional, PT</t>
  </si>
  <si>
    <t>Kennedy,Campbell A.</t>
  </si>
  <si>
    <t>Kirsh,Brianna</t>
  </si>
  <si>
    <t>Sewell,Valerie</t>
  </si>
  <si>
    <t>Xavier Myers,Margaret M.</t>
  </si>
  <si>
    <t>BROWN,KAREN</t>
  </si>
  <si>
    <t>WRIGHT,JERDONIA</t>
  </si>
  <si>
    <t>Lewis,Karen L.</t>
  </si>
  <si>
    <t>BELL,DEIDRA</t>
  </si>
  <si>
    <t>PALMER,TATJANA J</t>
  </si>
  <si>
    <t>LOGAN,CRYSTAL M</t>
  </si>
  <si>
    <t>Simmons,Donnetta</t>
  </si>
  <si>
    <t>MAYFIELD,AVIS M</t>
  </si>
  <si>
    <t>WAGNER,WILLIAM A</t>
  </si>
  <si>
    <t>TAYLOR,CHERYL</t>
  </si>
  <si>
    <t>dembry,tumeka</t>
  </si>
  <si>
    <t>Maloney,Kendall</t>
  </si>
  <si>
    <t>FORD,SHERENE R</t>
  </si>
  <si>
    <t>KING,SHARON F</t>
  </si>
  <si>
    <t>Goodine,Charmicielle Venters</t>
  </si>
  <si>
    <t>Irving,Marchele S.</t>
  </si>
  <si>
    <t>GALLMON TAYLOR,SYLVIA L</t>
  </si>
  <si>
    <t>JOHNSON,HELEN M</t>
  </si>
  <si>
    <t>Salamon,Victoria Ann Wanielista</t>
  </si>
  <si>
    <t>Clark,Anju</t>
  </si>
  <si>
    <t>GREEN,JENNIFER RENEE</t>
  </si>
  <si>
    <t>Ash,Ruth E</t>
  </si>
  <si>
    <t>Houston,Cara C.</t>
  </si>
  <si>
    <t>COLTON,RACHEL ANN</t>
  </si>
  <si>
    <t>Kagin,Lindsay</t>
  </si>
  <si>
    <t>Wollerton,Amy L.</t>
  </si>
  <si>
    <t>Palm,Margaret L.</t>
  </si>
  <si>
    <t>BANKS,SHERYL E</t>
  </si>
  <si>
    <t>GREENE,SHELLIE M</t>
  </si>
  <si>
    <t>WILLIAMS,CAMILLE</t>
  </si>
  <si>
    <t>BISHOP,LORETTA</t>
  </si>
  <si>
    <t>Williams,Jarreau A.</t>
  </si>
  <si>
    <t>HAWTHORNE,CHRYSTINA I</t>
  </si>
  <si>
    <t>Oliver,Christopher</t>
  </si>
  <si>
    <t>Gordon,Tamika Reashawn</t>
  </si>
  <si>
    <t>Tanner,Stephanie</t>
  </si>
  <si>
    <t>JARRETT,NIKEYA L</t>
  </si>
  <si>
    <t>King M.L. ES</t>
  </si>
  <si>
    <t>Ferguson,Patricia Jones</t>
  </si>
  <si>
    <t>GOODS-FISHER,RENEE</t>
  </si>
  <si>
    <t>BRIDGEFORTH,ANDREA E</t>
  </si>
  <si>
    <t>MCKINLEY,CAROLYN R</t>
  </si>
  <si>
    <t>BROWN,DARNICE</t>
  </si>
  <si>
    <t>Willis,Raynetta</t>
  </si>
  <si>
    <t>Hairston,Charysse</t>
  </si>
  <si>
    <t>Drude,Daniel</t>
  </si>
  <si>
    <t>WARD BATTLE,MARIE</t>
  </si>
  <si>
    <t>OSBORNE,SAMUEL I</t>
  </si>
  <si>
    <t>Coordinator, Computer Lab (EG)</t>
  </si>
  <si>
    <t>Mayhew,Stephanie</t>
  </si>
  <si>
    <t>LINDSAY-SPEARS,GWENDOLYN</t>
  </si>
  <si>
    <t>SPEIGHT,SHIRLEY A</t>
  </si>
  <si>
    <t>BENAB,AFSHEEN</t>
  </si>
  <si>
    <t>CARR,JANET</t>
  </si>
  <si>
    <t>DIXON,BETTY</t>
  </si>
  <si>
    <t>BRIGHT,MARION E</t>
  </si>
  <si>
    <t>WRIGHT,JERRETT  C</t>
  </si>
  <si>
    <t>RICE,LYNNEA T</t>
  </si>
  <si>
    <t>Jackson,Janine</t>
  </si>
  <si>
    <t>Powell,Ashley</t>
  </si>
  <si>
    <t>HOVER,KENNETH J</t>
  </si>
  <si>
    <t>O'Malley,Bridget</t>
  </si>
  <si>
    <t>JETER,NELLIE B</t>
  </si>
  <si>
    <t>Wade,Dorian Nicole</t>
  </si>
  <si>
    <t>Catapano,Jared J.-H.</t>
  </si>
  <si>
    <t>Warbington,Inga Yvette</t>
  </si>
  <si>
    <t>KUHN,HARRIET LURENSKY</t>
  </si>
  <si>
    <t>McLaughlin Ward,Laurie</t>
  </si>
  <si>
    <t>Hollins,Loni</t>
  </si>
  <si>
    <t>BLACKMON,PEREA LAURICE</t>
  </si>
  <si>
    <t>JAMES,BRIGITTE D</t>
  </si>
  <si>
    <t>BROWN,ANGELA C</t>
  </si>
  <si>
    <t>WILSON,ARMETA G</t>
  </si>
  <si>
    <t>WELLS,ALISA</t>
  </si>
  <si>
    <t>WELLS,NICOLE</t>
  </si>
  <si>
    <t>Burrell,Shukura</t>
  </si>
  <si>
    <t>WHITE,RUBY</t>
  </si>
  <si>
    <t>Mobley,Steve Derrick</t>
  </si>
  <si>
    <t>Morrison,Teresa A.</t>
  </si>
  <si>
    <t>YOUNG,BRITTANY BERNICE</t>
  </si>
  <si>
    <t>PALMORE,RAINETTA</t>
  </si>
  <si>
    <t>Kimbro,Jamel</t>
  </si>
  <si>
    <t>Rodriguez,Prisca</t>
  </si>
  <si>
    <t>Young,Aryanne</t>
  </si>
  <si>
    <t>SMITH,MICHELLE C</t>
  </si>
  <si>
    <t>HAMMOND-SCOTT,LOTTIE</t>
  </si>
  <si>
    <t>PHIPPS,JUNETTE P</t>
  </si>
  <si>
    <t>Gabriel,Garyn</t>
  </si>
  <si>
    <t>Chachere,David</t>
  </si>
  <si>
    <t>Elcock,Omar A.</t>
  </si>
  <si>
    <t>Coordinator, Parent/Tech, PT</t>
  </si>
  <si>
    <t>SHELTON,KAYHONNE M</t>
  </si>
  <si>
    <t>Sarabia Garcia,Juan</t>
  </si>
  <si>
    <t>McAlonan,Ciaran</t>
  </si>
  <si>
    <t>Cordova,Lydia</t>
  </si>
  <si>
    <t>GARRETT,CORNELIA S</t>
  </si>
  <si>
    <t>Hairston,Marcy</t>
  </si>
  <si>
    <t>MCFARLIN,CYNTHIA J</t>
  </si>
  <si>
    <t>DALLAS,JELANI K</t>
  </si>
  <si>
    <t>MASON,JANICE A</t>
  </si>
  <si>
    <t>Carey,Robert</t>
  </si>
  <si>
    <t>HAIRSTON,QUENTIN A</t>
  </si>
  <si>
    <t>Kirkland,Keith</t>
  </si>
  <si>
    <t>KILPATRICK,VERNELL FOGLE</t>
  </si>
  <si>
    <t>HICKS-WASHINGTON,LYNETTE R</t>
  </si>
  <si>
    <t>MACK,MARY M.</t>
  </si>
  <si>
    <t>BENN,TARA</t>
  </si>
  <si>
    <t>WILKINSON,KEVIN G</t>
  </si>
  <si>
    <t>Walker,Da'Jon A.</t>
  </si>
  <si>
    <t>WRIGHT,MICHAEL J</t>
  </si>
  <si>
    <t>CLARK HARRISON,ELLEN Y</t>
  </si>
  <si>
    <t>YOUMANS,JOYCE</t>
  </si>
  <si>
    <t>Blackstone,Yakeema J</t>
  </si>
  <si>
    <t>REITZ,CHRISTINA L</t>
  </si>
  <si>
    <t>Hood,Ian G.</t>
  </si>
  <si>
    <t>Brown,Nathalie J.</t>
  </si>
  <si>
    <t>Beasley,Letrice M</t>
  </si>
  <si>
    <t>SINGLETARY,ALVIN</t>
  </si>
  <si>
    <t>Sell,Aubrie L</t>
  </si>
  <si>
    <t>Crawford Sr.,Donaflyn Jay</t>
  </si>
  <si>
    <t>Coordinator, Academy</t>
  </si>
  <si>
    <t>Coleman,Asa B.</t>
  </si>
  <si>
    <t>Jones,Tamika</t>
  </si>
  <si>
    <t>TOON,ELLA L</t>
  </si>
  <si>
    <t>Fuller,Kailin</t>
  </si>
  <si>
    <t>Crawford,Clarice</t>
  </si>
  <si>
    <t>Williams,Ledra M.</t>
  </si>
  <si>
    <t>ROSS,MARY ANN</t>
  </si>
  <si>
    <t>Mencher,Rachel Sharon</t>
  </si>
  <si>
    <t>Portero,Deanna</t>
  </si>
  <si>
    <t>Thorogood,Thomas</t>
  </si>
  <si>
    <t>Maynard,Amy K</t>
  </si>
  <si>
    <t>McKinnon-Brown,Dennielle</t>
  </si>
  <si>
    <t>RIVERS-BETHEL,VALERIE</t>
  </si>
  <si>
    <t>Uche,Chidimma</t>
  </si>
  <si>
    <t>Deville,Michelle Shawntay</t>
  </si>
  <si>
    <t>Magee,David</t>
  </si>
  <si>
    <t>Campos-Castro,Jessica Y.</t>
  </si>
  <si>
    <t>Goldy,Rachel</t>
  </si>
  <si>
    <t>Catledge,Azuree I.</t>
  </si>
  <si>
    <t>SCIPPIO,CANDIS D.</t>
  </si>
  <si>
    <t>Walker,Unushe</t>
  </si>
  <si>
    <t>Clasby,Lee Syl</t>
  </si>
  <si>
    <t>Tripodi,Christina</t>
  </si>
  <si>
    <t>Duarte,Alejandra</t>
  </si>
  <si>
    <t>Yeager,Penelope J.</t>
  </si>
  <si>
    <t>Harris,Sarah</t>
  </si>
  <si>
    <t>Marks,Katherine Avery</t>
  </si>
  <si>
    <t>Richardson,Ariel</t>
  </si>
  <si>
    <t>ODOM,MARGARET L</t>
  </si>
  <si>
    <t>NEWMAN,CAMEIA S</t>
  </si>
  <si>
    <t>SMITH,L SYLANE</t>
  </si>
  <si>
    <t>Higginbottom,Sonia</t>
  </si>
  <si>
    <t>Lewis-Cloyd,Brittney J.</t>
  </si>
  <si>
    <t>Hecker,LaToya</t>
  </si>
  <si>
    <t>GILCHRIST,SHAUNTA</t>
  </si>
  <si>
    <t>GUINYARD,SHEILA</t>
  </si>
  <si>
    <t>STOVER,ANGELA J</t>
  </si>
  <si>
    <t>Mallaney,Norah J.</t>
  </si>
  <si>
    <t>HORTON,KISHA</t>
  </si>
  <si>
    <t>OUZTS,CHERYL</t>
  </si>
  <si>
    <t>JONES,VALERIE A</t>
  </si>
  <si>
    <t>WHITLEY,ABBIE GAIL M</t>
  </si>
  <si>
    <t>Minor,Brenda J.</t>
  </si>
  <si>
    <t>Covingtron,Heather Amy-Louise</t>
  </si>
  <si>
    <t>JOHNSON,ANGEL P</t>
  </si>
  <si>
    <t>Makonnen,Roman</t>
  </si>
  <si>
    <t>Cannon Jr.,Calvin C.</t>
  </si>
  <si>
    <t>STANLEY,LINDA</t>
  </si>
  <si>
    <t>Teacher, Early Childhood, PT</t>
  </si>
  <si>
    <t>Jackson,Renee B.</t>
  </si>
  <si>
    <t>HILL-MUSGROVE,TONYA CATALINA</t>
  </si>
  <si>
    <t>JONES,RUTH W</t>
  </si>
  <si>
    <t>JENKINS,CALVIN M</t>
  </si>
  <si>
    <t>KEENO,ANGELA S</t>
  </si>
  <si>
    <t>WINGFIELD,CAROLYN</t>
  </si>
  <si>
    <t>Nobles,Vanity Valoris</t>
  </si>
  <si>
    <t>Teacher (EG 09)</t>
  </si>
  <si>
    <t>Faison,Marcus L</t>
  </si>
  <si>
    <t>Jones,Akeia S</t>
  </si>
  <si>
    <t>Edwards,Dominique Nicole</t>
  </si>
  <si>
    <t>STAPLETON,CHARLENE</t>
  </si>
  <si>
    <t>Dorsey,Theresa M.</t>
  </si>
  <si>
    <t>Ramsey,Eva L</t>
  </si>
  <si>
    <t>Coordinator, Afterschool</t>
  </si>
  <si>
    <t>Williams II,Gary</t>
  </si>
  <si>
    <t>Love,Temeka</t>
  </si>
  <si>
    <t>HINES,VALDA L</t>
  </si>
  <si>
    <t>Montgomery-Moorer,Keante</t>
  </si>
  <si>
    <t>LYLES-HILL,CHRISSY</t>
  </si>
  <si>
    <t>Johnston-McGlotten,Machere A</t>
  </si>
  <si>
    <t>BROWN,MONITA A</t>
  </si>
  <si>
    <t>Watson,Michael Ross</t>
  </si>
  <si>
    <t>Jones,Tawana Elizabeth</t>
  </si>
  <si>
    <t>Carroll,Michelle</t>
  </si>
  <si>
    <t>Charles,June</t>
  </si>
  <si>
    <t>LAHRE-JOYNER,DEBBORAH</t>
  </si>
  <si>
    <t>ADMINISTRATIVE ASSISTANT</t>
  </si>
  <si>
    <t>Coleman,Mehgan Elizabeth</t>
  </si>
  <si>
    <t>MARCUS,ERNA M</t>
  </si>
  <si>
    <t>PUTTY,MADHURE</t>
  </si>
  <si>
    <t>HETTIPOLA,ARUNAKANTHI</t>
  </si>
  <si>
    <t>Green,Regina N.</t>
  </si>
  <si>
    <t>Ward,Susan</t>
  </si>
  <si>
    <t>Magee,Amy J</t>
  </si>
  <si>
    <t>Lawrence,Jennifer</t>
  </si>
  <si>
    <t>Benson,Nathaniel</t>
  </si>
  <si>
    <t>Mitchell,Brian Gerard</t>
  </si>
  <si>
    <t>GIBSON,DYVOR R</t>
  </si>
  <si>
    <t>Keith III,Dorsey E.</t>
  </si>
  <si>
    <t>COLEMAN,JASMIN N</t>
  </si>
  <si>
    <t>Williams,Kimberly N.</t>
  </si>
  <si>
    <t>SURLES,VIOLA V</t>
  </si>
  <si>
    <t>Steele-Fletcher,Francene</t>
  </si>
  <si>
    <t>ELLIS,ANITA L</t>
  </si>
  <si>
    <t>SIMMONS,ASHANTI N</t>
  </si>
  <si>
    <t>Cyrus,Kenneel</t>
  </si>
  <si>
    <t>MOORE,NATHANIEL</t>
  </si>
  <si>
    <t>Smith,Krystal A</t>
  </si>
  <si>
    <t>Clay,Brittany A.</t>
  </si>
  <si>
    <t>Otwell,Alexandra E.</t>
  </si>
  <si>
    <t>Fox,Knicole A.</t>
  </si>
  <si>
    <t>Duvra,Ngina</t>
  </si>
  <si>
    <t>Davis,Linda</t>
  </si>
  <si>
    <t>Gerald,Lagayle B</t>
  </si>
  <si>
    <t>Gaesser,Kimberly</t>
  </si>
  <si>
    <t>DANIELS,DENISE D</t>
  </si>
  <si>
    <t>Smith,Jesse</t>
  </si>
  <si>
    <t>WILKINS-DYSON,LENA L</t>
  </si>
  <si>
    <t>CARTER,BETTY ANN</t>
  </si>
  <si>
    <t>NORVILLE,DIONNE S</t>
  </si>
  <si>
    <t>ALVAREZ,DAWN N</t>
  </si>
  <si>
    <t>LIGHTFOOT,LUIZA S</t>
  </si>
  <si>
    <t>HEYWARD-SEGBEDZI,PEACE K</t>
  </si>
  <si>
    <t>Pierson,Ariel Joy</t>
  </si>
  <si>
    <t>Pyne,Babatunde M.</t>
  </si>
  <si>
    <t>Green,Kelly</t>
  </si>
  <si>
    <t>Harrington,Martine</t>
  </si>
  <si>
    <t>Coulibaly,Benimapi</t>
  </si>
  <si>
    <t>PLUSH,SERESA</t>
  </si>
  <si>
    <t>EWINGS,LATOYA</t>
  </si>
  <si>
    <t>WILLIAMS,DIANA L</t>
  </si>
  <si>
    <t>EDWARDS,CAROLE D.</t>
  </si>
  <si>
    <t>Sampson,Corinne D.</t>
  </si>
  <si>
    <t>Grady,Carla D.</t>
  </si>
  <si>
    <t>Lockard,Karla</t>
  </si>
  <si>
    <t>Boyd,Shanay T.</t>
  </si>
  <si>
    <t>Burton,Felecia</t>
  </si>
  <si>
    <t>HINKLE,DIANE</t>
  </si>
  <si>
    <t>Bridges,Janease M.</t>
  </si>
  <si>
    <t>Bonner,Corey J.</t>
  </si>
  <si>
    <t>Gholar,Talvar J.</t>
  </si>
  <si>
    <t>Marshall,Jawana Mae</t>
  </si>
  <si>
    <t>Thompson,Jamila A.</t>
  </si>
  <si>
    <t>Oyster ES</t>
  </si>
  <si>
    <t>FUENTES MORAN,MARIA E</t>
  </si>
  <si>
    <t>IRIZARRY,MYRNA EVELYN</t>
  </si>
  <si>
    <t>FRIDLEY,SANDRA L</t>
  </si>
  <si>
    <t>Dronda,Laura</t>
  </si>
  <si>
    <t>RODRIGUEZ,ANA T.</t>
  </si>
  <si>
    <t>Courtnell,Rosalie Garrett</t>
  </si>
  <si>
    <t>Larios,Juan C.</t>
  </si>
  <si>
    <t>Martinez-Arce,Edgar</t>
  </si>
  <si>
    <t>Zeno-Lopez,Ricardo</t>
  </si>
  <si>
    <t>Rhodes,Cindy L.</t>
  </si>
  <si>
    <t>Berrocal,Rosa M.</t>
  </si>
  <si>
    <t>Hidalgo Arango,Alba Marina</t>
  </si>
  <si>
    <t>HERNANDEZ JOVEL,MARITZA E</t>
  </si>
  <si>
    <t>OVIEDO,SUSANA</t>
  </si>
  <si>
    <t>Núñez,Andrés</t>
  </si>
  <si>
    <t>MEDINA,GINA M.</t>
  </si>
  <si>
    <t>VILLALOBOS MENDEZ,CELIA</t>
  </si>
  <si>
    <t>Melo-Arteaga,Chelsea</t>
  </si>
  <si>
    <t>COLLINGTON,LEATRICE C</t>
  </si>
  <si>
    <t>MCLEAN,CHRISTINE J</t>
  </si>
  <si>
    <t>WAGES,MARGARET R</t>
  </si>
  <si>
    <t>STEWART,DANELLE</t>
  </si>
  <si>
    <t>Ginsburg,Shoshana</t>
  </si>
  <si>
    <t>Thomas,Victorie L</t>
  </si>
  <si>
    <t>WILSON,NATACHA D</t>
  </si>
  <si>
    <t>WALCZYK,KRISTEN E</t>
  </si>
  <si>
    <t>Chasse,Joshua A.</t>
  </si>
  <si>
    <t>OUTLAW,BERLON</t>
  </si>
  <si>
    <t>Oliver,Andrea M.</t>
  </si>
  <si>
    <t>STREETER,KAREN</t>
  </si>
  <si>
    <t>Clay,Derrick J</t>
  </si>
  <si>
    <t>Clayman,Anthony M.</t>
  </si>
  <si>
    <t>CHRISTIAN,ANTOINETTE T.</t>
  </si>
  <si>
    <t>Baker,Katherine</t>
  </si>
  <si>
    <t>Anderson,Allison A</t>
  </si>
  <si>
    <t>Harris,Donald A</t>
  </si>
  <si>
    <t>Straughn,Constance Erin</t>
  </si>
  <si>
    <t>Bell,Valerie A.</t>
  </si>
  <si>
    <t>MUCKLE,IRIS R</t>
  </si>
  <si>
    <t>Dixon,Aurelia B</t>
  </si>
  <si>
    <t>West,Asia M.</t>
  </si>
  <si>
    <t>MOBLEY,LAJUANA</t>
  </si>
  <si>
    <t>HICKS,CHARLENE V</t>
  </si>
  <si>
    <t>Hayes,Nicole P.</t>
  </si>
  <si>
    <t>Adebayo,Sequoyah D</t>
  </si>
  <si>
    <t>Watson,Taneka Jonai</t>
  </si>
  <si>
    <t>Henson,Shanita L</t>
  </si>
  <si>
    <t>Hypolite,Kristan D.</t>
  </si>
  <si>
    <t>Chantrelle,Nicole M</t>
  </si>
  <si>
    <t>LUCAS,KESHA M</t>
  </si>
  <si>
    <t>MUSE,TALANA B</t>
  </si>
  <si>
    <t>TURNER,VIRGINIA D</t>
  </si>
  <si>
    <t>NELSON,VALERIE E</t>
  </si>
  <si>
    <t>ALLEN,JOE A</t>
  </si>
  <si>
    <t>DICKSON,JIJUAN</t>
  </si>
  <si>
    <t>SMITH,ANGELA J</t>
  </si>
  <si>
    <t>MANEECHAI,CHAKRI A</t>
  </si>
  <si>
    <t>BLAGBURN,KIMBERLIE F</t>
  </si>
  <si>
    <t>Choi,Karam</t>
  </si>
  <si>
    <t>COPELAND,AMINA F.</t>
  </si>
  <si>
    <t>Tippett,Angela</t>
  </si>
  <si>
    <t>Slattery,Anne-Marie</t>
  </si>
  <si>
    <t>Roundtree,Candice</t>
  </si>
  <si>
    <t>Teacher, General Secondary, PT</t>
  </si>
  <si>
    <t>Lee,Tarressa</t>
  </si>
  <si>
    <t>WILLIAMS,ZELDA Y</t>
  </si>
  <si>
    <t>YOUNG,BETTY A</t>
  </si>
  <si>
    <t>Mackie,Jill</t>
  </si>
  <si>
    <t>GEREAU,KIMBERLY R</t>
  </si>
  <si>
    <t>BIRNEY,HANNAH S</t>
  </si>
  <si>
    <t>COPELAND,CYNTHIA T</t>
  </si>
  <si>
    <t>Dyer,Brenda E.</t>
  </si>
  <si>
    <t>MANN,SWATANTAR</t>
  </si>
  <si>
    <t>Kiken,Cheryl Y.</t>
  </si>
  <si>
    <t>Fineran,Margaret Elizabeth</t>
  </si>
  <si>
    <t>Tschantz,Jennifer</t>
  </si>
  <si>
    <t>Cooper,Dizona D.</t>
  </si>
  <si>
    <t>Bassler,Michele</t>
  </si>
  <si>
    <t>Tome,Maurice</t>
  </si>
  <si>
    <t>Short,Danielle</t>
  </si>
  <si>
    <t>Minor,Muhammad Senna</t>
  </si>
  <si>
    <t>ELHELU,AMEER</t>
  </si>
  <si>
    <t>Holmes,Kashanta P.</t>
  </si>
  <si>
    <t>Selmar,Lisa</t>
  </si>
  <si>
    <t>MOORE,KANIKA</t>
  </si>
  <si>
    <t>GARNETT,PATRICIA I</t>
  </si>
  <si>
    <t>FLUELLING,LISA</t>
  </si>
  <si>
    <t>STEVENSON,CHERYL</t>
  </si>
  <si>
    <t>Ilund,Wendilyn</t>
  </si>
  <si>
    <t>Arslan,Kayleigh</t>
  </si>
  <si>
    <t>MAJITU,TIBA</t>
  </si>
  <si>
    <t>Bendana,Juana J.</t>
  </si>
  <si>
    <t>Maya,Raquel</t>
  </si>
  <si>
    <t>Caro,Kathy</t>
  </si>
  <si>
    <t>Jarrell,Lauren</t>
  </si>
  <si>
    <t>Ramos,Dadee</t>
  </si>
  <si>
    <t>Amaya,Mirna D.</t>
  </si>
  <si>
    <t>Fuller-Walker,Natalia</t>
  </si>
  <si>
    <t>Steinmetz,Laura E.</t>
  </si>
  <si>
    <t>BETHEL,ERIC MARQUIS</t>
  </si>
  <si>
    <t>Garcia Borjas,Sandra</t>
  </si>
  <si>
    <t>Vasquez,Veronica B.</t>
  </si>
  <si>
    <t>GONZALEZ-REYES,YISENIA</t>
  </si>
  <si>
    <t>Thornton,Mia Elsie</t>
  </si>
  <si>
    <t>Ramsey,Kaila D.</t>
  </si>
  <si>
    <t>Clark,Ellen</t>
  </si>
  <si>
    <t>Barton,Kathryn</t>
  </si>
  <si>
    <t>Sever,Emily</t>
  </si>
  <si>
    <t>Jimenez,Maria</t>
  </si>
  <si>
    <t>Guillen,Melissa</t>
  </si>
  <si>
    <t>Segovia,Graciela</t>
  </si>
  <si>
    <t>MIDDLETON,DORIS L</t>
  </si>
  <si>
    <t>MOSLEY,CHANTAY R</t>
  </si>
  <si>
    <t>PARKER,COZETTE L</t>
  </si>
  <si>
    <t>Mckee,Tiffany A</t>
  </si>
  <si>
    <t>WILLIAMS,TRACEY</t>
  </si>
  <si>
    <t>Kirby,Paula J</t>
  </si>
  <si>
    <t>Tolson,Shalonda M.</t>
  </si>
  <si>
    <t>Pinkney,Dwayne L.</t>
  </si>
  <si>
    <t>Adum-Bawuah,Maame Nyantakywaa</t>
  </si>
  <si>
    <t>Void,Lauren</t>
  </si>
  <si>
    <t>WHITE JENNINGS,DENISE Y</t>
  </si>
  <si>
    <t>CLARK,MARSHAVIA S</t>
  </si>
  <si>
    <t>BUNTER,KATRINA NOEL</t>
  </si>
  <si>
    <t>RICE,JOAN</t>
  </si>
  <si>
    <t>MANLEY,BRENDA</t>
  </si>
  <si>
    <t>WILLIAMS,PATRICIA</t>
  </si>
  <si>
    <t>BARNES,BERNETTA A</t>
  </si>
  <si>
    <t>HILLIARD,LATANYA Y</t>
  </si>
  <si>
    <t>HUDSON,DONITA ANN</t>
  </si>
  <si>
    <t>Velasquez,Danny E</t>
  </si>
  <si>
    <t>BRYANT,JOVAN E</t>
  </si>
  <si>
    <t>Massey,Shannon N.</t>
  </si>
  <si>
    <t>VILLATORO,TELMA Y.</t>
  </si>
  <si>
    <t>Porter,Trina</t>
  </si>
  <si>
    <t>Gborkorquellie Jr.,Yartumo S.</t>
  </si>
  <si>
    <t>Aide, Computer Lab</t>
  </si>
  <si>
    <t>ULMER,ELLISE</t>
  </si>
  <si>
    <t>Lee,Maurice</t>
  </si>
  <si>
    <t>Allen Apanco,Wendy</t>
  </si>
  <si>
    <t>Shorter,Natia A.</t>
  </si>
  <si>
    <t>GUEVARA,TELMA L</t>
  </si>
  <si>
    <t>Alvarez,Mary L.</t>
  </si>
  <si>
    <t>MURRAY CRAWLEY,MARIANNA E</t>
  </si>
  <si>
    <t>Silva Molina,Pedro</t>
  </si>
  <si>
    <t>Nater,Patricia B.</t>
  </si>
  <si>
    <t>Donati,Patricia D.</t>
  </si>
  <si>
    <t>Ashley,Allison</t>
  </si>
  <si>
    <t>Suarez,Ana Andrea</t>
  </si>
  <si>
    <t>JONES,BRITTANY R</t>
  </si>
  <si>
    <t>Lane,Rebecca Erin</t>
  </si>
  <si>
    <t>Davis,Lisa Maria</t>
  </si>
  <si>
    <t>Bletcher,Crystal D.</t>
  </si>
  <si>
    <t>Lampa,Leah L</t>
  </si>
  <si>
    <t>Yousuf,Marufa B</t>
  </si>
  <si>
    <t>CRUZ-MONTOYA,VIRGINIA E</t>
  </si>
  <si>
    <t>Digiovanna,Josefina L.</t>
  </si>
  <si>
    <t>DiGiovanna,Elena Maria</t>
  </si>
  <si>
    <t>PORRO SALINAS,PATRICIA M</t>
  </si>
  <si>
    <t>Gerena,Jeanne</t>
  </si>
  <si>
    <t>Galloway,Rajeeni R</t>
  </si>
  <si>
    <t>Novoa-Marcano,Edgar L.</t>
  </si>
  <si>
    <t>Gass,Donzella</t>
  </si>
  <si>
    <t>CHAMORRO,MARIA A</t>
  </si>
  <si>
    <t>Barton,Elizabeth L.</t>
  </si>
  <si>
    <t>McCray,Terry S</t>
  </si>
  <si>
    <t>Trahan,Jekendria E</t>
  </si>
  <si>
    <t>Baxter,Porche D.</t>
  </si>
  <si>
    <t>Mazour,Jennah</t>
  </si>
  <si>
    <t>WILLIAMS,ELAINE S</t>
  </si>
  <si>
    <t>Vaughan,Nichele</t>
  </si>
  <si>
    <t>WILLIAMS,BEVERLY B</t>
  </si>
  <si>
    <t>Mitchell,Sandra L</t>
  </si>
  <si>
    <t>WHITE,CAROLYN A</t>
  </si>
  <si>
    <t>Davis,Amanda</t>
  </si>
  <si>
    <t>WILLIAMS,BRENDA M</t>
  </si>
  <si>
    <t>Ingram,Deborah L</t>
  </si>
  <si>
    <t>Carter,Maureen Marion</t>
  </si>
  <si>
    <t>Aide, 10mo Non-Instructional (</t>
  </si>
  <si>
    <t>JOHNSON,VANESSA L</t>
  </si>
  <si>
    <t>JEFFERSON,ANGELA D</t>
  </si>
  <si>
    <t>Kenny-Gales,Marie-Rose</t>
  </si>
  <si>
    <t>Coach, SAM Intervention</t>
  </si>
  <si>
    <t>CASTILLO,ELBA MATOS</t>
  </si>
  <si>
    <t>JONES,ROSALIND</t>
  </si>
  <si>
    <t>Burroughs,Shanna D.</t>
  </si>
  <si>
    <t>Womer,Braidyn</t>
  </si>
  <si>
    <t>GUEVARA,CONNIE E</t>
  </si>
  <si>
    <t>Jackson,Kim B</t>
  </si>
  <si>
    <t>LAWLEY,DESIREE</t>
  </si>
  <si>
    <t>Lee,Glenda A.</t>
  </si>
  <si>
    <t>Tillman,Stevette A</t>
  </si>
  <si>
    <t>Campbell,Alicia Ann</t>
  </si>
  <si>
    <t>TORRENTO,GLORIA DAISY</t>
  </si>
  <si>
    <t>DUPREE,TONJA W</t>
  </si>
  <si>
    <t>Thomas,Brittney</t>
  </si>
  <si>
    <t>Charles,Anne</t>
  </si>
  <si>
    <t>VELEZ JR,GERMAN A</t>
  </si>
  <si>
    <t>Guldin,Elizabeth</t>
  </si>
  <si>
    <t>George,Robin</t>
  </si>
  <si>
    <t>Whren,Tenishia</t>
  </si>
  <si>
    <t>BROOKS,ROBYN A</t>
  </si>
  <si>
    <t>LESTER,DELPHINE</t>
  </si>
  <si>
    <t>HILL-DYAL,ALICE M</t>
  </si>
  <si>
    <t>MASON,SAFARIA</t>
  </si>
  <si>
    <t>CONTE,MARIAMA</t>
  </si>
  <si>
    <t>Miranda-Mulligan,Claudia</t>
  </si>
  <si>
    <t>Rosch,Alyssa</t>
  </si>
  <si>
    <t>Mallory,Margaret Leslie</t>
  </si>
  <si>
    <t>Parker,Kevin</t>
  </si>
  <si>
    <t>SHAW,ELLA</t>
  </si>
  <si>
    <t>LYLES,KIM MARIE</t>
  </si>
  <si>
    <t>MCMANUS,QUEONA N</t>
  </si>
  <si>
    <t>Kathan,Toby</t>
  </si>
  <si>
    <t>VonEsch,Sarah</t>
  </si>
  <si>
    <t>Pascal,Daphney</t>
  </si>
  <si>
    <t>Jefferson,Malika D.</t>
  </si>
  <si>
    <t>PINCKNEY,DELLA M</t>
  </si>
  <si>
    <t>JOHNSON,CHERYL R R.</t>
  </si>
  <si>
    <t>PITTMAN,TYRONE R</t>
  </si>
  <si>
    <t>Bartell,Whitney</t>
  </si>
  <si>
    <t>BROWN,HILDA M</t>
  </si>
  <si>
    <t>RAY,JOSEPHINE</t>
  </si>
  <si>
    <t>PARKMAN,IRMA J</t>
  </si>
  <si>
    <t>Swedarsky,Lisa</t>
  </si>
  <si>
    <t>Jones,Ariane R.</t>
  </si>
  <si>
    <t>MORRISON,GLENN D</t>
  </si>
  <si>
    <t>JOHNSON,THEODORIS L</t>
  </si>
  <si>
    <t>Kelly,Rashena</t>
  </si>
  <si>
    <t>Stone,Emily</t>
  </si>
  <si>
    <t>Morris,Shaunta</t>
  </si>
  <si>
    <t>Johnson,Rena S.</t>
  </si>
  <si>
    <t>Fish,Hannah</t>
  </si>
  <si>
    <t>Draughon,Alima Kamara.</t>
  </si>
  <si>
    <t>Welsh,Fionnuala Ann</t>
  </si>
  <si>
    <t>Hubbard,Christopher J.</t>
  </si>
  <si>
    <t>WILLIAMS,MAEVERN</t>
  </si>
  <si>
    <t>RUSH,KAREN C</t>
  </si>
  <si>
    <t>Yimam,Makeda A.</t>
  </si>
  <si>
    <t>Gray,Saqiyna Y.</t>
  </si>
  <si>
    <t>Gay,Marvin</t>
  </si>
  <si>
    <t>Hall,Laronna</t>
  </si>
  <si>
    <t>DORN,CRYSTAL D</t>
  </si>
  <si>
    <t>Baker,Tene R.</t>
  </si>
  <si>
    <t>SMITH,SHARON Y</t>
  </si>
  <si>
    <t>MOORE,ROBERT B</t>
  </si>
  <si>
    <t>THOMPSON,TERRI</t>
  </si>
  <si>
    <t>CACCAVALE,NICOLE Z</t>
  </si>
  <si>
    <t>Orlando,Amy P</t>
  </si>
  <si>
    <t>DEFIDLER,TATIANA</t>
  </si>
  <si>
    <t>LEONOV,GALINA</t>
  </si>
  <si>
    <t>Legerwood-Rivera,Victoria Ann</t>
  </si>
  <si>
    <t>Pilot,Sonia Latchmei Naraine</t>
  </si>
  <si>
    <t>Huff,Tisa</t>
  </si>
  <si>
    <t>LEWIS-LYNCH,VICTORIA L</t>
  </si>
  <si>
    <t>ARMSTRONG-DOZIER,PAM P</t>
  </si>
  <si>
    <t>FIELDS,ROBYN A</t>
  </si>
  <si>
    <t>JACKSON,RICHARD E</t>
  </si>
  <si>
    <t>DAVIS,CHARLENE A</t>
  </si>
  <si>
    <t>PAGE,KELVIN</t>
  </si>
  <si>
    <t>Soots,Tamara</t>
  </si>
  <si>
    <t>Schaefer,Elizabeth</t>
  </si>
  <si>
    <t>WILLIAMS,MARSHA</t>
  </si>
  <si>
    <t>Holman,Daphne L.</t>
  </si>
  <si>
    <t>Washington,Kelly J</t>
  </si>
  <si>
    <t>WATSON,RENEE H</t>
  </si>
  <si>
    <t>Saunders,Dershawn</t>
  </si>
  <si>
    <t>Davies,Molly</t>
  </si>
  <si>
    <t>Moore,Julia C</t>
  </si>
  <si>
    <t>Partelow,Lisette</t>
  </si>
  <si>
    <t>Stewart,Yvonne N.</t>
  </si>
  <si>
    <t>Overbey,Rose</t>
  </si>
  <si>
    <t>DAVIS,ANITHA L</t>
  </si>
  <si>
    <t>DENNIS,KATHERINE L</t>
  </si>
  <si>
    <t>Hochstein,Yonatan</t>
  </si>
  <si>
    <t>Goodman,Caroline</t>
  </si>
  <si>
    <t>BOND,LAVERNE</t>
  </si>
  <si>
    <t>Willis,Melissa Antoinette</t>
  </si>
  <si>
    <t>STEWART,DONNA Y</t>
  </si>
  <si>
    <t>ROSS,DONALD K</t>
  </si>
  <si>
    <t>RANDALL,ANGELA Y</t>
  </si>
  <si>
    <t>BATTLE,CLARETTA</t>
  </si>
  <si>
    <t>SINGLETON,RAVIE F</t>
  </si>
  <si>
    <t>HUTCHESON,SHANNON</t>
  </si>
  <si>
    <t>STREETER,LATAUNYA</t>
  </si>
  <si>
    <t>Strother,Christina Ermagene</t>
  </si>
  <si>
    <t>Latortue-Driza,Stephanie</t>
  </si>
  <si>
    <t>Couts,Kristina N.</t>
  </si>
  <si>
    <t>BLANTON-LACY,MONICA D</t>
  </si>
  <si>
    <t>Cherry,Brandi</t>
  </si>
  <si>
    <t>O'Brien,Baxter</t>
  </si>
  <si>
    <t>Brown,Shaundrea</t>
  </si>
  <si>
    <t>Bullock Jr,Tyrone</t>
  </si>
  <si>
    <t>BARNES QUINTANILLA,RHONDA R.</t>
  </si>
  <si>
    <t>CHOY,NELLY V</t>
  </si>
  <si>
    <t>VICK,VANESSA D</t>
  </si>
  <si>
    <t>Tai,Luhua</t>
  </si>
  <si>
    <t>ARGUETA,JULIA C</t>
  </si>
  <si>
    <t>BELL,CATHERINE D</t>
  </si>
  <si>
    <t>HAZLEWOOD,CAROL A</t>
  </si>
  <si>
    <t>Phillips,Allison S.</t>
  </si>
  <si>
    <t>GIRMAMMO,ADDISHIYWOT ASEFFA</t>
  </si>
  <si>
    <t>Davis,Robert N</t>
  </si>
  <si>
    <t>Quarles,Aaron D</t>
  </si>
  <si>
    <t>Lesley,Diane D.</t>
  </si>
  <si>
    <t>Anderson,Shinese</t>
  </si>
  <si>
    <t>DAVIS,YVONNE L</t>
  </si>
  <si>
    <t>Cooper,Channing</t>
  </si>
  <si>
    <t>IVORY,JEANETTA</t>
  </si>
  <si>
    <t>SLYE,MARGARET E</t>
  </si>
  <si>
    <t>Brawley,Gladys P.</t>
  </si>
  <si>
    <t>Lovos,Elizabeth</t>
  </si>
  <si>
    <t>DUNCAN,NANCY W</t>
  </si>
  <si>
    <t>GAITHER,YOLANDA</t>
  </si>
  <si>
    <t>Hecker,Christina</t>
  </si>
  <si>
    <t>MCCULLOUGH,EBONY J</t>
  </si>
  <si>
    <t>CHEN,JI-YONG</t>
  </si>
  <si>
    <t>MONTOYA,MARIA T</t>
  </si>
  <si>
    <t>KING,VIOLETA</t>
  </si>
  <si>
    <t>FISHER,BARBARA A</t>
  </si>
  <si>
    <t>Thompson,Chakia Shanai</t>
  </si>
  <si>
    <t>Clipper Jr.,Alan Edward</t>
  </si>
  <si>
    <t>JOSIAH,YOHLAN S</t>
  </si>
  <si>
    <t>Salgado Jennings,Rocio Del Carmen</t>
  </si>
  <si>
    <t>FERNANDEZ,GRACIELA</t>
  </si>
  <si>
    <t>WU,CATHY Q</t>
  </si>
  <si>
    <t>Dunn,Katherine</t>
  </si>
  <si>
    <t>WASHINGTON,APRILLE J</t>
  </si>
  <si>
    <t>Delgrosso,Jaime</t>
  </si>
  <si>
    <t>Nowlin,Radiance Dierre</t>
  </si>
  <si>
    <t>KEYS,JEREMY L</t>
  </si>
  <si>
    <t>BELL,MARGO C</t>
  </si>
  <si>
    <t>Reynolds,Sylvia L.</t>
  </si>
  <si>
    <t>Wright,Malita B.</t>
  </si>
  <si>
    <t>BARNES,RAYONNA L.</t>
  </si>
  <si>
    <t>MCCARGO,ANDREA NICOLE</t>
  </si>
  <si>
    <t>TROXLER,TONYA D</t>
  </si>
  <si>
    <t>Dease,Rita A.</t>
  </si>
  <si>
    <t>SMITH,GLENDORA M</t>
  </si>
  <si>
    <t>Field,Lindsay</t>
  </si>
  <si>
    <t>Jenkins,Carmen E.</t>
  </si>
  <si>
    <t>DYCE,DENISE N</t>
  </si>
  <si>
    <t>Soo-Hoo,Mirenda</t>
  </si>
  <si>
    <t>Montani,Amanda Breitfeld</t>
  </si>
  <si>
    <t>Grello,Melissa</t>
  </si>
  <si>
    <t>Brown,Christina</t>
  </si>
  <si>
    <t>Zimmermann,Adam</t>
  </si>
  <si>
    <t>Torres,Veronica</t>
  </si>
  <si>
    <t>Cameron,Courtney Eileen</t>
  </si>
  <si>
    <t>Brown,Christopher</t>
  </si>
  <si>
    <t>Matthews,Patrice R.</t>
  </si>
  <si>
    <t>Chambers,Geraldine</t>
  </si>
  <si>
    <t>Avina,Kristin</t>
  </si>
  <si>
    <t>MCAFEE,HARRY K</t>
  </si>
  <si>
    <t>Taylor,Margaret</t>
  </si>
  <si>
    <t>Nyuma-Bumbeh,Reagen F.</t>
  </si>
  <si>
    <t>Myers,Alexander M.</t>
  </si>
  <si>
    <t>Colosimo,Cassie</t>
  </si>
  <si>
    <t>JENNINGS,MARLENE</t>
  </si>
  <si>
    <t>RUBIO,DIGNA A.</t>
  </si>
  <si>
    <t>SANCHEZ,MARIO E</t>
  </si>
  <si>
    <t>Butler,Victoria A.</t>
  </si>
  <si>
    <t>BRISCOE,MALIK</t>
  </si>
  <si>
    <t>Linton,Juanita D</t>
  </si>
  <si>
    <t>Ampudia-Kordell,Luz</t>
  </si>
  <si>
    <t>McMillan,Monica</t>
  </si>
  <si>
    <t>Watts,Crystal M.</t>
  </si>
  <si>
    <t>Brown,William J.</t>
  </si>
  <si>
    <t>CANADA,MARY T</t>
  </si>
  <si>
    <t>Mattos,Consuelo D.P.</t>
  </si>
  <si>
    <t>Walloe,Lashun</t>
  </si>
  <si>
    <t>POLLARD,PENNETTA</t>
  </si>
  <si>
    <t>Brown,Lakiesha C.</t>
  </si>
  <si>
    <t>Ford,Quianna</t>
  </si>
  <si>
    <t>Wright,Paul F</t>
  </si>
  <si>
    <t>BOWDEN,PATRICIA L.</t>
  </si>
  <si>
    <t>Mitchell-Colston,Cortni</t>
  </si>
  <si>
    <t>Burno Jr.,Joseph L</t>
  </si>
  <si>
    <t>Alvarez,Melanie R.</t>
  </si>
  <si>
    <t>McGilligan,Bowie F</t>
  </si>
  <si>
    <t>Palacios,Tatiana</t>
  </si>
  <si>
    <t>Brunson,Roger</t>
  </si>
  <si>
    <t>Townend,Peter</t>
  </si>
  <si>
    <t>Palos,Andrew F.</t>
  </si>
  <si>
    <t>Pond,Kathryn</t>
  </si>
  <si>
    <t>LOPEZ,WALESKA</t>
  </si>
  <si>
    <t>ALLEN,LATONYA J</t>
  </si>
  <si>
    <t>Davila,Yanira</t>
  </si>
  <si>
    <t>Daniel,Shaunte E.</t>
  </si>
  <si>
    <t>Jimenez,Marta</t>
  </si>
  <si>
    <t>OPUKA,IRENE A</t>
  </si>
  <si>
    <t>ARNETT,ROBERT J</t>
  </si>
  <si>
    <t>King,SAN JUANA</t>
  </si>
  <si>
    <t>IT SPECIALIST</t>
  </si>
  <si>
    <t>Leibensperger,Daniel P.</t>
  </si>
  <si>
    <t>Beltrand,Carole F.</t>
  </si>
  <si>
    <t>Chapman,Jayson B</t>
  </si>
  <si>
    <t>KELLY,JACQUELINE D</t>
  </si>
  <si>
    <t>Loney,Dominique</t>
  </si>
  <si>
    <t>Riemer,Neal</t>
  </si>
  <si>
    <t>Goodman,Mary Zinn K.</t>
  </si>
  <si>
    <t>Dixon,Patrai J.</t>
  </si>
  <si>
    <t>TOLIVER,WANDA Y</t>
  </si>
  <si>
    <t>Blum,Abby</t>
  </si>
  <si>
    <t>Perkins,Antionette Denise</t>
  </si>
  <si>
    <t>Bell,Jachell P.</t>
  </si>
  <si>
    <t>Jackson,Jaki R.</t>
  </si>
  <si>
    <t>FREEMAN,TYRONE G.</t>
  </si>
  <si>
    <t>Jackson,Diona</t>
  </si>
  <si>
    <t>EDELEN,THERESA D</t>
  </si>
  <si>
    <t>Akinyeye,Oluremi</t>
  </si>
  <si>
    <t>HYMAN,SERENA I</t>
  </si>
  <si>
    <t>MACK,KAREN</t>
  </si>
  <si>
    <t>GAMBLE,BERTHA E</t>
  </si>
  <si>
    <t>Griswold,Emily</t>
  </si>
  <si>
    <t>Steele,Darla</t>
  </si>
  <si>
    <t>Ardalan,Georgina</t>
  </si>
  <si>
    <t>Holliday,Amanda</t>
  </si>
  <si>
    <t>White,Caryn A.</t>
  </si>
  <si>
    <t>Rivera Flores,Amanda</t>
  </si>
  <si>
    <t>Maxwell,Komaneche</t>
  </si>
  <si>
    <t>Ray,Dylana</t>
  </si>
  <si>
    <t>Lebedeff,Nicole</t>
  </si>
  <si>
    <t>Loftis,Jordan</t>
  </si>
  <si>
    <t>Parler,Brittany</t>
  </si>
  <si>
    <t>CARRAWAY,TERRIE</t>
  </si>
  <si>
    <t>Parker,Kassandra C.</t>
  </si>
  <si>
    <t>Hall,Frank</t>
  </si>
  <si>
    <t>Webb ES</t>
  </si>
  <si>
    <t>LATTA,SHIRLEY D</t>
  </si>
  <si>
    <t>Gardner,Dyanna</t>
  </si>
  <si>
    <t>Ball,Tomiko D.</t>
  </si>
  <si>
    <t>Venable,Tiana M.</t>
  </si>
  <si>
    <t>Jang,Lydia</t>
  </si>
  <si>
    <t>Davis,Deanna Simone</t>
  </si>
  <si>
    <t>DICKERSON,BARBARA</t>
  </si>
  <si>
    <t>BRIDDELL,WANDA T</t>
  </si>
  <si>
    <t>Donahue,Mary</t>
  </si>
  <si>
    <t>Johnson,Brandon</t>
  </si>
  <si>
    <t>Lisbon-Peoples,April</t>
  </si>
  <si>
    <t>Wallace,Tangela</t>
  </si>
  <si>
    <t>CHAMBERLAIN,JERRY P</t>
  </si>
  <si>
    <t>SIMPSON,CATRICE L</t>
  </si>
  <si>
    <t>Dooner,Lindsey</t>
  </si>
  <si>
    <t>Silver,Rory</t>
  </si>
  <si>
    <t>ROSEBORO,JEAN C</t>
  </si>
  <si>
    <t>Shoup,Anna</t>
  </si>
  <si>
    <t>DESPERTT,WANDA N</t>
  </si>
  <si>
    <t>MCCALLUM,BERNICE</t>
  </si>
  <si>
    <t>Kaiyoorawongs,Molley</t>
  </si>
  <si>
    <t>Coles,Tanzania</t>
  </si>
  <si>
    <t>MINOR,KATRINA L</t>
  </si>
  <si>
    <t>Cleveland,Ingrid M</t>
  </si>
  <si>
    <t>Williams,Lauren</t>
  </si>
  <si>
    <t>Chambers,Zaneta</t>
  </si>
  <si>
    <t>HUMPHREY,MARY W</t>
  </si>
  <si>
    <t>Biega,Frankie</t>
  </si>
  <si>
    <t>Presley,Kerryn</t>
  </si>
  <si>
    <t>Rung,Jonathan</t>
  </si>
  <si>
    <t>JOHNSON,TAWANA A</t>
  </si>
  <si>
    <t>JOHNSON,CONCHA</t>
  </si>
  <si>
    <t>BRANCH,KAREN MARIE</t>
  </si>
  <si>
    <t>Jackson,Karl A. L.</t>
  </si>
  <si>
    <t>Willis,LaFonda</t>
  </si>
  <si>
    <t>HAWKINS JR,NORMAN E</t>
  </si>
  <si>
    <t>BENNETT,THERESA E</t>
  </si>
  <si>
    <t>DICKERSON,JOY</t>
  </si>
  <si>
    <t>MCNEILL,TELA ALYSHA</t>
  </si>
  <si>
    <t>Smith,Bram</t>
  </si>
  <si>
    <t>BOYD,GWENDOLYN L</t>
  </si>
  <si>
    <t>WHITE,SALLY L</t>
  </si>
  <si>
    <t>MCKENZIE,DENISE</t>
  </si>
  <si>
    <t>Thomas,Michael</t>
  </si>
  <si>
    <t>LOTT,SHERI A</t>
  </si>
  <si>
    <t>TAYLOR,TONYA M</t>
  </si>
  <si>
    <t>BEASLEY,KEYMA T</t>
  </si>
  <si>
    <t>NELMS,CAROLYN M</t>
  </si>
  <si>
    <t>TOWNSEND,CHRISTINE LOUISE</t>
  </si>
  <si>
    <t>SHEARD WILSON,TRACY</t>
  </si>
  <si>
    <t>CLAY,QUEEN</t>
  </si>
  <si>
    <t>Ochieng,Lisa Awino</t>
  </si>
  <si>
    <t>RADFORD,ROBERT F</t>
  </si>
  <si>
    <t>Meus,Rocchelle A.</t>
  </si>
  <si>
    <t>SHIPP,JANET</t>
  </si>
  <si>
    <t>Solay,Andrea K.</t>
  </si>
  <si>
    <t>NELSON,KIM</t>
  </si>
  <si>
    <t>RODRIGUEZ,LASHARN B</t>
  </si>
  <si>
    <t>Markulik,Mary T.</t>
  </si>
  <si>
    <t>CHISOLM,MICHELLE</t>
  </si>
  <si>
    <t>Dixon,Angela</t>
  </si>
  <si>
    <t>Yousif,Ahmed</t>
  </si>
  <si>
    <t>Critchell,Megan</t>
  </si>
  <si>
    <t>SPANN,CHARLOTTE R</t>
  </si>
  <si>
    <t>Durkin,Kenneth</t>
  </si>
  <si>
    <t>Brooks,Kelley F.</t>
  </si>
  <si>
    <t>McFarland,Kali</t>
  </si>
  <si>
    <t>BELL,TERESA M</t>
  </si>
  <si>
    <t>Guillotte,Amy</t>
  </si>
  <si>
    <t>Van Dam,Abigail</t>
  </si>
  <si>
    <t>KING,KRYSTAL D</t>
  </si>
  <si>
    <t>Myrie,Christina</t>
  </si>
  <si>
    <t>Burnette,Ashley M.</t>
  </si>
  <si>
    <t>SMITH,TANYA S</t>
  </si>
  <si>
    <t>Logan Building</t>
  </si>
  <si>
    <t>JOHNSON,NATARSHA</t>
  </si>
  <si>
    <t>Garrison,Meagan</t>
  </si>
  <si>
    <t>Freer,Emily</t>
  </si>
  <si>
    <t>Kimboko,Rachel</t>
  </si>
  <si>
    <t>Adams,Yadira A.</t>
  </si>
  <si>
    <t>Horton,Marcella</t>
  </si>
  <si>
    <t>SPURLOCK,INGA A</t>
  </si>
  <si>
    <t>LATSON,KAY F</t>
  </si>
  <si>
    <t>WATSON,LAUREN L</t>
  </si>
  <si>
    <t>Powell,Shayla F.K.</t>
  </si>
  <si>
    <t>Sudah,Sundiata L</t>
  </si>
  <si>
    <t>REYNOLDS,LASHAWN D</t>
  </si>
  <si>
    <t>Novosel,Nathan</t>
  </si>
  <si>
    <t>JACKSON,JUANITA</t>
  </si>
  <si>
    <t>Chidiac,Thomas</t>
  </si>
  <si>
    <t>Jacquier,Ashley</t>
  </si>
  <si>
    <t>CAMPBELL,SYLVIA YV</t>
  </si>
  <si>
    <t>Charles,Dionne C</t>
  </si>
  <si>
    <t>Frazier,Shonita T</t>
  </si>
  <si>
    <t>Cox,Caitlin</t>
  </si>
  <si>
    <t>Clark Jr.,Daniel P</t>
  </si>
  <si>
    <t>Thompson II,Wilbur E</t>
  </si>
  <si>
    <t>Davis,Julia</t>
  </si>
  <si>
    <t>Temoney Jr.,Freddie</t>
  </si>
  <si>
    <t>Counselor, Guidance, MS</t>
  </si>
  <si>
    <t>Winn Ritzenberg,Mark O.</t>
  </si>
  <si>
    <t>Helsabeck,Charles</t>
  </si>
  <si>
    <t>ARNOLD,JACQUELINE W</t>
  </si>
  <si>
    <t>Gandola,Rafe</t>
  </si>
  <si>
    <t>Schloss,Isaac</t>
  </si>
  <si>
    <t>Parish,Melanie</t>
  </si>
  <si>
    <t>Boney,Stephen M</t>
  </si>
  <si>
    <t>McCarron,Simone</t>
  </si>
  <si>
    <t>Allen,Julie T</t>
  </si>
  <si>
    <t>Burnham,Lisa</t>
  </si>
  <si>
    <t>Berry,Sonja M.</t>
  </si>
  <si>
    <t>STREETER,MARGARET E</t>
  </si>
  <si>
    <t>Serrano,Rosa</t>
  </si>
  <si>
    <t>Jakubowski,Benjamin</t>
  </si>
  <si>
    <t>Mills,Caneisha L.</t>
  </si>
  <si>
    <t>Venezia,Rachel</t>
  </si>
  <si>
    <t>Custer,Kelly</t>
  </si>
  <si>
    <t>Klauber,Evan</t>
  </si>
  <si>
    <t>Rhoads,Christine</t>
  </si>
  <si>
    <t>Haller,Michael</t>
  </si>
  <si>
    <t>Glick,Michelle</t>
  </si>
  <si>
    <t>Scott,Latashia S</t>
  </si>
  <si>
    <t>White,Jamie</t>
  </si>
  <si>
    <t>Peltason,Joanna</t>
  </si>
  <si>
    <t>Dillon,Kelly</t>
  </si>
  <si>
    <t>Fuller,Julelah</t>
  </si>
  <si>
    <t>Tierney,Samantha</t>
  </si>
  <si>
    <t>CARTER,LINDA A</t>
  </si>
  <si>
    <t>Brown,Cubby F</t>
  </si>
  <si>
    <t>Hodge,Edmond N</t>
  </si>
  <si>
    <t>Bauer,Allison</t>
  </si>
  <si>
    <t>Assistant Principal, Intervent</t>
  </si>
  <si>
    <t>CHATMON,ANTHONY</t>
  </si>
  <si>
    <t>Stancil,Stanley L.</t>
  </si>
  <si>
    <t>MOORE,CECIL O</t>
  </si>
  <si>
    <t>Massey,Rasa B.</t>
  </si>
  <si>
    <t>Ravenel,Alisandra</t>
  </si>
  <si>
    <t>COLE,AMELIA E</t>
  </si>
  <si>
    <t>Brault,Kristina</t>
  </si>
  <si>
    <t>PRESCOTT,PAMELA L</t>
  </si>
  <si>
    <t>Ball,Lolita M.D.</t>
  </si>
  <si>
    <t>White-Dayne,Kisha L</t>
  </si>
  <si>
    <t>Gibbs,Joshua</t>
  </si>
  <si>
    <t>McCoy,Noravia</t>
  </si>
  <si>
    <t>Gunthrope,Terrence</t>
  </si>
  <si>
    <t>TYLER,CHARLES H</t>
  </si>
  <si>
    <t>Routh,Sallie</t>
  </si>
  <si>
    <t>Cole,Darren</t>
  </si>
  <si>
    <t>Johnson,Denise</t>
  </si>
  <si>
    <t>WRIGHT,ANGELA</t>
  </si>
  <si>
    <t>Islam,Tahana</t>
  </si>
  <si>
    <t>newton,vanessa</t>
  </si>
  <si>
    <t>BARGANIER,LYNN C</t>
  </si>
  <si>
    <t>Burt,Faith</t>
  </si>
  <si>
    <t>Moszczynski,John</t>
  </si>
  <si>
    <t>ALIAGA,JANET V</t>
  </si>
  <si>
    <t>HENRY-ROBINSON,JANN'L D.</t>
  </si>
  <si>
    <t>Norman,Stephen</t>
  </si>
  <si>
    <t>WILSON,JACQUELINE A</t>
  </si>
  <si>
    <t>Berne,Judith</t>
  </si>
  <si>
    <t>Dabney,Chiara</t>
  </si>
  <si>
    <t>Wills,Roxanne</t>
  </si>
  <si>
    <t>DELAINE,LESLIE J</t>
  </si>
  <si>
    <t>DAILEY,SHERRY</t>
  </si>
  <si>
    <t>Gibson,Ron Treece m</t>
  </si>
  <si>
    <t>Jackson,Eian</t>
  </si>
  <si>
    <t>Faulkner,Neva S</t>
  </si>
  <si>
    <t>Price,Jerome</t>
  </si>
  <si>
    <t>Dixon,Pamela S.</t>
  </si>
  <si>
    <t>Alexander,Christine D.</t>
  </si>
  <si>
    <t>Bean Jr.,Rodney A.</t>
  </si>
  <si>
    <t>Aprill,Kaitlin</t>
  </si>
  <si>
    <t>Stavish,Christopher</t>
  </si>
  <si>
    <t>Coordinator, Student Resource</t>
  </si>
  <si>
    <t>Brown,Michael</t>
  </si>
  <si>
    <t>Kennedy,Jamal</t>
  </si>
  <si>
    <t>Alberty,Marissa</t>
  </si>
  <si>
    <t>Wohner,Ivan</t>
  </si>
  <si>
    <t>Moore,Jaime M.</t>
  </si>
  <si>
    <t>THOMAS,MARGARET K</t>
  </si>
  <si>
    <t>Drummond,Davene Ann</t>
  </si>
  <si>
    <t>ANDERSON,KEYDRA M.</t>
  </si>
  <si>
    <t>Ogden,Brittani</t>
  </si>
  <si>
    <t>Wesley,Leketa</t>
  </si>
  <si>
    <t>Lee,Christina</t>
  </si>
  <si>
    <t>Gauvin,Rochelle</t>
  </si>
  <si>
    <t>Bolton,Gregory</t>
  </si>
  <si>
    <t>Dohmann,Greg</t>
  </si>
  <si>
    <t>Meyer,Joan</t>
  </si>
  <si>
    <t>Bird,Emily</t>
  </si>
  <si>
    <t>Counselor, Guidance, MS, PT</t>
  </si>
  <si>
    <t>Schmidt,Jenna</t>
  </si>
  <si>
    <t>Cheng,Johaun</t>
  </si>
  <si>
    <t>Parkinson,Katherine</t>
  </si>
  <si>
    <t>Williams,Priscilla</t>
  </si>
  <si>
    <t>JORDAN,DAMITA R</t>
  </si>
  <si>
    <t>BALL,ANTWION ALEXANDER</t>
  </si>
  <si>
    <t>Andrews,Brittany</t>
  </si>
  <si>
    <t>Johnson,Asante</t>
  </si>
  <si>
    <t>Feiler,Brittany</t>
  </si>
  <si>
    <t>Hill,Jacqueline</t>
  </si>
  <si>
    <t>ADMINISTRATIVE AIDE</t>
  </si>
  <si>
    <t>Craig,Autumn M.</t>
  </si>
  <si>
    <t>Gray,Tashia D.</t>
  </si>
  <si>
    <t>Williams-Borges,Shirley A.</t>
  </si>
  <si>
    <t>Grady,LaToya I.</t>
  </si>
  <si>
    <t>MCCRAY,MICHELLE R</t>
  </si>
  <si>
    <t>MCCALL,EDWARD M</t>
  </si>
  <si>
    <t>Clarkson,Giani V.</t>
  </si>
  <si>
    <t>SHAW,OCTAVIA N</t>
  </si>
  <si>
    <t>Millson,Alexandra</t>
  </si>
  <si>
    <t>Hall,Latifa</t>
  </si>
  <si>
    <t>Lindsay,Carolyn L.K.</t>
  </si>
  <si>
    <t>Jolly,Tierra</t>
  </si>
  <si>
    <t>Justice,Dominique</t>
  </si>
  <si>
    <t>BARNES-JOHNSON,ANDREA A</t>
  </si>
  <si>
    <t>Taylor,Sheleena</t>
  </si>
  <si>
    <t>Garland,Patrick</t>
  </si>
  <si>
    <t>SHAW,KATHLEEN M</t>
  </si>
  <si>
    <t>Woods,Keisha A</t>
  </si>
  <si>
    <t>Smith,Khadeejah</t>
  </si>
  <si>
    <t>BLANCHARD,ELIZABETH M</t>
  </si>
  <si>
    <t>Alexander,Monique</t>
  </si>
  <si>
    <t>Henry,Jasmine</t>
  </si>
  <si>
    <t>Phillpotts,Deborah</t>
  </si>
  <si>
    <t>Botts,Jonathan</t>
  </si>
  <si>
    <t>Berry,Courtney</t>
  </si>
  <si>
    <t>Rubens,Kimberly</t>
  </si>
  <si>
    <t>MONSANTO,CLARENCE III</t>
  </si>
  <si>
    <t>Flowers,James E.</t>
  </si>
  <si>
    <t>Marcum,Amanda</t>
  </si>
  <si>
    <t>SIMS,ANTHONY D</t>
  </si>
  <si>
    <t>FAUNTEROY,VERNELL V</t>
  </si>
  <si>
    <t>TAYLOR,TOWANA</t>
  </si>
  <si>
    <t>Lee,Michelle</t>
  </si>
  <si>
    <t>BROWN,TEKNIKA</t>
  </si>
  <si>
    <t>Simmons,Latrice S.</t>
  </si>
  <si>
    <t>Yates,Robert</t>
  </si>
  <si>
    <t>Brown,Micheal O.</t>
  </si>
  <si>
    <t>Allen IV,John</t>
  </si>
  <si>
    <t>Kearney,Ashley</t>
  </si>
  <si>
    <t>Cote,Ryan</t>
  </si>
  <si>
    <t>CHISELOM,DEBRA R</t>
  </si>
  <si>
    <t>Thompson,Darryl S</t>
  </si>
  <si>
    <t>Bettmann,Fani Cyd Geroff</t>
  </si>
  <si>
    <t>Massey,Larita V.</t>
  </si>
  <si>
    <t>TESSEMA,YODIT L</t>
  </si>
  <si>
    <t>Alexander,Frances</t>
  </si>
  <si>
    <t>Dykstra,Sara J.</t>
  </si>
  <si>
    <t>Spears,Kevin</t>
  </si>
  <si>
    <t>PENN,JENNIFER E</t>
  </si>
  <si>
    <t>Coleman,Hunter</t>
  </si>
  <si>
    <t>Corkhill,Victoria</t>
  </si>
  <si>
    <t>Liu,Joann</t>
  </si>
  <si>
    <t>SMITH,MARIAMA A N</t>
  </si>
  <si>
    <t>Traore,DeYeasa</t>
  </si>
  <si>
    <t>Dorman,Raven</t>
  </si>
  <si>
    <t>Abraham,Johnathan D</t>
  </si>
  <si>
    <t>Smith,Yolanda M.</t>
  </si>
  <si>
    <t>LYLE,ROSALIND D</t>
  </si>
  <si>
    <t>Hampton,Lonetta S.</t>
  </si>
  <si>
    <t>Lopez,Lana P</t>
  </si>
  <si>
    <t>Fofana,Trinaty Nicole</t>
  </si>
  <si>
    <t>Acuna,Elena</t>
  </si>
  <si>
    <t>Wilson,Charna F.</t>
  </si>
  <si>
    <t>STEWART,NICOLA</t>
  </si>
  <si>
    <t>Ingram,Tierra L.</t>
  </si>
  <si>
    <t>Plaisted,Kip</t>
  </si>
  <si>
    <t>PRATT,RHONDA H.</t>
  </si>
  <si>
    <t>Harris,Tonya M.</t>
  </si>
  <si>
    <t>Blount,Louis</t>
  </si>
  <si>
    <t>Purdy,Christopher Trevor</t>
  </si>
  <si>
    <t>Dunn,Michael A.</t>
  </si>
  <si>
    <t>BROCK,BEULAH J</t>
  </si>
  <si>
    <t>DEWHURST,ELIZABETH A</t>
  </si>
  <si>
    <t>Bazan,Brooke</t>
  </si>
  <si>
    <t>Williams,Rosetta</t>
  </si>
  <si>
    <t>Anderson,Courtney</t>
  </si>
  <si>
    <t>Grossman,Mallory</t>
  </si>
  <si>
    <t>Powell,Tyecia</t>
  </si>
  <si>
    <t>Wilson Jr.,William S.</t>
  </si>
  <si>
    <t>Crenshaw,Savitri L.</t>
  </si>
  <si>
    <t>Morrissey,Melissa</t>
  </si>
  <si>
    <t>Johnson,Monick D.</t>
  </si>
  <si>
    <t>Congress,Trina Y.</t>
  </si>
  <si>
    <t>Peterson,Tarshai</t>
  </si>
  <si>
    <t>Redwolf,Alberta D.</t>
  </si>
  <si>
    <t>Weir,rose</t>
  </si>
  <si>
    <t>WARE,MOSES A</t>
  </si>
  <si>
    <t>DAY,DEVARROW K.</t>
  </si>
  <si>
    <t>Topps,Natasha</t>
  </si>
  <si>
    <t>Messina-D'Haiti,Felicia Kathleen</t>
  </si>
  <si>
    <t>Williams,Benjamin</t>
  </si>
  <si>
    <t>Instructor, JROTC (ET-15)</t>
  </si>
  <si>
    <t>MCLANE,JAMES P</t>
  </si>
  <si>
    <t>JOHNSON,CORINTHIANE S</t>
  </si>
  <si>
    <t>WASHINGTON,DORIS A</t>
  </si>
  <si>
    <t>Ring,Ellen</t>
  </si>
  <si>
    <t>Instructor, JROTC (EG-09)</t>
  </si>
  <si>
    <t>Overton,Terrance</t>
  </si>
  <si>
    <t>Gonzalez,Juan</t>
  </si>
  <si>
    <t>BARR,KHADIJAH M.</t>
  </si>
  <si>
    <t>Murphy-Owona,Lavonna</t>
  </si>
  <si>
    <t>Flanagan,Ryan</t>
  </si>
  <si>
    <t>Stuart,Jessica A.</t>
  </si>
  <si>
    <t>Bracho,Diana</t>
  </si>
  <si>
    <t>Comen,Deven</t>
  </si>
  <si>
    <t>EDWARDS,RALPH E.</t>
  </si>
  <si>
    <t>Clifford,Sirena Haigler</t>
  </si>
  <si>
    <t>Lewis,Markeyter</t>
  </si>
  <si>
    <t>Halter,Claire</t>
  </si>
  <si>
    <t>Roberts,Jennifer</t>
  </si>
  <si>
    <t>Schmucker,Chelsea</t>
  </si>
  <si>
    <t>THOMAS III,ROSCOE</t>
  </si>
  <si>
    <t>BLACKWELL KING,CECELIA</t>
  </si>
  <si>
    <t>Avila,Kathrine</t>
  </si>
  <si>
    <t>Wurie,Ahmed R.</t>
  </si>
  <si>
    <t>McLemore,Maria</t>
  </si>
  <si>
    <t>MILNER,ROBERT W</t>
  </si>
  <si>
    <t>Ellis,Trishana</t>
  </si>
  <si>
    <t>JAMES,JORDAN P.</t>
  </si>
  <si>
    <t>COLLINS,JANET L</t>
  </si>
  <si>
    <t>Barnes,Tavi R</t>
  </si>
  <si>
    <t>Evans,Marlisa Regina</t>
  </si>
  <si>
    <t>Reid,Michael L</t>
  </si>
  <si>
    <t>Davis,Aryn</t>
  </si>
  <si>
    <t>Stevens,Reginald E</t>
  </si>
  <si>
    <t>Teacher Center Director</t>
  </si>
  <si>
    <t>Rivers,Jonathan</t>
  </si>
  <si>
    <t>HAYES,SAMANTHA D</t>
  </si>
  <si>
    <t>Savage,Anna</t>
  </si>
  <si>
    <t>Reynolds,Carlotta Khemeraj</t>
  </si>
  <si>
    <t>Smart,Amidu   Khay</t>
  </si>
  <si>
    <t>Boucher,Lauren</t>
  </si>
  <si>
    <t>Ligai,Polina</t>
  </si>
  <si>
    <t>DUCKETT,SARA</t>
  </si>
  <si>
    <t>RANDOLPH,NIKKO A</t>
  </si>
  <si>
    <t>Reinhard,James</t>
  </si>
  <si>
    <t>Chisholm-Duper,Latisha Lavette</t>
  </si>
  <si>
    <t>Ware,Ayasha</t>
  </si>
  <si>
    <t>Maitland,Melody</t>
  </si>
  <si>
    <t>White,John</t>
  </si>
  <si>
    <t>Hinds,Natalie</t>
  </si>
  <si>
    <t>EDUCATIONAL AIDE,SPED,70H</t>
  </si>
  <si>
    <t>Bryant,Anthony J.</t>
  </si>
  <si>
    <t>Hall-Mayfeild,Sherri L.</t>
  </si>
  <si>
    <t>Dickerson,Tamara A.</t>
  </si>
  <si>
    <t>Stover,Kaitlyn</t>
  </si>
  <si>
    <t>Loza,Christopher</t>
  </si>
  <si>
    <t>Morton,Anthony D</t>
  </si>
  <si>
    <t>Rodgers,Minoso</t>
  </si>
  <si>
    <t>JONES,ALBERT</t>
  </si>
  <si>
    <t>THOMAS,FRANCINE Y</t>
  </si>
  <si>
    <t>Cadet,Fabiola</t>
  </si>
  <si>
    <t>McCarter,Darrian</t>
  </si>
  <si>
    <t>Crawford,Mark</t>
  </si>
  <si>
    <t>Benn,Gabriel C.</t>
  </si>
  <si>
    <t>King,Lateffa O. Carter</t>
  </si>
  <si>
    <t>Coleman,Beverly</t>
  </si>
  <si>
    <t>Gordon,T. Nicole</t>
  </si>
  <si>
    <t>FRANCIS,BERNADINE K</t>
  </si>
  <si>
    <t>Hubbard,Jemel M.</t>
  </si>
  <si>
    <t>Gilliam,Sawsan</t>
  </si>
  <si>
    <t>Gazda,Christopher</t>
  </si>
  <si>
    <t>MOMENT,MONICA</t>
  </si>
  <si>
    <t>STARKS,ASHLEY J</t>
  </si>
  <si>
    <t>Shafiei,Bobak</t>
  </si>
  <si>
    <t>LEMUS,DORA</t>
  </si>
  <si>
    <t>DOCTOR,ALICE R</t>
  </si>
  <si>
    <t>Dubinsky,David</t>
  </si>
  <si>
    <t>JOHNSON,DEBORAH</t>
  </si>
  <si>
    <t>Mammo,Natnaell</t>
  </si>
  <si>
    <t>HERNANDEZ,GLORIA M</t>
  </si>
  <si>
    <t>LORA,ANTONIA F</t>
  </si>
  <si>
    <t>Ross,Tremaine</t>
  </si>
  <si>
    <t>Gonzalez,Radames</t>
  </si>
  <si>
    <t>Campbell,Kiah Shunta</t>
  </si>
  <si>
    <t>Diaz-Valencia,Salomon-Gerardo</t>
  </si>
  <si>
    <t>Rose,Joy</t>
  </si>
  <si>
    <t>Spoth,Thomas</t>
  </si>
  <si>
    <t>OLIVA,BILLY E</t>
  </si>
  <si>
    <t>Richardson,Kerry</t>
  </si>
  <si>
    <t>Grissett,Noah</t>
  </si>
  <si>
    <t>Patterson,Mien</t>
  </si>
  <si>
    <t>Parikh,Ronak</t>
  </si>
  <si>
    <t>Contino,Paul</t>
  </si>
  <si>
    <t>Foster,Matthew</t>
  </si>
  <si>
    <t>Guzman,Ingrid Y.</t>
  </si>
  <si>
    <t>Chien,Lawrence</t>
  </si>
  <si>
    <t>Dominguez Benjamin,Jeny J.</t>
  </si>
  <si>
    <t>Tobias,Hamdel</t>
  </si>
  <si>
    <t>Edmonds Jr.,Lionel</t>
  </si>
  <si>
    <t>Kelly,Robert</t>
  </si>
  <si>
    <t>Hardmon-Fort,DeMario</t>
  </si>
  <si>
    <t>Williams,Fred</t>
  </si>
  <si>
    <t>Coleman,Melanie</t>
  </si>
  <si>
    <t>Green,Monica</t>
  </si>
  <si>
    <t>Counselor, Guidance, HS (11 Mo</t>
  </si>
  <si>
    <t>Brady,Jon</t>
  </si>
  <si>
    <t>HOOVER,WESLEY S</t>
  </si>
  <si>
    <t>INGRAM,CYNTHIA A</t>
  </si>
  <si>
    <t>PERSON,DOROTHY M</t>
  </si>
  <si>
    <t>SMITH,MONICA A</t>
  </si>
  <si>
    <t>BURKE,ETHEL M</t>
  </si>
  <si>
    <t>FRANKLIN,LINDA C</t>
  </si>
  <si>
    <t>CRAYTON,JERRY</t>
  </si>
  <si>
    <t>WHEELER,KAMA M</t>
  </si>
  <si>
    <t>Roane,Tanya</t>
  </si>
  <si>
    <t>BATTLE,LINDA D</t>
  </si>
  <si>
    <t>BAGUIRA,ABDELFATTAH</t>
  </si>
  <si>
    <t>Small,Brandon A.</t>
  </si>
  <si>
    <t>TATE,VINCENT J</t>
  </si>
  <si>
    <t>STEVENS,BRIDGETTE V</t>
  </si>
  <si>
    <t>Wolitzer,Alexandra</t>
  </si>
  <si>
    <t>McDowell,Nnamdi Y.</t>
  </si>
  <si>
    <t>Hawkins,Steffanie</t>
  </si>
  <si>
    <t>Jones,Geoffrey J.</t>
  </si>
  <si>
    <t>Maxwell,Tierra W.</t>
  </si>
  <si>
    <t>Brown,Teresa M</t>
  </si>
  <si>
    <t>Hopson,Shaderi</t>
  </si>
  <si>
    <t>Rukavina,Julie</t>
  </si>
  <si>
    <t>SUMMERS,CHERLY B</t>
  </si>
  <si>
    <t>Spencer,Travis M.</t>
  </si>
  <si>
    <t>WALKER,JOHNNIE B</t>
  </si>
  <si>
    <t>Calhoun,Emory M.</t>
  </si>
  <si>
    <t>Gibbs,Clifford N</t>
  </si>
  <si>
    <t>Wallace,Robert</t>
  </si>
  <si>
    <t>Jackson,Tierra L.</t>
  </si>
  <si>
    <t>Young,Charles Allen</t>
  </si>
  <si>
    <t>Small,Joy M.</t>
  </si>
  <si>
    <t>CLAYTON,PRISCILLA</t>
  </si>
  <si>
    <t>Brown,Stadford A</t>
  </si>
  <si>
    <t>Wright,Pierre</t>
  </si>
  <si>
    <t>Bowman,Quint A</t>
  </si>
  <si>
    <t>OSORE,EMMA O</t>
  </si>
  <si>
    <t>Smallwood,Renay Tanya</t>
  </si>
  <si>
    <t>COLE,SHONDA L</t>
  </si>
  <si>
    <t>George,Saundra K.</t>
  </si>
  <si>
    <t>Tolson,Tynia Mikea</t>
  </si>
  <si>
    <t>Mitchell,Richard</t>
  </si>
  <si>
    <t>Ornelas,Rodolfo</t>
  </si>
  <si>
    <t>Story,Keith</t>
  </si>
  <si>
    <t>Wright,James R.</t>
  </si>
  <si>
    <t>Preston,Robby C.</t>
  </si>
  <si>
    <t>Ballard,Angel</t>
  </si>
  <si>
    <t>Davis,Noelani</t>
  </si>
  <si>
    <t>Lennox,Gayle</t>
  </si>
  <si>
    <t>Bell,Cassandra</t>
  </si>
  <si>
    <t>Patterson,Elise</t>
  </si>
  <si>
    <t>Grimes,Rebecca M</t>
  </si>
  <si>
    <t>Headen,Jeremiah</t>
  </si>
  <si>
    <t>COLLINS,THOMAS G</t>
  </si>
  <si>
    <t>KENNEDY,AKIL EUBANKS</t>
  </si>
  <si>
    <t>Jefferson,Latonya</t>
  </si>
  <si>
    <t>Specialist, Transition (11)</t>
  </si>
  <si>
    <t>Specialist, Transition (12)</t>
  </si>
  <si>
    <t>Hunt,LaToshia</t>
  </si>
  <si>
    <t>Liggon Sr.,Stephen A</t>
  </si>
  <si>
    <t>Johnson,Tami</t>
  </si>
  <si>
    <t>Upshaw,Tiffany Lorraine</t>
  </si>
  <si>
    <t>gills,eric</t>
  </si>
  <si>
    <t>JACKSON,WILLIE</t>
  </si>
  <si>
    <t>Yen,Jennifer</t>
  </si>
  <si>
    <t>BROADNAX,TERESA C</t>
  </si>
  <si>
    <t>CHANDLER,JODI H</t>
  </si>
  <si>
    <t>Vrooman,Adam</t>
  </si>
  <si>
    <t>LOVER,SHARMANE D.</t>
  </si>
  <si>
    <t>Woods,Wendy</t>
  </si>
  <si>
    <t>Williams,Dawn J.</t>
  </si>
  <si>
    <t>Greenhow,George</t>
  </si>
  <si>
    <t>KIMBROUGH,REGINA</t>
  </si>
  <si>
    <t>Lightfoot,Evelyn Elizabeth Dunston</t>
  </si>
  <si>
    <t>ARRINGTON,ANN M</t>
  </si>
  <si>
    <t>LUM,FLORENCE</t>
  </si>
  <si>
    <t>PARKER,FRANCHESCA</t>
  </si>
  <si>
    <t>Phillips,Makeisha</t>
  </si>
  <si>
    <t>Ismail,Sarah S.</t>
  </si>
  <si>
    <t>Brown,Steven H</t>
  </si>
  <si>
    <t>Helman,Craig M.</t>
  </si>
  <si>
    <t>Moses,Chantell</t>
  </si>
  <si>
    <t>Baylor,Ebony</t>
  </si>
  <si>
    <t>Ward,Darius</t>
  </si>
  <si>
    <t>Antwi-Obimpeh,George</t>
  </si>
  <si>
    <t>Behl,Vikas</t>
  </si>
  <si>
    <t>Jerez,Manfredy</t>
  </si>
  <si>
    <t>Watson,Dominique</t>
  </si>
  <si>
    <t>Brown-West,Diepriye</t>
  </si>
  <si>
    <t>Rozier,Meyail A</t>
  </si>
  <si>
    <t>Smith,Gwendolyn</t>
  </si>
  <si>
    <t>Czaniecki,Christian W.</t>
  </si>
  <si>
    <t>Lee,Jonte</t>
  </si>
  <si>
    <t>PERRY JR,JAMES ANTHONY</t>
  </si>
  <si>
    <t>TOYE,MILLISON D</t>
  </si>
  <si>
    <t>Eichelberger,Tracy S</t>
  </si>
  <si>
    <t>Flowers,Quinn Nicole</t>
  </si>
  <si>
    <t>Crutchfield,Temple</t>
  </si>
  <si>
    <t>Laster Jr.,Caleb L.</t>
  </si>
  <si>
    <t>Marshall,LeRoy</t>
  </si>
  <si>
    <t>martin,frank</t>
  </si>
  <si>
    <t>Ibrahim,Toka</t>
  </si>
  <si>
    <t>JONES,WANDA</t>
  </si>
  <si>
    <t>TROGISCH,Richard  G</t>
  </si>
  <si>
    <t>Abbott,Kelly</t>
  </si>
  <si>
    <t>Smith,Kip Lynden</t>
  </si>
  <si>
    <t>HUDSON,AGNES A</t>
  </si>
  <si>
    <t>WILLIAMS,ARTINA</t>
  </si>
  <si>
    <t>FRAZIER,BARRY J</t>
  </si>
  <si>
    <t>LOCKHART,TODD E</t>
  </si>
  <si>
    <t>MORRIS,CORLOS</t>
  </si>
  <si>
    <t>CONTEE,WILLIAM</t>
  </si>
  <si>
    <t>Bordeaux,Anita</t>
  </si>
  <si>
    <t>LIGGANS,THORRIN T</t>
  </si>
  <si>
    <t>Thomas,Jacqueline D Williams</t>
  </si>
  <si>
    <t>Ferrandez,Lidia</t>
  </si>
  <si>
    <t>ROBINSON,CHARLES S</t>
  </si>
  <si>
    <t>DUVALL,TAMEIKA ANN</t>
  </si>
  <si>
    <t>Ryan,Tabatha F.</t>
  </si>
  <si>
    <t>BELL-TUCKER,KIMBERLY RENEE</t>
  </si>
  <si>
    <t>MAVRITTE,RHONDA C</t>
  </si>
  <si>
    <t>WILKERSON,EDWARD L</t>
  </si>
  <si>
    <t>Kral,Brigitta</t>
  </si>
  <si>
    <t>VAUGHN,LISA E</t>
  </si>
  <si>
    <t>Jackson,Richard A.</t>
  </si>
  <si>
    <t>McCants,Johonna R.</t>
  </si>
  <si>
    <t>Zhang,Yiran</t>
  </si>
  <si>
    <t>Zheng,Haiwang</t>
  </si>
  <si>
    <t>Habte,Meron</t>
  </si>
  <si>
    <t>Veliz-gilbert,Paige</t>
  </si>
  <si>
    <t>JOHNSON,MIKE A</t>
  </si>
  <si>
    <t>Wood,Regina D.</t>
  </si>
  <si>
    <t>Northman,Chelsea</t>
  </si>
  <si>
    <t>WILLIAMS,DEBORAH R</t>
  </si>
  <si>
    <t>WOMACK,PATRICIA A</t>
  </si>
  <si>
    <t>Trichtinger,Samuel</t>
  </si>
  <si>
    <t>Wilkerson,Courtney</t>
  </si>
  <si>
    <t>Langston,Jada</t>
  </si>
  <si>
    <t>Clowes,Rachel</t>
  </si>
  <si>
    <t>LILLY,HAZEL</t>
  </si>
  <si>
    <t>AKUNWAFOR,MAUREEN I</t>
  </si>
  <si>
    <t>PHILLIP,CARLOS W</t>
  </si>
  <si>
    <t>JACKSON,THEODORA</t>
  </si>
  <si>
    <t>RUCKER,S.MICHELE</t>
  </si>
  <si>
    <t>Irvin,Thandiwe</t>
  </si>
  <si>
    <t>Teacher, Special Ed, PT</t>
  </si>
  <si>
    <t>Bellino,Joseph</t>
  </si>
  <si>
    <t>CUNNINGHAM,GENNIFER M</t>
  </si>
  <si>
    <t>MARITANO BANKS,TASHA</t>
  </si>
  <si>
    <t>Dunham,Desmond</t>
  </si>
  <si>
    <t>PARKER,JEAN A</t>
  </si>
  <si>
    <t>SPINNER,BETTY R</t>
  </si>
  <si>
    <t>MARSHALL,LORENA A</t>
  </si>
  <si>
    <t>PERRY,SHERRY</t>
  </si>
  <si>
    <t>Irvin,Dudley</t>
  </si>
  <si>
    <t>MORATAYA,DIANA I</t>
  </si>
  <si>
    <t>Spearman,Lisa J.</t>
  </si>
  <si>
    <t>BEAN,SANDRA E</t>
  </si>
  <si>
    <t>Aide, 10mo Dedicated</t>
  </si>
  <si>
    <t>BONDS,KADESHA R</t>
  </si>
  <si>
    <t>Samuel,Breona W</t>
  </si>
  <si>
    <t>Casale,Zachary</t>
  </si>
  <si>
    <t>Bond,Karina</t>
  </si>
  <si>
    <t>Gloss,Julie</t>
  </si>
  <si>
    <t>Simpkins,Lauren</t>
  </si>
  <si>
    <t>Tolbert,Loni C.</t>
  </si>
  <si>
    <t>Hall,Brandon Edward</t>
  </si>
  <si>
    <t>Clemmons,Dionne E.</t>
  </si>
  <si>
    <t>JAMES,PAULETTE</t>
  </si>
  <si>
    <t>Heckler,David</t>
  </si>
  <si>
    <t>Wright,John O.</t>
  </si>
  <si>
    <t>Locke Jr.,Lawrence A.</t>
  </si>
  <si>
    <t>Kaneen,Christina</t>
  </si>
  <si>
    <t>Wims,Brandon Warner</t>
  </si>
  <si>
    <t>Bobo,Rondrea L</t>
  </si>
  <si>
    <t>Higgins,Jennifer</t>
  </si>
  <si>
    <t>Erkins,Emily</t>
  </si>
  <si>
    <t>McMillan,Eric M</t>
  </si>
  <si>
    <t>Hara,Sheilla</t>
  </si>
  <si>
    <t>DASILVA-OLAGHERE,AJIBADE O</t>
  </si>
  <si>
    <t>Topliffe,Patricia</t>
  </si>
  <si>
    <t>Fuller,Cara R</t>
  </si>
  <si>
    <t>EDMONDS,DELORES L</t>
  </si>
  <si>
    <t>Mims,Germaine</t>
  </si>
  <si>
    <t>McAllister-Euell,Kathnolia S.</t>
  </si>
  <si>
    <t>WALLACE,DARRYL A</t>
  </si>
  <si>
    <t>Osifade,Olaolu B</t>
  </si>
  <si>
    <t>DUNHAM,BERTHA J S</t>
  </si>
  <si>
    <t>OTUNBA,STEPHEN</t>
  </si>
  <si>
    <t>GRANDSON,OTIS T</t>
  </si>
  <si>
    <t>COUSAR JEFFRIES,DELTHA J</t>
  </si>
  <si>
    <t>ATTENDANCE COUNSELOR</t>
  </si>
  <si>
    <t>Ajueyitsi,Oghene-Bruru</t>
  </si>
  <si>
    <t>Murphy Jr.,James L.</t>
  </si>
  <si>
    <t>ATTENDANCE OFFICER</t>
  </si>
  <si>
    <t>Howard Jr. Jr.,Leonard M</t>
  </si>
  <si>
    <t>Moore,Saroyah H.</t>
  </si>
  <si>
    <t>SHEPHERD,DOROTHY A</t>
  </si>
  <si>
    <t>BROWN,KRYSTAL S</t>
  </si>
  <si>
    <t>MCELWAIN,BARBARA E</t>
  </si>
  <si>
    <t>Ashe,Taneka</t>
  </si>
  <si>
    <t>SILER,VANESSA D</t>
  </si>
  <si>
    <t>House,Melissa</t>
  </si>
  <si>
    <t>TAYLOR,TRENEITA D</t>
  </si>
  <si>
    <t>SPINNER,TIMOTHY E</t>
  </si>
  <si>
    <t>Thomas Jr.,Kenneth G.</t>
  </si>
  <si>
    <t>CURTIS,SHERRIE</t>
  </si>
  <si>
    <t>Herring,SHAUNIECE Quinetta</t>
  </si>
  <si>
    <t>TAYLOR Jr.,LEROY E.</t>
  </si>
  <si>
    <t>HAWKINS,MARY CHARMAINE</t>
  </si>
  <si>
    <t>LACEWELL,JANENE L</t>
  </si>
  <si>
    <t>GREENE,RUBY D</t>
  </si>
  <si>
    <t>HEARD,STANLEY D</t>
  </si>
  <si>
    <t>BELL,SHARON D</t>
  </si>
  <si>
    <t>EDUCATIONAL AIDE,80HRS.</t>
  </si>
  <si>
    <t>WILLIAMS,EDDIE</t>
  </si>
  <si>
    <t>JOYNER-JACKSON,TANYA P.</t>
  </si>
  <si>
    <t>COGSDELL,YOLANDA D</t>
  </si>
  <si>
    <t>WARE,MAGGIE</t>
  </si>
  <si>
    <t>TAYLOR,HENRY P</t>
  </si>
  <si>
    <t>Browne,Kelli</t>
  </si>
  <si>
    <t>LAWSON,RUTH J</t>
  </si>
  <si>
    <t>Parker,Antonio D</t>
  </si>
  <si>
    <t>FOUNTAIN,NIKITA</t>
  </si>
  <si>
    <t>Reese II,Terry D.</t>
  </si>
  <si>
    <t>Jones,Tamara Cleopatra</t>
  </si>
  <si>
    <t>NICHOLS,ALBERTA C</t>
  </si>
  <si>
    <t>Wagner,Heidi A.</t>
  </si>
  <si>
    <t>Walker,Rashida C.</t>
  </si>
  <si>
    <t>BELTON,MILLIE J</t>
  </si>
  <si>
    <t>BURROUGHS,FELICIA F</t>
  </si>
  <si>
    <t>sanches,kervin</t>
  </si>
  <si>
    <t>Williams,Greg</t>
  </si>
  <si>
    <t>REID,EMMA</t>
  </si>
  <si>
    <t>CARPENTER,NICOLA M</t>
  </si>
  <si>
    <t>Gordon,Crystal D.</t>
  </si>
  <si>
    <t>Magee,Calchita Kiana</t>
  </si>
  <si>
    <t>Marville,Stacey</t>
  </si>
  <si>
    <t>THWEATT KELLEY,ANTRELL MARIA</t>
  </si>
  <si>
    <t>Brundidge,Denise R.</t>
  </si>
  <si>
    <t>Wague,Cathy</t>
  </si>
  <si>
    <t>Tyson,Tiara</t>
  </si>
  <si>
    <t>BRADSHAW,RAYSHANN</t>
  </si>
  <si>
    <t>Owens,Lavon D.</t>
  </si>
  <si>
    <t>LEWIS,HANNAH T</t>
  </si>
  <si>
    <t>SALAZAR,FARLEY</t>
  </si>
  <si>
    <t>VAUGHN,JEAN A</t>
  </si>
  <si>
    <t>Williams,Shelly Amita</t>
  </si>
  <si>
    <t>BOSEMAN,CAPRISHA L</t>
  </si>
  <si>
    <t>English Tutor WAE</t>
  </si>
  <si>
    <t>TEACHER,WAE, ART</t>
  </si>
  <si>
    <t>Wilkins,Denise</t>
  </si>
  <si>
    <t>TEACHER,WAE, ESOL</t>
  </si>
  <si>
    <t>TEACHER,WAE, SOCIAL WKR</t>
  </si>
  <si>
    <t>COLEMAN,KENYA D</t>
  </si>
  <si>
    <t>MOORE,SHARON L</t>
  </si>
  <si>
    <t>Sanabria,Patricia</t>
  </si>
  <si>
    <t>TERRY,CAROLYN ROSA</t>
  </si>
  <si>
    <t>Kramer,Sophie</t>
  </si>
  <si>
    <t>Stevens,Jacqueline Tennille</t>
  </si>
  <si>
    <t>Wade,Shayna</t>
  </si>
  <si>
    <t>Iovanna,Michael</t>
  </si>
  <si>
    <t>Lewis,Danica</t>
  </si>
  <si>
    <t>McNair,Renee C</t>
  </si>
  <si>
    <t>McKenzie,Shomari Jahi</t>
  </si>
  <si>
    <t>Szymkowiak,Edward</t>
  </si>
  <si>
    <t>Shaw,Tyrone</t>
  </si>
  <si>
    <t>de Celis Bayon,Margarita</t>
  </si>
  <si>
    <t>WISE,CARSON</t>
  </si>
  <si>
    <t>Springer,Abdul</t>
  </si>
  <si>
    <t>ALSTON,CHARLES</t>
  </si>
  <si>
    <t>Forde,Renee</t>
  </si>
  <si>
    <t>CROWE,PEGGY A</t>
  </si>
  <si>
    <t>Scott,Lysa L</t>
  </si>
  <si>
    <t>Quinn,Joseph</t>
  </si>
  <si>
    <t>Senegar-Mitchell,Ericka</t>
  </si>
  <si>
    <t>Puglisi,Kelley</t>
  </si>
  <si>
    <t>COLES,AMBER M</t>
  </si>
  <si>
    <t>Satlin Rad,Jennifer</t>
  </si>
  <si>
    <t>Wiscount,Melanie</t>
  </si>
  <si>
    <t>Armstead,David</t>
  </si>
  <si>
    <t>Wang,Jen</t>
  </si>
  <si>
    <t>Keyes,Gil Scott</t>
  </si>
  <si>
    <t>FELLS,STACY A</t>
  </si>
  <si>
    <t>Swann,Vincent</t>
  </si>
  <si>
    <t>THOMAS,GWENDOLYN</t>
  </si>
  <si>
    <t>Penn,Angie</t>
  </si>
  <si>
    <t>SY 12-13 School Enrollment @ 2012</t>
  </si>
  <si>
    <t>FY 2012 vs. FY 2013 - Per Student Cost Analyst</t>
  </si>
  <si>
    <t>FY 2013</t>
  </si>
  <si>
    <t>Budget Allocations: SOAR</t>
  </si>
  <si>
    <t>HUMAN CAPITAL LEADERSHIP</t>
  </si>
  <si>
    <t>CHIEF OF SCHOOLS</t>
  </si>
  <si>
    <t>VISITANT INSTRUCTIONAL SERVICES</t>
  </si>
  <si>
    <t>ACADEMIC PROGRAM AND SUPPORT</t>
  </si>
  <si>
    <t>LIBRARY MEDIA SERVICES</t>
  </si>
  <si>
    <t>COLLEGE CAREER READINESS</t>
  </si>
  <si>
    <t>EDUCATIONAL TECHNOLOGY</t>
  </si>
  <si>
    <t>OFFICE OF CURRICULUM &amp; INSTRUCTION</t>
  </si>
  <si>
    <t>AFTER SCHOOL PROGRAM</t>
  </si>
  <si>
    <t xml:space="preserve">OFC COM &amp; ED PROG-AFTER SCHOOL AIDES </t>
  </si>
  <si>
    <t>EARLY CHILDHOOD EDU &amp; HEAD START</t>
  </si>
  <si>
    <t>CAREER &amp; TECHNICAL EDUCATION</t>
  </si>
  <si>
    <t>OFFICE OF FEDERAL PROGRAMS &amp; GRANTS</t>
  </si>
  <si>
    <t>WTU CONTRACT TEACHERS</t>
  </si>
  <si>
    <t>LANGLEY EDUCATION CAMPUS</t>
  </si>
  <si>
    <t>WEBB/Wheatley ELEMENTARY</t>
  </si>
  <si>
    <t xml:space="preserve">CENTRAL ADMINISTRATION </t>
  </si>
  <si>
    <t>COLUMBIA HEIGHTS ES</t>
  </si>
  <si>
    <t>INCARCERATED YOUTH</t>
  </si>
  <si>
    <t>WASHINGTON METROPOLITAN HS</t>
  </si>
  <si>
    <t>EVENING CREDIT RECOVERY</t>
  </si>
  <si>
    <t>ENROLLMENT RESERVE</t>
  </si>
  <si>
    <t>SPED ENROLLMENT RESERVE</t>
  </si>
  <si>
    <t>STRATEGIC PLANNING RESERVE</t>
  </si>
  <si>
    <t>BACKGROUND CHECKS</t>
  </si>
  <si>
    <t>Org Code</t>
  </si>
  <si>
    <t>Fund Detail</t>
  </si>
  <si>
    <t>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</si>
</sst>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Verdana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Arial"/>
      <family val="2"/>
    </font>
    <font>
      <sz val="8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6"/>
      <name val="Verdana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theme="1"/>
      <name val="Arial"/>
      <family val="2"/>
    </font>
    <font>
      <sz val="1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color rgb="FF3F3F3F"/>
      <name val="Calibri"/>
      <family val="2"/>
      <scheme val="minor"/>
    </font>
    <font>
      <sz val="11"/>
      <color theme="3"/>
      <name val="Cambria"/>
      <family val="2"/>
      <scheme val="major"/>
    </font>
    <font>
      <sz val="10"/>
      <name val="Times New Roman"/>
      <family val="1"/>
    </font>
    <font>
      <sz val="1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</borders>
  <cellStyleXfs count="4843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4" fillId="0" borderId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20" fillId="0" borderId="0"/>
    <xf numFmtId="0" fontId="4" fillId="0" borderId="0">
      <alignment vertical="top"/>
    </xf>
    <xf numFmtId="0" fontId="21" fillId="0" borderId="0"/>
    <xf numFmtId="43" fontId="21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7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7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7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7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7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1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7" fillId="10" borderId="8" applyNumberFormat="0" applyAlignment="0" applyProtection="0"/>
    <xf numFmtId="0" fontId="28" fillId="10" borderId="8" applyNumberFormat="0" applyAlignment="0" applyProtection="0"/>
    <xf numFmtId="0" fontId="28" fillId="10" borderId="8" applyNumberFormat="0" applyAlignment="0" applyProtection="0"/>
    <xf numFmtId="0" fontId="28" fillId="10" borderId="8" applyNumberFormat="0" applyAlignment="0" applyProtection="0"/>
    <xf numFmtId="0" fontId="28" fillId="10" borderId="8" applyNumberFormat="0" applyAlignment="0" applyProtection="0"/>
    <xf numFmtId="0" fontId="27" fillId="11" borderId="11" applyNumberFormat="0" applyAlignment="0" applyProtection="0"/>
    <xf numFmtId="0" fontId="28" fillId="11" borderId="11" applyNumberFormat="0" applyAlignment="0" applyProtection="0"/>
    <xf numFmtId="0" fontId="28" fillId="11" borderId="11" applyNumberFormat="0" applyAlignment="0" applyProtection="0"/>
    <xf numFmtId="0" fontId="28" fillId="11" borderId="11" applyNumberFormat="0" applyAlignment="0" applyProtection="0"/>
    <xf numFmtId="0" fontId="28" fillId="11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5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5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5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" fillId="9" borderId="8" applyNumberFormat="0" applyAlignment="0" applyProtection="0"/>
    <xf numFmtId="0" fontId="27" fillId="9" borderId="8" applyNumberFormat="0" applyAlignment="0" applyProtection="0"/>
    <xf numFmtId="0" fontId="27" fillId="9" borderId="8" applyNumberFormat="0" applyAlignment="0" applyProtection="0"/>
    <xf numFmtId="0" fontId="27" fillId="9" borderId="8" applyNumberFormat="0" applyAlignment="0" applyProtection="0"/>
    <xf numFmtId="0" fontId="27" fillId="9" borderId="8" applyNumberFormat="0" applyAlignment="0" applyProtection="0"/>
    <xf numFmtId="0" fontId="5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27" fillId="0" borderId="10" applyNumberFormat="0" applyFill="0" applyAlignment="0" applyProtection="0"/>
    <xf numFmtId="0" fontId="5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/>
    <xf numFmtId="0" fontId="27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wrapText="1"/>
    </xf>
    <xf numFmtId="0" fontId="2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/>
    <xf numFmtId="0" fontId="27" fillId="0" borderId="0"/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6" fillId="0" borderId="0"/>
    <xf numFmtId="0" fontId="27" fillId="0" borderId="0"/>
    <xf numFmtId="0" fontId="27" fillId="0" borderId="0"/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 applyNumberFormat="0" applyFont="0" applyFill="0" applyBorder="0" applyAlignment="0" applyProtection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4" fillId="0" borderId="0"/>
    <xf numFmtId="0" fontId="26" fillId="0" borderId="0"/>
    <xf numFmtId="0" fontId="27" fillId="0" borderId="0"/>
    <xf numFmtId="0" fontId="2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8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>
      <alignment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12" applyNumberFormat="0" applyFont="0" applyAlignment="0" applyProtection="0"/>
    <xf numFmtId="0" fontId="1" fillId="0" borderId="12" applyNumberFormat="0" applyFont="0" applyAlignment="0" applyProtection="0"/>
    <xf numFmtId="0" fontId="1" fillId="0" borderId="12" applyNumberFormat="0" applyFont="0" applyAlignment="0" applyProtection="0"/>
    <xf numFmtId="0" fontId="1" fillId="0" borderId="12" applyNumberFormat="0" applyFont="0" applyAlignment="0" applyProtection="0"/>
    <xf numFmtId="0" fontId="1" fillId="0" borderId="12" applyNumberFormat="0" applyFont="0" applyAlignment="0" applyProtection="0"/>
    <xf numFmtId="0" fontId="1" fillId="0" borderId="12" applyNumberFormat="0" applyFont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0" borderId="12" applyNumberFormat="0" applyFont="0" applyFill="0" applyAlignment="0" applyProtection="0"/>
    <xf numFmtId="0" fontId="1" fillId="12" borderId="12" applyNumberFormat="0" applyFont="0" applyAlignment="0" applyProtection="0"/>
    <xf numFmtId="0" fontId="1" fillId="12" borderId="12" applyNumberFormat="0" applyFont="0" applyAlignment="0" applyProtection="0"/>
    <xf numFmtId="0" fontId="1" fillId="12" borderId="12" applyNumberFormat="0" applyFont="0" applyAlignment="0" applyProtection="0"/>
    <xf numFmtId="0" fontId="1" fillId="12" borderId="12" applyNumberFormat="0" applyFont="0" applyAlignment="0" applyProtection="0"/>
    <xf numFmtId="0" fontId="30" fillId="0" borderId="9" applyNumberFormat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9" fontId="2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0" fontId="1" fillId="0" borderId="13" applyNumberFormat="0" applyFill="0" applyAlignment="0" applyProtection="0"/>
    <xf numFmtId="43" fontId="1" fillId="0" borderId="0" applyFont="0" applyFill="0" applyBorder="0" applyAlignment="0" applyProtection="0"/>
    <xf numFmtId="0" fontId="37" fillId="0" borderId="0"/>
  </cellStyleXfs>
  <cellXfs count="319">
    <xf numFmtId="0" fontId="0" fillId="0" borderId="0" xfId="0"/>
    <xf numFmtId="0" fontId="3" fillId="0" borderId="0" xfId="2" applyFont="1"/>
    <xf numFmtId="0" fontId="5" fillId="0" borderId="0" xfId="3" applyFont="1" applyBorder="1" applyAlignment="1">
      <alignment horizontal="center" vertical="center"/>
    </xf>
    <xf numFmtId="0" fontId="2" fillId="0" borderId="0" xfId="2"/>
    <xf numFmtId="0" fontId="6" fillId="0" borderId="0" xfId="3" applyFont="1" applyBorder="1" applyAlignment="1">
      <alignment horizontal="center" vertical="top"/>
    </xf>
    <xf numFmtId="0" fontId="7" fillId="0" borderId="0" xfId="3" applyNumberFormat="1" applyFont="1" applyBorder="1" applyAlignment="1">
      <alignment horizontal="center" vertical="center" wrapText="1"/>
    </xf>
    <xf numFmtId="0" fontId="5" fillId="0" borderId="1" xfId="3" applyNumberFormat="1" applyFont="1" applyBorder="1" applyAlignment="1">
      <alignment horizontal="center" vertical="center" wrapText="1"/>
    </xf>
    <xf numFmtId="0" fontId="6" fillId="0" borderId="2" xfId="3" applyNumberFormat="1" applyFont="1" applyBorder="1" applyAlignment="1">
      <alignment horizontal="center" vertical="center" wrapText="1"/>
    </xf>
    <xf numFmtId="0" fontId="6" fillId="0" borderId="0" xfId="3" applyNumberFormat="1" applyFont="1" applyBorder="1" applyAlignment="1">
      <alignment horizontal="center" vertical="center" wrapText="1"/>
    </xf>
    <xf numFmtId="10" fontId="6" fillId="0" borderId="2" xfId="3" applyNumberFormat="1" applyFont="1" applyBorder="1" applyAlignment="1">
      <alignment horizontal="center" vertical="center" wrapText="1"/>
    </xf>
    <xf numFmtId="0" fontId="6" fillId="0" borderId="2" xfId="3" applyNumberFormat="1" applyFont="1" applyFill="1" applyBorder="1" applyAlignment="1">
      <alignment horizontal="center" vertical="center" wrapText="1"/>
    </xf>
    <xf numFmtId="0" fontId="10" fillId="0" borderId="2" xfId="3" applyNumberFormat="1" applyFont="1" applyBorder="1" applyAlignment="1">
      <alignment horizontal="center" vertical="center" wrapText="1"/>
    </xf>
    <xf numFmtId="2" fontId="10" fillId="2" borderId="2" xfId="3" applyNumberFormat="1" applyFont="1" applyFill="1" applyBorder="1" applyAlignment="1">
      <alignment horizontal="center" vertical="center" wrapText="1"/>
    </xf>
    <xf numFmtId="0" fontId="11" fillId="0" borderId="0" xfId="3" applyNumberFormat="1" applyFont="1" applyAlignment="1">
      <alignment horizontal="center" vertical="center" wrapText="1"/>
    </xf>
    <xf numFmtId="0" fontId="4" fillId="0" borderId="0" xfId="3" applyNumberFormat="1" applyAlignment="1">
      <alignment vertical="top" wrapText="1"/>
    </xf>
    <xf numFmtId="0" fontId="5" fillId="0" borderId="0" xfId="3" applyFont="1" applyFill="1" applyAlignment="1">
      <alignment horizontal="center" vertical="center"/>
    </xf>
    <xf numFmtId="0" fontId="12" fillId="0" borderId="0" xfId="3" applyFont="1" applyFill="1" applyAlignment="1">
      <alignment horizontal="center" vertical="top"/>
    </xf>
    <xf numFmtId="0" fontId="12" fillId="0" borderId="0" xfId="3" applyFont="1" applyFill="1">
      <alignment vertical="top"/>
    </xf>
    <xf numFmtId="0" fontId="6" fillId="0" borderId="0" xfId="3" applyFont="1" applyFill="1" applyAlignment="1">
      <alignment horizontal="center" vertical="center"/>
    </xf>
    <xf numFmtId="10" fontId="6" fillId="0" borderId="0" xfId="3" applyNumberFormat="1" applyFont="1" applyFill="1" applyAlignment="1">
      <alignment horizontal="center" vertical="center"/>
    </xf>
    <xf numFmtId="2" fontId="6" fillId="0" borderId="0" xfId="3" applyNumberFormat="1" applyFont="1" applyFill="1" applyAlignment="1">
      <alignment horizontal="center" vertical="center"/>
    </xf>
    <xf numFmtId="0" fontId="10" fillId="0" borderId="0" xfId="3" applyFont="1" applyFill="1" applyAlignment="1">
      <alignment horizontal="center" vertical="center"/>
    </xf>
    <xf numFmtId="0" fontId="6" fillId="0" borderId="0" xfId="3" applyNumberFormat="1" applyFont="1" applyFill="1" applyAlignment="1">
      <alignment horizontal="center" vertical="center"/>
    </xf>
    <xf numFmtId="2" fontId="13" fillId="0" borderId="0" xfId="3" applyNumberFormat="1" applyFont="1" applyAlignment="1">
      <alignment horizontal="center" vertical="center" wrapText="1"/>
    </xf>
    <xf numFmtId="2" fontId="11" fillId="0" borderId="0" xfId="3" applyNumberFormat="1" applyFont="1" applyAlignment="1">
      <alignment horizontal="center" vertical="center" wrapText="1"/>
    </xf>
    <xf numFmtId="0" fontId="11" fillId="0" borderId="0" xfId="3" applyFont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5" fillId="0" borderId="2" xfId="3" applyFont="1" applyFill="1" applyBorder="1" applyAlignment="1">
      <alignment horizontal="center" vertical="center"/>
    </xf>
    <xf numFmtId="0" fontId="12" fillId="0" borderId="3" xfId="3" applyFont="1" applyFill="1" applyBorder="1" applyAlignment="1">
      <alignment horizontal="center" vertical="top"/>
    </xf>
    <xf numFmtId="0" fontId="12" fillId="0" borderId="4" xfId="3" applyFont="1" applyFill="1" applyBorder="1">
      <alignment vertical="top"/>
    </xf>
    <xf numFmtId="10" fontId="6" fillId="0" borderId="0" xfId="1" applyNumberFormat="1" applyFont="1" applyFill="1" applyAlignment="1">
      <alignment horizontal="center" vertical="top"/>
    </xf>
    <xf numFmtId="2" fontId="12" fillId="0" borderId="2" xfId="3" applyNumberFormat="1" applyFont="1" applyFill="1" applyBorder="1" applyAlignment="1">
      <alignment horizontal="center"/>
    </xf>
    <xf numFmtId="2" fontId="12" fillId="0" borderId="2" xfId="3" applyNumberFormat="1" applyFont="1" applyFill="1" applyBorder="1" applyAlignment="1">
      <alignment horizontal="center" vertical="top"/>
    </xf>
    <xf numFmtId="2" fontId="14" fillId="0" borderId="2" xfId="3" applyNumberFormat="1" applyFont="1" applyFill="1" applyBorder="1" applyAlignment="1">
      <alignment horizontal="center" vertical="top"/>
    </xf>
    <xf numFmtId="2" fontId="10" fillId="0" borderId="2" xfId="3" applyNumberFormat="1" applyFont="1" applyFill="1" applyBorder="1" applyAlignment="1">
      <alignment horizontal="center" vertical="top"/>
    </xf>
    <xf numFmtId="0" fontId="15" fillId="0" borderId="0" xfId="3" applyNumberFormat="1" applyFont="1" applyFill="1" applyAlignment="1">
      <alignment horizontal="center" vertical="top"/>
    </xf>
    <xf numFmtId="4" fontId="16" fillId="0" borderId="0" xfId="3" applyNumberFormat="1" applyFont="1" applyFill="1">
      <alignment vertical="top"/>
    </xf>
    <xf numFmtId="4" fontId="4" fillId="0" borderId="0" xfId="3" applyNumberFormat="1" applyFill="1">
      <alignment vertical="top"/>
    </xf>
    <xf numFmtId="0" fontId="4" fillId="0" borderId="0" xfId="3" applyFill="1">
      <alignment vertical="top"/>
    </xf>
    <xf numFmtId="0" fontId="7" fillId="0" borderId="0" xfId="3" applyFont="1" applyAlignment="1">
      <alignment horizontal="center" vertical="center"/>
    </xf>
    <xf numFmtId="4" fontId="4" fillId="0" borderId="0" xfId="3" applyNumberFormat="1">
      <alignment vertical="top"/>
    </xf>
    <xf numFmtId="0" fontId="6" fillId="0" borderId="0" xfId="3" applyFont="1" applyFill="1">
      <alignment vertical="top"/>
    </xf>
    <xf numFmtId="3" fontId="6" fillId="0" borderId="0" xfId="3" applyNumberFormat="1" applyFont="1" applyFill="1" applyAlignment="1">
      <alignment horizontal="center" vertical="top"/>
    </xf>
    <xf numFmtId="0" fontId="2" fillId="0" borderId="0" xfId="2" applyProtection="1"/>
    <xf numFmtId="3" fontId="12" fillId="0" borderId="0" xfId="3" applyNumberFormat="1" applyFont="1" applyFill="1" applyProtection="1">
      <alignment vertical="top"/>
    </xf>
    <xf numFmtId="3" fontId="12" fillId="0" borderId="0" xfId="3" applyNumberFormat="1" applyFont="1" applyFill="1" applyAlignment="1" applyProtection="1">
      <alignment horizontal="center" vertical="top"/>
    </xf>
    <xf numFmtId="2" fontId="12" fillId="0" borderId="0" xfId="3" applyNumberFormat="1" applyFont="1" applyFill="1" applyAlignment="1" applyProtection="1">
      <alignment horizontal="center"/>
    </xf>
    <xf numFmtId="2" fontId="14" fillId="0" borderId="0" xfId="3" applyNumberFormat="1" applyFont="1" applyFill="1" applyAlignment="1">
      <alignment horizontal="center" vertical="top"/>
    </xf>
    <xf numFmtId="2" fontId="10" fillId="0" borderId="0" xfId="3" applyNumberFormat="1" applyFont="1" applyFill="1" applyAlignment="1">
      <alignment horizontal="center" vertical="top"/>
    </xf>
    <xf numFmtId="0" fontId="6" fillId="0" borderId="0" xfId="3" applyFont="1" applyAlignment="1">
      <alignment horizontal="center" vertical="top"/>
    </xf>
    <xf numFmtId="2" fontId="12" fillId="0" borderId="0" xfId="3" applyNumberFormat="1" applyFont="1" applyFill="1" applyAlignment="1">
      <alignment horizontal="center"/>
    </xf>
    <xf numFmtId="2" fontId="12" fillId="0" borderId="0" xfId="3" applyNumberFormat="1" applyFont="1" applyFill="1" applyAlignment="1">
      <alignment horizontal="center" vertical="top"/>
    </xf>
    <xf numFmtId="3" fontId="12" fillId="0" borderId="0" xfId="3" applyNumberFormat="1" applyFont="1" applyFill="1" applyAlignment="1">
      <alignment horizontal="center" vertical="top"/>
    </xf>
    <xf numFmtId="4" fontId="4" fillId="0" borderId="0" xfId="3" applyNumberFormat="1" applyFont="1">
      <alignment vertical="top"/>
    </xf>
    <xf numFmtId="0" fontId="4" fillId="0" borderId="0" xfId="3">
      <alignment vertical="top"/>
    </xf>
    <xf numFmtId="0" fontId="11" fillId="0" borderId="0" xfId="3" applyFont="1">
      <alignment vertical="top"/>
    </xf>
    <xf numFmtId="0" fontId="4" fillId="0" borderId="0" xfId="3" applyFont="1">
      <alignment vertical="top"/>
    </xf>
    <xf numFmtId="3" fontId="6" fillId="0" borderId="0" xfId="3" applyNumberFormat="1" applyFont="1" applyFill="1" applyProtection="1">
      <alignment vertical="top"/>
    </xf>
    <xf numFmtId="10" fontId="6" fillId="0" borderId="0" xfId="3" applyNumberFormat="1" applyFont="1" applyFill="1" applyProtection="1">
      <alignment vertical="top"/>
    </xf>
    <xf numFmtId="3" fontId="6" fillId="0" borderId="0" xfId="3" applyNumberFormat="1" applyFont="1" applyFill="1" applyAlignment="1" applyProtection="1">
      <alignment horizontal="center" vertical="top"/>
    </xf>
    <xf numFmtId="2" fontId="6" fillId="0" borderId="0" xfId="3" applyNumberFormat="1" applyFont="1" applyFill="1" applyAlignment="1">
      <alignment horizontal="center"/>
    </xf>
    <xf numFmtId="4" fontId="17" fillId="0" borderId="0" xfId="3" applyNumberFormat="1" applyFont="1">
      <alignment vertical="top"/>
    </xf>
    <xf numFmtId="4" fontId="18" fillId="0" borderId="0" xfId="3" applyNumberFormat="1" applyFont="1">
      <alignment vertical="top"/>
    </xf>
    <xf numFmtId="0" fontId="6" fillId="0" borderId="0" xfId="3" applyFont="1" applyFill="1" applyAlignment="1">
      <alignment horizontal="center" vertical="top"/>
    </xf>
    <xf numFmtId="0" fontId="12" fillId="0" borderId="0" xfId="3" applyFont="1" applyFill="1" applyProtection="1">
      <alignment vertical="top"/>
    </xf>
    <xf numFmtId="10" fontId="12" fillId="0" borderId="0" xfId="3" applyNumberFormat="1" applyFont="1" applyFill="1" applyProtection="1">
      <alignment vertical="top"/>
    </xf>
    <xf numFmtId="0" fontId="12" fillId="0" borderId="0" xfId="3" applyFont="1" applyFill="1" applyAlignment="1" applyProtection="1">
      <alignment horizontal="center" vertical="top"/>
    </xf>
    <xf numFmtId="4" fontId="16" fillId="0" borderId="0" xfId="3" applyNumberFormat="1" applyFont="1">
      <alignment vertical="top"/>
    </xf>
    <xf numFmtId="0" fontId="12" fillId="0" borderId="0" xfId="3" applyNumberFormat="1" applyFont="1" applyFill="1" applyAlignment="1">
      <alignment horizontal="center" vertical="top"/>
    </xf>
    <xf numFmtId="3" fontId="12" fillId="0" borderId="0" xfId="3" applyNumberFormat="1" applyFont="1" applyFill="1">
      <alignment vertical="top"/>
    </xf>
    <xf numFmtId="10" fontId="12" fillId="0" borderId="0" xfId="3" applyNumberFormat="1" applyFont="1" applyFill="1">
      <alignment vertical="top"/>
    </xf>
    <xf numFmtId="3" fontId="14" fillId="0" borderId="0" xfId="3" applyNumberFormat="1" applyFont="1" applyFill="1" applyBorder="1" applyAlignment="1">
      <alignment horizontal="center"/>
    </xf>
    <xf numFmtId="3" fontId="6" fillId="0" borderId="0" xfId="3" applyNumberFormat="1" applyFont="1" applyFill="1">
      <alignment vertical="top"/>
    </xf>
    <xf numFmtId="3" fontId="14" fillId="0" borderId="0" xfId="3" applyNumberFormat="1" applyFont="1" applyFill="1" applyAlignment="1">
      <alignment horizontal="center" vertical="top"/>
    </xf>
    <xf numFmtId="0" fontId="14" fillId="0" borderId="0" xfId="3" applyFont="1" applyFill="1" applyAlignment="1">
      <alignment horizontal="center" vertical="top"/>
    </xf>
    <xf numFmtId="0" fontId="16" fillId="0" borderId="0" xfId="3" applyFont="1">
      <alignment vertical="top"/>
    </xf>
    <xf numFmtId="0" fontId="19" fillId="0" borderId="0" xfId="0" applyFont="1"/>
    <xf numFmtId="0" fontId="1" fillId="0" borderId="0" xfId="0" applyFont="1"/>
    <xf numFmtId="0" fontId="12" fillId="5" borderId="4" xfId="3" applyFont="1" applyFill="1" applyBorder="1">
      <alignment vertical="top"/>
    </xf>
    <xf numFmtId="0" fontId="12" fillId="5" borderId="3" xfId="3" applyFont="1" applyFill="1" applyBorder="1" applyAlignment="1">
      <alignment horizontal="center" vertical="top"/>
    </xf>
    <xf numFmtId="10" fontId="12" fillId="5" borderId="2" xfId="3" applyNumberFormat="1" applyFont="1" applyFill="1" applyBorder="1" applyProtection="1">
      <alignment vertical="top"/>
    </xf>
    <xf numFmtId="2" fontId="12" fillId="5" borderId="2" xfId="3" applyNumberFormat="1" applyFont="1" applyFill="1" applyBorder="1" applyAlignment="1" applyProtection="1">
      <alignment horizontal="center"/>
    </xf>
    <xf numFmtId="2" fontId="12" fillId="5" borderId="2" xfId="3" applyNumberFormat="1" applyFont="1" applyFill="1" applyBorder="1" applyAlignment="1">
      <alignment horizontal="center"/>
    </xf>
    <xf numFmtId="2" fontId="12" fillId="5" borderId="2" xfId="3" applyNumberFormat="1" applyFont="1" applyFill="1" applyBorder="1" applyAlignment="1">
      <alignment horizontal="center" vertical="top"/>
    </xf>
    <xf numFmtId="2" fontId="10" fillId="5" borderId="2" xfId="3" applyNumberFormat="1" applyFont="1" applyFill="1" applyBorder="1" applyAlignment="1">
      <alignment horizontal="center" vertical="top"/>
    </xf>
    <xf numFmtId="0" fontId="15" fillId="5" borderId="0" xfId="3" applyNumberFormat="1" applyFont="1" applyFill="1" applyAlignment="1">
      <alignment horizontal="center" vertical="top"/>
    </xf>
    <xf numFmtId="10" fontId="6" fillId="5" borderId="0" xfId="1" applyNumberFormat="1" applyFont="1" applyFill="1" applyAlignment="1">
      <alignment horizontal="center" vertical="top"/>
    </xf>
    <xf numFmtId="0" fontId="23" fillId="0" borderId="0" xfId="2" applyFont="1" applyAlignment="1">
      <alignment horizontal="center"/>
    </xf>
    <xf numFmtId="3" fontId="24" fillId="0" borderId="0" xfId="9" applyNumberFormat="1" applyFont="1" applyAlignment="1">
      <alignment horizontal="center" vertical="top"/>
    </xf>
    <xf numFmtId="0" fontId="24" fillId="0" borderId="0" xfId="9" applyFont="1">
      <alignment vertical="top"/>
    </xf>
    <xf numFmtId="0" fontId="24" fillId="0" borderId="0" xfId="9" applyFont="1" applyAlignment="1">
      <alignment horizontal="center" vertical="top"/>
    </xf>
    <xf numFmtId="0" fontId="25" fillId="0" borderId="0" xfId="9" applyFont="1">
      <alignment vertical="top"/>
    </xf>
    <xf numFmtId="3" fontId="25" fillId="0" borderId="0" xfId="9" applyNumberFormat="1" applyFont="1" applyAlignment="1">
      <alignment horizontal="center" vertical="top"/>
    </xf>
    <xf numFmtId="0" fontId="24" fillId="0" borderId="0" xfId="9" applyFont="1" applyFill="1">
      <alignment vertical="top"/>
    </xf>
    <xf numFmtId="3" fontId="24" fillId="0" borderId="0" xfId="9" applyNumberFormat="1" applyFont="1">
      <alignment vertical="top"/>
    </xf>
    <xf numFmtId="0" fontId="24" fillId="4" borderId="0" xfId="9" applyFont="1" applyFill="1">
      <alignment vertical="top"/>
    </xf>
    <xf numFmtId="0" fontId="32" fillId="0" borderId="0" xfId="9" applyFont="1" applyFill="1">
      <alignment vertical="top"/>
    </xf>
    <xf numFmtId="40" fontId="24" fillId="0" borderId="0" xfId="9" applyNumberFormat="1" applyFont="1">
      <alignment vertical="top"/>
    </xf>
    <xf numFmtId="40" fontId="24" fillId="0" borderId="0" xfId="9" applyNumberFormat="1" applyFont="1" applyAlignment="1">
      <alignment vertical="center"/>
    </xf>
    <xf numFmtId="10" fontId="24" fillId="0" borderId="0" xfId="9" applyNumberFormat="1" applyFont="1">
      <alignment vertical="top"/>
    </xf>
    <xf numFmtId="0" fontId="24" fillId="3" borderId="2" xfId="9" applyFont="1" applyFill="1" applyBorder="1">
      <alignment vertical="top"/>
    </xf>
    <xf numFmtId="0" fontId="25" fillId="3" borderId="2" xfId="9" applyFont="1" applyFill="1" applyBorder="1" applyAlignment="1">
      <alignment horizontal="center" vertical="top" wrapText="1"/>
    </xf>
    <xf numFmtId="0" fontId="25" fillId="3" borderId="2" xfId="9" applyFont="1" applyFill="1" applyBorder="1" applyAlignment="1">
      <alignment horizontal="center" vertical="top"/>
    </xf>
    <xf numFmtId="3" fontId="25" fillId="3" borderId="2" xfId="9" applyNumberFormat="1" applyFont="1" applyFill="1" applyBorder="1" applyAlignment="1">
      <alignment horizontal="center" vertical="top" wrapText="1"/>
    </xf>
    <xf numFmtId="40" fontId="25" fillId="3" borderId="2" xfId="9" applyNumberFormat="1" applyFont="1" applyFill="1" applyBorder="1" applyAlignment="1">
      <alignment horizontal="center" vertical="top" wrapText="1"/>
    </xf>
    <xf numFmtId="10" fontId="25" fillId="3" borderId="2" xfId="9" applyNumberFormat="1" applyFont="1" applyFill="1" applyBorder="1" applyAlignment="1">
      <alignment horizontal="center" vertical="top" wrapText="1"/>
    </xf>
    <xf numFmtId="0" fontId="24" fillId="3" borderId="0" xfId="9" applyFont="1" applyFill="1" applyBorder="1">
      <alignment vertical="top"/>
    </xf>
    <xf numFmtId="0" fontId="25" fillId="3" borderId="0" xfId="9" applyFont="1" applyFill="1" applyBorder="1" applyAlignment="1">
      <alignment horizontal="center" vertical="top" wrapText="1"/>
    </xf>
    <xf numFmtId="0" fontId="25" fillId="3" borderId="0" xfId="9" applyFont="1" applyFill="1" applyBorder="1" applyAlignment="1">
      <alignment horizontal="center" vertical="top"/>
    </xf>
    <xf numFmtId="49" fontId="25" fillId="3" borderId="23" xfId="9" applyNumberFormat="1" applyFont="1" applyFill="1" applyBorder="1" applyAlignment="1">
      <alignment horizontal="center" vertical="top" wrapText="1"/>
    </xf>
    <xf numFmtId="49" fontId="25" fillId="3" borderId="24" xfId="9" applyNumberFormat="1" applyFont="1" applyFill="1" applyBorder="1" applyAlignment="1">
      <alignment horizontal="center" vertical="top" wrapText="1"/>
    </xf>
    <xf numFmtId="49" fontId="25" fillId="3" borderId="0" xfId="9" applyNumberFormat="1" applyFont="1" applyFill="1" applyBorder="1" applyAlignment="1">
      <alignment horizontal="center" vertical="top" wrapText="1"/>
    </xf>
    <xf numFmtId="0" fontId="24" fillId="0" borderId="0" xfId="9" applyFont="1" applyFill="1" applyAlignment="1">
      <alignment horizontal="center" vertical="top"/>
    </xf>
    <xf numFmtId="3" fontId="32" fillId="0" borderId="16" xfId="8" applyNumberFormat="1" applyFont="1" applyFill="1" applyBorder="1" applyAlignment="1">
      <alignment horizontal="center"/>
    </xf>
    <xf numFmtId="3" fontId="24" fillId="0" borderId="16" xfId="9" applyNumberFormat="1" applyFont="1" applyFill="1" applyBorder="1">
      <alignment vertical="top"/>
    </xf>
    <xf numFmtId="40" fontId="24" fillId="0" borderId="16" xfId="9" applyNumberFormat="1" applyFont="1" applyFill="1" applyBorder="1">
      <alignment vertical="top"/>
    </xf>
    <xf numFmtId="10" fontId="24" fillId="0" borderId="16" xfId="9" applyNumberFormat="1" applyFont="1" applyFill="1" applyBorder="1">
      <alignment vertical="top"/>
    </xf>
    <xf numFmtId="10" fontId="24" fillId="0" borderId="17" xfId="9" applyNumberFormat="1" applyFont="1" applyBorder="1">
      <alignment vertical="top"/>
    </xf>
    <xf numFmtId="3" fontId="24" fillId="0" borderId="14" xfId="9" applyNumberFormat="1" applyFont="1" applyFill="1" applyBorder="1">
      <alignment vertical="top"/>
    </xf>
    <xf numFmtId="40" fontId="24" fillId="0" borderId="14" xfId="9" applyNumberFormat="1" applyFont="1" applyFill="1" applyBorder="1">
      <alignment vertical="top"/>
    </xf>
    <xf numFmtId="10" fontId="24" fillId="0" borderId="14" xfId="9" applyNumberFormat="1" applyFont="1" applyFill="1" applyBorder="1">
      <alignment vertical="top"/>
    </xf>
    <xf numFmtId="10" fontId="24" fillId="0" borderId="19" xfId="9" applyNumberFormat="1" applyFont="1" applyBorder="1">
      <alignment vertical="top"/>
    </xf>
    <xf numFmtId="0" fontId="32" fillId="0" borderId="0" xfId="9" applyFont="1" applyFill="1" applyAlignment="1">
      <alignment horizontal="center" vertical="top"/>
    </xf>
    <xf numFmtId="3" fontId="24" fillId="0" borderId="21" xfId="9" applyNumberFormat="1" applyFont="1" applyFill="1" applyBorder="1">
      <alignment vertical="top"/>
    </xf>
    <xf numFmtId="40" fontId="24" fillId="0" borderId="21" xfId="9" applyNumberFormat="1" applyFont="1" applyFill="1" applyBorder="1">
      <alignment vertical="top"/>
    </xf>
    <xf numFmtId="10" fontId="24" fillId="0" borderId="21" xfId="9" applyNumberFormat="1" applyFont="1" applyFill="1" applyBorder="1">
      <alignment vertical="top"/>
    </xf>
    <xf numFmtId="10" fontId="24" fillId="0" borderId="22" xfId="9" applyNumberFormat="1" applyFont="1" applyBorder="1">
      <alignment vertical="top"/>
    </xf>
    <xf numFmtId="3" fontId="24" fillId="0" borderId="0" xfId="9" applyNumberFormat="1" applyFont="1" applyFill="1">
      <alignment vertical="top"/>
    </xf>
    <xf numFmtId="40" fontId="24" fillId="0" borderId="0" xfId="9" applyNumberFormat="1" applyFont="1" applyFill="1">
      <alignment vertical="top"/>
    </xf>
    <xf numFmtId="10" fontId="24" fillId="0" borderId="0" xfId="9" applyNumberFormat="1" applyFont="1" applyFill="1">
      <alignment vertical="top"/>
    </xf>
    <xf numFmtId="0" fontId="25" fillId="0" borderId="0" xfId="9" applyFont="1" applyFill="1" applyBorder="1">
      <alignment vertical="top"/>
    </xf>
    <xf numFmtId="40" fontId="25" fillId="0" borderId="0" xfId="9" applyNumberFormat="1" applyFont="1">
      <alignment vertical="top"/>
    </xf>
    <xf numFmtId="2" fontId="14" fillId="5" borderId="2" xfId="3" applyNumberFormat="1" applyFont="1" applyFill="1" applyBorder="1" applyAlignment="1">
      <alignment horizontal="center" vertical="top"/>
    </xf>
    <xf numFmtId="2" fontId="10" fillId="5" borderId="0" xfId="3" applyNumberFormat="1" applyFont="1" applyFill="1" applyAlignment="1">
      <alignment horizontal="center" vertical="top"/>
    </xf>
    <xf numFmtId="10" fontId="24" fillId="5" borderId="19" xfId="9" applyNumberFormat="1" applyFont="1" applyFill="1" applyBorder="1">
      <alignment vertical="top"/>
    </xf>
    <xf numFmtId="10" fontId="24" fillId="5" borderId="0" xfId="9" applyNumberFormat="1" applyFont="1" applyFill="1">
      <alignment vertical="top"/>
    </xf>
    <xf numFmtId="0" fontId="24" fillId="0" borderId="0" xfId="9" applyFont="1" applyBorder="1" applyAlignment="1">
      <alignment horizontal="left" vertical="top"/>
    </xf>
    <xf numFmtId="4" fontId="24" fillId="0" borderId="16" xfId="9" applyNumberFormat="1" applyFont="1" applyFill="1" applyBorder="1">
      <alignment vertical="top"/>
    </xf>
    <xf numFmtId="4" fontId="24" fillId="0" borderId="14" xfId="9" applyNumberFormat="1" applyFont="1" applyFill="1" applyBorder="1">
      <alignment vertical="top"/>
    </xf>
    <xf numFmtId="4" fontId="24" fillId="0" borderId="21" xfId="9" applyNumberFormat="1" applyFont="1" applyFill="1" applyBorder="1">
      <alignment vertical="top"/>
    </xf>
    <xf numFmtId="0" fontId="0" fillId="5" borderId="14" xfId="0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33" fillId="5" borderId="14" xfId="0" applyFont="1" applyFill="1" applyBorder="1"/>
    <xf numFmtId="0" fontId="34" fillId="5" borderId="18" xfId="0" applyFont="1" applyFill="1" applyBorder="1" applyAlignment="1">
      <alignment horizontal="center"/>
    </xf>
    <xf numFmtId="0" fontId="34" fillId="5" borderId="14" xfId="0" applyFont="1" applyFill="1" applyBorder="1"/>
    <xf numFmtId="41" fontId="0" fillId="0" borderId="0" xfId="0" applyNumberFormat="1"/>
    <xf numFmtId="3" fontId="6" fillId="5" borderId="0" xfId="3" applyNumberFormat="1" applyFont="1" applyFill="1" applyAlignment="1">
      <alignment horizontal="center" vertical="top"/>
    </xf>
    <xf numFmtId="49" fontId="25" fillId="3" borderId="23" xfId="9" quotePrefix="1" applyNumberFormat="1" applyFont="1" applyFill="1" applyBorder="1" applyAlignment="1">
      <alignment horizontal="center" vertical="top" wrapText="1"/>
    </xf>
    <xf numFmtId="49" fontId="25" fillId="3" borderId="0" xfId="9" quotePrefix="1" applyNumberFormat="1" applyFont="1" applyFill="1" applyBorder="1" applyAlignment="1">
      <alignment horizontal="center" vertical="top" wrapText="1"/>
    </xf>
    <xf numFmtId="2" fontId="10" fillId="38" borderId="2" xfId="3" applyNumberFormat="1" applyFont="1" applyFill="1" applyBorder="1" applyAlignment="1">
      <alignment horizontal="center" vertical="top"/>
    </xf>
    <xf numFmtId="3" fontId="14" fillId="39" borderId="2" xfId="3" applyNumberFormat="1" applyFont="1" applyFill="1" applyBorder="1" applyAlignment="1" applyProtection="1">
      <alignment horizontal="center"/>
    </xf>
    <xf numFmtId="0" fontId="24" fillId="3" borderId="2" xfId="9" applyFont="1" applyFill="1" applyBorder="1" applyAlignment="1">
      <alignment vertical="top" wrapText="1"/>
    </xf>
    <xf numFmtId="0" fontId="24" fillId="0" borderId="0" xfId="9" applyFont="1" applyAlignment="1">
      <alignment vertical="top" wrapText="1"/>
    </xf>
    <xf numFmtId="0" fontId="3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1" fontId="0" fillId="0" borderId="0" xfId="0" applyNumberFormat="1" applyAlignment="1">
      <alignment horizontal="center"/>
    </xf>
    <xf numFmtId="41" fontId="0" fillId="5" borderId="0" xfId="0" applyNumberFormat="1" applyFill="1" applyAlignment="1">
      <alignment horizontal="center"/>
    </xf>
    <xf numFmtId="41" fontId="0" fillId="5" borderId="0" xfId="0" applyNumberFormat="1" applyFill="1"/>
    <xf numFmtId="41" fontId="0" fillId="5" borderId="0" xfId="0" applyNumberFormat="1" applyFill="1" applyBorder="1" applyAlignment="1">
      <alignment horizontal="center"/>
    </xf>
    <xf numFmtId="0" fontId="0" fillId="0" borderId="26" xfId="0" applyBorder="1"/>
    <xf numFmtId="0" fontId="35" fillId="0" borderId="27" xfId="0" applyFont="1" applyBorder="1" applyAlignment="1">
      <alignment horizontal="center" wrapText="1"/>
    </xf>
    <xf numFmtId="0" fontId="35" fillId="0" borderId="26" xfId="0" applyFont="1" applyBorder="1" applyAlignment="1">
      <alignment horizontal="center" wrapText="1"/>
    </xf>
    <xf numFmtId="0" fontId="35" fillId="0" borderId="28" xfId="0" applyFont="1" applyBorder="1" applyAlignment="1">
      <alignment horizontal="center" wrapText="1"/>
    </xf>
    <xf numFmtId="41" fontId="35" fillId="37" borderId="28" xfId="0" applyNumberFormat="1" applyFont="1" applyFill="1" applyBorder="1" applyAlignment="1">
      <alignment horizontal="center" wrapText="1"/>
    </xf>
    <xf numFmtId="41" fontId="35" fillId="40" borderId="28" xfId="0" applyNumberFormat="1" applyFont="1" applyFill="1" applyBorder="1" applyAlignment="1">
      <alignment horizontal="center" wrapText="1"/>
    </xf>
    <xf numFmtId="41" fontId="35" fillId="5" borderId="27" xfId="0" applyNumberFormat="1" applyFont="1" applyFill="1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5" borderId="0" xfId="0" applyFill="1"/>
    <xf numFmtId="0" fontId="0" fillId="0" borderId="15" xfId="0" applyBorder="1"/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5" borderId="16" xfId="0" applyFill="1" applyBorder="1" applyAlignment="1">
      <alignment horizontal="center"/>
    </xf>
    <xf numFmtId="0" fontId="0" fillId="0" borderId="16" xfId="0" applyBorder="1"/>
    <xf numFmtId="41" fontId="0" fillId="37" borderId="16" xfId="0" applyNumberFormat="1" applyFill="1" applyBorder="1"/>
    <xf numFmtId="41" fontId="0" fillId="40" borderId="16" xfId="0" applyNumberFormat="1" applyFill="1" applyBorder="1" applyAlignment="1">
      <alignment horizontal="center"/>
    </xf>
    <xf numFmtId="41" fontId="0" fillId="5" borderId="30" xfId="0" applyNumberFormat="1" applyFill="1" applyBorder="1" applyAlignment="1">
      <alignment horizontal="center"/>
    </xf>
    <xf numFmtId="41" fontId="0" fillId="5" borderId="31" xfId="0" applyNumberFormat="1" applyFill="1" applyBorder="1" applyAlignment="1">
      <alignment horizontal="center"/>
    </xf>
    <xf numFmtId="164" fontId="0" fillId="0" borderId="17" xfId="1" applyNumberFormat="1" applyFont="1" applyBorder="1"/>
    <xf numFmtId="0" fontId="0" fillId="0" borderId="18" xfId="0" applyBorder="1"/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left"/>
    </xf>
    <xf numFmtId="0" fontId="0" fillId="5" borderId="14" xfId="0" applyFill="1" applyBorder="1" applyAlignment="1">
      <alignment horizontal="center"/>
    </xf>
    <xf numFmtId="0" fontId="0" fillId="0" borderId="14" xfId="0" applyBorder="1"/>
    <xf numFmtId="41" fontId="0" fillId="37" borderId="14" xfId="0" applyNumberFormat="1" applyFill="1" applyBorder="1"/>
    <xf numFmtId="41" fontId="0" fillId="40" borderId="14" xfId="0" applyNumberFormat="1" applyFill="1" applyBorder="1" applyAlignment="1">
      <alignment horizontal="center"/>
    </xf>
    <xf numFmtId="41" fontId="0" fillId="5" borderId="14" xfId="0" applyNumberFormat="1" applyFill="1" applyBorder="1" applyAlignment="1">
      <alignment horizontal="center"/>
    </xf>
    <xf numFmtId="164" fontId="0" fillId="0" borderId="19" xfId="1" applyNumberFormat="1" applyFont="1" applyBorder="1"/>
    <xf numFmtId="41" fontId="0" fillId="5" borderId="14" xfId="0" applyNumberFormat="1" applyFill="1" applyBorder="1"/>
    <xf numFmtId="0" fontId="0" fillId="5" borderId="18" xfId="0" applyFill="1" applyBorder="1"/>
    <xf numFmtId="0" fontId="0" fillId="5" borderId="14" xfId="0" applyFill="1" applyBorder="1"/>
    <xf numFmtId="0" fontId="0" fillId="5" borderId="20" xfId="0" applyFill="1" applyBorder="1"/>
    <xf numFmtId="0" fontId="0" fillId="5" borderId="21" xfId="0" applyFill="1" applyBorder="1" applyAlignment="1">
      <alignment horizontal="center"/>
    </xf>
    <xf numFmtId="0" fontId="0" fillId="5" borderId="21" xfId="0" applyFill="1" applyBorder="1"/>
    <xf numFmtId="41" fontId="0" fillId="37" borderId="21" xfId="0" applyNumberFormat="1" applyFill="1" applyBorder="1"/>
    <xf numFmtId="41" fontId="0" fillId="40" borderId="21" xfId="0" applyNumberFormat="1" applyFill="1" applyBorder="1" applyAlignment="1">
      <alignment horizontal="center"/>
    </xf>
    <xf numFmtId="41" fontId="0" fillId="5" borderId="21" xfId="0" applyNumberFormat="1" applyFill="1" applyBorder="1" applyAlignment="1">
      <alignment horizontal="center"/>
    </xf>
    <xf numFmtId="164" fontId="0" fillId="0" borderId="22" xfId="1" applyNumberFormat="1" applyFont="1" applyBorder="1"/>
    <xf numFmtId="0" fontId="0" fillId="5" borderId="15" xfId="0" applyFill="1" applyBorder="1"/>
    <xf numFmtId="0" fontId="0" fillId="5" borderId="16" xfId="0" applyFill="1" applyBorder="1"/>
    <xf numFmtId="41" fontId="0" fillId="5" borderId="16" xfId="0" applyNumberFormat="1" applyFill="1" applyBorder="1" applyAlignment="1">
      <alignment horizontal="center"/>
    </xf>
    <xf numFmtId="41" fontId="0" fillId="5" borderId="21" xfId="0" applyNumberFormat="1" applyFill="1" applyBorder="1"/>
    <xf numFmtId="41" fontId="0" fillId="5" borderId="16" xfId="0" applyNumberFormat="1" applyFill="1" applyBorder="1"/>
    <xf numFmtId="0" fontId="0" fillId="0" borderId="19" xfId="0" applyBorder="1"/>
    <xf numFmtId="0" fontId="0" fillId="41" borderId="18" xfId="0" applyFill="1" applyBorder="1"/>
    <xf numFmtId="0" fontId="0" fillId="41" borderId="14" xfId="0" applyFill="1" applyBorder="1" applyAlignment="1">
      <alignment horizontal="center"/>
    </xf>
    <xf numFmtId="0" fontId="33" fillId="41" borderId="14" xfId="0" applyFont="1" applyFill="1" applyBorder="1"/>
    <xf numFmtId="0" fontId="0" fillId="41" borderId="14" xfId="0" applyFill="1" applyBorder="1"/>
    <xf numFmtId="0" fontId="0" fillId="0" borderId="20" xfId="0" applyBorder="1"/>
    <xf numFmtId="0" fontId="34" fillId="5" borderId="21" xfId="0" applyFont="1" applyFill="1" applyBorder="1" applyAlignment="1">
      <alignment wrapText="1"/>
    </xf>
    <xf numFmtId="0" fontId="34" fillId="41" borderId="14" xfId="0" applyFont="1" applyFill="1" applyBorder="1" applyAlignment="1">
      <alignment horizontal="center"/>
    </xf>
    <xf numFmtId="0" fontId="34" fillId="41" borderId="14" xfId="0" applyFont="1" applyFill="1" applyBorder="1"/>
    <xf numFmtId="0" fontId="0" fillId="0" borderId="21" xfId="0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21" xfId="0" applyBorder="1"/>
    <xf numFmtId="0" fontId="0" fillId="5" borderId="32" xfId="0" applyFill="1" applyBorder="1"/>
    <xf numFmtId="0" fontId="0" fillId="5" borderId="33" xfId="0" applyFill="1" applyBorder="1" applyAlignment="1">
      <alignment horizontal="center"/>
    </xf>
    <xf numFmtId="0" fontId="0" fillId="5" borderId="33" xfId="0" applyFill="1" applyBorder="1" applyAlignment="1">
      <alignment horizontal="left"/>
    </xf>
    <xf numFmtId="0" fontId="0" fillId="5" borderId="33" xfId="0" applyFill="1" applyBorder="1"/>
    <xf numFmtId="41" fontId="0" fillId="37" borderId="33" xfId="0" applyNumberFormat="1" applyFill="1" applyBorder="1"/>
    <xf numFmtId="41" fontId="0" fillId="40" borderId="33" xfId="0" applyNumberFormat="1" applyFill="1" applyBorder="1" applyAlignment="1">
      <alignment horizontal="center"/>
    </xf>
    <xf numFmtId="41" fontId="0" fillId="5" borderId="33" xfId="0" applyNumberFormat="1" applyFill="1" applyBorder="1" applyAlignment="1">
      <alignment horizontal="center"/>
    </xf>
    <xf numFmtId="164" fontId="0" fillId="0" borderId="34" xfId="1" applyNumberFormat="1" applyFont="1" applyBorder="1"/>
    <xf numFmtId="0" fontId="0" fillId="5" borderId="3" xfId="0" applyFill="1" applyBorder="1"/>
    <xf numFmtId="0" fontId="0" fillId="5" borderId="3" xfId="0" applyFill="1" applyBorder="1" applyAlignment="1">
      <alignment horizontal="center"/>
    </xf>
    <xf numFmtId="0" fontId="0" fillId="5" borderId="3" xfId="0" applyFill="1" applyBorder="1" applyAlignment="1">
      <alignment horizontal="left"/>
    </xf>
    <xf numFmtId="41" fontId="0" fillId="5" borderId="3" xfId="0" applyNumberFormat="1" applyFill="1" applyBorder="1"/>
    <xf numFmtId="41" fontId="0" fillId="5" borderId="3" xfId="0" applyNumberFormat="1" applyFill="1" applyBorder="1" applyAlignment="1">
      <alignment horizontal="center"/>
    </xf>
    <xf numFmtId="0" fontId="35" fillId="0" borderId="35" xfId="0" applyFont="1" applyBorder="1" applyAlignment="1">
      <alignment horizontal="right"/>
    </xf>
    <xf numFmtId="0" fontId="35" fillId="0" borderId="36" xfId="0" applyFont="1" applyBorder="1" applyAlignment="1">
      <alignment horizontal="center"/>
    </xf>
    <xf numFmtId="0" fontId="0" fillId="0" borderId="36" xfId="0" applyBorder="1" applyAlignment="1">
      <alignment horizontal="left"/>
    </xf>
    <xf numFmtId="0" fontId="35" fillId="0" borderId="36" xfId="0" applyFont="1" applyBorder="1"/>
    <xf numFmtId="41" fontId="35" fillId="0" borderId="36" xfId="0" applyNumberFormat="1" applyFont="1" applyBorder="1"/>
    <xf numFmtId="41" fontId="35" fillId="5" borderId="37" xfId="0" applyNumberFormat="1" applyFont="1" applyFill="1" applyBorder="1" applyAlignment="1">
      <alignment horizontal="center"/>
    </xf>
    <xf numFmtId="41" fontId="35" fillId="5" borderId="37" xfId="0" applyNumberFormat="1" applyFont="1" applyFill="1" applyBorder="1"/>
    <xf numFmtId="164" fontId="35" fillId="0" borderId="38" xfId="1" applyNumberFormat="1" applyFont="1" applyBorder="1"/>
    <xf numFmtId="0" fontId="0" fillId="41" borderId="0" xfId="0" applyFill="1" applyAlignment="1">
      <alignment horizontal="left"/>
    </xf>
    <xf numFmtId="0" fontId="0" fillId="5" borderId="0" xfId="0" applyFill="1" applyAlignment="1">
      <alignment horizontal="left"/>
    </xf>
    <xf numFmtId="165" fontId="0" fillId="0" borderId="0" xfId="0" applyNumberFormat="1"/>
    <xf numFmtId="14" fontId="0" fillId="0" borderId="0" xfId="0" applyNumberFormat="1"/>
    <xf numFmtId="15" fontId="0" fillId="0" borderId="0" xfId="0" applyNumberFormat="1"/>
    <xf numFmtId="0" fontId="0" fillId="0" borderId="0" xfId="0" applyNumberFormat="1"/>
    <xf numFmtId="43" fontId="0" fillId="0" borderId="0" xfId="48432" applyFont="1"/>
    <xf numFmtId="1" fontId="24" fillId="0" borderId="0" xfId="9" applyNumberFormat="1" applyFont="1" applyAlignment="1">
      <alignment horizontal="center" vertical="top"/>
    </xf>
    <xf numFmtId="165" fontId="0" fillId="0" borderId="0" xfId="48432" applyNumberFormat="1" applyFont="1" applyAlignment="1">
      <alignment horizontal="right"/>
    </xf>
    <xf numFmtId="3" fontId="25" fillId="0" borderId="0" xfId="9" applyNumberFormat="1" applyFont="1" applyFill="1">
      <alignment vertical="top"/>
    </xf>
    <xf numFmtId="40" fontId="25" fillId="0" borderId="0" xfId="9" applyNumberFormat="1" applyFont="1" applyFill="1">
      <alignment vertical="top"/>
    </xf>
    <xf numFmtId="10" fontId="25" fillId="0" borderId="0" xfId="9" applyNumberFormat="1" applyFont="1" applyFill="1">
      <alignment vertical="top"/>
    </xf>
    <xf numFmtId="10" fontId="25" fillId="0" borderId="0" xfId="9" applyNumberFormat="1" applyFont="1">
      <alignment vertical="top"/>
    </xf>
    <xf numFmtId="0" fontId="25" fillId="3" borderId="23" xfId="9" applyNumberFormat="1" applyFont="1" applyFill="1" applyBorder="1" applyAlignment="1">
      <alignment horizontal="center" vertical="top" wrapText="1"/>
    </xf>
    <xf numFmtId="0" fontId="25" fillId="3" borderId="23" xfId="9" quotePrefix="1" applyNumberFormat="1" applyFont="1" applyFill="1" applyBorder="1" applyAlignment="1">
      <alignment horizontal="center" vertical="top" wrapText="1"/>
    </xf>
    <xf numFmtId="0" fontId="25" fillId="3" borderId="24" xfId="9" applyNumberFormat="1" applyFont="1" applyFill="1" applyBorder="1" applyAlignment="1">
      <alignment horizontal="center" vertical="top" wrapText="1"/>
    </xf>
    <xf numFmtId="0" fontId="25" fillId="3" borderId="0" xfId="9" quotePrefix="1" applyNumberFormat="1" applyFont="1" applyFill="1" applyBorder="1" applyAlignment="1">
      <alignment horizontal="center" vertical="top" wrapText="1"/>
    </xf>
    <xf numFmtId="0" fontId="25" fillId="3" borderId="0" xfId="9" applyNumberFormat="1" applyFont="1" applyFill="1" applyBorder="1" applyAlignment="1">
      <alignment horizontal="center" vertical="top" wrapText="1"/>
    </xf>
    <xf numFmtId="0" fontId="24" fillId="0" borderId="15" xfId="9" applyFont="1" applyFill="1" applyBorder="1">
      <alignment vertical="top"/>
    </xf>
    <xf numFmtId="10" fontId="24" fillId="0" borderId="16" xfId="9" applyNumberFormat="1" applyFont="1" applyBorder="1">
      <alignment vertical="top"/>
    </xf>
    <xf numFmtId="0" fontId="24" fillId="0" borderId="18" xfId="9" applyFont="1" applyFill="1" applyBorder="1">
      <alignment vertical="top"/>
    </xf>
    <xf numFmtId="3" fontId="32" fillId="0" borderId="14" xfId="8" applyNumberFormat="1" applyFont="1" applyFill="1" applyBorder="1" applyAlignment="1">
      <alignment horizontal="center"/>
    </xf>
    <xf numFmtId="10" fontId="24" fillId="0" borderId="14" xfId="9" applyNumberFormat="1" applyFont="1" applyBorder="1">
      <alignment vertical="top"/>
    </xf>
    <xf numFmtId="3" fontId="32" fillId="0" borderId="21" xfId="8" applyNumberFormat="1" applyFont="1" applyFill="1" applyBorder="1" applyAlignment="1">
      <alignment horizontal="center"/>
    </xf>
    <xf numFmtId="10" fontId="24" fillId="0" borderId="21" xfId="9" applyNumberFormat="1" applyFont="1" applyBorder="1">
      <alignment vertical="top"/>
    </xf>
    <xf numFmtId="0" fontId="14" fillId="0" borderId="0" xfId="6" applyFont="1" applyFill="1">
      <alignment vertical="top"/>
    </xf>
    <xf numFmtId="0" fontId="14" fillId="0" borderId="0" xfId="6" applyFont="1" applyFill="1" applyAlignment="1">
      <alignment horizontal="center" vertical="top"/>
    </xf>
    <xf numFmtId="0" fontId="24" fillId="0" borderId="15" xfId="9" applyFont="1" applyFill="1" applyBorder="1" applyAlignment="1">
      <alignment horizontal="center" vertical="top"/>
    </xf>
    <xf numFmtId="0" fontId="24" fillId="0" borderId="16" xfId="9" applyFont="1" applyFill="1" applyBorder="1" applyAlignment="1">
      <alignment horizontal="center" vertical="top"/>
    </xf>
    <xf numFmtId="0" fontId="24" fillId="0" borderId="16" xfId="9" applyFont="1" applyFill="1" applyBorder="1" applyAlignment="1">
      <alignment horizontal="left" vertical="top"/>
    </xf>
    <xf numFmtId="4" fontId="32" fillId="0" borderId="16" xfId="8" applyNumberFormat="1" applyFont="1" applyFill="1" applyBorder="1" applyAlignment="1">
      <alignment horizontal="right"/>
    </xf>
    <xf numFmtId="0" fontId="24" fillId="0" borderId="18" xfId="9" applyFont="1" applyFill="1" applyBorder="1" applyAlignment="1">
      <alignment horizontal="center" vertical="top"/>
    </xf>
    <xf numFmtId="0" fontId="24" fillId="0" borderId="14" xfId="9" applyFont="1" applyFill="1" applyBorder="1" applyAlignment="1">
      <alignment horizontal="center" vertical="top"/>
    </xf>
    <xf numFmtId="0" fontId="24" fillId="0" borderId="14" xfId="9" applyFont="1" applyFill="1" applyBorder="1" applyAlignment="1">
      <alignment horizontal="left" vertical="top"/>
    </xf>
    <xf numFmtId="4" fontId="32" fillId="0" borderId="14" xfId="8" applyNumberFormat="1" applyFont="1" applyFill="1" applyBorder="1" applyAlignment="1">
      <alignment horizontal="right"/>
    </xf>
    <xf numFmtId="0" fontId="24" fillId="0" borderId="20" xfId="9" applyFont="1" applyBorder="1" applyAlignment="1">
      <alignment horizontal="center" vertical="top"/>
    </xf>
    <xf numFmtId="0" fontId="32" fillId="0" borderId="21" xfId="6" applyFont="1" applyFill="1" applyBorder="1" applyAlignment="1">
      <alignment horizontal="center" vertical="top"/>
    </xf>
    <xf numFmtId="0" fontId="32" fillId="0" borderId="21" xfId="6" applyFont="1" applyFill="1" applyBorder="1">
      <alignment vertical="top"/>
    </xf>
    <xf numFmtId="4" fontId="32" fillId="0" borderId="21" xfId="8" applyNumberFormat="1" applyFont="1" applyFill="1" applyBorder="1" applyAlignment="1">
      <alignment horizontal="right"/>
    </xf>
    <xf numFmtId="0" fontId="36" fillId="0" borderId="0" xfId="0" quotePrefix="1" applyFont="1"/>
    <xf numFmtId="0" fontId="24" fillId="0" borderId="15" xfId="9" applyFont="1" applyBorder="1" applyAlignment="1">
      <alignment horizontal="center" vertical="top"/>
    </xf>
    <xf numFmtId="0" fontId="24" fillId="0" borderId="16" xfId="9" applyFont="1" applyBorder="1" applyAlignment="1">
      <alignment horizontal="center" vertical="top"/>
    </xf>
    <xf numFmtId="0" fontId="24" fillId="0" borderId="16" xfId="9" applyFont="1" applyBorder="1" applyAlignment="1">
      <alignment horizontal="left" vertical="top"/>
    </xf>
    <xf numFmtId="0" fontId="24" fillId="0" borderId="18" xfId="9" applyFont="1" applyBorder="1" applyAlignment="1">
      <alignment horizontal="center" vertical="top"/>
    </xf>
    <xf numFmtId="0" fontId="24" fillId="0" borderId="14" xfId="9" applyFont="1" applyBorder="1" applyAlignment="1">
      <alignment horizontal="center" vertical="top"/>
    </xf>
    <xf numFmtId="0" fontId="24" fillId="0" borderId="14" xfId="9" applyFont="1" applyBorder="1" applyAlignment="1">
      <alignment horizontal="left" vertical="top"/>
    </xf>
    <xf numFmtId="0" fontId="38" fillId="0" borderId="14" xfId="0" quotePrefix="1" applyFont="1" applyBorder="1"/>
    <xf numFmtId="0" fontId="24" fillId="0" borderId="21" xfId="9" applyFont="1" applyBorder="1" applyAlignment="1">
      <alignment horizontal="center" vertical="top"/>
    </xf>
    <xf numFmtId="0" fontId="24" fillId="0" borderId="21" xfId="9" applyFont="1" applyBorder="1" applyAlignment="1">
      <alignment horizontal="left" vertical="top"/>
    </xf>
    <xf numFmtId="0" fontId="24" fillId="0" borderId="16" xfId="9" applyFont="1" applyFill="1" applyBorder="1">
      <alignment vertical="top"/>
    </xf>
    <xf numFmtId="0" fontId="24" fillId="0" borderId="14" xfId="9" applyFont="1" applyFill="1" applyBorder="1">
      <alignment vertical="top"/>
    </xf>
    <xf numFmtId="0" fontId="24" fillId="5" borderId="14" xfId="9" applyFont="1" applyFill="1" applyBorder="1">
      <alignment vertical="top"/>
    </xf>
    <xf numFmtId="0" fontId="32" fillId="0" borderId="14" xfId="9" applyFont="1" applyFill="1" applyBorder="1" applyAlignment="1">
      <alignment horizontal="center" vertical="top"/>
    </xf>
    <xf numFmtId="0" fontId="32" fillId="0" borderId="14" xfId="9" applyFont="1" applyFill="1" applyBorder="1">
      <alignment vertical="top"/>
    </xf>
    <xf numFmtId="0" fontId="24" fillId="0" borderId="20" xfId="9" applyFont="1" applyFill="1" applyBorder="1">
      <alignment vertical="top"/>
    </xf>
    <xf numFmtId="0" fontId="24" fillId="0" borderId="21" xfId="9" applyFont="1" applyFill="1" applyBorder="1" applyAlignment="1">
      <alignment horizontal="center" vertical="top"/>
    </xf>
    <xf numFmtId="0" fontId="24" fillId="0" borderId="21" xfId="9" applyFont="1" applyFill="1" applyBorder="1">
      <alignment vertical="top"/>
    </xf>
    <xf numFmtId="0" fontId="24" fillId="0" borderId="20" xfId="9" applyFont="1" applyFill="1" applyBorder="1" applyAlignment="1">
      <alignment horizontal="center" vertical="top"/>
    </xf>
    <xf numFmtId="0" fontId="32" fillId="0" borderId="18" xfId="9" applyFont="1" applyFill="1" applyBorder="1" applyAlignment="1">
      <alignment horizontal="center" vertical="top"/>
    </xf>
    <xf numFmtId="0" fontId="24" fillId="0" borderId="21" xfId="9" applyFont="1" applyFill="1" applyBorder="1" applyAlignment="1">
      <alignment horizontal="left" vertical="top"/>
    </xf>
    <xf numFmtId="1" fontId="24" fillId="0" borderId="16" xfId="9" applyNumberFormat="1" applyFont="1" applyBorder="1" applyAlignment="1">
      <alignment horizontal="center" vertical="top"/>
    </xf>
    <xf numFmtId="1" fontId="24" fillId="0" borderId="14" xfId="9" applyNumberFormat="1" applyFont="1" applyBorder="1" applyAlignment="1">
      <alignment horizontal="center" vertical="top"/>
    </xf>
    <xf numFmtId="1" fontId="24" fillId="0" borderId="21" xfId="9" applyNumberFormat="1" applyFont="1" applyBorder="1" applyAlignment="1">
      <alignment horizontal="center" vertical="top"/>
    </xf>
    <xf numFmtId="0" fontId="0" fillId="0" borderId="0" xfId="0" applyFill="1"/>
    <xf numFmtId="40" fontId="0" fillId="0" borderId="0" xfId="0" applyNumberFormat="1"/>
    <xf numFmtId="0" fontId="24" fillId="0" borderId="40" xfId="9" applyFont="1" applyFill="1" applyBorder="1" applyAlignment="1">
      <alignment horizontal="center" vertical="top"/>
    </xf>
    <xf numFmtId="0" fontId="24" fillId="0" borderId="41" xfId="9" applyFont="1" applyFill="1" applyBorder="1" applyAlignment="1">
      <alignment horizontal="center" vertical="top"/>
    </xf>
    <xf numFmtId="0" fontId="24" fillId="0" borderId="41" xfId="9" applyFont="1" applyFill="1" applyBorder="1" applyAlignment="1">
      <alignment horizontal="left" vertical="top"/>
    </xf>
    <xf numFmtId="10" fontId="24" fillId="0" borderId="41" xfId="9" applyNumberFormat="1" applyFont="1" applyFill="1" applyBorder="1">
      <alignment vertical="top"/>
    </xf>
    <xf numFmtId="10" fontId="24" fillId="0" borderId="42" xfId="9" applyNumberFormat="1" applyFont="1" applyBorder="1">
      <alignment vertical="top"/>
    </xf>
    <xf numFmtId="43" fontId="0" fillId="0" borderId="0" xfId="48432" applyFont="1" applyFill="1"/>
    <xf numFmtId="41" fontId="0" fillId="0" borderId="17" xfId="0" applyNumberFormat="1" applyFill="1" applyBorder="1"/>
    <xf numFmtId="41" fontId="0" fillId="0" borderId="43" xfId="0" applyNumberFormat="1" applyFill="1" applyBorder="1"/>
    <xf numFmtId="41" fontId="0" fillId="0" borderId="39" xfId="0" applyNumberFormat="1" applyFill="1" applyBorder="1"/>
    <xf numFmtId="0" fontId="0" fillId="42" borderId="0" xfId="0" applyFill="1"/>
    <xf numFmtId="4" fontId="0" fillId="42" borderId="0" xfId="0" applyNumberFormat="1" applyFill="1"/>
    <xf numFmtId="4" fontId="0" fillId="0" borderId="0" xfId="0" applyNumberFormat="1"/>
    <xf numFmtId="41" fontId="0" fillId="37" borderId="25" xfId="0" applyNumberFormat="1" applyFill="1" applyBorder="1" applyAlignment="1">
      <alignment horizontal="center"/>
    </xf>
    <xf numFmtId="41" fontId="0" fillId="40" borderId="25" xfId="0" applyNumberFormat="1" applyFill="1" applyBorder="1" applyAlignment="1">
      <alignment horizontal="center"/>
    </xf>
  </cellXfs>
  <cellStyles count="48434">
    <cellStyle name="20% - Accent1 2" xfId="12"/>
    <cellStyle name="20% - Accent1 2 2" xfId="13"/>
    <cellStyle name="20% - Accent1 2 3" xfId="14"/>
    <cellStyle name="20% - Accent1 3" xfId="15"/>
    <cellStyle name="20% - Accent1 4" xfId="16"/>
    <cellStyle name="20% - Accent1 5" xfId="17"/>
    <cellStyle name="20% - Accent1 6" xfId="18"/>
    <cellStyle name="20% - Accent1 7" xfId="19"/>
    <cellStyle name="20% - Accent2 2" xfId="20"/>
    <cellStyle name="20% - Accent2 2 2" xfId="21"/>
    <cellStyle name="20% - Accent2 2 3" xfId="22"/>
    <cellStyle name="20% - Accent2 3" xfId="23"/>
    <cellStyle name="20% - Accent2 4" xfId="24"/>
    <cellStyle name="20% - Accent2 5" xfId="25"/>
    <cellStyle name="20% - Accent2 6" xfId="26"/>
    <cellStyle name="20% - Accent2 7" xfId="27"/>
    <cellStyle name="20% - Accent3 2" xfId="28"/>
    <cellStyle name="20% - Accent3 2 2" xfId="29"/>
    <cellStyle name="20% - Accent3 2 3" xfId="30"/>
    <cellStyle name="20% - Accent3 3" xfId="31"/>
    <cellStyle name="20% - Accent3 4" xfId="32"/>
    <cellStyle name="20% - Accent3 5" xfId="33"/>
    <cellStyle name="20% - Accent3 6" xfId="34"/>
    <cellStyle name="20% - Accent3 7" xfId="35"/>
    <cellStyle name="20% - Accent4 2" xfId="36"/>
    <cellStyle name="20% - Accent4 2 2" xfId="37"/>
    <cellStyle name="20% - Accent4 2 3" xfId="38"/>
    <cellStyle name="20% - Accent4 3" xfId="39"/>
    <cellStyle name="20% - Accent4 4" xfId="40"/>
    <cellStyle name="20% - Accent4 5" xfId="41"/>
    <cellStyle name="20% - Accent4 6" xfId="42"/>
    <cellStyle name="20% - Accent4 7" xfId="43"/>
    <cellStyle name="20% - Accent5 2" xfId="44"/>
    <cellStyle name="20% - Accent5 2 2" xfId="45"/>
    <cellStyle name="20% - Accent5 2 3" xfId="46"/>
    <cellStyle name="20% - Accent5 3" xfId="47"/>
    <cellStyle name="20% - Accent5 4" xfId="48"/>
    <cellStyle name="20% - Accent5 5" xfId="49"/>
    <cellStyle name="20% - Accent5 6" xfId="50"/>
    <cellStyle name="20% - Accent5 7" xfId="51"/>
    <cellStyle name="20% - Accent6 2" xfId="52"/>
    <cellStyle name="20% - Accent6 2 2" xfId="53"/>
    <cellStyle name="20% - Accent6 2 3" xfId="54"/>
    <cellStyle name="20% - Accent6 3" xfId="55"/>
    <cellStyle name="20% - Accent6 4" xfId="56"/>
    <cellStyle name="20% - Accent6 5" xfId="57"/>
    <cellStyle name="20% - Accent6 6" xfId="58"/>
    <cellStyle name="20% - Accent6 7" xfId="59"/>
    <cellStyle name="40% - Accent1 2" xfId="60"/>
    <cellStyle name="40% - Accent1 2 2" xfId="61"/>
    <cellStyle name="40% - Accent1 2 3" xfId="62"/>
    <cellStyle name="40% - Accent1 3" xfId="63"/>
    <cellStyle name="40% - Accent1 4" xfId="64"/>
    <cellStyle name="40% - Accent1 5" xfId="65"/>
    <cellStyle name="40% - Accent1 6" xfId="66"/>
    <cellStyle name="40% - Accent1 7" xfId="67"/>
    <cellStyle name="40% - Accent2 2" xfId="68"/>
    <cellStyle name="40% - Accent2 2 2" xfId="69"/>
    <cellStyle name="40% - Accent2 2 3" xfId="70"/>
    <cellStyle name="40% - Accent2 3" xfId="71"/>
    <cellStyle name="40% - Accent2 4" xfId="72"/>
    <cellStyle name="40% - Accent2 5" xfId="73"/>
    <cellStyle name="40% - Accent2 6" xfId="74"/>
    <cellStyle name="40% - Accent2 7" xfId="75"/>
    <cellStyle name="40% - Accent3 2" xfId="76"/>
    <cellStyle name="40% - Accent3 2 2" xfId="77"/>
    <cellStyle name="40% - Accent3 2 3" xfId="78"/>
    <cellStyle name="40% - Accent3 3" xfId="79"/>
    <cellStyle name="40% - Accent3 4" xfId="80"/>
    <cellStyle name="40% - Accent3 5" xfId="81"/>
    <cellStyle name="40% - Accent3 6" xfId="82"/>
    <cellStyle name="40% - Accent3 7" xfId="83"/>
    <cellStyle name="40% - Accent4 2" xfId="84"/>
    <cellStyle name="40% - Accent4 2 2" xfId="85"/>
    <cellStyle name="40% - Accent4 2 3" xfId="86"/>
    <cellStyle name="40% - Accent4 3" xfId="87"/>
    <cellStyle name="40% - Accent4 4" xfId="88"/>
    <cellStyle name="40% - Accent4 5" xfId="89"/>
    <cellStyle name="40% - Accent4 6" xfId="90"/>
    <cellStyle name="40% - Accent4 7" xfId="91"/>
    <cellStyle name="40% - Accent5 2" xfId="92"/>
    <cellStyle name="40% - Accent5 2 2" xfId="93"/>
    <cellStyle name="40% - Accent5 2 3" xfId="94"/>
    <cellStyle name="40% - Accent5 3" xfId="95"/>
    <cellStyle name="40% - Accent5 4" xfId="96"/>
    <cellStyle name="40% - Accent5 5" xfId="97"/>
    <cellStyle name="40% - Accent5 6" xfId="98"/>
    <cellStyle name="40% - Accent5 7" xfId="99"/>
    <cellStyle name="40% - Accent6 2" xfId="100"/>
    <cellStyle name="40% - Accent6 2 2" xfId="101"/>
    <cellStyle name="40% - Accent6 2 3" xfId="102"/>
    <cellStyle name="40% - Accent6 3" xfId="103"/>
    <cellStyle name="40% - Accent6 4" xfId="104"/>
    <cellStyle name="40% - Accent6 5" xfId="105"/>
    <cellStyle name="40% - Accent6 6" xfId="106"/>
    <cellStyle name="40% - Accent6 7" xfId="107"/>
    <cellStyle name="60% - Accent1 2" xfId="108"/>
    <cellStyle name="60% - Accent1 2 2" xfId="109"/>
    <cellStyle name="60% - Accent1 2 3" xfId="110"/>
    <cellStyle name="60% - Accent1 3" xfId="111"/>
    <cellStyle name="60% - Accent1 4" xfId="112"/>
    <cellStyle name="60% - Accent2 2" xfId="113"/>
    <cellStyle name="60% - Accent2 2 2" xfId="114"/>
    <cellStyle name="60% - Accent2 2 3" xfId="115"/>
    <cellStyle name="60% - Accent2 3" xfId="116"/>
    <cellStyle name="60% - Accent2 4" xfId="117"/>
    <cellStyle name="60% - Accent3 2" xfId="118"/>
    <cellStyle name="60% - Accent3 2 2" xfId="119"/>
    <cellStyle name="60% - Accent3 2 3" xfId="120"/>
    <cellStyle name="60% - Accent3 3" xfId="121"/>
    <cellStyle name="60% - Accent3 4" xfId="122"/>
    <cellStyle name="60% - Accent4 2" xfId="123"/>
    <cellStyle name="60% - Accent4 2 2" xfId="124"/>
    <cellStyle name="60% - Accent4 2 3" xfId="125"/>
    <cellStyle name="60% - Accent4 3" xfId="126"/>
    <cellStyle name="60% - Accent4 4" xfId="127"/>
    <cellStyle name="60% - Accent5 2" xfId="128"/>
    <cellStyle name="60% - Accent5 2 2" xfId="129"/>
    <cellStyle name="60% - Accent5 2 3" xfId="130"/>
    <cellStyle name="60% - Accent5 3" xfId="131"/>
    <cellStyle name="60% - Accent5 4" xfId="132"/>
    <cellStyle name="60% - Accent6 2" xfId="133"/>
    <cellStyle name="60% - Accent6 2 2" xfId="134"/>
    <cellStyle name="60% - Accent6 2 3" xfId="135"/>
    <cellStyle name="60% - Accent6 3" xfId="136"/>
    <cellStyle name="60% - Accent6 4" xfId="137"/>
    <cellStyle name="Accent1 2" xfId="138"/>
    <cellStyle name="Accent1 2 2" xfId="139"/>
    <cellStyle name="Accent1 2 3" xfId="140"/>
    <cellStyle name="Accent1 3" xfId="141"/>
    <cellStyle name="Accent1 4" xfId="142"/>
    <cellStyle name="Accent2 2" xfId="143"/>
    <cellStyle name="Accent2 2 2" xfId="144"/>
    <cellStyle name="Accent2 2 3" xfId="145"/>
    <cellStyle name="Accent2 3" xfId="146"/>
    <cellStyle name="Accent2 4" xfId="147"/>
    <cellStyle name="Accent3 2" xfId="148"/>
    <cellStyle name="Accent3 2 2" xfId="149"/>
    <cellStyle name="Accent3 2 3" xfId="150"/>
    <cellStyle name="Accent3 3" xfId="151"/>
    <cellStyle name="Accent3 4" xfId="152"/>
    <cellStyle name="Accent4 2" xfId="153"/>
    <cellStyle name="Accent4 2 2" xfId="154"/>
    <cellStyle name="Accent4 2 3" xfId="155"/>
    <cellStyle name="Accent4 3" xfId="156"/>
    <cellStyle name="Accent4 4" xfId="157"/>
    <cellStyle name="Accent5 2" xfId="158"/>
    <cellStyle name="Accent5 2 2" xfId="159"/>
    <cellStyle name="Accent5 2 3" xfId="160"/>
    <cellStyle name="Accent5 3" xfId="161"/>
    <cellStyle name="Accent5 4" xfId="162"/>
    <cellStyle name="Accent6 2" xfId="163"/>
    <cellStyle name="Accent6 2 2" xfId="164"/>
    <cellStyle name="Accent6 2 3" xfId="165"/>
    <cellStyle name="Accent6 3" xfId="166"/>
    <cellStyle name="Accent6 4" xfId="167"/>
    <cellStyle name="Bad 2" xfId="168"/>
    <cellStyle name="Bad 2 2" xfId="169"/>
    <cellStyle name="Bad 2 3" xfId="170"/>
    <cellStyle name="Bad 3" xfId="171"/>
    <cellStyle name="Bad 4" xfId="172"/>
    <cellStyle name="Calculation 2" xfId="173"/>
    <cellStyle name="Calculation 2 2" xfId="174"/>
    <cellStyle name="Calculation 2 3" xfId="175"/>
    <cellStyle name="Calculation 3" xfId="176"/>
    <cellStyle name="Calculation 4" xfId="177"/>
    <cellStyle name="Check Cell 2" xfId="178"/>
    <cellStyle name="Check Cell 2 2" xfId="179"/>
    <cellStyle name="Check Cell 2 3" xfId="180"/>
    <cellStyle name="Check Cell 3" xfId="181"/>
    <cellStyle name="Check Cell 4" xfId="182"/>
    <cellStyle name="Comma" xfId="48432" builtinId="3"/>
    <cellStyle name="Comma 2" xfId="4"/>
    <cellStyle name="Comma 2 2" xfId="183"/>
    <cellStyle name="Comma 2 2 10" xfId="184"/>
    <cellStyle name="Comma 2 2 10 2" xfId="185"/>
    <cellStyle name="Comma 2 2 10 3" xfId="186"/>
    <cellStyle name="Comma 2 2 10 4" xfId="187"/>
    <cellStyle name="Comma 2 2 10 5" xfId="188"/>
    <cellStyle name="Comma 2 2 10 6" xfId="189"/>
    <cellStyle name="Comma 2 2 10 7" xfId="190"/>
    <cellStyle name="Comma 2 2 10 8" xfId="191"/>
    <cellStyle name="Comma 2 2 11" xfId="192"/>
    <cellStyle name="Comma 2 2 12" xfId="193"/>
    <cellStyle name="Comma 2 2 13" xfId="194"/>
    <cellStyle name="Comma 2 2 14" xfId="195"/>
    <cellStyle name="Comma 2 2 15" xfId="196"/>
    <cellStyle name="Comma 2 2 16" xfId="197"/>
    <cellStyle name="Comma 2 2 17" xfId="198"/>
    <cellStyle name="Comma 2 2 2" xfId="199"/>
    <cellStyle name="Comma 2 2 2 2" xfId="200"/>
    <cellStyle name="Comma 2 2 2 2 2" xfId="201"/>
    <cellStyle name="Comma 2 2 2 2 3" xfId="202"/>
    <cellStyle name="Comma 2 2 2 3" xfId="203"/>
    <cellStyle name="Comma 2 2 2 3 2" xfId="204"/>
    <cellStyle name="Comma 2 2 2 3 3" xfId="205"/>
    <cellStyle name="Comma 2 2 2 4" xfId="206"/>
    <cellStyle name="Comma 2 2 3" xfId="207"/>
    <cellStyle name="Comma 2 2 3 2" xfId="208"/>
    <cellStyle name="Comma 2 2 3 2 2" xfId="209"/>
    <cellStyle name="Comma 2 2 3 2 3" xfId="210"/>
    <cellStyle name="Comma 2 2 3 3" xfId="211"/>
    <cellStyle name="Comma 2 2 3 3 2" xfId="212"/>
    <cellStyle name="Comma 2 2 3 3 3" xfId="213"/>
    <cellStyle name="Comma 2 2 3 4" xfId="214"/>
    <cellStyle name="Comma 2 2 4" xfId="215"/>
    <cellStyle name="Comma 2 2 4 2" xfId="216"/>
    <cellStyle name="Comma 2 2 4 2 2" xfId="217"/>
    <cellStyle name="Comma 2 2 4 2 3" xfId="218"/>
    <cellStyle name="Comma 2 2 4 3" xfId="219"/>
    <cellStyle name="Comma 2 2 4 3 2" xfId="220"/>
    <cellStyle name="Comma 2 2 4 3 3" xfId="221"/>
    <cellStyle name="Comma 2 2 4 4" xfId="222"/>
    <cellStyle name="Comma 2 2 5" xfId="223"/>
    <cellStyle name="Comma 2 2 5 2" xfId="224"/>
    <cellStyle name="Comma 2 2 5 2 2" xfId="225"/>
    <cellStyle name="Comma 2 2 5 2 3" xfId="226"/>
    <cellStyle name="Comma 2 2 5 3" xfId="227"/>
    <cellStyle name="Comma 2 2 5 3 2" xfId="228"/>
    <cellStyle name="Comma 2 2 5 3 3" xfId="229"/>
    <cellStyle name="Comma 2 2 5 4" xfId="230"/>
    <cellStyle name="Comma 2 2 6" xfId="231"/>
    <cellStyle name="Comma 2 2 6 2" xfId="232"/>
    <cellStyle name="Comma 2 2 6 2 2" xfId="233"/>
    <cellStyle name="Comma 2 2 6 2 3" xfId="234"/>
    <cellStyle name="Comma 2 2 6 3" xfId="235"/>
    <cellStyle name="Comma 2 2 6 3 2" xfId="236"/>
    <cellStyle name="Comma 2 2 6 3 3" xfId="237"/>
    <cellStyle name="Comma 2 2 6 4" xfId="238"/>
    <cellStyle name="Comma 2 2 7" xfId="239"/>
    <cellStyle name="Comma 2 2 7 2" xfId="240"/>
    <cellStyle name="Comma 2 2 7 2 2" xfId="241"/>
    <cellStyle name="Comma 2 2 7 2 3" xfId="242"/>
    <cellStyle name="Comma 2 2 7 3" xfId="243"/>
    <cellStyle name="Comma 2 2 7 3 2" xfId="244"/>
    <cellStyle name="Comma 2 2 7 3 3" xfId="245"/>
    <cellStyle name="Comma 2 2 7 4" xfId="246"/>
    <cellStyle name="Comma 2 2 8" xfId="247"/>
    <cellStyle name="Comma 2 2 8 2" xfId="248"/>
    <cellStyle name="Comma 2 2 8 2 2" xfId="249"/>
    <cellStyle name="Comma 2 2 8 2 3" xfId="250"/>
    <cellStyle name="Comma 2 2 8 3" xfId="251"/>
    <cellStyle name="Comma 2 2 8 3 2" xfId="252"/>
    <cellStyle name="Comma 2 2 8 3 3" xfId="253"/>
    <cellStyle name="Comma 2 2 8 4" xfId="254"/>
    <cellStyle name="Comma 2 2 9" xfId="255"/>
    <cellStyle name="Comma 2 2 9 2" xfId="256"/>
    <cellStyle name="Comma 2 2 9 3" xfId="257"/>
    <cellStyle name="Comma 2 2 9 4" xfId="258"/>
    <cellStyle name="Comma 2 3" xfId="259"/>
    <cellStyle name="Comma 2 3 2" xfId="260"/>
    <cellStyle name="Comma 2 3 2 2" xfId="261"/>
    <cellStyle name="Comma 2 3 2 3" xfId="262"/>
    <cellStyle name="Comma 2 3 3" xfId="263"/>
    <cellStyle name="Comma 2 3 3 2" xfId="264"/>
    <cellStyle name="Comma 2 3 3 3" xfId="265"/>
    <cellStyle name="Comma 2 3 4" xfId="266"/>
    <cellStyle name="Comma 2 4" xfId="267"/>
    <cellStyle name="Comma 2 4 10" xfId="268"/>
    <cellStyle name="Comma 2 4 2" xfId="269"/>
    <cellStyle name="Comma 2 4 2 2" xfId="270"/>
    <cellStyle name="Comma 2 4 2 3" xfId="271"/>
    <cellStyle name="Comma 2 4 2 4" xfId="272"/>
    <cellStyle name="Comma 2 4 3" xfId="273"/>
    <cellStyle name="Comma 2 4 3 2" xfId="274"/>
    <cellStyle name="Comma 2 4 3 3" xfId="275"/>
    <cellStyle name="Comma 2 4 3 4" xfId="276"/>
    <cellStyle name="Comma 2 4 3 5" xfId="277"/>
    <cellStyle name="Comma 2 4 3 6" xfId="278"/>
    <cellStyle name="Comma 2 4 3 7" xfId="279"/>
    <cellStyle name="Comma 2 4 3 8" xfId="280"/>
    <cellStyle name="Comma 2 4 4" xfId="281"/>
    <cellStyle name="Comma 2 4 5" xfId="282"/>
    <cellStyle name="Comma 2 4 6" xfId="283"/>
    <cellStyle name="Comma 2 4 7" xfId="284"/>
    <cellStyle name="Comma 2 4 8" xfId="285"/>
    <cellStyle name="Comma 2 4 9" xfId="286"/>
    <cellStyle name="Comma 2 5" xfId="287"/>
    <cellStyle name="Comma 2 5 10" xfId="288"/>
    <cellStyle name="Comma 2 5 2" xfId="289"/>
    <cellStyle name="Comma 2 5 2 2" xfId="290"/>
    <cellStyle name="Comma 2 5 2 3" xfId="291"/>
    <cellStyle name="Comma 2 5 2 4" xfId="292"/>
    <cellStyle name="Comma 2 5 3" xfId="293"/>
    <cellStyle name="Comma 2 5 3 2" xfId="294"/>
    <cellStyle name="Comma 2 5 3 3" xfId="295"/>
    <cellStyle name="Comma 2 5 3 4" xfId="296"/>
    <cellStyle name="Comma 2 5 3 5" xfId="297"/>
    <cellStyle name="Comma 2 5 3 6" xfId="298"/>
    <cellStyle name="Comma 2 5 3 7" xfId="299"/>
    <cellStyle name="Comma 2 5 3 8" xfId="300"/>
    <cellStyle name="Comma 2 5 4" xfId="301"/>
    <cellStyle name="Comma 2 5 5" xfId="302"/>
    <cellStyle name="Comma 2 5 6" xfId="303"/>
    <cellStyle name="Comma 2 5 7" xfId="304"/>
    <cellStyle name="Comma 2 5 8" xfId="305"/>
    <cellStyle name="Comma 2 5 9" xfId="306"/>
    <cellStyle name="Comma 2 6" xfId="307"/>
    <cellStyle name="Comma 2 6 10" xfId="308"/>
    <cellStyle name="Comma 2 6 2" xfId="309"/>
    <cellStyle name="Comma 2 6 2 2" xfId="310"/>
    <cellStyle name="Comma 2 6 2 3" xfId="311"/>
    <cellStyle name="Comma 2 6 2 4" xfId="312"/>
    <cellStyle name="Comma 2 6 3" xfId="313"/>
    <cellStyle name="Comma 2 6 3 2" xfId="314"/>
    <cellStyle name="Comma 2 6 3 3" xfId="315"/>
    <cellStyle name="Comma 2 6 3 4" xfId="316"/>
    <cellStyle name="Comma 2 6 3 5" xfId="317"/>
    <cellStyle name="Comma 2 6 3 6" xfId="318"/>
    <cellStyle name="Comma 2 6 3 7" xfId="319"/>
    <cellStyle name="Comma 2 6 3 8" xfId="320"/>
    <cellStyle name="Comma 2 6 4" xfId="321"/>
    <cellStyle name="Comma 2 6 5" xfId="322"/>
    <cellStyle name="Comma 2 6 6" xfId="323"/>
    <cellStyle name="Comma 2 6 7" xfId="324"/>
    <cellStyle name="Comma 2 6 8" xfId="325"/>
    <cellStyle name="Comma 2 6 9" xfId="326"/>
    <cellStyle name="Comma 2 7" xfId="327"/>
    <cellStyle name="Comma 2 7 10" xfId="328"/>
    <cellStyle name="Comma 2 7 2" xfId="329"/>
    <cellStyle name="Comma 2 7 2 2" xfId="330"/>
    <cellStyle name="Comma 2 7 2 3" xfId="331"/>
    <cellStyle name="Comma 2 7 2 4" xfId="332"/>
    <cellStyle name="Comma 2 7 3" xfId="333"/>
    <cellStyle name="Comma 2 7 3 2" xfId="334"/>
    <cellStyle name="Comma 2 7 3 3" xfId="335"/>
    <cellStyle name="Comma 2 7 3 4" xfId="336"/>
    <cellStyle name="Comma 2 7 3 5" xfId="337"/>
    <cellStyle name="Comma 2 7 3 6" xfId="338"/>
    <cellStyle name="Comma 2 7 3 7" xfId="339"/>
    <cellStyle name="Comma 2 7 3 8" xfId="340"/>
    <cellStyle name="Comma 2 7 4" xfId="341"/>
    <cellStyle name="Comma 2 7 5" xfId="342"/>
    <cellStyle name="Comma 2 7 6" xfId="343"/>
    <cellStyle name="Comma 2 7 7" xfId="344"/>
    <cellStyle name="Comma 2 7 8" xfId="345"/>
    <cellStyle name="Comma 2 7 9" xfId="346"/>
    <cellStyle name="Comma 2 8" xfId="347"/>
    <cellStyle name="Comma 2 8 10" xfId="348"/>
    <cellStyle name="Comma 2 8 2" xfId="349"/>
    <cellStyle name="Comma 2 8 2 2" xfId="350"/>
    <cellStyle name="Comma 2 8 2 3" xfId="351"/>
    <cellStyle name="Comma 2 8 2 4" xfId="352"/>
    <cellStyle name="Comma 2 8 3" xfId="353"/>
    <cellStyle name="Comma 2 8 3 2" xfId="354"/>
    <cellStyle name="Comma 2 8 3 3" xfId="355"/>
    <cellStyle name="Comma 2 8 3 4" xfId="356"/>
    <cellStyle name="Comma 2 8 3 5" xfId="357"/>
    <cellStyle name="Comma 2 8 3 6" xfId="358"/>
    <cellStyle name="Comma 2 8 3 7" xfId="359"/>
    <cellStyle name="Comma 2 8 3 8" xfId="360"/>
    <cellStyle name="Comma 2 8 4" xfId="361"/>
    <cellStyle name="Comma 2 8 5" xfId="362"/>
    <cellStyle name="Comma 2 8 6" xfId="363"/>
    <cellStyle name="Comma 2 8 7" xfId="364"/>
    <cellStyle name="Comma 2 8 8" xfId="365"/>
    <cellStyle name="Comma 2 8 9" xfId="366"/>
    <cellStyle name="Comma 2 9" xfId="367"/>
    <cellStyle name="Comma 2 9 10" xfId="368"/>
    <cellStyle name="Comma 2 9 2" xfId="369"/>
    <cellStyle name="Comma 2 9 2 2" xfId="370"/>
    <cellStyle name="Comma 2 9 2 3" xfId="371"/>
    <cellStyle name="Comma 2 9 2 4" xfId="372"/>
    <cellStyle name="Comma 2 9 3" xfId="373"/>
    <cellStyle name="Comma 2 9 3 2" xfId="374"/>
    <cellStyle name="Comma 2 9 3 3" xfId="375"/>
    <cellStyle name="Comma 2 9 3 4" xfId="376"/>
    <cellStyle name="Comma 2 9 3 5" xfId="377"/>
    <cellStyle name="Comma 2 9 3 6" xfId="378"/>
    <cellStyle name="Comma 2 9 3 7" xfId="379"/>
    <cellStyle name="Comma 2 9 3 8" xfId="380"/>
    <cellStyle name="Comma 2 9 4" xfId="381"/>
    <cellStyle name="Comma 2 9 5" xfId="382"/>
    <cellStyle name="Comma 2 9 6" xfId="383"/>
    <cellStyle name="Comma 2 9 7" xfId="384"/>
    <cellStyle name="Comma 2 9 8" xfId="385"/>
    <cellStyle name="Comma 2 9 9" xfId="386"/>
    <cellStyle name="Comma 3" xfId="5"/>
    <cellStyle name="Comma 3 2" xfId="387"/>
    <cellStyle name="Comma 3 2 2" xfId="388"/>
    <cellStyle name="Comma 3 2 3" xfId="389"/>
    <cellStyle name="Comma 3 3" xfId="390"/>
    <cellStyle name="Comma 3 3 2" xfId="391"/>
    <cellStyle name="Comma 3 3 3" xfId="392"/>
    <cellStyle name="Comma 3 4" xfId="393"/>
    <cellStyle name="Comma 4" xfId="11"/>
    <cellStyle name="Comma 5" xfId="394"/>
    <cellStyle name="Comma 5 2" xfId="395"/>
    <cellStyle name="Comma 5 2 2" xfId="396"/>
    <cellStyle name="Comma 5 2 3" xfId="397"/>
    <cellStyle name="Comma 5 3" xfId="398"/>
    <cellStyle name="Comma 5 3 2" xfId="399"/>
    <cellStyle name="Comma 5 3 3" xfId="400"/>
    <cellStyle name="Comma 5 4" xfId="401"/>
    <cellStyle name="Comma 6" xfId="402"/>
    <cellStyle name="Comma 6 2" xfId="403"/>
    <cellStyle name="Comma 6 2 2" xfId="404"/>
    <cellStyle name="Comma 6 2 3" xfId="405"/>
    <cellStyle name="Comma 6 3" xfId="406"/>
    <cellStyle name="Comma 6 3 2" xfId="407"/>
    <cellStyle name="Comma 6 3 3" xfId="408"/>
    <cellStyle name="Comma 6 4" xfId="409"/>
    <cellStyle name="Currency 2" xfId="410"/>
    <cellStyle name="Currency 2 2" xfId="411"/>
    <cellStyle name="Currency 2 2 2" xfId="412"/>
    <cellStyle name="Currency 2 2 3" xfId="413"/>
    <cellStyle name="Currency 2 3" xfId="414"/>
    <cellStyle name="Currency 2 3 2" xfId="415"/>
    <cellStyle name="Currency 2 3 3" xfId="416"/>
    <cellStyle name="Currency 2 4" xfId="417"/>
    <cellStyle name="Explanatory Text 2" xfId="418"/>
    <cellStyle name="Explanatory Text 2 2" xfId="419"/>
    <cellStyle name="Explanatory Text 2 3" xfId="420"/>
    <cellStyle name="Explanatory Text 3" xfId="421"/>
    <cellStyle name="Explanatory Text 4" xfId="422"/>
    <cellStyle name="Good 2" xfId="423"/>
    <cellStyle name="Good 2 2" xfId="424"/>
    <cellStyle name="Good 2 3" xfId="425"/>
    <cellStyle name="Good 3" xfId="426"/>
    <cellStyle name="Good 4" xfId="427"/>
    <cellStyle name="Heading 1 2" xfId="428"/>
    <cellStyle name="Heading 1 2 2" xfId="429"/>
    <cellStyle name="Heading 1 2 3" xfId="430"/>
    <cellStyle name="Heading 1 3" xfId="431"/>
    <cellStyle name="Heading 1 4" xfId="432"/>
    <cellStyle name="Heading 2 2" xfId="433"/>
    <cellStyle name="Heading 2 2 2" xfId="434"/>
    <cellStyle name="Heading 2 2 3" xfId="435"/>
    <cellStyle name="Heading 2 3" xfId="436"/>
    <cellStyle name="Heading 2 4" xfId="437"/>
    <cellStyle name="Heading 3 2" xfId="438"/>
    <cellStyle name="Heading 3 2 2" xfId="439"/>
    <cellStyle name="Heading 3 2 3" xfId="440"/>
    <cellStyle name="Heading 3 3" xfId="441"/>
    <cellStyle name="Heading 3 4" xfId="442"/>
    <cellStyle name="Heading 4 2" xfId="443"/>
    <cellStyle name="Heading 4 2 2" xfId="444"/>
    <cellStyle name="Heading 4 2 3" xfId="445"/>
    <cellStyle name="Heading 4 3" xfId="446"/>
    <cellStyle name="Heading 4 4" xfId="447"/>
    <cellStyle name="Hyperlink 2 2" xfId="448"/>
    <cellStyle name="Hyperlink 2 2 2" xfId="449"/>
    <cellStyle name="Hyperlink 2 2 2 2" xfId="450"/>
    <cellStyle name="Hyperlink 2 2 2 3" xfId="451"/>
    <cellStyle name="Hyperlink 2 2 3" xfId="452"/>
    <cellStyle name="Hyperlink 2 3" xfId="453"/>
    <cellStyle name="Hyperlink 2 3 2" xfId="454"/>
    <cellStyle name="Hyperlink 2 3 2 2" xfId="455"/>
    <cellStyle name="Hyperlink 2 3 2 3" xfId="456"/>
    <cellStyle name="Hyperlink 2 3 3" xfId="457"/>
    <cellStyle name="Hyperlink 2 4" xfId="458"/>
    <cellStyle name="Hyperlink 2 4 2" xfId="459"/>
    <cellStyle name="Hyperlink 2 4 2 2" xfId="460"/>
    <cellStyle name="Hyperlink 2 4 2 3" xfId="461"/>
    <cellStyle name="Hyperlink 2 4 3" xfId="462"/>
    <cellStyle name="Hyperlink 2 5" xfId="463"/>
    <cellStyle name="Hyperlink 2 5 2" xfId="464"/>
    <cellStyle name="Hyperlink 2 5 2 2" xfId="465"/>
    <cellStyle name="Hyperlink 2 5 2 3" xfId="466"/>
    <cellStyle name="Hyperlink 2 5 3" xfId="467"/>
    <cellStyle name="Hyperlink 6" xfId="468"/>
    <cellStyle name="Hyperlink 6 2" xfId="469"/>
    <cellStyle name="Hyperlink 6 2 2" xfId="470"/>
    <cellStyle name="Hyperlink 6 2 2 2" xfId="471"/>
    <cellStyle name="Hyperlink 6 2 2 3" xfId="472"/>
    <cellStyle name="Hyperlink 6 2 3" xfId="473"/>
    <cellStyle name="Hyperlink 6 3" xfId="474"/>
    <cellStyle name="Hyperlink 6 3 2" xfId="475"/>
    <cellStyle name="Hyperlink 6 3 2 2" xfId="476"/>
    <cellStyle name="Hyperlink 6 3 2 3" xfId="477"/>
    <cellStyle name="Hyperlink 6 3 3" xfId="478"/>
    <cellStyle name="Hyperlink 6 4" xfId="479"/>
    <cellStyle name="Hyperlink 6 4 2" xfId="480"/>
    <cellStyle name="Hyperlink 6 4 2 2" xfId="481"/>
    <cellStyle name="Hyperlink 6 4 2 3" xfId="482"/>
    <cellStyle name="Hyperlink 6 4 3" xfId="483"/>
    <cellStyle name="Hyperlink 6 5" xfId="484"/>
    <cellStyle name="Hyperlink 6 5 2" xfId="485"/>
    <cellStyle name="Hyperlink 6 5 2 2" xfId="486"/>
    <cellStyle name="Hyperlink 6 5 2 3" xfId="487"/>
    <cellStyle name="Hyperlink 6 5 3" xfId="488"/>
    <cellStyle name="Hyperlink 6 6" xfId="489"/>
    <cellStyle name="Hyperlink 6 6 2" xfId="490"/>
    <cellStyle name="Hyperlink 6 6 2 2" xfId="491"/>
    <cellStyle name="Hyperlink 6 6 2 3" xfId="492"/>
    <cellStyle name="Hyperlink 6 6 3" xfId="493"/>
    <cellStyle name="Hyperlink 6 7" xfId="494"/>
    <cellStyle name="Hyperlink 6 7 2" xfId="495"/>
    <cellStyle name="Hyperlink 6 7 3" xfId="496"/>
    <cellStyle name="Hyperlink 6 8" xfId="497"/>
    <cellStyle name="Input 2" xfId="498"/>
    <cellStyle name="Input 2 2" xfId="499"/>
    <cellStyle name="Input 2 3" xfId="500"/>
    <cellStyle name="Input 3" xfId="501"/>
    <cellStyle name="Input 4" xfId="502"/>
    <cellStyle name="Linked Cell 2" xfId="503"/>
    <cellStyle name="Linked Cell 2 2" xfId="504"/>
    <cellStyle name="Linked Cell 2 3" xfId="505"/>
    <cellStyle name="Linked Cell 3" xfId="506"/>
    <cellStyle name="Linked Cell 4" xfId="507"/>
    <cellStyle name="Neutral 2" xfId="508"/>
    <cellStyle name="Neutral 2 2" xfId="509"/>
    <cellStyle name="Neutral 2 3" xfId="510"/>
    <cellStyle name="Neutral 3" xfId="511"/>
    <cellStyle name="Neutral 4" xfId="512"/>
    <cellStyle name="Normal" xfId="0" builtinId="0"/>
    <cellStyle name="Normal 10" xfId="513"/>
    <cellStyle name="Normal 10 10" xfId="514"/>
    <cellStyle name="Normal 10 10 10" xfId="515"/>
    <cellStyle name="Normal 10 10 11" xfId="516"/>
    <cellStyle name="Normal 10 10 2" xfId="517"/>
    <cellStyle name="Normal 10 10 2 10" xfId="518"/>
    <cellStyle name="Normal 10 10 2 2" xfId="519"/>
    <cellStyle name="Normal 10 10 2 3" xfId="520"/>
    <cellStyle name="Normal 10 10 2 3 2" xfId="521"/>
    <cellStyle name="Normal 10 10 2 3 3" xfId="522"/>
    <cellStyle name="Normal 10 10 2 3 4" xfId="523"/>
    <cellStyle name="Normal 10 10 2 3 5" xfId="524"/>
    <cellStyle name="Normal 10 10 2 3 6" xfId="525"/>
    <cellStyle name="Normal 10 10 2 4" xfId="526"/>
    <cellStyle name="Normal 10 10 2 5" xfId="527"/>
    <cellStyle name="Normal 10 10 2 6" xfId="528"/>
    <cellStyle name="Normal 10 10 2 7" xfId="529"/>
    <cellStyle name="Normal 10 10 2 8" xfId="530"/>
    <cellStyle name="Normal 10 10 2 9" xfId="531"/>
    <cellStyle name="Normal 10 10 3" xfId="532"/>
    <cellStyle name="Normal 10 10 4" xfId="533"/>
    <cellStyle name="Normal 10 10 4 2" xfId="534"/>
    <cellStyle name="Normal 10 10 4 3" xfId="535"/>
    <cellStyle name="Normal 10 10 4 4" xfId="536"/>
    <cellStyle name="Normal 10 10 4 5" xfId="537"/>
    <cellStyle name="Normal 10 10 4 6" xfId="538"/>
    <cellStyle name="Normal 10 10 5" xfId="539"/>
    <cellStyle name="Normal 10 10 6" xfId="540"/>
    <cellStyle name="Normal 10 10 7" xfId="541"/>
    <cellStyle name="Normal 10 10 8" xfId="542"/>
    <cellStyle name="Normal 10 10 9" xfId="543"/>
    <cellStyle name="Normal 10 11" xfId="544"/>
    <cellStyle name="Normal 10 11 2" xfId="545"/>
    <cellStyle name="Normal 10 11 3" xfId="546"/>
    <cellStyle name="Normal 10 11 4" xfId="547"/>
    <cellStyle name="Normal 10 11 5" xfId="548"/>
    <cellStyle name="Normal 10 11 6" xfId="549"/>
    <cellStyle name="Normal 10 12" xfId="550"/>
    <cellStyle name="Normal 10 13" xfId="551"/>
    <cellStyle name="Normal 10 2" xfId="552"/>
    <cellStyle name="Normal 10 2 2" xfId="553"/>
    <cellStyle name="Normal 10 2 2 2" xfId="554"/>
    <cellStyle name="Normal 10 2 2 3" xfId="555"/>
    <cellStyle name="Normal 10 2 2 4" xfId="556"/>
    <cellStyle name="Normal 10 2 2 5" xfId="557"/>
    <cellStyle name="Normal 10 2 2 6" xfId="558"/>
    <cellStyle name="Normal 10 2 3" xfId="559"/>
    <cellStyle name="Normal 10 2 4" xfId="560"/>
    <cellStyle name="Normal 10 3" xfId="561"/>
    <cellStyle name="Normal 10 3 10" xfId="562"/>
    <cellStyle name="Normal 10 3 11" xfId="563"/>
    <cellStyle name="Normal 10 3 2" xfId="564"/>
    <cellStyle name="Normal 10 3 2 10" xfId="565"/>
    <cellStyle name="Normal 10 3 2 2" xfId="566"/>
    <cellStyle name="Normal 10 3 2 3" xfId="567"/>
    <cellStyle name="Normal 10 3 2 3 2" xfId="568"/>
    <cellStyle name="Normal 10 3 2 3 3" xfId="569"/>
    <cellStyle name="Normal 10 3 2 3 4" xfId="570"/>
    <cellStyle name="Normal 10 3 2 3 5" xfId="571"/>
    <cellStyle name="Normal 10 3 2 3 6" xfId="572"/>
    <cellStyle name="Normal 10 3 2 4" xfId="573"/>
    <cellStyle name="Normal 10 3 2 5" xfId="574"/>
    <cellStyle name="Normal 10 3 2 6" xfId="575"/>
    <cellStyle name="Normal 10 3 2 7" xfId="576"/>
    <cellStyle name="Normal 10 3 2 8" xfId="577"/>
    <cellStyle name="Normal 10 3 2 9" xfId="578"/>
    <cellStyle name="Normal 10 3 3" xfId="579"/>
    <cellStyle name="Normal 10 3 4" xfId="580"/>
    <cellStyle name="Normal 10 3 4 2" xfId="581"/>
    <cellStyle name="Normal 10 3 4 3" xfId="582"/>
    <cellStyle name="Normal 10 3 4 4" xfId="583"/>
    <cellStyle name="Normal 10 3 4 5" xfId="584"/>
    <cellStyle name="Normal 10 3 4 6" xfId="585"/>
    <cellStyle name="Normal 10 3 5" xfId="586"/>
    <cellStyle name="Normal 10 3 6" xfId="587"/>
    <cellStyle name="Normal 10 3 7" xfId="588"/>
    <cellStyle name="Normal 10 3 8" xfId="589"/>
    <cellStyle name="Normal 10 3 9" xfId="590"/>
    <cellStyle name="Normal 10 4" xfId="591"/>
    <cellStyle name="Normal 10 4 10" xfId="592"/>
    <cellStyle name="Normal 10 4 11" xfId="593"/>
    <cellStyle name="Normal 10 4 2" xfId="594"/>
    <cellStyle name="Normal 10 4 2 10" xfId="595"/>
    <cellStyle name="Normal 10 4 2 2" xfId="596"/>
    <cellStyle name="Normal 10 4 2 3" xfId="597"/>
    <cellStyle name="Normal 10 4 2 3 2" xfId="598"/>
    <cellStyle name="Normal 10 4 2 3 3" xfId="599"/>
    <cellStyle name="Normal 10 4 2 3 4" xfId="600"/>
    <cellStyle name="Normal 10 4 2 3 5" xfId="601"/>
    <cellStyle name="Normal 10 4 2 3 6" xfId="602"/>
    <cellStyle name="Normal 10 4 2 4" xfId="603"/>
    <cellStyle name="Normal 10 4 2 5" xfId="604"/>
    <cellStyle name="Normal 10 4 2 6" xfId="605"/>
    <cellStyle name="Normal 10 4 2 7" xfId="606"/>
    <cellStyle name="Normal 10 4 2 8" xfId="607"/>
    <cellStyle name="Normal 10 4 2 9" xfId="608"/>
    <cellStyle name="Normal 10 4 3" xfId="609"/>
    <cellStyle name="Normal 10 4 4" xfId="610"/>
    <cellStyle name="Normal 10 4 4 2" xfId="611"/>
    <cellStyle name="Normal 10 4 4 3" xfId="612"/>
    <cellStyle name="Normal 10 4 4 4" xfId="613"/>
    <cellStyle name="Normal 10 4 4 5" xfId="614"/>
    <cellStyle name="Normal 10 4 4 6" xfId="615"/>
    <cellStyle name="Normal 10 4 5" xfId="616"/>
    <cellStyle name="Normal 10 4 6" xfId="617"/>
    <cellStyle name="Normal 10 4 7" xfId="618"/>
    <cellStyle name="Normal 10 4 8" xfId="619"/>
    <cellStyle name="Normal 10 4 9" xfId="620"/>
    <cellStyle name="Normal 10 5" xfId="621"/>
    <cellStyle name="Normal 10 5 10" xfId="622"/>
    <cellStyle name="Normal 10 5 11" xfId="623"/>
    <cellStyle name="Normal 10 5 2" xfId="624"/>
    <cellStyle name="Normal 10 5 2 10" xfId="625"/>
    <cellStyle name="Normal 10 5 2 2" xfId="626"/>
    <cellStyle name="Normal 10 5 2 3" xfId="627"/>
    <cellStyle name="Normal 10 5 2 3 2" xfId="628"/>
    <cellStyle name="Normal 10 5 2 3 3" xfId="629"/>
    <cellStyle name="Normal 10 5 2 3 4" xfId="630"/>
    <cellStyle name="Normal 10 5 2 3 5" xfId="631"/>
    <cellStyle name="Normal 10 5 2 3 6" xfId="632"/>
    <cellStyle name="Normal 10 5 2 4" xfId="633"/>
    <cellStyle name="Normal 10 5 2 5" xfId="634"/>
    <cellStyle name="Normal 10 5 2 6" xfId="635"/>
    <cellStyle name="Normal 10 5 2 7" xfId="636"/>
    <cellStyle name="Normal 10 5 2 8" xfId="637"/>
    <cellStyle name="Normal 10 5 2 9" xfId="638"/>
    <cellStyle name="Normal 10 5 3" xfId="639"/>
    <cellStyle name="Normal 10 5 4" xfId="640"/>
    <cellStyle name="Normal 10 5 4 2" xfId="641"/>
    <cellStyle name="Normal 10 5 4 3" xfId="642"/>
    <cellStyle name="Normal 10 5 4 4" xfId="643"/>
    <cellStyle name="Normal 10 5 4 5" xfId="644"/>
    <cellStyle name="Normal 10 5 4 6" xfId="645"/>
    <cellStyle name="Normal 10 5 5" xfId="646"/>
    <cellStyle name="Normal 10 5 6" xfId="647"/>
    <cellStyle name="Normal 10 5 7" xfId="648"/>
    <cellStyle name="Normal 10 5 8" xfId="649"/>
    <cellStyle name="Normal 10 5 9" xfId="650"/>
    <cellStyle name="Normal 10 6" xfId="651"/>
    <cellStyle name="Normal 10 6 10" xfId="652"/>
    <cellStyle name="Normal 10 6 11" xfId="653"/>
    <cellStyle name="Normal 10 6 2" xfId="654"/>
    <cellStyle name="Normal 10 6 2 10" xfId="655"/>
    <cellStyle name="Normal 10 6 2 2" xfId="656"/>
    <cellStyle name="Normal 10 6 2 3" xfId="657"/>
    <cellStyle name="Normal 10 6 2 3 2" xfId="658"/>
    <cellStyle name="Normal 10 6 2 3 3" xfId="659"/>
    <cellStyle name="Normal 10 6 2 3 4" xfId="660"/>
    <cellStyle name="Normal 10 6 2 3 5" xfId="661"/>
    <cellStyle name="Normal 10 6 2 3 6" xfId="662"/>
    <cellStyle name="Normal 10 6 2 4" xfId="663"/>
    <cellStyle name="Normal 10 6 2 5" xfId="664"/>
    <cellStyle name="Normal 10 6 2 6" xfId="665"/>
    <cellStyle name="Normal 10 6 2 7" xfId="666"/>
    <cellStyle name="Normal 10 6 2 8" xfId="667"/>
    <cellStyle name="Normal 10 6 2 9" xfId="668"/>
    <cellStyle name="Normal 10 6 3" xfId="669"/>
    <cellStyle name="Normal 10 6 4" xfId="670"/>
    <cellStyle name="Normal 10 6 4 2" xfId="671"/>
    <cellStyle name="Normal 10 6 4 3" xfId="672"/>
    <cellStyle name="Normal 10 6 4 4" xfId="673"/>
    <cellStyle name="Normal 10 6 4 5" xfId="674"/>
    <cellStyle name="Normal 10 6 4 6" xfId="675"/>
    <cellStyle name="Normal 10 6 5" xfId="676"/>
    <cellStyle name="Normal 10 6 6" xfId="677"/>
    <cellStyle name="Normal 10 6 7" xfId="678"/>
    <cellStyle name="Normal 10 6 8" xfId="679"/>
    <cellStyle name="Normal 10 6 9" xfId="680"/>
    <cellStyle name="Normal 10 7" xfId="681"/>
    <cellStyle name="Normal 10 7 10" xfId="682"/>
    <cellStyle name="Normal 10 7 11" xfId="683"/>
    <cellStyle name="Normal 10 7 2" xfId="684"/>
    <cellStyle name="Normal 10 7 2 10" xfId="685"/>
    <cellStyle name="Normal 10 7 2 2" xfId="686"/>
    <cellStyle name="Normal 10 7 2 3" xfId="687"/>
    <cellStyle name="Normal 10 7 2 3 2" xfId="688"/>
    <cellStyle name="Normal 10 7 2 3 3" xfId="689"/>
    <cellStyle name="Normal 10 7 2 3 4" xfId="690"/>
    <cellStyle name="Normal 10 7 2 3 5" xfId="691"/>
    <cellStyle name="Normal 10 7 2 3 6" xfId="692"/>
    <cellStyle name="Normal 10 7 2 4" xfId="693"/>
    <cellStyle name="Normal 10 7 2 5" xfId="694"/>
    <cellStyle name="Normal 10 7 2 6" xfId="695"/>
    <cellStyle name="Normal 10 7 2 7" xfId="696"/>
    <cellStyle name="Normal 10 7 2 8" xfId="697"/>
    <cellStyle name="Normal 10 7 2 9" xfId="698"/>
    <cellStyle name="Normal 10 7 3" xfId="699"/>
    <cellStyle name="Normal 10 7 4" xfId="700"/>
    <cellStyle name="Normal 10 7 4 2" xfId="701"/>
    <cellStyle name="Normal 10 7 4 3" xfId="702"/>
    <cellStyle name="Normal 10 7 4 4" xfId="703"/>
    <cellStyle name="Normal 10 7 4 5" xfId="704"/>
    <cellStyle name="Normal 10 7 4 6" xfId="705"/>
    <cellStyle name="Normal 10 7 5" xfId="706"/>
    <cellStyle name="Normal 10 7 6" xfId="707"/>
    <cellStyle name="Normal 10 7 7" xfId="708"/>
    <cellStyle name="Normal 10 7 8" xfId="709"/>
    <cellStyle name="Normal 10 7 9" xfId="710"/>
    <cellStyle name="Normal 10 8" xfId="711"/>
    <cellStyle name="Normal 10 8 10" xfId="712"/>
    <cellStyle name="Normal 10 8 11" xfId="713"/>
    <cellStyle name="Normal 10 8 2" xfId="714"/>
    <cellStyle name="Normal 10 8 2 10" xfId="715"/>
    <cellStyle name="Normal 10 8 2 2" xfId="716"/>
    <cellStyle name="Normal 10 8 2 3" xfId="717"/>
    <cellStyle name="Normal 10 8 2 3 2" xfId="718"/>
    <cellStyle name="Normal 10 8 2 3 3" xfId="719"/>
    <cellStyle name="Normal 10 8 2 3 4" xfId="720"/>
    <cellStyle name="Normal 10 8 2 3 5" xfId="721"/>
    <cellStyle name="Normal 10 8 2 3 6" xfId="722"/>
    <cellStyle name="Normal 10 8 2 4" xfId="723"/>
    <cellStyle name="Normal 10 8 2 5" xfId="724"/>
    <cellStyle name="Normal 10 8 2 6" xfId="725"/>
    <cellStyle name="Normal 10 8 2 7" xfId="726"/>
    <cellStyle name="Normal 10 8 2 8" xfId="727"/>
    <cellStyle name="Normal 10 8 2 9" xfId="728"/>
    <cellStyle name="Normal 10 8 3" xfId="729"/>
    <cellStyle name="Normal 10 8 4" xfId="730"/>
    <cellStyle name="Normal 10 8 4 2" xfId="731"/>
    <cellStyle name="Normal 10 8 4 3" xfId="732"/>
    <cellStyle name="Normal 10 8 4 4" xfId="733"/>
    <cellStyle name="Normal 10 8 4 5" xfId="734"/>
    <cellStyle name="Normal 10 8 4 6" xfId="735"/>
    <cellStyle name="Normal 10 8 5" xfId="736"/>
    <cellStyle name="Normal 10 8 6" xfId="737"/>
    <cellStyle name="Normal 10 8 7" xfId="738"/>
    <cellStyle name="Normal 10 8 8" xfId="739"/>
    <cellStyle name="Normal 10 8 9" xfId="740"/>
    <cellStyle name="Normal 10 9" xfId="741"/>
    <cellStyle name="Normal 10 9 10" xfId="742"/>
    <cellStyle name="Normal 10 9 11" xfId="743"/>
    <cellStyle name="Normal 10 9 2" xfId="744"/>
    <cellStyle name="Normal 10 9 2 10" xfId="745"/>
    <cellStyle name="Normal 10 9 2 2" xfId="746"/>
    <cellStyle name="Normal 10 9 2 3" xfId="747"/>
    <cellStyle name="Normal 10 9 2 3 2" xfId="748"/>
    <cellStyle name="Normal 10 9 2 3 3" xfId="749"/>
    <cellStyle name="Normal 10 9 2 3 4" xfId="750"/>
    <cellStyle name="Normal 10 9 2 3 5" xfId="751"/>
    <cellStyle name="Normal 10 9 2 3 6" xfId="752"/>
    <cellStyle name="Normal 10 9 2 4" xfId="753"/>
    <cellStyle name="Normal 10 9 2 5" xfId="754"/>
    <cellStyle name="Normal 10 9 2 6" xfId="755"/>
    <cellStyle name="Normal 10 9 2 7" xfId="756"/>
    <cellStyle name="Normal 10 9 2 8" xfId="757"/>
    <cellStyle name="Normal 10 9 2 9" xfId="758"/>
    <cellStyle name="Normal 10 9 3" xfId="759"/>
    <cellStyle name="Normal 10 9 4" xfId="760"/>
    <cellStyle name="Normal 10 9 4 2" xfId="761"/>
    <cellStyle name="Normal 10 9 4 3" xfId="762"/>
    <cellStyle name="Normal 10 9 4 4" xfId="763"/>
    <cellStyle name="Normal 10 9 4 5" xfId="764"/>
    <cellStyle name="Normal 10 9 4 6" xfId="765"/>
    <cellStyle name="Normal 10 9 5" xfId="766"/>
    <cellStyle name="Normal 10 9 6" xfId="767"/>
    <cellStyle name="Normal 10 9 7" xfId="768"/>
    <cellStyle name="Normal 10 9 8" xfId="769"/>
    <cellStyle name="Normal 10 9 9" xfId="770"/>
    <cellStyle name="Normal 100" xfId="771"/>
    <cellStyle name="Normal 100 2" xfId="772"/>
    <cellStyle name="Normal 100 2 2" xfId="773"/>
    <cellStyle name="Normal 100 2 3" xfId="774"/>
    <cellStyle name="Normal 100 2 4" xfId="775"/>
    <cellStyle name="Normal 100 3" xfId="776"/>
    <cellStyle name="Normal 100 3 2" xfId="777"/>
    <cellStyle name="Normal 100 3 3" xfId="778"/>
    <cellStyle name="Normal 100 3 4" xfId="779"/>
    <cellStyle name="Normal 100 4" xfId="780"/>
    <cellStyle name="Normal 100 4 2" xfId="781"/>
    <cellStyle name="Normal 100 4 3" xfId="782"/>
    <cellStyle name="Normal 100 4 4" xfId="783"/>
    <cellStyle name="Normal 100 5" xfId="784"/>
    <cellStyle name="Normal 100 5 2" xfId="785"/>
    <cellStyle name="Normal 100 5 3" xfId="786"/>
    <cellStyle name="Normal 100 5 4" xfId="787"/>
    <cellStyle name="Normal 100 6" xfId="788"/>
    <cellStyle name="Normal 100 6 2" xfId="789"/>
    <cellStyle name="Normal 100 6 3" xfId="790"/>
    <cellStyle name="Normal 100 6 4" xfId="791"/>
    <cellStyle name="Normal 100 7" xfId="792"/>
    <cellStyle name="Normal 100 8" xfId="793"/>
    <cellStyle name="Normal 100 9" xfId="794"/>
    <cellStyle name="Normal 101" xfId="795"/>
    <cellStyle name="Normal 101 2" xfId="796"/>
    <cellStyle name="Normal 101 2 2" xfId="797"/>
    <cellStyle name="Normal 101 2 2 2" xfId="798"/>
    <cellStyle name="Normal 101 2 2 3" xfId="799"/>
    <cellStyle name="Normal 101 2 2 4" xfId="800"/>
    <cellStyle name="Normal 101 2 2 5" xfId="801"/>
    <cellStyle name="Normal 101 2 2 6" xfId="802"/>
    <cellStyle name="Normal 101 2 3" xfId="803"/>
    <cellStyle name="Normal 101 2 4" xfId="804"/>
    <cellStyle name="Normal 101 3" xfId="805"/>
    <cellStyle name="Normal 101 3 2" xfId="806"/>
    <cellStyle name="Normal 101 3 2 2" xfId="807"/>
    <cellStyle name="Normal 101 3 2 3" xfId="808"/>
    <cellStyle name="Normal 101 3 2 4" xfId="809"/>
    <cellStyle name="Normal 101 3 2 5" xfId="810"/>
    <cellStyle name="Normal 101 3 2 6" xfId="811"/>
    <cellStyle name="Normal 101 3 3" xfId="812"/>
    <cellStyle name="Normal 101 3 4" xfId="813"/>
    <cellStyle name="Normal 101 4" xfId="814"/>
    <cellStyle name="Normal 101 4 2" xfId="815"/>
    <cellStyle name="Normal 101 4 2 2" xfId="816"/>
    <cellStyle name="Normal 101 4 2 3" xfId="817"/>
    <cellStyle name="Normal 101 4 2 4" xfId="818"/>
    <cellStyle name="Normal 101 4 2 5" xfId="819"/>
    <cellStyle name="Normal 101 4 2 6" xfId="820"/>
    <cellStyle name="Normal 101 4 3" xfId="821"/>
    <cellStyle name="Normal 101 4 4" xfId="822"/>
    <cellStyle name="Normal 101 5" xfId="823"/>
    <cellStyle name="Normal 101 5 2" xfId="824"/>
    <cellStyle name="Normal 101 5 2 2" xfId="825"/>
    <cellStyle name="Normal 101 5 2 3" xfId="826"/>
    <cellStyle name="Normal 101 5 2 4" xfId="827"/>
    <cellStyle name="Normal 101 5 2 5" xfId="828"/>
    <cellStyle name="Normal 101 5 2 6" xfId="829"/>
    <cellStyle name="Normal 101 5 3" xfId="830"/>
    <cellStyle name="Normal 101 5 4" xfId="831"/>
    <cellStyle name="Normal 101 6" xfId="832"/>
    <cellStyle name="Normal 101 6 2" xfId="833"/>
    <cellStyle name="Normal 101 6 2 2" xfId="834"/>
    <cellStyle name="Normal 101 6 2 3" xfId="835"/>
    <cellStyle name="Normal 101 6 2 4" xfId="836"/>
    <cellStyle name="Normal 101 6 2 5" xfId="837"/>
    <cellStyle name="Normal 101 6 2 6" xfId="838"/>
    <cellStyle name="Normal 101 6 3" xfId="839"/>
    <cellStyle name="Normal 101 6 4" xfId="840"/>
    <cellStyle name="Normal 101 7" xfId="841"/>
    <cellStyle name="Normal 101 7 2" xfId="842"/>
    <cellStyle name="Normal 101 7 3" xfId="843"/>
    <cellStyle name="Normal 101 7 4" xfId="844"/>
    <cellStyle name="Normal 101 7 5" xfId="845"/>
    <cellStyle name="Normal 101 7 6" xfId="846"/>
    <cellStyle name="Normal 101 8" xfId="847"/>
    <cellStyle name="Normal 101 9" xfId="848"/>
    <cellStyle name="Normal 102" xfId="849"/>
    <cellStyle name="Normal 102 2" xfId="850"/>
    <cellStyle name="Normal 102 2 2" xfId="851"/>
    <cellStyle name="Normal 102 2 2 2" xfId="852"/>
    <cellStyle name="Normal 102 2 2 3" xfId="853"/>
    <cellStyle name="Normal 102 2 2 4" xfId="854"/>
    <cellStyle name="Normal 102 2 2 5" xfId="855"/>
    <cellStyle name="Normal 102 2 2 6" xfId="856"/>
    <cellStyle name="Normal 102 2 3" xfId="857"/>
    <cellStyle name="Normal 102 2 4" xfId="858"/>
    <cellStyle name="Normal 102 3" xfId="859"/>
    <cellStyle name="Normal 102 3 2" xfId="860"/>
    <cellStyle name="Normal 102 3 2 2" xfId="861"/>
    <cellStyle name="Normal 102 3 2 3" xfId="862"/>
    <cellStyle name="Normal 102 3 2 4" xfId="863"/>
    <cellStyle name="Normal 102 3 2 5" xfId="864"/>
    <cellStyle name="Normal 102 3 2 6" xfId="865"/>
    <cellStyle name="Normal 102 3 3" xfId="866"/>
    <cellStyle name="Normal 102 3 4" xfId="867"/>
    <cellStyle name="Normal 102 4" xfId="868"/>
    <cellStyle name="Normal 102 4 2" xfId="869"/>
    <cellStyle name="Normal 102 4 2 2" xfId="870"/>
    <cellStyle name="Normal 102 4 2 3" xfId="871"/>
    <cellStyle name="Normal 102 4 2 4" xfId="872"/>
    <cellStyle name="Normal 102 4 2 5" xfId="873"/>
    <cellStyle name="Normal 102 4 2 6" xfId="874"/>
    <cellStyle name="Normal 102 4 3" xfId="875"/>
    <cellStyle name="Normal 102 4 4" xfId="876"/>
    <cellStyle name="Normal 102 5" xfId="877"/>
    <cellStyle name="Normal 102 5 2" xfId="878"/>
    <cellStyle name="Normal 102 5 2 2" xfId="879"/>
    <cellStyle name="Normal 102 5 2 3" xfId="880"/>
    <cellStyle name="Normal 102 5 2 4" xfId="881"/>
    <cellStyle name="Normal 102 5 2 5" xfId="882"/>
    <cellStyle name="Normal 102 5 2 6" xfId="883"/>
    <cellStyle name="Normal 102 5 3" xfId="884"/>
    <cellStyle name="Normal 102 5 4" xfId="885"/>
    <cellStyle name="Normal 102 6" xfId="886"/>
    <cellStyle name="Normal 102 6 2" xfId="887"/>
    <cellStyle name="Normal 102 6 2 2" xfId="888"/>
    <cellStyle name="Normal 102 6 2 3" xfId="889"/>
    <cellStyle name="Normal 102 6 2 4" xfId="890"/>
    <cellStyle name="Normal 102 6 2 5" xfId="891"/>
    <cellStyle name="Normal 102 6 2 6" xfId="892"/>
    <cellStyle name="Normal 102 6 3" xfId="893"/>
    <cellStyle name="Normal 102 6 4" xfId="894"/>
    <cellStyle name="Normal 102 7" xfId="895"/>
    <cellStyle name="Normal 102 7 2" xfId="896"/>
    <cellStyle name="Normal 102 7 3" xfId="897"/>
    <cellStyle name="Normal 102 7 4" xfId="898"/>
    <cellStyle name="Normal 102 7 5" xfId="899"/>
    <cellStyle name="Normal 102 7 6" xfId="900"/>
    <cellStyle name="Normal 102 8" xfId="901"/>
    <cellStyle name="Normal 102 9" xfId="902"/>
    <cellStyle name="Normal 103" xfId="903"/>
    <cellStyle name="Normal 103 2" xfId="904"/>
    <cellStyle name="Normal 103 2 2" xfId="905"/>
    <cellStyle name="Normal 103 2 3" xfId="906"/>
    <cellStyle name="Normal 103 2 4" xfId="907"/>
    <cellStyle name="Normal 103 3" xfId="908"/>
    <cellStyle name="Normal 103 3 2" xfId="909"/>
    <cellStyle name="Normal 103 3 3" xfId="910"/>
    <cellStyle name="Normal 103 3 4" xfId="911"/>
    <cellStyle name="Normal 103 4" xfId="912"/>
    <cellStyle name="Normal 103 4 2" xfId="913"/>
    <cellStyle name="Normal 103 4 3" xfId="914"/>
    <cellStyle name="Normal 103 4 4" xfId="915"/>
    <cellStyle name="Normal 103 5" xfId="916"/>
    <cellStyle name="Normal 103 5 2" xfId="917"/>
    <cellStyle name="Normal 103 5 3" xfId="918"/>
    <cellStyle name="Normal 103 5 4" xfId="919"/>
    <cellStyle name="Normal 103 6" xfId="920"/>
    <cellStyle name="Normal 103 6 2" xfId="921"/>
    <cellStyle name="Normal 103 6 3" xfId="922"/>
    <cellStyle name="Normal 103 6 4" xfId="923"/>
    <cellStyle name="Normal 103 7" xfId="924"/>
    <cellStyle name="Normal 103 8" xfId="925"/>
    <cellStyle name="Normal 103 9" xfId="926"/>
    <cellStyle name="Normal 104" xfId="927"/>
    <cellStyle name="Normal 104 2" xfId="928"/>
    <cellStyle name="Normal 104 2 2" xfId="929"/>
    <cellStyle name="Normal 104 2 3" xfId="930"/>
    <cellStyle name="Normal 104 2 4" xfId="931"/>
    <cellStyle name="Normal 104 3" xfId="932"/>
    <cellStyle name="Normal 104 3 2" xfId="933"/>
    <cellStyle name="Normal 104 3 3" xfId="934"/>
    <cellStyle name="Normal 104 3 4" xfId="935"/>
    <cellStyle name="Normal 104 4" xfId="936"/>
    <cellStyle name="Normal 104 4 2" xfId="937"/>
    <cellStyle name="Normal 104 4 3" xfId="938"/>
    <cellStyle name="Normal 104 4 4" xfId="939"/>
    <cellStyle name="Normal 104 5" xfId="940"/>
    <cellStyle name="Normal 104 5 2" xfId="941"/>
    <cellStyle name="Normal 104 5 3" xfId="942"/>
    <cellStyle name="Normal 104 5 4" xfId="943"/>
    <cellStyle name="Normal 104 6" xfId="944"/>
    <cellStyle name="Normal 104 6 2" xfId="945"/>
    <cellStyle name="Normal 104 6 3" xfId="946"/>
    <cellStyle name="Normal 104 6 4" xfId="947"/>
    <cellStyle name="Normal 104 7" xfId="948"/>
    <cellStyle name="Normal 104 8" xfId="949"/>
    <cellStyle name="Normal 104 9" xfId="950"/>
    <cellStyle name="Normal 105" xfId="951"/>
    <cellStyle name="Normal 105 2" xfId="952"/>
    <cellStyle name="Normal 105 2 2" xfId="953"/>
    <cellStyle name="Normal 105 2 3" xfId="954"/>
    <cellStyle name="Normal 105 2 4" xfId="955"/>
    <cellStyle name="Normal 105 3" xfId="956"/>
    <cellStyle name="Normal 105 3 2" xfId="957"/>
    <cellStyle name="Normal 105 3 3" xfId="958"/>
    <cellStyle name="Normal 105 3 4" xfId="959"/>
    <cellStyle name="Normal 105 4" xfId="960"/>
    <cellStyle name="Normal 105 4 2" xfId="961"/>
    <cellStyle name="Normal 105 4 3" xfId="962"/>
    <cellStyle name="Normal 105 4 4" xfId="963"/>
    <cellStyle name="Normal 105 5" xfId="964"/>
    <cellStyle name="Normal 105 5 2" xfId="965"/>
    <cellStyle name="Normal 105 5 3" xfId="966"/>
    <cellStyle name="Normal 105 5 4" xfId="967"/>
    <cellStyle name="Normal 105 6" xfId="968"/>
    <cellStyle name="Normal 105 6 2" xfId="969"/>
    <cellStyle name="Normal 105 6 3" xfId="970"/>
    <cellStyle name="Normal 105 6 4" xfId="971"/>
    <cellStyle name="Normal 105 7" xfId="972"/>
    <cellStyle name="Normal 105 8" xfId="973"/>
    <cellStyle name="Normal 105 9" xfId="974"/>
    <cellStyle name="Normal 106" xfId="975"/>
    <cellStyle name="Normal 106 2" xfId="976"/>
    <cellStyle name="Normal 106 2 2" xfId="977"/>
    <cellStyle name="Normal 106 2 3" xfId="978"/>
    <cellStyle name="Normal 106 2 4" xfId="979"/>
    <cellStyle name="Normal 106 3" xfId="980"/>
    <cellStyle name="Normal 106 3 2" xfId="981"/>
    <cellStyle name="Normal 106 3 3" xfId="982"/>
    <cellStyle name="Normal 106 3 4" xfId="983"/>
    <cellStyle name="Normal 106 4" xfId="984"/>
    <cellStyle name="Normal 106 4 2" xfId="985"/>
    <cellStyle name="Normal 106 4 3" xfId="986"/>
    <cellStyle name="Normal 106 4 4" xfId="987"/>
    <cellStyle name="Normal 106 5" xfId="988"/>
    <cellStyle name="Normal 106 5 2" xfId="989"/>
    <cellStyle name="Normal 106 5 3" xfId="990"/>
    <cellStyle name="Normal 106 5 4" xfId="991"/>
    <cellStyle name="Normal 106 6" xfId="992"/>
    <cellStyle name="Normal 106 6 2" xfId="993"/>
    <cellStyle name="Normal 106 6 3" xfId="994"/>
    <cellStyle name="Normal 106 6 4" xfId="995"/>
    <cellStyle name="Normal 106 7" xfId="996"/>
    <cellStyle name="Normal 106 8" xfId="997"/>
    <cellStyle name="Normal 106 9" xfId="998"/>
    <cellStyle name="Normal 107" xfId="999"/>
    <cellStyle name="Normal 107 2" xfId="1000"/>
    <cellStyle name="Normal 107 2 2" xfId="1001"/>
    <cellStyle name="Normal 107 2 2 2" xfId="1002"/>
    <cellStyle name="Normal 107 2 2 3" xfId="1003"/>
    <cellStyle name="Normal 107 2 2 4" xfId="1004"/>
    <cellStyle name="Normal 107 2 2 5" xfId="1005"/>
    <cellStyle name="Normal 107 2 2 6" xfId="1006"/>
    <cellStyle name="Normal 107 2 3" xfId="1007"/>
    <cellStyle name="Normal 107 2 4" xfId="1008"/>
    <cellStyle name="Normal 107 3" xfId="1009"/>
    <cellStyle name="Normal 107 3 2" xfId="1010"/>
    <cellStyle name="Normal 107 3 2 2" xfId="1011"/>
    <cellStyle name="Normal 107 3 2 3" xfId="1012"/>
    <cellStyle name="Normal 107 3 2 4" xfId="1013"/>
    <cellStyle name="Normal 107 3 2 5" xfId="1014"/>
    <cellStyle name="Normal 107 3 2 6" xfId="1015"/>
    <cellStyle name="Normal 107 3 3" xfId="1016"/>
    <cellStyle name="Normal 107 3 4" xfId="1017"/>
    <cellStyle name="Normal 107 4" xfId="1018"/>
    <cellStyle name="Normal 107 4 2" xfId="1019"/>
    <cellStyle name="Normal 107 4 2 2" xfId="1020"/>
    <cellStyle name="Normal 107 4 2 3" xfId="1021"/>
    <cellStyle name="Normal 107 4 2 4" xfId="1022"/>
    <cellStyle name="Normal 107 4 2 5" xfId="1023"/>
    <cellStyle name="Normal 107 4 2 6" xfId="1024"/>
    <cellStyle name="Normal 107 4 3" xfId="1025"/>
    <cellStyle name="Normal 107 4 4" xfId="1026"/>
    <cellStyle name="Normal 107 5" xfId="1027"/>
    <cellStyle name="Normal 107 5 2" xfId="1028"/>
    <cellStyle name="Normal 107 5 2 2" xfId="1029"/>
    <cellStyle name="Normal 107 5 2 3" xfId="1030"/>
    <cellStyle name="Normal 107 5 2 4" xfId="1031"/>
    <cellStyle name="Normal 107 5 2 5" xfId="1032"/>
    <cellStyle name="Normal 107 5 2 6" xfId="1033"/>
    <cellStyle name="Normal 107 5 3" xfId="1034"/>
    <cellStyle name="Normal 107 5 4" xfId="1035"/>
    <cellStyle name="Normal 107 6" xfId="1036"/>
    <cellStyle name="Normal 107 6 2" xfId="1037"/>
    <cellStyle name="Normal 107 6 3" xfId="1038"/>
    <cellStyle name="Normal 107 6 4" xfId="1039"/>
    <cellStyle name="Normal 107 6 5" xfId="1040"/>
    <cellStyle name="Normal 107 6 6" xfId="1041"/>
    <cellStyle name="Normal 107 7" xfId="1042"/>
    <cellStyle name="Normal 107 8" xfId="1043"/>
    <cellStyle name="Normal 108" xfId="1044"/>
    <cellStyle name="Normal 108 10" xfId="1045"/>
    <cellStyle name="Normal 108 10 2" xfId="1046"/>
    <cellStyle name="Normal 108 10 3" xfId="1047"/>
    <cellStyle name="Normal 108 10 4" xfId="1048"/>
    <cellStyle name="Normal 108 11" xfId="1049"/>
    <cellStyle name="Normal 108 11 2" xfId="1050"/>
    <cellStyle name="Normal 108 11 3" xfId="1051"/>
    <cellStyle name="Normal 108 11 4" xfId="1052"/>
    <cellStyle name="Normal 108 12" xfId="1053"/>
    <cellStyle name="Normal 108 12 2" xfId="1054"/>
    <cellStyle name="Normal 108 12 3" xfId="1055"/>
    <cellStyle name="Normal 108 12 4" xfId="1056"/>
    <cellStyle name="Normal 108 13" xfId="1057"/>
    <cellStyle name="Normal 108 14" xfId="1058"/>
    <cellStyle name="Normal 108 15" xfId="1059"/>
    <cellStyle name="Normal 108 2" xfId="1060"/>
    <cellStyle name="Normal 108 2 2" xfId="1061"/>
    <cellStyle name="Normal 108 2 2 2" xfId="1062"/>
    <cellStyle name="Normal 108 2 2 2 2" xfId="1063"/>
    <cellStyle name="Normal 108 2 2 2 3" xfId="1064"/>
    <cellStyle name="Normal 108 2 2 2 4" xfId="1065"/>
    <cellStyle name="Normal 108 2 2 3" xfId="1066"/>
    <cellStyle name="Normal 108 2 2 3 2" xfId="1067"/>
    <cellStyle name="Normal 108 2 2 3 3" xfId="1068"/>
    <cellStyle name="Normal 108 2 2 3 4" xfId="1069"/>
    <cellStyle name="Normal 108 2 2 4" xfId="1070"/>
    <cellStyle name="Normal 108 2 2 5" xfId="1071"/>
    <cellStyle name="Normal 108 2 2 6" xfId="1072"/>
    <cellStyle name="Normal 108 2 3" xfId="1073"/>
    <cellStyle name="Normal 108 2 3 2" xfId="1074"/>
    <cellStyle name="Normal 108 2 3 3" xfId="1075"/>
    <cellStyle name="Normal 108 2 3 4" xfId="1076"/>
    <cellStyle name="Normal 108 2 4" xfId="1077"/>
    <cellStyle name="Normal 108 2 4 2" xfId="1078"/>
    <cellStyle name="Normal 108 2 4 2 2" xfId="1079"/>
    <cellStyle name="Normal 108 2 4 2 3" xfId="1080"/>
    <cellStyle name="Normal 108 2 4 2 4" xfId="1081"/>
    <cellStyle name="Normal 108 2 4 2 5" xfId="1082"/>
    <cellStyle name="Normal 108 2 4 2 6" xfId="1083"/>
    <cellStyle name="Normal 108 2 4 3" xfId="1084"/>
    <cellStyle name="Normal 108 2 4 4" xfId="1085"/>
    <cellStyle name="Normal 108 2 5" xfId="1086"/>
    <cellStyle name="Normal 108 2 5 2" xfId="1087"/>
    <cellStyle name="Normal 108 2 5 2 2" xfId="1088"/>
    <cellStyle name="Normal 108 2 5 2 3" xfId="1089"/>
    <cellStyle name="Normal 108 2 5 2 4" xfId="1090"/>
    <cellStyle name="Normal 108 2 5 2 5" xfId="1091"/>
    <cellStyle name="Normal 108 2 5 2 6" xfId="1092"/>
    <cellStyle name="Normal 108 2 5 3" xfId="1093"/>
    <cellStyle name="Normal 108 2 5 4" xfId="1094"/>
    <cellStyle name="Normal 108 2 6" xfId="1095"/>
    <cellStyle name="Normal 108 2 6 2" xfId="1096"/>
    <cellStyle name="Normal 108 2 6 3" xfId="1097"/>
    <cellStyle name="Normal 108 2 6 4" xfId="1098"/>
    <cellStyle name="Normal 108 2 6 5" xfId="1099"/>
    <cellStyle name="Normal 108 2 6 6" xfId="1100"/>
    <cellStyle name="Normal 108 2 7" xfId="1101"/>
    <cellStyle name="Normal 108 2 8" xfId="1102"/>
    <cellStyle name="Normal 108 3" xfId="1103"/>
    <cellStyle name="Normal 108 3 2" xfId="1104"/>
    <cellStyle name="Normal 108 3 2 2" xfId="1105"/>
    <cellStyle name="Normal 108 3 2 3" xfId="1106"/>
    <cellStyle name="Normal 108 3 2 4" xfId="1107"/>
    <cellStyle name="Normal 108 3 3" xfId="1108"/>
    <cellStyle name="Normal 108 3 3 2" xfId="1109"/>
    <cellStyle name="Normal 108 3 3 3" xfId="1110"/>
    <cellStyle name="Normal 108 3 3 4" xfId="1111"/>
    <cellStyle name="Normal 108 3 4" xfId="1112"/>
    <cellStyle name="Normal 108 3 5" xfId="1113"/>
    <cellStyle name="Normal 108 3 6" xfId="1114"/>
    <cellStyle name="Normal 108 4" xfId="1115"/>
    <cellStyle name="Normal 108 4 10" xfId="1116"/>
    <cellStyle name="Normal 108 4 10 2" xfId="1117"/>
    <cellStyle name="Normal 108 4 10 3" xfId="1118"/>
    <cellStyle name="Normal 108 4 10 4" xfId="1119"/>
    <cellStyle name="Normal 108 4 11" xfId="1120"/>
    <cellStyle name="Normal 108 4 11 2" xfId="1121"/>
    <cellStyle name="Normal 108 4 11 3" xfId="1122"/>
    <cellStyle name="Normal 108 4 11 4" xfId="1123"/>
    <cellStyle name="Normal 108 4 12" xfId="1124"/>
    <cellStyle name="Normal 108 4 12 2" xfId="1125"/>
    <cellStyle name="Normal 108 4 12 3" xfId="1126"/>
    <cellStyle name="Normal 108 4 12 4" xfId="1127"/>
    <cellStyle name="Normal 108 4 13" xfId="1128"/>
    <cellStyle name="Normal 108 4 13 2" xfId="1129"/>
    <cellStyle name="Normal 108 4 13 3" xfId="1130"/>
    <cellStyle name="Normal 108 4 13 4" xfId="1131"/>
    <cellStyle name="Normal 108 4 14" xfId="1132"/>
    <cellStyle name="Normal 108 4 14 2" xfId="1133"/>
    <cellStyle name="Normal 108 4 14 3" xfId="1134"/>
    <cellStyle name="Normal 108 4 14 4" xfId="1135"/>
    <cellStyle name="Normal 108 4 15" xfId="1136"/>
    <cellStyle name="Normal 108 4 15 2" xfId="1137"/>
    <cellStyle name="Normal 108 4 15 3" xfId="1138"/>
    <cellStyle name="Normal 108 4 15 4" xfId="1139"/>
    <cellStyle name="Normal 108 4 16" xfId="1140"/>
    <cellStyle name="Normal 108 4 16 2" xfId="1141"/>
    <cellStyle name="Normal 108 4 16 3" xfId="1142"/>
    <cellStyle name="Normal 108 4 16 4" xfId="1143"/>
    <cellStyle name="Normal 108 4 17" xfId="1144"/>
    <cellStyle name="Normal 108 4 17 2" xfId="1145"/>
    <cellStyle name="Normal 108 4 17 3" xfId="1146"/>
    <cellStyle name="Normal 108 4 17 4" xfId="1147"/>
    <cellStyle name="Normal 108 4 18" xfId="1148"/>
    <cellStyle name="Normal 108 4 18 2" xfId="1149"/>
    <cellStyle name="Normal 108 4 18 3" xfId="1150"/>
    <cellStyle name="Normal 108 4 18 4" xfId="1151"/>
    <cellStyle name="Normal 108 4 19" xfId="1152"/>
    <cellStyle name="Normal 108 4 19 2" xfId="1153"/>
    <cellStyle name="Normal 108 4 19 3" xfId="1154"/>
    <cellStyle name="Normal 108 4 19 4" xfId="1155"/>
    <cellStyle name="Normal 108 4 2" xfId="1156"/>
    <cellStyle name="Normal 108 4 2 10" xfId="1157"/>
    <cellStyle name="Normal 108 4 2 10 2" xfId="1158"/>
    <cellStyle name="Normal 108 4 2 10 2 2" xfId="1159"/>
    <cellStyle name="Normal 108 4 2 10 2 3" xfId="1160"/>
    <cellStyle name="Normal 108 4 2 10 2 4" xfId="1161"/>
    <cellStyle name="Normal 108 4 2 10 2 5" xfId="1162"/>
    <cellStyle name="Normal 108 4 2 10 2 6" xfId="1163"/>
    <cellStyle name="Normal 108 4 2 10 3" xfId="1164"/>
    <cellStyle name="Normal 108 4 2 10 4" xfId="1165"/>
    <cellStyle name="Normal 108 4 2 11" xfId="1166"/>
    <cellStyle name="Normal 108 4 2 11 2" xfId="1167"/>
    <cellStyle name="Normal 108 4 2 11 2 2" xfId="1168"/>
    <cellStyle name="Normal 108 4 2 11 2 3" xfId="1169"/>
    <cellStyle name="Normal 108 4 2 11 2 4" xfId="1170"/>
    <cellStyle name="Normal 108 4 2 11 2 5" xfId="1171"/>
    <cellStyle name="Normal 108 4 2 11 2 6" xfId="1172"/>
    <cellStyle name="Normal 108 4 2 11 3" xfId="1173"/>
    <cellStyle name="Normal 108 4 2 11 4" xfId="1174"/>
    <cellStyle name="Normal 108 4 2 12" xfId="1175"/>
    <cellStyle name="Normal 108 4 2 12 2" xfId="1176"/>
    <cellStyle name="Normal 108 4 2 12 2 2" xfId="1177"/>
    <cellStyle name="Normal 108 4 2 12 2 3" xfId="1178"/>
    <cellStyle name="Normal 108 4 2 12 2 4" xfId="1179"/>
    <cellStyle name="Normal 108 4 2 12 2 5" xfId="1180"/>
    <cellStyle name="Normal 108 4 2 12 2 6" xfId="1181"/>
    <cellStyle name="Normal 108 4 2 12 3" xfId="1182"/>
    <cellStyle name="Normal 108 4 2 12 4" xfId="1183"/>
    <cellStyle name="Normal 108 4 2 13" xfId="1184"/>
    <cellStyle name="Normal 108 4 2 13 2" xfId="1185"/>
    <cellStyle name="Normal 108 4 2 13 2 2" xfId="1186"/>
    <cellStyle name="Normal 108 4 2 13 2 3" xfId="1187"/>
    <cellStyle name="Normal 108 4 2 13 2 4" xfId="1188"/>
    <cellStyle name="Normal 108 4 2 13 2 5" xfId="1189"/>
    <cellStyle name="Normal 108 4 2 13 2 6" xfId="1190"/>
    <cellStyle name="Normal 108 4 2 13 3" xfId="1191"/>
    <cellStyle name="Normal 108 4 2 13 4" xfId="1192"/>
    <cellStyle name="Normal 108 4 2 14" xfId="1193"/>
    <cellStyle name="Normal 108 4 2 14 2" xfId="1194"/>
    <cellStyle name="Normal 108 4 2 14 2 2" xfId="1195"/>
    <cellStyle name="Normal 108 4 2 14 2 3" xfId="1196"/>
    <cellStyle name="Normal 108 4 2 14 2 4" xfId="1197"/>
    <cellStyle name="Normal 108 4 2 14 2 5" xfId="1198"/>
    <cellStyle name="Normal 108 4 2 14 2 6" xfId="1199"/>
    <cellStyle name="Normal 108 4 2 14 3" xfId="1200"/>
    <cellStyle name="Normal 108 4 2 14 4" xfId="1201"/>
    <cellStyle name="Normal 108 4 2 15" xfId="1202"/>
    <cellStyle name="Normal 108 4 2 15 2" xfId="1203"/>
    <cellStyle name="Normal 108 4 2 15 2 2" xfId="1204"/>
    <cellStyle name="Normal 108 4 2 15 2 3" xfId="1205"/>
    <cellStyle name="Normal 108 4 2 15 2 4" xfId="1206"/>
    <cellStyle name="Normal 108 4 2 15 2 5" xfId="1207"/>
    <cellStyle name="Normal 108 4 2 15 2 6" xfId="1208"/>
    <cellStyle name="Normal 108 4 2 15 3" xfId="1209"/>
    <cellStyle name="Normal 108 4 2 15 4" xfId="1210"/>
    <cellStyle name="Normal 108 4 2 16" xfId="1211"/>
    <cellStyle name="Normal 108 4 2 16 2" xfId="1212"/>
    <cellStyle name="Normal 108 4 2 16 2 2" xfId="1213"/>
    <cellStyle name="Normal 108 4 2 16 2 3" xfId="1214"/>
    <cellStyle name="Normal 108 4 2 16 2 4" xfId="1215"/>
    <cellStyle name="Normal 108 4 2 16 2 5" xfId="1216"/>
    <cellStyle name="Normal 108 4 2 16 2 6" xfId="1217"/>
    <cellStyle name="Normal 108 4 2 16 3" xfId="1218"/>
    <cellStyle name="Normal 108 4 2 16 4" xfId="1219"/>
    <cellStyle name="Normal 108 4 2 17" xfId="1220"/>
    <cellStyle name="Normal 108 4 2 17 2" xfId="1221"/>
    <cellStyle name="Normal 108 4 2 17 2 2" xfId="1222"/>
    <cellStyle name="Normal 108 4 2 17 2 3" xfId="1223"/>
    <cellStyle name="Normal 108 4 2 17 2 4" xfId="1224"/>
    <cellStyle name="Normal 108 4 2 17 2 5" xfId="1225"/>
    <cellStyle name="Normal 108 4 2 17 2 6" xfId="1226"/>
    <cellStyle name="Normal 108 4 2 17 3" xfId="1227"/>
    <cellStyle name="Normal 108 4 2 17 4" xfId="1228"/>
    <cellStyle name="Normal 108 4 2 18" xfId="1229"/>
    <cellStyle name="Normal 108 4 2 18 2" xfId="1230"/>
    <cellStyle name="Normal 108 4 2 18 2 2" xfId="1231"/>
    <cellStyle name="Normal 108 4 2 18 2 3" xfId="1232"/>
    <cellStyle name="Normal 108 4 2 18 2 4" xfId="1233"/>
    <cellStyle name="Normal 108 4 2 18 2 5" xfId="1234"/>
    <cellStyle name="Normal 108 4 2 18 2 6" xfId="1235"/>
    <cellStyle name="Normal 108 4 2 18 3" xfId="1236"/>
    <cellStyle name="Normal 108 4 2 18 4" xfId="1237"/>
    <cellStyle name="Normal 108 4 2 19" xfId="1238"/>
    <cellStyle name="Normal 108 4 2 19 2" xfId="1239"/>
    <cellStyle name="Normal 108 4 2 19 2 2" xfId="1240"/>
    <cellStyle name="Normal 108 4 2 19 2 3" xfId="1241"/>
    <cellStyle name="Normal 108 4 2 19 2 4" xfId="1242"/>
    <cellStyle name="Normal 108 4 2 19 2 5" xfId="1243"/>
    <cellStyle name="Normal 108 4 2 19 2 6" xfId="1244"/>
    <cellStyle name="Normal 108 4 2 19 3" xfId="1245"/>
    <cellStyle name="Normal 108 4 2 19 4" xfId="1246"/>
    <cellStyle name="Normal 108 4 2 2" xfId="1247"/>
    <cellStyle name="Normal 108 4 2 2 10" xfId="1248"/>
    <cellStyle name="Normal 108 4 2 2 10 2" xfId="1249"/>
    <cellStyle name="Normal 108 4 2 2 10 3" xfId="1250"/>
    <cellStyle name="Normal 108 4 2 2 10 4" xfId="1251"/>
    <cellStyle name="Normal 108 4 2 2 11" xfId="1252"/>
    <cellStyle name="Normal 108 4 2 2 11 2" xfId="1253"/>
    <cellStyle name="Normal 108 4 2 2 11 3" xfId="1254"/>
    <cellStyle name="Normal 108 4 2 2 11 4" xfId="1255"/>
    <cellStyle name="Normal 108 4 2 2 12" xfId="1256"/>
    <cellStyle name="Normal 108 4 2 2 12 2" xfId="1257"/>
    <cellStyle name="Normal 108 4 2 2 12 3" xfId="1258"/>
    <cellStyle name="Normal 108 4 2 2 12 4" xfId="1259"/>
    <cellStyle name="Normal 108 4 2 2 13" xfId="1260"/>
    <cellStyle name="Normal 108 4 2 2 13 2" xfId="1261"/>
    <cellStyle name="Normal 108 4 2 2 13 3" xfId="1262"/>
    <cellStyle name="Normal 108 4 2 2 13 4" xfId="1263"/>
    <cellStyle name="Normal 108 4 2 2 14" xfId="1264"/>
    <cellStyle name="Normal 108 4 2 2 14 2" xfId="1265"/>
    <cellStyle name="Normal 108 4 2 2 14 3" xfId="1266"/>
    <cellStyle name="Normal 108 4 2 2 14 4" xfId="1267"/>
    <cellStyle name="Normal 108 4 2 2 15" xfId="1268"/>
    <cellStyle name="Normal 108 4 2 2 15 2" xfId="1269"/>
    <cellStyle name="Normal 108 4 2 2 15 3" xfId="1270"/>
    <cellStyle name="Normal 108 4 2 2 15 4" xfId="1271"/>
    <cellStyle name="Normal 108 4 2 2 16" xfId="1272"/>
    <cellStyle name="Normal 108 4 2 2 16 2" xfId="1273"/>
    <cellStyle name="Normal 108 4 2 2 16 3" xfId="1274"/>
    <cellStyle name="Normal 108 4 2 2 16 4" xfId="1275"/>
    <cellStyle name="Normal 108 4 2 2 17" xfId="1276"/>
    <cellStyle name="Normal 108 4 2 2 17 2" xfId="1277"/>
    <cellStyle name="Normal 108 4 2 2 17 3" xfId="1278"/>
    <cellStyle name="Normal 108 4 2 2 17 4" xfId="1279"/>
    <cellStyle name="Normal 108 4 2 2 17 5" xfId="1280"/>
    <cellStyle name="Normal 108 4 2 2 17 6" xfId="1281"/>
    <cellStyle name="Normal 108 4 2 2 18" xfId="1282"/>
    <cellStyle name="Normal 108 4 2 2 19" xfId="1283"/>
    <cellStyle name="Normal 108 4 2 2 2" xfId="1284"/>
    <cellStyle name="Normal 108 4 2 2 2 2" xfId="1285"/>
    <cellStyle name="Normal 108 4 2 2 2 3" xfId="1286"/>
    <cellStyle name="Normal 108 4 2 2 2 4" xfId="1287"/>
    <cellStyle name="Normal 108 4 2 2 3" xfId="1288"/>
    <cellStyle name="Normal 108 4 2 2 3 2" xfId="1289"/>
    <cellStyle name="Normal 108 4 2 2 3 3" xfId="1290"/>
    <cellStyle name="Normal 108 4 2 2 3 4" xfId="1291"/>
    <cellStyle name="Normal 108 4 2 2 4" xfId="1292"/>
    <cellStyle name="Normal 108 4 2 2 4 2" xfId="1293"/>
    <cellStyle name="Normal 108 4 2 2 4 3" xfId="1294"/>
    <cellStyle name="Normal 108 4 2 2 4 4" xfId="1295"/>
    <cellStyle name="Normal 108 4 2 2 5" xfId="1296"/>
    <cellStyle name="Normal 108 4 2 2 5 2" xfId="1297"/>
    <cellStyle name="Normal 108 4 2 2 5 3" xfId="1298"/>
    <cellStyle name="Normal 108 4 2 2 5 4" xfId="1299"/>
    <cellStyle name="Normal 108 4 2 2 6" xfId="1300"/>
    <cellStyle name="Normal 108 4 2 2 6 2" xfId="1301"/>
    <cellStyle name="Normal 108 4 2 2 6 3" xfId="1302"/>
    <cellStyle name="Normal 108 4 2 2 6 4" xfId="1303"/>
    <cellStyle name="Normal 108 4 2 2 7" xfId="1304"/>
    <cellStyle name="Normal 108 4 2 2 7 2" xfId="1305"/>
    <cellStyle name="Normal 108 4 2 2 7 3" xfId="1306"/>
    <cellStyle name="Normal 108 4 2 2 7 4" xfId="1307"/>
    <cellStyle name="Normal 108 4 2 2 8" xfId="1308"/>
    <cellStyle name="Normal 108 4 2 2 8 2" xfId="1309"/>
    <cellStyle name="Normal 108 4 2 2 8 3" xfId="1310"/>
    <cellStyle name="Normal 108 4 2 2 8 4" xfId="1311"/>
    <cellStyle name="Normal 108 4 2 2 9" xfId="1312"/>
    <cellStyle name="Normal 108 4 2 2 9 2" xfId="1313"/>
    <cellStyle name="Normal 108 4 2 2 9 3" xfId="1314"/>
    <cellStyle name="Normal 108 4 2 2 9 4" xfId="1315"/>
    <cellStyle name="Normal 108 4 2 20" xfId="1316"/>
    <cellStyle name="Normal 108 4 2 21" xfId="1317"/>
    <cellStyle name="Normal 108 4 2 22" xfId="1318"/>
    <cellStyle name="Normal 108 4 2 3" xfId="1319"/>
    <cellStyle name="Normal 108 4 2 3 2" xfId="1320"/>
    <cellStyle name="Normal 108 4 2 3 3" xfId="1321"/>
    <cellStyle name="Normal 108 4 2 3 4" xfId="1322"/>
    <cellStyle name="Normal 108 4 2 4" xfId="1323"/>
    <cellStyle name="Normal 108 4 2 4 2" xfId="1324"/>
    <cellStyle name="Normal 108 4 2 4 3" xfId="1325"/>
    <cellStyle name="Normal 108 4 2 4 4" xfId="1326"/>
    <cellStyle name="Normal 108 4 2 5" xfId="1327"/>
    <cellStyle name="Normal 108 4 2 5 2" xfId="1328"/>
    <cellStyle name="Normal 108 4 2 5 3" xfId="1329"/>
    <cellStyle name="Normal 108 4 2 5 4" xfId="1330"/>
    <cellStyle name="Normal 108 4 2 6" xfId="1331"/>
    <cellStyle name="Normal 108 4 2 6 2" xfId="1332"/>
    <cellStyle name="Normal 108 4 2 6 2 2" xfId="1333"/>
    <cellStyle name="Normal 108 4 2 6 2 3" xfId="1334"/>
    <cellStyle name="Normal 108 4 2 6 2 4" xfId="1335"/>
    <cellStyle name="Normal 108 4 2 6 2 5" xfId="1336"/>
    <cellStyle name="Normal 108 4 2 6 2 6" xfId="1337"/>
    <cellStyle name="Normal 108 4 2 6 3" xfId="1338"/>
    <cellStyle name="Normal 108 4 2 6 4" xfId="1339"/>
    <cellStyle name="Normal 108 4 2 7" xfId="1340"/>
    <cellStyle name="Normal 108 4 2 7 2" xfId="1341"/>
    <cellStyle name="Normal 108 4 2 7 2 2" xfId="1342"/>
    <cellStyle name="Normal 108 4 2 7 2 3" xfId="1343"/>
    <cellStyle name="Normal 108 4 2 7 2 4" xfId="1344"/>
    <cellStyle name="Normal 108 4 2 7 2 5" xfId="1345"/>
    <cellStyle name="Normal 108 4 2 7 2 6" xfId="1346"/>
    <cellStyle name="Normal 108 4 2 7 3" xfId="1347"/>
    <cellStyle name="Normal 108 4 2 7 4" xfId="1348"/>
    <cellStyle name="Normal 108 4 2 8" xfId="1349"/>
    <cellStyle name="Normal 108 4 2 8 2" xfId="1350"/>
    <cellStyle name="Normal 108 4 2 8 2 2" xfId="1351"/>
    <cellStyle name="Normal 108 4 2 8 2 3" xfId="1352"/>
    <cellStyle name="Normal 108 4 2 8 2 4" xfId="1353"/>
    <cellStyle name="Normal 108 4 2 8 2 5" xfId="1354"/>
    <cellStyle name="Normal 108 4 2 8 2 6" xfId="1355"/>
    <cellStyle name="Normal 108 4 2 8 3" xfId="1356"/>
    <cellStyle name="Normal 108 4 2 8 4" xfId="1357"/>
    <cellStyle name="Normal 108 4 2 9" xfId="1358"/>
    <cellStyle name="Normal 108 4 2 9 2" xfId="1359"/>
    <cellStyle name="Normal 108 4 2 9 2 2" xfId="1360"/>
    <cellStyle name="Normal 108 4 2 9 2 3" xfId="1361"/>
    <cellStyle name="Normal 108 4 2 9 2 4" xfId="1362"/>
    <cellStyle name="Normal 108 4 2 9 2 5" xfId="1363"/>
    <cellStyle name="Normal 108 4 2 9 2 6" xfId="1364"/>
    <cellStyle name="Normal 108 4 2 9 3" xfId="1365"/>
    <cellStyle name="Normal 108 4 2 9 4" xfId="1366"/>
    <cellStyle name="Normal 108 4 20" xfId="1367"/>
    <cellStyle name="Normal 108 4 20 2" xfId="1368"/>
    <cellStyle name="Normal 108 4 20 3" xfId="1369"/>
    <cellStyle name="Normal 108 4 20 4" xfId="1370"/>
    <cellStyle name="Normal 108 4 21" xfId="1371"/>
    <cellStyle name="Normal 108 4 21 2" xfId="1372"/>
    <cellStyle name="Normal 108 4 21 3" xfId="1373"/>
    <cellStyle name="Normal 108 4 21 4" xfId="1374"/>
    <cellStyle name="Normal 108 4 21 5" xfId="1375"/>
    <cellStyle name="Normal 108 4 21 6" xfId="1376"/>
    <cellStyle name="Normal 108 4 22" xfId="1377"/>
    <cellStyle name="Normal 108 4 23" xfId="1378"/>
    <cellStyle name="Normal 108 4 3" xfId="1379"/>
    <cellStyle name="Normal 108 4 3 2" xfId="1380"/>
    <cellStyle name="Normal 108 4 3 3" xfId="1381"/>
    <cellStyle name="Normal 108 4 3 4" xfId="1382"/>
    <cellStyle name="Normal 108 4 4" xfId="1383"/>
    <cellStyle name="Normal 108 4 4 10" xfId="1384"/>
    <cellStyle name="Normal 108 4 4 10 2" xfId="1385"/>
    <cellStyle name="Normal 108 4 4 10 2 2" xfId="1386"/>
    <cellStyle name="Normal 108 4 4 10 2 3" xfId="1387"/>
    <cellStyle name="Normal 108 4 4 10 2 4" xfId="1388"/>
    <cellStyle name="Normal 108 4 4 10 2 5" xfId="1389"/>
    <cellStyle name="Normal 108 4 4 10 2 6" xfId="1390"/>
    <cellStyle name="Normal 108 4 4 10 3" xfId="1391"/>
    <cellStyle name="Normal 108 4 4 10 4" xfId="1392"/>
    <cellStyle name="Normal 108 4 4 11" xfId="1393"/>
    <cellStyle name="Normal 108 4 4 11 2" xfId="1394"/>
    <cellStyle name="Normal 108 4 4 11 2 2" xfId="1395"/>
    <cellStyle name="Normal 108 4 4 11 2 3" xfId="1396"/>
    <cellStyle name="Normal 108 4 4 11 2 4" xfId="1397"/>
    <cellStyle name="Normal 108 4 4 11 2 5" xfId="1398"/>
    <cellStyle name="Normal 108 4 4 11 2 6" xfId="1399"/>
    <cellStyle name="Normal 108 4 4 11 3" xfId="1400"/>
    <cellStyle name="Normal 108 4 4 11 4" xfId="1401"/>
    <cellStyle name="Normal 108 4 4 12" xfId="1402"/>
    <cellStyle name="Normal 108 4 4 12 2" xfId="1403"/>
    <cellStyle name="Normal 108 4 4 12 2 2" xfId="1404"/>
    <cellStyle name="Normal 108 4 4 12 2 3" xfId="1405"/>
    <cellStyle name="Normal 108 4 4 12 2 4" xfId="1406"/>
    <cellStyle name="Normal 108 4 4 12 2 5" xfId="1407"/>
    <cellStyle name="Normal 108 4 4 12 2 6" xfId="1408"/>
    <cellStyle name="Normal 108 4 4 12 3" xfId="1409"/>
    <cellStyle name="Normal 108 4 4 12 4" xfId="1410"/>
    <cellStyle name="Normal 108 4 4 13" xfId="1411"/>
    <cellStyle name="Normal 108 4 4 13 2" xfId="1412"/>
    <cellStyle name="Normal 108 4 4 13 2 2" xfId="1413"/>
    <cellStyle name="Normal 108 4 4 13 2 3" xfId="1414"/>
    <cellStyle name="Normal 108 4 4 13 2 4" xfId="1415"/>
    <cellStyle name="Normal 108 4 4 13 2 5" xfId="1416"/>
    <cellStyle name="Normal 108 4 4 13 2 6" xfId="1417"/>
    <cellStyle name="Normal 108 4 4 13 3" xfId="1418"/>
    <cellStyle name="Normal 108 4 4 13 4" xfId="1419"/>
    <cellStyle name="Normal 108 4 4 14" xfId="1420"/>
    <cellStyle name="Normal 108 4 4 14 2" xfId="1421"/>
    <cellStyle name="Normal 108 4 4 14 2 2" xfId="1422"/>
    <cellStyle name="Normal 108 4 4 14 2 3" xfId="1423"/>
    <cellStyle name="Normal 108 4 4 14 2 4" xfId="1424"/>
    <cellStyle name="Normal 108 4 4 14 2 5" xfId="1425"/>
    <cellStyle name="Normal 108 4 4 14 2 6" xfId="1426"/>
    <cellStyle name="Normal 108 4 4 14 3" xfId="1427"/>
    <cellStyle name="Normal 108 4 4 14 4" xfId="1428"/>
    <cellStyle name="Normal 108 4 4 15" xfId="1429"/>
    <cellStyle name="Normal 108 4 4 15 2" xfId="1430"/>
    <cellStyle name="Normal 108 4 4 15 2 2" xfId="1431"/>
    <cellStyle name="Normal 108 4 4 15 2 3" xfId="1432"/>
    <cellStyle name="Normal 108 4 4 15 2 4" xfId="1433"/>
    <cellStyle name="Normal 108 4 4 15 2 5" xfId="1434"/>
    <cellStyle name="Normal 108 4 4 15 2 6" xfId="1435"/>
    <cellStyle name="Normal 108 4 4 15 3" xfId="1436"/>
    <cellStyle name="Normal 108 4 4 15 4" xfId="1437"/>
    <cellStyle name="Normal 108 4 4 16" xfId="1438"/>
    <cellStyle name="Normal 108 4 4 16 2" xfId="1439"/>
    <cellStyle name="Normal 108 4 4 16 2 2" xfId="1440"/>
    <cellStyle name="Normal 108 4 4 16 2 3" xfId="1441"/>
    <cellStyle name="Normal 108 4 4 16 2 4" xfId="1442"/>
    <cellStyle name="Normal 108 4 4 16 2 5" xfId="1443"/>
    <cellStyle name="Normal 108 4 4 16 2 6" xfId="1444"/>
    <cellStyle name="Normal 108 4 4 16 3" xfId="1445"/>
    <cellStyle name="Normal 108 4 4 16 4" xfId="1446"/>
    <cellStyle name="Normal 108 4 4 17" xfId="1447"/>
    <cellStyle name="Normal 108 4 4 18" xfId="1448"/>
    <cellStyle name="Normal 108 4 4 19" xfId="1449"/>
    <cellStyle name="Normal 108 4 4 2" xfId="1450"/>
    <cellStyle name="Normal 108 4 4 2 2" xfId="1451"/>
    <cellStyle name="Normal 108 4 4 2 2 2" xfId="1452"/>
    <cellStyle name="Normal 108 4 4 2 2 3" xfId="1453"/>
    <cellStyle name="Normal 108 4 4 2 2 4" xfId="1454"/>
    <cellStyle name="Normal 108 4 4 2 2 5" xfId="1455"/>
    <cellStyle name="Normal 108 4 4 2 2 6" xfId="1456"/>
    <cellStyle name="Normal 108 4 4 2 3" xfId="1457"/>
    <cellStyle name="Normal 108 4 4 2 4" xfId="1458"/>
    <cellStyle name="Normal 108 4 4 3" xfId="1459"/>
    <cellStyle name="Normal 108 4 4 3 2" xfId="1460"/>
    <cellStyle name="Normal 108 4 4 3 2 2" xfId="1461"/>
    <cellStyle name="Normal 108 4 4 3 2 3" xfId="1462"/>
    <cellStyle name="Normal 108 4 4 3 2 4" xfId="1463"/>
    <cellStyle name="Normal 108 4 4 3 2 5" xfId="1464"/>
    <cellStyle name="Normal 108 4 4 3 2 6" xfId="1465"/>
    <cellStyle name="Normal 108 4 4 3 3" xfId="1466"/>
    <cellStyle name="Normal 108 4 4 3 4" xfId="1467"/>
    <cellStyle name="Normal 108 4 4 4" xfId="1468"/>
    <cellStyle name="Normal 108 4 4 4 2" xfId="1469"/>
    <cellStyle name="Normal 108 4 4 4 2 2" xfId="1470"/>
    <cellStyle name="Normal 108 4 4 4 2 3" xfId="1471"/>
    <cellStyle name="Normal 108 4 4 4 2 4" xfId="1472"/>
    <cellStyle name="Normal 108 4 4 4 2 5" xfId="1473"/>
    <cellStyle name="Normal 108 4 4 4 2 6" xfId="1474"/>
    <cellStyle name="Normal 108 4 4 4 3" xfId="1475"/>
    <cellStyle name="Normal 108 4 4 4 4" xfId="1476"/>
    <cellStyle name="Normal 108 4 4 5" xfId="1477"/>
    <cellStyle name="Normal 108 4 4 5 2" xfId="1478"/>
    <cellStyle name="Normal 108 4 4 5 2 2" xfId="1479"/>
    <cellStyle name="Normal 108 4 4 5 2 3" xfId="1480"/>
    <cellStyle name="Normal 108 4 4 5 2 4" xfId="1481"/>
    <cellStyle name="Normal 108 4 4 5 2 5" xfId="1482"/>
    <cellStyle name="Normal 108 4 4 5 2 6" xfId="1483"/>
    <cellStyle name="Normal 108 4 4 5 3" xfId="1484"/>
    <cellStyle name="Normal 108 4 4 5 4" xfId="1485"/>
    <cellStyle name="Normal 108 4 4 6" xfId="1486"/>
    <cellStyle name="Normal 108 4 4 6 2" xfId="1487"/>
    <cellStyle name="Normal 108 4 4 6 2 2" xfId="1488"/>
    <cellStyle name="Normal 108 4 4 6 2 3" xfId="1489"/>
    <cellStyle name="Normal 108 4 4 6 2 4" xfId="1490"/>
    <cellStyle name="Normal 108 4 4 6 2 5" xfId="1491"/>
    <cellStyle name="Normal 108 4 4 6 2 6" xfId="1492"/>
    <cellStyle name="Normal 108 4 4 6 3" xfId="1493"/>
    <cellStyle name="Normal 108 4 4 6 4" xfId="1494"/>
    <cellStyle name="Normal 108 4 4 7" xfId="1495"/>
    <cellStyle name="Normal 108 4 4 7 2" xfId="1496"/>
    <cellStyle name="Normal 108 4 4 7 2 2" xfId="1497"/>
    <cellStyle name="Normal 108 4 4 7 2 3" xfId="1498"/>
    <cellStyle name="Normal 108 4 4 7 2 4" xfId="1499"/>
    <cellStyle name="Normal 108 4 4 7 2 5" xfId="1500"/>
    <cellStyle name="Normal 108 4 4 7 2 6" xfId="1501"/>
    <cellStyle name="Normal 108 4 4 7 3" xfId="1502"/>
    <cellStyle name="Normal 108 4 4 7 4" xfId="1503"/>
    <cellStyle name="Normal 108 4 4 8" xfId="1504"/>
    <cellStyle name="Normal 108 4 4 8 2" xfId="1505"/>
    <cellStyle name="Normal 108 4 4 8 2 2" xfId="1506"/>
    <cellStyle name="Normal 108 4 4 8 2 3" xfId="1507"/>
    <cellStyle name="Normal 108 4 4 8 2 4" xfId="1508"/>
    <cellStyle name="Normal 108 4 4 8 2 5" xfId="1509"/>
    <cellStyle name="Normal 108 4 4 8 2 6" xfId="1510"/>
    <cellStyle name="Normal 108 4 4 8 3" xfId="1511"/>
    <cellStyle name="Normal 108 4 4 8 4" xfId="1512"/>
    <cellStyle name="Normal 108 4 4 9" xfId="1513"/>
    <cellStyle name="Normal 108 4 4 9 2" xfId="1514"/>
    <cellStyle name="Normal 108 4 4 9 2 2" xfId="1515"/>
    <cellStyle name="Normal 108 4 4 9 2 3" xfId="1516"/>
    <cellStyle name="Normal 108 4 4 9 2 4" xfId="1517"/>
    <cellStyle name="Normal 108 4 4 9 2 5" xfId="1518"/>
    <cellStyle name="Normal 108 4 4 9 2 6" xfId="1519"/>
    <cellStyle name="Normal 108 4 4 9 3" xfId="1520"/>
    <cellStyle name="Normal 108 4 4 9 4" xfId="1521"/>
    <cellStyle name="Normal 108 4 5" xfId="1522"/>
    <cellStyle name="Normal 108 4 5 2" xfId="1523"/>
    <cellStyle name="Normal 108 4 5 2 2" xfId="1524"/>
    <cellStyle name="Normal 108 4 5 2 3" xfId="1525"/>
    <cellStyle name="Normal 108 4 5 2 4" xfId="1526"/>
    <cellStyle name="Normal 108 4 5 2 5" xfId="1527"/>
    <cellStyle name="Normal 108 4 5 2 6" xfId="1528"/>
    <cellStyle name="Normal 108 4 5 3" xfId="1529"/>
    <cellStyle name="Normal 108 4 5 4" xfId="1530"/>
    <cellStyle name="Normal 108 4 6" xfId="1531"/>
    <cellStyle name="Normal 108 4 6 2" xfId="1532"/>
    <cellStyle name="Normal 108 4 6 2 2" xfId="1533"/>
    <cellStyle name="Normal 108 4 6 2 3" xfId="1534"/>
    <cellStyle name="Normal 108 4 6 2 4" xfId="1535"/>
    <cellStyle name="Normal 108 4 6 2 5" xfId="1536"/>
    <cellStyle name="Normal 108 4 6 2 6" xfId="1537"/>
    <cellStyle name="Normal 108 4 6 3" xfId="1538"/>
    <cellStyle name="Normal 108 4 6 4" xfId="1539"/>
    <cellStyle name="Normal 108 4 7" xfId="1540"/>
    <cellStyle name="Normal 108 4 7 2" xfId="1541"/>
    <cellStyle name="Normal 108 4 7 3" xfId="1542"/>
    <cellStyle name="Normal 108 4 7 4" xfId="1543"/>
    <cellStyle name="Normal 108 4 8" xfId="1544"/>
    <cellStyle name="Normal 108 4 8 2" xfId="1545"/>
    <cellStyle name="Normal 108 4 8 3" xfId="1546"/>
    <cellStyle name="Normal 108 4 8 4" xfId="1547"/>
    <cellStyle name="Normal 108 4 9" xfId="1548"/>
    <cellStyle name="Normal 108 4 9 2" xfId="1549"/>
    <cellStyle name="Normal 108 4 9 3" xfId="1550"/>
    <cellStyle name="Normal 108 4 9 4" xfId="1551"/>
    <cellStyle name="Normal 108 5" xfId="1552"/>
    <cellStyle name="Normal 108 5 2" xfId="1553"/>
    <cellStyle name="Normal 108 5 3" xfId="1554"/>
    <cellStyle name="Normal 108 5 4" xfId="1555"/>
    <cellStyle name="Normal 108 6" xfId="1556"/>
    <cellStyle name="Normal 108 6 2" xfId="1557"/>
    <cellStyle name="Normal 108 6 3" xfId="1558"/>
    <cellStyle name="Normal 108 6 4" xfId="1559"/>
    <cellStyle name="Normal 108 7" xfId="1560"/>
    <cellStyle name="Normal 108 7 2" xfId="1561"/>
    <cellStyle name="Normal 108 7 3" xfId="1562"/>
    <cellStyle name="Normal 108 7 4" xfId="1563"/>
    <cellStyle name="Normal 108 8" xfId="1564"/>
    <cellStyle name="Normal 108 8 2" xfId="1565"/>
    <cellStyle name="Normal 108 8 3" xfId="1566"/>
    <cellStyle name="Normal 108 8 4" xfId="1567"/>
    <cellStyle name="Normal 108 9" xfId="1568"/>
    <cellStyle name="Normal 108 9 2" xfId="1569"/>
    <cellStyle name="Normal 108 9 3" xfId="1570"/>
    <cellStyle name="Normal 108 9 4" xfId="1571"/>
    <cellStyle name="Normal 109" xfId="1572"/>
    <cellStyle name="Normal 109 2" xfId="1573"/>
    <cellStyle name="Normal 109 2 2" xfId="1574"/>
    <cellStyle name="Normal 109 2 2 2" xfId="1575"/>
    <cellStyle name="Normal 109 2 2 2 2" xfId="1576"/>
    <cellStyle name="Normal 109 2 2 2 3" xfId="1577"/>
    <cellStyle name="Normal 109 2 2 2 4" xfId="1578"/>
    <cellStyle name="Normal 109 2 2 3" xfId="1579"/>
    <cellStyle name="Normal 109 2 2 3 2" xfId="1580"/>
    <cellStyle name="Normal 109 2 2 3 3" xfId="1581"/>
    <cellStyle name="Normal 109 2 2 3 4" xfId="1582"/>
    <cellStyle name="Normal 109 2 2 3 5" xfId="1583"/>
    <cellStyle name="Normal 109 2 2 3 6" xfId="1584"/>
    <cellStyle name="Normal 109 2 2 4" xfId="1585"/>
    <cellStyle name="Normal 109 2 2 5" xfId="1586"/>
    <cellStyle name="Normal 109 2 3" xfId="1587"/>
    <cellStyle name="Normal 109 2 3 2" xfId="1588"/>
    <cellStyle name="Normal 109 2 3 3" xfId="1589"/>
    <cellStyle name="Normal 109 2 3 4" xfId="1590"/>
    <cellStyle name="Normal 109 2 4" xfId="1591"/>
    <cellStyle name="Normal 109 2 5" xfId="1592"/>
    <cellStyle name="Normal 109 2 6" xfId="1593"/>
    <cellStyle name="Normal 109 3" xfId="1594"/>
    <cellStyle name="Normal 109 3 10" xfId="1595"/>
    <cellStyle name="Normal 109 3 10 2" xfId="1596"/>
    <cellStyle name="Normal 109 3 10 2 2" xfId="1597"/>
    <cellStyle name="Normal 109 3 10 2 3" xfId="1598"/>
    <cellStyle name="Normal 109 3 10 2 4" xfId="1599"/>
    <cellStyle name="Normal 109 3 10 2 5" xfId="1600"/>
    <cellStyle name="Normal 109 3 10 2 6" xfId="1601"/>
    <cellStyle name="Normal 109 3 10 3" xfId="1602"/>
    <cellStyle name="Normal 109 3 10 4" xfId="1603"/>
    <cellStyle name="Normal 109 3 11" xfId="1604"/>
    <cellStyle name="Normal 109 3 11 2" xfId="1605"/>
    <cellStyle name="Normal 109 3 11 2 2" xfId="1606"/>
    <cellStyle name="Normal 109 3 11 2 3" xfId="1607"/>
    <cellStyle name="Normal 109 3 11 2 4" xfId="1608"/>
    <cellStyle name="Normal 109 3 11 2 5" xfId="1609"/>
    <cellStyle name="Normal 109 3 11 2 6" xfId="1610"/>
    <cellStyle name="Normal 109 3 11 3" xfId="1611"/>
    <cellStyle name="Normal 109 3 11 4" xfId="1612"/>
    <cellStyle name="Normal 109 3 12" xfId="1613"/>
    <cellStyle name="Normal 109 3 12 2" xfId="1614"/>
    <cellStyle name="Normal 109 3 12 2 2" xfId="1615"/>
    <cellStyle name="Normal 109 3 12 2 3" xfId="1616"/>
    <cellStyle name="Normal 109 3 12 2 4" xfId="1617"/>
    <cellStyle name="Normal 109 3 12 2 5" xfId="1618"/>
    <cellStyle name="Normal 109 3 12 2 6" xfId="1619"/>
    <cellStyle name="Normal 109 3 12 3" xfId="1620"/>
    <cellStyle name="Normal 109 3 12 4" xfId="1621"/>
    <cellStyle name="Normal 109 3 13" xfId="1622"/>
    <cellStyle name="Normal 109 3 13 2" xfId="1623"/>
    <cellStyle name="Normal 109 3 13 2 2" xfId="1624"/>
    <cellStyle name="Normal 109 3 13 2 3" xfId="1625"/>
    <cellStyle name="Normal 109 3 13 2 4" xfId="1626"/>
    <cellStyle name="Normal 109 3 13 2 5" xfId="1627"/>
    <cellStyle name="Normal 109 3 13 2 6" xfId="1628"/>
    <cellStyle name="Normal 109 3 13 3" xfId="1629"/>
    <cellStyle name="Normal 109 3 13 4" xfId="1630"/>
    <cellStyle name="Normal 109 3 14" xfId="1631"/>
    <cellStyle name="Normal 109 3 14 2" xfId="1632"/>
    <cellStyle name="Normal 109 3 14 2 2" xfId="1633"/>
    <cellStyle name="Normal 109 3 14 2 3" xfId="1634"/>
    <cellStyle name="Normal 109 3 14 2 4" xfId="1635"/>
    <cellStyle name="Normal 109 3 14 2 5" xfId="1636"/>
    <cellStyle name="Normal 109 3 14 2 6" xfId="1637"/>
    <cellStyle name="Normal 109 3 14 3" xfId="1638"/>
    <cellStyle name="Normal 109 3 14 4" xfId="1639"/>
    <cellStyle name="Normal 109 3 15" xfId="1640"/>
    <cellStyle name="Normal 109 3 15 2" xfId="1641"/>
    <cellStyle name="Normal 109 3 15 2 2" xfId="1642"/>
    <cellStyle name="Normal 109 3 15 2 3" xfId="1643"/>
    <cellStyle name="Normal 109 3 15 2 4" xfId="1644"/>
    <cellStyle name="Normal 109 3 15 2 5" xfId="1645"/>
    <cellStyle name="Normal 109 3 15 2 6" xfId="1646"/>
    <cellStyle name="Normal 109 3 15 3" xfId="1647"/>
    <cellStyle name="Normal 109 3 15 4" xfId="1648"/>
    <cellStyle name="Normal 109 3 16" xfId="1649"/>
    <cellStyle name="Normal 109 3 16 2" xfId="1650"/>
    <cellStyle name="Normal 109 3 16 2 2" xfId="1651"/>
    <cellStyle name="Normal 109 3 16 2 3" xfId="1652"/>
    <cellStyle name="Normal 109 3 16 2 4" xfId="1653"/>
    <cellStyle name="Normal 109 3 16 2 5" xfId="1654"/>
    <cellStyle name="Normal 109 3 16 2 6" xfId="1655"/>
    <cellStyle name="Normal 109 3 16 3" xfId="1656"/>
    <cellStyle name="Normal 109 3 16 4" xfId="1657"/>
    <cellStyle name="Normal 109 3 17" xfId="1658"/>
    <cellStyle name="Normal 109 3 17 2" xfId="1659"/>
    <cellStyle name="Normal 109 3 17 2 2" xfId="1660"/>
    <cellStyle name="Normal 109 3 17 2 3" xfId="1661"/>
    <cellStyle name="Normal 109 3 17 2 4" xfId="1662"/>
    <cellStyle name="Normal 109 3 17 2 5" xfId="1663"/>
    <cellStyle name="Normal 109 3 17 2 6" xfId="1664"/>
    <cellStyle name="Normal 109 3 17 3" xfId="1665"/>
    <cellStyle name="Normal 109 3 17 4" xfId="1666"/>
    <cellStyle name="Normal 109 3 18" xfId="1667"/>
    <cellStyle name="Normal 109 3 18 2" xfId="1668"/>
    <cellStyle name="Normal 109 3 18 2 2" xfId="1669"/>
    <cellStyle name="Normal 109 3 18 2 3" xfId="1670"/>
    <cellStyle name="Normal 109 3 18 2 4" xfId="1671"/>
    <cellStyle name="Normal 109 3 18 2 5" xfId="1672"/>
    <cellStyle name="Normal 109 3 18 2 6" xfId="1673"/>
    <cellStyle name="Normal 109 3 18 3" xfId="1674"/>
    <cellStyle name="Normal 109 3 18 4" xfId="1675"/>
    <cellStyle name="Normal 109 3 19" xfId="1676"/>
    <cellStyle name="Normal 109 3 19 2" xfId="1677"/>
    <cellStyle name="Normal 109 3 19 2 2" xfId="1678"/>
    <cellStyle name="Normal 109 3 19 2 3" xfId="1679"/>
    <cellStyle name="Normal 109 3 19 2 4" xfId="1680"/>
    <cellStyle name="Normal 109 3 19 2 5" xfId="1681"/>
    <cellStyle name="Normal 109 3 19 2 6" xfId="1682"/>
    <cellStyle name="Normal 109 3 19 3" xfId="1683"/>
    <cellStyle name="Normal 109 3 19 4" xfId="1684"/>
    <cellStyle name="Normal 109 3 2" xfId="1685"/>
    <cellStyle name="Normal 109 3 2 10" xfId="1686"/>
    <cellStyle name="Normal 109 3 2 10 2" xfId="1687"/>
    <cellStyle name="Normal 109 3 2 10 3" xfId="1688"/>
    <cellStyle name="Normal 109 3 2 10 4" xfId="1689"/>
    <cellStyle name="Normal 109 3 2 11" xfId="1690"/>
    <cellStyle name="Normal 109 3 2 11 2" xfId="1691"/>
    <cellStyle name="Normal 109 3 2 11 3" xfId="1692"/>
    <cellStyle name="Normal 109 3 2 11 4" xfId="1693"/>
    <cellStyle name="Normal 109 3 2 12" xfId="1694"/>
    <cellStyle name="Normal 109 3 2 12 2" xfId="1695"/>
    <cellStyle name="Normal 109 3 2 12 3" xfId="1696"/>
    <cellStyle name="Normal 109 3 2 12 4" xfId="1697"/>
    <cellStyle name="Normal 109 3 2 13" xfId="1698"/>
    <cellStyle name="Normal 109 3 2 13 2" xfId="1699"/>
    <cellStyle name="Normal 109 3 2 13 3" xfId="1700"/>
    <cellStyle name="Normal 109 3 2 13 4" xfId="1701"/>
    <cellStyle name="Normal 109 3 2 14" xfId="1702"/>
    <cellStyle name="Normal 109 3 2 14 2" xfId="1703"/>
    <cellStyle name="Normal 109 3 2 14 3" xfId="1704"/>
    <cellStyle name="Normal 109 3 2 14 4" xfId="1705"/>
    <cellStyle name="Normal 109 3 2 15" xfId="1706"/>
    <cellStyle name="Normal 109 3 2 15 2" xfId="1707"/>
    <cellStyle name="Normal 109 3 2 15 3" xfId="1708"/>
    <cellStyle name="Normal 109 3 2 15 4" xfId="1709"/>
    <cellStyle name="Normal 109 3 2 16" xfId="1710"/>
    <cellStyle name="Normal 109 3 2 16 2" xfId="1711"/>
    <cellStyle name="Normal 109 3 2 16 3" xfId="1712"/>
    <cellStyle name="Normal 109 3 2 16 4" xfId="1713"/>
    <cellStyle name="Normal 109 3 2 17" xfId="1714"/>
    <cellStyle name="Normal 109 3 2 17 2" xfId="1715"/>
    <cellStyle name="Normal 109 3 2 17 3" xfId="1716"/>
    <cellStyle name="Normal 109 3 2 17 4" xfId="1717"/>
    <cellStyle name="Normal 109 3 2 18" xfId="1718"/>
    <cellStyle name="Normal 109 3 2 18 2" xfId="1719"/>
    <cellStyle name="Normal 109 3 2 18 3" xfId="1720"/>
    <cellStyle name="Normal 109 3 2 18 4" xfId="1721"/>
    <cellStyle name="Normal 109 3 2 19" xfId="1722"/>
    <cellStyle name="Normal 109 3 2 19 2" xfId="1723"/>
    <cellStyle name="Normal 109 3 2 19 3" xfId="1724"/>
    <cellStyle name="Normal 109 3 2 19 4" xfId="1725"/>
    <cellStyle name="Normal 109 3 2 2" xfId="1726"/>
    <cellStyle name="Normal 109 3 2 2 10" xfId="1727"/>
    <cellStyle name="Normal 109 3 2 2 10 2" xfId="1728"/>
    <cellStyle name="Normal 109 3 2 2 10 2 2" xfId="1729"/>
    <cellStyle name="Normal 109 3 2 2 10 2 3" xfId="1730"/>
    <cellStyle name="Normal 109 3 2 2 10 2 4" xfId="1731"/>
    <cellStyle name="Normal 109 3 2 2 10 2 5" xfId="1732"/>
    <cellStyle name="Normal 109 3 2 2 10 2 6" xfId="1733"/>
    <cellStyle name="Normal 109 3 2 2 10 3" xfId="1734"/>
    <cellStyle name="Normal 109 3 2 2 10 4" xfId="1735"/>
    <cellStyle name="Normal 109 3 2 2 11" xfId="1736"/>
    <cellStyle name="Normal 109 3 2 2 11 2" xfId="1737"/>
    <cellStyle name="Normal 109 3 2 2 11 2 2" xfId="1738"/>
    <cellStyle name="Normal 109 3 2 2 11 2 3" xfId="1739"/>
    <cellStyle name="Normal 109 3 2 2 11 2 4" xfId="1740"/>
    <cellStyle name="Normal 109 3 2 2 11 2 5" xfId="1741"/>
    <cellStyle name="Normal 109 3 2 2 11 2 6" xfId="1742"/>
    <cellStyle name="Normal 109 3 2 2 11 3" xfId="1743"/>
    <cellStyle name="Normal 109 3 2 2 11 4" xfId="1744"/>
    <cellStyle name="Normal 109 3 2 2 12" xfId="1745"/>
    <cellStyle name="Normal 109 3 2 2 12 2" xfId="1746"/>
    <cellStyle name="Normal 109 3 2 2 12 2 2" xfId="1747"/>
    <cellStyle name="Normal 109 3 2 2 12 2 3" xfId="1748"/>
    <cellStyle name="Normal 109 3 2 2 12 2 4" xfId="1749"/>
    <cellStyle name="Normal 109 3 2 2 12 2 5" xfId="1750"/>
    <cellStyle name="Normal 109 3 2 2 12 2 6" xfId="1751"/>
    <cellStyle name="Normal 109 3 2 2 12 3" xfId="1752"/>
    <cellStyle name="Normal 109 3 2 2 12 4" xfId="1753"/>
    <cellStyle name="Normal 109 3 2 2 13" xfId="1754"/>
    <cellStyle name="Normal 109 3 2 2 13 2" xfId="1755"/>
    <cellStyle name="Normal 109 3 2 2 13 2 2" xfId="1756"/>
    <cellStyle name="Normal 109 3 2 2 13 2 3" xfId="1757"/>
    <cellStyle name="Normal 109 3 2 2 13 2 4" xfId="1758"/>
    <cellStyle name="Normal 109 3 2 2 13 2 5" xfId="1759"/>
    <cellStyle name="Normal 109 3 2 2 13 2 6" xfId="1760"/>
    <cellStyle name="Normal 109 3 2 2 13 3" xfId="1761"/>
    <cellStyle name="Normal 109 3 2 2 13 4" xfId="1762"/>
    <cellStyle name="Normal 109 3 2 2 14" xfId="1763"/>
    <cellStyle name="Normal 109 3 2 2 14 2" xfId="1764"/>
    <cellStyle name="Normal 109 3 2 2 14 2 2" xfId="1765"/>
    <cellStyle name="Normal 109 3 2 2 14 2 3" xfId="1766"/>
    <cellStyle name="Normal 109 3 2 2 14 2 4" xfId="1767"/>
    <cellStyle name="Normal 109 3 2 2 14 2 5" xfId="1768"/>
    <cellStyle name="Normal 109 3 2 2 14 2 6" xfId="1769"/>
    <cellStyle name="Normal 109 3 2 2 14 3" xfId="1770"/>
    <cellStyle name="Normal 109 3 2 2 14 4" xfId="1771"/>
    <cellStyle name="Normal 109 3 2 2 15" xfId="1772"/>
    <cellStyle name="Normal 109 3 2 2 15 2" xfId="1773"/>
    <cellStyle name="Normal 109 3 2 2 15 2 2" xfId="1774"/>
    <cellStyle name="Normal 109 3 2 2 15 2 3" xfId="1775"/>
    <cellStyle name="Normal 109 3 2 2 15 2 4" xfId="1776"/>
    <cellStyle name="Normal 109 3 2 2 15 2 5" xfId="1777"/>
    <cellStyle name="Normal 109 3 2 2 15 2 6" xfId="1778"/>
    <cellStyle name="Normal 109 3 2 2 15 3" xfId="1779"/>
    <cellStyle name="Normal 109 3 2 2 15 4" xfId="1780"/>
    <cellStyle name="Normal 109 3 2 2 16" xfId="1781"/>
    <cellStyle name="Normal 109 3 2 2 16 2" xfId="1782"/>
    <cellStyle name="Normal 109 3 2 2 16 2 2" xfId="1783"/>
    <cellStyle name="Normal 109 3 2 2 16 2 3" xfId="1784"/>
    <cellStyle name="Normal 109 3 2 2 16 2 4" xfId="1785"/>
    <cellStyle name="Normal 109 3 2 2 16 2 5" xfId="1786"/>
    <cellStyle name="Normal 109 3 2 2 16 2 6" xfId="1787"/>
    <cellStyle name="Normal 109 3 2 2 16 3" xfId="1788"/>
    <cellStyle name="Normal 109 3 2 2 16 4" xfId="1789"/>
    <cellStyle name="Normal 109 3 2 2 17" xfId="1790"/>
    <cellStyle name="Normal 109 3 2 2 18" xfId="1791"/>
    <cellStyle name="Normal 109 3 2 2 19" xfId="1792"/>
    <cellStyle name="Normal 109 3 2 2 2" xfId="1793"/>
    <cellStyle name="Normal 109 3 2 2 2 2" xfId="1794"/>
    <cellStyle name="Normal 109 3 2 2 2 2 2" xfId="1795"/>
    <cellStyle name="Normal 109 3 2 2 2 2 3" xfId="1796"/>
    <cellStyle name="Normal 109 3 2 2 2 2 4" xfId="1797"/>
    <cellStyle name="Normal 109 3 2 2 2 2 5" xfId="1798"/>
    <cellStyle name="Normal 109 3 2 2 2 2 6" xfId="1799"/>
    <cellStyle name="Normal 109 3 2 2 2 3" xfId="1800"/>
    <cellStyle name="Normal 109 3 2 2 2 4" xfId="1801"/>
    <cellStyle name="Normal 109 3 2 2 3" xfId="1802"/>
    <cellStyle name="Normal 109 3 2 2 3 2" xfId="1803"/>
    <cellStyle name="Normal 109 3 2 2 3 2 2" xfId="1804"/>
    <cellStyle name="Normal 109 3 2 2 3 2 3" xfId="1805"/>
    <cellStyle name="Normal 109 3 2 2 3 2 4" xfId="1806"/>
    <cellStyle name="Normal 109 3 2 2 3 2 5" xfId="1807"/>
    <cellStyle name="Normal 109 3 2 2 3 2 6" xfId="1808"/>
    <cellStyle name="Normal 109 3 2 2 3 3" xfId="1809"/>
    <cellStyle name="Normal 109 3 2 2 3 4" xfId="1810"/>
    <cellStyle name="Normal 109 3 2 2 4" xfId="1811"/>
    <cellStyle name="Normal 109 3 2 2 4 2" xfId="1812"/>
    <cellStyle name="Normal 109 3 2 2 4 2 2" xfId="1813"/>
    <cellStyle name="Normal 109 3 2 2 4 2 3" xfId="1814"/>
    <cellStyle name="Normal 109 3 2 2 4 2 4" xfId="1815"/>
    <cellStyle name="Normal 109 3 2 2 4 2 5" xfId="1816"/>
    <cellStyle name="Normal 109 3 2 2 4 2 6" xfId="1817"/>
    <cellStyle name="Normal 109 3 2 2 4 3" xfId="1818"/>
    <cellStyle name="Normal 109 3 2 2 4 4" xfId="1819"/>
    <cellStyle name="Normal 109 3 2 2 5" xfId="1820"/>
    <cellStyle name="Normal 109 3 2 2 5 2" xfId="1821"/>
    <cellStyle name="Normal 109 3 2 2 5 2 2" xfId="1822"/>
    <cellStyle name="Normal 109 3 2 2 5 2 3" xfId="1823"/>
    <cellStyle name="Normal 109 3 2 2 5 2 4" xfId="1824"/>
    <cellStyle name="Normal 109 3 2 2 5 2 5" xfId="1825"/>
    <cellStyle name="Normal 109 3 2 2 5 2 6" xfId="1826"/>
    <cellStyle name="Normal 109 3 2 2 5 3" xfId="1827"/>
    <cellStyle name="Normal 109 3 2 2 5 4" xfId="1828"/>
    <cellStyle name="Normal 109 3 2 2 6" xfId="1829"/>
    <cellStyle name="Normal 109 3 2 2 6 2" xfId="1830"/>
    <cellStyle name="Normal 109 3 2 2 6 2 2" xfId="1831"/>
    <cellStyle name="Normal 109 3 2 2 6 2 3" xfId="1832"/>
    <cellStyle name="Normal 109 3 2 2 6 2 4" xfId="1833"/>
    <cellStyle name="Normal 109 3 2 2 6 2 5" xfId="1834"/>
    <cellStyle name="Normal 109 3 2 2 6 2 6" xfId="1835"/>
    <cellStyle name="Normal 109 3 2 2 6 3" xfId="1836"/>
    <cellStyle name="Normal 109 3 2 2 6 4" xfId="1837"/>
    <cellStyle name="Normal 109 3 2 2 7" xfId="1838"/>
    <cellStyle name="Normal 109 3 2 2 7 2" xfId="1839"/>
    <cellStyle name="Normal 109 3 2 2 7 2 2" xfId="1840"/>
    <cellStyle name="Normal 109 3 2 2 7 2 3" xfId="1841"/>
    <cellStyle name="Normal 109 3 2 2 7 2 4" xfId="1842"/>
    <cellStyle name="Normal 109 3 2 2 7 2 5" xfId="1843"/>
    <cellStyle name="Normal 109 3 2 2 7 2 6" xfId="1844"/>
    <cellStyle name="Normal 109 3 2 2 7 3" xfId="1845"/>
    <cellStyle name="Normal 109 3 2 2 7 4" xfId="1846"/>
    <cellStyle name="Normal 109 3 2 2 8" xfId="1847"/>
    <cellStyle name="Normal 109 3 2 2 8 2" xfId="1848"/>
    <cellStyle name="Normal 109 3 2 2 8 2 2" xfId="1849"/>
    <cellStyle name="Normal 109 3 2 2 8 2 3" xfId="1850"/>
    <cellStyle name="Normal 109 3 2 2 8 2 4" xfId="1851"/>
    <cellStyle name="Normal 109 3 2 2 8 2 5" xfId="1852"/>
    <cellStyle name="Normal 109 3 2 2 8 2 6" xfId="1853"/>
    <cellStyle name="Normal 109 3 2 2 8 3" xfId="1854"/>
    <cellStyle name="Normal 109 3 2 2 8 4" xfId="1855"/>
    <cellStyle name="Normal 109 3 2 2 9" xfId="1856"/>
    <cellStyle name="Normal 109 3 2 2 9 2" xfId="1857"/>
    <cellStyle name="Normal 109 3 2 2 9 2 2" xfId="1858"/>
    <cellStyle name="Normal 109 3 2 2 9 2 3" xfId="1859"/>
    <cellStyle name="Normal 109 3 2 2 9 2 4" xfId="1860"/>
    <cellStyle name="Normal 109 3 2 2 9 2 5" xfId="1861"/>
    <cellStyle name="Normal 109 3 2 2 9 2 6" xfId="1862"/>
    <cellStyle name="Normal 109 3 2 2 9 3" xfId="1863"/>
    <cellStyle name="Normal 109 3 2 2 9 4" xfId="1864"/>
    <cellStyle name="Normal 109 3 2 20" xfId="1865"/>
    <cellStyle name="Normal 109 3 2 20 2" xfId="1866"/>
    <cellStyle name="Normal 109 3 2 20 3" xfId="1867"/>
    <cellStyle name="Normal 109 3 2 20 4" xfId="1868"/>
    <cellStyle name="Normal 109 3 2 20 5" xfId="1869"/>
    <cellStyle name="Normal 109 3 2 20 6" xfId="1870"/>
    <cellStyle name="Normal 109 3 2 21" xfId="1871"/>
    <cellStyle name="Normal 109 3 2 22" xfId="1872"/>
    <cellStyle name="Normal 109 3 2 3" xfId="1873"/>
    <cellStyle name="Normal 109 3 2 3 2" xfId="1874"/>
    <cellStyle name="Normal 109 3 2 3 2 2" xfId="1875"/>
    <cellStyle name="Normal 109 3 2 3 2 3" xfId="1876"/>
    <cellStyle name="Normal 109 3 2 3 2 4" xfId="1877"/>
    <cellStyle name="Normal 109 3 2 3 2 5" xfId="1878"/>
    <cellStyle name="Normal 109 3 2 3 2 6" xfId="1879"/>
    <cellStyle name="Normal 109 3 2 3 3" xfId="1880"/>
    <cellStyle name="Normal 109 3 2 3 4" xfId="1881"/>
    <cellStyle name="Normal 109 3 2 4" xfId="1882"/>
    <cellStyle name="Normal 109 3 2 4 2" xfId="1883"/>
    <cellStyle name="Normal 109 3 2 4 2 2" xfId="1884"/>
    <cellStyle name="Normal 109 3 2 4 2 3" xfId="1885"/>
    <cellStyle name="Normal 109 3 2 4 2 4" xfId="1886"/>
    <cellStyle name="Normal 109 3 2 4 2 5" xfId="1887"/>
    <cellStyle name="Normal 109 3 2 4 2 6" xfId="1888"/>
    <cellStyle name="Normal 109 3 2 4 3" xfId="1889"/>
    <cellStyle name="Normal 109 3 2 4 4" xfId="1890"/>
    <cellStyle name="Normal 109 3 2 5" xfId="1891"/>
    <cellStyle name="Normal 109 3 2 5 2" xfId="1892"/>
    <cellStyle name="Normal 109 3 2 5 2 2" xfId="1893"/>
    <cellStyle name="Normal 109 3 2 5 2 3" xfId="1894"/>
    <cellStyle name="Normal 109 3 2 5 2 4" xfId="1895"/>
    <cellStyle name="Normal 109 3 2 5 2 5" xfId="1896"/>
    <cellStyle name="Normal 109 3 2 5 2 6" xfId="1897"/>
    <cellStyle name="Normal 109 3 2 5 3" xfId="1898"/>
    <cellStyle name="Normal 109 3 2 5 4" xfId="1899"/>
    <cellStyle name="Normal 109 3 2 6" xfId="1900"/>
    <cellStyle name="Normal 109 3 2 6 2" xfId="1901"/>
    <cellStyle name="Normal 109 3 2 6 3" xfId="1902"/>
    <cellStyle name="Normal 109 3 2 6 4" xfId="1903"/>
    <cellStyle name="Normal 109 3 2 7" xfId="1904"/>
    <cellStyle name="Normal 109 3 2 7 2" xfId="1905"/>
    <cellStyle name="Normal 109 3 2 7 3" xfId="1906"/>
    <cellStyle name="Normal 109 3 2 7 4" xfId="1907"/>
    <cellStyle name="Normal 109 3 2 8" xfId="1908"/>
    <cellStyle name="Normal 109 3 2 8 2" xfId="1909"/>
    <cellStyle name="Normal 109 3 2 8 3" xfId="1910"/>
    <cellStyle name="Normal 109 3 2 8 4" xfId="1911"/>
    <cellStyle name="Normal 109 3 2 9" xfId="1912"/>
    <cellStyle name="Normal 109 3 2 9 2" xfId="1913"/>
    <cellStyle name="Normal 109 3 2 9 3" xfId="1914"/>
    <cellStyle name="Normal 109 3 2 9 4" xfId="1915"/>
    <cellStyle name="Normal 109 3 20" xfId="1916"/>
    <cellStyle name="Normal 109 3 21" xfId="1917"/>
    <cellStyle name="Normal 109 3 22" xfId="1918"/>
    <cellStyle name="Normal 109 3 3" xfId="1919"/>
    <cellStyle name="Normal 109 3 3 10" xfId="1920"/>
    <cellStyle name="Normal 109 3 3 10 2" xfId="1921"/>
    <cellStyle name="Normal 109 3 3 10 3" xfId="1922"/>
    <cellStyle name="Normal 109 3 3 10 4" xfId="1923"/>
    <cellStyle name="Normal 109 3 3 11" xfId="1924"/>
    <cellStyle name="Normal 109 3 3 11 2" xfId="1925"/>
    <cellStyle name="Normal 109 3 3 11 3" xfId="1926"/>
    <cellStyle name="Normal 109 3 3 11 4" xfId="1927"/>
    <cellStyle name="Normal 109 3 3 12" xfId="1928"/>
    <cellStyle name="Normal 109 3 3 12 2" xfId="1929"/>
    <cellStyle name="Normal 109 3 3 12 3" xfId="1930"/>
    <cellStyle name="Normal 109 3 3 12 4" xfId="1931"/>
    <cellStyle name="Normal 109 3 3 13" xfId="1932"/>
    <cellStyle name="Normal 109 3 3 13 2" xfId="1933"/>
    <cellStyle name="Normal 109 3 3 13 3" xfId="1934"/>
    <cellStyle name="Normal 109 3 3 13 4" xfId="1935"/>
    <cellStyle name="Normal 109 3 3 14" xfId="1936"/>
    <cellStyle name="Normal 109 3 3 14 2" xfId="1937"/>
    <cellStyle name="Normal 109 3 3 14 3" xfId="1938"/>
    <cellStyle name="Normal 109 3 3 14 4" xfId="1939"/>
    <cellStyle name="Normal 109 3 3 15" xfId="1940"/>
    <cellStyle name="Normal 109 3 3 15 2" xfId="1941"/>
    <cellStyle name="Normal 109 3 3 15 3" xfId="1942"/>
    <cellStyle name="Normal 109 3 3 15 4" xfId="1943"/>
    <cellStyle name="Normal 109 3 3 16" xfId="1944"/>
    <cellStyle name="Normal 109 3 3 16 2" xfId="1945"/>
    <cellStyle name="Normal 109 3 3 16 3" xfId="1946"/>
    <cellStyle name="Normal 109 3 3 16 4" xfId="1947"/>
    <cellStyle name="Normal 109 3 3 17" xfId="1948"/>
    <cellStyle name="Normal 109 3 3 17 2" xfId="1949"/>
    <cellStyle name="Normal 109 3 3 17 3" xfId="1950"/>
    <cellStyle name="Normal 109 3 3 17 4" xfId="1951"/>
    <cellStyle name="Normal 109 3 3 17 5" xfId="1952"/>
    <cellStyle name="Normal 109 3 3 17 6" xfId="1953"/>
    <cellStyle name="Normal 109 3 3 18" xfId="1954"/>
    <cellStyle name="Normal 109 3 3 19" xfId="1955"/>
    <cellStyle name="Normal 109 3 3 2" xfId="1956"/>
    <cellStyle name="Normal 109 3 3 2 2" xfId="1957"/>
    <cellStyle name="Normal 109 3 3 2 3" xfId="1958"/>
    <cellStyle name="Normal 109 3 3 2 4" xfId="1959"/>
    <cellStyle name="Normal 109 3 3 3" xfId="1960"/>
    <cellStyle name="Normal 109 3 3 3 2" xfId="1961"/>
    <cellStyle name="Normal 109 3 3 3 3" xfId="1962"/>
    <cellStyle name="Normal 109 3 3 3 4" xfId="1963"/>
    <cellStyle name="Normal 109 3 3 4" xfId="1964"/>
    <cellStyle name="Normal 109 3 3 4 2" xfId="1965"/>
    <cellStyle name="Normal 109 3 3 4 3" xfId="1966"/>
    <cellStyle name="Normal 109 3 3 4 4" xfId="1967"/>
    <cellStyle name="Normal 109 3 3 5" xfId="1968"/>
    <cellStyle name="Normal 109 3 3 5 2" xfId="1969"/>
    <cellStyle name="Normal 109 3 3 5 3" xfId="1970"/>
    <cellStyle name="Normal 109 3 3 5 4" xfId="1971"/>
    <cellStyle name="Normal 109 3 3 6" xfId="1972"/>
    <cellStyle name="Normal 109 3 3 6 2" xfId="1973"/>
    <cellStyle name="Normal 109 3 3 6 3" xfId="1974"/>
    <cellStyle name="Normal 109 3 3 6 4" xfId="1975"/>
    <cellStyle name="Normal 109 3 3 7" xfId="1976"/>
    <cellStyle name="Normal 109 3 3 7 2" xfId="1977"/>
    <cellStyle name="Normal 109 3 3 7 3" xfId="1978"/>
    <cellStyle name="Normal 109 3 3 7 4" xfId="1979"/>
    <cellStyle name="Normal 109 3 3 8" xfId="1980"/>
    <cellStyle name="Normal 109 3 3 8 2" xfId="1981"/>
    <cellStyle name="Normal 109 3 3 8 3" xfId="1982"/>
    <cellStyle name="Normal 109 3 3 8 4" xfId="1983"/>
    <cellStyle name="Normal 109 3 3 9" xfId="1984"/>
    <cellStyle name="Normal 109 3 3 9 2" xfId="1985"/>
    <cellStyle name="Normal 109 3 3 9 3" xfId="1986"/>
    <cellStyle name="Normal 109 3 3 9 4" xfId="1987"/>
    <cellStyle name="Normal 109 3 4" xfId="1988"/>
    <cellStyle name="Normal 109 3 4 2" xfId="1989"/>
    <cellStyle name="Normal 109 3 4 3" xfId="1990"/>
    <cellStyle name="Normal 109 3 4 4" xfId="1991"/>
    <cellStyle name="Normal 109 3 5" xfId="1992"/>
    <cellStyle name="Normal 109 3 5 2" xfId="1993"/>
    <cellStyle name="Normal 109 3 5 3" xfId="1994"/>
    <cellStyle name="Normal 109 3 5 4" xfId="1995"/>
    <cellStyle name="Normal 109 3 6" xfId="1996"/>
    <cellStyle name="Normal 109 3 6 2" xfId="1997"/>
    <cellStyle name="Normal 109 3 6 2 2" xfId="1998"/>
    <cellStyle name="Normal 109 3 6 2 3" xfId="1999"/>
    <cellStyle name="Normal 109 3 6 2 4" xfId="2000"/>
    <cellStyle name="Normal 109 3 6 2 5" xfId="2001"/>
    <cellStyle name="Normal 109 3 6 2 6" xfId="2002"/>
    <cellStyle name="Normal 109 3 6 3" xfId="2003"/>
    <cellStyle name="Normal 109 3 6 4" xfId="2004"/>
    <cellStyle name="Normal 109 3 7" xfId="2005"/>
    <cellStyle name="Normal 109 3 7 2" xfId="2006"/>
    <cellStyle name="Normal 109 3 7 2 2" xfId="2007"/>
    <cellStyle name="Normal 109 3 7 2 3" xfId="2008"/>
    <cellStyle name="Normal 109 3 7 2 4" xfId="2009"/>
    <cellStyle name="Normal 109 3 7 2 5" xfId="2010"/>
    <cellStyle name="Normal 109 3 7 2 6" xfId="2011"/>
    <cellStyle name="Normal 109 3 7 3" xfId="2012"/>
    <cellStyle name="Normal 109 3 7 4" xfId="2013"/>
    <cellStyle name="Normal 109 3 8" xfId="2014"/>
    <cellStyle name="Normal 109 3 8 2" xfId="2015"/>
    <cellStyle name="Normal 109 3 8 2 2" xfId="2016"/>
    <cellStyle name="Normal 109 3 8 2 3" xfId="2017"/>
    <cellStyle name="Normal 109 3 8 2 4" xfId="2018"/>
    <cellStyle name="Normal 109 3 8 2 5" xfId="2019"/>
    <cellStyle name="Normal 109 3 8 2 6" xfId="2020"/>
    <cellStyle name="Normal 109 3 8 3" xfId="2021"/>
    <cellStyle name="Normal 109 3 8 4" xfId="2022"/>
    <cellStyle name="Normal 109 3 9" xfId="2023"/>
    <cellStyle name="Normal 109 3 9 2" xfId="2024"/>
    <cellStyle name="Normal 109 3 9 2 2" xfId="2025"/>
    <cellStyle name="Normal 109 3 9 2 3" xfId="2026"/>
    <cellStyle name="Normal 109 3 9 2 4" xfId="2027"/>
    <cellStyle name="Normal 109 3 9 2 5" xfId="2028"/>
    <cellStyle name="Normal 109 3 9 2 6" xfId="2029"/>
    <cellStyle name="Normal 109 3 9 3" xfId="2030"/>
    <cellStyle name="Normal 109 3 9 4" xfId="2031"/>
    <cellStyle name="Normal 109 4" xfId="2032"/>
    <cellStyle name="Normal 109 4 2" xfId="2033"/>
    <cellStyle name="Normal 109 4 2 2" xfId="2034"/>
    <cellStyle name="Normal 109 4 2 3" xfId="2035"/>
    <cellStyle name="Normal 109 4 2 4" xfId="2036"/>
    <cellStyle name="Normal 109 4 2 5" xfId="2037"/>
    <cellStyle name="Normal 109 4 2 6" xfId="2038"/>
    <cellStyle name="Normal 109 4 3" xfId="2039"/>
    <cellStyle name="Normal 109 4 4" xfId="2040"/>
    <cellStyle name="Normal 109 5" xfId="2041"/>
    <cellStyle name="Normal 109 5 2" xfId="2042"/>
    <cellStyle name="Normal 109 5 2 2" xfId="2043"/>
    <cellStyle name="Normal 109 5 2 3" xfId="2044"/>
    <cellStyle name="Normal 109 5 2 4" xfId="2045"/>
    <cellStyle name="Normal 109 5 2 5" xfId="2046"/>
    <cellStyle name="Normal 109 5 2 6" xfId="2047"/>
    <cellStyle name="Normal 109 5 3" xfId="2048"/>
    <cellStyle name="Normal 109 5 4" xfId="2049"/>
    <cellStyle name="Normal 109 6" xfId="2050"/>
    <cellStyle name="Normal 109 6 2" xfId="2051"/>
    <cellStyle name="Normal 109 6 2 2" xfId="2052"/>
    <cellStyle name="Normal 109 6 2 3" xfId="2053"/>
    <cellStyle name="Normal 109 6 2 4" xfId="2054"/>
    <cellStyle name="Normal 109 6 2 5" xfId="2055"/>
    <cellStyle name="Normal 109 6 2 6" xfId="2056"/>
    <cellStyle name="Normal 109 6 3" xfId="2057"/>
    <cellStyle name="Normal 109 6 4" xfId="2058"/>
    <cellStyle name="Normal 109 7" xfId="2059"/>
    <cellStyle name="Normal 109 7 2" xfId="2060"/>
    <cellStyle name="Normal 109 7 3" xfId="2061"/>
    <cellStyle name="Normal 109 7 4" xfId="2062"/>
    <cellStyle name="Normal 109 7 5" xfId="2063"/>
    <cellStyle name="Normal 109 7 6" xfId="2064"/>
    <cellStyle name="Normal 109 8" xfId="2065"/>
    <cellStyle name="Normal 109 9" xfId="2066"/>
    <cellStyle name="Normal 11" xfId="2067"/>
    <cellStyle name="Normal 11 10" xfId="2068"/>
    <cellStyle name="Normal 11 10 10" xfId="2069"/>
    <cellStyle name="Normal 11 10 11" xfId="2070"/>
    <cellStyle name="Normal 11 10 2" xfId="2071"/>
    <cellStyle name="Normal 11 10 2 10" xfId="2072"/>
    <cellStyle name="Normal 11 10 2 2" xfId="2073"/>
    <cellStyle name="Normal 11 10 2 3" xfId="2074"/>
    <cellStyle name="Normal 11 10 2 3 2" xfId="2075"/>
    <cellStyle name="Normal 11 10 2 3 3" xfId="2076"/>
    <cellStyle name="Normal 11 10 2 3 4" xfId="2077"/>
    <cellStyle name="Normal 11 10 2 3 5" xfId="2078"/>
    <cellStyle name="Normal 11 10 2 3 6" xfId="2079"/>
    <cellStyle name="Normal 11 10 2 4" xfId="2080"/>
    <cellStyle name="Normal 11 10 2 5" xfId="2081"/>
    <cellStyle name="Normal 11 10 2 6" xfId="2082"/>
    <cellStyle name="Normal 11 10 2 7" xfId="2083"/>
    <cellStyle name="Normal 11 10 2 8" xfId="2084"/>
    <cellStyle name="Normal 11 10 2 9" xfId="2085"/>
    <cellStyle name="Normal 11 10 3" xfId="2086"/>
    <cellStyle name="Normal 11 10 4" xfId="2087"/>
    <cellStyle name="Normal 11 10 4 2" xfId="2088"/>
    <cellStyle name="Normal 11 10 4 3" xfId="2089"/>
    <cellStyle name="Normal 11 10 4 4" xfId="2090"/>
    <cellStyle name="Normal 11 10 4 5" xfId="2091"/>
    <cellStyle name="Normal 11 10 4 6" xfId="2092"/>
    <cellStyle name="Normal 11 10 5" xfId="2093"/>
    <cellStyle name="Normal 11 10 6" xfId="2094"/>
    <cellStyle name="Normal 11 10 7" xfId="2095"/>
    <cellStyle name="Normal 11 10 8" xfId="2096"/>
    <cellStyle name="Normal 11 10 9" xfId="2097"/>
    <cellStyle name="Normal 11 11" xfId="2098"/>
    <cellStyle name="Normal 11 12" xfId="2099"/>
    <cellStyle name="Normal 11 12 2" xfId="2100"/>
    <cellStyle name="Normal 11 12 3" xfId="2101"/>
    <cellStyle name="Normal 11 12 4" xfId="2102"/>
    <cellStyle name="Normal 11 12 5" xfId="2103"/>
    <cellStyle name="Normal 11 12 6" xfId="2104"/>
    <cellStyle name="Normal 11 13" xfId="2105"/>
    <cellStyle name="Normal 11 13 2" xfId="2106"/>
    <cellStyle name="Normal 11 13 3" xfId="2107"/>
    <cellStyle name="Normal 11 13 4" xfId="2108"/>
    <cellStyle name="Normal 11 13 5" xfId="2109"/>
    <cellStyle name="Normal 11 13 6" xfId="2110"/>
    <cellStyle name="Normal 11 2" xfId="2111"/>
    <cellStyle name="Normal 11 2 10" xfId="2112"/>
    <cellStyle name="Normal 11 2 11" xfId="2113"/>
    <cellStyle name="Normal 11 2 2" xfId="2114"/>
    <cellStyle name="Normal 11 2 2 10" xfId="2115"/>
    <cellStyle name="Normal 11 2 2 2" xfId="2116"/>
    <cellStyle name="Normal 11 2 2 3" xfId="2117"/>
    <cellStyle name="Normal 11 2 2 3 2" xfId="2118"/>
    <cellStyle name="Normal 11 2 2 3 3" xfId="2119"/>
    <cellStyle name="Normal 11 2 2 3 4" xfId="2120"/>
    <cellStyle name="Normal 11 2 2 3 5" xfId="2121"/>
    <cellStyle name="Normal 11 2 2 3 6" xfId="2122"/>
    <cellStyle name="Normal 11 2 2 4" xfId="2123"/>
    <cellStyle name="Normal 11 2 2 5" xfId="2124"/>
    <cellStyle name="Normal 11 2 2 6" xfId="2125"/>
    <cellStyle name="Normal 11 2 2 7" xfId="2126"/>
    <cellStyle name="Normal 11 2 2 8" xfId="2127"/>
    <cellStyle name="Normal 11 2 2 9" xfId="2128"/>
    <cellStyle name="Normal 11 2 3" xfId="2129"/>
    <cellStyle name="Normal 11 2 4" xfId="2130"/>
    <cellStyle name="Normal 11 2 4 2" xfId="2131"/>
    <cellStyle name="Normal 11 2 4 3" xfId="2132"/>
    <cellStyle name="Normal 11 2 4 4" xfId="2133"/>
    <cellStyle name="Normal 11 2 4 5" xfId="2134"/>
    <cellStyle name="Normal 11 2 4 6" xfId="2135"/>
    <cellStyle name="Normal 11 2 5" xfId="2136"/>
    <cellStyle name="Normal 11 2 6" xfId="2137"/>
    <cellStyle name="Normal 11 2 7" xfId="2138"/>
    <cellStyle name="Normal 11 2 8" xfId="2139"/>
    <cellStyle name="Normal 11 2 9" xfId="2140"/>
    <cellStyle name="Normal 11 3" xfId="2141"/>
    <cellStyle name="Normal 11 3 10" xfId="2142"/>
    <cellStyle name="Normal 11 3 11" xfId="2143"/>
    <cellStyle name="Normal 11 3 2" xfId="2144"/>
    <cellStyle name="Normal 11 3 2 10" xfId="2145"/>
    <cellStyle name="Normal 11 3 2 2" xfId="2146"/>
    <cellStyle name="Normal 11 3 2 3" xfId="2147"/>
    <cellStyle name="Normal 11 3 2 3 2" xfId="2148"/>
    <cellStyle name="Normal 11 3 2 3 3" xfId="2149"/>
    <cellStyle name="Normal 11 3 2 3 4" xfId="2150"/>
    <cellStyle name="Normal 11 3 2 3 5" xfId="2151"/>
    <cellStyle name="Normal 11 3 2 3 6" xfId="2152"/>
    <cellStyle name="Normal 11 3 2 4" xfId="2153"/>
    <cellStyle name="Normal 11 3 2 5" xfId="2154"/>
    <cellStyle name="Normal 11 3 2 6" xfId="2155"/>
    <cellStyle name="Normal 11 3 2 7" xfId="2156"/>
    <cellStyle name="Normal 11 3 2 8" xfId="2157"/>
    <cellStyle name="Normal 11 3 2 9" xfId="2158"/>
    <cellStyle name="Normal 11 3 3" xfId="2159"/>
    <cellStyle name="Normal 11 3 4" xfId="2160"/>
    <cellStyle name="Normal 11 3 4 2" xfId="2161"/>
    <cellStyle name="Normal 11 3 4 3" xfId="2162"/>
    <cellStyle name="Normal 11 3 4 4" xfId="2163"/>
    <cellStyle name="Normal 11 3 4 5" xfId="2164"/>
    <cellStyle name="Normal 11 3 4 6" xfId="2165"/>
    <cellStyle name="Normal 11 3 5" xfId="2166"/>
    <cellStyle name="Normal 11 3 6" xfId="2167"/>
    <cellStyle name="Normal 11 3 7" xfId="2168"/>
    <cellStyle name="Normal 11 3 8" xfId="2169"/>
    <cellStyle name="Normal 11 3 9" xfId="2170"/>
    <cellStyle name="Normal 11 4" xfId="2171"/>
    <cellStyle name="Normal 11 4 10" xfId="2172"/>
    <cellStyle name="Normal 11 4 11" xfId="2173"/>
    <cellStyle name="Normal 11 4 2" xfId="2174"/>
    <cellStyle name="Normal 11 4 2 10" xfId="2175"/>
    <cellStyle name="Normal 11 4 2 2" xfId="2176"/>
    <cellStyle name="Normal 11 4 2 3" xfId="2177"/>
    <cellStyle name="Normal 11 4 2 3 2" xfId="2178"/>
    <cellStyle name="Normal 11 4 2 3 3" xfId="2179"/>
    <cellStyle name="Normal 11 4 2 3 4" xfId="2180"/>
    <cellStyle name="Normal 11 4 2 3 5" xfId="2181"/>
    <cellStyle name="Normal 11 4 2 3 6" xfId="2182"/>
    <cellStyle name="Normal 11 4 2 4" xfId="2183"/>
    <cellStyle name="Normal 11 4 2 5" xfId="2184"/>
    <cellStyle name="Normal 11 4 2 6" xfId="2185"/>
    <cellStyle name="Normal 11 4 2 7" xfId="2186"/>
    <cellStyle name="Normal 11 4 2 8" xfId="2187"/>
    <cellStyle name="Normal 11 4 2 9" xfId="2188"/>
    <cellStyle name="Normal 11 4 3" xfId="2189"/>
    <cellStyle name="Normal 11 4 4" xfId="2190"/>
    <cellStyle name="Normal 11 4 4 2" xfId="2191"/>
    <cellStyle name="Normal 11 4 4 3" xfId="2192"/>
    <cellStyle name="Normal 11 4 4 4" xfId="2193"/>
    <cellStyle name="Normal 11 4 4 5" xfId="2194"/>
    <cellStyle name="Normal 11 4 4 6" xfId="2195"/>
    <cellStyle name="Normal 11 4 5" xfId="2196"/>
    <cellStyle name="Normal 11 4 6" xfId="2197"/>
    <cellStyle name="Normal 11 4 7" xfId="2198"/>
    <cellStyle name="Normal 11 4 8" xfId="2199"/>
    <cellStyle name="Normal 11 4 9" xfId="2200"/>
    <cellStyle name="Normal 11 5" xfId="2201"/>
    <cellStyle name="Normal 11 5 10" xfId="2202"/>
    <cellStyle name="Normal 11 5 11" xfId="2203"/>
    <cellStyle name="Normal 11 5 2" xfId="2204"/>
    <cellStyle name="Normal 11 5 2 10" xfId="2205"/>
    <cellStyle name="Normal 11 5 2 2" xfId="2206"/>
    <cellStyle name="Normal 11 5 2 3" xfId="2207"/>
    <cellStyle name="Normal 11 5 2 3 2" xfId="2208"/>
    <cellStyle name="Normal 11 5 2 3 3" xfId="2209"/>
    <cellStyle name="Normal 11 5 2 3 4" xfId="2210"/>
    <cellStyle name="Normal 11 5 2 3 5" xfId="2211"/>
    <cellStyle name="Normal 11 5 2 3 6" xfId="2212"/>
    <cellStyle name="Normal 11 5 2 4" xfId="2213"/>
    <cellStyle name="Normal 11 5 2 5" xfId="2214"/>
    <cellStyle name="Normal 11 5 2 6" xfId="2215"/>
    <cellStyle name="Normal 11 5 2 7" xfId="2216"/>
    <cellStyle name="Normal 11 5 2 8" xfId="2217"/>
    <cellStyle name="Normal 11 5 2 9" xfId="2218"/>
    <cellStyle name="Normal 11 5 3" xfId="2219"/>
    <cellStyle name="Normal 11 5 4" xfId="2220"/>
    <cellStyle name="Normal 11 5 4 2" xfId="2221"/>
    <cellStyle name="Normal 11 5 4 3" xfId="2222"/>
    <cellStyle name="Normal 11 5 4 4" xfId="2223"/>
    <cellStyle name="Normal 11 5 4 5" xfId="2224"/>
    <cellStyle name="Normal 11 5 4 6" xfId="2225"/>
    <cellStyle name="Normal 11 5 5" xfId="2226"/>
    <cellStyle name="Normal 11 5 6" xfId="2227"/>
    <cellStyle name="Normal 11 5 7" xfId="2228"/>
    <cellStyle name="Normal 11 5 8" xfId="2229"/>
    <cellStyle name="Normal 11 5 9" xfId="2230"/>
    <cellStyle name="Normal 11 6" xfId="2231"/>
    <cellStyle name="Normal 11 6 10" xfId="2232"/>
    <cellStyle name="Normal 11 6 11" xfId="2233"/>
    <cellStyle name="Normal 11 6 2" xfId="2234"/>
    <cellStyle name="Normal 11 6 2 10" xfId="2235"/>
    <cellStyle name="Normal 11 6 2 2" xfId="2236"/>
    <cellStyle name="Normal 11 6 2 3" xfId="2237"/>
    <cellStyle name="Normal 11 6 2 3 2" xfId="2238"/>
    <cellStyle name="Normal 11 6 2 3 3" xfId="2239"/>
    <cellStyle name="Normal 11 6 2 3 4" xfId="2240"/>
    <cellStyle name="Normal 11 6 2 3 5" xfId="2241"/>
    <cellStyle name="Normal 11 6 2 3 6" xfId="2242"/>
    <cellStyle name="Normal 11 6 2 4" xfId="2243"/>
    <cellStyle name="Normal 11 6 2 5" xfId="2244"/>
    <cellStyle name="Normal 11 6 2 6" xfId="2245"/>
    <cellStyle name="Normal 11 6 2 7" xfId="2246"/>
    <cellStyle name="Normal 11 6 2 8" xfId="2247"/>
    <cellStyle name="Normal 11 6 2 9" xfId="2248"/>
    <cellStyle name="Normal 11 6 3" xfId="2249"/>
    <cellStyle name="Normal 11 6 4" xfId="2250"/>
    <cellStyle name="Normal 11 6 4 2" xfId="2251"/>
    <cellStyle name="Normal 11 6 4 3" xfId="2252"/>
    <cellStyle name="Normal 11 6 4 4" xfId="2253"/>
    <cellStyle name="Normal 11 6 4 5" xfId="2254"/>
    <cellStyle name="Normal 11 6 4 6" xfId="2255"/>
    <cellStyle name="Normal 11 6 5" xfId="2256"/>
    <cellStyle name="Normal 11 6 6" xfId="2257"/>
    <cellStyle name="Normal 11 6 7" xfId="2258"/>
    <cellStyle name="Normal 11 6 8" xfId="2259"/>
    <cellStyle name="Normal 11 6 9" xfId="2260"/>
    <cellStyle name="Normal 11 7" xfId="2261"/>
    <cellStyle name="Normal 11 7 10" xfId="2262"/>
    <cellStyle name="Normal 11 7 11" xfId="2263"/>
    <cellStyle name="Normal 11 7 2" xfId="2264"/>
    <cellStyle name="Normal 11 7 2 10" xfId="2265"/>
    <cellStyle name="Normal 11 7 2 2" xfId="2266"/>
    <cellStyle name="Normal 11 7 2 3" xfId="2267"/>
    <cellStyle name="Normal 11 7 2 3 2" xfId="2268"/>
    <cellStyle name="Normal 11 7 2 3 3" xfId="2269"/>
    <cellStyle name="Normal 11 7 2 3 4" xfId="2270"/>
    <cellStyle name="Normal 11 7 2 3 5" xfId="2271"/>
    <cellStyle name="Normal 11 7 2 3 6" xfId="2272"/>
    <cellStyle name="Normal 11 7 2 4" xfId="2273"/>
    <cellStyle name="Normal 11 7 2 5" xfId="2274"/>
    <cellStyle name="Normal 11 7 2 6" xfId="2275"/>
    <cellStyle name="Normal 11 7 2 7" xfId="2276"/>
    <cellStyle name="Normal 11 7 2 8" xfId="2277"/>
    <cellStyle name="Normal 11 7 2 9" xfId="2278"/>
    <cellStyle name="Normal 11 7 3" xfId="2279"/>
    <cellStyle name="Normal 11 7 4" xfId="2280"/>
    <cellStyle name="Normal 11 7 4 2" xfId="2281"/>
    <cellStyle name="Normal 11 7 4 3" xfId="2282"/>
    <cellStyle name="Normal 11 7 4 4" xfId="2283"/>
    <cellStyle name="Normal 11 7 4 5" xfId="2284"/>
    <cellStyle name="Normal 11 7 4 6" xfId="2285"/>
    <cellStyle name="Normal 11 7 5" xfId="2286"/>
    <cellStyle name="Normal 11 7 6" xfId="2287"/>
    <cellStyle name="Normal 11 7 7" xfId="2288"/>
    <cellStyle name="Normal 11 7 8" xfId="2289"/>
    <cellStyle name="Normal 11 7 9" xfId="2290"/>
    <cellStyle name="Normal 11 8" xfId="2291"/>
    <cellStyle name="Normal 11 8 10" xfId="2292"/>
    <cellStyle name="Normal 11 8 11" xfId="2293"/>
    <cellStyle name="Normal 11 8 2" xfId="2294"/>
    <cellStyle name="Normal 11 8 2 10" xfId="2295"/>
    <cellStyle name="Normal 11 8 2 2" xfId="2296"/>
    <cellStyle name="Normal 11 8 2 3" xfId="2297"/>
    <cellStyle name="Normal 11 8 2 3 2" xfId="2298"/>
    <cellStyle name="Normal 11 8 2 3 3" xfId="2299"/>
    <cellStyle name="Normal 11 8 2 3 4" xfId="2300"/>
    <cellStyle name="Normal 11 8 2 3 5" xfId="2301"/>
    <cellStyle name="Normal 11 8 2 3 6" xfId="2302"/>
    <cellStyle name="Normal 11 8 2 4" xfId="2303"/>
    <cellStyle name="Normal 11 8 2 5" xfId="2304"/>
    <cellStyle name="Normal 11 8 2 6" xfId="2305"/>
    <cellStyle name="Normal 11 8 2 7" xfId="2306"/>
    <cellStyle name="Normal 11 8 2 8" xfId="2307"/>
    <cellStyle name="Normal 11 8 2 9" xfId="2308"/>
    <cellStyle name="Normal 11 8 3" xfId="2309"/>
    <cellStyle name="Normal 11 8 4" xfId="2310"/>
    <cellStyle name="Normal 11 8 4 2" xfId="2311"/>
    <cellStyle name="Normal 11 8 4 3" xfId="2312"/>
    <cellStyle name="Normal 11 8 4 4" xfId="2313"/>
    <cellStyle name="Normal 11 8 4 5" xfId="2314"/>
    <cellStyle name="Normal 11 8 4 6" xfId="2315"/>
    <cellStyle name="Normal 11 8 5" xfId="2316"/>
    <cellStyle name="Normal 11 8 6" xfId="2317"/>
    <cellStyle name="Normal 11 8 7" xfId="2318"/>
    <cellStyle name="Normal 11 8 8" xfId="2319"/>
    <cellStyle name="Normal 11 8 9" xfId="2320"/>
    <cellStyle name="Normal 11 9" xfId="2321"/>
    <cellStyle name="Normal 11 9 10" xfId="2322"/>
    <cellStyle name="Normal 11 9 11" xfId="2323"/>
    <cellStyle name="Normal 11 9 2" xfId="2324"/>
    <cellStyle name="Normal 11 9 2 10" xfId="2325"/>
    <cellStyle name="Normal 11 9 2 2" xfId="2326"/>
    <cellStyle name="Normal 11 9 2 3" xfId="2327"/>
    <cellStyle name="Normal 11 9 2 3 2" xfId="2328"/>
    <cellStyle name="Normal 11 9 2 3 3" xfId="2329"/>
    <cellStyle name="Normal 11 9 2 3 4" xfId="2330"/>
    <cellStyle name="Normal 11 9 2 3 5" xfId="2331"/>
    <cellStyle name="Normal 11 9 2 3 6" xfId="2332"/>
    <cellStyle name="Normal 11 9 2 4" xfId="2333"/>
    <cellStyle name="Normal 11 9 2 5" xfId="2334"/>
    <cellStyle name="Normal 11 9 2 6" xfId="2335"/>
    <cellStyle name="Normal 11 9 2 7" xfId="2336"/>
    <cellStyle name="Normal 11 9 2 8" xfId="2337"/>
    <cellStyle name="Normal 11 9 2 9" xfId="2338"/>
    <cellStyle name="Normal 11 9 3" xfId="2339"/>
    <cellStyle name="Normal 11 9 4" xfId="2340"/>
    <cellStyle name="Normal 11 9 4 2" xfId="2341"/>
    <cellStyle name="Normal 11 9 4 3" xfId="2342"/>
    <cellStyle name="Normal 11 9 4 4" xfId="2343"/>
    <cellStyle name="Normal 11 9 4 5" xfId="2344"/>
    <cellStyle name="Normal 11 9 4 6" xfId="2345"/>
    <cellStyle name="Normal 11 9 5" xfId="2346"/>
    <cellStyle name="Normal 11 9 6" xfId="2347"/>
    <cellStyle name="Normal 11 9 7" xfId="2348"/>
    <cellStyle name="Normal 11 9 8" xfId="2349"/>
    <cellStyle name="Normal 11 9 9" xfId="2350"/>
    <cellStyle name="Normal 110" xfId="2351"/>
    <cellStyle name="Normal 110 2" xfId="2352"/>
    <cellStyle name="Normal 110 2 2" xfId="2353"/>
    <cellStyle name="Normal 110 2 3" xfId="2354"/>
    <cellStyle name="Normal 110 2 4" xfId="2355"/>
    <cellStyle name="Normal 110 3" xfId="2356"/>
    <cellStyle name="Normal 110 3 2" xfId="2357"/>
    <cellStyle name="Normal 110 3 3" xfId="2358"/>
    <cellStyle name="Normal 110 3 4" xfId="2359"/>
    <cellStyle name="Normal 110 4" xfId="2360"/>
    <cellStyle name="Normal 110 5" xfId="2361"/>
    <cellStyle name="Normal 110 6" xfId="2362"/>
    <cellStyle name="Normal 111" xfId="2363"/>
    <cellStyle name="Normal 111 2" xfId="2364"/>
    <cellStyle name="Normal 111 2 2" xfId="2365"/>
    <cellStyle name="Normal 111 2 3" xfId="2366"/>
    <cellStyle name="Normal 111 2 4" xfId="2367"/>
    <cellStyle name="Normal 111 3" xfId="2368"/>
    <cellStyle name="Normal 111 3 2" xfId="2369"/>
    <cellStyle name="Normal 111 3 3" xfId="2370"/>
    <cellStyle name="Normal 111 3 4" xfId="2371"/>
    <cellStyle name="Normal 111 4" xfId="2372"/>
    <cellStyle name="Normal 111 5" xfId="2373"/>
    <cellStyle name="Normal 111 6" xfId="2374"/>
    <cellStyle name="Normal 112" xfId="2375"/>
    <cellStyle name="Normal 112 2" xfId="2376"/>
    <cellStyle name="Normal 112 2 2" xfId="2377"/>
    <cellStyle name="Normal 112 2 3" xfId="2378"/>
    <cellStyle name="Normal 112 2 4" xfId="2379"/>
    <cellStyle name="Normal 112 3" xfId="2380"/>
    <cellStyle name="Normal 112 3 2" xfId="2381"/>
    <cellStyle name="Normal 112 3 3" xfId="2382"/>
    <cellStyle name="Normal 112 3 4" xfId="2383"/>
    <cellStyle name="Normal 112 4" xfId="2384"/>
    <cellStyle name="Normal 112 5" xfId="2385"/>
    <cellStyle name="Normal 112 6" xfId="2386"/>
    <cellStyle name="Normal 113" xfId="2387"/>
    <cellStyle name="Normal 113 2" xfId="2388"/>
    <cellStyle name="Normal 113 2 2" xfId="2389"/>
    <cellStyle name="Normal 113 2 3" xfId="2390"/>
    <cellStyle name="Normal 113 2 4" xfId="2391"/>
    <cellStyle name="Normal 113 3" xfId="2392"/>
    <cellStyle name="Normal 113 3 2" xfId="2393"/>
    <cellStyle name="Normal 113 3 3" xfId="2394"/>
    <cellStyle name="Normal 113 3 4" xfId="2395"/>
    <cellStyle name="Normal 113 4" xfId="2396"/>
    <cellStyle name="Normal 113 5" xfId="2397"/>
    <cellStyle name="Normal 113 6" xfId="2398"/>
    <cellStyle name="Normal 114" xfId="2399"/>
    <cellStyle name="Normal 114 2" xfId="2400"/>
    <cellStyle name="Normal 114 2 2" xfId="2401"/>
    <cellStyle name="Normal 114 2 3" xfId="2402"/>
    <cellStyle name="Normal 114 2 4" xfId="2403"/>
    <cellStyle name="Normal 114 3" xfId="2404"/>
    <cellStyle name="Normal 114 3 2" xfId="2405"/>
    <cellStyle name="Normal 114 3 3" xfId="2406"/>
    <cellStyle name="Normal 114 3 4" xfId="2407"/>
    <cellStyle name="Normal 114 4" xfId="2408"/>
    <cellStyle name="Normal 114 5" xfId="2409"/>
    <cellStyle name="Normal 114 6" xfId="2410"/>
    <cellStyle name="Normal 115" xfId="2411"/>
    <cellStyle name="Normal 115 2" xfId="2412"/>
    <cellStyle name="Normal 115 2 2" xfId="2413"/>
    <cellStyle name="Normal 115 2 3" xfId="2414"/>
    <cellStyle name="Normal 115 2 4" xfId="2415"/>
    <cellStyle name="Normal 115 3" xfId="2416"/>
    <cellStyle name="Normal 115 3 2" xfId="2417"/>
    <cellStyle name="Normal 115 3 3" xfId="2418"/>
    <cellStyle name="Normal 115 3 4" xfId="2419"/>
    <cellStyle name="Normal 115 4" xfId="2420"/>
    <cellStyle name="Normal 115 5" xfId="2421"/>
    <cellStyle name="Normal 115 6" xfId="2422"/>
    <cellStyle name="Normal 116" xfId="2423"/>
    <cellStyle name="Normal 116 2" xfId="2424"/>
    <cellStyle name="Normal 116 2 2" xfId="2425"/>
    <cellStyle name="Normal 116 2 3" xfId="2426"/>
    <cellStyle name="Normal 116 2 4" xfId="2427"/>
    <cellStyle name="Normal 116 3" xfId="2428"/>
    <cellStyle name="Normal 116 3 2" xfId="2429"/>
    <cellStyle name="Normal 116 3 3" xfId="2430"/>
    <cellStyle name="Normal 116 3 4" xfId="2431"/>
    <cellStyle name="Normal 116 4" xfId="2432"/>
    <cellStyle name="Normal 116 4 2" xfId="2433"/>
    <cellStyle name="Normal 116 4 3" xfId="2434"/>
    <cellStyle name="Normal 116 4 4" xfId="2435"/>
    <cellStyle name="Normal 116 5" xfId="2436"/>
    <cellStyle name="Normal 116 5 2" xfId="2437"/>
    <cellStyle name="Normal 116 5 3" xfId="2438"/>
    <cellStyle name="Normal 116 5 4" xfId="2439"/>
    <cellStyle name="Normal 116 6" xfId="2440"/>
    <cellStyle name="Normal 116 6 2" xfId="2441"/>
    <cellStyle name="Normal 116 6 3" xfId="2442"/>
    <cellStyle name="Normal 116 6 4" xfId="2443"/>
    <cellStyle name="Normal 116 7" xfId="2444"/>
    <cellStyle name="Normal 116 8" xfId="2445"/>
    <cellStyle name="Normal 116 9" xfId="2446"/>
    <cellStyle name="Normal 117" xfId="2447"/>
    <cellStyle name="Normal 117 2" xfId="2448"/>
    <cellStyle name="Normal 117 2 2" xfId="2449"/>
    <cellStyle name="Normal 117 2 3" xfId="2450"/>
    <cellStyle name="Normal 117 2 4" xfId="2451"/>
    <cellStyle name="Normal 117 3" xfId="2452"/>
    <cellStyle name="Normal 117 3 2" xfId="2453"/>
    <cellStyle name="Normal 117 3 3" xfId="2454"/>
    <cellStyle name="Normal 117 3 4" xfId="2455"/>
    <cellStyle name="Normal 117 4" xfId="2456"/>
    <cellStyle name="Normal 117 4 2" xfId="2457"/>
    <cellStyle name="Normal 117 4 3" xfId="2458"/>
    <cellStyle name="Normal 117 4 4" xfId="2459"/>
    <cellStyle name="Normal 117 5" xfId="2460"/>
    <cellStyle name="Normal 117 5 2" xfId="2461"/>
    <cellStyle name="Normal 117 5 3" xfId="2462"/>
    <cellStyle name="Normal 117 5 4" xfId="2463"/>
    <cellStyle name="Normal 117 6" xfId="2464"/>
    <cellStyle name="Normal 117 6 2" xfId="2465"/>
    <cellStyle name="Normal 117 6 3" xfId="2466"/>
    <cellStyle name="Normal 117 6 4" xfId="2467"/>
    <cellStyle name="Normal 117 7" xfId="2468"/>
    <cellStyle name="Normal 117 8" xfId="2469"/>
    <cellStyle name="Normal 117 9" xfId="2470"/>
    <cellStyle name="Normal 118" xfId="2471"/>
    <cellStyle name="Normal 118 2" xfId="2472"/>
    <cellStyle name="Normal 118 2 2" xfId="2473"/>
    <cellStyle name="Normal 118 2 2 2" xfId="2474"/>
    <cellStyle name="Normal 118 2 2 3" xfId="2475"/>
    <cellStyle name="Normal 118 2 2 4" xfId="2476"/>
    <cellStyle name="Normal 118 2 2 5" xfId="2477"/>
    <cellStyle name="Normal 118 2 2 6" xfId="2478"/>
    <cellStyle name="Normal 118 2 3" xfId="2479"/>
    <cellStyle name="Normal 118 2 4" xfId="2480"/>
    <cellStyle name="Normal 118 3" xfId="2481"/>
    <cellStyle name="Normal 118 3 2" xfId="2482"/>
    <cellStyle name="Normal 118 3 2 2" xfId="2483"/>
    <cellStyle name="Normal 118 3 2 3" xfId="2484"/>
    <cellStyle name="Normal 118 3 2 4" xfId="2485"/>
    <cellStyle name="Normal 118 3 2 5" xfId="2486"/>
    <cellStyle name="Normal 118 3 2 6" xfId="2487"/>
    <cellStyle name="Normal 118 3 3" xfId="2488"/>
    <cellStyle name="Normal 118 3 4" xfId="2489"/>
    <cellStyle name="Normal 118 4" xfId="2490"/>
    <cellStyle name="Normal 118 4 2" xfId="2491"/>
    <cellStyle name="Normal 118 4 2 2" xfId="2492"/>
    <cellStyle name="Normal 118 4 2 3" xfId="2493"/>
    <cellStyle name="Normal 118 4 2 4" xfId="2494"/>
    <cellStyle name="Normal 118 4 2 5" xfId="2495"/>
    <cellStyle name="Normal 118 4 2 6" xfId="2496"/>
    <cellStyle name="Normal 118 4 3" xfId="2497"/>
    <cellStyle name="Normal 118 4 4" xfId="2498"/>
    <cellStyle name="Normal 118 5" xfId="2499"/>
    <cellStyle name="Normal 118 5 2" xfId="2500"/>
    <cellStyle name="Normal 118 5 2 2" xfId="2501"/>
    <cellStyle name="Normal 118 5 2 3" xfId="2502"/>
    <cellStyle name="Normal 118 5 2 4" xfId="2503"/>
    <cellStyle name="Normal 118 5 2 5" xfId="2504"/>
    <cellStyle name="Normal 118 5 2 6" xfId="2505"/>
    <cellStyle name="Normal 118 5 3" xfId="2506"/>
    <cellStyle name="Normal 118 5 4" xfId="2507"/>
    <cellStyle name="Normal 118 6" xfId="2508"/>
    <cellStyle name="Normal 118 6 2" xfId="2509"/>
    <cellStyle name="Normal 118 6 3" xfId="2510"/>
    <cellStyle name="Normal 118 6 4" xfId="2511"/>
    <cellStyle name="Normal 118 6 5" xfId="2512"/>
    <cellStyle name="Normal 118 6 6" xfId="2513"/>
    <cellStyle name="Normal 118 7" xfId="2514"/>
    <cellStyle name="Normal 118 8" xfId="2515"/>
    <cellStyle name="Normal 119" xfId="2516"/>
    <cellStyle name="Normal 119 2" xfId="2517"/>
    <cellStyle name="Normal 119 2 2" xfId="2518"/>
    <cellStyle name="Normal 119 2 3" xfId="2519"/>
    <cellStyle name="Normal 119 2 4" xfId="2520"/>
    <cellStyle name="Normal 119 2 5" xfId="2521"/>
    <cellStyle name="Normal 119 2 6" xfId="2522"/>
    <cellStyle name="Normal 119 3" xfId="2523"/>
    <cellStyle name="Normal 119 4" xfId="2524"/>
    <cellStyle name="Normal 12" xfId="2525"/>
    <cellStyle name="Normal 12 10" xfId="2526"/>
    <cellStyle name="Normal 12 10 10" xfId="2527"/>
    <cellStyle name="Normal 12 10 11" xfId="2528"/>
    <cellStyle name="Normal 12 10 2" xfId="2529"/>
    <cellStyle name="Normal 12 10 2 10" xfId="2530"/>
    <cellStyle name="Normal 12 10 2 2" xfId="2531"/>
    <cellStyle name="Normal 12 10 2 3" xfId="2532"/>
    <cellStyle name="Normal 12 10 2 3 2" xfId="2533"/>
    <cellStyle name="Normal 12 10 2 3 3" xfId="2534"/>
    <cellStyle name="Normal 12 10 2 3 4" xfId="2535"/>
    <cellStyle name="Normal 12 10 2 3 5" xfId="2536"/>
    <cellStyle name="Normal 12 10 2 3 6" xfId="2537"/>
    <cellStyle name="Normal 12 10 2 4" xfId="2538"/>
    <cellStyle name="Normal 12 10 2 5" xfId="2539"/>
    <cellStyle name="Normal 12 10 2 6" xfId="2540"/>
    <cellStyle name="Normal 12 10 2 7" xfId="2541"/>
    <cellStyle name="Normal 12 10 2 8" xfId="2542"/>
    <cellStyle name="Normal 12 10 2 9" xfId="2543"/>
    <cellStyle name="Normal 12 10 3" xfId="2544"/>
    <cellStyle name="Normal 12 10 4" xfId="2545"/>
    <cellStyle name="Normal 12 10 4 2" xfId="2546"/>
    <cellStyle name="Normal 12 10 4 3" xfId="2547"/>
    <cellStyle name="Normal 12 10 4 4" xfId="2548"/>
    <cellStyle name="Normal 12 10 4 5" xfId="2549"/>
    <cellStyle name="Normal 12 10 4 6" xfId="2550"/>
    <cellStyle name="Normal 12 10 5" xfId="2551"/>
    <cellStyle name="Normal 12 10 6" xfId="2552"/>
    <cellStyle name="Normal 12 10 7" xfId="2553"/>
    <cellStyle name="Normal 12 10 8" xfId="2554"/>
    <cellStyle name="Normal 12 10 9" xfId="2555"/>
    <cellStyle name="Normal 12 11" xfId="2556"/>
    <cellStyle name="Normal 12 12" xfId="2557"/>
    <cellStyle name="Normal 12 12 2" xfId="2558"/>
    <cellStyle name="Normal 12 12 3" xfId="2559"/>
    <cellStyle name="Normal 12 12 4" xfId="2560"/>
    <cellStyle name="Normal 12 12 5" xfId="2561"/>
    <cellStyle name="Normal 12 12 6" xfId="2562"/>
    <cellStyle name="Normal 12 13" xfId="2563"/>
    <cellStyle name="Normal 12 13 2" xfId="2564"/>
    <cellStyle name="Normal 12 13 3" xfId="2565"/>
    <cellStyle name="Normal 12 13 4" xfId="2566"/>
    <cellStyle name="Normal 12 13 5" xfId="2567"/>
    <cellStyle name="Normal 12 13 6" xfId="2568"/>
    <cellStyle name="Normal 12 2" xfId="2569"/>
    <cellStyle name="Normal 12 2 10" xfId="2570"/>
    <cellStyle name="Normal 12 2 11" xfId="2571"/>
    <cellStyle name="Normal 12 2 2" xfId="2572"/>
    <cellStyle name="Normal 12 2 2 10" xfId="2573"/>
    <cellStyle name="Normal 12 2 2 2" xfId="2574"/>
    <cellStyle name="Normal 12 2 2 3" xfId="2575"/>
    <cellStyle name="Normal 12 2 2 3 2" xfId="2576"/>
    <cellStyle name="Normal 12 2 2 3 3" xfId="2577"/>
    <cellStyle name="Normal 12 2 2 3 4" xfId="2578"/>
    <cellStyle name="Normal 12 2 2 3 5" xfId="2579"/>
    <cellStyle name="Normal 12 2 2 3 6" xfId="2580"/>
    <cellStyle name="Normal 12 2 2 4" xfId="2581"/>
    <cellStyle name="Normal 12 2 2 5" xfId="2582"/>
    <cellStyle name="Normal 12 2 2 6" xfId="2583"/>
    <cellStyle name="Normal 12 2 2 7" xfId="2584"/>
    <cellStyle name="Normal 12 2 2 8" xfId="2585"/>
    <cellStyle name="Normal 12 2 2 9" xfId="2586"/>
    <cellStyle name="Normal 12 2 3" xfId="2587"/>
    <cellStyle name="Normal 12 2 4" xfId="2588"/>
    <cellStyle name="Normal 12 2 4 2" xfId="2589"/>
    <cellStyle name="Normal 12 2 4 3" xfId="2590"/>
    <cellStyle name="Normal 12 2 4 4" xfId="2591"/>
    <cellStyle name="Normal 12 2 4 5" xfId="2592"/>
    <cellStyle name="Normal 12 2 4 6" xfId="2593"/>
    <cellStyle name="Normal 12 2 5" xfId="2594"/>
    <cellStyle name="Normal 12 2 6" xfId="2595"/>
    <cellStyle name="Normal 12 2 7" xfId="2596"/>
    <cellStyle name="Normal 12 2 8" xfId="2597"/>
    <cellStyle name="Normal 12 2 9" xfId="2598"/>
    <cellStyle name="Normal 12 3" xfId="2599"/>
    <cellStyle name="Normal 12 3 10" xfId="2600"/>
    <cellStyle name="Normal 12 3 11" xfId="2601"/>
    <cellStyle name="Normal 12 3 2" xfId="2602"/>
    <cellStyle name="Normal 12 3 2 10" xfId="2603"/>
    <cellStyle name="Normal 12 3 2 2" xfId="2604"/>
    <cellStyle name="Normal 12 3 2 3" xfId="2605"/>
    <cellStyle name="Normal 12 3 2 3 2" xfId="2606"/>
    <cellStyle name="Normal 12 3 2 3 3" xfId="2607"/>
    <cellStyle name="Normal 12 3 2 3 4" xfId="2608"/>
    <cellStyle name="Normal 12 3 2 3 5" xfId="2609"/>
    <cellStyle name="Normal 12 3 2 3 6" xfId="2610"/>
    <cellStyle name="Normal 12 3 2 4" xfId="2611"/>
    <cellStyle name="Normal 12 3 2 5" xfId="2612"/>
    <cellStyle name="Normal 12 3 2 6" xfId="2613"/>
    <cellStyle name="Normal 12 3 2 7" xfId="2614"/>
    <cellStyle name="Normal 12 3 2 8" xfId="2615"/>
    <cellStyle name="Normal 12 3 2 9" xfId="2616"/>
    <cellStyle name="Normal 12 3 3" xfId="2617"/>
    <cellStyle name="Normal 12 3 4" xfId="2618"/>
    <cellStyle name="Normal 12 3 4 2" xfId="2619"/>
    <cellStyle name="Normal 12 3 4 3" xfId="2620"/>
    <cellStyle name="Normal 12 3 4 4" xfId="2621"/>
    <cellStyle name="Normal 12 3 4 5" xfId="2622"/>
    <cellStyle name="Normal 12 3 4 6" xfId="2623"/>
    <cellStyle name="Normal 12 3 5" xfId="2624"/>
    <cellStyle name="Normal 12 3 6" xfId="2625"/>
    <cellStyle name="Normal 12 3 7" xfId="2626"/>
    <cellStyle name="Normal 12 3 8" xfId="2627"/>
    <cellStyle name="Normal 12 3 9" xfId="2628"/>
    <cellStyle name="Normal 12 4" xfId="2629"/>
    <cellStyle name="Normal 12 4 10" xfId="2630"/>
    <cellStyle name="Normal 12 4 11" xfId="2631"/>
    <cellStyle name="Normal 12 4 2" xfId="2632"/>
    <cellStyle name="Normal 12 4 2 10" xfId="2633"/>
    <cellStyle name="Normal 12 4 2 2" xfId="2634"/>
    <cellStyle name="Normal 12 4 2 3" xfId="2635"/>
    <cellStyle name="Normal 12 4 2 3 2" xfId="2636"/>
    <cellStyle name="Normal 12 4 2 3 3" xfId="2637"/>
    <cellStyle name="Normal 12 4 2 3 4" xfId="2638"/>
    <cellStyle name="Normal 12 4 2 3 5" xfId="2639"/>
    <cellStyle name="Normal 12 4 2 3 6" xfId="2640"/>
    <cellStyle name="Normal 12 4 2 4" xfId="2641"/>
    <cellStyle name="Normal 12 4 2 5" xfId="2642"/>
    <cellStyle name="Normal 12 4 2 6" xfId="2643"/>
    <cellStyle name="Normal 12 4 2 7" xfId="2644"/>
    <cellStyle name="Normal 12 4 2 8" xfId="2645"/>
    <cellStyle name="Normal 12 4 2 9" xfId="2646"/>
    <cellStyle name="Normal 12 4 3" xfId="2647"/>
    <cellStyle name="Normal 12 4 4" xfId="2648"/>
    <cellStyle name="Normal 12 4 4 2" xfId="2649"/>
    <cellStyle name="Normal 12 4 4 3" xfId="2650"/>
    <cellStyle name="Normal 12 4 4 4" xfId="2651"/>
    <cellStyle name="Normal 12 4 4 5" xfId="2652"/>
    <cellStyle name="Normal 12 4 4 6" xfId="2653"/>
    <cellStyle name="Normal 12 4 5" xfId="2654"/>
    <cellStyle name="Normal 12 4 6" xfId="2655"/>
    <cellStyle name="Normal 12 4 7" xfId="2656"/>
    <cellStyle name="Normal 12 4 8" xfId="2657"/>
    <cellStyle name="Normal 12 4 9" xfId="2658"/>
    <cellStyle name="Normal 12 5" xfId="2659"/>
    <cellStyle name="Normal 12 5 10" xfId="2660"/>
    <cellStyle name="Normal 12 5 11" xfId="2661"/>
    <cellStyle name="Normal 12 5 2" xfId="2662"/>
    <cellStyle name="Normal 12 5 2 10" xfId="2663"/>
    <cellStyle name="Normal 12 5 2 2" xfId="2664"/>
    <cellStyle name="Normal 12 5 2 3" xfId="2665"/>
    <cellStyle name="Normal 12 5 2 3 2" xfId="2666"/>
    <cellStyle name="Normal 12 5 2 3 3" xfId="2667"/>
    <cellStyle name="Normal 12 5 2 3 4" xfId="2668"/>
    <cellStyle name="Normal 12 5 2 3 5" xfId="2669"/>
    <cellStyle name="Normal 12 5 2 3 6" xfId="2670"/>
    <cellStyle name="Normal 12 5 2 4" xfId="2671"/>
    <cellStyle name="Normal 12 5 2 5" xfId="2672"/>
    <cellStyle name="Normal 12 5 2 6" xfId="2673"/>
    <cellStyle name="Normal 12 5 2 7" xfId="2674"/>
    <cellStyle name="Normal 12 5 2 8" xfId="2675"/>
    <cellStyle name="Normal 12 5 2 9" xfId="2676"/>
    <cellStyle name="Normal 12 5 3" xfId="2677"/>
    <cellStyle name="Normal 12 5 4" xfId="2678"/>
    <cellStyle name="Normal 12 5 4 2" xfId="2679"/>
    <cellStyle name="Normal 12 5 4 3" xfId="2680"/>
    <cellStyle name="Normal 12 5 4 4" xfId="2681"/>
    <cellStyle name="Normal 12 5 4 5" xfId="2682"/>
    <cellStyle name="Normal 12 5 4 6" xfId="2683"/>
    <cellStyle name="Normal 12 5 5" xfId="2684"/>
    <cellStyle name="Normal 12 5 6" xfId="2685"/>
    <cellStyle name="Normal 12 5 7" xfId="2686"/>
    <cellStyle name="Normal 12 5 8" xfId="2687"/>
    <cellStyle name="Normal 12 5 9" xfId="2688"/>
    <cellStyle name="Normal 12 6" xfId="2689"/>
    <cellStyle name="Normal 12 6 10" xfId="2690"/>
    <cellStyle name="Normal 12 6 11" xfId="2691"/>
    <cellStyle name="Normal 12 6 2" xfId="2692"/>
    <cellStyle name="Normal 12 6 2 10" xfId="2693"/>
    <cellStyle name="Normal 12 6 2 2" xfId="2694"/>
    <cellStyle name="Normal 12 6 2 3" xfId="2695"/>
    <cellStyle name="Normal 12 6 2 3 2" xfId="2696"/>
    <cellStyle name="Normal 12 6 2 3 3" xfId="2697"/>
    <cellStyle name="Normal 12 6 2 3 4" xfId="2698"/>
    <cellStyle name="Normal 12 6 2 3 5" xfId="2699"/>
    <cellStyle name="Normal 12 6 2 3 6" xfId="2700"/>
    <cellStyle name="Normal 12 6 2 4" xfId="2701"/>
    <cellStyle name="Normal 12 6 2 5" xfId="2702"/>
    <cellStyle name="Normal 12 6 2 6" xfId="2703"/>
    <cellStyle name="Normal 12 6 2 7" xfId="2704"/>
    <cellStyle name="Normal 12 6 2 8" xfId="2705"/>
    <cellStyle name="Normal 12 6 2 9" xfId="2706"/>
    <cellStyle name="Normal 12 6 3" xfId="2707"/>
    <cellStyle name="Normal 12 6 4" xfId="2708"/>
    <cellStyle name="Normal 12 6 4 2" xfId="2709"/>
    <cellStyle name="Normal 12 6 4 3" xfId="2710"/>
    <cellStyle name="Normal 12 6 4 4" xfId="2711"/>
    <cellStyle name="Normal 12 6 4 5" xfId="2712"/>
    <cellStyle name="Normal 12 6 4 6" xfId="2713"/>
    <cellStyle name="Normal 12 6 5" xfId="2714"/>
    <cellStyle name="Normal 12 6 6" xfId="2715"/>
    <cellStyle name="Normal 12 6 7" xfId="2716"/>
    <cellStyle name="Normal 12 6 8" xfId="2717"/>
    <cellStyle name="Normal 12 6 9" xfId="2718"/>
    <cellStyle name="Normal 12 7" xfId="2719"/>
    <cellStyle name="Normal 12 7 10" xfId="2720"/>
    <cellStyle name="Normal 12 7 11" xfId="2721"/>
    <cellStyle name="Normal 12 7 2" xfId="2722"/>
    <cellStyle name="Normal 12 7 2 10" xfId="2723"/>
    <cellStyle name="Normal 12 7 2 2" xfId="2724"/>
    <cellStyle name="Normal 12 7 2 3" xfId="2725"/>
    <cellStyle name="Normal 12 7 2 3 2" xfId="2726"/>
    <cellStyle name="Normal 12 7 2 3 3" xfId="2727"/>
    <cellStyle name="Normal 12 7 2 3 4" xfId="2728"/>
    <cellStyle name="Normal 12 7 2 3 5" xfId="2729"/>
    <cellStyle name="Normal 12 7 2 3 6" xfId="2730"/>
    <cellStyle name="Normal 12 7 2 4" xfId="2731"/>
    <cellStyle name="Normal 12 7 2 5" xfId="2732"/>
    <cellStyle name="Normal 12 7 2 6" xfId="2733"/>
    <cellStyle name="Normal 12 7 2 7" xfId="2734"/>
    <cellStyle name="Normal 12 7 2 8" xfId="2735"/>
    <cellStyle name="Normal 12 7 2 9" xfId="2736"/>
    <cellStyle name="Normal 12 7 3" xfId="2737"/>
    <cellStyle name="Normal 12 7 4" xfId="2738"/>
    <cellStyle name="Normal 12 7 4 2" xfId="2739"/>
    <cellStyle name="Normal 12 7 4 3" xfId="2740"/>
    <cellStyle name="Normal 12 7 4 4" xfId="2741"/>
    <cellStyle name="Normal 12 7 4 5" xfId="2742"/>
    <cellStyle name="Normal 12 7 4 6" xfId="2743"/>
    <cellStyle name="Normal 12 7 5" xfId="2744"/>
    <cellStyle name="Normal 12 7 6" xfId="2745"/>
    <cellStyle name="Normal 12 7 7" xfId="2746"/>
    <cellStyle name="Normal 12 7 8" xfId="2747"/>
    <cellStyle name="Normal 12 7 9" xfId="2748"/>
    <cellStyle name="Normal 12 8" xfId="2749"/>
    <cellStyle name="Normal 12 8 10" xfId="2750"/>
    <cellStyle name="Normal 12 8 11" xfId="2751"/>
    <cellStyle name="Normal 12 8 2" xfId="2752"/>
    <cellStyle name="Normal 12 8 2 10" xfId="2753"/>
    <cellStyle name="Normal 12 8 2 2" xfId="2754"/>
    <cellStyle name="Normal 12 8 2 3" xfId="2755"/>
    <cellStyle name="Normal 12 8 2 3 2" xfId="2756"/>
    <cellStyle name="Normal 12 8 2 3 3" xfId="2757"/>
    <cellStyle name="Normal 12 8 2 3 4" xfId="2758"/>
    <cellStyle name="Normal 12 8 2 3 5" xfId="2759"/>
    <cellStyle name="Normal 12 8 2 3 6" xfId="2760"/>
    <cellStyle name="Normal 12 8 2 4" xfId="2761"/>
    <cellStyle name="Normal 12 8 2 5" xfId="2762"/>
    <cellStyle name="Normal 12 8 2 6" xfId="2763"/>
    <cellStyle name="Normal 12 8 2 7" xfId="2764"/>
    <cellStyle name="Normal 12 8 2 8" xfId="2765"/>
    <cellStyle name="Normal 12 8 2 9" xfId="2766"/>
    <cellStyle name="Normal 12 8 3" xfId="2767"/>
    <cellStyle name="Normal 12 8 4" xfId="2768"/>
    <cellStyle name="Normal 12 8 4 2" xfId="2769"/>
    <cellStyle name="Normal 12 8 4 3" xfId="2770"/>
    <cellStyle name="Normal 12 8 4 4" xfId="2771"/>
    <cellStyle name="Normal 12 8 4 5" xfId="2772"/>
    <cellStyle name="Normal 12 8 4 6" xfId="2773"/>
    <cellStyle name="Normal 12 8 5" xfId="2774"/>
    <cellStyle name="Normal 12 8 6" xfId="2775"/>
    <cellStyle name="Normal 12 8 7" xfId="2776"/>
    <cellStyle name="Normal 12 8 8" xfId="2777"/>
    <cellStyle name="Normal 12 8 9" xfId="2778"/>
    <cellStyle name="Normal 12 9" xfId="2779"/>
    <cellStyle name="Normal 12 9 10" xfId="2780"/>
    <cellStyle name="Normal 12 9 11" xfId="2781"/>
    <cellStyle name="Normal 12 9 2" xfId="2782"/>
    <cellStyle name="Normal 12 9 2 10" xfId="2783"/>
    <cellStyle name="Normal 12 9 2 2" xfId="2784"/>
    <cellStyle name="Normal 12 9 2 3" xfId="2785"/>
    <cellStyle name="Normal 12 9 2 3 2" xfId="2786"/>
    <cellStyle name="Normal 12 9 2 3 3" xfId="2787"/>
    <cellStyle name="Normal 12 9 2 3 4" xfId="2788"/>
    <cellStyle name="Normal 12 9 2 3 5" xfId="2789"/>
    <cellStyle name="Normal 12 9 2 3 6" xfId="2790"/>
    <cellStyle name="Normal 12 9 2 4" xfId="2791"/>
    <cellStyle name="Normal 12 9 2 5" xfId="2792"/>
    <cellStyle name="Normal 12 9 2 6" xfId="2793"/>
    <cellStyle name="Normal 12 9 2 7" xfId="2794"/>
    <cellStyle name="Normal 12 9 2 8" xfId="2795"/>
    <cellStyle name="Normal 12 9 2 9" xfId="2796"/>
    <cellStyle name="Normal 12 9 3" xfId="2797"/>
    <cellStyle name="Normal 12 9 4" xfId="2798"/>
    <cellStyle name="Normal 12 9 4 2" xfId="2799"/>
    <cellStyle name="Normal 12 9 4 3" xfId="2800"/>
    <cellStyle name="Normal 12 9 4 4" xfId="2801"/>
    <cellStyle name="Normal 12 9 4 5" xfId="2802"/>
    <cellStyle name="Normal 12 9 4 6" xfId="2803"/>
    <cellStyle name="Normal 12 9 5" xfId="2804"/>
    <cellStyle name="Normal 12 9 6" xfId="2805"/>
    <cellStyle name="Normal 12 9 7" xfId="2806"/>
    <cellStyle name="Normal 12 9 8" xfId="2807"/>
    <cellStyle name="Normal 12 9 9" xfId="2808"/>
    <cellStyle name="Normal 120" xfId="2809"/>
    <cellStyle name="Normal 120 2" xfId="2810"/>
    <cellStyle name="Normal 120 3" xfId="2811"/>
    <cellStyle name="Normal 120 4" xfId="2812"/>
    <cellStyle name="Normal 121" xfId="2813"/>
    <cellStyle name="Normal 121 2" xfId="2814"/>
    <cellStyle name="Normal 121 3" xfId="2815"/>
    <cellStyle name="Normal 121 4" xfId="2816"/>
    <cellStyle name="Normal 122" xfId="2817"/>
    <cellStyle name="Normal 122 10" xfId="2818"/>
    <cellStyle name="Normal 122 10 2" xfId="2819"/>
    <cellStyle name="Normal 122 10 3" xfId="2820"/>
    <cellStyle name="Normal 122 10 4" xfId="2821"/>
    <cellStyle name="Normal 122 11" xfId="2822"/>
    <cellStyle name="Normal 122 11 2" xfId="2823"/>
    <cellStyle name="Normal 122 11 3" xfId="2824"/>
    <cellStyle name="Normal 122 11 4" xfId="2825"/>
    <cellStyle name="Normal 122 12" xfId="2826"/>
    <cellStyle name="Normal 122 12 2" xfId="2827"/>
    <cellStyle name="Normal 122 12 3" xfId="2828"/>
    <cellStyle name="Normal 122 12 4" xfId="2829"/>
    <cellStyle name="Normal 122 13" xfId="2830"/>
    <cellStyle name="Normal 122 13 2" xfId="2831"/>
    <cellStyle name="Normal 122 13 3" xfId="2832"/>
    <cellStyle name="Normal 122 13 4" xfId="2833"/>
    <cellStyle name="Normal 122 14" xfId="2834"/>
    <cellStyle name="Normal 122 14 2" xfId="2835"/>
    <cellStyle name="Normal 122 14 3" xfId="2836"/>
    <cellStyle name="Normal 122 14 4" xfId="2837"/>
    <cellStyle name="Normal 122 15" xfId="2838"/>
    <cellStyle name="Normal 122 15 2" xfId="2839"/>
    <cellStyle name="Normal 122 15 3" xfId="2840"/>
    <cellStyle name="Normal 122 15 4" xfId="2841"/>
    <cellStyle name="Normal 122 16" xfId="2842"/>
    <cellStyle name="Normal 122 16 2" xfId="2843"/>
    <cellStyle name="Normal 122 16 3" xfId="2844"/>
    <cellStyle name="Normal 122 16 4" xfId="2845"/>
    <cellStyle name="Normal 122 17" xfId="2846"/>
    <cellStyle name="Normal 122 17 2" xfId="2847"/>
    <cellStyle name="Normal 122 17 3" xfId="2848"/>
    <cellStyle name="Normal 122 17 4" xfId="2849"/>
    <cellStyle name="Normal 122 18" xfId="2850"/>
    <cellStyle name="Normal 122 18 2" xfId="2851"/>
    <cellStyle name="Normal 122 18 3" xfId="2852"/>
    <cellStyle name="Normal 122 18 4" xfId="2853"/>
    <cellStyle name="Normal 122 19" xfId="2854"/>
    <cellStyle name="Normal 122 19 2" xfId="2855"/>
    <cellStyle name="Normal 122 19 3" xfId="2856"/>
    <cellStyle name="Normal 122 19 4" xfId="2857"/>
    <cellStyle name="Normal 122 2" xfId="2858"/>
    <cellStyle name="Normal 122 2 2" xfId="2859"/>
    <cellStyle name="Normal 122 2 3" xfId="2860"/>
    <cellStyle name="Normal 122 2 4" xfId="2861"/>
    <cellStyle name="Normal 122 20" xfId="2862"/>
    <cellStyle name="Normal 122 20 2" xfId="2863"/>
    <cellStyle name="Normal 122 20 3" xfId="2864"/>
    <cellStyle name="Normal 122 20 4" xfId="2865"/>
    <cellStyle name="Normal 122 21" xfId="2866"/>
    <cellStyle name="Normal 122 21 2" xfId="2867"/>
    <cellStyle name="Normal 122 21 3" xfId="2868"/>
    <cellStyle name="Normal 122 21 4" xfId="2869"/>
    <cellStyle name="Normal 122 21 5" xfId="2870"/>
    <cellStyle name="Normal 122 21 6" xfId="2871"/>
    <cellStyle name="Normal 122 22" xfId="2872"/>
    <cellStyle name="Normal 122 23" xfId="2873"/>
    <cellStyle name="Normal 122 3" xfId="2874"/>
    <cellStyle name="Normal 122 3 2" xfId="2875"/>
    <cellStyle name="Normal 122 3 2 2" xfId="2876"/>
    <cellStyle name="Normal 122 3 2 3" xfId="2877"/>
    <cellStyle name="Normal 122 3 2 4" xfId="2878"/>
    <cellStyle name="Normal 122 3 2 5" xfId="2879"/>
    <cellStyle name="Normal 122 3 2 6" xfId="2880"/>
    <cellStyle name="Normal 122 3 3" xfId="2881"/>
    <cellStyle name="Normal 122 3 4" xfId="2882"/>
    <cellStyle name="Normal 122 4" xfId="2883"/>
    <cellStyle name="Normal 122 4 2" xfId="2884"/>
    <cellStyle name="Normal 122 4 2 2" xfId="2885"/>
    <cellStyle name="Normal 122 4 2 3" xfId="2886"/>
    <cellStyle name="Normal 122 4 2 4" xfId="2887"/>
    <cellStyle name="Normal 122 4 2 5" xfId="2888"/>
    <cellStyle name="Normal 122 4 2 6" xfId="2889"/>
    <cellStyle name="Normal 122 4 3" xfId="2890"/>
    <cellStyle name="Normal 122 4 4" xfId="2891"/>
    <cellStyle name="Normal 122 5" xfId="2892"/>
    <cellStyle name="Normal 122 5 2" xfId="2893"/>
    <cellStyle name="Normal 122 5 2 2" xfId="2894"/>
    <cellStyle name="Normal 122 5 2 3" xfId="2895"/>
    <cellStyle name="Normal 122 5 2 4" xfId="2896"/>
    <cellStyle name="Normal 122 5 2 5" xfId="2897"/>
    <cellStyle name="Normal 122 5 2 6" xfId="2898"/>
    <cellStyle name="Normal 122 5 3" xfId="2899"/>
    <cellStyle name="Normal 122 5 4" xfId="2900"/>
    <cellStyle name="Normal 122 6" xfId="2901"/>
    <cellStyle name="Normal 122 6 2" xfId="2902"/>
    <cellStyle name="Normal 122 6 2 2" xfId="2903"/>
    <cellStyle name="Normal 122 6 2 3" xfId="2904"/>
    <cellStyle name="Normal 122 6 2 4" xfId="2905"/>
    <cellStyle name="Normal 122 6 2 5" xfId="2906"/>
    <cellStyle name="Normal 122 6 2 6" xfId="2907"/>
    <cellStyle name="Normal 122 6 3" xfId="2908"/>
    <cellStyle name="Normal 122 6 4" xfId="2909"/>
    <cellStyle name="Normal 122 7" xfId="2910"/>
    <cellStyle name="Normal 122 7 2" xfId="2911"/>
    <cellStyle name="Normal 122 7 3" xfId="2912"/>
    <cellStyle name="Normal 122 7 4" xfId="2913"/>
    <cellStyle name="Normal 122 8" xfId="2914"/>
    <cellStyle name="Normal 122 8 2" xfId="2915"/>
    <cellStyle name="Normal 122 8 3" xfId="2916"/>
    <cellStyle name="Normal 122 8 4" xfId="2917"/>
    <cellStyle name="Normal 122 9" xfId="2918"/>
    <cellStyle name="Normal 122 9 2" xfId="2919"/>
    <cellStyle name="Normal 122 9 3" xfId="2920"/>
    <cellStyle name="Normal 122 9 4" xfId="2921"/>
    <cellStyle name="Normal 123" xfId="2922"/>
    <cellStyle name="Normal 123 10" xfId="2923"/>
    <cellStyle name="Normal 123 10 2" xfId="2924"/>
    <cellStyle name="Normal 123 10 3" xfId="2925"/>
    <cellStyle name="Normal 123 10 4" xfId="2926"/>
    <cellStyle name="Normal 123 11" xfId="2927"/>
    <cellStyle name="Normal 123 11 2" xfId="2928"/>
    <cellStyle name="Normal 123 11 3" xfId="2929"/>
    <cellStyle name="Normal 123 11 4" xfId="2930"/>
    <cellStyle name="Normal 123 12" xfId="2931"/>
    <cellStyle name="Normal 123 12 2" xfId="2932"/>
    <cellStyle name="Normal 123 12 3" xfId="2933"/>
    <cellStyle name="Normal 123 12 4" xfId="2934"/>
    <cellStyle name="Normal 123 13" xfId="2935"/>
    <cellStyle name="Normal 123 13 2" xfId="2936"/>
    <cellStyle name="Normal 123 13 3" xfId="2937"/>
    <cellStyle name="Normal 123 13 4" xfId="2938"/>
    <cellStyle name="Normal 123 14" xfId="2939"/>
    <cellStyle name="Normal 123 14 2" xfId="2940"/>
    <cellStyle name="Normal 123 14 3" xfId="2941"/>
    <cellStyle name="Normal 123 14 4" xfId="2942"/>
    <cellStyle name="Normal 123 15" xfId="2943"/>
    <cellStyle name="Normal 123 15 2" xfId="2944"/>
    <cellStyle name="Normal 123 15 3" xfId="2945"/>
    <cellStyle name="Normal 123 15 4" xfId="2946"/>
    <cellStyle name="Normal 123 16" xfId="2947"/>
    <cellStyle name="Normal 123 16 2" xfId="2948"/>
    <cellStyle name="Normal 123 16 3" xfId="2949"/>
    <cellStyle name="Normal 123 16 4" xfId="2950"/>
    <cellStyle name="Normal 123 17" xfId="2951"/>
    <cellStyle name="Normal 123 17 2" xfId="2952"/>
    <cellStyle name="Normal 123 17 3" xfId="2953"/>
    <cellStyle name="Normal 123 17 4" xfId="2954"/>
    <cellStyle name="Normal 123 18" xfId="2955"/>
    <cellStyle name="Normal 123 18 2" xfId="2956"/>
    <cellStyle name="Normal 123 18 3" xfId="2957"/>
    <cellStyle name="Normal 123 18 4" xfId="2958"/>
    <cellStyle name="Normal 123 19" xfId="2959"/>
    <cellStyle name="Normal 123 19 2" xfId="2960"/>
    <cellStyle name="Normal 123 19 3" xfId="2961"/>
    <cellStyle name="Normal 123 19 4" xfId="2962"/>
    <cellStyle name="Normal 123 2" xfId="2963"/>
    <cellStyle name="Normal 123 2 2" xfId="2964"/>
    <cellStyle name="Normal 123 2 3" xfId="2965"/>
    <cellStyle name="Normal 123 2 4" xfId="2966"/>
    <cellStyle name="Normal 123 20" xfId="2967"/>
    <cellStyle name="Normal 123 20 2" xfId="2968"/>
    <cellStyle name="Normal 123 20 3" xfId="2969"/>
    <cellStyle name="Normal 123 20 4" xfId="2970"/>
    <cellStyle name="Normal 123 21" xfId="2971"/>
    <cellStyle name="Normal 123 21 2" xfId="2972"/>
    <cellStyle name="Normal 123 21 3" xfId="2973"/>
    <cellStyle name="Normal 123 21 4" xfId="2974"/>
    <cellStyle name="Normal 123 21 5" xfId="2975"/>
    <cellStyle name="Normal 123 21 6" xfId="2976"/>
    <cellStyle name="Normal 123 22" xfId="2977"/>
    <cellStyle name="Normal 123 23" xfId="2978"/>
    <cellStyle name="Normal 123 3" xfId="2979"/>
    <cellStyle name="Normal 123 3 2" xfId="2980"/>
    <cellStyle name="Normal 123 3 2 2" xfId="2981"/>
    <cellStyle name="Normal 123 3 2 3" xfId="2982"/>
    <cellStyle name="Normal 123 3 2 4" xfId="2983"/>
    <cellStyle name="Normal 123 3 2 5" xfId="2984"/>
    <cellStyle name="Normal 123 3 2 6" xfId="2985"/>
    <cellStyle name="Normal 123 3 3" xfId="2986"/>
    <cellStyle name="Normal 123 3 4" xfId="2987"/>
    <cellStyle name="Normal 123 4" xfId="2988"/>
    <cellStyle name="Normal 123 4 2" xfId="2989"/>
    <cellStyle name="Normal 123 4 2 2" xfId="2990"/>
    <cellStyle name="Normal 123 4 2 3" xfId="2991"/>
    <cellStyle name="Normal 123 4 2 4" xfId="2992"/>
    <cellStyle name="Normal 123 4 2 5" xfId="2993"/>
    <cellStyle name="Normal 123 4 2 6" xfId="2994"/>
    <cellStyle name="Normal 123 4 3" xfId="2995"/>
    <cellStyle name="Normal 123 4 4" xfId="2996"/>
    <cellStyle name="Normal 123 5" xfId="2997"/>
    <cellStyle name="Normal 123 5 2" xfId="2998"/>
    <cellStyle name="Normal 123 5 2 2" xfId="2999"/>
    <cellStyle name="Normal 123 5 2 3" xfId="3000"/>
    <cellStyle name="Normal 123 5 2 4" xfId="3001"/>
    <cellStyle name="Normal 123 5 2 5" xfId="3002"/>
    <cellStyle name="Normal 123 5 2 6" xfId="3003"/>
    <cellStyle name="Normal 123 5 3" xfId="3004"/>
    <cellStyle name="Normal 123 5 4" xfId="3005"/>
    <cellStyle name="Normal 123 6" xfId="3006"/>
    <cellStyle name="Normal 123 6 2" xfId="3007"/>
    <cellStyle name="Normal 123 6 2 2" xfId="3008"/>
    <cellStyle name="Normal 123 6 2 3" xfId="3009"/>
    <cellStyle name="Normal 123 6 2 4" xfId="3010"/>
    <cellStyle name="Normal 123 6 2 5" xfId="3011"/>
    <cellStyle name="Normal 123 6 2 6" xfId="3012"/>
    <cellStyle name="Normal 123 6 3" xfId="3013"/>
    <cellStyle name="Normal 123 6 4" xfId="3014"/>
    <cellStyle name="Normal 123 7" xfId="3015"/>
    <cellStyle name="Normal 123 7 2" xfId="3016"/>
    <cellStyle name="Normal 123 7 3" xfId="3017"/>
    <cellStyle name="Normal 123 7 4" xfId="3018"/>
    <cellStyle name="Normal 123 8" xfId="3019"/>
    <cellStyle name="Normal 123 8 2" xfId="3020"/>
    <cellStyle name="Normal 123 8 3" xfId="3021"/>
    <cellStyle name="Normal 123 8 4" xfId="3022"/>
    <cellStyle name="Normal 123 9" xfId="3023"/>
    <cellStyle name="Normal 123 9 2" xfId="3024"/>
    <cellStyle name="Normal 123 9 3" xfId="3025"/>
    <cellStyle name="Normal 123 9 4" xfId="3026"/>
    <cellStyle name="Normal 124" xfId="3027"/>
    <cellStyle name="Normal 124 2" xfId="3028"/>
    <cellStyle name="Normal 124 3" xfId="3029"/>
    <cellStyle name="Normal 124 4" xfId="3030"/>
    <cellStyle name="Normal 125" xfId="3031"/>
    <cellStyle name="Normal 125 2" xfId="3032"/>
    <cellStyle name="Normal 125 3" xfId="3033"/>
    <cellStyle name="Normal 125 4" xfId="3034"/>
    <cellStyle name="Normal 126" xfId="3035"/>
    <cellStyle name="Normal 126 2" xfId="3036"/>
    <cellStyle name="Normal 126 3" xfId="3037"/>
    <cellStyle name="Normal 126 4" xfId="3038"/>
    <cellStyle name="Normal 127" xfId="3039"/>
    <cellStyle name="Normal 127 2" xfId="3040"/>
    <cellStyle name="Normal 127 3" xfId="3041"/>
    <cellStyle name="Normal 127 4" xfId="3042"/>
    <cellStyle name="Normal 128" xfId="3043"/>
    <cellStyle name="Normal 128 2" xfId="3044"/>
    <cellStyle name="Normal 128 3" xfId="3045"/>
    <cellStyle name="Normal 128 4" xfId="3046"/>
    <cellStyle name="Normal 129" xfId="3047"/>
    <cellStyle name="Normal 129 2" xfId="3048"/>
    <cellStyle name="Normal 129 3" xfId="3049"/>
    <cellStyle name="Normal 129 4" xfId="3050"/>
    <cellStyle name="Normal 13" xfId="3051"/>
    <cellStyle name="Normal 13 10" xfId="3052"/>
    <cellStyle name="Normal 13 10 10" xfId="3053"/>
    <cellStyle name="Normal 13 10 11" xfId="3054"/>
    <cellStyle name="Normal 13 10 2" xfId="3055"/>
    <cellStyle name="Normal 13 10 2 10" xfId="3056"/>
    <cellStyle name="Normal 13 10 2 2" xfId="3057"/>
    <cellStyle name="Normal 13 10 2 3" xfId="3058"/>
    <cellStyle name="Normal 13 10 2 3 2" xfId="3059"/>
    <cellStyle name="Normal 13 10 2 3 3" xfId="3060"/>
    <cellStyle name="Normal 13 10 2 3 4" xfId="3061"/>
    <cellStyle name="Normal 13 10 2 3 5" xfId="3062"/>
    <cellStyle name="Normal 13 10 2 3 6" xfId="3063"/>
    <cellStyle name="Normal 13 10 2 4" xfId="3064"/>
    <cellStyle name="Normal 13 10 2 5" xfId="3065"/>
    <cellStyle name="Normal 13 10 2 6" xfId="3066"/>
    <cellStyle name="Normal 13 10 2 7" xfId="3067"/>
    <cellStyle name="Normal 13 10 2 8" xfId="3068"/>
    <cellStyle name="Normal 13 10 2 9" xfId="3069"/>
    <cellStyle name="Normal 13 10 3" xfId="3070"/>
    <cellStyle name="Normal 13 10 4" xfId="3071"/>
    <cellStyle name="Normal 13 10 4 2" xfId="3072"/>
    <cellStyle name="Normal 13 10 4 3" xfId="3073"/>
    <cellStyle name="Normal 13 10 4 4" xfId="3074"/>
    <cellStyle name="Normal 13 10 4 5" xfId="3075"/>
    <cellStyle name="Normal 13 10 4 6" xfId="3076"/>
    <cellStyle name="Normal 13 10 5" xfId="3077"/>
    <cellStyle name="Normal 13 10 6" xfId="3078"/>
    <cellStyle name="Normal 13 10 7" xfId="3079"/>
    <cellStyle name="Normal 13 10 8" xfId="3080"/>
    <cellStyle name="Normal 13 10 9" xfId="3081"/>
    <cellStyle name="Normal 13 11" xfId="3082"/>
    <cellStyle name="Normal 13 12" xfId="3083"/>
    <cellStyle name="Normal 13 13" xfId="3084"/>
    <cellStyle name="Normal 13 2" xfId="3085"/>
    <cellStyle name="Normal 13 2 10" xfId="3086"/>
    <cellStyle name="Normal 13 2 11" xfId="3087"/>
    <cellStyle name="Normal 13 2 2" xfId="3088"/>
    <cellStyle name="Normal 13 2 2 10" xfId="3089"/>
    <cellStyle name="Normal 13 2 2 2" xfId="3090"/>
    <cellStyle name="Normal 13 2 2 3" xfId="3091"/>
    <cellStyle name="Normal 13 2 2 3 2" xfId="3092"/>
    <cellStyle name="Normal 13 2 2 3 3" xfId="3093"/>
    <cellStyle name="Normal 13 2 2 3 4" xfId="3094"/>
    <cellStyle name="Normal 13 2 2 3 5" xfId="3095"/>
    <cellStyle name="Normal 13 2 2 3 6" xfId="3096"/>
    <cellStyle name="Normal 13 2 2 4" xfId="3097"/>
    <cellStyle name="Normal 13 2 2 5" xfId="3098"/>
    <cellStyle name="Normal 13 2 2 6" xfId="3099"/>
    <cellStyle name="Normal 13 2 2 7" xfId="3100"/>
    <cellStyle name="Normal 13 2 2 8" xfId="3101"/>
    <cellStyle name="Normal 13 2 2 9" xfId="3102"/>
    <cellStyle name="Normal 13 2 3" xfId="3103"/>
    <cellStyle name="Normal 13 2 4" xfId="3104"/>
    <cellStyle name="Normal 13 2 4 2" xfId="3105"/>
    <cellStyle name="Normal 13 2 4 3" xfId="3106"/>
    <cellStyle name="Normal 13 2 4 4" xfId="3107"/>
    <cellStyle name="Normal 13 2 4 5" xfId="3108"/>
    <cellStyle name="Normal 13 2 4 6" xfId="3109"/>
    <cellStyle name="Normal 13 2 5" xfId="3110"/>
    <cellStyle name="Normal 13 2 6" xfId="3111"/>
    <cellStyle name="Normal 13 2 7" xfId="3112"/>
    <cellStyle name="Normal 13 2 8" xfId="3113"/>
    <cellStyle name="Normal 13 2 9" xfId="3114"/>
    <cellStyle name="Normal 13 3" xfId="3115"/>
    <cellStyle name="Normal 13 3 10" xfId="3116"/>
    <cellStyle name="Normal 13 3 11" xfId="3117"/>
    <cellStyle name="Normal 13 3 2" xfId="3118"/>
    <cellStyle name="Normal 13 3 2 10" xfId="3119"/>
    <cellStyle name="Normal 13 3 2 2" xfId="3120"/>
    <cellStyle name="Normal 13 3 2 3" xfId="3121"/>
    <cellStyle name="Normal 13 3 2 3 2" xfId="3122"/>
    <cellStyle name="Normal 13 3 2 3 3" xfId="3123"/>
    <cellStyle name="Normal 13 3 2 3 4" xfId="3124"/>
    <cellStyle name="Normal 13 3 2 3 5" xfId="3125"/>
    <cellStyle name="Normal 13 3 2 3 6" xfId="3126"/>
    <cellStyle name="Normal 13 3 2 4" xfId="3127"/>
    <cellStyle name="Normal 13 3 2 5" xfId="3128"/>
    <cellStyle name="Normal 13 3 2 6" xfId="3129"/>
    <cellStyle name="Normal 13 3 2 7" xfId="3130"/>
    <cellStyle name="Normal 13 3 2 8" xfId="3131"/>
    <cellStyle name="Normal 13 3 2 9" xfId="3132"/>
    <cellStyle name="Normal 13 3 3" xfId="3133"/>
    <cellStyle name="Normal 13 3 4" xfId="3134"/>
    <cellStyle name="Normal 13 3 4 2" xfId="3135"/>
    <cellStyle name="Normal 13 3 4 3" xfId="3136"/>
    <cellStyle name="Normal 13 3 4 4" xfId="3137"/>
    <cellStyle name="Normal 13 3 4 5" xfId="3138"/>
    <cellStyle name="Normal 13 3 4 6" xfId="3139"/>
    <cellStyle name="Normal 13 3 5" xfId="3140"/>
    <cellStyle name="Normal 13 3 6" xfId="3141"/>
    <cellStyle name="Normal 13 3 7" xfId="3142"/>
    <cellStyle name="Normal 13 3 8" xfId="3143"/>
    <cellStyle name="Normal 13 3 9" xfId="3144"/>
    <cellStyle name="Normal 13 4" xfId="3145"/>
    <cellStyle name="Normal 13 4 10" xfId="3146"/>
    <cellStyle name="Normal 13 4 11" xfId="3147"/>
    <cellStyle name="Normal 13 4 2" xfId="3148"/>
    <cellStyle name="Normal 13 4 2 10" xfId="3149"/>
    <cellStyle name="Normal 13 4 2 2" xfId="3150"/>
    <cellStyle name="Normal 13 4 2 3" xfId="3151"/>
    <cellStyle name="Normal 13 4 2 3 2" xfId="3152"/>
    <cellStyle name="Normal 13 4 2 3 3" xfId="3153"/>
    <cellStyle name="Normal 13 4 2 3 4" xfId="3154"/>
    <cellStyle name="Normal 13 4 2 3 5" xfId="3155"/>
    <cellStyle name="Normal 13 4 2 3 6" xfId="3156"/>
    <cellStyle name="Normal 13 4 2 4" xfId="3157"/>
    <cellStyle name="Normal 13 4 2 5" xfId="3158"/>
    <cellStyle name="Normal 13 4 2 6" xfId="3159"/>
    <cellStyle name="Normal 13 4 2 7" xfId="3160"/>
    <cellStyle name="Normal 13 4 2 8" xfId="3161"/>
    <cellStyle name="Normal 13 4 2 9" xfId="3162"/>
    <cellStyle name="Normal 13 4 3" xfId="3163"/>
    <cellStyle name="Normal 13 4 4" xfId="3164"/>
    <cellStyle name="Normal 13 4 4 2" xfId="3165"/>
    <cellStyle name="Normal 13 4 4 3" xfId="3166"/>
    <cellStyle name="Normal 13 4 4 4" xfId="3167"/>
    <cellStyle name="Normal 13 4 4 5" xfId="3168"/>
    <cellStyle name="Normal 13 4 4 6" xfId="3169"/>
    <cellStyle name="Normal 13 4 5" xfId="3170"/>
    <cellStyle name="Normal 13 4 6" xfId="3171"/>
    <cellStyle name="Normal 13 4 7" xfId="3172"/>
    <cellStyle name="Normal 13 4 8" xfId="3173"/>
    <cellStyle name="Normal 13 4 9" xfId="3174"/>
    <cellStyle name="Normal 13 5" xfId="3175"/>
    <cellStyle name="Normal 13 5 10" xfId="3176"/>
    <cellStyle name="Normal 13 5 11" xfId="3177"/>
    <cellStyle name="Normal 13 5 2" xfId="3178"/>
    <cellStyle name="Normal 13 5 2 10" xfId="3179"/>
    <cellStyle name="Normal 13 5 2 2" xfId="3180"/>
    <cellStyle name="Normal 13 5 2 3" xfId="3181"/>
    <cellStyle name="Normal 13 5 2 3 2" xfId="3182"/>
    <cellStyle name="Normal 13 5 2 3 3" xfId="3183"/>
    <cellStyle name="Normal 13 5 2 3 4" xfId="3184"/>
    <cellStyle name="Normal 13 5 2 3 5" xfId="3185"/>
    <cellStyle name="Normal 13 5 2 3 6" xfId="3186"/>
    <cellStyle name="Normal 13 5 2 4" xfId="3187"/>
    <cellStyle name="Normal 13 5 2 5" xfId="3188"/>
    <cellStyle name="Normal 13 5 2 6" xfId="3189"/>
    <cellStyle name="Normal 13 5 2 7" xfId="3190"/>
    <cellStyle name="Normal 13 5 2 8" xfId="3191"/>
    <cellStyle name="Normal 13 5 2 9" xfId="3192"/>
    <cellStyle name="Normal 13 5 3" xfId="3193"/>
    <cellStyle name="Normal 13 5 4" xfId="3194"/>
    <cellStyle name="Normal 13 5 4 2" xfId="3195"/>
    <cellStyle name="Normal 13 5 4 3" xfId="3196"/>
    <cellStyle name="Normal 13 5 4 4" xfId="3197"/>
    <cellStyle name="Normal 13 5 4 5" xfId="3198"/>
    <cellStyle name="Normal 13 5 4 6" xfId="3199"/>
    <cellStyle name="Normal 13 5 5" xfId="3200"/>
    <cellStyle name="Normal 13 5 6" xfId="3201"/>
    <cellStyle name="Normal 13 5 7" xfId="3202"/>
    <cellStyle name="Normal 13 5 8" xfId="3203"/>
    <cellStyle name="Normal 13 5 9" xfId="3204"/>
    <cellStyle name="Normal 13 6" xfId="3205"/>
    <cellStyle name="Normal 13 6 10" xfId="3206"/>
    <cellStyle name="Normal 13 6 11" xfId="3207"/>
    <cellStyle name="Normal 13 6 2" xfId="3208"/>
    <cellStyle name="Normal 13 6 2 10" xfId="3209"/>
    <cellStyle name="Normal 13 6 2 2" xfId="3210"/>
    <cellStyle name="Normal 13 6 2 3" xfId="3211"/>
    <cellStyle name="Normal 13 6 2 3 2" xfId="3212"/>
    <cellStyle name="Normal 13 6 2 3 3" xfId="3213"/>
    <cellStyle name="Normal 13 6 2 3 4" xfId="3214"/>
    <cellStyle name="Normal 13 6 2 3 5" xfId="3215"/>
    <cellStyle name="Normal 13 6 2 3 6" xfId="3216"/>
    <cellStyle name="Normal 13 6 2 4" xfId="3217"/>
    <cellStyle name="Normal 13 6 2 5" xfId="3218"/>
    <cellStyle name="Normal 13 6 2 6" xfId="3219"/>
    <cellStyle name="Normal 13 6 2 7" xfId="3220"/>
    <cellStyle name="Normal 13 6 2 8" xfId="3221"/>
    <cellStyle name="Normal 13 6 2 9" xfId="3222"/>
    <cellStyle name="Normal 13 6 3" xfId="3223"/>
    <cellStyle name="Normal 13 6 4" xfId="3224"/>
    <cellStyle name="Normal 13 6 4 2" xfId="3225"/>
    <cellStyle name="Normal 13 6 4 3" xfId="3226"/>
    <cellStyle name="Normal 13 6 4 4" xfId="3227"/>
    <cellStyle name="Normal 13 6 4 5" xfId="3228"/>
    <cellStyle name="Normal 13 6 4 6" xfId="3229"/>
    <cellStyle name="Normal 13 6 5" xfId="3230"/>
    <cellStyle name="Normal 13 6 6" xfId="3231"/>
    <cellStyle name="Normal 13 6 7" xfId="3232"/>
    <cellStyle name="Normal 13 6 8" xfId="3233"/>
    <cellStyle name="Normal 13 6 9" xfId="3234"/>
    <cellStyle name="Normal 13 7" xfId="3235"/>
    <cellStyle name="Normal 13 7 10" xfId="3236"/>
    <cellStyle name="Normal 13 7 11" xfId="3237"/>
    <cellStyle name="Normal 13 7 2" xfId="3238"/>
    <cellStyle name="Normal 13 7 2 10" xfId="3239"/>
    <cellStyle name="Normal 13 7 2 2" xfId="3240"/>
    <cellStyle name="Normal 13 7 2 3" xfId="3241"/>
    <cellStyle name="Normal 13 7 2 3 2" xfId="3242"/>
    <cellStyle name="Normal 13 7 2 3 3" xfId="3243"/>
    <cellStyle name="Normal 13 7 2 3 4" xfId="3244"/>
    <cellStyle name="Normal 13 7 2 3 5" xfId="3245"/>
    <cellStyle name="Normal 13 7 2 3 6" xfId="3246"/>
    <cellStyle name="Normal 13 7 2 4" xfId="3247"/>
    <cellStyle name="Normal 13 7 2 5" xfId="3248"/>
    <cellStyle name="Normal 13 7 2 6" xfId="3249"/>
    <cellStyle name="Normal 13 7 2 7" xfId="3250"/>
    <cellStyle name="Normal 13 7 2 8" xfId="3251"/>
    <cellStyle name="Normal 13 7 2 9" xfId="3252"/>
    <cellStyle name="Normal 13 7 3" xfId="3253"/>
    <cellStyle name="Normal 13 7 4" xfId="3254"/>
    <cellStyle name="Normal 13 7 4 2" xfId="3255"/>
    <cellStyle name="Normal 13 7 4 3" xfId="3256"/>
    <cellStyle name="Normal 13 7 4 4" xfId="3257"/>
    <cellStyle name="Normal 13 7 4 5" xfId="3258"/>
    <cellStyle name="Normal 13 7 4 6" xfId="3259"/>
    <cellStyle name="Normal 13 7 5" xfId="3260"/>
    <cellStyle name="Normal 13 7 6" xfId="3261"/>
    <cellStyle name="Normal 13 7 7" xfId="3262"/>
    <cellStyle name="Normal 13 7 8" xfId="3263"/>
    <cellStyle name="Normal 13 7 9" xfId="3264"/>
    <cellStyle name="Normal 13 8" xfId="3265"/>
    <cellStyle name="Normal 13 8 10" xfId="3266"/>
    <cellStyle name="Normal 13 8 11" xfId="3267"/>
    <cellStyle name="Normal 13 8 2" xfId="3268"/>
    <cellStyle name="Normal 13 8 2 10" xfId="3269"/>
    <cellStyle name="Normal 13 8 2 2" xfId="3270"/>
    <cellStyle name="Normal 13 8 2 3" xfId="3271"/>
    <cellStyle name="Normal 13 8 2 3 2" xfId="3272"/>
    <cellStyle name="Normal 13 8 2 3 3" xfId="3273"/>
    <cellStyle name="Normal 13 8 2 3 4" xfId="3274"/>
    <cellStyle name="Normal 13 8 2 3 5" xfId="3275"/>
    <cellStyle name="Normal 13 8 2 3 6" xfId="3276"/>
    <cellStyle name="Normal 13 8 2 4" xfId="3277"/>
    <cellStyle name="Normal 13 8 2 5" xfId="3278"/>
    <cellStyle name="Normal 13 8 2 6" xfId="3279"/>
    <cellStyle name="Normal 13 8 2 7" xfId="3280"/>
    <cellStyle name="Normal 13 8 2 8" xfId="3281"/>
    <cellStyle name="Normal 13 8 2 9" xfId="3282"/>
    <cellStyle name="Normal 13 8 3" xfId="3283"/>
    <cellStyle name="Normal 13 8 4" xfId="3284"/>
    <cellStyle name="Normal 13 8 4 2" xfId="3285"/>
    <cellStyle name="Normal 13 8 4 3" xfId="3286"/>
    <cellStyle name="Normal 13 8 4 4" xfId="3287"/>
    <cellStyle name="Normal 13 8 4 5" xfId="3288"/>
    <cellStyle name="Normal 13 8 4 6" xfId="3289"/>
    <cellStyle name="Normal 13 8 5" xfId="3290"/>
    <cellStyle name="Normal 13 8 6" xfId="3291"/>
    <cellStyle name="Normal 13 8 7" xfId="3292"/>
    <cellStyle name="Normal 13 8 8" xfId="3293"/>
    <cellStyle name="Normal 13 8 9" xfId="3294"/>
    <cellStyle name="Normal 13 9" xfId="3295"/>
    <cellStyle name="Normal 13 9 10" xfId="3296"/>
    <cellStyle name="Normal 13 9 11" xfId="3297"/>
    <cellStyle name="Normal 13 9 2" xfId="3298"/>
    <cellStyle name="Normal 13 9 2 10" xfId="3299"/>
    <cellStyle name="Normal 13 9 2 2" xfId="3300"/>
    <cellStyle name="Normal 13 9 2 3" xfId="3301"/>
    <cellStyle name="Normal 13 9 2 3 2" xfId="3302"/>
    <cellStyle name="Normal 13 9 2 3 3" xfId="3303"/>
    <cellStyle name="Normal 13 9 2 3 4" xfId="3304"/>
    <cellStyle name="Normal 13 9 2 3 5" xfId="3305"/>
    <cellStyle name="Normal 13 9 2 3 6" xfId="3306"/>
    <cellStyle name="Normal 13 9 2 4" xfId="3307"/>
    <cellStyle name="Normal 13 9 2 5" xfId="3308"/>
    <cellStyle name="Normal 13 9 2 6" xfId="3309"/>
    <cellStyle name="Normal 13 9 2 7" xfId="3310"/>
    <cellStyle name="Normal 13 9 2 8" xfId="3311"/>
    <cellStyle name="Normal 13 9 2 9" xfId="3312"/>
    <cellStyle name="Normal 13 9 3" xfId="3313"/>
    <cellStyle name="Normal 13 9 4" xfId="3314"/>
    <cellStyle name="Normal 13 9 4 2" xfId="3315"/>
    <cellStyle name="Normal 13 9 4 3" xfId="3316"/>
    <cellStyle name="Normal 13 9 4 4" xfId="3317"/>
    <cellStyle name="Normal 13 9 4 5" xfId="3318"/>
    <cellStyle name="Normal 13 9 4 6" xfId="3319"/>
    <cellStyle name="Normal 13 9 5" xfId="3320"/>
    <cellStyle name="Normal 13 9 6" xfId="3321"/>
    <cellStyle name="Normal 13 9 7" xfId="3322"/>
    <cellStyle name="Normal 13 9 8" xfId="3323"/>
    <cellStyle name="Normal 13 9 9" xfId="3324"/>
    <cellStyle name="Normal 130" xfId="3325"/>
    <cellStyle name="Normal 130 2" xfId="3326"/>
    <cellStyle name="Normal 130 2 2" xfId="3327"/>
    <cellStyle name="Normal 130 2 2 2" xfId="3328"/>
    <cellStyle name="Normal 130 2 2 3" xfId="3329"/>
    <cellStyle name="Normal 130 2 2 4" xfId="3330"/>
    <cellStyle name="Normal 130 2 2 5" xfId="3331"/>
    <cellStyle name="Normal 130 2 2 6" xfId="3332"/>
    <cellStyle name="Normal 130 2 3" xfId="3333"/>
    <cellStyle name="Normal 130 2 4" xfId="3334"/>
    <cellStyle name="Normal 130 3" xfId="3335"/>
    <cellStyle name="Normal 130 3 2" xfId="3336"/>
    <cellStyle name="Normal 130 3 2 2" xfId="3337"/>
    <cellStyle name="Normal 130 3 2 3" xfId="3338"/>
    <cellStyle name="Normal 130 3 2 4" xfId="3339"/>
    <cellStyle name="Normal 130 3 2 5" xfId="3340"/>
    <cellStyle name="Normal 130 3 2 6" xfId="3341"/>
    <cellStyle name="Normal 130 3 3" xfId="3342"/>
    <cellStyle name="Normal 130 3 4" xfId="3343"/>
    <cellStyle name="Normal 130 4" xfId="3344"/>
    <cellStyle name="Normal 130 4 2" xfId="3345"/>
    <cellStyle name="Normal 130 4 2 2" xfId="3346"/>
    <cellStyle name="Normal 130 4 2 3" xfId="3347"/>
    <cellStyle name="Normal 130 4 2 4" xfId="3348"/>
    <cellStyle name="Normal 130 4 2 5" xfId="3349"/>
    <cellStyle name="Normal 130 4 2 6" xfId="3350"/>
    <cellStyle name="Normal 130 4 3" xfId="3351"/>
    <cellStyle name="Normal 130 4 4" xfId="3352"/>
    <cellStyle name="Normal 130 5" xfId="3353"/>
    <cellStyle name="Normal 130 5 2" xfId="3354"/>
    <cellStyle name="Normal 130 5 2 2" xfId="3355"/>
    <cellStyle name="Normal 130 5 2 3" xfId="3356"/>
    <cellStyle name="Normal 130 5 2 4" xfId="3357"/>
    <cellStyle name="Normal 130 5 2 5" xfId="3358"/>
    <cellStyle name="Normal 130 5 2 6" xfId="3359"/>
    <cellStyle name="Normal 130 5 3" xfId="3360"/>
    <cellStyle name="Normal 130 5 4" xfId="3361"/>
    <cellStyle name="Normal 131" xfId="3362"/>
    <cellStyle name="Normal 131 2" xfId="3363"/>
    <cellStyle name="Normal 131 2 2" xfId="3364"/>
    <cellStyle name="Normal 131 2 2 2" xfId="3365"/>
    <cellStyle name="Normal 131 2 2 3" xfId="3366"/>
    <cellStyle name="Normal 131 2 2 4" xfId="3367"/>
    <cellStyle name="Normal 131 2 2 5" xfId="3368"/>
    <cellStyle name="Normal 131 2 2 6" xfId="3369"/>
    <cellStyle name="Normal 131 2 3" xfId="3370"/>
    <cellStyle name="Normal 131 2 4" xfId="3371"/>
    <cellStyle name="Normal 131 3" xfId="3372"/>
    <cellStyle name="Normal 131 3 2" xfId="3373"/>
    <cellStyle name="Normal 131 3 2 2" xfId="3374"/>
    <cellStyle name="Normal 131 3 2 3" xfId="3375"/>
    <cellStyle name="Normal 131 3 2 4" xfId="3376"/>
    <cellStyle name="Normal 131 3 2 5" xfId="3377"/>
    <cellStyle name="Normal 131 3 2 6" xfId="3378"/>
    <cellStyle name="Normal 131 3 3" xfId="3379"/>
    <cellStyle name="Normal 131 3 4" xfId="3380"/>
    <cellStyle name="Normal 131 4" xfId="3381"/>
    <cellStyle name="Normal 131 4 2" xfId="3382"/>
    <cellStyle name="Normal 131 4 2 2" xfId="3383"/>
    <cellStyle name="Normal 131 4 2 3" xfId="3384"/>
    <cellStyle name="Normal 131 4 2 4" xfId="3385"/>
    <cellStyle name="Normal 131 4 2 5" xfId="3386"/>
    <cellStyle name="Normal 131 4 2 6" xfId="3387"/>
    <cellStyle name="Normal 131 4 3" xfId="3388"/>
    <cellStyle name="Normal 131 4 4" xfId="3389"/>
    <cellStyle name="Normal 131 5" xfId="3390"/>
    <cellStyle name="Normal 131 5 2" xfId="3391"/>
    <cellStyle name="Normal 131 5 2 2" xfId="3392"/>
    <cellStyle name="Normal 131 5 2 3" xfId="3393"/>
    <cellStyle name="Normal 131 5 2 4" xfId="3394"/>
    <cellStyle name="Normal 131 5 2 5" xfId="3395"/>
    <cellStyle name="Normal 131 5 2 6" xfId="3396"/>
    <cellStyle name="Normal 131 5 3" xfId="3397"/>
    <cellStyle name="Normal 131 5 4" xfId="3398"/>
    <cellStyle name="Normal 132" xfId="3399"/>
    <cellStyle name="Normal 132 2" xfId="3400"/>
    <cellStyle name="Normal 132 2 2" xfId="3401"/>
    <cellStyle name="Normal 132 2 2 2" xfId="3402"/>
    <cellStyle name="Normal 132 2 2 3" xfId="3403"/>
    <cellStyle name="Normal 132 2 2 4" xfId="3404"/>
    <cellStyle name="Normal 132 2 2 5" xfId="3405"/>
    <cellStyle name="Normal 132 2 2 6" xfId="3406"/>
    <cellStyle name="Normal 132 2 3" xfId="3407"/>
    <cellStyle name="Normal 132 2 4" xfId="3408"/>
    <cellStyle name="Normal 132 3" xfId="3409"/>
    <cellStyle name="Normal 132 3 2" xfId="3410"/>
    <cellStyle name="Normal 132 3 2 2" xfId="3411"/>
    <cellStyle name="Normal 132 3 2 3" xfId="3412"/>
    <cellStyle name="Normal 132 3 2 4" xfId="3413"/>
    <cellStyle name="Normal 132 3 2 5" xfId="3414"/>
    <cellStyle name="Normal 132 3 2 6" xfId="3415"/>
    <cellStyle name="Normal 132 3 3" xfId="3416"/>
    <cellStyle name="Normal 132 3 4" xfId="3417"/>
    <cellStyle name="Normal 132 4" xfId="3418"/>
    <cellStyle name="Normal 132 4 2" xfId="3419"/>
    <cellStyle name="Normal 132 4 2 2" xfId="3420"/>
    <cellStyle name="Normal 132 4 2 3" xfId="3421"/>
    <cellStyle name="Normal 132 4 2 4" xfId="3422"/>
    <cellStyle name="Normal 132 4 2 5" xfId="3423"/>
    <cellStyle name="Normal 132 4 2 6" xfId="3424"/>
    <cellStyle name="Normal 132 4 3" xfId="3425"/>
    <cellStyle name="Normal 132 4 4" xfId="3426"/>
    <cellStyle name="Normal 132 5" xfId="3427"/>
    <cellStyle name="Normal 132 5 2" xfId="3428"/>
    <cellStyle name="Normal 132 5 2 2" xfId="3429"/>
    <cellStyle name="Normal 132 5 2 3" xfId="3430"/>
    <cellStyle name="Normal 132 5 2 4" xfId="3431"/>
    <cellStyle name="Normal 132 5 2 5" xfId="3432"/>
    <cellStyle name="Normal 132 5 2 6" xfId="3433"/>
    <cellStyle name="Normal 132 5 3" xfId="3434"/>
    <cellStyle name="Normal 132 5 4" xfId="3435"/>
    <cellStyle name="Normal 133" xfId="3436"/>
    <cellStyle name="Normal 133 2" xfId="3437"/>
    <cellStyle name="Normal 133 2 2" xfId="3438"/>
    <cellStyle name="Normal 133 2 2 2" xfId="3439"/>
    <cellStyle name="Normal 133 2 2 3" xfId="3440"/>
    <cellStyle name="Normal 133 2 2 4" xfId="3441"/>
    <cellStyle name="Normal 133 2 2 5" xfId="3442"/>
    <cellStyle name="Normal 133 2 2 6" xfId="3443"/>
    <cellStyle name="Normal 133 2 3" xfId="3444"/>
    <cellStyle name="Normal 133 2 4" xfId="3445"/>
    <cellStyle name="Normal 133 3" xfId="3446"/>
    <cellStyle name="Normal 133 3 2" xfId="3447"/>
    <cellStyle name="Normal 133 3 2 2" xfId="3448"/>
    <cellStyle name="Normal 133 3 2 3" xfId="3449"/>
    <cellStyle name="Normal 133 3 2 4" xfId="3450"/>
    <cellStyle name="Normal 133 3 2 5" xfId="3451"/>
    <cellStyle name="Normal 133 3 2 6" xfId="3452"/>
    <cellStyle name="Normal 133 3 3" xfId="3453"/>
    <cellStyle name="Normal 133 3 4" xfId="3454"/>
    <cellStyle name="Normal 133 4" xfId="3455"/>
    <cellStyle name="Normal 133 4 2" xfId="3456"/>
    <cellStyle name="Normal 133 4 2 2" xfId="3457"/>
    <cellStyle name="Normal 133 4 2 3" xfId="3458"/>
    <cellStyle name="Normal 133 4 2 4" xfId="3459"/>
    <cellStyle name="Normal 133 4 2 5" xfId="3460"/>
    <cellStyle name="Normal 133 4 2 6" xfId="3461"/>
    <cellStyle name="Normal 133 4 3" xfId="3462"/>
    <cellStyle name="Normal 133 4 4" xfId="3463"/>
    <cellStyle name="Normal 133 5" xfId="3464"/>
    <cellStyle name="Normal 133 5 2" xfId="3465"/>
    <cellStyle name="Normal 133 5 2 2" xfId="3466"/>
    <cellStyle name="Normal 133 5 2 3" xfId="3467"/>
    <cellStyle name="Normal 133 5 2 4" xfId="3468"/>
    <cellStyle name="Normal 133 5 2 5" xfId="3469"/>
    <cellStyle name="Normal 133 5 2 6" xfId="3470"/>
    <cellStyle name="Normal 133 5 3" xfId="3471"/>
    <cellStyle name="Normal 133 5 4" xfId="3472"/>
    <cellStyle name="Normal 134" xfId="3473"/>
    <cellStyle name="Normal 134 10" xfId="3474"/>
    <cellStyle name="Normal 134 11" xfId="3475"/>
    <cellStyle name="Normal 134 12" xfId="3476"/>
    <cellStyle name="Normal 134 13" xfId="3477"/>
    <cellStyle name="Normal 134 14" xfId="3478"/>
    <cellStyle name="Normal 134 2" xfId="3479"/>
    <cellStyle name="Normal 134 2 2" xfId="3480"/>
    <cellStyle name="Normal 134 2 2 2" xfId="3481"/>
    <cellStyle name="Normal 134 2 2 3" xfId="3482"/>
    <cellStyle name="Normal 134 2 2 4" xfId="3483"/>
    <cellStyle name="Normal 134 2 2 5" xfId="3484"/>
    <cellStyle name="Normal 134 2 2 6" xfId="3485"/>
    <cellStyle name="Normal 134 2 3" xfId="3486"/>
    <cellStyle name="Normal 134 2 4" xfId="3487"/>
    <cellStyle name="Normal 134 3" xfId="3488"/>
    <cellStyle name="Normal 134 3 2" xfId="3489"/>
    <cellStyle name="Normal 134 3 2 2" xfId="3490"/>
    <cellStyle name="Normal 134 3 2 3" xfId="3491"/>
    <cellStyle name="Normal 134 3 2 4" xfId="3492"/>
    <cellStyle name="Normal 134 3 2 5" xfId="3493"/>
    <cellStyle name="Normal 134 3 2 6" xfId="3494"/>
    <cellStyle name="Normal 134 3 3" xfId="3495"/>
    <cellStyle name="Normal 134 3 4" xfId="3496"/>
    <cellStyle name="Normal 134 4" xfId="3497"/>
    <cellStyle name="Normal 134 4 2" xfId="3498"/>
    <cellStyle name="Normal 134 4 2 2" xfId="3499"/>
    <cellStyle name="Normal 134 4 2 3" xfId="3500"/>
    <cellStyle name="Normal 134 4 2 4" xfId="3501"/>
    <cellStyle name="Normal 134 4 2 5" xfId="3502"/>
    <cellStyle name="Normal 134 4 2 6" xfId="3503"/>
    <cellStyle name="Normal 134 4 3" xfId="3504"/>
    <cellStyle name="Normal 134 4 4" xfId="3505"/>
    <cellStyle name="Normal 134 5" xfId="3506"/>
    <cellStyle name="Normal 134 5 2" xfId="3507"/>
    <cellStyle name="Normal 134 5 2 2" xfId="3508"/>
    <cellStyle name="Normal 134 5 2 3" xfId="3509"/>
    <cellStyle name="Normal 134 5 2 4" xfId="3510"/>
    <cellStyle name="Normal 134 5 2 5" xfId="3511"/>
    <cellStyle name="Normal 134 5 2 6" xfId="3512"/>
    <cellStyle name="Normal 134 5 3" xfId="3513"/>
    <cellStyle name="Normal 134 5 4" xfId="3514"/>
    <cellStyle name="Normal 134 6" xfId="3515"/>
    <cellStyle name="Normal 134 7" xfId="3516"/>
    <cellStyle name="Normal 134 7 2" xfId="3517"/>
    <cellStyle name="Normal 134 7 3" xfId="3518"/>
    <cellStyle name="Normal 134 7 4" xfId="3519"/>
    <cellStyle name="Normal 134 7 5" xfId="3520"/>
    <cellStyle name="Normal 134 7 6" xfId="3521"/>
    <cellStyle name="Normal 134 8" xfId="3522"/>
    <cellStyle name="Normal 134 9" xfId="3523"/>
    <cellStyle name="Normal 135" xfId="3524"/>
    <cellStyle name="Normal 135 10" xfId="3525"/>
    <cellStyle name="Normal 135 11" xfId="3526"/>
    <cellStyle name="Normal 135 12" xfId="3527"/>
    <cellStyle name="Normal 135 13" xfId="3528"/>
    <cellStyle name="Normal 135 14" xfId="3529"/>
    <cellStyle name="Normal 135 2" xfId="3530"/>
    <cellStyle name="Normal 135 2 10" xfId="3531"/>
    <cellStyle name="Normal 135 2 11" xfId="3532"/>
    <cellStyle name="Normal 135 2 2" xfId="3533"/>
    <cellStyle name="Normal 135 2 2 10" xfId="3534"/>
    <cellStyle name="Normal 135 2 2 2" xfId="3535"/>
    <cellStyle name="Normal 135 2 2 3" xfId="3536"/>
    <cellStyle name="Normal 135 2 2 3 2" xfId="3537"/>
    <cellStyle name="Normal 135 2 2 3 3" xfId="3538"/>
    <cellStyle name="Normal 135 2 2 3 4" xfId="3539"/>
    <cellStyle name="Normal 135 2 2 3 5" xfId="3540"/>
    <cellStyle name="Normal 135 2 2 3 6" xfId="3541"/>
    <cellStyle name="Normal 135 2 2 4" xfId="3542"/>
    <cellStyle name="Normal 135 2 2 5" xfId="3543"/>
    <cellStyle name="Normal 135 2 2 6" xfId="3544"/>
    <cellStyle name="Normal 135 2 2 7" xfId="3545"/>
    <cellStyle name="Normal 135 2 2 8" xfId="3546"/>
    <cellStyle name="Normal 135 2 2 9" xfId="3547"/>
    <cellStyle name="Normal 135 2 3" xfId="3548"/>
    <cellStyle name="Normal 135 2 4" xfId="3549"/>
    <cellStyle name="Normal 135 2 4 2" xfId="3550"/>
    <cellStyle name="Normal 135 2 4 3" xfId="3551"/>
    <cellStyle name="Normal 135 2 4 4" xfId="3552"/>
    <cellStyle name="Normal 135 2 4 5" xfId="3553"/>
    <cellStyle name="Normal 135 2 4 6" xfId="3554"/>
    <cellStyle name="Normal 135 2 5" xfId="3555"/>
    <cellStyle name="Normal 135 2 6" xfId="3556"/>
    <cellStyle name="Normal 135 2 7" xfId="3557"/>
    <cellStyle name="Normal 135 2 8" xfId="3558"/>
    <cellStyle name="Normal 135 2 9" xfId="3559"/>
    <cellStyle name="Normal 135 3" xfId="3560"/>
    <cellStyle name="Normal 135 3 10" xfId="3561"/>
    <cellStyle name="Normal 135 3 11" xfId="3562"/>
    <cellStyle name="Normal 135 3 2" xfId="3563"/>
    <cellStyle name="Normal 135 3 2 10" xfId="3564"/>
    <cellStyle name="Normal 135 3 2 2" xfId="3565"/>
    <cellStyle name="Normal 135 3 2 3" xfId="3566"/>
    <cellStyle name="Normal 135 3 2 3 2" xfId="3567"/>
    <cellStyle name="Normal 135 3 2 3 3" xfId="3568"/>
    <cellStyle name="Normal 135 3 2 3 4" xfId="3569"/>
    <cellStyle name="Normal 135 3 2 3 5" xfId="3570"/>
    <cellStyle name="Normal 135 3 2 3 6" xfId="3571"/>
    <cellStyle name="Normal 135 3 2 4" xfId="3572"/>
    <cellStyle name="Normal 135 3 2 5" xfId="3573"/>
    <cellStyle name="Normal 135 3 2 6" xfId="3574"/>
    <cellStyle name="Normal 135 3 2 7" xfId="3575"/>
    <cellStyle name="Normal 135 3 2 8" xfId="3576"/>
    <cellStyle name="Normal 135 3 2 9" xfId="3577"/>
    <cellStyle name="Normal 135 3 3" xfId="3578"/>
    <cellStyle name="Normal 135 3 4" xfId="3579"/>
    <cellStyle name="Normal 135 3 4 2" xfId="3580"/>
    <cellStyle name="Normal 135 3 4 3" xfId="3581"/>
    <cellStyle name="Normal 135 3 4 4" xfId="3582"/>
    <cellStyle name="Normal 135 3 4 5" xfId="3583"/>
    <cellStyle name="Normal 135 3 4 6" xfId="3584"/>
    <cellStyle name="Normal 135 3 5" xfId="3585"/>
    <cellStyle name="Normal 135 3 6" xfId="3586"/>
    <cellStyle name="Normal 135 3 7" xfId="3587"/>
    <cellStyle name="Normal 135 3 8" xfId="3588"/>
    <cellStyle name="Normal 135 3 9" xfId="3589"/>
    <cellStyle name="Normal 135 4" xfId="3590"/>
    <cellStyle name="Normal 135 4 10" xfId="3591"/>
    <cellStyle name="Normal 135 4 11" xfId="3592"/>
    <cellStyle name="Normal 135 4 2" xfId="3593"/>
    <cellStyle name="Normal 135 4 2 10" xfId="3594"/>
    <cellStyle name="Normal 135 4 2 2" xfId="3595"/>
    <cellStyle name="Normal 135 4 2 3" xfId="3596"/>
    <cellStyle name="Normal 135 4 2 3 2" xfId="3597"/>
    <cellStyle name="Normal 135 4 2 3 3" xfId="3598"/>
    <cellStyle name="Normal 135 4 2 3 4" xfId="3599"/>
    <cellStyle name="Normal 135 4 2 3 5" xfId="3600"/>
    <cellStyle name="Normal 135 4 2 3 6" xfId="3601"/>
    <cellStyle name="Normal 135 4 2 4" xfId="3602"/>
    <cellStyle name="Normal 135 4 2 5" xfId="3603"/>
    <cellStyle name="Normal 135 4 2 6" xfId="3604"/>
    <cellStyle name="Normal 135 4 2 7" xfId="3605"/>
    <cellStyle name="Normal 135 4 2 8" xfId="3606"/>
    <cellStyle name="Normal 135 4 2 9" xfId="3607"/>
    <cellStyle name="Normal 135 4 3" xfId="3608"/>
    <cellStyle name="Normal 135 4 4" xfId="3609"/>
    <cellStyle name="Normal 135 4 4 2" xfId="3610"/>
    <cellStyle name="Normal 135 4 4 3" xfId="3611"/>
    <cellStyle name="Normal 135 4 4 4" xfId="3612"/>
    <cellStyle name="Normal 135 4 4 5" xfId="3613"/>
    <cellStyle name="Normal 135 4 4 6" xfId="3614"/>
    <cellStyle name="Normal 135 4 5" xfId="3615"/>
    <cellStyle name="Normal 135 4 6" xfId="3616"/>
    <cellStyle name="Normal 135 4 7" xfId="3617"/>
    <cellStyle name="Normal 135 4 8" xfId="3618"/>
    <cellStyle name="Normal 135 4 9" xfId="3619"/>
    <cellStyle name="Normal 135 5" xfId="3620"/>
    <cellStyle name="Normal 135 5 10" xfId="3621"/>
    <cellStyle name="Normal 135 5 11" xfId="3622"/>
    <cellStyle name="Normal 135 5 2" xfId="3623"/>
    <cellStyle name="Normal 135 5 2 10" xfId="3624"/>
    <cellStyle name="Normal 135 5 2 2" xfId="3625"/>
    <cellStyle name="Normal 135 5 2 3" xfId="3626"/>
    <cellStyle name="Normal 135 5 2 3 2" xfId="3627"/>
    <cellStyle name="Normal 135 5 2 3 3" xfId="3628"/>
    <cellStyle name="Normal 135 5 2 3 4" xfId="3629"/>
    <cellStyle name="Normal 135 5 2 3 5" xfId="3630"/>
    <cellStyle name="Normal 135 5 2 3 6" xfId="3631"/>
    <cellStyle name="Normal 135 5 2 4" xfId="3632"/>
    <cellStyle name="Normal 135 5 2 5" xfId="3633"/>
    <cellStyle name="Normal 135 5 2 6" xfId="3634"/>
    <cellStyle name="Normal 135 5 2 7" xfId="3635"/>
    <cellStyle name="Normal 135 5 2 8" xfId="3636"/>
    <cellStyle name="Normal 135 5 2 9" xfId="3637"/>
    <cellStyle name="Normal 135 5 3" xfId="3638"/>
    <cellStyle name="Normal 135 5 4" xfId="3639"/>
    <cellStyle name="Normal 135 5 4 2" xfId="3640"/>
    <cellStyle name="Normal 135 5 4 3" xfId="3641"/>
    <cellStyle name="Normal 135 5 4 4" xfId="3642"/>
    <cellStyle name="Normal 135 5 4 5" xfId="3643"/>
    <cellStyle name="Normal 135 5 4 6" xfId="3644"/>
    <cellStyle name="Normal 135 5 5" xfId="3645"/>
    <cellStyle name="Normal 135 5 6" xfId="3646"/>
    <cellStyle name="Normal 135 5 7" xfId="3647"/>
    <cellStyle name="Normal 135 5 8" xfId="3648"/>
    <cellStyle name="Normal 135 5 9" xfId="3649"/>
    <cellStyle name="Normal 135 6" xfId="3650"/>
    <cellStyle name="Normal 135 7" xfId="3651"/>
    <cellStyle name="Normal 135 7 2" xfId="3652"/>
    <cellStyle name="Normal 135 7 3" xfId="3653"/>
    <cellStyle name="Normal 135 7 4" xfId="3654"/>
    <cellStyle name="Normal 135 7 5" xfId="3655"/>
    <cellStyle name="Normal 135 7 6" xfId="3656"/>
    <cellStyle name="Normal 135 8" xfId="3657"/>
    <cellStyle name="Normal 135 9" xfId="3658"/>
    <cellStyle name="Normal 136" xfId="3659"/>
    <cellStyle name="Normal 136 2" xfId="3660"/>
    <cellStyle name="Normal 136 3" xfId="3661"/>
    <cellStyle name="Normal 136 4" xfId="3662"/>
    <cellStyle name="Normal 136 5" xfId="3663"/>
    <cellStyle name="Normal 136 6" xfId="3664"/>
    <cellStyle name="Normal 137" xfId="3665"/>
    <cellStyle name="Normal 137 10" xfId="3666"/>
    <cellStyle name="Normal 137 2" xfId="3667"/>
    <cellStyle name="Normal 137 3" xfId="3668"/>
    <cellStyle name="Normal 137 3 2" xfId="3669"/>
    <cellStyle name="Normal 137 3 3" xfId="3670"/>
    <cellStyle name="Normal 137 3 4" xfId="3671"/>
    <cellStyle name="Normal 137 3 5" xfId="3672"/>
    <cellStyle name="Normal 137 3 6" xfId="3673"/>
    <cellStyle name="Normal 137 4" xfId="3674"/>
    <cellStyle name="Normal 137 5" xfId="3675"/>
    <cellStyle name="Normal 137 6" xfId="3676"/>
    <cellStyle name="Normal 137 7" xfId="3677"/>
    <cellStyle name="Normal 137 8" xfId="3678"/>
    <cellStyle name="Normal 137 9" xfId="3679"/>
    <cellStyle name="Normal 138" xfId="3680"/>
    <cellStyle name="Normal 138 10" xfId="3681"/>
    <cellStyle name="Normal 138 2" xfId="3682"/>
    <cellStyle name="Normal 138 3" xfId="3683"/>
    <cellStyle name="Normal 138 3 2" xfId="3684"/>
    <cellStyle name="Normal 138 3 3" xfId="3685"/>
    <cellStyle name="Normal 138 3 4" xfId="3686"/>
    <cellStyle name="Normal 138 3 5" xfId="3687"/>
    <cellStyle name="Normal 138 3 6" xfId="3688"/>
    <cellStyle name="Normal 138 4" xfId="3689"/>
    <cellStyle name="Normal 138 5" xfId="3690"/>
    <cellStyle name="Normal 138 6" xfId="3691"/>
    <cellStyle name="Normal 138 7" xfId="3692"/>
    <cellStyle name="Normal 138 8" xfId="3693"/>
    <cellStyle name="Normal 138 9" xfId="3694"/>
    <cellStyle name="Normal 139" xfId="3695"/>
    <cellStyle name="Normal 139 10" xfId="3696"/>
    <cellStyle name="Normal 139 2" xfId="3697"/>
    <cellStyle name="Normal 139 3" xfId="3698"/>
    <cellStyle name="Normal 139 3 2" xfId="3699"/>
    <cellStyle name="Normal 139 3 3" xfId="3700"/>
    <cellStyle name="Normal 139 3 4" xfId="3701"/>
    <cellStyle name="Normal 139 3 5" xfId="3702"/>
    <cellStyle name="Normal 139 3 6" xfId="3703"/>
    <cellStyle name="Normal 139 4" xfId="3704"/>
    <cellStyle name="Normal 139 5" xfId="3705"/>
    <cellStyle name="Normal 139 6" xfId="3706"/>
    <cellStyle name="Normal 139 7" xfId="3707"/>
    <cellStyle name="Normal 139 8" xfId="3708"/>
    <cellStyle name="Normal 139 9" xfId="3709"/>
    <cellStyle name="Normal 14" xfId="3710"/>
    <cellStyle name="Normal 14 10" xfId="3711"/>
    <cellStyle name="Normal 14 10 2" xfId="3712"/>
    <cellStyle name="Normal 14 10 2 2" xfId="3713"/>
    <cellStyle name="Normal 14 10 2 3" xfId="3714"/>
    <cellStyle name="Normal 14 10 2 4" xfId="3715"/>
    <cellStyle name="Normal 14 10 2 5" xfId="3716"/>
    <cellStyle name="Normal 14 10 2 6" xfId="3717"/>
    <cellStyle name="Normal 14 10 3" xfId="3718"/>
    <cellStyle name="Normal 14 10 4" xfId="3719"/>
    <cellStyle name="Normal 14 11" xfId="3720"/>
    <cellStyle name="Normal 14 11 2" xfId="3721"/>
    <cellStyle name="Normal 14 11 2 2" xfId="3722"/>
    <cellStyle name="Normal 14 11 2 3" xfId="3723"/>
    <cellStyle name="Normal 14 11 2 4" xfId="3724"/>
    <cellStyle name="Normal 14 11 2 5" xfId="3725"/>
    <cellStyle name="Normal 14 11 2 6" xfId="3726"/>
    <cellStyle name="Normal 14 11 3" xfId="3727"/>
    <cellStyle name="Normal 14 11 4" xfId="3728"/>
    <cellStyle name="Normal 14 12" xfId="3729"/>
    <cellStyle name="Normal 14 13" xfId="3730"/>
    <cellStyle name="Normal 14 13 2" xfId="3731"/>
    <cellStyle name="Normal 14 13 3" xfId="3732"/>
    <cellStyle name="Normal 14 13 4" xfId="3733"/>
    <cellStyle name="Normal 14 13 5" xfId="3734"/>
    <cellStyle name="Normal 14 13 6" xfId="3735"/>
    <cellStyle name="Normal 14 14" xfId="3736"/>
    <cellStyle name="Normal 14 14 2" xfId="3737"/>
    <cellStyle name="Normal 14 14 3" xfId="3738"/>
    <cellStyle name="Normal 14 14 4" xfId="3739"/>
    <cellStyle name="Normal 14 14 5" xfId="3740"/>
    <cellStyle name="Normal 14 14 6" xfId="3741"/>
    <cellStyle name="Normal 14 2" xfId="3742"/>
    <cellStyle name="Normal 14 2 10" xfId="3743"/>
    <cellStyle name="Normal 14 2 11" xfId="3744"/>
    <cellStyle name="Normal 14 2 2" xfId="3745"/>
    <cellStyle name="Normal 14 2 2 10" xfId="3746"/>
    <cellStyle name="Normal 14 2 2 2" xfId="3747"/>
    <cellStyle name="Normal 14 2 2 3" xfId="3748"/>
    <cellStyle name="Normal 14 2 2 3 2" xfId="3749"/>
    <cellStyle name="Normal 14 2 2 3 3" xfId="3750"/>
    <cellStyle name="Normal 14 2 2 3 4" xfId="3751"/>
    <cellStyle name="Normal 14 2 2 3 5" xfId="3752"/>
    <cellStyle name="Normal 14 2 2 3 6" xfId="3753"/>
    <cellStyle name="Normal 14 2 2 4" xfId="3754"/>
    <cellStyle name="Normal 14 2 2 5" xfId="3755"/>
    <cellStyle name="Normal 14 2 2 6" xfId="3756"/>
    <cellStyle name="Normal 14 2 2 7" xfId="3757"/>
    <cellStyle name="Normal 14 2 2 8" xfId="3758"/>
    <cellStyle name="Normal 14 2 2 9" xfId="3759"/>
    <cellStyle name="Normal 14 2 3" xfId="3760"/>
    <cellStyle name="Normal 14 2 4" xfId="3761"/>
    <cellStyle name="Normal 14 2 4 2" xfId="3762"/>
    <cellStyle name="Normal 14 2 4 3" xfId="3763"/>
    <cellStyle name="Normal 14 2 4 4" xfId="3764"/>
    <cellStyle name="Normal 14 2 4 5" xfId="3765"/>
    <cellStyle name="Normal 14 2 4 6" xfId="3766"/>
    <cellStyle name="Normal 14 2 5" xfId="3767"/>
    <cellStyle name="Normal 14 2 6" xfId="3768"/>
    <cellStyle name="Normal 14 2 7" xfId="3769"/>
    <cellStyle name="Normal 14 2 8" xfId="3770"/>
    <cellStyle name="Normal 14 2 9" xfId="3771"/>
    <cellStyle name="Normal 14 3" xfId="3772"/>
    <cellStyle name="Normal 14 3 10" xfId="3773"/>
    <cellStyle name="Normal 14 3 10 2" xfId="3774"/>
    <cellStyle name="Normal 14 3 10 2 2" xfId="3775"/>
    <cellStyle name="Normal 14 3 10 2 3" xfId="3776"/>
    <cellStyle name="Normal 14 3 10 2 4" xfId="3777"/>
    <cellStyle name="Normal 14 3 10 2 5" xfId="3778"/>
    <cellStyle name="Normal 14 3 10 2 6" xfId="3779"/>
    <cellStyle name="Normal 14 3 10 3" xfId="3780"/>
    <cellStyle name="Normal 14 3 10 4" xfId="3781"/>
    <cellStyle name="Normal 14 3 11" xfId="3782"/>
    <cellStyle name="Normal 14 3 11 2" xfId="3783"/>
    <cellStyle name="Normal 14 3 11 2 2" xfId="3784"/>
    <cellStyle name="Normal 14 3 11 2 3" xfId="3785"/>
    <cellStyle name="Normal 14 3 11 2 4" xfId="3786"/>
    <cellStyle name="Normal 14 3 11 2 5" xfId="3787"/>
    <cellStyle name="Normal 14 3 11 2 6" xfId="3788"/>
    <cellStyle name="Normal 14 3 11 3" xfId="3789"/>
    <cellStyle name="Normal 14 3 11 4" xfId="3790"/>
    <cellStyle name="Normal 14 3 12" xfId="3791"/>
    <cellStyle name="Normal 14 3 12 2" xfId="3792"/>
    <cellStyle name="Normal 14 3 12 2 2" xfId="3793"/>
    <cellStyle name="Normal 14 3 12 2 3" xfId="3794"/>
    <cellStyle name="Normal 14 3 12 2 4" xfId="3795"/>
    <cellStyle name="Normal 14 3 12 2 5" xfId="3796"/>
    <cellStyle name="Normal 14 3 12 2 6" xfId="3797"/>
    <cellStyle name="Normal 14 3 12 3" xfId="3798"/>
    <cellStyle name="Normal 14 3 12 4" xfId="3799"/>
    <cellStyle name="Normal 14 3 13" xfId="3800"/>
    <cellStyle name="Normal 14 3 13 2" xfId="3801"/>
    <cellStyle name="Normal 14 3 13 2 2" xfId="3802"/>
    <cellStyle name="Normal 14 3 13 2 3" xfId="3803"/>
    <cellStyle name="Normal 14 3 13 2 4" xfId="3804"/>
    <cellStyle name="Normal 14 3 13 2 5" xfId="3805"/>
    <cellStyle name="Normal 14 3 13 2 6" xfId="3806"/>
    <cellStyle name="Normal 14 3 13 3" xfId="3807"/>
    <cellStyle name="Normal 14 3 13 4" xfId="3808"/>
    <cellStyle name="Normal 14 3 14" xfId="3809"/>
    <cellStyle name="Normal 14 3 14 2" xfId="3810"/>
    <cellStyle name="Normal 14 3 14 2 2" xfId="3811"/>
    <cellStyle name="Normal 14 3 14 2 3" xfId="3812"/>
    <cellStyle name="Normal 14 3 14 2 4" xfId="3813"/>
    <cellStyle name="Normal 14 3 14 2 5" xfId="3814"/>
    <cellStyle name="Normal 14 3 14 2 6" xfId="3815"/>
    <cellStyle name="Normal 14 3 14 3" xfId="3816"/>
    <cellStyle name="Normal 14 3 14 4" xfId="3817"/>
    <cellStyle name="Normal 14 3 15" xfId="3818"/>
    <cellStyle name="Normal 14 3 15 2" xfId="3819"/>
    <cellStyle name="Normal 14 3 15 2 2" xfId="3820"/>
    <cellStyle name="Normal 14 3 15 2 3" xfId="3821"/>
    <cellStyle name="Normal 14 3 15 2 4" xfId="3822"/>
    <cellStyle name="Normal 14 3 15 2 5" xfId="3823"/>
    <cellStyle name="Normal 14 3 15 2 6" xfId="3824"/>
    <cellStyle name="Normal 14 3 15 3" xfId="3825"/>
    <cellStyle name="Normal 14 3 15 4" xfId="3826"/>
    <cellStyle name="Normal 14 3 16" xfId="3827"/>
    <cellStyle name="Normal 14 3 16 2" xfId="3828"/>
    <cellStyle name="Normal 14 3 16 2 2" xfId="3829"/>
    <cellStyle name="Normal 14 3 16 2 3" xfId="3830"/>
    <cellStyle name="Normal 14 3 16 2 4" xfId="3831"/>
    <cellStyle name="Normal 14 3 16 2 5" xfId="3832"/>
    <cellStyle name="Normal 14 3 16 2 6" xfId="3833"/>
    <cellStyle name="Normal 14 3 16 3" xfId="3834"/>
    <cellStyle name="Normal 14 3 16 4" xfId="3835"/>
    <cellStyle name="Normal 14 3 17" xfId="3836"/>
    <cellStyle name="Normal 14 3 17 2" xfId="3837"/>
    <cellStyle name="Normal 14 3 17 2 2" xfId="3838"/>
    <cellStyle name="Normal 14 3 17 2 3" xfId="3839"/>
    <cellStyle name="Normal 14 3 17 2 4" xfId="3840"/>
    <cellStyle name="Normal 14 3 17 2 5" xfId="3841"/>
    <cellStyle name="Normal 14 3 17 2 6" xfId="3842"/>
    <cellStyle name="Normal 14 3 17 3" xfId="3843"/>
    <cellStyle name="Normal 14 3 17 4" xfId="3844"/>
    <cellStyle name="Normal 14 3 18" xfId="3845"/>
    <cellStyle name="Normal 14 3 18 2" xfId="3846"/>
    <cellStyle name="Normal 14 3 18 2 2" xfId="3847"/>
    <cellStyle name="Normal 14 3 18 2 3" xfId="3848"/>
    <cellStyle name="Normal 14 3 18 2 4" xfId="3849"/>
    <cellStyle name="Normal 14 3 18 2 5" xfId="3850"/>
    <cellStyle name="Normal 14 3 18 2 6" xfId="3851"/>
    <cellStyle name="Normal 14 3 18 3" xfId="3852"/>
    <cellStyle name="Normal 14 3 18 4" xfId="3853"/>
    <cellStyle name="Normal 14 3 19" xfId="3854"/>
    <cellStyle name="Normal 14 3 19 2" xfId="3855"/>
    <cellStyle name="Normal 14 3 19 2 2" xfId="3856"/>
    <cellStyle name="Normal 14 3 19 2 3" xfId="3857"/>
    <cellStyle name="Normal 14 3 19 2 4" xfId="3858"/>
    <cellStyle name="Normal 14 3 19 2 5" xfId="3859"/>
    <cellStyle name="Normal 14 3 19 2 6" xfId="3860"/>
    <cellStyle name="Normal 14 3 19 3" xfId="3861"/>
    <cellStyle name="Normal 14 3 19 4" xfId="3862"/>
    <cellStyle name="Normal 14 3 2" xfId="3863"/>
    <cellStyle name="Normal 14 3 2 10" xfId="3864"/>
    <cellStyle name="Normal 14 3 2 10 10" xfId="3865"/>
    <cellStyle name="Normal 14 3 2 10 11" xfId="3866"/>
    <cellStyle name="Normal 14 3 2 10 2" xfId="3867"/>
    <cellStyle name="Normal 14 3 2 10 2 10" xfId="3868"/>
    <cellStyle name="Normal 14 3 2 10 2 2" xfId="3869"/>
    <cellStyle name="Normal 14 3 2 10 2 3" xfId="3870"/>
    <cellStyle name="Normal 14 3 2 10 2 3 2" xfId="3871"/>
    <cellStyle name="Normal 14 3 2 10 2 3 3" xfId="3872"/>
    <cellStyle name="Normal 14 3 2 10 2 3 4" xfId="3873"/>
    <cellStyle name="Normal 14 3 2 10 2 3 5" xfId="3874"/>
    <cellStyle name="Normal 14 3 2 10 2 3 6" xfId="3875"/>
    <cellStyle name="Normal 14 3 2 10 2 4" xfId="3876"/>
    <cellStyle name="Normal 14 3 2 10 2 5" xfId="3877"/>
    <cellStyle name="Normal 14 3 2 10 2 6" xfId="3878"/>
    <cellStyle name="Normal 14 3 2 10 2 7" xfId="3879"/>
    <cellStyle name="Normal 14 3 2 10 2 8" xfId="3880"/>
    <cellStyle name="Normal 14 3 2 10 2 9" xfId="3881"/>
    <cellStyle name="Normal 14 3 2 10 3" xfId="3882"/>
    <cellStyle name="Normal 14 3 2 10 4" xfId="3883"/>
    <cellStyle name="Normal 14 3 2 10 4 2" xfId="3884"/>
    <cellStyle name="Normal 14 3 2 10 4 3" xfId="3885"/>
    <cellStyle name="Normal 14 3 2 10 4 4" xfId="3886"/>
    <cellStyle name="Normal 14 3 2 10 4 5" xfId="3887"/>
    <cellStyle name="Normal 14 3 2 10 4 6" xfId="3888"/>
    <cellStyle name="Normal 14 3 2 10 5" xfId="3889"/>
    <cellStyle name="Normal 14 3 2 10 6" xfId="3890"/>
    <cellStyle name="Normal 14 3 2 10 7" xfId="3891"/>
    <cellStyle name="Normal 14 3 2 10 8" xfId="3892"/>
    <cellStyle name="Normal 14 3 2 10 9" xfId="3893"/>
    <cellStyle name="Normal 14 3 2 11" xfId="3894"/>
    <cellStyle name="Normal 14 3 2 11 10" xfId="3895"/>
    <cellStyle name="Normal 14 3 2 11 11" xfId="3896"/>
    <cellStyle name="Normal 14 3 2 11 2" xfId="3897"/>
    <cellStyle name="Normal 14 3 2 11 2 10" xfId="3898"/>
    <cellStyle name="Normal 14 3 2 11 2 2" xfId="3899"/>
    <cellStyle name="Normal 14 3 2 11 2 3" xfId="3900"/>
    <cellStyle name="Normal 14 3 2 11 2 3 2" xfId="3901"/>
    <cellStyle name="Normal 14 3 2 11 2 3 3" xfId="3902"/>
    <cellStyle name="Normal 14 3 2 11 2 3 4" xfId="3903"/>
    <cellStyle name="Normal 14 3 2 11 2 3 5" xfId="3904"/>
    <cellStyle name="Normal 14 3 2 11 2 3 6" xfId="3905"/>
    <cellStyle name="Normal 14 3 2 11 2 4" xfId="3906"/>
    <cellStyle name="Normal 14 3 2 11 2 5" xfId="3907"/>
    <cellStyle name="Normal 14 3 2 11 2 6" xfId="3908"/>
    <cellStyle name="Normal 14 3 2 11 2 7" xfId="3909"/>
    <cellStyle name="Normal 14 3 2 11 2 8" xfId="3910"/>
    <cellStyle name="Normal 14 3 2 11 2 9" xfId="3911"/>
    <cellStyle name="Normal 14 3 2 11 3" xfId="3912"/>
    <cellStyle name="Normal 14 3 2 11 4" xfId="3913"/>
    <cellStyle name="Normal 14 3 2 11 4 2" xfId="3914"/>
    <cellStyle name="Normal 14 3 2 11 4 3" xfId="3915"/>
    <cellStyle name="Normal 14 3 2 11 4 4" xfId="3916"/>
    <cellStyle name="Normal 14 3 2 11 4 5" xfId="3917"/>
    <cellStyle name="Normal 14 3 2 11 4 6" xfId="3918"/>
    <cellStyle name="Normal 14 3 2 11 5" xfId="3919"/>
    <cellStyle name="Normal 14 3 2 11 6" xfId="3920"/>
    <cellStyle name="Normal 14 3 2 11 7" xfId="3921"/>
    <cellStyle name="Normal 14 3 2 11 8" xfId="3922"/>
    <cellStyle name="Normal 14 3 2 11 9" xfId="3923"/>
    <cellStyle name="Normal 14 3 2 12" xfId="3924"/>
    <cellStyle name="Normal 14 3 2 12 10" xfId="3925"/>
    <cellStyle name="Normal 14 3 2 12 11" xfId="3926"/>
    <cellStyle name="Normal 14 3 2 12 2" xfId="3927"/>
    <cellStyle name="Normal 14 3 2 12 2 10" xfId="3928"/>
    <cellStyle name="Normal 14 3 2 12 2 2" xfId="3929"/>
    <cellStyle name="Normal 14 3 2 12 2 3" xfId="3930"/>
    <cellStyle name="Normal 14 3 2 12 2 3 2" xfId="3931"/>
    <cellStyle name="Normal 14 3 2 12 2 3 3" xfId="3932"/>
    <cellStyle name="Normal 14 3 2 12 2 3 4" xfId="3933"/>
    <cellStyle name="Normal 14 3 2 12 2 3 5" xfId="3934"/>
    <cellStyle name="Normal 14 3 2 12 2 3 6" xfId="3935"/>
    <cellStyle name="Normal 14 3 2 12 2 4" xfId="3936"/>
    <cellStyle name="Normal 14 3 2 12 2 5" xfId="3937"/>
    <cellStyle name="Normal 14 3 2 12 2 6" xfId="3938"/>
    <cellStyle name="Normal 14 3 2 12 2 7" xfId="3939"/>
    <cellStyle name="Normal 14 3 2 12 2 8" xfId="3940"/>
    <cellStyle name="Normal 14 3 2 12 2 9" xfId="3941"/>
    <cellStyle name="Normal 14 3 2 12 3" xfId="3942"/>
    <cellStyle name="Normal 14 3 2 12 4" xfId="3943"/>
    <cellStyle name="Normal 14 3 2 12 4 2" xfId="3944"/>
    <cellStyle name="Normal 14 3 2 12 4 3" xfId="3945"/>
    <cellStyle name="Normal 14 3 2 12 4 4" xfId="3946"/>
    <cellStyle name="Normal 14 3 2 12 4 5" xfId="3947"/>
    <cellStyle name="Normal 14 3 2 12 4 6" xfId="3948"/>
    <cellStyle name="Normal 14 3 2 12 5" xfId="3949"/>
    <cellStyle name="Normal 14 3 2 12 6" xfId="3950"/>
    <cellStyle name="Normal 14 3 2 12 7" xfId="3951"/>
    <cellStyle name="Normal 14 3 2 12 8" xfId="3952"/>
    <cellStyle name="Normal 14 3 2 12 9" xfId="3953"/>
    <cellStyle name="Normal 14 3 2 13" xfId="3954"/>
    <cellStyle name="Normal 14 3 2 13 10" xfId="3955"/>
    <cellStyle name="Normal 14 3 2 13 11" xfId="3956"/>
    <cellStyle name="Normal 14 3 2 13 2" xfId="3957"/>
    <cellStyle name="Normal 14 3 2 13 2 10" xfId="3958"/>
    <cellStyle name="Normal 14 3 2 13 2 2" xfId="3959"/>
    <cellStyle name="Normal 14 3 2 13 2 3" xfId="3960"/>
    <cellStyle name="Normal 14 3 2 13 2 3 2" xfId="3961"/>
    <cellStyle name="Normal 14 3 2 13 2 3 3" xfId="3962"/>
    <cellStyle name="Normal 14 3 2 13 2 3 4" xfId="3963"/>
    <cellStyle name="Normal 14 3 2 13 2 3 5" xfId="3964"/>
    <cellStyle name="Normal 14 3 2 13 2 3 6" xfId="3965"/>
    <cellStyle name="Normal 14 3 2 13 2 4" xfId="3966"/>
    <cellStyle name="Normal 14 3 2 13 2 5" xfId="3967"/>
    <cellStyle name="Normal 14 3 2 13 2 6" xfId="3968"/>
    <cellStyle name="Normal 14 3 2 13 2 7" xfId="3969"/>
    <cellStyle name="Normal 14 3 2 13 2 8" xfId="3970"/>
    <cellStyle name="Normal 14 3 2 13 2 9" xfId="3971"/>
    <cellStyle name="Normal 14 3 2 13 3" xfId="3972"/>
    <cellStyle name="Normal 14 3 2 13 4" xfId="3973"/>
    <cellStyle name="Normal 14 3 2 13 4 2" xfId="3974"/>
    <cellStyle name="Normal 14 3 2 13 4 3" xfId="3975"/>
    <cellStyle name="Normal 14 3 2 13 4 4" xfId="3976"/>
    <cellStyle name="Normal 14 3 2 13 4 5" xfId="3977"/>
    <cellStyle name="Normal 14 3 2 13 4 6" xfId="3978"/>
    <cellStyle name="Normal 14 3 2 13 5" xfId="3979"/>
    <cellStyle name="Normal 14 3 2 13 6" xfId="3980"/>
    <cellStyle name="Normal 14 3 2 13 7" xfId="3981"/>
    <cellStyle name="Normal 14 3 2 13 8" xfId="3982"/>
    <cellStyle name="Normal 14 3 2 13 9" xfId="3983"/>
    <cellStyle name="Normal 14 3 2 14" xfId="3984"/>
    <cellStyle name="Normal 14 3 2 14 10" xfId="3985"/>
    <cellStyle name="Normal 14 3 2 14 11" xfId="3986"/>
    <cellStyle name="Normal 14 3 2 14 2" xfId="3987"/>
    <cellStyle name="Normal 14 3 2 14 2 10" xfId="3988"/>
    <cellStyle name="Normal 14 3 2 14 2 2" xfId="3989"/>
    <cellStyle name="Normal 14 3 2 14 2 3" xfId="3990"/>
    <cellStyle name="Normal 14 3 2 14 2 3 2" xfId="3991"/>
    <cellStyle name="Normal 14 3 2 14 2 3 3" xfId="3992"/>
    <cellStyle name="Normal 14 3 2 14 2 3 4" xfId="3993"/>
    <cellStyle name="Normal 14 3 2 14 2 3 5" xfId="3994"/>
    <cellStyle name="Normal 14 3 2 14 2 3 6" xfId="3995"/>
    <cellStyle name="Normal 14 3 2 14 2 4" xfId="3996"/>
    <cellStyle name="Normal 14 3 2 14 2 5" xfId="3997"/>
    <cellStyle name="Normal 14 3 2 14 2 6" xfId="3998"/>
    <cellStyle name="Normal 14 3 2 14 2 7" xfId="3999"/>
    <cellStyle name="Normal 14 3 2 14 2 8" xfId="4000"/>
    <cellStyle name="Normal 14 3 2 14 2 9" xfId="4001"/>
    <cellStyle name="Normal 14 3 2 14 3" xfId="4002"/>
    <cellStyle name="Normal 14 3 2 14 4" xfId="4003"/>
    <cellStyle name="Normal 14 3 2 14 4 2" xfId="4004"/>
    <cellStyle name="Normal 14 3 2 14 4 3" xfId="4005"/>
    <cellStyle name="Normal 14 3 2 14 4 4" xfId="4006"/>
    <cellStyle name="Normal 14 3 2 14 4 5" xfId="4007"/>
    <cellStyle name="Normal 14 3 2 14 4 6" xfId="4008"/>
    <cellStyle name="Normal 14 3 2 14 5" xfId="4009"/>
    <cellStyle name="Normal 14 3 2 14 6" xfId="4010"/>
    <cellStyle name="Normal 14 3 2 14 7" xfId="4011"/>
    <cellStyle name="Normal 14 3 2 14 8" xfId="4012"/>
    <cellStyle name="Normal 14 3 2 14 9" xfId="4013"/>
    <cellStyle name="Normal 14 3 2 15" xfId="4014"/>
    <cellStyle name="Normal 14 3 2 15 10" xfId="4015"/>
    <cellStyle name="Normal 14 3 2 15 11" xfId="4016"/>
    <cellStyle name="Normal 14 3 2 15 2" xfId="4017"/>
    <cellStyle name="Normal 14 3 2 15 2 10" xfId="4018"/>
    <cellStyle name="Normal 14 3 2 15 2 2" xfId="4019"/>
    <cellStyle name="Normal 14 3 2 15 2 3" xfId="4020"/>
    <cellStyle name="Normal 14 3 2 15 2 3 2" xfId="4021"/>
    <cellStyle name="Normal 14 3 2 15 2 3 3" xfId="4022"/>
    <cellStyle name="Normal 14 3 2 15 2 3 4" xfId="4023"/>
    <cellStyle name="Normal 14 3 2 15 2 3 5" xfId="4024"/>
    <cellStyle name="Normal 14 3 2 15 2 3 6" xfId="4025"/>
    <cellStyle name="Normal 14 3 2 15 2 4" xfId="4026"/>
    <cellStyle name="Normal 14 3 2 15 2 5" xfId="4027"/>
    <cellStyle name="Normal 14 3 2 15 2 6" xfId="4028"/>
    <cellStyle name="Normal 14 3 2 15 2 7" xfId="4029"/>
    <cellStyle name="Normal 14 3 2 15 2 8" xfId="4030"/>
    <cellStyle name="Normal 14 3 2 15 2 9" xfId="4031"/>
    <cellStyle name="Normal 14 3 2 15 3" xfId="4032"/>
    <cellStyle name="Normal 14 3 2 15 4" xfId="4033"/>
    <cellStyle name="Normal 14 3 2 15 4 2" xfId="4034"/>
    <cellStyle name="Normal 14 3 2 15 4 3" xfId="4035"/>
    <cellStyle name="Normal 14 3 2 15 4 4" xfId="4036"/>
    <cellStyle name="Normal 14 3 2 15 4 5" xfId="4037"/>
    <cellStyle name="Normal 14 3 2 15 4 6" xfId="4038"/>
    <cellStyle name="Normal 14 3 2 15 5" xfId="4039"/>
    <cellStyle name="Normal 14 3 2 15 6" xfId="4040"/>
    <cellStyle name="Normal 14 3 2 15 7" xfId="4041"/>
    <cellStyle name="Normal 14 3 2 15 8" xfId="4042"/>
    <cellStyle name="Normal 14 3 2 15 9" xfId="4043"/>
    <cellStyle name="Normal 14 3 2 16" xfId="4044"/>
    <cellStyle name="Normal 14 3 2 16 10" xfId="4045"/>
    <cellStyle name="Normal 14 3 2 16 11" xfId="4046"/>
    <cellStyle name="Normal 14 3 2 16 2" xfId="4047"/>
    <cellStyle name="Normal 14 3 2 16 2 10" xfId="4048"/>
    <cellStyle name="Normal 14 3 2 16 2 2" xfId="4049"/>
    <cellStyle name="Normal 14 3 2 16 2 3" xfId="4050"/>
    <cellStyle name="Normal 14 3 2 16 2 3 2" xfId="4051"/>
    <cellStyle name="Normal 14 3 2 16 2 3 3" xfId="4052"/>
    <cellStyle name="Normal 14 3 2 16 2 3 4" xfId="4053"/>
    <cellStyle name="Normal 14 3 2 16 2 3 5" xfId="4054"/>
    <cellStyle name="Normal 14 3 2 16 2 3 6" xfId="4055"/>
    <cellStyle name="Normal 14 3 2 16 2 4" xfId="4056"/>
    <cellStyle name="Normal 14 3 2 16 2 5" xfId="4057"/>
    <cellStyle name="Normal 14 3 2 16 2 6" xfId="4058"/>
    <cellStyle name="Normal 14 3 2 16 2 7" xfId="4059"/>
    <cellStyle name="Normal 14 3 2 16 2 8" xfId="4060"/>
    <cellStyle name="Normal 14 3 2 16 2 9" xfId="4061"/>
    <cellStyle name="Normal 14 3 2 16 3" xfId="4062"/>
    <cellStyle name="Normal 14 3 2 16 4" xfId="4063"/>
    <cellStyle name="Normal 14 3 2 16 4 2" xfId="4064"/>
    <cellStyle name="Normal 14 3 2 16 4 3" xfId="4065"/>
    <cellStyle name="Normal 14 3 2 16 4 4" xfId="4066"/>
    <cellStyle name="Normal 14 3 2 16 4 5" xfId="4067"/>
    <cellStyle name="Normal 14 3 2 16 4 6" xfId="4068"/>
    <cellStyle name="Normal 14 3 2 16 5" xfId="4069"/>
    <cellStyle name="Normal 14 3 2 16 6" xfId="4070"/>
    <cellStyle name="Normal 14 3 2 16 7" xfId="4071"/>
    <cellStyle name="Normal 14 3 2 16 8" xfId="4072"/>
    <cellStyle name="Normal 14 3 2 16 9" xfId="4073"/>
    <cellStyle name="Normal 14 3 2 17" xfId="4074"/>
    <cellStyle name="Normal 14 3 2 17 2" xfId="4075"/>
    <cellStyle name="Normal 14 3 2 17 3" xfId="4076"/>
    <cellStyle name="Normal 14 3 2 17 4" xfId="4077"/>
    <cellStyle name="Normal 14 3 2 17 5" xfId="4078"/>
    <cellStyle name="Normal 14 3 2 17 6" xfId="4079"/>
    <cellStyle name="Normal 14 3 2 18" xfId="4080"/>
    <cellStyle name="Normal 14 3 2 19" xfId="4081"/>
    <cellStyle name="Normal 14 3 2 2" xfId="4082"/>
    <cellStyle name="Normal 14 3 2 2 10" xfId="4083"/>
    <cellStyle name="Normal 14 3 2 2 11" xfId="4084"/>
    <cellStyle name="Normal 14 3 2 2 2" xfId="4085"/>
    <cellStyle name="Normal 14 3 2 2 2 10" xfId="4086"/>
    <cellStyle name="Normal 14 3 2 2 2 2" xfId="4087"/>
    <cellStyle name="Normal 14 3 2 2 2 3" xfId="4088"/>
    <cellStyle name="Normal 14 3 2 2 2 3 2" xfId="4089"/>
    <cellStyle name="Normal 14 3 2 2 2 3 3" xfId="4090"/>
    <cellStyle name="Normal 14 3 2 2 2 3 4" xfId="4091"/>
    <cellStyle name="Normal 14 3 2 2 2 3 5" xfId="4092"/>
    <cellStyle name="Normal 14 3 2 2 2 3 6" xfId="4093"/>
    <cellStyle name="Normal 14 3 2 2 2 4" xfId="4094"/>
    <cellStyle name="Normal 14 3 2 2 2 5" xfId="4095"/>
    <cellStyle name="Normal 14 3 2 2 2 6" xfId="4096"/>
    <cellStyle name="Normal 14 3 2 2 2 7" xfId="4097"/>
    <cellStyle name="Normal 14 3 2 2 2 8" xfId="4098"/>
    <cellStyle name="Normal 14 3 2 2 2 9" xfId="4099"/>
    <cellStyle name="Normal 14 3 2 2 3" xfId="4100"/>
    <cellStyle name="Normal 14 3 2 2 4" xfId="4101"/>
    <cellStyle name="Normal 14 3 2 2 4 2" xfId="4102"/>
    <cellStyle name="Normal 14 3 2 2 4 3" xfId="4103"/>
    <cellStyle name="Normal 14 3 2 2 4 4" xfId="4104"/>
    <cellStyle name="Normal 14 3 2 2 4 5" xfId="4105"/>
    <cellStyle name="Normal 14 3 2 2 4 6" xfId="4106"/>
    <cellStyle name="Normal 14 3 2 2 5" xfId="4107"/>
    <cellStyle name="Normal 14 3 2 2 6" xfId="4108"/>
    <cellStyle name="Normal 14 3 2 2 7" xfId="4109"/>
    <cellStyle name="Normal 14 3 2 2 8" xfId="4110"/>
    <cellStyle name="Normal 14 3 2 2 9" xfId="4111"/>
    <cellStyle name="Normal 14 3 2 3" xfId="4112"/>
    <cellStyle name="Normal 14 3 2 3 10" xfId="4113"/>
    <cellStyle name="Normal 14 3 2 3 11" xfId="4114"/>
    <cellStyle name="Normal 14 3 2 3 2" xfId="4115"/>
    <cellStyle name="Normal 14 3 2 3 2 10" xfId="4116"/>
    <cellStyle name="Normal 14 3 2 3 2 2" xfId="4117"/>
    <cellStyle name="Normal 14 3 2 3 2 3" xfId="4118"/>
    <cellStyle name="Normal 14 3 2 3 2 3 2" xfId="4119"/>
    <cellStyle name="Normal 14 3 2 3 2 3 3" xfId="4120"/>
    <cellStyle name="Normal 14 3 2 3 2 3 4" xfId="4121"/>
    <cellStyle name="Normal 14 3 2 3 2 3 5" xfId="4122"/>
    <cellStyle name="Normal 14 3 2 3 2 3 6" xfId="4123"/>
    <cellStyle name="Normal 14 3 2 3 2 4" xfId="4124"/>
    <cellStyle name="Normal 14 3 2 3 2 5" xfId="4125"/>
    <cellStyle name="Normal 14 3 2 3 2 6" xfId="4126"/>
    <cellStyle name="Normal 14 3 2 3 2 7" xfId="4127"/>
    <cellStyle name="Normal 14 3 2 3 2 8" xfId="4128"/>
    <cellStyle name="Normal 14 3 2 3 2 9" xfId="4129"/>
    <cellStyle name="Normal 14 3 2 3 3" xfId="4130"/>
    <cellStyle name="Normal 14 3 2 3 4" xfId="4131"/>
    <cellStyle name="Normal 14 3 2 3 4 2" xfId="4132"/>
    <cellStyle name="Normal 14 3 2 3 4 3" xfId="4133"/>
    <cellStyle name="Normal 14 3 2 3 4 4" xfId="4134"/>
    <cellStyle name="Normal 14 3 2 3 4 5" xfId="4135"/>
    <cellStyle name="Normal 14 3 2 3 4 6" xfId="4136"/>
    <cellStyle name="Normal 14 3 2 3 5" xfId="4137"/>
    <cellStyle name="Normal 14 3 2 3 6" xfId="4138"/>
    <cellStyle name="Normal 14 3 2 3 7" xfId="4139"/>
    <cellStyle name="Normal 14 3 2 3 8" xfId="4140"/>
    <cellStyle name="Normal 14 3 2 3 9" xfId="4141"/>
    <cellStyle name="Normal 14 3 2 4" xfId="4142"/>
    <cellStyle name="Normal 14 3 2 4 10" xfId="4143"/>
    <cellStyle name="Normal 14 3 2 4 11" xfId="4144"/>
    <cellStyle name="Normal 14 3 2 4 2" xfId="4145"/>
    <cellStyle name="Normal 14 3 2 4 2 10" xfId="4146"/>
    <cellStyle name="Normal 14 3 2 4 2 2" xfId="4147"/>
    <cellStyle name="Normal 14 3 2 4 2 3" xfId="4148"/>
    <cellStyle name="Normal 14 3 2 4 2 3 2" xfId="4149"/>
    <cellStyle name="Normal 14 3 2 4 2 3 3" xfId="4150"/>
    <cellStyle name="Normal 14 3 2 4 2 3 4" xfId="4151"/>
    <cellStyle name="Normal 14 3 2 4 2 3 5" xfId="4152"/>
    <cellStyle name="Normal 14 3 2 4 2 3 6" xfId="4153"/>
    <cellStyle name="Normal 14 3 2 4 2 4" xfId="4154"/>
    <cellStyle name="Normal 14 3 2 4 2 5" xfId="4155"/>
    <cellStyle name="Normal 14 3 2 4 2 6" xfId="4156"/>
    <cellStyle name="Normal 14 3 2 4 2 7" xfId="4157"/>
    <cellStyle name="Normal 14 3 2 4 2 8" xfId="4158"/>
    <cellStyle name="Normal 14 3 2 4 2 9" xfId="4159"/>
    <cellStyle name="Normal 14 3 2 4 3" xfId="4160"/>
    <cellStyle name="Normal 14 3 2 4 4" xfId="4161"/>
    <cellStyle name="Normal 14 3 2 4 4 2" xfId="4162"/>
    <cellStyle name="Normal 14 3 2 4 4 3" xfId="4163"/>
    <cellStyle name="Normal 14 3 2 4 4 4" xfId="4164"/>
    <cellStyle name="Normal 14 3 2 4 4 5" xfId="4165"/>
    <cellStyle name="Normal 14 3 2 4 4 6" xfId="4166"/>
    <cellStyle name="Normal 14 3 2 4 5" xfId="4167"/>
    <cellStyle name="Normal 14 3 2 4 6" xfId="4168"/>
    <cellStyle name="Normal 14 3 2 4 7" xfId="4169"/>
    <cellStyle name="Normal 14 3 2 4 8" xfId="4170"/>
    <cellStyle name="Normal 14 3 2 4 9" xfId="4171"/>
    <cellStyle name="Normal 14 3 2 5" xfId="4172"/>
    <cellStyle name="Normal 14 3 2 5 10" xfId="4173"/>
    <cellStyle name="Normal 14 3 2 5 11" xfId="4174"/>
    <cellStyle name="Normal 14 3 2 5 2" xfId="4175"/>
    <cellStyle name="Normal 14 3 2 5 2 10" xfId="4176"/>
    <cellStyle name="Normal 14 3 2 5 2 2" xfId="4177"/>
    <cellStyle name="Normal 14 3 2 5 2 3" xfId="4178"/>
    <cellStyle name="Normal 14 3 2 5 2 3 2" xfId="4179"/>
    <cellStyle name="Normal 14 3 2 5 2 3 3" xfId="4180"/>
    <cellStyle name="Normal 14 3 2 5 2 3 4" xfId="4181"/>
    <cellStyle name="Normal 14 3 2 5 2 3 5" xfId="4182"/>
    <cellStyle name="Normal 14 3 2 5 2 3 6" xfId="4183"/>
    <cellStyle name="Normal 14 3 2 5 2 4" xfId="4184"/>
    <cellStyle name="Normal 14 3 2 5 2 5" xfId="4185"/>
    <cellStyle name="Normal 14 3 2 5 2 6" xfId="4186"/>
    <cellStyle name="Normal 14 3 2 5 2 7" xfId="4187"/>
    <cellStyle name="Normal 14 3 2 5 2 8" xfId="4188"/>
    <cellStyle name="Normal 14 3 2 5 2 9" xfId="4189"/>
    <cellStyle name="Normal 14 3 2 5 3" xfId="4190"/>
    <cellStyle name="Normal 14 3 2 5 4" xfId="4191"/>
    <cellStyle name="Normal 14 3 2 5 4 2" xfId="4192"/>
    <cellStyle name="Normal 14 3 2 5 4 3" xfId="4193"/>
    <cellStyle name="Normal 14 3 2 5 4 4" xfId="4194"/>
    <cellStyle name="Normal 14 3 2 5 4 5" xfId="4195"/>
    <cellStyle name="Normal 14 3 2 5 4 6" xfId="4196"/>
    <cellStyle name="Normal 14 3 2 5 5" xfId="4197"/>
    <cellStyle name="Normal 14 3 2 5 6" xfId="4198"/>
    <cellStyle name="Normal 14 3 2 5 7" xfId="4199"/>
    <cellStyle name="Normal 14 3 2 5 8" xfId="4200"/>
    <cellStyle name="Normal 14 3 2 5 9" xfId="4201"/>
    <cellStyle name="Normal 14 3 2 6" xfId="4202"/>
    <cellStyle name="Normal 14 3 2 6 10" xfId="4203"/>
    <cellStyle name="Normal 14 3 2 6 11" xfId="4204"/>
    <cellStyle name="Normal 14 3 2 6 2" xfId="4205"/>
    <cellStyle name="Normal 14 3 2 6 2 10" xfId="4206"/>
    <cellStyle name="Normal 14 3 2 6 2 2" xfId="4207"/>
    <cellStyle name="Normal 14 3 2 6 2 3" xfId="4208"/>
    <cellStyle name="Normal 14 3 2 6 2 3 2" xfId="4209"/>
    <cellStyle name="Normal 14 3 2 6 2 3 3" xfId="4210"/>
    <cellStyle name="Normal 14 3 2 6 2 3 4" xfId="4211"/>
    <cellStyle name="Normal 14 3 2 6 2 3 5" xfId="4212"/>
    <cellStyle name="Normal 14 3 2 6 2 3 6" xfId="4213"/>
    <cellStyle name="Normal 14 3 2 6 2 4" xfId="4214"/>
    <cellStyle name="Normal 14 3 2 6 2 5" xfId="4215"/>
    <cellStyle name="Normal 14 3 2 6 2 6" xfId="4216"/>
    <cellStyle name="Normal 14 3 2 6 2 7" xfId="4217"/>
    <cellStyle name="Normal 14 3 2 6 2 8" xfId="4218"/>
    <cellStyle name="Normal 14 3 2 6 2 9" xfId="4219"/>
    <cellStyle name="Normal 14 3 2 6 3" xfId="4220"/>
    <cellStyle name="Normal 14 3 2 6 4" xfId="4221"/>
    <cellStyle name="Normal 14 3 2 6 4 2" xfId="4222"/>
    <cellStyle name="Normal 14 3 2 6 4 3" xfId="4223"/>
    <cellStyle name="Normal 14 3 2 6 4 4" xfId="4224"/>
    <cellStyle name="Normal 14 3 2 6 4 5" xfId="4225"/>
    <cellStyle name="Normal 14 3 2 6 4 6" xfId="4226"/>
    <cellStyle name="Normal 14 3 2 6 5" xfId="4227"/>
    <cellStyle name="Normal 14 3 2 6 6" xfId="4228"/>
    <cellStyle name="Normal 14 3 2 6 7" xfId="4229"/>
    <cellStyle name="Normal 14 3 2 6 8" xfId="4230"/>
    <cellStyle name="Normal 14 3 2 6 9" xfId="4231"/>
    <cellStyle name="Normal 14 3 2 7" xfId="4232"/>
    <cellStyle name="Normal 14 3 2 7 10" xfId="4233"/>
    <cellStyle name="Normal 14 3 2 7 11" xfId="4234"/>
    <cellStyle name="Normal 14 3 2 7 2" xfId="4235"/>
    <cellStyle name="Normal 14 3 2 7 2 10" xfId="4236"/>
    <cellStyle name="Normal 14 3 2 7 2 2" xfId="4237"/>
    <cellStyle name="Normal 14 3 2 7 2 3" xfId="4238"/>
    <cellStyle name="Normal 14 3 2 7 2 3 2" xfId="4239"/>
    <cellStyle name="Normal 14 3 2 7 2 3 3" xfId="4240"/>
    <cellStyle name="Normal 14 3 2 7 2 3 4" xfId="4241"/>
    <cellStyle name="Normal 14 3 2 7 2 3 5" xfId="4242"/>
    <cellStyle name="Normal 14 3 2 7 2 3 6" xfId="4243"/>
    <cellStyle name="Normal 14 3 2 7 2 4" xfId="4244"/>
    <cellStyle name="Normal 14 3 2 7 2 5" xfId="4245"/>
    <cellStyle name="Normal 14 3 2 7 2 6" xfId="4246"/>
    <cellStyle name="Normal 14 3 2 7 2 7" xfId="4247"/>
    <cellStyle name="Normal 14 3 2 7 2 8" xfId="4248"/>
    <cellStyle name="Normal 14 3 2 7 2 9" xfId="4249"/>
    <cellStyle name="Normal 14 3 2 7 3" xfId="4250"/>
    <cellStyle name="Normal 14 3 2 7 4" xfId="4251"/>
    <cellStyle name="Normal 14 3 2 7 4 2" xfId="4252"/>
    <cellStyle name="Normal 14 3 2 7 4 3" xfId="4253"/>
    <cellStyle name="Normal 14 3 2 7 4 4" xfId="4254"/>
    <cellStyle name="Normal 14 3 2 7 4 5" xfId="4255"/>
    <cellStyle name="Normal 14 3 2 7 4 6" xfId="4256"/>
    <cellStyle name="Normal 14 3 2 7 5" xfId="4257"/>
    <cellStyle name="Normal 14 3 2 7 6" xfId="4258"/>
    <cellStyle name="Normal 14 3 2 7 7" xfId="4259"/>
    <cellStyle name="Normal 14 3 2 7 8" xfId="4260"/>
    <cellStyle name="Normal 14 3 2 7 9" xfId="4261"/>
    <cellStyle name="Normal 14 3 2 8" xfId="4262"/>
    <cellStyle name="Normal 14 3 2 8 10" xfId="4263"/>
    <cellStyle name="Normal 14 3 2 8 11" xfId="4264"/>
    <cellStyle name="Normal 14 3 2 8 2" xfId="4265"/>
    <cellStyle name="Normal 14 3 2 8 2 10" xfId="4266"/>
    <cellStyle name="Normal 14 3 2 8 2 2" xfId="4267"/>
    <cellStyle name="Normal 14 3 2 8 2 3" xfId="4268"/>
    <cellStyle name="Normal 14 3 2 8 2 3 2" xfId="4269"/>
    <cellStyle name="Normal 14 3 2 8 2 3 3" xfId="4270"/>
    <cellStyle name="Normal 14 3 2 8 2 3 4" xfId="4271"/>
    <cellStyle name="Normal 14 3 2 8 2 3 5" xfId="4272"/>
    <cellStyle name="Normal 14 3 2 8 2 3 6" xfId="4273"/>
    <cellStyle name="Normal 14 3 2 8 2 4" xfId="4274"/>
    <cellStyle name="Normal 14 3 2 8 2 5" xfId="4275"/>
    <cellStyle name="Normal 14 3 2 8 2 6" xfId="4276"/>
    <cellStyle name="Normal 14 3 2 8 2 7" xfId="4277"/>
    <cellStyle name="Normal 14 3 2 8 2 8" xfId="4278"/>
    <cellStyle name="Normal 14 3 2 8 2 9" xfId="4279"/>
    <cellStyle name="Normal 14 3 2 8 3" xfId="4280"/>
    <cellStyle name="Normal 14 3 2 8 4" xfId="4281"/>
    <cellStyle name="Normal 14 3 2 8 4 2" xfId="4282"/>
    <cellStyle name="Normal 14 3 2 8 4 3" xfId="4283"/>
    <cellStyle name="Normal 14 3 2 8 4 4" xfId="4284"/>
    <cellStyle name="Normal 14 3 2 8 4 5" xfId="4285"/>
    <cellStyle name="Normal 14 3 2 8 4 6" xfId="4286"/>
    <cellStyle name="Normal 14 3 2 8 5" xfId="4287"/>
    <cellStyle name="Normal 14 3 2 8 6" xfId="4288"/>
    <cellStyle name="Normal 14 3 2 8 7" xfId="4289"/>
    <cellStyle name="Normal 14 3 2 8 8" xfId="4290"/>
    <cellStyle name="Normal 14 3 2 8 9" xfId="4291"/>
    <cellStyle name="Normal 14 3 2 9" xfId="4292"/>
    <cellStyle name="Normal 14 3 2 9 10" xfId="4293"/>
    <cellStyle name="Normal 14 3 2 9 11" xfId="4294"/>
    <cellStyle name="Normal 14 3 2 9 2" xfId="4295"/>
    <cellStyle name="Normal 14 3 2 9 2 10" xfId="4296"/>
    <cellStyle name="Normal 14 3 2 9 2 2" xfId="4297"/>
    <cellStyle name="Normal 14 3 2 9 2 3" xfId="4298"/>
    <cellStyle name="Normal 14 3 2 9 2 3 2" xfId="4299"/>
    <cellStyle name="Normal 14 3 2 9 2 3 3" xfId="4300"/>
    <cellStyle name="Normal 14 3 2 9 2 3 4" xfId="4301"/>
    <cellStyle name="Normal 14 3 2 9 2 3 5" xfId="4302"/>
    <cellStyle name="Normal 14 3 2 9 2 3 6" xfId="4303"/>
    <cellStyle name="Normal 14 3 2 9 2 4" xfId="4304"/>
    <cellStyle name="Normal 14 3 2 9 2 5" xfId="4305"/>
    <cellStyle name="Normal 14 3 2 9 2 6" xfId="4306"/>
    <cellStyle name="Normal 14 3 2 9 2 7" xfId="4307"/>
    <cellStyle name="Normal 14 3 2 9 2 8" xfId="4308"/>
    <cellStyle name="Normal 14 3 2 9 2 9" xfId="4309"/>
    <cellStyle name="Normal 14 3 2 9 3" xfId="4310"/>
    <cellStyle name="Normal 14 3 2 9 4" xfId="4311"/>
    <cellStyle name="Normal 14 3 2 9 4 2" xfId="4312"/>
    <cellStyle name="Normal 14 3 2 9 4 3" xfId="4313"/>
    <cellStyle name="Normal 14 3 2 9 4 4" xfId="4314"/>
    <cellStyle name="Normal 14 3 2 9 4 5" xfId="4315"/>
    <cellStyle name="Normal 14 3 2 9 4 6" xfId="4316"/>
    <cellStyle name="Normal 14 3 2 9 5" xfId="4317"/>
    <cellStyle name="Normal 14 3 2 9 6" xfId="4318"/>
    <cellStyle name="Normal 14 3 2 9 7" xfId="4319"/>
    <cellStyle name="Normal 14 3 2 9 8" xfId="4320"/>
    <cellStyle name="Normal 14 3 2 9 9" xfId="4321"/>
    <cellStyle name="Normal 14 3 20" xfId="4322"/>
    <cellStyle name="Normal 14 3 20 10" xfId="4323"/>
    <cellStyle name="Normal 14 3 20 2" xfId="4324"/>
    <cellStyle name="Normal 14 3 20 3" xfId="4325"/>
    <cellStyle name="Normal 14 3 20 3 2" xfId="4326"/>
    <cellStyle name="Normal 14 3 20 3 3" xfId="4327"/>
    <cellStyle name="Normal 14 3 20 3 4" xfId="4328"/>
    <cellStyle name="Normal 14 3 20 3 5" xfId="4329"/>
    <cellStyle name="Normal 14 3 20 3 6" xfId="4330"/>
    <cellStyle name="Normal 14 3 20 4" xfId="4331"/>
    <cellStyle name="Normal 14 3 20 5" xfId="4332"/>
    <cellStyle name="Normal 14 3 20 6" xfId="4333"/>
    <cellStyle name="Normal 14 3 20 7" xfId="4334"/>
    <cellStyle name="Normal 14 3 20 8" xfId="4335"/>
    <cellStyle name="Normal 14 3 20 9" xfId="4336"/>
    <cellStyle name="Normal 14 3 21" xfId="4337"/>
    <cellStyle name="Normal 14 3 22" xfId="4338"/>
    <cellStyle name="Normal 14 3 22 2" xfId="4339"/>
    <cellStyle name="Normal 14 3 22 3" xfId="4340"/>
    <cellStyle name="Normal 14 3 22 4" xfId="4341"/>
    <cellStyle name="Normal 14 3 22 5" xfId="4342"/>
    <cellStyle name="Normal 14 3 22 6" xfId="4343"/>
    <cellStyle name="Normal 14 3 23" xfId="4344"/>
    <cellStyle name="Normal 14 3 24" xfId="4345"/>
    <cellStyle name="Normal 14 3 25" xfId="4346"/>
    <cellStyle name="Normal 14 3 26" xfId="4347"/>
    <cellStyle name="Normal 14 3 27" xfId="4348"/>
    <cellStyle name="Normal 14 3 28" xfId="4349"/>
    <cellStyle name="Normal 14 3 29" xfId="4350"/>
    <cellStyle name="Normal 14 3 3" xfId="4351"/>
    <cellStyle name="Normal 14 3 3 10" xfId="4352"/>
    <cellStyle name="Normal 14 3 3 11" xfId="4353"/>
    <cellStyle name="Normal 14 3 3 2" xfId="4354"/>
    <cellStyle name="Normal 14 3 3 2 10" xfId="4355"/>
    <cellStyle name="Normal 14 3 3 2 2" xfId="4356"/>
    <cellStyle name="Normal 14 3 3 2 3" xfId="4357"/>
    <cellStyle name="Normal 14 3 3 2 3 2" xfId="4358"/>
    <cellStyle name="Normal 14 3 3 2 3 3" xfId="4359"/>
    <cellStyle name="Normal 14 3 3 2 3 4" xfId="4360"/>
    <cellStyle name="Normal 14 3 3 2 3 5" xfId="4361"/>
    <cellStyle name="Normal 14 3 3 2 3 6" xfId="4362"/>
    <cellStyle name="Normal 14 3 3 2 4" xfId="4363"/>
    <cellStyle name="Normal 14 3 3 2 5" xfId="4364"/>
    <cellStyle name="Normal 14 3 3 2 6" xfId="4365"/>
    <cellStyle name="Normal 14 3 3 2 7" xfId="4366"/>
    <cellStyle name="Normal 14 3 3 2 8" xfId="4367"/>
    <cellStyle name="Normal 14 3 3 2 9" xfId="4368"/>
    <cellStyle name="Normal 14 3 3 3" xfId="4369"/>
    <cellStyle name="Normal 14 3 3 4" xfId="4370"/>
    <cellStyle name="Normal 14 3 3 4 2" xfId="4371"/>
    <cellStyle name="Normal 14 3 3 4 3" xfId="4372"/>
    <cellStyle name="Normal 14 3 3 4 4" xfId="4373"/>
    <cellStyle name="Normal 14 3 3 4 5" xfId="4374"/>
    <cellStyle name="Normal 14 3 3 4 6" xfId="4375"/>
    <cellStyle name="Normal 14 3 3 5" xfId="4376"/>
    <cellStyle name="Normal 14 3 3 6" xfId="4377"/>
    <cellStyle name="Normal 14 3 3 7" xfId="4378"/>
    <cellStyle name="Normal 14 3 3 8" xfId="4379"/>
    <cellStyle name="Normal 14 3 3 9" xfId="4380"/>
    <cellStyle name="Normal 14 3 4" xfId="4381"/>
    <cellStyle name="Normal 14 3 4 10" xfId="4382"/>
    <cellStyle name="Normal 14 3 4 11" xfId="4383"/>
    <cellStyle name="Normal 14 3 4 2" xfId="4384"/>
    <cellStyle name="Normal 14 3 4 2 10" xfId="4385"/>
    <cellStyle name="Normal 14 3 4 2 2" xfId="4386"/>
    <cellStyle name="Normal 14 3 4 2 3" xfId="4387"/>
    <cellStyle name="Normal 14 3 4 2 3 2" xfId="4388"/>
    <cellStyle name="Normal 14 3 4 2 3 3" xfId="4389"/>
    <cellStyle name="Normal 14 3 4 2 3 4" xfId="4390"/>
    <cellStyle name="Normal 14 3 4 2 3 5" xfId="4391"/>
    <cellStyle name="Normal 14 3 4 2 3 6" xfId="4392"/>
    <cellStyle name="Normal 14 3 4 2 4" xfId="4393"/>
    <cellStyle name="Normal 14 3 4 2 5" xfId="4394"/>
    <cellStyle name="Normal 14 3 4 2 6" xfId="4395"/>
    <cellStyle name="Normal 14 3 4 2 7" xfId="4396"/>
    <cellStyle name="Normal 14 3 4 2 8" xfId="4397"/>
    <cellStyle name="Normal 14 3 4 2 9" xfId="4398"/>
    <cellStyle name="Normal 14 3 4 3" xfId="4399"/>
    <cellStyle name="Normal 14 3 4 4" xfId="4400"/>
    <cellStyle name="Normal 14 3 4 4 2" xfId="4401"/>
    <cellStyle name="Normal 14 3 4 4 3" xfId="4402"/>
    <cellStyle name="Normal 14 3 4 4 4" xfId="4403"/>
    <cellStyle name="Normal 14 3 4 4 5" xfId="4404"/>
    <cellStyle name="Normal 14 3 4 4 6" xfId="4405"/>
    <cellStyle name="Normal 14 3 4 5" xfId="4406"/>
    <cellStyle name="Normal 14 3 4 6" xfId="4407"/>
    <cellStyle name="Normal 14 3 4 7" xfId="4408"/>
    <cellStyle name="Normal 14 3 4 8" xfId="4409"/>
    <cellStyle name="Normal 14 3 4 9" xfId="4410"/>
    <cellStyle name="Normal 14 3 5" xfId="4411"/>
    <cellStyle name="Normal 14 3 5 10" xfId="4412"/>
    <cellStyle name="Normal 14 3 5 11" xfId="4413"/>
    <cellStyle name="Normal 14 3 5 2" xfId="4414"/>
    <cellStyle name="Normal 14 3 5 2 10" xfId="4415"/>
    <cellStyle name="Normal 14 3 5 2 2" xfId="4416"/>
    <cellStyle name="Normal 14 3 5 2 3" xfId="4417"/>
    <cellStyle name="Normal 14 3 5 2 3 2" xfId="4418"/>
    <cellStyle name="Normal 14 3 5 2 3 3" xfId="4419"/>
    <cellStyle name="Normal 14 3 5 2 3 4" xfId="4420"/>
    <cellStyle name="Normal 14 3 5 2 3 5" xfId="4421"/>
    <cellStyle name="Normal 14 3 5 2 3 6" xfId="4422"/>
    <cellStyle name="Normal 14 3 5 2 4" xfId="4423"/>
    <cellStyle name="Normal 14 3 5 2 5" xfId="4424"/>
    <cellStyle name="Normal 14 3 5 2 6" xfId="4425"/>
    <cellStyle name="Normal 14 3 5 2 7" xfId="4426"/>
    <cellStyle name="Normal 14 3 5 2 8" xfId="4427"/>
    <cellStyle name="Normal 14 3 5 2 9" xfId="4428"/>
    <cellStyle name="Normal 14 3 5 3" xfId="4429"/>
    <cellStyle name="Normal 14 3 5 4" xfId="4430"/>
    <cellStyle name="Normal 14 3 5 4 2" xfId="4431"/>
    <cellStyle name="Normal 14 3 5 4 3" xfId="4432"/>
    <cellStyle name="Normal 14 3 5 4 4" xfId="4433"/>
    <cellStyle name="Normal 14 3 5 4 5" xfId="4434"/>
    <cellStyle name="Normal 14 3 5 4 6" xfId="4435"/>
    <cellStyle name="Normal 14 3 5 5" xfId="4436"/>
    <cellStyle name="Normal 14 3 5 6" xfId="4437"/>
    <cellStyle name="Normal 14 3 5 7" xfId="4438"/>
    <cellStyle name="Normal 14 3 5 8" xfId="4439"/>
    <cellStyle name="Normal 14 3 5 9" xfId="4440"/>
    <cellStyle name="Normal 14 3 6" xfId="4441"/>
    <cellStyle name="Normal 14 3 6 2" xfId="4442"/>
    <cellStyle name="Normal 14 3 6 2 2" xfId="4443"/>
    <cellStyle name="Normal 14 3 6 2 3" xfId="4444"/>
    <cellStyle name="Normal 14 3 6 2 4" xfId="4445"/>
    <cellStyle name="Normal 14 3 6 2 5" xfId="4446"/>
    <cellStyle name="Normal 14 3 6 2 6" xfId="4447"/>
    <cellStyle name="Normal 14 3 6 3" xfId="4448"/>
    <cellStyle name="Normal 14 3 6 4" xfId="4449"/>
    <cellStyle name="Normal 14 3 7" xfId="4450"/>
    <cellStyle name="Normal 14 3 7 2" xfId="4451"/>
    <cellStyle name="Normal 14 3 7 2 2" xfId="4452"/>
    <cellStyle name="Normal 14 3 7 2 3" xfId="4453"/>
    <cellStyle name="Normal 14 3 7 2 4" xfId="4454"/>
    <cellStyle name="Normal 14 3 7 2 5" xfId="4455"/>
    <cellStyle name="Normal 14 3 7 2 6" xfId="4456"/>
    <cellStyle name="Normal 14 3 7 3" xfId="4457"/>
    <cellStyle name="Normal 14 3 7 4" xfId="4458"/>
    <cellStyle name="Normal 14 3 8" xfId="4459"/>
    <cellStyle name="Normal 14 3 8 2" xfId="4460"/>
    <cellStyle name="Normal 14 3 8 2 2" xfId="4461"/>
    <cellStyle name="Normal 14 3 8 2 3" xfId="4462"/>
    <cellStyle name="Normal 14 3 8 2 4" xfId="4463"/>
    <cellStyle name="Normal 14 3 8 2 5" xfId="4464"/>
    <cellStyle name="Normal 14 3 8 2 6" xfId="4465"/>
    <cellStyle name="Normal 14 3 8 3" xfId="4466"/>
    <cellStyle name="Normal 14 3 8 4" xfId="4467"/>
    <cellStyle name="Normal 14 3 9" xfId="4468"/>
    <cellStyle name="Normal 14 3 9 2" xfId="4469"/>
    <cellStyle name="Normal 14 3 9 2 2" xfId="4470"/>
    <cellStyle name="Normal 14 3 9 2 3" xfId="4471"/>
    <cellStyle name="Normal 14 3 9 2 4" xfId="4472"/>
    <cellStyle name="Normal 14 3 9 2 5" xfId="4473"/>
    <cellStyle name="Normal 14 3 9 2 6" xfId="4474"/>
    <cellStyle name="Normal 14 3 9 3" xfId="4475"/>
    <cellStyle name="Normal 14 3 9 4" xfId="4476"/>
    <cellStyle name="Normal 14 4" xfId="4477"/>
    <cellStyle name="Normal 14 4 10" xfId="4478"/>
    <cellStyle name="Normal 14 4 11" xfId="4479"/>
    <cellStyle name="Normal 14 4 2" xfId="4480"/>
    <cellStyle name="Normal 14 4 2 10" xfId="4481"/>
    <cellStyle name="Normal 14 4 2 2" xfId="4482"/>
    <cellStyle name="Normal 14 4 2 3" xfId="4483"/>
    <cellStyle name="Normal 14 4 2 3 2" xfId="4484"/>
    <cellStyle name="Normal 14 4 2 3 3" xfId="4485"/>
    <cellStyle name="Normal 14 4 2 3 4" xfId="4486"/>
    <cellStyle name="Normal 14 4 2 3 5" xfId="4487"/>
    <cellStyle name="Normal 14 4 2 3 6" xfId="4488"/>
    <cellStyle name="Normal 14 4 2 4" xfId="4489"/>
    <cellStyle name="Normal 14 4 2 5" xfId="4490"/>
    <cellStyle name="Normal 14 4 2 6" xfId="4491"/>
    <cellStyle name="Normal 14 4 2 7" xfId="4492"/>
    <cellStyle name="Normal 14 4 2 8" xfId="4493"/>
    <cellStyle name="Normal 14 4 2 9" xfId="4494"/>
    <cellStyle name="Normal 14 4 3" xfId="4495"/>
    <cellStyle name="Normal 14 4 4" xfId="4496"/>
    <cellStyle name="Normal 14 4 4 2" xfId="4497"/>
    <cellStyle name="Normal 14 4 4 3" xfId="4498"/>
    <cellStyle name="Normal 14 4 4 4" xfId="4499"/>
    <cellStyle name="Normal 14 4 4 5" xfId="4500"/>
    <cellStyle name="Normal 14 4 4 6" xfId="4501"/>
    <cellStyle name="Normal 14 4 5" xfId="4502"/>
    <cellStyle name="Normal 14 4 6" xfId="4503"/>
    <cellStyle name="Normal 14 4 7" xfId="4504"/>
    <cellStyle name="Normal 14 4 8" xfId="4505"/>
    <cellStyle name="Normal 14 4 9" xfId="4506"/>
    <cellStyle name="Normal 14 5" xfId="4507"/>
    <cellStyle name="Normal 14 5 2" xfId="4508"/>
    <cellStyle name="Normal 14 5 2 2" xfId="4509"/>
    <cellStyle name="Normal 14 5 2 3" xfId="4510"/>
    <cellStyle name="Normal 14 5 2 4" xfId="4511"/>
    <cellStyle name="Normal 14 5 2 5" xfId="4512"/>
    <cellStyle name="Normal 14 5 2 6" xfId="4513"/>
    <cellStyle name="Normal 14 5 3" xfId="4514"/>
    <cellStyle name="Normal 14 5 4" xfId="4515"/>
    <cellStyle name="Normal 14 6" xfId="4516"/>
    <cellStyle name="Normal 14 6 2" xfId="4517"/>
    <cellStyle name="Normal 14 6 2 2" xfId="4518"/>
    <cellStyle name="Normal 14 6 2 3" xfId="4519"/>
    <cellStyle name="Normal 14 6 2 4" xfId="4520"/>
    <cellStyle name="Normal 14 6 2 5" xfId="4521"/>
    <cellStyle name="Normal 14 6 2 6" xfId="4522"/>
    <cellStyle name="Normal 14 6 3" xfId="4523"/>
    <cellStyle name="Normal 14 6 4" xfId="4524"/>
    <cellStyle name="Normal 14 7" xfId="4525"/>
    <cellStyle name="Normal 14 7 2" xfId="4526"/>
    <cellStyle name="Normal 14 7 2 2" xfId="4527"/>
    <cellStyle name="Normal 14 7 2 3" xfId="4528"/>
    <cellStyle name="Normal 14 7 2 4" xfId="4529"/>
    <cellStyle name="Normal 14 7 2 5" xfId="4530"/>
    <cellStyle name="Normal 14 7 2 6" xfId="4531"/>
    <cellStyle name="Normal 14 7 3" xfId="4532"/>
    <cellStyle name="Normal 14 7 4" xfId="4533"/>
    <cellStyle name="Normal 14 8" xfId="4534"/>
    <cellStyle name="Normal 14 8 2" xfId="4535"/>
    <cellStyle name="Normal 14 8 2 2" xfId="4536"/>
    <cellStyle name="Normal 14 8 2 3" xfId="4537"/>
    <cellStyle name="Normal 14 8 2 4" xfId="4538"/>
    <cellStyle name="Normal 14 8 2 5" xfId="4539"/>
    <cellStyle name="Normal 14 8 2 6" xfId="4540"/>
    <cellStyle name="Normal 14 8 3" xfId="4541"/>
    <cellStyle name="Normal 14 8 4" xfId="4542"/>
    <cellStyle name="Normal 14 9" xfId="4543"/>
    <cellStyle name="Normal 14 9 2" xfId="4544"/>
    <cellStyle name="Normal 14 9 2 2" xfId="4545"/>
    <cellStyle name="Normal 14 9 2 3" xfId="4546"/>
    <cellStyle name="Normal 14 9 2 4" xfId="4547"/>
    <cellStyle name="Normal 14 9 2 5" xfId="4548"/>
    <cellStyle name="Normal 14 9 2 6" xfId="4549"/>
    <cellStyle name="Normal 14 9 3" xfId="4550"/>
    <cellStyle name="Normal 14 9 4" xfId="4551"/>
    <cellStyle name="Normal 140" xfId="4552"/>
    <cellStyle name="Normal 140 10" xfId="4553"/>
    <cellStyle name="Normal 140 2" xfId="4554"/>
    <cellStyle name="Normal 140 3" xfId="4555"/>
    <cellStyle name="Normal 140 3 2" xfId="4556"/>
    <cellStyle name="Normal 140 3 3" xfId="4557"/>
    <cellStyle name="Normal 140 3 4" xfId="4558"/>
    <cellStyle name="Normal 140 3 5" xfId="4559"/>
    <cellStyle name="Normal 140 3 6" xfId="4560"/>
    <cellStyle name="Normal 140 4" xfId="4561"/>
    <cellStyle name="Normal 140 5" xfId="4562"/>
    <cellStyle name="Normal 140 6" xfId="4563"/>
    <cellStyle name="Normal 140 7" xfId="4564"/>
    <cellStyle name="Normal 140 8" xfId="4565"/>
    <cellStyle name="Normal 140 9" xfId="4566"/>
    <cellStyle name="Normal 141" xfId="4567"/>
    <cellStyle name="Normal 141 10" xfId="4568"/>
    <cellStyle name="Normal 141 2" xfId="4569"/>
    <cellStyle name="Normal 141 3" xfId="4570"/>
    <cellStyle name="Normal 141 3 2" xfId="4571"/>
    <cellStyle name="Normal 141 3 3" xfId="4572"/>
    <cellStyle name="Normal 141 3 4" xfId="4573"/>
    <cellStyle name="Normal 141 3 5" xfId="4574"/>
    <cellStyle name="Normal 141 3 6" xfId="4575"/>
    <cellStyle name="Normal 141 4" xfId="4576"/>
    <cellStyle name="Normal 141 5" xfId="4577"/>
    <cellStyle name="Normal 141 6" xfId="4578"/>
    <cellStyle name="Normal 141 7" xfId="4579"/>
    <cellStyle name="Normal 141 8" xfId="4580"/>
    <cellStyle name="Normal 141 9" xfId="4581"/>
    <cellStyle name="Normal 142" xfId="4582"/>
    <cellStyle name="Normal 143" xfId="4583"/>
    <cellStyle name="Normal 144" xfId="4584"/>
    <cellStyle name="Normal 145" xfId="4585"/>
    <cellStyle name="Normal 146" xfId="4586"/>
    <cellStyle name="Normal 147" xfId="4587"/>
    <cellStyle name="Normal 148" xfId="4588"/>
    <cellStyle name="Normal 149" xfId="48433"/>
    <cellStyle name="Normal 15" xfId="4589"/>
    <cellStyle name="Normal 15 10" xfId="4590"/>
    <cellStyle name="Normal 15 10 10" xfId="4591"/>
    <cellStyle name="Normal 15 10 11" xfId="4592"/>
    <cellStyle name="Normal 15 10 2" xfId="4593"/>
    <cellStyle name="Normal 15 10 2 10" xfId="4594"/>
    <cellStyle name="Normal 15 10 2 2" xfId="4595"/>
    <cellStyle name="Normal 15 10 2 3" xfId="4596"/>
    <cellStyle name="Normal 15 10 2 3 2" xfId="4597"/>
    <cellStyle name="Normal 15 10 2 3 3" xfId="4598"/>
    <cellStyle name="Normal 15 10 2 3 4" xfId="4599"/>
    <cellStyle name="Normal 15 10 2 3 5" xfId="4600"/>
    <cellStyle name="Normal 15 10 2 3 6" xfId="4601"/>
    <cellStyle name="Normal 15 10 2 4" xfId="4602"/>
    <cellStyle name="Normal 15 10 2 5" xfId="4603"/>
    <cellStyle name="Normal 15 10 2 6" xfId="4604"/>
    <cellStyle name="Normal 15 10 2 7" xfId="4605"/>
    <cellStyle name="Normal 15 10 2 8" xfId="4606"/>
    <cellStyle name="Normal 15 10 2 9" xfId="4607"/>
    <cellStyle name="Normal 15 10 3" xfId="4608"/>
    <cellStyle name="Normal 15 10 4" xfId="4609"/>
    <cellStyle name="Normal 15 10 4 2" xfId="4610"/>
    <cellStyle name="Normal 15 10 4 3" xfId="4611"/>
    <cellStyle name="Normal 15 10 4 4" xfId="4612"/>
    <cellStyle name="Normal 15 10 4 5" xfId="4613"/>
    <cellStyle name="Normal 15 10 4 6" xfId="4614"/>
    <cellStyle name="Normal 15 10 5" xfId="4615"/>
    <cellStyle name="Normal 15 10 6" xfId="4616"/>
    <cellStyle name="Normal 15 10 7" xfId="4617"/>
    <cellStyle name="Normal 15 10 8" xfId="4618"/>
    <cellStyle name="Normal 15 10 9" xfId="4619"/>
    <cellStyle name="Normal 15 11" xfId="4620"/>
    <cellStyle name="Normal 15 12" xfId="4621"/>
    <cellStyle name="Normal 15 12 2" xfId="4622"/>
    <cellStyle name="Normal 15 12 3" xfId="4623"/>
    <cellStyle name="Normal 15 12 4" xfId="4624"/>
    <cellStyle name="Normal 15 12 5" xfId="4625"/>
    <cellStyle name="Normal 15 12 6" xfId="4626"/>
    <cellStyle name="Normal 15 13" xfId="4627"/>
    <cellStyle name="Normal 15 13 2" xfId="4628"/>
    <cellStyle name="Normal 15 13 3" xfId="4629"/>
    <cellStyle name="Normal 15 13 4" xfId="4630"/>
    <cellStyle name="Normal 15 13 5" xfId="4631"/>
    <cellStyle name="Normal 15 13 6" xfId="4632"/>
    <cellStyle name="Normal 15 2" xfId="4633"/>
    <cellStyle name="Normal 15 2 10" xfId="4634"/>
    <cellStyle name="Normal 15 2 11" xfId="4635"/>
    <cellStyle name="Normal 15 2 2" xfId="4636"/>
    <cellStyle name="Normal 15 2 2 10" xfId="4637"/>
    <cellStyle name="Normal 15 2 2 2" xfId="4638"/>
    <cellStyle name="Normal 15 2 2 3" xfId="4639"/>
    <cellStyle name="Normal 15 2 2 3 2" xfId="4640"/>
    <cellStyle name="Normal 15 2 2 3 3" xfId="4641"/>
    <cellStyle name="Normal 15 2 2 3 4" xfId="4642"/>
    <cellStyle name="Normal 15 2 2 3 5" xfId="4643"/>
    <cellStyle name="Normal 15 2 2 3 6" xfId="4644"/>
    <cellStyle name="Normal 15 2 2 4" xfId="4645"/>
    <cellStyle name="Normal 15 2 2 5" xfId="4646"/>
    <cellStyle name="Normal 15 2 2 6" xfId="4647"/>
    <cellStyle name="Normal 15 2 2 7" xfId="4648"/>
    <cellStyle name="Normal 15 2 2 8" xfId="4649"/>
    <cellStyle name="Normal 15 2 2 9" xfId="4650"/>
    <cellStyle name="Normal 15 2 3" xfId="4651"/>
    <cellStyle name="Normal 15 2 4" xfId="4652"/>
    <cellStyle name="Normal 15 2 4 2" xfId="4653"/>
    <cellStyle name="Normal 15 2 4 3" xfId="4654"/>
    <cellStyle name="Normal 15 2 4 4" xfId="4655"/>
    <cellStyle name="Normal 15 2 4 5" xfId="4656"/>
    <cellStyle name="Normal 15 2 4 6" xfId="4657"/>
    <cellStyle name="Normal 15 2 5" xfId="4658"/>
    <cellStyle name="Normal 15 2 6" xfId="4659"/>
    <cellStyle name="Normal 15 2 7" xfId="4660"/>
    <cellStyle name="Normal 15 2 8" xfId="4661"/>
    <cellStyle name="Normal 15 2 9" xfId="4662"/>
    <cellStyle name="Normal 15 3" xfId="4663"/>
    <cellStyle name="Normal 15 3 10" xfId="4664"/>
    <cellStyle name="Normal 15 3 11" xfId="4665"/>
    <cellStyle name="Normal 15 3 2" xfId="4666"/>
    <cellStyle name="Normal 15 3 2 10" xfId="4667"/>
    <cellStyle name="Normal 15 3 2 2" xfId="4668"/>
    <cellStyle name="Normal 15 3 2 3" xfId="4669"/>
    <cellStyle name="Normal 15 3 2 3 2" xfId="4670"/>
    <cellStyle name="Normal 15 3 2 3 3" xfId="4671"/>
    <cellStyle name="Normal 15 3 2 3 4" xfId="4672"/>
    <cellStyle name="Normal 15 3 2 3 5" xfId="4673"/>
    <cellStyle name="Normal 15 3 2 3 6" xfId="4674"/>
    <cellStyle name="Normal 15 3 2 4" xfId="4675"/>
    <cellStyle name="Normal 15 3 2 5" xfId="4676"/>
    <cellStyle name="Normal 15 3 2 6" xfId="4677"/>
    <cellStyle name="Normal 15 3 2 7" xfId="4678"/>
    <cellStyle name="Normal 15 3 2 8" xfId="4679"/>
    <cellStyle name="Normal 15 3 2 9" xfId="4680"/>
    <cellStyle name="Normal 15 3 3" xfId="4681"/>
    <cellStyle name="Normal 15 3 4" xfId="4682"/>
    <cellStyle name="Normal 15 3 4 2" xfId="4683"/>
    <cellStyle name="Normal 15 3 4 3" xfId="4684"/>
    <cellStyle name="Normal 15 3 4 4" xfId="4685"/>
    <cellStyle name="Normal 15 3 4 5" xfId="4686"/>
    <cellStyle name="Normal 15 3 4 6" xfId="4687"/>
    <cellStyle name="Normal 15 3 5" xfId="4688"/>
    <cellStyle name="Normal 15 3 6" xfId="4689"/>
    <cellStyle name="Normal 15 3 7" xfId="4690"/>
    <cellStyle name="Normal 15 3 8" xfId="4691"/>
    <cellStyle name="Normal 15 3 9" xfId="4692"/>
    <cellStyle name="Normal 15 4" xfId="4693"/>
    <cellStyle name="Normal 15 4 10" xfId="4694"/>
    <cellStyle name="Normal 15 4 11" xfId="4695"/>
    <cellStyle name="Normal 15 4 2" xfId="4696"/>
    <cellStyle name="Normal 15 4 2 10" xfId="4697"/>
    <cellStyle name="Normal 15 4 2 2" xfId="4698"/>
    <cellStyle name="Normal 15 4 2 3" xfId="4699"/>
    <cellStyle name="Normal 15 4 2 3 2" xfId="4700"/>
    <cellStyle name="Normal 15 4 2 3 3" xfId="4701"/>
    <cellStyle name="Normal 15 4 2 3 4" xfId="4702"/>
    <cellStyle name="Normal 15 4 2 3 5" xfId="4703"/>
    <cellStyle name="Normal 15 4 2 3 6" xfId="4704"/>
    <cellStyle name="Normal 15 4 2 4" xfId="4705"/>
    <cellStyle name="Normal 15 4 2 5" xfId="4706"/>
    <cellStyle name="Normal 15 4 2 6" xfId="4707"/>
    <cellStyle name="Normal 15 4 2 7" xfId="4708"/>
    <cellStyle name="Normal 15 4 2 8" xfId="4709"/>
    <cellStyle name="Normal 15 4 2 9" xfId="4710"/>
    <cellStyle name="Normal 15 4 3" xfId="4711"/>
    <cellStyle name="Normal 15 4 4" xfId="4712"/>
    <cellStyle name="Normal 15 4 4 2" xfId="4713"/>
    <cellStyle name="Normal 15 4 4 3" xfId="4714"/>
    <cellStyle name="Normal 15 4 4 4" xfId="4715"/>
    <cellStyle name="Normal 15 4 4 5" xfId="4716"/>
    <cellStyle name="Normal 15 4 4 6" xfId="4717"/>
    <cellStyle name="Normal 15 4 5" xfId="4718"/>
    <cellStyle name="Normal 15 4 6" xfId="4719"/>
    <cellStyle name="Normal 15 4 7" xfId="4720"/>
    <cellStyle name="Normal 15 4 8" xfId="4721"/>
    <cellStyle name="Normal 15 4 9" xfId="4722"/>
    <cellStyle name="Normal 15 5" xfId="4723"/>
    <cellStyle name="Normal 15 5 10" xfId="4724"/>
    <cellStyle name="Normal 15 5 11" xfId="4725"/>
    <cellStyle name="Normal 15 5 2" xfId="4726"/>
    <cellStyle name="Normal 15 5 2 10" xfId="4727"/>
    <cellStyle name="Normal 15 5 2 2" xfId="4728"/>
    <cellStyle name="Normal 15 5 2 3" xfId="4729"/>
    <cellStyle name="Normal 15 5 2 3 2" xfId="4730"/>
    <cellStyle name="Normal 15 5 2 3 3" xfId="4731"/>
    <cellStyle name="Normal 15 5 2 3 4" xfId="4732"/>
    <cellStyle name="Normal 15 5 2 3 5" xfId="4733"/>
    <cellStyle name="Normal 15 5 2 3 6" xfId="4734"/>
    <cellStyle name="Normal 15 5 2 4" xfId="4735"/>
    <cellStyle name="Normal 15 5 2 5" xfId="4736"/>
    <cellStyle name="Normal 15 5 2 6" xfId="4737"/>
    <cellStyle name="Normal 15 5 2 7" xfId="4738"/>
    <cellStyle name="Normal 15 5 2 8" xfId="4739"/>
    <cellStyle name="Normal 15 5 2 9" xfId="4740"/>
    <cellStyle name="Normal 15 5 3" xfId="4741"/>
    <cellStyle name="Normal 15 5 4" xfId="4742"/>
    <cellStyle name="Normal 15 5 4 2" xfId="4743"/>
    <cellStyle name="Normal 15 5 4 3" xfId="4744"/>
    <cellStyle name="Normal 15 5 4 4" xfId="4745"/>
    <cellStyle name="Normal 15 5 4 5" xfId="4746"/>
    <cellStyle name="Normal 15 5 4 6" xfId="4747"/>
    <cellStyle name="Normal 15 5 5" xfId="4748"/>
    <cellStyle name="Normal 15 5 6" xfId="4749"/>
    <cellStyle name="Normal 15 5 7" xfId="4750"/>
    <cellStyle name="Normal 15 5 8" xfId="4751"/>
    <cellStyle name="Normal 15 5 9" xfId="4752"/>
    <cellStyle name="Normal 15 6" xfId="4753"/>
    <cellStyle name="Normal 15 6 10" xfId="4754"/>
    <cellStyle name="Normal 15 6 11" xfId="4755"/>
    <cellStyle name="Normal 15 6 2" xfId="4756"/>
    <cellStyle name="Normal 15 6 2 10" xfId="4757"/>
    <cellStyle name="Normal 15 6 2 2" xfId="4758"/>
    <cellStyle name="Normal 15 6 2 3" xfId="4759"/>
    <cellStyle name="Normal 15 6 2 3 2" xfId="4760"/>
    <cellStyle name="Normal 15 6 2 3 3" xfId="4761"/>
    <cellStyle name="Normal 15 6 2 3 4" xfId="4762"/>
    <cellStyle name="Normal 15 6 2 3 5" xfId="4763"/>
    <cellStyle name="Normal 15 6 2 3 6" xfId="4764"/>
    <cellStyle name="Normal 15 6 2 4" xfId="4765"/>
    <cellStyle name="Normal 15 6 2 5" xfId="4766"/>
    <cellStyle name="Normal 15 6 2 6" xfId="4767"/>
    <cellStyle name="Normal 15 6 2 7" xfId="4768"/>
    <cellStyle name="Normal 15 6 2 8" xfId="4769"/>
    <cellStyle name="Normal 15 6 2 9" xfId="4770"/>
    <cellStyle name="Normal 15 6 3" xfId="4771"/>
    <cellStyle name="Normal 15 6 4" xfId="4772"/>
    <cellStyle name="Normal 15 6 4 2" xfId="4773"/>
    <cellStyle name="Normal 15 6 4 3" xfId="4774"/>
    <cellStyle name="Normal 15 6 4 4" xfId="4775"/>
    <cellStyle name="Normal 15 6 4 5" xfId="4776"/>
    <cellStyle name="Normal 15 6 4 6" xfId="4777"/>
    <cellStyle name="Normal 15 6 5" xfId="4778"/>
    <cellStyle name="Normal 15 6 6" xfId="4779"/>
    <cellStyle name="Normal 15 6 7" xfId="4780"/>
    <cellStyle name="Normal 15 6 8" xfId="4781"/>
    <cellStyle name="Normal 15 6 9" xfId="4782"/>
    <cellStyle name="Normal 15 7" xfId="4783"/>
    <cellStyle name="Normal 15 7 10" xfId="4784"/>
    <cellStyle name="Normal 15 7 11" xfId="4785"/>
    <cellStyle name="Normal 15 7 2" xfId="4786"/>
    <cellStyle name="Normal 15 7 2 10" xfId="4787"/>
    <cellStyle name="Normal 15 7 2 2" xfId="4788"/>
    <cellStyle name="Normal 15 7 2 3" xfId="4789"/>
    <cellStyle name="Normal 15 7 2 3 2" xfId="4790"/>
    <cellStyle name="Normal 15 7 2 3 3" xfId="4791"/>
    <cellStyle name="Normal 15 7 2 3 4" xfId="4792"/>
    <cellStyle name="Normal 15 7 2 3 5" xfId="4793"/>
    <cellStyle name="Normal 15 7 2 3 6" xfId="4794"/>
    <cellStyle name="Normal 15 7 2 4" xfId="4795"/>
    <cellStyle name="Normal 15 7 2 5" xfId="4796"/>
    <cellStyle name="Normal 15 7 2 6" xfId="4797"/>
    <cellStyle name="Normal 15 7 2 7" xfId="4798"/>
    <cellStyle name="Normal 15 7 2 8" xfId="4799"/>
    <cellStyle name="Normal 15 7 2 9" xfId="4800"/>
    <cellStyle name="Normal 15 7 3" xfId="4801"/>
    <cellStyle name="Normal 15 7 4" xfId="4802"/>
    <cellStyle name="Normal 15 7 4 2" xfId="4803"/>
    <cellStyle name="Normal 15 7 4 3" xfId="4804"/>
    <cellStyle name="Normal 15 7 4 4" xfId="4805"/>
    <cellStyle name="Normal 15 7 4 5" xfId="4806"/>
    <cellStyle name="Normal 15 7 4 6" xfId="4807"/>
    <cellStyle name="Normal 15 7 5" xfId="4808"/>
    <cellStyle name="Normal 15 7 6" xfId="4809"/>
    <cellStyle name="Normal 15 7 7" xfId="4810"/>
    <cellStyle name="Normal 15 7 8" xfId="4811"/>
    <cellStyle name="Normal 15 7 9" xfId="4812"/>
    <cellStyle name="Normal 15 8" xfId="4813"/>
    <cellStyle name="Normal 15 8 10" xfId="4814"/>
    <cellStyle name="Normal 15 8 11" xfId="4815"/>
    <cellStyle name="Normal 15 8 2" xfId="4816"/>
    <cellStyle name="Normal 15 8 2 10" xfId="4817"/>
    <cellStyle name="Normal 15 8 2 2" xfId="4818"/>
    <cellStyle name="Normal 15 8 2 3" xfId="4819"/>
    <cellStyle name="Normal 15 8 2 3 2" xfId="4820"/>
    <cellStyle name="Normal 15 8 2 3 3" xfId="4821"/>
    <cellStyle name="Normal 15 8 2 3 4" xfId="4822"/>
    <cellStyle name="Normal 15 8 2 3 5" xfId="4823"/>
    <cellStyle name="Normal 15 8 2 3 6" xfId="4824"/>
    <cellStyle name="Normal 15 8 2 4" xfId="4825"/>
    <cellStyle name="Normal 15 8 2 5" xfId="4826"/>
    <cellStyle name="Normal 15 8 2 6" xfId="4827"/>
    <cellStyle name="Normal 15 8 2 7" xfId="4828"/>
    <cellStyle name="Normal 15 8 2 8" xfId="4829"/>
    <cellStyle name="Normal 15 8 2 9" xfId="4830"/>
    <cellStyle name="Normal 15 8 3" xfId="4831"/>
    <cellStyle name="Normal 15 8 4" xfId="4832"/>
    <cellStyle name="Normal 15 8 4 2" xfId="4833"/>
    <cellStyle name="Normal 15 8 4 3" xfId="4834"/>
    <cellStyle name="Normal 15 8 4 4" xfId="4835"/>
    <cellStyle name="Normal 15 8 4 5" xfId="4836"/>
    <cellStyle name="Normal 15 8 4 6" xfId="4837"/>
    <cellStyle name="Normal 15 8 5" xfId="4838"/>
    <cellStyle name="Normal 15 8 6" xfId="4839"/>
    <cellStyle name="Normal 15 8 7" xfId="4840"/>
    <cellStyle name="Normal 15 8 8" xfId="4841"/>
    <cellStyle name="Normal 15 8 9" xfId="4842"/>
    <cellStyle name="Normal 15 9" xfId="4843"/>
    <cellStyle name="Normal 15 9 10" xfId="4844"/>
    <cellStyle name="Normal 15 9 11" xfId="4845"/>
    <cellStyle name="Normal 15 9 2" xfId="4846"/>
    <cellStyle name="Normal 15 9 2 10" xfId="4847"/>
    <cellStyle name="Normal 15 9 2 2" xfId="4848"/>
    <cellStyle name="Normal 15 9 2 3" xfId="4849"/>
    <cellStyle name="Normal 15 9 2 3 2" xfId="4850"/>
    <cellStyle name="Normal 15 9 2 3 3" xfId="4851"/>
    <cellStyle name="Normal 15 9 2 3 4" xfId="4852"/>
    <cellStyle name="Normal 15 9 2 3 5" xfId="4853"/>
    <cellStyle name="Normal 15 9 2 3 6" xfId="4854"/>
    <cellStyle name="Normal 15 9 2 4" xfId="4855"/>
    <cellStyle name="Normal 15 9 2 5" xfId="4856"/>
    <cellStyle name="Normal 15 9 2 6" xfId="4857"/>
    <cellStyle name="Normal 15 9 2 7" xfId="4858"/>
    <cellStyle name="Normal 15 9 2 8" xfId="4859"/>
    <cellStyle name="Normal 15 9 2 9" xfId="4860"/>
    <cellStyle name="Normal 15 9 3" xfId="4861"/>
    <cellStyle name="Normal 15 9 4" xfId="4862"/>
    <cellStyle name="Normal 15 9 4 2" xfId="4863"/>
    <cellStyle name="Normal 15 9 4 3" xfId="4864"/>
    <cellStyle name="Normal 15 9 4 4" xfId="4865"/>
    <cellStyle name="Normal 15 9 4 5" xfId="4866"/>
    <cellStyle name="Normal 15 9 4 6" xfId="4867"/>
    <cellStyle name="Normal 15 9 5" xfId="4868"/>
    <cellStyle name="Normal 15 9 6" xfId="4869"/>
    <cellStyle name="Normal 15 9 7" xfId="4870"/>
    <cellStyle name="Normal 15 9 8" xfId="4871"/>
    <cellStyle name="Normal 15 9 9" xfId="4872"/>
    <cellStyle name="Normal 16" xfId="4873"/>
    <cellStyle name="Normal 16 10" xfId="4874"/>
    <cellStyle name="Normal 16 10 10" xfId="4875"/>
    <cellStyle name="Normal 16 10 11" xfId="4876"/>
    <cellStyle name="Normal 16 10 2" xfId="4877"/>
    <cellStyle name="Normal 16 10 2 10" xfId="4878"/>
    <cellStyle name="Normal 16 10 2 2" xfId="4879"/>
    <cellStyle name="Normal 16 10 2 3" xfId="4880"/>
    <cellStyle name="Normal 16 10 2 3 2" xfId="4881"/>
    <cellStyle name="Normal 16 10 2 3 3" xfId="4882"/>
    <cellStyle name="Normal 16 10 2 3 4" xfId="4883"/>
    <cellStyle name="Normal 16 10 2 3 5" xfId="4884"/>
    <cellStyle name="Normal 16 10 2 3 6" xfId="4885"/>
    <cellStyle name="Normal 16 10 2 4" xfId="4886"/>
    <cellStyle name="Normal 16 10 2 5" xfId="4887"/>
    <cellStyle name="Normal 16 10 2 6" xfId="4888"/>
    <cellStyle name="Normal 16 10 2 7" xfId="4889"/>
    <cellStyle name="Normal 16 10 2 8" xfId="4890"/>
    <cellStyle name="Normal 16 10 2 9" xfId="4891"/>
    <cellStyle name="Normal 16 10 3" xfId="4892"/>
    <cellStyle name="Normal 16 10 4" xfId="4893"/>
    <cellStyle name="Normal 16 10 4 2" xfId="4894"/>
    <cellStyle name="Normal 16 10 4 3" xfId="4895"/>
    <cellStyle name="Normal 16 10 4 4" xfId="4896"/>
    <cellStyle name="Normal 16 10 4 5" xfId="4897"/>
    <cellStyle name="Normal 16 10 4 6" xfId="4898"/>
    <cellStyle name="Normal 16 10 5" xfId="4899"/>
    <cellStyle name="Normal 16 10 6" xfId="4900"/>
    <cellStyle name="Normal 16 10 7" xfId="4901"/>
    <cellStyle name="Normal 16 10 8" xfId="4902"/>
    <cellStyle name="Normal 16 10 9" xfId="4903"/>
    <cellStyle name="Normal 16 11" xfId="4904"/>
    <cellStyle name="Normal 16 11 10" xfId="4905"/>
    <cellStyle name="Normal 16 11 2" xfId="4906"/>
    <cellStyle name="Normal 16 11 3" xfId="4907"/>
    <cellStyle name="Normal 16 11 3 2" xfId="4908"/>
    <cellStyle name="Normal 16 11 3 3" xfId="4909"/>
    <cellStyle name="Normal 16 11 3 4" xfId="4910"/>
    <cellStyle name="Normal 16 11 3 5" xfId="4911"/>
    <cellStyle name="Normal 16 11 3 6" xfId="4912"/>
    <cellStyle name="Normal 16 11 4" xfId="4913"/>
    <cellStyle name="Normal 16 11 5" xfId="4914"/>
    <cellStyle name="Normal 16 11 6" xfId="4915"/>
    <cellStyle name="Normal 16 11 7" xfId="4916"/>
    <cellStyle name="Normal 16 11 8" xfId="4917"/>
    <cellStyle name="Normal 16 11 9" xfId="4918"/>
    <cellStyle name="Normal 16 12" xfId="4919"/>
    <cellStyle name="Normal 16 13" xfId="4920"/>
    <cellStyle name="Normal 16 13 2" xfId="4921"/>
    <cellStyle name="Normal 16 13 3" xfId="4922"/>
    <cellStyle name="Normal 16 13 4" xfId="4923"/>
    <cellStyle name="Normal 16 13 5" xfId="4924"/>
    <cellStyle name="Normal 16 13 6" xfId="4925"/>
    <cellStyle name="Normal 16 14" xfId="4926"/>
    <cellStyle name="Normal 16 15" xfId="4927"/>
    <cellStyle name="Normal 16 16" xfId="4928"/>
    <cellStyle name="Normal 16 17" xfId="4929"/>
    <cellStyle name="Normal 16 18" xfId="4930"/>
    <cellStyle name="Normal 16 19" xfId="4931"/>
    <cellStyle name="Normal 16 2" xfId="4932"/>
    <cellStyle name="Normal 16 2 10" xfId="4933"/>
    <cellStyle name="Normal 16 2 11" xfId="4934"/>
    <cellStyle name="Normal 16 2 2" xfId="4935"/>
    <cellStyle name="Normal 16 2 2 10" xfId="4936"/>
    <cellStyle name="Normal 16 2 2 2" xfId="4937"/>
    <cellStyle name="Normal 16 2 2 3" xfId="4938"/>
    <cellStyle name="Normal 16 2 2 3 2" xfId="4939"/>
    <cellStyle name="Normal 16 2 2 3 3" xfId="4940"/>
    <cellStyle name="Normal 16 2 2 3 4" xfId="4941"/>
    <cellStyle name="Normal 16 2 2 3 5" xfId="4942"/>
    <cellStyle name="Normal 16 2 2 3 6" xfId="4943"/>
    <cellStyle name="Normal 16 2 2 4" xfId="4944"/>
    <cellStyle name="Normal 16 2 2 5" xfId="4945"/>
    <cellStyle name="Normal 16 2 2 6" xfId="4946"/>
    <cellStyle name="Normal 16 2 2 7" xfId="4947"/>
    <cellStyle name="Normal 16 2 2 8" xfId="4948"/>
    <cellStyle name="Normal 16 2 2 9" xfId="4949"/>
    <cellStyle name="Normal 16 2 3" xfId="4950"/>
    <cellStyle name="Normal 16 2 4" xfId="4951"/>
    <cellStyle name="Normal 16 2 4 2" xfId="4952"/>
    <cellStyle name="Normal 16 2 4 3" xfId="4953"/>
    <cellStyle name="Normal 16 2 4 4" xfId="4954"/>
    <cellStyle name="Normal 16 2 4 5" xfId="4955"/>
    <cellStyle name="Normal 16 2 4 6" xfId="4956"/>
    <cellStyle name="Normal 16 2 5" xfId="4957"/>
    <cellStyle name="Normal 16 2 6" xfId="4958"/>
    <cellStyle name="Normal 16 2 7" xfId="4959"/>
    <cellStyle name="Normal 16 2 8" xfId="4960"/>
    <cellStyle name="Normal 16 2 9" xfId="4961"/>
    <cellStyle name="Normal 16 20" xfId="4962"/>
    <cellStyle name="Normal 16 3" xfId="4963"/>
    <cellStyle name="Normal 16 3 10" xfId="4964"/>
    <cellStyle name="Normal 16 3 11" xfId="4965"/>
    <cellStyle name="Normal 16 3 2" xfId="4966"/>
    <cellStyle name="Normal 16 3 2 10" xfId="4967"/>
    <cellStyle name="Normal 16 3 2 2" xfId="4968"/>
    <cellStyle name="Normal 16 3 2 3" xfId="4969"/>
    <cellStyle name="Normal 16 3 2 3 2" xfId="4970"/>
    <cellStyle name="Normal 16 3 2 3 3" xfId="4971"/>
    <cellStyle name="Normal 16 3 2 3 4" xfId="4972"/>
    <cellStyle name="Normal 16 3 2 3 5" xfId="4973"/>
    <cellStyle name="Normal 16 3 2 3 6" xfId="4974"/>
    <cellStyle name="Normal 16 3 2 4" xfId="4975"/>
    <cellStyle name="Normal 16 3 2 5" xfId="4976"/>
    <cellStyle name="Normal 16 3 2 6" xfId="4977"/>
    <cellStyle name="Normal 16 3 2 7" xfId="4978"/>
    <cellStyle name="Normal 16 3 2 8" xfId="4979"/>
    <cellStyle name="Normal 16 3 2 9" xfId="4980"/>
    <cellStyle name="Normal 16 3 3" xfId="4981"/>
    <cellStyle name="Normal 16 3 4" xfId="4982"/>
    <cellStyle name="Normal 16 3 4 2" xfId="4983"/>
    <cellStyle name="Normal 16 3 4 3" xfId="4984"/>
    <cellStyle name="Normal 16 3 4 4" xfId="4985"/>
    <cellStyle name="Normal 16 3 4 5" xfId="4986"/>
    <cellStyle name="Normal 16 3 4 6" xfId="4987"/>
    <cellStyle name="Normal 16 3 5" xfId="4988"/>
    <cellStyle name="Normal 16 3 6" xfId="4989"/>
    <cellStyle name="Normal 16 3 7" xfId="4990"/>
    <cellStyle name="Normal 16 3 8" xfId="4991"/>
    <cellStyle name="Normal 16 3 9" xfId="4992"/>
    <cellStyle name="Normal 16 4" xfId="4993"/>
    <cellStyle name="Normal 16 4 10" xfId="4994"/>
    <cellStyle name="Normal 16 4 11" xfId="4995"/>
    <cellStyle name="Normal 16 4 2" xfId="4996"/>
    <cellStyle name="Normal 16 4 2 10" xfId="4997"/>
    <cellStyle name="Normal 16 4 2 2" xfId="4998"/>
    <cellStyle name="Normal 16 4 2 3" xfId="4999"/>
    <cellStyle name="Normal 16 4 2 3 2" xfId="5000"/>
    <cellStyle name="Normal 16 4 2 3 3" xfId="5001"/>
    <cellStyle name="Normal 16 4 2 3 4" xfId="5002"/>
    <cellStyle name="Normal 16 4 2 3 5" xfId="5003"/>
    <cellStyle name="Normal 16 4 2 3 6" xfId="5004"/>
    <cellStyle name="Normal 16 4 2 4" xfId="5005"/>
    <cellStyle name="Normal 16 4 2 5" xfId="5006"/>
    <cellStyle name="Normal 16 4 2 6" xfId="5007"/>
    <cellStyle name="Normal 16 4 2 7" xfId="5008"/>
    <cellStyle name="Normal 16 4 2 8" xfId="5009"/>
    <cellStyle name="Normal 16 4 2 9" xfId="5010"/>
    <cellStyle name="Normal 16 4 3" xfId="5011"/>
    <cellStyle name="Normal 16 4 4" xfId="5012"/>
    <cellStyle name="Normal 16 4 4 2" xfId="5013"/>
    <cellStyle name="Normal 16 4 4 3" xfId="5014"/>
    <cellStyle name="Normal 16 4 4 4" xfId="5015"/>
    <cellStyle name="Normal 16 4 4 5" xfId="5016"/>
    <cellStyle name="Normal 16 4 4 6" xfId="5017"/>
    <cellStyle name="Normal 16 4 5" xfId="5018"/>
    <cellStyle name="Normal 16 4 6" xfId="5019"/>
    <cellStyle name="Normal 16 4 7" xfId="5020"/>
    <cellStyle name="Normal 16 4 8" xfId="5021"/>
    <cellStyle name="Normal 16 4 9" xfId="5022"/>
    <cellStyle name="Normal 16 5" xfId="5023"/>
    <cellStyle name="Normal 16 5 10" xfId="5024"/>
    <cellStyle name="Normal 16 5 11" xfId="5025"/>
    <cellStyle name="Normal 16 5 2" xfId="5026"/>
    <cellStyle name="Normal 16 5 2 10" xfId="5027"/>
    <cellStyle name="Normal 16 5 2 2" xfId="5028"/>
    <cellStyle name="Normal 16 5 2 3" xfId="5029"/>
    <cellStyle name="Normal 16 5 2 3 2" xfId="5030"/>
    <cellStyle name="Normal 16 5 2 3 3" xfId="5031"/>
    <cellStyle name="Normal 16 5 2 3 4" xfId="5032"/>
    <cellStyle name="Normal 16 5 2 3 5" xfId="5033"/>
    <cellStyle name="Normal 16 5 2 3 6" xfId="5034"/>
    <cellStyle name="Normal 16 5 2 4" xfId="5035"/>
    <cellStyle name="Normal 16 5 2 5" xfId="5036"/>
    <cellStyle name="Normal 16 5 2 6" xfId="5037"/>
    <cellStyle name="Normal 16 5 2 7" xfId="5038"/>
    <cellStyle name="Normal 16 5 2 8" xfId="5039"/>
    <cellStyle name="Normal 16 5 2 9" xfId="5040"/>
    <cellStyle name="Normal 16 5 3" xfId="5041"/>
    <cellStyle name="Normal 16 5 4" xfId="5042"/>
    <cellStyle name="Normal 16 5 4 2" xfId="5043"/>
    <cellStyle name="Normal 16 5 4 3" xfId="5044"/>
    <cellStyle name="Normal 16 5 4 4" xfId="5045"/>
    <cellStyle name="Normal 16 5 4 5" xfId="5046"/>
    <cellStyle name="Normal 16 5 4 6" xfId="5047"/>
    <cellStyle name="Normal 16 5 5" xfId="5048"/>
    <cellStyle name="Normal 16 5 6" xfId="5049"/>
    <cellStyle name="Normal 16 5 7" xfId="5050"/>
    <cellStyle name="Normal 16 5 8" xfId="5051"/>
    <cellStyle name="Normal 16 5 9" xfId="5052"/>
    <cellStyle name="Normal 16 6" xfId="5053"/>
    <cellStyle name="Normal 16 6 10" xfId="5054"/>
    <cellStyle name="Normal 16 6 11" xfId="5055"/>
    <cellStyle name="Normal 16 6 2" xfId="5056"/>
    <cellStyle name="Normal 16 6 2 10" xfId="5057"/>
    <cellStyle name="Normal 16 6 2 2" xfId="5058"/>
    <cellStyle name="Normal 16 6 2 3" xfId="5059"/>
    <cellStyle name="Normal 16 6 2 3 2" xfId="5060"/>
    <cellStyle name="Normal 16 6 2 3 3" xfId="5061"/>
    <cellStyle name="Normal 16 6 2 3 4" xfId="5062"/>
    <cellStyle name="Normal 16 6 2 3 5" xfId="5063"/>
    <cellStyle name="Normal 16 6 2 3 6" xfId="5064"/>
    <cellStyle name="Normal 16 6 2 4" xfId="5065"/>
    <cellStyle name="Normal 16 6 2 5" xfId="5066"/>
    <cellStyle name="Normal 16 6 2 6" xfId="5067"/>
    <cellStyle name="Normal 16 6 2 7" xfId="5068"/>
    <cellStyle name="Normal 16 6 2 8" xfId="5069"/>
    <cellStyle name="Normal 16 6 2 9" xfId="5070"/>
    <cellStyle name="Normal 16 6 3" xfId="5071"/>
    <cellStyle name="Normal 16 6 4" xfId="5072"/>
    <cellStyle name="Normal 16 6 4 2" xfId="5073"/>
    <cellStyle name="Normal 16 6 4 3" xfId="5074"/>
    <cellStyle name="Normal 16 6 4 4" xfId="5075"/>
    <cellStyle name="Normal 16 6 4 5" xfId="5076"/>
    <cellStyle name="Normal 16 6 4 6" xfId="5077"/>
    <cellStyle name="Normal 16 6 5" xfId="5078"/>
    <cellStyle name="Normal 16 6 6" xfId="5079"/>
    <cellStyle name="Normal 16 6 7" xfId="5080"/>
    <cellStyle name="Normal 16 6 8" xfId="5081"/>
    <cellStyle name="Normal 16 6 9" xfId="5082"/>
    <cellStyle name="Normal 16 7" xfId="5083"/>
    <cellStyle name="Normal 16 7 10" xfId="5084"/>
    <cellStyle name="Normal 16 7 11" xfId="5085"/>
    <cellStyle name="Normal 16 7 2" xfId="5086"/>
    <cellStyle name="Normal 16 7 2 10" xfId="5087"/>
    <cellStyle name="Normal 16 7 2 2" xfId="5088"/>
    <cellStyle name="Normal 16 7 2 3" xfId="5089"/>
    <cellStyle name="Normal 16 7 2 3 2" xfId="5090"/>
    <cellStyle name="Normal 16 7 2 3 3" xfId="5091"/>
    <cellStyle name="Normal 16 7 2 3 4" xfId="5092"/>
    <cellStyle name="Normal 16 7 2 3 5" xfId="5093"/>
    <cellStyle name="Normal 16 7 2 3 6" xfId="5094"/>
    <cellStyle name="Normal 16 7 2 4" xfId="5095"/>
    <cellStyle name="Normal 16 7 2 5" xfId="5096"/>
    <cellStyle name="Normal 16 7 2 6" xfId="5097"/>
    <cellStyle name="Normal 16 7 2 7" xfId="5098"/>
    <cellStyle name="Normal 16 7 2 8" xfId="5099"/>
    <cellStyle name="Normal 16 7 2 9" xfId="5100"/>
    <cellStyle name="Normal 16 7 3" xfId="5101"/>
    <cellStyle name="Normal 16 7 4" xfId="5102"/>
    <cellStyle name="Normal 16 7 4 2" xfId="5103"/>
    <cellStyle name="Normal 16 7 4 3" xfId="5104"/>
    <cellStyle name="Normal 16 7 4 4" xfId="5105"/>
    <cellStyle name="Normal 16 7 4 5" xfId="5106"/>
    <cellStyle name="Normal 16 7 4 6" xfId="5107"/>
    <cellStyle name="Normal 16 7 5" xfId="5108"/>
    <cellStyle name="Normal 16 7 6" xfId="5109"/>
    <cellStyle name="Normal 16 7 7" xfId="5110"/>
    <cellStyle name="Normal 16 7 8" xfId="5111"/>
    <cellStyle name="Normal 16 7 9" xfId="5112"/>
    <cellStyle name="Normal 16 8" xfId="5113"/>
    <cellStyle name="Normal 16 8 10" xfId="5114"/>
    <cellStyle name="Normal 16 8 11" xfId="5115"/>
    <cellStyle name="Normal 16 8 2" xfId="5116"/>
    <cellStyle name="Normal 16 8 2 10" xfId="5117"/>
    <cellStyle name="Normal 16 8 2 2" xfId="5118"/>
    <cellStyle name="Normal 16 8 2 3" xfId="5119"/>
    <cellStyle name="Normal 16 8 2 3 2" xfId="5120"/>
    <cellStyle name="Normal 16 8 2 3 3" xfId="5121"/>
    <cellStyle name="Normal 16 8 2 3 4" xfId="5122"/>
    <cellStyle name="Normal 16 8 2 3 5" xfId="5123"/>
    <cellStyle name="Normal 16 8 2 3 6" xfId="5124"/>
    <cellStyle name="Normal 16 8 2 4" xfId="5125"/>
    <cellStyle name="Normal 16 8 2 5" xfId="5126"/>
    <cellStyle name="Normal 16 8 2 6" xfId="5127"/>
    <cellStyle name="Normal 16 8 2 7" xfId="5128"/>
    <cellStyle name="Normal 16 8 2 8" xfId="5129"/>
    <cellStyle name="Normal 16 8 2 9" xfId="5130"/>
    <cellStyle name="Normal 16 8 3" xfId="5131"/>
    <cellStyle name="Normal 16 8 4" xfId="5132"/>
    <cellStyle name="Normal 16 8 4 2" xfId="5133"/>
    <cellStyle name="Normal 16 8 4 3" xfId="5134"/>
    <cellStyle name="Normal 16 8 4 4" xfId="5135"/>
    <cellStyle name="Normal 16 8 4 5" xfId="5136"/>
    <cellStyle name="Normal 16 8 4 6" xfId="5137"/>
    <cellStyle name="Normal 16 8 5" xfId="5138"/>
    <cellStyle name="Normal 16 8 6" xfId="5139"/>
    <cellStyle name="Normal 16 8 7" xfId="5140"/>
    <cellStyle name="Normal 16 8 8" xfId="5141"/>
    <cellStyle name="Normal 16 8 9" xfId="5142"/>
    <cellStyle name="Normal 16 9" xfId="5143"/>
    <cellStyle name="Normal 16 9 10" xfId="5144"/>
    <cellStyle name="Normal 16 9 11" xfId="5145"/>
    <cellStyle name="Normal 16 9 2" xfId="5146"/>
    <cellStyle name="Normal 16 9 2 10" xfId="5147"/>
    <cellStyle name="Normal 16 9 2 2" xfId="5148"/>
    <cellStyle name="Normal 16 9 2 3" xfId="5149"/>
    <cellStyle name="Normal 16 9 2 3 2" xfId="5150"/>
    <cellStyle name="Normal 16 9 2 3 3" xfId="5151"/>
    <cellStyle name="Normal 16 9 2 3 4" xfId="5152"/>
    <cellStyle name="Normal 16 9 2 3 5" xfId="5153"/>
    <cellStyle name="Normal 16 9 2 3 6" xfId="5154"/>
    <cellStyle name="Normal 16 9 2 4" xfId="5155"/>
    <cellStyle name="Normal 16 9 2 5" xfId="5156"/>
    <cellStyle name="Normal 16 9 2 6" xfId="5157"/>
    <cellStyle name="Normal 16 9 2 7" xfId="5158"/>
    <cellStyle name="Normal 16 9 2 8" xfId="5159"/>
    <cellStyle name="Normal 16 9 2 9" xfId="5160"/>
    <cellStyle name="Normal 16 9 3" xfId="5161"/>
    <cellStyle name="Normal 16 9 4" xfId="5162"/>
    <cellStyle name="Normal 16 9 4 2" xfId="5163"/>
    <cellStyle name="Normal 16 9 4 3" xfId="5164"/>
    <cellStyle name="Normal 16 9 4 4" xfId="5165"/>
    <cellStyle name="Normal 16 9 4 5" xfId="5166"/>
    <cellStyle name="Normal 16 9 4 6" xfId="5167"/>
    <cellStyle name="Normal 16 9 5" xfId="5168"/>
    <cellStyle name="Normal 16 9 6" xfId="5169"/>
    <cellStyle name="Normal 16 9 7" xfId="5170"/>
    <cellStyle name="Normal 16 9 8" xfId="5171"/>
    <cellStyle name="Normal 16 9 9" xfId="5172"/>
    <cellStyle name="Normal 17" xfId="5173"/>
    <cellStyle name="Normal 17 10" xfId="5174"/>
    <cellStyle name="Normal 17 10 10" xfId="5175"/>
    <cellStyle name="Normal 17 10 11" xfId="5176"/>
    <cellStyle name="Normal 17 10 2" xfId="5177"/>
    <cellStyle name="Normal 17 10 2 10" xfId="5178"/>
    <cellStyle name="Normal 17 10 2 2" xfId="5179"/>
    <cellStyle name="Normal 17 10 2 3" xfId="5180"/>
    <cellStyle name="Normal 17 10 2 3 2" xfId="5181"/>
    <cellStyle name="Normal 17 10 2 3 3" xfId="5182"/>
    <cellStyle name="Normal 17 10 2 3 4" xfId="5183"/>
    <cellStyle name="Normal 17 10 2 3 5" xfId="5184"/>
    <cellStyle name="Normal 17 10 2 3 6" xfId="5185"/>
    <cellStyle name="Normal 17 10 2 4" xfId="5186"/>
    <cellStyle name="Normal 17 10 2 5" xfId="5187"/>
    <cellStyle name="Normal 17 10 2 6" xfId="5188"/>
    <cellStyle name="Normal 17 10 2 7" xfId="5189"/>
    <cellStyle name="Normal 17 10 2 8" xfId="5190"/>
    <cellStyle name="Normal 17 10 2 9" xfId="5191"/>
    <cellStyle name="Normal 17 10 3" xfId="5192"/>
    <cellStyle name="Normal 17 10 4" xfId="5193"/>
    <cellStyle name="Normal 17 10 4 2" xfId="5194"/>
    <cellStyle name="Normal 17 10 4 3" xfId="5195"/>
    <cellStyle name="Normal 17 10 4 4" xfId="5196"/>
    <cellStyle name="Normal 17 10 4 5" xfId="5197"/>
    <cellStyle name="Normal 17 10 4 6" xfId="5198"/>
    <cellStyle name="Normal 17 10 5" xfId="5199"/>
    <cellStyle name="Normal 17 10 6" xfId="5200"/>
    <cellStyle name="Normal 17 10 7" xfId="5201"/>
    <cellStyle name="Normal 17 10 8" xfId="5202"/>
    <cellStyle name="Normal 17 10 9" xfId="5203"/>
    <cellStyle name="Normal 17 11" xfId="5204"/>
    <cellStyle name="Normal 17 11 10" xfId="5205"/>
    <cellStyle name="Normal 17 11 2" xfId="5206"/>
    <cellStyle name="Normal 17 11 3" xfId="5207"/>
    <cellStyle name="Normal 17 11 3 2" xfId="5208"/>
    <cellStyle name="Normal 17 11 3 3" xfId="5209"/>
    <cellStyle name="Normal 17 11 3 4" xfId="5210"/>
    <cellStyle name="Normal 17 11 3 5" xfId="5211"/>
    <cellStyle name="Normal 17 11 3 6" xfId="5212"/>
    <cellStyle name="Normal 17 11 4" xfId="5213"/>
    <cellStyle name="Normal 17 11 5" xfId="5214"/>
    <cellStyle name="Normal 17 11 6" xfId="5215"/>
    <cellStyle name="Normal 17 11 7" xfId="5216"/>
    <cellStyle name="Normal 17 11 8" xfId="5217"/>
    <cellStyle name="Normal 17 11 9" xfId="5218"/>
    <cellStyle name="Normal 17 12" xfId="5219"/>
    <cellStyle name="Normal 17 13" xfId="5220"/>
    <cellStyle name="Normal 17 13 2" xfId="5221"/>
    <cellStyle name="Normal 17 13 3" xfId="5222"/>
    <cellStyle name="Normal 17 13 4" xfId="5223"/>
    <cellStyle name="Normal 17 13 5" xfId="5224"/>
    <cellStyle name="Normal 17 13 6" xfId="5225"/>
    <cellStyle name="Normal 17 14" xfId="5226"/>
    <cellStyle name="Normal 17 15" xfId="5227"/>
    <cellStyle name="Normal 17 16" xfId="5228"/>
    <cellStyle name="Normal 17 17" xfId="5229"/>
    <cellStyle name="Normal 17 18" xfId="5230"/>
    <cellStyle name="Normal 17 19" xfId="5231"/>
    <cellStyle name="Normal 17 2" xfId="5232"/>
    <cellStyle name="Normal 17 2 10" xfId="5233"/>
    <cellStyle name="Normal 17 2 11" xfId="5234"/>
    <cellStyle name="Normal 17 2 2" xfId="5235"/>
    <cellStyle name="Normal 17 2 2 10" xfId="5236"/>
    <cellStyle name="Normal 17 2 2 2" xfId="5237"/>
    <cellStyle name="Normal 17 2 2 3" xfId="5238"/>
    <cellStyle name="Normal 17 2 2 3 2" xfId="5239"/>
    <cellStyle name="Normal 17 2 2 3 3" xfId="5240"/>
    <cellStyle name="Normal 17 2 2 3 4" xfId="5241"/>
    <cellStyle name="Normal 17 2 2 3 5" xfId="5242"/>
    <cellStyle name="Normal 17 2 2 3 6" xfId="5243"/>
    <cellStyle name="Normal 17 2 2 4" xfId="5244"/>
    <cellStyle name="Normal 17 2 2 5" xfId="5245"/>
    <cellStyle name="Normal 17 2 2 6" xfId="5246"/>
    <cellStyle name="Normal 17 2 2 7" xfId="5247"/>
    <cellStyle name="Normal 17 2 2 8" xfId="5248"/>
    <cellStyle name="Normal 17 2 2 9" xfId="5249"/>
    <cellStyle name="Normal 17 2 3" xfId="5250"/>
    <cellStyle name="Normal 17 2 4" xfId="5251"/>
    <cellStyle name="Normal 17 2 4 2" xfId="5252"/>
    <cellStyle name="Normal 17 2 4 3" xfId="5253"/>
    <cellStyle name="Normal 17 2 4 4" xfId="5254"/>
    <cellStyle name="Normal 17 2 4 5" xfId="5255"/>
    <cellStyle name="Normal 17 2 4 6" xfId="5256"/>
    <cellStyle name="Normal 17 2 5" xfId="5257"/>
    <cellStyle name="Normal 17 2 6" xfId="5258"/>
    <cellStyle name="Normal 17 2 7" xfId="5259"/>
    <cellStyle name="Normal 17 2 8" xfId="5260"/>
    <cellStyle name="Normal 17 2 9" xfId="5261"/>
    <cellStyle name="Normal 17 20" xfId="5262"/>
    <cellStyle name="Normal 17 3" xfId="5263"/>
    <cellStyle name="Normal 17 3 10" xfId="5264"/>
    <cellStyle name="Normal 17 3 11" xfId="5265"/>
    <cellStyle name="Normal 17 3 2" xfId="5266"/>
    <cellStyle name="Normal 17 3 2 10" xfId="5267"/>
    <cellStyle name="Normal 17 3 2 2" xfId="5268"/>
    <cellStyle name="Normal 17 3 2 3" xfId="5269"/>
    <cellStyle name="Normal 17 3 2 3 2" xfId="5270"/>
    <cellStyle name="Normal 17 3 2 3 3" xfId="5271"/>
    <cellStyle name="Normal 17 3 2 3 4" xfId="5272"/>
    <cellStyle name="Normal 17 3 2 3 5" xfId="5273"/>
    <cellStyle name="Normal 17 3 2 3 6" xfId="5274"/>
    <cellStyle name="Normal 17 3 2 4" xfId="5275"/>
    <cellStyle name="Normal 17 3 2 5" xfId="5276"/>
    <cellStyle name="Normal 17 3 2 6" xfId="5277"/>
    <cellStyle name="Normal 17 3 2 7" xfId="5278"/>
    <cellStyle name="Normal 17 3 2 8" xfId="5279"/>
    <cellStyle name="Normal 17 3 2 9" xfId="5280"/>
    <cellStyle name="Normal 17 3 3" xfId="5281"/>
    <cellStyle name="Normal 17 3 4" xfId="5282"/>
    <cellStyle name="Normal 17 3 4 2" xfId="5283"/>
    <cellStyle name="Normal 17 3 4 3" xfId="5284"/>
    <cellStyle name="Normal 17 3 4 4" xfId="5285"/>
    <cellStyle name="Normal 17 3 4 5" xfId="5286"/>
    <cellStyle name="Normal 17 3 4 6" xfId="5287"/>
    <cellStyle name="Normal 17 3 5" xfId="5288"/>
    <cellStyle name="Normal 17 3 6" xfId="5289"/>
    <cellStyle name="Normal 17 3 7" xfId="5290"/>
    <cellStyle name="Normal 17 3 8" xfId="5291"/>
    <cellStyle name="Normal 17 3 9" xfId="5292"/>
    <cellStyle name="Normal 17 4" xfId="5293"/>
    <cellStyle name="Normal 17 4 10" xfId="5294"/>
    <cellStyle name="Normal 17 4 11" xfId="5295"/>
    <cellStyle name="Normal 17 4 2" xfId="5296"/>
    <cellStyle name="Normal 17 4 2 10" xfId="5297"/>
    <cellStyle name="Normal 17 4 2 2" xfId="5298"/>
    <cellStyle name="Normal 17 4 2 3" xfId="5299"/>
    <cellStyle name="Normal 17 4 2 3 2" xfId="5300"/>
    <cellStyle name="Normal 17 4 2 3 3" xfId="5301"/>
    <cellStyle name="Normal 17 4 2 3 4" xfId="5302"/>
    <cellStyle name="Normal 17 4 2 3 5" xfId="5303"/>
    <cellStyle name="Normal 17 4 2 3 6" xfId="5304"/>
    <cellStyle name="Normal 17 4 2 4" xfId="5305"/>
    <cellStyle name="Normal 17 4 2 5" xfId="5306"/>
    <cellStyle name="Normal 17 4 2 6" xfId="5307"/>
    <cellStyle name="Normal 17 4 2 7" xfId="5308"/>
    <cellStyle name="Normal 17 4 2 8" xfId="5309"/>
    <cellStyle name="Normal 17 4 2 9" xfId="5310"/>
    <cellStyle name="Normal 17 4 3" xfId="5311"/>
    <cellStyle name="Normal 17 4 4" xfId="5312"/>
    <cellStyle name="Normal 17 4 4 2" xfId="5313"/>
    <cellStyle name="Normal 17 4 4 3" xfId="5314"/>
    <cellStyle name="Normal 17 4 4 4" xfId="5315"/>
    <cellStyle name="Normal 17 4 4 5" xfId="5316"/>
    <cellStyle name="Normal 17 4 4 6" xfId="5317"/>
    <cellStyle name="Normal 17 4 5" xfId="5318"/>
    <cellStyle name="Normal 17 4 6" xfId="5319"/>
    <cellStyle name="Normal 17 4 7" xfId="5320"/>
    <cellStyle name="Normal 17 4 8" xfId="5321"/>
    <cellStyle name="Normal 17 4 9" xfId="5322"/>
    <cellStyle name="Normal 17 5" xfId="5323"/>
    <cellStyle name="Normal 17 5 10" xfId="5324"/>
    <cellStyle name="Normal 17 5 11" xfId="5325"/>
    <cellStyle name="Normal 17 5 2" xfId="5326"/>
    <cellStyle name="Normal 17 5 2 10" xfId="5327"/>
    <cellStyle name="Normal 17 5 2 2" xfId="5328"/>
    <cellStyle name="Normal 17 5 2 3" xfId="5329"/>
    <cellStyle name="Normal 17 5 2 3 2" xfId="5330"/>
    <cellStyle name="Normal 17 5 2 3 3" xfId="5331"/>
    <cellStyle name="Normal 17 5 2 3 4" xfId="5332"/>
    <cellStyle name="Normal 17 5 2 3 5" xfId="5333"/>
    <cellStyle name="Normal 17 5 2 3 6" xfId="5334"/>
    <cellStyle name="Normal 17 5 2 4" xfId="5335"/>
    <cellStyle name="Normal 17 5 2 5" xfId="5336"/>
    <cellStyle name="Normal 17 5 2 6" xfId="5337"/>
    <cellStyle name="Normal 17 5 2 7" xfId="5338"/>
    <cellStyle name="Normal 17 5 2 8" xfId="5339"/>
    <cellStyle name="Normal 17 5 2 9" xfId="5340"/>
    <cellStyle name="Normal 17 5 3" xfId="5341"/>
    <cellStyle name="Normal 17 5 4" xfId="5342"/>
    <cellStyle name="Normal 17 5 4 2" xfId="5343"/>
    <cellStyle name="Normal 17 5 4 3" xfId="5344"/>
    <cellStyle name="Normal 17 5 4 4" xfId="5345"/>
    <cellStyle name="Normal 17 5 4 5" xfId="5346"/>
    <cellStyle name="Normal 17 5 4 6" xfId="5347"/>
    <cellStyle name="Normal 17 5 5" xfId="5348"/>
    <cellStyle name="Normal 17 5 6" xfId="5349"/>
    <cellStyle name="Normal 17 5 7" xfId="5350"/>
    <cellStyle name="Normal 17 5 8" xfId="5351"/>
    <cellStyle name="Normal 17 5 9" xfId="5352"/>
    <cellStyle name="Normal 17 6" xfId="5353"/>
    <cellStyle name="Normal 17 6 10" xfId="5354"/>
    <cellStyle name="Normal 17 6 11" xfId="5355"/>
    <cellStyle name="Normal 17 6 2" xfId="5356"/>
    <cellStyle name="Normal 17 6 2 10" xfId="5357"/>
    <cellStyle name="Normal 17 6 2 2" xfId="5358"/>
    <cellStyle name="Normal 17 6 2 3" xfId="5359"/>
    <cellStyle name="Normal 17 6 2 3 2" xfId="5360"/>
    <cellStyle name="Normal 17 6 2 3 3" xfId="5361"/>
    <cellStyle name="Normal 17 6 2 3 4" xfId="5362"/>
    <cellStyle name="Normal 17 6 2 3 5" xfId="5363"/>
    <cellStyle name="Normal 17 6 2 3 6" xfId="5364"/>
    <cellStyle name="Normal 17 6 2 4" xfId="5365"/>
    <cellStyle name="Normal 17 6 2 5" xfId="5366"/>
    <cellStyle name="Normal 17 6 2 6" xfId="5367"/>
    <cellStyle name="Normal 17 6 2 7" xfId="5368"/>
    <cellStyle name="Normal 17 6 2 8" xfId="5369"/>
    <cellStyle name="Normal 17 6 2 9" xfId="5370"/>
    <cellStyle name="Normal 17 6 3" xfId="5371"/>
    <cellStyle name="Normal 17 6 4" xfId="5372"/>
    <cellStyle name="Normal 17 6 4 2" xfId="5373"/>
    <cellStyle name="Normal 17 6 4 3" xfId="5374"/>
    <cellStyle name="Normal 17 6 4 4" xfId="5375"/>
    <cellStyle name="Normal 17 6 4 5" xfId="5376"/>
    <cellStyle name="Normal 17 6 4 6" xfId="5377"/>
    <cellStyle name="Normal 17 6 5" xfId="5378"/>
    <cellStyle name="Normal 17 6 6" xfId="5379"/>
    <cellStyle name="Normal 17 6 7" xfId="5380"/>
    <cellStyle name="Normal 17 6 8" xfId="5381"/>
    <cellStyle name="Normal 17 6 9" xfId="5382"/>
    <cellStyle name="Normal 17 7" xfId="5383"/>
    <cellStyle name="Normal 17 7 10" xfId="5384"/>
    <cellStyle name="Normal 17 7 11" xfId="5385"/>
    <cellStyle name="Normal 17 7 2" xfId="5386"/>
    <cellStyle name="Normal 17 7 2 10" xfId="5387"/>
    <cellStyle name="Normal 17 7 2 2" xfId="5388"/>
    <cellStyle name="Normal 17 7 2 3" xfId="5389"/>
    <cellStyle name="Normal 17 7 2 3 2" xfId="5390"/>
    <cellStyle name="Normal 17 7 2 3 3" xfId="5391"/>
    <cellStyle name="Normal 17 7 2 3 4" xfId="5392"/>
    <cellStyle name="Normal 17 7 2 3 5" xfId="5393"/>
    <cellStyle name="Normal 17 7 2 3 6" xfId="5394"/>
    <cellStyle name="Normal 17 7 2 4" xfId="5395"/>
    <cellStyle name="Normal 17 7 2 5" xfId="5396"/>
    <cellStyle name="Normal 17 7 2 6" xfId="5397"/>
    <cellStyle name="Normal 17 7 2 7" xfId="5398"/>
    <cellStyle name="Normal 17 7 2 8" xfId="5399"/>
    <cellStyle name="Normal 17 7 2 9" xfId="5400"/>
    <cellStyle name="Normal 17 7 3" xfId="5401"/>
    <cellStyle name="Normal 17 7 4" xfId="5402"/>
    <cellStyle name="Normal 17 7 4 2" xfId="5403"/>
    <cellStyle name="Normal 17 7 4 3" xfId="5404"/>
    <cellStyle name="Normal 17 7 4 4" xfId="5405"/>
    <cellStyle name="Normal 17 7 4 5" xfId="5406"/>
    <cellStyle name="Normal 17 7 4 6" xfId="5407"/>
    <cellStyle name="Normal 17 7 5" xfId="5408"/>
    <cellStyle name="Normal 17 7 6" xfId="5409"/>
    <cellStyle name="Normal 17 7 7" xfId="5410"/>
    <cellStyle name="Normal 17 7 8" xfId="5411"/>
    <cellStyle name="Normal 17 7 9" xfId="5412"/>
    <cellStyle name="Normal 17 8" xfId="5413"/>
    <cellStyle name="Normal 17 8 10" xfId="5414"/>
    <cellStyle name="Normal 17 8 11" xfId="5415"/>
    <cellStyle name="Normal 17 8 2" xfId="5416"/>
    <cellStyle name="Normal 17 8 2 10" xfId="5417"/>
    <cellStyle name="Normal 17 8 2 2" xfId="5418"/>
    <cellStyle name="Normal 17 8 2 3" xfId="5419"/>
    <cellStyle name="Normal 17 8 2 3 2" xfId="5420"/>
    <cellStyle name="Normal 17 8 2 3 3" xfId="5421"/>
    <cellStyle name="Normal 17 8 2 3 4" xfId="5422"/>
    <cellStyle name="Normal 17 8 2 3 5" xfId="5423"/>
    <cellStyle name="Normal 17 8 2 3 6" xfId="5424"/>
    <cellStyle name="Normal 17 8 2 4" xfId="5425"/>
    <cellStyle name="Normal 17 8 2 5" xfId="5426"/>
    <cellStyle name="Normal 17 8 2 6" xfId="5427"/>
    <cellStyle name="Normal 17 8 2 7" xfId="5428"/>
    <cellStyle name="Normal 17 8 2 8" xfId="5429"/>
    <cellStyle name="Normal 17 8 2 9" xfId="5430"/>
    <cellStyle name="Normal 17 8 3" xfId="5431"/>
    <cellStyle name="Normal 17 8 4" xfId="5432"/>
    <cellStyle name="Normal 17 8 4 2" xfId="5433"/>
    <cellStyle name="Normal 17 8 4 3" xfId="5434"/>
    <cellStyle name="Normal 17 8 4 4" xfId="5435"/>
    <cellStyle name="Normal 17 8 4 5" xfId="5436"/>
    <cellStyle name="Normal 17 8 4 6" xfId="5437"/>
    <cellStyle name="Normal 17 8 5" xfId="5438"/>
    <cellStyle name="Normal 17 8 6" xfId="5439"/>
    <cellStyle name="Normal 17 8 7" xfId="5440"/>
    <cellStyle name="Normal 17 8 8" xfId="5441"/>
    <cellStyle name="Normal 17 8 9" xfId="5442"/>
    <cellStyle name="Normal 17 9" xfId="5443"/>
    <cellStyle name="Normal 17 9 10" xfId="5444"/>
    <cellStyle name="Normal 17 9 11" xfId="5445"/>
    <cellStyle name="Normal 17 9 2" xfId="5446"/>
    <cellStyle name="Normal 17 9 2 10" xfId="5447"/>
    <cellStyle name="Normal 17 9 2 2" xfId="5448"/>
    <cellStyle name="Normal 17 9 2 3" xfId="5449"/>
    <cellStyle name="Normal 17 9 2 3 2" xfId="5450"/>
    <cellStyle name="Normal 17 9 2 3 3" xfId="5451"/>
    <cellStyle name="Normal 17 9 2 3 4" xfId="5452"/>
    <cellStyle name="Normal 17 9 2 3 5" xfId="5453"/>
    <cellStyle name="Normal 17 9 2 3 6" xfId="5454"/>
    <cellStyle name="Normal 17 9 2 4" xfId="5455"/>
    <cellStyle name="Normal 17 9 2 5" xfId="5456"/>
    <cellStyle name="Normal 17 9 2 6" xfId="5457"/>
    <cellStyle name="Normal 17 9 2 7" xfId="5458"/>
    <cellStyle name="Normal 17 9 2 8" xfId="5459"/>
    <cellStyle name="Normal 17 9 2 9" xfId="5460"/>
    <cellStyle name="Normal 17 9 3" xfId="5461"/>
    <cellStyle name="Normal 17 9 4" xfId="5462"/>
    <cellStyle name="Normal 17 9 4 2" xfId="5463"/>
    <cellStyle name="Normal 17 9 4 3" xfId="5464"/>
    <cellStyle name="Normal 17 9 4 4" xfId="5465"/>
    <cellStyle name="Normal 17 9 4 5" xfId="5466"/>
    <cellStyle name="Normal 17 9 4 6" xfId="5467"/>
    <cellStyle name="Normal 17 9 5" xfId="5468"/>
    <cellStyle name="Normal 17 9 6" xfId="5469"/>
    <cellStyle name="Normal 17 9 7" xfId="5470"/>
    <cellStyle name="Normal 17 9 8" xfId="5471"/>
    <cellStyle name="Normal 17 9 9" xfId="5472"/>
    <cellStyle name="Normal 18" xfId="5473"/>
    <cellStyle name="Normal 18 10" xfId="5474"/>
    <cellStyle name="Normal 18 10 10" xfId="5475"/>
    <cellStyle name="Normal 18 10 11" xfId="5476"/>
    <cellStyle name="Normal 18 10 2" xfId="5477"/>
    <cellStyle name="Normal 18 10 2 10" xfId="5478"/>
    <cellStyle name="Normal 18 10 2 2" xfId="5479"/>
    <cellStyle name="Normal 18 10 2 3" xfId="5480"/>
    <cellStyle name="Normal 18 10 2 3 2" xfId="5481"/>
    <cellStyle name="Normal 18 10 2 3 3" xfId="5482"/>
    <cellStyle name="Normal 18 10 2 3 4" xfId="5483"/>
    <cellStyle name="Normal 18 10 2 3 5" xfId="5484"/>
    <cellStyle name="Normal 18 10 2 3 6" xfId="5485"/>
    <cellStyle name="Normal 18 10 2 4" xfId="5486"/>
    <cellStyle name="Normal 18 10 2 5" xfId="5487"/>
    <cellStyle name="Normal 18 10 2 6" xfId="5488"/>
    <cellStyle name="Normal 18 10 2 7" xfId="5489"/>
    <cellStyle name="Normal 18 10 2 8" xfId="5490"/>
    <cellStyle name="Normal 18 10 2 9" xfId="5491"/>
    <cellStyle name="Normal 18 10 3" xfId="5492"/>
    <cellStyle name="Normal 18 10 4" xfId="5493"/>
    <cellStyle name="Normal 18 10 4 2" xfId="5494"/>
    <cellStyle name="Normal 18 10 4 3" xfId="5495"/>
    <cellStyle name="Normal 18 10 4 4" xfId="5496"/>
    <cellStyle name="Normal 18 10 4 5" xfId="5497"/>
    <cellStyle name="Normal 18 10 4 6" xfId="5498"/>
    <cellStyle name="Normal 18 10 5" xfId="5499"/>
    <cellStyle name="Normal 18 10 6" xfId="5500"/>
    <cellStyle name="Normal 18 10 7" xfId="5501"/>
    <cellStyle name="Normal 18 10 8" xfId="5502"/>
    <cellStyle name="Normal 18 10 9" xfId="5503"/>
    <cellStyle name="Normal 18 11" xfId="5504"/>
    <cellStyle name="Normal 18 11 10" xfId="5505"/>
    <cellStyle name="Normal 18 11 2" xfId="5506"/>
    <cellStyle name="Normal 18 11 3" xfId="5507"/>
    <cellStyle name="Normal 18 11 3 2" xfId="5508"/>
    <cellStyle name="Normal 18 11 3 3" xfId="5509"/>
    <cellStyle name="Normal 18 11 3 4" xfId="5510"/>
    <cellStyle name="Normal 18 11 3 5" xfId="5511"/>
    <cellStyle name="Normal 18 11 3 6" xfId="5512"/>
    <cellStyle name="Normal 18 11 4" xfId="5513"/>
    <cellStyle name="Normal 18 11 5" xfId="5514"/>
    <cellStyle name="Normal 18 11 6" xfId="5515"/>
    <cellStyle name="Normal 18 11 7" xfId="5516"/>
    <cellStyle name="Normal 18 11 8" xfId="5517"/>
    <cellStyle name="Normal 18 11 9" xfId="5518"/>
    <cellStyle name="Normal 18 12" xfId="5519"/>
    <cellStyle name="Normal 18 13" xfId="5520"/>
    <cellStyle name="Normal 18 13 2" xfId="5521"/>
    <cellStyle name="Normal 18 13 3" xfId="5522"/>
    <cellStyle name="Normal 18 13 4" xfId="5523"/>
    <cellStyle name="Normal 18 13 5" xfId="5524"/>
    <cellStyle name="Normal 18 13 6" xfId="5525"/>
    <cellStyle name="Normal 18 14" xfId="5526"/>
    <cellStyle name="Normal 18 15" xfId="5527"/>
    <cellStyle name="Normal 18 16" xfId="5528"/>
    <cellStyle name="Normal 18 17" xfId="5529"/>
    <cellStyle name="Normal 18 18" xfId="5530"/>
    <cellStyle name="Normal 18 19" xfId="5531"/>
    <cellStyle name="Normal 18 2" xfId="5532"/>
    <cellStyle name="Normal 18 2 10" xfId="5533"/>
    <cellStyle name="Normal 18 2 11" xfId="5534"/>
    <cellStyle name="Normal 18 2 2" xfId="5535"/>
    <cellStyle name="Normal 18 2 2 10" xfId="5536"/>
    <cellStyle name="Normal 18 2 2 2" xfId="5537"/>
    <cellStyle name="Normal 18 2 2 3" xfId="5538"/>
    <cellStyle name="Normal 18 2 2 3 2" xfId="5539"/>
    <cellStyle name="Normal 18 2 2 3 3" xfId="5540"/>
    <cellStyle name="Normal 18 2 2 3 4" xfId="5541"/>
    <cellStyle name="Normal 18 2 2 3 5" xfId="5542"/>
    <cellStyle name="Normal 18 2 2 3 6" xfId="5543"/>
    <cellStyle name="Normal 18 2 2 4" xfId="5544"/>
    <cellStyle name="Normal 18 2 2 5" xfId="5545"/>
    <cellStyle name="Normal 18 2 2 6" xfId="5546"/>
    <cellStyle name="Normal 18 2 2 7" xfId="5547"/>
    <cellStyle name="Normal 18 2 2 8" xfId="5548"/>
    <cellStyle name="Normal 18 2 2 9" xfId="5549"/>
    <cellStyle name="Normal 18 2 3" xfId="5550"/>
    <cellStyle name="Normal 18 2 4" xfId="5551"/>
    <cellStyle name="Normal 18 2 4 2" xfId="5552"/>
    <cellStyle name="Normal 18 2 4 3" xfId="5553"/>
    <cellStyle name="Normal 18 2 4 4" xfId="5554"/>
    <cellStyle name="Normal 18 2 4 5" xfId="5555"/>
    <cellStyle name="Normal 18 2 4 6" xfId="5556"/>
    <cellStyle name="Normal 18 2 5" xfId="5557"/>
    <cellStyle name="Normal 18 2 6" xfId="5558"/>
    <cellStyle name="Normal 18 2 7" xfId="5559"/>
    <cellStyle name="Normal 18 2 8" xfId="5560"/>
    <cellStyle name="Normal 18 2 9" xfId="5561"/>
    <cellStyle name="Normal 18 20" xfId="5562"/>
    <cellStyle name="Normal 18 3" xfId="5563"/>
    <cellStyle name="Normal 18 3 10" xfId="5564"/>
    <cellStyle name="Normal 18 3 11" xfId="5565"/>
    <cellStyle name="Normal 18 3 2" xfId="5566"/>
    <cellStyle name="Normal 18 3 2 10" xfId="5567"/>
    <cellStyle name="Normal 18 3 2 2" xfId="5568"/>
    <cellStyle name="Normal 18 3 2 3" xfId="5569"/>
    <cellStyle name="Normal 18 3 2 3 2" xfId="5570"/>
    <cellStyle name="Normal 18 3 2 3 3" xfId="5571"/>
    <cellStyle name="Normal 18 3 2 3 4" xfId="5572"/>
    <cellStyle name="Normal 18 3 2 3 5" xfId="5573"/>
    <cellStyle name="Normal 18 3 2 3 6" xfId="5574"/>
    <cellStyle name="Normal 18 3 2 4" xfId="5575"/>
    <cellStyle name="Normal 18 3 2 5" xfId="5576"/>
    <cellStyle name="Normal 18 3 2 6" xfId="5577"/>
    <cellStyle name="Normal 18 3 2 7" xfId="5578"/>
    <cellStyle name="Normal 18 3 2 8" xfId="5579"/>
    <cellStyle name="Normal 18 3 2 9" xfId="5580"/>
    <cellStyle name="Normal 18 3 3" xfId="5581"/>
    <cellStyle name="Normal 18 3 4" xfId="5582"/>
    <cellStyle name="Normal 18 3 4 2" xfId="5583"/>
    <cellStyle name="Normal 18 3 4 3" xfId="5584"/>
    <cellStyle name="Normal 18 3 4 4" xfId="5585"/>
    <cellStyle name="Normal 18 3 4 5" xfId="5586"/>
    <cellStyle name="Normal 18 3 4 6" xfId="5587"/>
    <cellStyle name="Normal 18 3 5" xfId="5588"/>
    <cellStyle name="Normal 18 3 6" xfId="5589"/>
    <cellStyle name="Normal 18 3 7" xfId="5590"/>
    <cellStyle name="Normal 18 3 8" xfId="5591"/>
    <cellStyle name="Normal 18 3 9" xfId="5592"/>
    <cellStyle name="Normal 18 4" xfId="5593"/>
    <cellStyle name="Normal 18 4 10" xfId="5594"/>
    <cellStyle name="Normal 18 4 11" xfId="5595"/>
    <cellStyle name="Normal 18 4 2" xfId="5596"/>
    <cellStyle name="Normal 18 4 2 10" xfId="5597"/>
    <cellStyle name="Normal 18 4 2 2" xfId="5598"/>
    <cellStyle name="Normal 18 4 2 3" xfId="5599"/>
    <cellStyle name="Normal 18 4 2 3 2" xfId="5600"/>
    <cellStyle name="Normal 18 4 2 3 3" xfId="5601"/>
    <cellStyle name="Normal 18 4 2 3 4" xfId="5602"/>
    <cellStyle name="Normal 18 4 2 3 5" xfId="5603"/>
    <cellStyle name="Normal 18 4 2 3 6" xfId="5604"/>
    <cellStyle name="Normal 18 4 2 4" xfId="5605"/>
    <cellStyle name="Normal 18 4 2 5" xfId="5606"/>
    <cellStyle name="Normal 18 4 2 6" xfId="5607"/>
    <cellStyle name="Normal 18 4 2 7" xfId="5608"/>
    <cellStyle name="Normal 18 4 2 8" xfId="5609"/>
    <cellStyle name="Normal 18 4 2 9" xfId="5610"/>
    <cellStyle name="Normal 18 4 3" xfId="5611"/>
    <cellStyle name="Normal 18 4 4" xfId="5612"/>
    <cellStyle name="Normal 18 4 4 2" xfId="5613"/>
    <cellStyle name="Normal 18 4 4 3" xfId="5614"/>
    <cellStyle name="Normal 18 4 4 4" xfId="5615"/>
    <cellStyle name="Normal 18 4 4 5" xfId="5616"/>
    <cellStyle name="Normal 18 4 4 6" xfId="5617"/>
    <cellStyle name="Normal 18 4 5" xfId="5618"/>
    <cellStyle name="Normal 18 4 6" xfId="5619"/>
    <cellStyle name="Normal 18 4 7" xfId="5620"/>
    <cellStyle name="Normal 18 4 8" xfId="5621"/>
    <cellStyle name="Normal 18 4 9" xfId="5622"/>
    <cellStyle name="Normal 18 5" xfId="5623"/>
    <cellStyle name="Normal 18 5 10" xfId="5624"/>
    <cellStyle name="Normal 18 5 11" xfId="5625"/>
    <cellStyle name="Normal 18 5 2" xfId="5626"/>
    <cellStyle name="Normal 18 5 2 10" xfId="5627"/>
    <cellStyle name="Normal 18 5 2 2" xfId="5628"/>
    <cellStyle name="Normal 18 5 2 3" xfId="5629"/>
    <cellStyle name="Normal 18 5 2 3 2" xfId="5630"/>
    <cellStyle name="Normal 18 5 2 3 3" xfId="5631"/>
    <cellStyle name="Normal 18 5 2 3 4" xfId="5632"/>
    <cellStyle name="Normal 18 5 2 3 5" xfId="5633"/>
    <cellStyle name="Normal 18 5 2 3 6" xfId="5634"/>
    <cellStyle name="Normal 18 5 2 4" xfId="5635"/>
    <cellStyle name="Normal 18 5 2 5" xfId="5636"/>
    <cellStyle name="Normal 18 5 2 6" xfId="5637"/>
    <cellStyle name="Normal 18 5 2 7" xfId="5638"/>
    <cellStyle name="Normal 18 5 2 8" xfId="5639"/>
    <cellStyle name="Normal 18 5 2 9" xfId="5640"/>
    <cellStyle name="Normal 18 5 3" xfId="5641"/>
    <cellStyle name="Normal 18 5 4" xfId="5642"/>
    <cellStyle name="Normal 18 5 4 2" xfId="5643"/>
    <cellStyle name="Normal 18 5 4 3" xfId="5644"/>
    <cellStyle name="Normal 18 5 4 4" xfId="5645"/>
    <cellStyle name="Normal 18 5 4 5" xfId="5646"/>
    <cellStyle name="Normal 18 5 4 6" xfId="5647"/>
    <cellStyle name="Normal 18 5 5" xfId="5648"/>
    <cellStyle name="Normal 18 5 6" xfId="5649"/>
    <cellStyle name="Normal 18 5 7" xfId="5650"/>
    <cellStyle name="Normal 18 5 8" xfId="5651"/>
    <cellStyle name="Normal 18 5 9" xfId="5652"/>
    <cellStyle name="Normal 18 6" xfId="5653"/>
    <cellStyle name="Normal 18 6 10" xfId="5654"/>
    <cellStyle name="Normal 18 6 11" xfId="5655"/>
    <cellStyle name="Normal 18 6 2" xfId="5656"/>
    <cellStyle name="Normal 18 6 2 10" xfId="5657"/>
    <cellStyle name="Normal 18 6 2 2" xfId="5658"/>
    <cellStyle name="Normal 18 6 2 3" xfId="5659"/>
    <cellStyle name="Normal 18 6 2 3 2" xfId="5660"/>
    <cellStyle name="Normal 18 6 2 3 3" xfId="5661"/>
    <cellStyle name="Normal 18 6 2 3 4" xfId="5662"/>
    <cellStyle name="Normal 18 6 2 3 5" xfId="5663"/>
    <cellStyle name="Normal 18 6 2 3 6" xfId="5664"/>
    <cellStyle name="Normal 18 6 2 4" xfId="5665"/>
    <cellStyle name="Normal 18 6 2 5" xfId="5666"/>
    <cellStyle name="Normal 18 6 2 6" xfId="5667"/>
    <cellStyle name="Normal 18 6 2 7" xfId="5668"/>
    <cellStyle name="Normal 18 6 2 8" xfId="5669"/>
    <cellStyle name="Normal 18 6 2 9" xfId="5670"/>
    <cellStyle name="Normal 18 6 3" xfId="5671"/>
    <cellStyle name="Normal 18 6 4" xfId="5672"/>
    <cellStyle name="Normal 18 6 4 2" xfId="5673"/>
    <cellStyle name="Normal 18 6 4 3" xfId="5674"/>
    <cellStyle name="Normal 18 6 4 4" xfId="5675"/>
    <cellStyle name="Normal 18 6 4 5" xfId="5676"/>
    <cellStyle name="Normal 18 6 4 6" xfId="5677"/>
    <cellStyle name="Normal 18 6 5" xfId="5678"/>
    <cellStyle name="Normal 18 6 6" xfId="5679"/>
    <cellStyle name="Normal 18 6 7" xfId="5680"/>
    <cellStyle name="Normal 18 6 8" xfId="5681"/>
    <cellStyle name="Normal 18 6 9" xfId="5682"/>
    <cellStyle name="Normal 18 7" xfId="5683"/>
    <cellStyle name="Normal 18 7 10" xfId="5684"/>
    <cellStyle name="Normal 18 7 11" xfId="5685"/>
    <cellStyle name="Normal 18 7 2" xfId="5686"/>
    <cellStyle name="Normal 18 7 2 10" xfId="5687"/>
    <cellStyle name="Normal 18 7 2 2" xfId="5688"/>
    <cellStyle name="Normal 18 7 2 3" xfId="5689"/>
    <cellStyle name="Normal 18 7 2 3 2" xfId="5690"/>
    <cellStyle name="Normal 18 7 2 3 3" xfId="5691"/>
    <cellStyle name="Normal 18 7 2 3 4" xfId="5692"/>
    <cellStyle name="Normal 18 7 2 3 5" xfId="5693"/>
    <cellStyle name="Normal 18 7 2 3 6" xfId="5694"/>
    <cellStyle name="Normal 18 7 2 4" xfId="5695"/>
    <cellStyle name="Normal 18 7 2 5" xfId="5696"/>
    <cellStyle name="Normal 18 7 2 6" xfId="5697"/>
    <cellStyle name="Normal 18 7 2 7" xfId="5698"/>
    <cellStyle name="Normal 18 7 2 8" xfId="5699"/>
    <cellStyle name="Normal 18 7 2 9" xfId="5700"/>
    <cellStyle name="Normal 18 7 3" xfId="5701"/>
    <cellStyle name="Normal 18 7 4" xfId="5702"/>
    <cellStyle name="Normal 18 7 4 2" xfId="5703"/>
    <cellStyle name="Normal 18 7 4 3" xfId="5704"/>
    <cellStyle name="Normal 18 7 4 4" xfId="5705"/>
    <cellStyle name="Normal 18 7 4 5" xfId="5706"/>
    <cellStyle name="Normal 18 7 4 6" xfId="5707"/>
    <cellStyle name="Normal 18 7 5" xfId="5708"/>
    <cellStyle name="Normal 18 7 6" xfId="5709"/>
    <cellStyle name="Normal 18 7 7" xfId="5710"/>
    <cellStyle name="Normal 18 7 8" xfId="5711"/>
    <cellStyle name="Normal 18 7 9" xfId="5712"/>
    <cellStyle name="Normal 18 8" xfId="5713"/>
    <cellStyle name="Normal 18 8 10" xfId="5714"/>
    <cellStyle name="Normal 18 8 11" xfId="5715"/>
    <cellStyle name="Normal 18 8 2" xfId="5716"/>
    <cellStyle name="Normal 18 8 2 10" xfId="5717"/>
    <cellStyle name="Normal 18 8 2 2" xfId="5718"/>
    <cellStyle name="Normal 18 8 2 3" xfId="5719"/>
    <cellStyle name="Normal 18 8 2 3 2" xfId="5720"/>
    <cellStyle name="Normal 18 8 2 3 3" xfId="5721"/>
    <cellStyle name="Normal 18 8 2 3 4" xfId="5722"/>
    <cellStyle name="Normal 18 8 2 3 5" xfId="5723"/>
    <cellStyle name="Normal 18 8 2 3 6" xfId="5724"/>
    <cellStyle name="Normal 18 8 2 4" xfId="5725"/>
    <cellStyle name="Normal 18 8 2 5" xfId="5726"/>
    <cellStyle name="Normal 18 8 2 6" xfId="5727"/>
    <cellStyle name="Normal 18 8 2 7" xfId="5728"/>
    <cellStyle name="Normal 18 8 2 8" xfId="5729"/>
    <cellStyle name="Normal 18 8 2 9" xfId="5730"/>
    <cellStyle name="Normal 18 8 3" xfId="5731"/>
    <cellStyle name="Normal 18 8 4" xfId="5732"/>
    <cellStyle name="Normal 18 8 4 2" xfId="5733"/>
    <cellStyle name="Normal 18 8 4 3" xfId="5734"/>
    <cellStyle name="Normal 18 8 4 4" xfId="5735"/>
    <cellStyle name="Normal 18 8 4 5" xfId="5736"/>
    <cellStyle name="Normal 18 8 4 6" xfId="5737"/>
    <cellStyle name="Normal 18 8 5" xfId="5738"/>
    <cellStyle name="Normal 18 8 6" xfId="5739"/>
    <cellStyle name="Normal 18 8 7" xfId="5740"/>
    <cellStyle name="Normal 18 8 8" xfId="5741"/>
    <cellStyle name="Normal 18 8 9" xfId="5742"/>
    <cellStyle name="Normal 18 9" xfId="5743"/>
    <cellStyle name="Normal 18 9 10" xfId="5744"/>
    <cellStyle name="Normal 18 9 11" xfId="5745"/>
    <cellStyle name="Normal 18 9 2" xfId="5746"/>
    <cellStyle name="Normal 18 9 2 10" xfId="5747"/>
    <cellStyle name="Normal 18 9 2 2" xfId="5748"/>
    <cellStyle name="Normal 18 9 2 3" xfId="5749"/>
    <cellStyle name="Normal 18 9 2 3 2" xfId="5750"/>
    <cellStyle name="Normal 18 9 2 3 3" xfId="5751"/>
    <cellStyle name="Normal 18 9 2 3 4" xfId="5752"/>
    <cellStyle name="Normal 18 9 2 3 5" xfId="5753"/>
    <cellStyle name="Normal 18 9 2 3 6" xfId="5754"/>
    <cellStyle name="Normal 18 9 2 4" xfId="5755"/>
    <cellStyle name="Normal 18 9 2 5" xfId="5756"/>
    <cellStyle name="Normal 18 9 2 6" xfId="5757"/>
    <cellStyle name="Normal 18 9 2 7" xfId="5758"/>
    <cellStyle name="Normal 18 9 2 8" xfId="5759"/>
    <cellStyle name="Normal 18 9 2 9" xfId="5760"/>
    <cellStyle name="Normal 18 9 3" xfId="5761"/>
    <cellStyle name="Normal 18 9 4" xfId="5762"/>
    <cellStyle name="Normal 18 9 4 2" xfId="5763"/>
    <cellStyle name="Normal 18 9 4 3" xfId="5764"/>
    <cellStyle name="Normal 18 9 4 4" xfId="5765"/>
    <cellStyle name="Normal 18 9 4 5" xfId="5766"/>
    <cellStyle name="Normal 18 9 4 6" xfId="5767"/>
    <cellStyle name="Normal 18 9 5" xfId="5768"/>
    <cellStyle name="Normal 18 9 6" xfId="5769"/>
    <cellStyle name="Normal 18 9 7" xfId="5770"/>
    <cellStyle name="Normal 18 9 8" xfId="5771"/>
    <cellStyle name="Normal 18 9 9" xfId="5772"/>
    <cellStyle name="Normal 19" xfId="5773"/>
    <cellStyle name="Normal 19 10" xfId="5774"/>
    <cellStyle name="Normal 19 10 10" xfId="5775"/>
    <cellStyle name="Normal 19 10 11" xfId="5776"/>
    <cellStyle name="Normal 19 10 2" xfId="5777"/>
    <cellStyle name="Normal 19 10 2 10" xfId="5778"/>
    <cellStyle name="Normal 19 10 2 2" xfId="5779"/>
    <cellStyle name="Normal 19 10 2 3" xfId="5780"/>
    <cellStyle name="Normal 19 10 2 3 2" xfId="5781"/>
    <cellStyle name="Normal 19 10 2 3 3" xfId="5782"/>
    <cellStyle name="Normal 19 10 2 3 4" xfId="5783"/>
    <cellStyle name="Normal 19 10 2 3 5" xfId="5784"/>
    <cellStyle name="Normal 19 10 2 3 6" xfId="5785"/>
    <cellStyle name="Normal 19 10 2 4" xfId="5786"/>
    <cellStyle name="Normal 19 10 2 5" xfId="5787"/>
    <cellStyle name="Normal 19 10 2 6" xfId="5788"/>
    <cellStyle name="Normal 19 10 2 7" xfId="5789"/>
    <cellStyle name="Normal 19 10 2 8" xfId="5790"/>
    <cellStyle name="Normal 19 10 2 9" xfId="5791"/>
    <cellStyle name="Normal 19 10 3" xfId="5792"/>
    <cellStyle name="Normal 19 10 4" xfId="5793"/>
    <cellStyle name="Normal 19 10 4 2" xfId="5794"/>
    <cellStyle name="Normal 19 10 4 3" xfId="5795"/>
    <cellStyle name="Normal 19 10 4 4" xfId="5796"/>
    <cellStyle name="Normal 19 10 4 5" xfId="5797"/>
    <cellStyle name="Normal 19 10 4 6" xfId="5798"/>
    <cellStyle name="Normal 19 10 5" xfId="5799"/>
    <cellStyle name="Normal 19 10 6" xfId="5800"/>
    <cellStyle name="Normal 19 10 7" xfId="5801"/>
    <cellStyle name="Normal 19 10 8" xfId="5802"/>
    <cellStyle name="Normal 19 10 9" xfId="5803"/>
    <cellStyle name="Normal 19 11" xfId="5804"/>
    <cellStyle name="Normal 19 11 10" xfId="5805"/>
    <cellStyle name="Normal 19 11 2" xfId="5806"/>
    <cellStyle name="Normal 19 11 3" xfId="5807"/>
    <cellStyle name="Normal 19 11 3 2" xfId="5808"/>
    <cellStyle name="Normal 19 11 3 3" xfId="5809"/>
    <cellStyle name="Normal 19 11 3 4" xfId="5810"/>
    <cellStyle name="Normal 19 11 3 5" xfId="5811"/>
    <cellStyle name="Normal 19 11 3 6" xfId="5812"/>
    <cellStyle name="Normal 19 11 4" xfId="5813"/>
    <cellStyle name="Normal 19 11 5" xfId="5814"/>
    <cellStyle name="Normal 19 11 6" xfId="5815"/>
    <cellStyle name="Normal 19 11 7" xfId="5816"/>
    <cellStyle name="Normal 19 11 8" xfId="5817"/>
    <cellStyle name="Normal 19 11 9" xfId="5818"/>
    <cellStyle name="Normal 19 12" xfId="5819"/>
    <cellStyle name="Normal 19 13" xfId="5820"/>
    <cellStyle name="Normal 19 13 2" xfId="5821"/>
    <cellStyle name="Normal 19 13 3" xfId="5822"/>
    <cellStyle name="Normal 19 13 4" xfId="5823"/>
    <cellStyle name="Normal 19 13 5" xfId="5824"/>
    <cellStyle name="Normal 19 13 6" xfId="5825"/>
    <cellStyle name="Normal 19 14" xfId="5826"/>
    <cellStyle name="Normal 19 15" xfId="5827"/>
    <cellStyle name="Normal 19 16" xfId="5828"/>
    <cellStyle name="Normal 19 17" xfId="5829"/>
    <cellStyle name="Normal 19 18" xfId="5830"/>
    <cellStyle name="Normal 19 19" xfId="5831"/>
    <cellStyle name="Normal 19 2" xfId="5832"/>
    <cellStyle name="Normal 19 2 10" xfId="5833"/>
    <cellStyle name="Normal 19 2 11" xfId="5834"/>
    <cellStyle name="Normal 19 2 2" xfId="5835"/>
    <cellStyle name="Normal 19 2 2 10" xfId="5836"/>
    <cellStyle name="Normal 19 2 2 2" xfId="5837"/>
    <cellStyle name="Normal 19 2 2 3" xfId="5838"/>
    <cellStyle name="Normal 19 2 2 3 2" xfId="5839"/>
    <cellStyle name="Normal 19 2 2 3 3" xfId="5840"/>
    <cellStyle name="Normal 19 2 2 3 4" xfId="5841"/>
    <cellStyle name="Normal 19 2 2 3 5" xfId="5842"/>
    <cellStyle name="Normal 19 2 2 3 6" xfId="5843"/>
    <cellStyle name="Normal 19 2 2 4" xfId="5844"/>
    <cellStyle name="Normal 19 2 2 5" xfId="5845"/>
    <cellStyle name="Normal 19 2 2 6" xfId="5846"/>
    <cellStyle name="Normal 19 2 2 7" xfId="5847"/>
    <cellStyle name="Normal 19 2 2 8" xfId="5848"/>
    <cellStyle name="Normal 19 2 2 9" xfId="5849"/>
    <cellStyle name="Normal 19 2 3" xfId="5850"/>
    <cellStyle name="Normal 19 2 4" xfId="5851"/>
    <cellStyle name="Normal 19 2 4 2" xfId="5852"/>
    <cellStyle name="Normal 19 2 4 3" xfId="5853"/>
    <cellStyle name="Normal 19 2 4 4" xfId="5854"/>
    <cellStyle name="Normal 19 2 4 5" xfId="5855"/>
    <cellStyle name="Normal 19 2 4 6" xfId="5856"/>
    <cellStyle name="Normal 19 2 5" xfId="5857"/>
    <cellStyle name="Normal 19 2 6" xfId="5858"/>
    <cellStyle name="Normal 19 2 7" xfId="5859"/>
    <cellStyle name="Normal 19 2 8" xfId="5860"/>
    <cellStyle name="Normal 19 2 9" xfId="5861"/>
    <cellStyle name="Normal 19 20" xfId="5862"/>
    <cellStyle name="Normal 19 3" xfId="5863"/>
    <cellStyle name="Normal 19 3 10" xfId="5864"/>
    <cellStyle name="Normal 19 3 11" xfId="5865"/>
    <cellStyle name="Normal 19 3 2" xfId="5866"/>
    <cellStyle name="Normal 19 3 2 10" xfId="5867"/>
    <cellStyle name="Normal 19 3 2 2" xfId="5868"/>
    <cellStyle name="Normal 19 3 2 3" xfId="5869"/>
    <cellStyle name="Normal 19 3 2 3 2" xfId="5870"/>
    <cellStyle name="Normal 19 3 2 3 3" xfId="5871"/>
    <cellStyle name="Normal 19 3 2 3 4" xfId="5872"/>
    <cellStyle name="Normal 19 3 2 3 5" xfId="5873"/>
    <cellStyle name="Normal 19 3 2 3 6" xfId="5874"/>
    <cellStyle name="Normal 19 3 2 4" xfId="5875"/>
    <cellStyle name="Normal 19 3 2 5" xfId="5876"/>
    <cellStyle name="Normal 19 3 2 6" xfId="5877"/>
    <cellStyle name="Normal 19 3 2 7" xfId="5878"/>
    <cellStyle name="Normal 19 3 2 8" xfId="5879"/>
    <cellStyle name="Normal 19 3 2 9" xfId="5880"/>
    <cellStyle name="Normal 19 3 3" xfId="5881"/>
    <cellStyle name="Normal 19 3 4" xfId="5882"/>
    <cellStyle name="Normal 19 3 4 2" xfId="5883"/>
    <cellStyle name="Normal 19 3 4 3" xfId="5884"/>
    <cellStyle name="Normal 19 3 4 4" xfId="5885"/>
    <cellStyle name="Normal 19 3 4 5" xfId="5886"/>
    <cellStyle name="Normal 19 3 4 6" xfId="5887"/>
    <cellStyle name="Normal 19 3 5" xfId="5888"/>
    <cellStyle name="Normal 19 3 6" xfId="5889"/>
    <cellStyle name="Normal 19 3 7" xfId="5890"/>
    <cellStyle name="Normal 19 3 8" xfId="5891"/>
    <cellStyle name="Normal 19 3 9" xfId="5892"/>
    <cellStyle name="Normal 19 4" xfId="5893"/>
    <cellStyle name="Normal 19 4 10" xfId="5894"/>
    <cellStyle name="Normal 19 4 11" xfId="5895"/>
    <cellStyle name="Normal 19 4 2" xfId="5896"/>
    <cellStyle name="Normal 19 4 2 10" xfId="5897"/>
    <cellStyle name="Normal 19 4 2 2" xfId="5898"/>
    <cellStyle name="Normal 19 4 2 3" xfId="5899"/>
    <cellStyle name="Normal 19 4 2 3 2" xfId="5900"/>
    <cellStyle name="Normal 19 4 2 3 3" xfId="5901"/>
    <cellStyle name="Normal 19 4 2 3 4" xfId="5902"/>
    <cellStyle name="Normal 19 4 2 3 5" xfId="5903"/>
    <cellStyle name="Normal 19 4 2 3 6" xfId="5904"/>
    <cellStyle name="Normal 19 4 2 4" xfId="5905"/>
    <cellStyle name="Normal 19 4 2 5" xfId="5906"/>
    <cellStyle name="Normal 19 4 2 6" xfId="5907"/>
    <cellStyle name="Normal 19 4 2 7" xfId="5908"/>
    <cellStyle name="Normal 19 4 2 8" xfId="5909"/>
    <cellStyle name="Normal 19 4 2 9" xfId="5910"/>
    <cellStyle name="Normal 19 4 3" xfId="5911"/>
    <cellStyle name="Normal 19 4 4" xfId="5912"/>
    <cellStyle name="Normal 19 4 4 2" xfId="5913"/>
    <cellStyle name="Normal 19 4 4 3" xfId="5914"/>
    <cellStyle name="Normal 19 4 4 4" xfId="5915"/>
    <cellStyle name="Normal 19 4 4 5" xfId="5916"/>
    <cellStyle name="Normal 19 4 4 6" xfId="5917"/>
    <cellStyle name="Normal 19 4 5" xfId="5918"/>
    <cellStyle name="Normal 19 4 6" xfId="5919"/>
    <cellStyle name="Normal 19 4 7" xfId="5920"/>
    <cellStyle name="Normal 19 4 8" xfId="5921"/>
    <cellStyle name="Normal 19 4 9" xfId="5922"/>
    <cellStyle name="Normal 19 5" xfId="5923"/>
    <cellStyle name="Normal 19 5 10" xfId="5924"/>
    <cellStyle name="Normal 19 5 11" xfId="5925"/>
    <cellStyle name="Normal 19 5 2" xfId="5926"/>
    <cellStyle name="Normal 19 5 2 10" xfId="5927"/>
    <cellStyle name="Normal 19 5 2 2" xfId="5928"/>
    <cellStyle name="Normal 19 5 2 3" xfId="5929"/>
    <cellStyle name="Normal 19 5 2 3 2" xfId="5930"/>
    <cellStyle name="Normal 19 5 2 3 3" xfId="5931"/>
    <cellStyle name="Normal 19 5 2 3 4" xfId="5932"/>
    <cellStyle name="Normal 19 5 2 3 5" xfId="5933"/>
    <cellStyle name="Normal 19 5 2 3 6" xfId="5934"/>
    <cellStyle name="Normal 19 5 2 4" xfId="5935"/>
    <cellStyle name="Normal 19 5 2 5" xfId="5936"/>
    <cellStyle name="Normal 19 5 2 6" xfId="5937"/>
    <cellStyle name="Normal 19 5 2 7" xfId="5938"/>
    <cellStyle name="Normal 19 5 2 8" xfId="5939"/>
    <cellStyle name="Normal 19 5 2 9" xfId="5940"/>
    <cellStyle name="Normal 19 5 3" xfId="5941"/>
    <cellStyle name="Normal 19 5 4" xfId="5942"/>
    <cellStyle name="Normal 19 5 4 2" xfId="5943"/>
    <cellStyle name="Normal 19 5 4 3" xfId="5944"/>
    <cellStyle name="Normal 19 5 4 4" xfId="5945"/>
    <cellStyle name="Normal 19 5 4 5" xfId="5946"/>
    <cellStyle name="Normal 19 5 4 6" xfId="5947"/>
    <cellStyle name="Normal 19 5 5" xfId="5948"/>
    <cellStyle name="Normal 19 5 6" xfId="5949"/>
    <cellStyle name="Normal 19 5 7" xfId="5950"/>
    <cellStyle name="Normal 19 5 8" xfId="5951"/>
    <cellStyle name="Normal 19 5 9" xfId="5952"/>
    <cellStyle name="Normal 19 6" xfId="5953"/>
    <cellStyle name="Normal 19 6 10" xfId="5954"/>
    <cellStyle name="Normal 19 6 11" xfId="5955"/>
    <cellStyle name="Normal 19 6 2" xfId="5956"/>
    <cellStyle name="Normal 19 6 2 10" xfId="5957"/>
    <cellStyle name="Normal 19 6 2 2" xfId="5958"/>
    <cellStyle name="Normal 19 6 2 3" xfId="5959"/>
    <cellStyle name="Normal 19 6 2 3 2" xfId="5960"/>
    <cellStyle name="Normal 19 6 2 3 3" xfId="5961"/>
    <cellStyle name="Normal 19 6 2 3 4" xfId="5962"/>
    <cellStyle name="Normal 19 6 2 3 5" xfId="5963"/>
    <cellStyle name="Normal 19 6 2 3 6" xfId="5964"/>
    <cellStyle name="Normal 19 6 2 4" xfId="5965"/>
    <cellStyle name="Normal 19 6 2 5" xfId="5966"/>
    <cellStyle name="Normal 19 6 2 6" xfId="5967"/>
    <cellStyle name="Normal 19 6 2 7" xfId="5968"/>
    <cellStyle name="Normal 19 6 2 8" xfId="5969"/>
    <cellStyle name="Normal 19 6 2 9" xfId="5970"/>
    <cellStyle name="Normal 19 6 3" xfId="5971"/>
    <cellStyle name="Normal 19 6 4" xfId="5972"/>
    <cellStyle name="Normal 19 6 4 2" xfId="5973"/>
    <cellStyle name="Normal 19 6 4 3" xfId="5974"/>
    <cellStyle name="Normal 19 6 4 4" xfId="5975"/>
    <cellStyle name="Normal 19 6 4 5" xfId="5976"/>
    <cellStyle name="Normal 19 6 4 6" xfId="5977"/>
    <cellStyle name="Normal 19 6 5" xfId="5978"/>
    <cellStyle name="Normal 19 6 6" xfId="5979"/>
    <cellStyle name="Normal 19 6 7" xfId="5980"/>
    <cellStyle name="Normal 19 6 8" xfId="5981"/>
    <cellStyle name="Normal 19 6 9" xfId="5982"/>
    <cellStyle name="Normal 19 7" xfId="5983"/>
    <cellStyle name="Normal 19 7 10" xfId="5984"/>
    <cellStyle name="Normal 19 7 11" xfId="5985"/>
    <cellStyle name="Normal 19 7 2" xfId="5986"/>
    <cellStyle name="Normal 19 7 2 10" xfId="5987"/>
    <cellStyle name="Normal 19 7 2 2" xfId="5988"/>
    <cellStyle name="Normal 19 7 2 3" xfId="5989"/>
    <cellStyle name="Normal 19 7 2 3 2" xfId="5990"/>
    <cellStyle name="Normal 19 7 2 3 3" xfId="5991"/>
    <cellStyle name="Normal 19 7 2 3 4" xfId="5992"/>
    <cellStyle name="Normal 19 7 2 3 5" xfId="5993"/>
    <cellStyle name="Normal 19 7 2 3 6" xfId="5994"/>
    <cellStyle name="Normal 19 7 2 4" xfId="5995"/>
    <cellStyle name="Normal 19 7 2 5" xfId="5996"/>
    <cellStyle name="Normal 19 7 2 6" xfId="5997"/>
    <cellStyle name="Normal 19 7 2 7" xfId="5998"/>
    <cellStyle name="Normal 19 7 2 8" xfId="5999"/>
    <cellStyle name="Normal 19 7 2 9" xfId="6000"/>
    <cellStyle name="Normal 19 7 3" xfId="6001"/>
    <cellStyle name="Normal 19 7 4" xfId="6002"/>
    <cellStyle name="Normal 19 7 4 2" xfId="6003"/>
    <cellStyle name="Normal 19 7 4 3" xfId="6004"/>
    <cellStyle name="Normal 19 7 4 4" xfId="6005"/>
    <cellStyle name="Normal 19 7 4 5" xfId="6006"/>
    <cellStyle name="Normal 19 7 4 6" xfId="6007"/>
    <cellStyle name="Normal 19 7 5" xfId="6008"/>
    <cellStyle name="Normal 19 7 6" xfId="6009"/>
    <cellStyle name="Normal 19 7 7" xfId="6010"/>
    <cellStyle name="Normal 19 7 8" xfId="6011"/>
    <cellStyle name="Normal 19 7 9" xfId="6012"/>
    <cellStyle name="Normal 19 8" xfId="6013"/>
    <cellStyle name="Normal 19 8 10" xfId="6014"/>
    <cellStyle name="Normal 19 8 11" xfId="6015"/>
    <cellStyle name="Normal 19 8 2" xfId="6016"/>
    <cellStyle name="Normal 19 8 2 10" xfId="6017"/>
    <cellStyle name="Normal 19 8 2 2" xfId="6018"/>
    <cellStyle name="Normal 19 8 2 3" xfId="6019"/>
    <cellStyle name="Normal 19 8 2 3 2" xfId="6020"/>
    <cellStyle name="Normal 19 8 2 3 3" xfId="6021"/>
    <cellStyle name="Normal 19 8 2 3 4" xfId="6022"/>
    <cellStyle name="Normal 19 8 2 3 5" xfId="6023"/>
    <cellStyle name="Normal 19 8 2 3 6" xfId="6024"/>
    <cellStyle name="Normal 19 8 2 4" xfId="6025"/>
    <cellStyle name="Normal 19 8 2 5" xfId="6026"/>
    <cellStyle name="Normal 19 8 2 6" xfId="6027"/>
    <cellStyle name="Normal 19 8 2 7" xfId="6028"/>
    <cellStyle name="Normal 19 8 2 8" xfId="6029"/>
    <cellStyle name="Normal 19 8 2 9" xfId="6030"/>
    <cellStyle name="Normal 19 8 3" xfId="6031"/>
    <cellStyle name="Normal 19 8 4" xfId="6032"/>
    <cellStyle name="Normal 19 8 4 2" xfId="6033"/>
    <cellStyle name="Normal 19 8 4 3" xfId="6034"/>
    <cellStyle name="Normal 19 8 4 4" xfId="6035"/>
    <cellStyle name="Normal 19 8 4 5" xfId="6036"/>
    <cellStyle name="Normal 19 8 4 6" xfId="6037"/>
    <cellStyle name="Normal 19 8 5" xfId="6038"/>
    <cellStyle name="Normal 19 8 6" xfId="6039"/>
    <cellStyle name="Normal 19 8 7" xfId="6040"/>
    <cellStyle name="Normal 19 8 8" xfId="6041"/>
    <cellStyle name="Normal 19 8 9" xfId="6042"/>
    <cellStyle name="Normal 19 9" xfId="6043"/>
    <cellStyle name="Normal 19 9 10" xfId="6044"/>
    <cellStyle name="Normal 19 9 11" xfId="6045"/>
    <cellStyle name="Normal 19 9 2" xfId="6046"/>
    <cellStyle name="Normal 19 9 2 10" xfId="6047"/>
    <cellStyle name="Normal 19 9 2 2" xfId="6048"/>
    <cellStyle name="Normal 19 9 2 3" xfId="6049"/>
    <cellStyle name="Normal 19 9 2 3 2" xfId="6050"/>
    <cellStyle name="Normal 19 9 2 3 3" xfId="6051"/>
    <cellStyle name="Normal 19 9 2 3 4" xfId="6052"/>
    <cellStyle name="Normal 19 9 2 3 5" xfId="6053"/>
    <cellStyle name="Normal 19 9 2 3 6" xfId="6054"/>
    <cellStyle name="Normal 19 9 2 4" xfId="6055"/>
    <cellStyle name="Normal 19 9 2 5" xfId="6056"/>
    <cellStyle name="Normal 19 9 2 6" xfId="6057"/>
    <cellStyle name="Normal 19 9 2 7" xfId="6058"/>
    <cellStyle name="Normal 19 9 2 8" xfId="6059"/>
    <cellStyle name="Normal 19 9 2 9" xfId="6060"/>
    <cellStyle name="Normal 19 9 3" xfId="6061"/>
    <cellStyle name="Normal 19 9 4" xfId="6062"/>
    <cellStyle name="Normal 19 9 4 2" xfId="6063"/>
    <cellStyle name="Normal 19 9 4 3" xfId="6064"/>
    <cellStyle name="Normal 19 9 4 4" xfId="6065"/>
    <cellStyle name="Normal 19 9 4 5" xfId="6066"/>
    <cellStyle name="Normal 19 9 4 6" xfId="6067"/>
    <cellStyle name="Normal 19 9 5" xfId="6068"/>
    <cellStyle name="Normal 19 9 6" xfId="6069"/>
    <cellStyle name="Normal 19 9 7" xfId="6070"/>
    <cellStyle name="Normal 19 9 8" xfId="6071"/>
    <cellStyle name="Normal 19 9 9" xfId="6072"/>
    <cellStyle name="Normal 2" xfId="6"/>
    <cellStyle name="Normal 2 10" xfId="6073"/>
    <cellStyle name="Normal 2 10 2" xfId="6074"/>
    <cellStyle name="Normal 2 10 2 2" xfId="6075"/>
    <cellStyle name="Normal 2 10 2 3" xfId="6076"/>
    <cellStyle name="Normal 2 10 2 3 2" xfId="6077"/>
    <cellStyle name="Normal 2 10 2 3 3" xfId="6078"/>
    <cellStyle name="Normal 2 10 2 3 4" xfId="6079"/>
    <cellStyle name="Normal 2 10 2 3 5" xfId="6080"/>
    <cellStyle name="Normal 2 10 2 3 6" xfId="6081"/>
    <cellStyle name="Normal 2 10 2 4" xfId="6082"/>
    <cellStyle name="Normal 2 10 2 4 2" xfId="6083"/>
    <cellStyle name="Normal 2 10 2 4 3" xfId="6084"/>
    <cellStyle name="Normal 2 10 2 4 4" xfId="6085"/>
    <cellStyle name="Normal 2 10 2 4 5" xfId="6086"/>
    <cellStyle name="Normal 2 10 2 4 6" xfId="6087"/>
    <cellStyle name="Normal 2 10 3" xfId="6088"/>
    <cellStyle name="Normal 2 10 4" xfId="6089"/>
    <cellStyle name="Normal 2 10 5" xfId="6090"/>
    <cellStyle name="Normal 2 100" xfId="6091"/>
    <cellStyle name="Normal 2 100 2" xfId="6092"/>
    <cellStyle name="Normal 2 100 3" xfId="6093"/>
    <cellStyle name="Normal 2 100 4" xfId="6094"/>
    <cellStyle name="Normal 2 100 5" xfId="6095"/>
    <cellStyle name="Normal 2 100 6" xfId="6096"/>
    <cellStyle name="Normal 2 100 7" xfId="6097"/>
    <cellStyle name="Normal 2 100 8" xfId="6098"/>
    <cellStyle name="Normal 2 101" xfId="6099"/>
    <cellStyle name="Normal 2 101 2" xfId="6100"/>
    <cellStyle name="Normal 2 101 3" xfId="6101"/>
    <cellStyle name="Normal 2 101 4" xfId="6102"/>
    <cellStyle name="Normal 2 101 5" xfId="6103"/>
    <cellStyle name="Normal 2 101 6" xfId="6104"/>
    <cellStyle name="Normal 2 101 7" xfId="6105"/>
    <cellStyle name="Normal 2 101 8" xfId="6106"/>
    <cellStyle name="Normal 2 102" xfId="6107"/>
    <cellStyle name="Normal 2 102 2" xfId="6108"/>
    <cellStyle name="Normal 2 102 3" xfId="6109"/>
    <cellStyle name="Normal 2 102 4" xfId="6110"/>
    <cellStyle name="Normal 2 102 5" xfId="6111"/>
    <cellStyle name="Normal 2 102 6" xfId="6112"/>
    <cellStyle name="Normal 2 102 7" xfId="6113"/>
    <cellStyle name="Normal 2 102 8" xfId="6114"/>
    <cellStyle name="Normal 2 103" xfId="6115"/>
    <cellStyle name="Normal 2 103 2" xfId="6116"/>
    <cellStyle name="Normal 2 103 3" xfId="6117"/>
    <cellStyle name="Normal 2 103 4" xfId="6118"/>
    <cellStyle name="Normal 2 103 5" xfId="6119"/>
    <cellStyle name="Normal 2 103 6" xfId="6120"/>
    <cellStyle name="Normal 2 103 7" xfId="6121"/>
    <cellStyle name="Normal 2 103 8" xfId="6122"/>
    <cellStyle name="Normal 2 104" xfId="6123"/>
    <cellStyle name="Normal 2 104 2" xfId="6124"/>
    <cellStyle name="Normal 2 104 3" xfId="6125"/>
    <cellStyle name="Normal 2 104 4" xfId="6126"/>
    <cellStyle name="Normal 2 104 5" xfId="6127"/>
    <cellStyle name="Normal 2 104 6" xfId="6128"/>
    <cellStyle name="Normal 2 104 7" xfId="6129"/>
    <cellStyle name="Normal 2 104 8" xfId="6130"/>
    <cellStyle name="Normal 2 105" xfId="6131"/>
    <cellStyle name="Normal 2 105 2" xfId="6132"/>
    <cellStyle name="Normal 2 105 3" xfId="6133"/>
    <cellStyle name="Normal 2 105 4" xfId="6134"/>
    <cellStyle name="Normal 2 105 5" xfId="6135"/>
    <cellStyle name="Normal 2 105 6" xfId="6136"/>
    <cellStyle name="Normal 2 105 7" xfId="6137"/>
    <cellStyle name="Normal 2 105 8" xfId="6138"/>
    <cellStyle name="Normal 2 106" xfId="6139"/>
    <cellStyle name="Normal 2 106 2" xfId="6140"/>
    <cellStyle name="Normal 2 106 3" xfId="6141"/>
    <cellStyle name="Normal 2 106 4" xfId="6142"/>
    <cellStyle name="Normal 2 106 5" xfId="6143"/>
    <cellStyle name="Normal 2 106 6" xfId="6144"/>
    <cellStyle name="Normal 2 106 7" xfId="6145"/>
    <cellStyle name="Normal 2 106 8" xfId="6146"/>
    <cellStyle name="Normal 2 107" xfId="6147"/>
    <cellStyle name="Normal 2 107 2" xfId="6148"/>
    <cellStyle name="Normal 2 107 3" xfId="6149"/>
    <cellStyle name="Normal 2 107 4" xfId="6150"/>
    <cellStyle name="Normal 2 107 5" xfId="6151"/>
    <cellStyle name="Normal 2 107 6" xfId="6152"/>
    <cellStyle name="Normal 2 107 7" xfId="6153"/>
    <cellStyle name="Normal 2 107 8" xfId="6154"/>
    <cellStyle name="Normal 2 108" xfId="6155"/>
    <cellStyle name="Normal 2 108 2" xfId="6156"/>
    <cellStyle name="Normal 2 108 3" xfId="6157"/>
    <cellStyle name="Normal 2 108 4" xfId="6158"/>
    <cellStyle name="Normal 2 108 5" xfId="6159"/>
    <cellStyle name="Normal 2 108 6" xfId="6160"/>
    <cellStyle name="Normal 2 108 7" xfId="6161"/>
    <cellStyle name="Normal 2 108 8" xfId="6162"/>
    <cellStyle name="Normal 2 109" xfId="6163"/>
    <cellStyle name="Normal 2 109 2" xfId="6164"/>
    <cellStyle name="Normal 2 109 3" xfId="6165"/>
    <cellStyle name="Normal 2 109 4" xfId="6166"/>
    <cellStyle name="Normal 2 109 5" xfId="6167"/>
    <cellStyle name="Normal 2 109 6" xfId="6168"/>
    <cellStyle name="Normal 2 109 7" xfId="6169"/>
    <cellStyle name="Normal 2 109 8" xfId="6170"/>
    <cellStyle name="Normal 2 11" xfId="6171"/>
    <cellStyle name="Normal 2 11 10" xfId="6172"/>
    <cellStyle name="Normal 2 11 10 2" xfId="6173"/>
    <cellStyle name="Normal 2 11 10 3" xfId="6174"/>
    <cellStyle name="Normal 2 11 10 3 2" xfId="6175"/>
    <cellStyle name="Normal 2 11 10 3 3" xfId="6176"/>
    <cellStyle name="Normal 2 11 10 3 4" xfId="6177"/>
    <cellStyle name="Normal 2 11 10 3 5" xfId="6178"/>
    <cellStyle name="Normal 2 11 10 3 6" xfId="6179"/>
    <cellStyle name="Normal 2 11 10 4" xfId="6180"/>
    <cellStyle name="Normal 2 11 10 4 2" xfId="6181"/>
    <cellStyle name="Normal 2 11 10 4 3" xfId="6182"/>
    <cellStyle name="Normal 2 11 10 4 4" xfId="6183"/>
    <cellStyle name="Normal 2 11 10 4 5" xfId="6184"/>
    <cellStyle name="Normal 2 11 10 4 6" xfId="6185"/>
    <cellStyle name="Normal 2 11 11" xfId="6186"/>
    <cellStyle name="Normal 2 11 11 2" xfId="6187"/>
    <cellStyle name="Normal 2 11 11 3" xfId="6188"/>
    <cellStyle name="Normal 2 11 11 3 2" xfId="6189"/>
    <cellStyle name="Normal 2 11 11 3 3" xfId="6190"/>
    <cellStyle name="Normal 2 11 11 3 4" xfId="6191"/>
    <cellStyle name="Normal 2 11 11 3 5" xfId="6192"/>
    <cellStyle name="Normal 2 11 11 3 6" xfId="6193"/>
    <cellStyle name="Normal 2 11 11 4" xfId="6194"/>
    <cellStyle name="Normal 2 11 11 4 2" xfId="6195"/>
    <cellStyle name="Normal 2 11 11 4 3" xfId="6196"/>
    <cellStyle name="Normal 2 11 11 4 4" xfId="6197"/>
    <cellStyle name="Normal 2 11 11 4 5" xfId="6198"/>
    <cellStyle name="Normal 2 11 11 4 6" xfId="6199"/>
    <cellStyle name="Normal 2 11 12" xfId="6200"/>
    <cellStyle name="Normal 2 11 12 2" xfId="6201"/>
    <cellStyle name="Normal 2 11 12 3" xfId="6202"/>
    <cellStyle name="Normal 2 11 12 3 2" xfId="6203"/>
    <cellStyle name="Normal 2 11 12 3 3" xfId="6204"/>
    <cellStyle name="Normal 2 11 12 3 4" xfId="6205"/>
    <cellStyle name="Normal 2 11 12 3 5" xfId="6206"/>
    <cellStyle name="Normal 2 11 12 3 6" xfId="6207"/>
    <cellStyle name="Normal 2 11 12 4" xfId="6208"/>
    <cellStyle name="Normal 2 11 12 4 2" xfId="6209"/>
    <cellStyle name="Normal 2 11 12 4 3" xfId="6210"/>
    <cellStyle name="Normal 2 11 12 4 4" xfId="6211"/>
    <cellStyle name="Normal 2 11 12 4 5" xfId="6212"/>
    <cellStyle name="Normal 2 11 12 4 6" xfId="6213"/>
    <cellStyle name="Normal 2 11 13" xfId="6214"/>
    <cellStyle name="Normal 2 11 13 2" xfId="6215"/>
    <cellStyle name="Normal 2 11 13 3" xfId="6216"/>
    <cellStyle name="Normal 2 11 13 3 2" xfId="6217"/>
    <cellStyle name="Normal 2 11 13 3 3" xfId="6218"/>
    <cellStyle name="Normal 2 11 13 3 4" xfId="6219"/>
    <cellStyle name="Normal 2 11 13 3 5" xfId="6220"/>
    <cellStyle name="Normal 2 11 13 3 6" xfId="6221"/>
    <cellStyle name="Normal 2 11 13 4" xfId="6222"/>
    <cellStyle name="Normal 2 11 13 4 2" xfId="6223"/>
    <cellStyle name="Normal 2 11 13 4 3" xfId="6224"/>
    <cellStyle name="Normal 2 11 13 4 4" xfId="6225"/>
    <cellStyle name="Normal 2 11 13 4 5" xfId="6226"/>
    <cellStyle name="Normal 2 11 13 4 6" xfId="6227"/>
    <cellStyle name="Normal 2 11 14" xfId="6228"/>
    <cellStyle name="Normal 2 11 14 2" xfId="6229"/>
    <cellStyle name="Normal 2 11 14 3" xfId="6230"/>
    <cellStyle name="Normal 2 11 14 3 2" xfId="6231"/>
    <cellStyle name="Normal 2 11 14 3 3" xfId="6232"/>
    <cellStyle name="Normal 2 11 14 3 4" xfId="6233"/>
    <cellStyle name="Normal 2 11 14 3 5" xfId="6234"/>
    <cellStyle name="Normal 2 11 14 3 6" xfId="6235"/>
    <cellStyle name="Normal 2 11 14 4" xfId="6236"/>
    <cellStyle name="Normal 2 11 14 4 2" xfId="6237"/>
    <cellStyle name="Normal 2 11 14 4 3" xfId="6238"/>
    <cellStyle name="Normal 2 11 14 4 4" xfId="6239"/>
    <cellStyle name="Normal 2 11 14 4 5" xfId="6240"/>
    <cellStyle name="Normal 2 11 14 4 6" xfId="6241"/>
    <cellStyle name="Normal 2 11 15" xfId="6242"/>
    <cellStyle name="Normal 2 11 15 2" xfId="6243"/>
    <cellStyle name="Normal 2 11 15 3" xfId="6244"/>
    <cellStyle name="Normal 2 11 15 3 2" xfId="6245"/>
    <cellStyle name="Normal 2 11 15 3 3" xfId="6246"/>
    <cellStyle name="Normal 2 11 15 3 4" xfId="6247"/>
    <cellStyle name="Normal 2 11 15 3 5" xfId="6248"/>
    <cellStyle name="Normal 2 11 15 3 6" xfId="6249"/>
    <cellStyle name="Normal 2 11 15 4" xfId="6250"/>
    <cellStyle name="Normal 2 11 15 4 2" xfId="6251"/>
    <cellStyle name="Normal 2 11 15 4 3" xfId="6252"/>
    <cellStyle name="Normal 2 11 15 4 4" xfId="6253"/>
    <cellStyle name="Normal 2 11 15 4 5" xfId="6254"/>
    <cellStyle name="Normal 2 11 15 4 6" xfId="6255"/>
    <cellStyle name="Normal 2 11 16" xfId="6256"/>
    <cellStyle name="Normal 2 11 16 2" xfId="6257"/>
    <cellStyle name="Normal 2 11 16 3" xfId="6258"/>
    <cellStyle name="Normal 2 11 16 3 2" xfId="6259"/>
    <cellStyle name="Normal 2 11 16 3 3" xfId="6260"/>
    <cellStyle name="Normal 2 11 16 3 4" xfId="6261"/>
    <cellStyle name="Normal 2 11 16 3 5" xfId="6262"/>
    <cellStyle name="Normal 2 11 16 3 6" xfId="6263"/>
    <cellStyle name="Normal 2 11 16 4" xfId="6264"/>
    <cellStyle name="Normal 2 11 16 4 2" xfId="6265"/>
    <cellStyle name="Normal 2 11 16 4 3" xfId="6266"/>
    <cellStyle name="Normal 2 11 16 4 4" xfId="6267"/>
    <cellStyle name="Normal 2 11 16 4 5" xfId="6268"/>
    <cellStyle name="Normal 2 11 16 4 6" xfId="6269"/>
    <cellStyle name="Normal 2 11 17" xfId="6270"/>
    <cellStyle name="Normal 2 11 17 2" xfId="6271"/>
    <cellStyle name="Normal 2 11 17 3" xfId="6272"/>
    <cellStyle name="Normal 2 11 17 3 2" xfId="6273"/>
    <cellStyle name="Normal 2 11 17 3 3" xfId="6274"/>
    <cellStyle name="Normal 2 11 17 3 4" xfId="6275"/>
    <cellStyle name="Normal 2 11 17 3 5" xfId="6276"/>
    <cellStyle name="Normal 2 11 17 3 6" xfId="6277"/>
    <cellStyle name="Normal 2 11 17 4" xfId="6278"/>
    <cellStyle name="Normal 2 11 17 4 2" xfId="6279"/>
    <cellStyle name="Normal 2 11 17 4 3" xfId="6280"/>
    <cellStyle name="Normal 2 11 17 4 4" xfId="6281"/>
    <cellStyle name="Normal 2 11 17 4 5" xfId="6282"/>
    <cellStyle name="Normal 2 11 17 4 6" xfId="6283"/>
    <cellStyle name="Normal 2 11 18" xfId="6284"/>
    <cellStyle name="Normal 2 11 18 2" xfId="6285"/>
    <cellStyle name="Normal 2 11 18 3" xfId="6286"/>
    <cellStyle name="Normal 2 11 18 3 2" xfId="6287"/>
    <cellStyle name="Normal 2 11 18 3 3" xfId="6288"/>
    <cellStyle name="Normal 2 11 18 3 4" xfId="6289"/>
    <cellStyle name="Normal 2 11 18 3 5" xfId="6290"/>
    <cellStyle name="Normal 2 11 18 3 6" xfId="6291"/>
    <cellStyle name="Normal 2 11 18 4" xfId="6292"/>
    <cellStyle name="Normal 2 11 18 4 2" xfId="6293"/>
    <cellStyle name="Normal 2 11 18 4 3" xfId="6294"/>
    <cellStyle name="Normal 2 11 18 4 4" xfId="6295"/>
    <cellStyle name="Normal 2 11 18 4 5" xfId="6296"/>
    <cellStyle name="Normal 2 11 18 4 6" xfId="6297"/>
    <cellStyle name="Normal 2 11 19" xfId="6298"/>
    <cellStyle name="Normal 2 11 19 2" xfId="6299"/>
    <cellStyle name="Normal 2 11 19 3" xfId="6300"/>
    <cellStyle name="Normal 2 11 19 3 2" xfId="6301"/>
    <cellStyle name="Normal 2 11 19 3 3" xfId="6302"/>
    <cellStyle name="Normal 2 11 19 3 4" xfId="6303"/>
    <cellStyle name="Normal 2 11 19 3 5" xfId="6304"/>
    <cellStyle name="Normal 2 11 19 3 6" xfId="6305"/>
    <cellStyle name="Normal 2 11 19 4" xfId="6306"/>
    <cellStyle name="Normal 2 11 19 4 2" xfId="6307"/>
    <cellStyle name="Normal 2 11 19 4 3" xfId="6308"/>
    <cellStyle name="Normal 2 11 19 4 4" xfId="6309"/>
    <cellStyle name="Normal 2 11 19 4 5" xfId="6310"/>
    <cellStyle name="Normal 2 11 19 4 6" xfId="6311"/>
    <cellStyle name="Normal 2 11 2" xfId="6312"/>
    <cellStyle name="Normal 2 11 2 10" xfId="6313"/>
    <cellStyle name="Normal 2 11 2 10 2" xfId="6314"/>
    <cellStyle name="Normal 2 11 2 10 3" xfId="6315"/>
    <cellStyle name="Normal 2 11 2 10 4" xfId="6316"/>
    <cellStyle name="Normal 2 11 2 11" xfId="6317"/>
    <cellStyle name="Normal 2 11 2 11 2" xfId="6318"/>
    <cellStyle name="Normal 2 11 2 11 3" xfId="6319"/>
    <cellStyle name="Normal 2 11 2 11 4" xfId="6320"/>
    <cellStyle name="Normal 2 11 2 12" xfId="6321"/>
    <cellStyle name="Normal 2 11 2 12 2" xfId="6322"/>
    <cellStyle name="Normal 2 11 2 12 3" xfId="6323"/>
    <cellStyle name="Normal 2 11 2 12 4" xfId="6324"/>
    <cellStyle name="Normal 2 11 2 13" xfId="6325"/>
    <cellStyle name="Normal 2 11 2 13 2" xfId="6326"/>
    <cellStyle name="Normal 2 11 2 13 3" xfId="6327"/>
    <cellStyle name="Normal 2 11 2 13 4" xfId="6328"/>
    <cellStyle name="Normal 2 11 2 14" xfId="6329"/>
    <cellStyle name="Normal 2 11 2 14 2" xfId="6330"/>
    <cellStyle name="Normal 2 11 2 14 3" xfId="6331"/>
    <cellStyle name="Normal 2 11 2 14 4" xfId="6332"/>
    <cellStyle name="Normal 2 11 2 15" xfId="6333"/>
    <cellStyle name="Normal 2 11 2 15 2" xfId="6334"/>
    <cellStyle name="Normal 2 11 2 15 3" xfId="6335"/>
    <cellStyle name="Normal 2 11 2 15 4" xfId="6336"/>
    <cellStyle name="Normal 2 11 2 16" xfId="6337"/>
    <cellStyle name="Normal 2 11 2 16 2" xfId="6338"/>
    <cellStyle name="Normal 2 11 2 16 3" xfId="6339"/>
    <cellStyle name="Normal 2 11 2 16 4" xfId="6340"/>
    <cellStyle name="Normal 2 11 2 17" xfId="6341"/>
    <cellStyle name="Normal 2 11 2 17 2" xfId="6342"/>
    <cellStyle name="Normal 2 11 2 17 3" xfId="6343"/>
    <cellStyle name="Normal 2 11 2 17 4" xfId="6344"/>
    <cellStyle name="Normal 2 11 2 18" xfId="6345"/>
    <cellStyle name="Normal 2 11 2 18 2" xfId="6346"/>
    <cellStyle name="Normal 2 11 2 18 3" xfId="6347"/>
    <cellStyle name="Normal 2 11 2 18 4" xfId="6348"/>
    <cellStyle name="Normal 2 11 2 19" xfId="6349"/>
    <cellStyle name="Normal 2 11 2 19 2" xfId="6350"/>
    <cellStyle name="Normal 2 11 2 19 3" xfId="6351"/>
    <cellStyle name="Normal 2 11 2 19 4" xfId="6352"/>
    <cellStyle name="Normal 2 11 2 2" xfId="6353"/>
    <cellStyle name="Normal 2 11 2 2 10" xfId="6354"/>
    <cellStyle name="Normal 2 11 2 2 10 2" xfId="6355"/>
    <cellStyle name="Normal 2 11 2 2 10 2 2" xfId="6356"/>
    <cellStyle name="Normal 2 11 2 2 10 2 3" xfId="6357"/>
    <cellStyle name="Normal 2 11 2 2 10 2 4" xfId="6358"/>
    <cellStyle name="Normal 2 11 2 2 10 2 5" xfId="6359"/>
    <cellStyle name="Normal 2 11 2 2 10 2 6" xfId="6360"/>
    <cellStyle name="Normal 2 11 2 2 10 3" xfId="6361"/>
    <cellStyle name="Normal 2 11 2 2 10 4" xfId="6362"/>
    <cellStyle name="Normal 2 11 2 2 11" xfId="6363"/>
    <cellStyle name="Normal 2 11 2 2 11 2" xfId="6364"/>
    <cellStyle name="Normal 2 11 2 2 11 2 2" xfId="6365"/>
    <cellStyle name="Normal 2 11 2 2 11 2 3" xfId="6366"/>
    <cellStyle name="Normal 2 11 2 2 11 2 4" xfId="6367"/>
    <cellStyle name="Normal 2 11 2 2 11 2 5" xfId="6368"/>
    <cellStyle name="Normal 2 11 2 2 11 2 6" xfId="6369"/>
    <cellStyle name="Normal 2 11 2 2 11 3" xfId="6370"/>
    <cellStyle name="Normal 2 11 2 2 11 4" xfId="6371"/>
    <cellStyle name="Normal 2 11 2 2 12" xfId="6372"/>
    <cellStyle name="Normal 2 11 2 2 12 2" xfId="6373"/>
    <cellStyle name="Normal 2 11 2 2 12 2 2" xfId="6374"/>
    <cellStyle name="Normal 2 11 2 2 12 2 3" xfId="6375"/>
    <cellStyle name="Normal 2 11 2 2 12 2 4" xfId="6376"/>
    <cellStyle name="Normal 2 11 2 2 12 2 5" xfId="6377"/>
    <cellStyle name="Normal 2 11 2 2 12 2 6" xfId="6378"/>
    <cellStyle name="Normal 2 11 2 2 12 3" xfId="6379"/>
    <cellStyle name="Normal 2 11 2 2 12 4" xfId="6380"/>
    <cellStyle name="Normal 2 11 2 2 13" xfId="6381"/>
    <cellStyle name="Normal 2 11 2 2 13 2" xfId="6382"/>
    <cellStyle name="Normal 2 11 2 2 13 2 2" xfId="6383"/>
    <cellStyle name="Normal 2 11 2 2 13 2 3" xfId="6384"/>
    <cellStyle name="Normal 2 11 2 2 13 2 4" xfId="6385"/>
    <cellStyle name="Normal 2 11 2 2 13 2 5" xfId="6386"/>
    <cellStyle name="Normal 2 11 2 2 13 2 6" xfId="6387"/>
    <cellStyle name="Normal 2 11 2 2 13 3" xfId="6388"/>
    <cellStyle name="Normal 2 11 2 2 13 4" xfId="6389"/>
    <cellStyle name="Normal 2 11 2 2 14" xfId="6390"/>
    <cellStyle name="Normal 2 11 2 2 14 2" xfId="6391"/>
    <cellStyle name="Normal 2 11 2 2 14 2 2" xfId="6392"/>
    <cellStyle name="Normal 2 11 2 2 14 2 3" xfId="6393"/>
    <cellStyle name="Normal 2 11 2 2 14 2 4" xfId="6394"/>
    <cellStyle name="Normal 2 11 2 2 14 2 5" xfId="6395"/>
    <cellStyle name="Normal 2 11 2 2 14 2 6" xfId="6396"/>
    <cellStyle name="Normal 2 11 2 2 14 3" xfId="6397"/>
    <cellStyle name="Normal 2 11 2 2 14 4" xfId="6398"/>
    <cellStyle name="Normal 2 11 2 2 15" xfId="6399"/>
    <cellStyle name="Normal 2 11 2 2 15 2" xfId="6400"/>
    <cellStyle name="Normal 2 11 2 2 15 2 2" xfId="6401"/>
    <cellStyle name="Normal 2 11 2 2 15 2 3" xfId="6402"/>
    <cellStyle name="Normal 2 11 2 2 15 2 4" xfId="6403"/>
    <cellStyle name="Normal 2 11 2 2 15 2 5" xfId="6404"/>
    <cellStyle name="Normal 2 11 2 2 15 2 6" xfId="6405"/>
    <cellStyle name="Normal 2 11 2 2 15 3" xfId="6406"/>
    <cellStyle name="Normal 2 11 2 2 15 4" xfId="6407"/>
    <cellStyle name="Normal 2 11 2 2 16" xfId="6408"/>
    <cellStyle name="Normal 2 11 2 2 16 2" xfId="6409"/>
    <cellStyle name="Normal 2 11 2 2 16 2 2" xfId="6410"/>
    <cellStyle name="Normal 2 11 2 2 16 2 3" xfId="6411"/>
    <cellStyle name="Normal 2 11 2 2 16 2 4" xfId="6412"/>
    <cellStyle name="Normal 2 11 2 2 16 2 5" xfId="6413"/>
    <cellStyle name="Normal 2 11 2 2 16 2 6" xfId="6414"/>
    <cellStyle name="Normal 2 11 2 2 16 3" xfId="6415"/>
    <cellStyle name="Normal 2 11 2 2 16 4" xfId="6416"/>
    <cellStyle name="Normal 2 11 2 2 17" xfId="6417"/>
    <cellStyle name="Normal 2 11 2 2 18" xfId="6418"/>
    <cellStyle name="Normal 2 11 2 2 19" xfId="6419"/>
    <cellStyle name="Normal 2 11 2 2 2" xfId="6420"/>
    <cellStyle name="Normal 2 11 2 2 2 2" xfId="6421"/>
    <cellStyle name="Normal 2 11 2 2 2 2 2" xfId="6422"/>
    <cellStyle name="Normal 2 11 2 2 2 2 3" xfId="6423"/>
    <cellStyle name="Normal 2 11 2 2 2 2 4" xfId="6424"/>
    <cellStyle name="Normal 2 11 2 2 2 2 5" xfId="6425"/>
    <cellStyle name="Normal 2 11 2 2 2 2 6" xfId="6426"/>
    <cellStyle name="Normal 2 11 2 2 2 3" xfId="6427"/>
    <cellStyle name="Normal 2 11 2 2 2 4" xfId="6428"/>
    <cellStyle name="Normal 2 11 2 2 3" xfId="6429"/>
    <cellStyle name="Normal 2 11 2 2 3 2" xfId="6430"/>
    <cellStyle name="Normal 2 11 2 2 3 2 2" xfId="6431"/>
    <cellStyle name="Normal 2 11 2 2 3 2 3" xfId="6432"/>
    <cellStyle name="Normal 2 11 2 2 3 2 4" xfId="6433"/>
    <cellStyle name="Normal 2 11 2 2 3 2 5" xfId="6434"/>
    <cellStyle name="Normal 2 11 2 2 3 2 6" xfId="6435"/>
    <cellStyle name="Normal 2 11 2 2 3 3" xfId="6436"/>
    <cellStyle name="Normal 2 11 2 2 3 4" xfId="6437"/>
    <cellStyle name="Normal 2 11 2 2 4" xfId="6438"/>
    <cellStyle name="Normal 2 11 2 2 4 2" xfId="6439"/>
    <cellStyle name="Normal 2 11 2 2 4 2 2" xfId="6440"/>
    <cellStyle name="Normal 2 11 2 2 4 2 3" xfId="6441"/>
    <cellStyle name="Normal 2 11 2 2 4 2 4" xfId="6442"/>
    <cellStyle name="Normal 2 11 2 2 4 2 5" xfId="6443"/>
    <cellStyle name="Normal 2 11 2 2 4 2 6" xfId="6444"/>
    <cellStyle name="Normal 2 11 2 2 4 3" xfId="6445"/>
    <cellStyle name="Normal 2 11 2 2 4 4" xfId="6446"/>
    <cellStyle name="Normal 2 11 2 2 5" xfId="6447"/>
    <cellStyle name="Normal 2 11 2 2 5 2" xfId="6448"/>
    <cellStyle name="Normal 2 11 2 2 5 2 2" xfId="6449"/>
    <cellStyle name="Normal 2 11 2 2 5 2 3" xfId="6450"/>
    <cellStyle name="Normal 2 11 2 2 5 2 4" xfId="6451"/>
    <cellStyle name="Normal 2 11 2 2 5 2 5" xfId="6452"/>
    <cellStyle name="Normal 2 11 2 2 5 2 6" xfId="6453"/>
    <cellStyle name="Normal 2 11 2 2 5 3" xfId="6454"/>
    <cellStyle name="Normal 2 11 2 2 5 4" xfId="6455"/>
    <cellStyle name="Normal 2 11 2 2 6" xfId="6456"/>
    <cellStyle name="Normal 2 11 2 2 6 2" xfId="6457"/>
    <cellStyle name="Normal 2 11 2 2 6 2 2" xfId="6458"/>
    <cellStyle name="Normal 2 11 2 2 6 2 3" xfId="6459"/>
    <cellStyle name="Normal 2 11 2 2 6 2 4" xfId="6460"/>
    <cellStyle name="Normal 2 11 2 2 6 2 5" xfId="6461"/>
    <cellStyle name="Normal 2 11 2 2 6 2 6" xfId="6462"/>
    <cellStyle name="Normal 2 11 2 2 6 3" xfId="6463"/>
    <cellStyle name="Normal 2 11 2 2 6 4" xfId="6464"/>
    <cellStyle name="Normal 2 11 2 2 7" xfId="6465"/>
    <cellStyle name="Normal 2 11 2 2 7 2" xfId="6466"/>
    <cellStyle name="Normal 2 11 2 2 7 2 2" xfId="6467"/>
    <cellStyle name="Normal 2 11 2 2 7 2 3" xfId="6468"/>
    <cellStyle name="Normal 2 11 2 2 7 2 4" xfId="6469"/>
    <cellStyle name="Normal 2 11 2 2 7 2 5" xfId="6470"/>
    <cellStyle name="Normal 2 11 2 2 7 2 6" xfId="6471"/>
    <cellStyle name="Normal 2 11 2 2 7 3" xfId="6472"/>
    <cellStyle name="Normal 2 11 2 2 7 4" xfId="6473"/>
    <cellStyle name="Normal 2 11 2 2 8" xfId="6474"/>
    <cellStyle name="Normal 2 11 2 2 8 2" xfId="6475"/>
    <cellStyle name="Normal 2 11 2 2 8 2 2" xfId="6476"/>
    <cellStyle name="Normal 2 11 2 2 8 2 3" xfId="6477"/>
    <cellStyle name="Normal 2 11 2 2 8 2 4" xfId="6478"/>
    <cellStyle name="Normal 2 11 2 2 8 2 5" xfId="6479"/>
    <cellStyle name="Normal 2 11 2 2 8 2 6" xfId="6480"/>
    <cellStyle name="Normal 2 11 2 2 8 3" xfId="6481"/>
    <cellStyle name="Normal 2 11 2 2 8 4" xfId="6482"/>
    <cellStyle name="Normal 2 11 2 2 9" xfId="6483"/>
    <cellStyle name="Normal 2 11 2 2 9 2" xfId="6484"/>
    <cellStyle name="Normal 2 11 2 2 9 2 2" xfId="6485"/>
    <cellStyle name="Normal 2 11 2 2 9 2 3" xfId="6486"/>
    <cellStyle name="Normal 2 11 2 2 9 2 4" xfId="6487"/>
    <cellStyle name="Normal 2 11 2 2 9 2 5" xfId="6488"/>
    <cellStyle name="Normal 2 11 2 2 9 2 6" xfId="6489"/>
    <cellStyle name="Normal 2 11 2 2 9 3" xfId="6490"/>
    <cellStyle name="Normal 2 11 2 2 9 4" xfId="6491"/>
    <cellStyle name="Normal 2 11 2 20" xfId="6492"/>
    <cellStyle name="Normal 2 11 2 20 2" xfId="6493"/>
    <cellStyle name="Normal 2 11 2 20 3" xfId="6494"/>
    <cellStyle name="Normal 2 11 2 20 4" xfId="6495"/>
    <cellStyle name="Normal 2 11 2 20 5" xfId="6496"/>
    <cellStyle name="Normal 2 11 2 20 6" xfId="6497"/>
    <cellStyle name="Normal 2 11 2 21" xfId="6498"/>
    <cellStyle name="Normal 2 11 2 22" xfId="6499"/>
    <cellStyle name="Normal 2 11 2 3" xfId="6500"/>
    <cellStyle name="Normal 2 11 2 3 2" xfId="6501"/>
    <cellStyle name="Normal 2 11 2 3 2 2" xfId="6502"/>
    <cellStyle name="Normal 2 11 2 3 2 3" xfId="6503"/>
    <cellStyle name="Normal 2 11 2 3 2 4" xfId="6504"/>
    <cellStyle name="Normal 2 11 2 3 2 5" xfId="6505"/>
    <cellStyle name="Normal 2 11 2 3 2 6" xfId="6506"/>
    <cellStyle name="Normal 2 11 2 3 3" xfId="6507"/>
    <cellStyle name="Normal 2 11 2 3 4" xfId="6508"/>
    <cellStyle name="Normal 2 11 2 4" xfId="6509"/>
    <cellStyle name="Normal 2 11 2 4 2" xfId="6510"/>
    <cellStyle name="Normal 2 11 2 4 2 2" xfId="6511"/>
    <cellStyle name="Normal 2 11 2 4 2 3" xfId="6512"/>
    <cellStyle name="Normal 2 11 2 4 2 4" xfId="6513"/>
    <cellStyle name="Normal 2 11 2 4 2 5" xfId="6514"/>
    <cellStyle name="Normal 2 11 2 4 2 6" xfId="6515"/>
    <cellStyle name="Normal 2 11 2 4 3" xfId="6516"/>
    <cellStyle name="Normal 2 11 2 4 4" xfId="6517"/>
    <cellStyle name="Normal 2 11 2 5" xfId="6518"/>
    <cellStyle name="Normal 2 11 2 5 2" xfId="6519"/>
    <cellStyle name="Normal 2 11 2 5 2 2" xfId="6520"/>
    <cellStyle name="Normal 2 11 2 5 2 3" xfId="6521"/>
    <cellStyle name="Normal 2 11 2 5 2 4" xfId="6522"/>
    <cellStyle name="Normal 2 11 2 5 2 5" xfId="6523"/>
    <cellStyle name="Normal 2 11 2 5 2 6" xfId="6524"/>
    <cellStyle name="Normal 2 11 2 5 3" xfId="6525"/>
    <cellStyle name="Normal 2 11 2 5 4" xfId="6526"/>
    <cellStyle name="Normal 2 11 2 6" xfId="6527"/>
    <cellStyle name="Normal 2 11 2 6 2" xfId="6528"/>
    <cellStyle name="Normal 2 11 2 6 3" xfId="6529"/>
    <cellStyle name="Normal 2 11 2 6 4" xfId="6530"/>
    <cellStyle name="Normal 2 11 2 7" xfId="6531"/>
    <cellStyle name="Normal 2 11 2 7 2" xfId="6532"/>
    <cellStyle name="Normal 2 11 2 7 3" xfId="6533"/>
    <cellStyle name="Normal 2 11 2 7 4" xfId="6534"/>
    <cellStyle name="Normal 2 11 2 8" xfId="6535"/>
    <cellStyle name="Normal 2 11 2 8 2" xfId="6536"/>
    <cellStyle name="Normal 2 11 2 8 3" xfId="6537"/>
    <cellStyle name="Normal 2 11 2 8 4" xfId="6538"/>
    <cellStyle name="Normal 2 11 2 9" xfId="6539"/>
    <cellStyle name="Normal 2 11 2 9 2" xfId="6540"/>
    <cellStyle name="Normal 2 11 2 9 3" xfId="6541"/>
    <cellStyle name="Normal 2 11 2 9 4" xfId="6542"/>
    <cellStyle name="Normal 2 11 20" xfId="6543"/>
    <cellStyle name="Normal 2 11 21" xfId="6544"/>
    <cellStyle name="Normal 2 11 22" xfId="6545"/>
    <cellStyle name="Normal 2 11 3" xfId="6546"/>
    <cellStyle name="Normal 2 11 3 10" xfId="6547"/>
    <cellStyle name="Normal 2 11 3 10 2" xfId="6548"/>
    <cellStyle name="Normal 2 11 3 10 3" xfId="6549"/>
    <cellStyle name="Normal 2 11 3 10 4" xfId="6550"/>
    <cellStyle name="Normal 2 11 3 11" xfId="6551"/>
    <cellStyle name="Normal 2 11 3 11 2" xfId="6552"/>
    <cellStyle name="Normal 2 11 3 11 3" xfId="6553"/>
    <cellStyle name="Normal 2 11 3 11 4" xfId="6554"/>
    <cellStyle name="Normal 2 11 3 12" xfId="6555"/>
    <cellStyle name="Normal 2 11 3 12 2" xfId="6556"/>
    <cellStyle name="Normal 2 11 3 12 3" xfId="6557"/>
    <cellStyle name="Normal 2 11 3 12 4" xfId="6558"/>
    <cellStyle name="Normal 2 11 3 13" xfId="6559"/>
    <cellStyle name="Normal 2 11 3 13 2" xfId="6560"/>
    <cellStyle name="Normal 2 11 3 13 3" xfId="6561"/>
    <cellStyle name="Normal 2 11 3 13 4" xfId="6562"/>
    <cellStyle name="Normal 2 11 3 14" xfId="6563"/>
    <cellStyle name="Normal 2 11 3 14 2" xfId="6564"/>
    <cellStyle name="Normal 2 11 3 14 3" xfId="6565"/>
    <cellStyle name="Normal 2 11 3 14 4" xfId="6566"/>
    <cellStyle name="Normal 2 11 3 15" xfId="6567"/>
    <cellStyle name="Normal 2 11 3 15 2" xfId="6568"/>
    <cellStyle name="Normal 2 11 3 15 3" xfId="6569"/>
    <cellStyle name="Normal 2 11 3 15 4" xfId="6570"/>
    <cellStyle name="Normal 2 11 3 16" xfId="6571"/>
    <cellStyle name="Normal 2 11 3 16 2" xfId="6572"/>
    <cellStyle name="Normal 2 11 3 16 3" xfId="6573"/>
    <cellStyle name="Normal 2 11 3 16 4" xfId="6574"/>
    <cellStyle name="Normal 2 11 3 17" xfId="6575"/>
    <cellStyle name="Normal 2 11 3 18" xfId="6576"/>
    <cellStyle name="Normal 2 11 3 18 2" xfId="6577"/>
    <cellStyle name="Normal 2 11 3 18 3" xfId="6578"/>
    <cellStyle name="Normal 2 11 3 18 4" xfId="6579"/>
    <cellStyle name="Normal 2 11 3 18 5" xfId="6580"/>
    <cellStyle name="Normal 2 11 3 18 6" xfId="6581"/>
    <cellStyle name="Normal 2 11 3 19" xfId="6582"/>
    <cellStyle name="Normal 2 11 3 19 2" xfId="6583"/>
    <cellStyle name="Normal 2 11 3 19 3" xfId="6584"/>
    <cellStyle name="Normal 2 11 3 19 4" xfId="6585"/>
    <cellStyle name="Normal 2 11 3 19 5" xfId="6586"/>
    <cellStyle name="Normal 2 11 3 19 6" xfId="6587"/>
    <cellStyle name="Normal 2 11 3 2" xfId="6588"/>
    <cellStyle name="Normal 2 11 3 2 2" xfId="6589"/>
    <cellStyle name="Normal 2 11 3 2 3" xfId="6590"/>
    <cellStyle name="Normal 2 11 3 2 4" xfId="6591"/>
    <cellStyle name="Normal 2 11 3 3" xfId="6592"/>
    <cellStyle name="Normal 2 11 3 3 2" xfId="6593"/>
    <cellStyle name="Normal 2 11 3 3 3" xfId="6594"/>
    <cellStyle name="Normal 2 11 3 3 4" xfId="6595"/>
    <cellStyle name="Normal 2 11 3 4" xfId="6596"/>
    <cellStyle name="Normal 2 11 3 4 2" xfId="6597"/>
    <cellStyle name="Normal 2 11 3 4 3" xfId="6598"/>
    <cellStyle name="Normal 2 11 3 4 4" xfId="6599"/>
    <cellStyle name="Normal 2 11 3 5" xfId="6600"/>
    <cellStyle name="Normal 2 11 3 5 2" xfId="6601"/>
    <cellStyle name="Normal 2 11 3 5 3" xfId="6602"/>
    <cellStyle name="Normal 2 11 3 5 4" xfId="6603"/>
    <cellStyle name="Normal 2 11 3 6" xfId="6604"/>
    <cellStyle name="Normal 2 11 3 6 2" xfId="6605"/>
    <cellStyle name="Normal 2 11 3 6 3" xfId="6606"/>
    <cellStyle name="Normal 2 11 3 6 4" xfId="6607"/>
    <cellStyle name="Normal 2 11 3 7" xfId="6608"/>
    <cellStyle name="Normal 2 11 3 7 2" xfId="6609"/>
    <cellStyle name="Normal 2 11 3 7 3" xfId="6610"/>
    <cellStyle name="Normal 2 11 3 7 4" xfId="6611"/>
    <cellStyle name="Normal 2 11 3 8" xfId="6612"/>
    <cellStyle name="Normal 2 11 3 8 2" xfId="6613"/>
    <cellStyle name="Normal 2 11 3 8 3" xfId="6614"/>
    <cellStyle name="Normal 2 11 3 8 4" xfId="6615"/>
    <cellStyle name="Normal 2 11 3 9" xfId="6616"/>
    <cellStyle name="Normal 2 11 3 9 2" xfId="6617"/>
    <cellStyle name="Normal 2 11 3 9 3" xfId="6618"/>
    <cellStyle name="Normal 2 11 3 9 4" xfId="6619"/>
    <cellStyle name="Normal 2 11 4" xfId="6620"/>
    <cellStyle name="Normal 2 11 4 2" xfId="6621"/>
    <cellStyle name="Normal 2 11 4 3" xfId="6622"/>
    <cellStyle name="Normal 2 11 4 4" xfId="6623"/>
    <cellStyle name="Normal 2 11 5" xfId="6624"/>
    <cellStyle name="Normal 2 11 5 2" xfId="6625"/>
    <cellStyle name="Normal 2 11 5 3" xfId="6626"/>
    <cellStyle name="Normal 2 11 5 4" xfId="6627"/>
    <cellStyle name="Normal 2 11 6" xfId="6628"/>
    <cellStyle name="Normal 2 11 6 2" xfId="6629"/>
    <cellStyle name="Normal 2 11 6 3" xfId="6630"/>
    <cellStyle name="Normal 2 11 6 3 2" xfId="6631"/>
    <cellStyle name="Normal 2 11 6 3 3" xfId="6632"/>
    <cellStyle name="Normal 2 11 6 3 4" xfId="6633"/>
    <cellStyle name="Normal 2 11 6 3 5" xfId="6634"/>
    <cellStyle name="Normal 2 11 6 3 6" xfId="6635"/>
    <cellStyle name="Normal 2 11 6 4" xfId="6636"/>
    <cellStyle name="Normal 2 11 6 4 2" xfId="6637"/>
    <cellStyle name="Normal 2 11 6 4 3" xfId="6638"/>
    <cellStyle name="Normal 2 11 6 4 4" xfId="6639"/>
    <cellStyle name="Normal 2 11 6 4 5" xfId="6640"/>
    <cellStyle name="Normal 2 11 6 4 6" xfId="6641"/>
    <cellStyle name="Normal 2 11 7" xfId="6642"/>
    <cellStyle name="Normal 2 11 7 2" xfId="6643"/>
    <cellStyle name="Normal 2 11 7 3" xfId="6644"/>
    <cellStyle name="Normal 2 11 7 3 2" xfId="6645"/>
    <cellStyle name="Normal 2 11 7 3 3" xfId="6646"/>
    <cellStyle name="Normal 2 11 7 3 4" xfId="6647"/>
    <cellStyle name="Normal 2 11 7 3 5" xfId="6648"/>
    <cellStyle name="Normal 2 11 7 3 6" xfId="6649"/>
    <cellStyle name="Normal 2 11 7 4" xfId="6650"/>
    <cellStyle name="Normal 2 11 7 4 2" xfId="6651"/>
    <cellStyle name="Normal 2 11 7 4 3" xfId="6652"/>
    <cellStyle name="Normal 2 11 7 4 4" xfId="6653"/>
    <cellStyle name="Normal 2 11 7 4 5" xfId="6654"/>
    <cellStyle name="Normal 2 11 7 4 6" xfId="6655"/>
    <cellStyle name="Normal 2 11 8" xfId="6656"/>
    <cellStyle name="Normal 2 11 8 2" xfId="6657"/>
    <cellStyle name="Normal 2 11 8 3" xfId="6658"/>
    <cellStyle name="Normal 2 11 8 3 2" xfId="6659"/>
    <cellStyle name="Normal 2 11 8 3 3" xfId="6660"/>
    <cellStyle name="Normal 2 11 8 3 4" xfId="6661"/>
    <cellStyle name="Normal 2 11 8 3 5" xfId="6662"/>
    <cellStyle name="Normal 2 11 8 3 6" xfId="6663"/>
    <cellStyle name="Normal 2 11 8 4" xfId="6664"/>
    <cellStyle name="Normal 2 11 8 4 2" xfId="6665"/>
    <cellStyle name="Normal 2 11 8 4 3" xfId="6666"/>
    <cellStyle name="Normal 2 11 8 4 4" xfId="6667"/>
    <cellStyle name="Normal 2 11 8 4 5" xfId="6668"/>
    <cellStyle name="Normal 2 11 8 4 6" xfId="6669"/>
    <cellStyle name="Normal 2 11 9" xfId="6670"/>
    <cellStyle name="Normal 2 11 9 2" xfId="6671"/>
    <cellStyle name="Normal 2 11 9 3" xfId="6672"/>
    <cellStyle name="Normal 2 11 9 3 2" xfId="6673"/>
    <cellStyle name="Normal 2 11 9 3 3" xfId="6674"/>
    <cellStyle name="Normal 2 11 9 3 4" xfId="6675"/>
    <cellStyle name="Normal 2 11 9 3 5" xfId="6676"/>
    <cellStyle name="Normal 2 11 9 3 6" xfId="6677"/>
    <cellStyle name="Normal 2 11 9 4" xfId="6678"/>
    <cellStyle name="Normal 2 11 9 4 2" xfId="6679"/>
    <cellStyle name="Normal 2 11 9 4 3" xfId="6680"/>
    <cellStyle name="Normal 2 11 9 4 4" xfId="6681"/>
    <cellStyle name="Normal 2 11 9 4 5" xfId="6682"/>
    <cellStyle name="Normal 2 11 9 4 6" xfId="6683"/>
    <cellStyle name="Normal 2 110" xfId="6684"/>
    <cellStyle name="Normal 2 110 2" xfId="6685"/>
    <cellStyle name="Normal 2 110 3" xfId="6686"/>
    <cellStyle name="Normal 2 110 4" xfId="6687"/>
    <cellStyle name="Normal 2 110 5" xfId="6688"/>
    <cellStyle name="Normal 2 110 6" xfId="6689"/>
    <cellStyle name="Normal 2 110 7" xfId="6690"/>
    <cellStyle name="Normal 2 110 8" xfId="6691"/>
    <cellStyle name="Normal 2 111" xfId="6692"/>
    <cellStyle name="Normal 2 111 2" xfId="6693"/>
    <cellStyle name="Normal 2 111 3" xfId="6694"/>
    <cellStyle name="Normal 2 111 4" xfId="6695"/>
    <cellStyle name="Normal 2 111 5" xfId="6696"/>
    <cellStyle name="Normal 2 111 6" xfId="6697"/>
    <cellStyle name="Normal 2 111 7" xfId="6698"/>
    <cellStyle name="Normal 2 111 8" xfId="6699"/>
    <cellStyle name="Normal 2 112" xfId="6700"/>
    <cellStyle name="Normal 2 112 2" xfId="6701"/>
    <cellStyle name="Normal 2 112 3" xfId="6702"/>
    <cellStyle name="Normal 2 112 4" xfId="6703"/>
    <cellStyle name="Normal 2 112 5" xfId="6704"/>
    <cellStyle name="Normal 2 112 6" xfId="6705"/>
    <cellStyle name="Normal 2 112 7" xfId="6706"/>
    <cellStyle name="Normal 2 112 8" xfId="6707"/>
    <cellStyle name="Normal 2 113" xfId="6708"/>
    <cellStyle name="Normal 2 113 2" xfId="6709"/>
    <cellStyle name="Normal 2 113 3" xfId="6710"/>
    <cellStyle name="Normal 2 113 4" xfId="6711"/>
    <cellStyle name="Normal 2 113 5" xfId="6712"/>
    <cellStyle name="Normal 2 113 6" xfId="6713"/>
    <cellStyle name="Normal 2 113 7" xfId="6714"/>
    <cellStyle name="Normal 2 113 8" xfId="6715"/>
    <cellStyle name="Normal 2 114" xfId="6716"/>
    <cellStyle name="Normal 2 114 2" xfId="6717"/>
    <cellStyle name="Normal 2 114 3" xfId="6718"/>
    <cellStyle name="Normal 2 114 4" xfId="6719"/>
    <cellStyle name="Normal 2 114 5" xfId="6720"/>
    <cellStyle name="Normal 2 114 6" xfId="6721"/>
    <cellStyle name="Normal 2 114 7" xfId="6722"/>
    <cellStyle name="Normal 2 114 8" xfId="6723"/>
    <cellStyle name="Normal 2 115" xfId="6724"/>
    <cellStyle name="Normal 2 115 2" xfId="6725"/>
    <cellStyle name="Normal 2 115 3" xfId="6726"/>
    <cellStyle name="Normal 2 115 4" xfId="6727"/>
    <cellStyle name="Normal 2 115 5" xfId="6728"/>
    <cellStyle name="Normal 2 115 6" xfId="6729"/>
    <cellStyle name="Normal 2 115 7" xfId="6730"/>
    <cellStyle name="Normal 2 115 8" xfId="6731"/>
    <cellStyle name="Normal 2 116" xfId="6732"/>
    <cellStyle name="Normal 2 116 2" xfId="6733"/>
    <cellStyle name="Normal 2 116 3" xfId="6734"/>
    <cellStyle name="Normal 2 116 4" xfId="6735"/>
    <cellStyle name="Normal 2 116 5" xfId="6736"/>
    <cellStyle name="Normal 2 116 6" xfId="6737"/>
    <cellStyle name="Normal 2 116 7" xfId="6738"/>
    <cellStyle name="Normal 2 116 8" xfId="6739"/>
    <cellStyle name="Normal 2 117" xfId="6740"/>
    <cellStyle name="Normal 2 117 2" xfId="6741"/>
    <cellStyle name="Normal 2 117 3" xfId="6742"/>
    <cellStyle name="Normal 2 117 4" xfId="6743"/>
    <cellStyle name="Normal 2 117 5" xfId="6744"/>
    <cellStyle name="Normal 2 117 6" xfId="6745"/>
    <cellStyle name="Normal 2 117 7" xfId="6746"/>
    <cellStyle name="Normal 2 117 8" xfId="6747"/>
    <cellStyle name="Normal 2 118" xfId="6748"/>
    <cellStyle name="Normal 2 118 2" xfId="6749"/>
    <cellStyle name="Normal 2 118 3" xfId="6750"/>
    <cellStyle name="Normal 2 118 4" xfId="6751"/>
    <cellStyle name="Normal 2 118 5" xfId="6752"/>
    <cellStyle name="Normal 2 118 6" xfId="6753"/>
    <cellStyle name="Normal 2 118 7" xfId="6754"/>
    <cellStyle name="Normal 2 118 8" xfId="6755"/>
    <cellStyle name="Normal 2 119" xfId="6756"/>
    <cellStyle name="Normal 2 119 2" xfId="6757"/>
    <cellStyle name="Normal 2 119 3" xfId="6758"/>
    <cellStyle name="Normal 2 119 4" xfId="6759"/>
    <cellStyle name="Normal 2 119 5" xfId="6760"/>
    <cellStyle name="Normal 2 119 6" xfId="6761"/>
    <cellStyle name="Normal 2 119 7" xfId="6762"/>
    <cellStyle name="Normal 2 119 8" xfId="6763"/>
    <cellStyle name="Normal 2 12" xfId="6764"/>
    <cellStyle name="Normal 2 12 2" xfId="6765"/>
    <cellStyle name="Normal 2 12 2 2" xfId="6766"/>
    <cellStyle name="Normal 2 12 2 3" xfId="6767"/>
    <cellStyle name="Normal 2 12 2 4" xfId="6768"/>
    <cellStyle name="Normal 2 12 2 5" xfId="6769"/>
    <cellStyle name="Normal 2 12 2 6" xfId="6770"/>
    <cellStyle name="Normal 2 12 3" xfId="6771"/>
    <cellStyle name="Normal 2 12 4" xfId="6772"/>
    <cellStyle name="Normal 2 120" xfId="6773"/>
    <cellStyle name="Normal 2 120 2" xfId="6774"/>
    <cellStyle name="Normal 2 120 3" xfId="6775"/>
    <cellStyle name="Normal 2 120 4" xfId="6776"/>
    <cellStyle name="Normal 2 120 5" xfId="6777"/>
    <cellStyle name="Normal 2 120 6" xfId="6778"/>
    <cellStyle name="Normal 2 120 7" xfId="6779"/>
    <cellStyle name="Normal 2 120 8" xfId="6780"/>
    <cellStyle name="Normal 2 121" xfId="6781"/>
    <cellStyle name="Normal 2 121 2" xfId="6782"/>
    <cellStyle name="Normal 2 121 3" xfId="6783"/>
    <cellStyle name="Normal 2 121 4" xfId="6784"/>
    <cellStyle name="Normal 2 121 5" xfId="6785"/>
    <cellStyle name="Normal 2 121 6" xfId="6786"/>
    <cellStyle name="Normal 2 121 7" xfId="6787"/>
    <cellStyle name="Normal 2 121 8" xfId="6788"/>
    <cellStyle name="Normal 2 122" xfId="6789"/>
    <cellStyle name="Normal 2 122 2" xfId="6790"/>
    <cellStyle name="Normal 2 122 3" xfId="6791"/>
    <cellStyle name="Normal 2 122 4" xfId="6792"/>
    <cellStyle name="Normal 2 122 5" xfId="6793"/>
    <cellStyle name="Normal 2 122 6" xfId="6794"/>
    <cellStyle name="Normal 2 122 7" xfId="6795"/>
    <cellStyle name="Normal 2 122 8" xfId="6796"/>
    <cellStyle name="Normal 2 123" xfId="6797"/>
    <cellStyle name="Normal 2 123 2" xfId="6798"/>
    <cellStyle name="Normal 2 123 3" xfId="6799"/>
    <cellStyle name="Normal 2 123 4" xfId="6800"/>
    <cellStyle name="Normal 2 123 5" xfId="6801"/>
    <cellStyle name="Normal 2 123 6" xfId="6802"/>
    <cellStyle name="Normal 2 123 7" xfId="6803"/>
    <cellStyle name="Normal 2 123 8" xfId="6804"/>
    <cellStyle name="Normal 2 124" xfId="6805"/>
    <cellStyle name="Normal 2 124 2" xfId="6806"/>
    <cellStyle name="Normal 2 124 3" xfId="6807"/>
    <cellStyle name="Normal 2 124 4" xfId="6808"/>
    <cellStyle name="Normal 2 124 5" xfId="6809"/>
    <cellStyle name="Normal 2 124 6" xfId="6810"/>
    <cellStyle name="Normal 2 124 7" xfId="6811"/>
    <cellStyle name="Normal 2 124 8" xfId="6812"/>
    <cellStyle name="Normal 2 125" xfId="6813"/>
    <cellStyle name="Normal 2 125 2" xfId="6814"/>
    <cellStyle name="Normal 2 125 3" xfId="6815"/>
    <cellStyle name="Normal 2 125 4" xfId="6816"/>
    <cellStyle name="Normal 2 125 5" xfId="6817"/>
    <cellStyle name="Normal 2 125 6" xfId="6818"/>
    <cellStyle name="Normal 2 125 7" xfId="6819"/>
    <cellStyle name="Normal 2 125 8" xfId="6820"/>
    <cellStyle name="Normal 2 126" xfId="6821"/>
    <cellStyle name="Normal 2 126 2" xfId="6822"/>
    <cellStyle name="Normal 2 126 3" xfId="6823"/>
    <cellStyle name="Normal 2 126 4" xfId="6824"/>
    <cellStyle name="Normal 2 126 5" xfId="6825"/>
    <cellStyle name="Normal 2 126 6" xfId="6826"/>
    <cellStyle name="Normal 2 126 7" xfId="6827"/>
    <cellStyle name="Normal 2 126 8" xfId="6828"/>
    <cellStyle name="Normal 2 127" xfId="6829"/>
    <cellStyle name="Normal 2 127 2" xfId="6830"/>
    <cellStyle name="Normal 2 127 3" xfId="6831"/>
    <cellStyle name="Normal 2 127 4" xfId="6832"/>
    <cellStyle name="Normal 2 127 5" xfId="6833"/>
    <cellStyle name="Normal 2 127 6" xfId="6834"/>
    <cellStyle name="Normal 2 127 7" xfId="6835"/>
    <cellStyle name="Normal 2 127 8" xfId="6836"/>
    <cellStyle name="Normal 2 128" xfId="6837"/>
    <cellStyle name="Normal 2 128 2" xfId="6838"/>
    <cellStyle name="Normal 2 128 3" xfId="6839"/>
    <cellStyle name="Normal 2 128 4" xfId="6840"/>
    <cellStyle name="Normal 2 128 5" xfId="6841"/>
    <cellStyle name="Normal 2 128 6" xfId="6842"/>
    <cellStyle name="Normal 2 128 7" xfId="6843"/>
    <cellStyle name="Normal 2 128 8" xfId="6844"/>
    <cellStyle name="Normal 2 129" xfId="6845"/>
    <cellStyle name="Normal 2 129 2" xfId="6846"/>
    <cellStyle name="Normal 2 129 3" xfId="6847"/>
    <cellStyle name="Normal 2 129 4" xfId="6848"/>
    <cellStyle name="Normal 2 129 5" xfId="6849"/>
    <cellStyle name="Normal 2 129 6" xfId="6850"/>
    <cellStyle name="Normal 2 129 7" xfId="6851"/>
    <cellStyle name="Normal 2 129 8" xfId="6852"/>
    <cellStyle name="Normal 2 13" xfId="6853"/>
    <cellStyle name="Normal 2 13 2" xfId="6854"/>
    <cellStyle name="Normal 2 13 2 2" xfId="6855"/>
    <cellStyle name="Normal 2 13 2 3" xfId="6856"/>
    <cellStyle name="Normal 2 13 2 3 2" xfId="6857"/>
    <cellStyle name="Normal 2 13 2 3 3" xfId="6858"/>
    <cellStyle name="Normal 2 13 2 3 4" xfId="6859"/>
    <cellStyle name="Normal 2 13 2 3 5" xfId="6860"/>
    <cellStyle name="Normal 2 13 2 3 6" xfId="6861"/>
    <cellStyle name="Normal 2 13 2 4" xfId="6862"/>
    <cellStyle name="Normal 2 13 2 4 2" xfId="6863"/>
    <cellStyle name="Normal 2 13 2 4 3" xfId="6864"/>
    <cellStyle name="Normal 2 13 2 4 4" xfId="6865"/>
    <cellStyle name="Normal 2 13 2 4 5" xfId="6866"/>
    <cellStyle name="Normal 2 13 2 4 6" xfId="6867"/>
    <cellStyle name="Normal 2 13 3" xfId="6868"/>
    <cellStyle name="Normal 2 13 3 2" xfId="6869"/>
    <cellStyle name="Normal 2 13 3 3" xfId="6870"/>
    <cellStyle name="Normal 2 13 3 4" xfId="6871"/>
    <cellStyle name="Normal 2 13 3 5" xfId="6872"/>
    <cellStyle name="Normal 2 13 3 6" xfId="6873"/>
    <cellStyle name="Normal 2 13 4" xfId="6874"/>
    <cellStyle name="Normal 2 13 5" xfId="6875"/>
    <cellStyle name="Normal 2 130" xfId="6876"/>
    <cellStyle name="Normal 2 130 2" xfId="6877"/>
    <cellStyle name="Normal 2 130 3" xfId="6878"/>
    <cellStyle name="Normal 2 130 4" xfId="6879"/>
    <cellStyle name="Normal 2 130 5" xfId="6880"/>
    <cellStyle name="Normal 2 130 6" xfId="6881"/>
    <cellStyle name="Normal 2 130 7" xfId="6882"/>
    <cellStyle name="Normal 2 130 8" xfId="6883"/>
    <cellStyle name="Normal 2 131" xfId="6884"/>
    <cellStyle name="Normal 2 131 2" xfId="6885"/>
    <cellStyle name="Normal 2 131 3" xfId="6886"/>
    <cellStyle name="Normal 2 131 4" xfId="6887"/>
    <cellStyle name="Normal 2 131 5" xfId="6888"/>
    <cellStyle name="Normal 2 131 6" xfId="6889"/>
    <cellStyle name="Normal 2 131 7" xfId="6890"/>
    <cellStyle name="Normal 2 131 8" xfId="6891"/>
    <cellStyle name="Normal 2 132" xfId="6892"/>
    <cellStyle name="Normal 2 132 2" xfId="6893"/>
    <cellStyle name="Normal 2 132 3" xfId="6894"/>
    <cellStyle name="Normal 2 132 4" xfId="6895"/>
    <cellStyle name="Normal 2 132 5" xfId="6896"/>
    <cellStyle name="Normal 2 132 6" xfId="6897"/>
    <cellStyle name="Normal 2 132 7" xfId="6898"/>
    <cellStyle name="Normal 2 132 8" xfId="6899"/>
    <cellStyle name="Normal 2 133" xfId="6900"/>
    <cellStyle name="Normal 2 133 2" xfId="6901"/>
    <cellStyle name="Normal 2 133 3" xfId="6902"/>
    <cellStyle name="Normal 2 133 4" xfId="6903"/>
    <cellStyle name="Normal 2 133 5" xfId="6904"/>
    <cellStyle name="Normal 2 133 6" xfId="6905"/>
    <cellStyle name="Normal 2 133 7" xfId="6906"/>
    <cellStyle name="Normal 2 133 8" xfId="6907"/>
    <cellStyle name="Normal 2 134" xfId="6908"/>
    <cellStyle name="Normal 2 134 2" xfId="6909"/>
    <cellStyle name="Normal 2 134 3" xfId="6910"/>
    <cellStyle name="Normal 2 134 4" xfId="6911"/>
    <cellStyle name="Normal 2 134 5" xfId="6912"/>
    <cellStyle name="Normal 2 134 6" xfId="6913"/>
    <cellStyle name="Normal 2 134 7" xfId="6914"/>
    <cellStyle name="Normal 2 134 8" xfId="6915"/>
    <cellStyle name="Normal 2 135" xfId="6916"/>
    <cellStyle name="Normal 2 135 2" xfId="6917"/>
    <cellStyle name="Normal 2 135 3" xfId="6918"/>
    <cellStyle name="Normal 2 135 4" xfId="6919"/>
    <cellStyle name="Normal 2 135 5" xfId="6920"/>
    <cellStyle name="Normal 2 135 6" xfId="6921"/>
    <cellStyle name="Normal 2 135 7" xfId="6922"/>
    <cellStyle name="Normal 2 135 8" xfId="6923"/>
    <cellStyle name="Normal 2 136" xfId="6924"/>
    <cellStyle name="Normal 2 136 2" xfId="6925"/>
    <cellStyle name="Normal 2 136 3" xfId="6926"/>
    <cellStyle name="Normal 2 136 4" xfId="6927"/>
    <cellStyle name="Normal 2 136 5" xfId="6928"/>
    <cellStyle name="Normal 2 136 6" xfId="6929"/>
    <cellStyle name="Normal 2 136 7" xfId="6930"/>
    <cellStyle name="Normal 2 136 8" xfId="6931"/>
    <cellStyle name="Normal 2 137" xfId="6932"/>
    <cellStyle name="Normal 2 137 2" xfId="6933"/>
    <cellStyle name="Normal 2 137 3" xfId="6934"/>
    <cellStyle name="Normal 2 137 4" xfId="6935"/>
    <cellStyle name="Normal 2 137 5" xfId="6936"/>
    <cellStyle name="Normal 2 137 6" xfId="6937"/>
    <cellStyle name="Normal 2 137 7" xfId="6938"/>
    <cellStyle name="Normal 2 137 8" xfId="6939"/>
    <cellStyle name="Normal 2 138" xfId="6940"/>
    <cellStyle name="Normal 2 138 2" xfId="6941"/>
    <cellStyle name="Normal 2 138 3" xfId="6942"/>
    <cellStyle name="Normal 2 138 4" xfId="6943"/>
    <cellStyle name="Normal 2 138 5" xfId="6944"/>
    <cellStyle name="Normal 2 138 6" xfId="6945"/>
    <cellStyle name="Normal 2 138 7" xfId="6946"/>
    <cellStyle name="Normal 2 138 8" xfId="6947"/>
    <cellStyle name="Normal 2 139" xfId="6948"/>
    <cellStyle name="Normal 2 139 2" xfId="6949"/>
    <cellStyle name="Normal 2 139 3" xfId="6950"/>
    <cellStyle name="Normal 2 139 4" xfId="6951"/>
    <cellStyle name="Normal 2 139 5" xfId="6952"/>
    <cellStyle name="Normal 2 139 6" xfId="6953"/>
    <cellStyle name="Normal 2 139 7" xfId="6954"/>
    <cellStyle name="Normal 2 139 8" xfId="6955"/>
    <cellStyle name="Normal 2 14" xfId="6956"/>
    <cellStyle name="Normal 2 14 2" xfId="6957"/>
    <cellStyle name="Normal 2 14 2 2" xfId="6958"/>
    <cellStyle name="Normal 2 14 2 3" xfId="6959"/>
    <cellStyle name="Normal 2 14 2 3 2" xfId="6960"/>
    <cellStyle name="Normal 2 14 2 3 3" xfId="6961"/>
    <cellStyle name="Normal 2 14 2 3 4" xfId="6962"/>
    <cellStyle name="Normal 2 14 2 3 5" xfId="6963"/>
    <cellStyle name="Normal 2 14 2 3 6" xfId="6964"/>
    <cellStyle name="Normal 2 14 2 4" xfId="6965"/>
    <cellStyle name="Normal 2 14 2 4 2" xfId="6966"/>
    <cellStyle name="Normal 2 14 2 4 3" xfId="6967"/>
    <cellStyle name="Normal 2 14 2 4 4" xfId="6968"/>
    <cellStyle name="Normal 2 14 2 4 5" xfId="6969"/>
    <cellStyle name="Normal 2 14 2 4 6" xfId="6970"/>
    <cellStyle name="Normal 2 14 3" xfId="6971"/>
    <cellStyle name="Normal 2 14 3 2" xfId="6972"/>
    <cellStyle name="Normal 2 14 3 3" xfId="6973"/>
    <cellStyle name="Normal 2 14 3 4" xfId="6974"/>
    <cellStyle name="Normal 2 14 3 5" xfId="6975"/>
    <cellStyle name="Normal 2 14 3 6" xfId="6976"/>
    <cellStyle name="Normal 2 14 4" xfId="6977"/>
    <cellStyle name="Normal 2 14 5" xfId="6978"/>
    <cellStyle name="Normal 2 140" xfId="6979"/>
    <cellStyle name="Normal 2 140 2" xfId="6980"/>
    <cellStyle name="Normal 2 140 3" xfId="6981"/>
    <cellStyle name="Normal 2 140 4" xfId="6982"/>
    <cellStyle name="Normal 2 140 5" xfId="6983"/>
    <cellStyle name="Normal 2 140 6" xfId="6984"/>
    <cellStyle name="Normal 2 140 7" xfId="6985"/>
    <cellStyle name="Normal 2 140 8" xfId="6986"/>
    <cellStyle name="Normal 2 141" xfId="6987"/>
    <cellStyle name="Normal 2 141 2" xfId="6988"/>
    <cellStyle name="Normal 2 141 3" xfId="6989"/>
    <cellStyle name="Normal 2 141 4" xfId="6990"/>
    <cellStyle name="Normal 2 141 5" xfId="6991"/>
    <cellStyle name="Normal 2 141 6" xfId="6992"/>
    <cellStyle name="Normal 2 141 7" xfId="6993"/>
    <cellStyle name="Normal 2 141 8" xfId="6994"/>
    <cellStyle name="Normal 2 142" xfId="6995"/>
    <cellStyle name="Normal 2 142 2" xfId="6996"/>
    <cellStyle name="Normal 2 142 3" xfId="6997"/>
    <cellStyle name="Normal 2 142 4" xfId="6998"/>
    <cellStyle name="Normal 2 142 5" xfId="6999"/>
    <cellStyle name="Normal 2 142 6" xfId="7000"/>
    <cellStyle name="Normal 2 142 7" xfId="7001"/>
    <cellStyle name="Normal 2 142 8" xfId="7002"/>
    <cellStyle name="Normal 2 143" xfId="7003"/>
    <cellStyle name="Normal 2 143 2" xfId="7004"/>
    <cellStyle name="Normal 2 143 3" xfId="7005"/>
    <cellStyle name="Normal 2 143 4" xfId="7006"/>
    <cellStyle name="Normal 2 143 5" xfId="7007"/>
    <cellStyle name="Normal 2 143 6" xfId="7008"/>
    <cellStyle name="Normal 2 143 7" xfId="7009"/>
    <cellStyle name="Normal 2 143 8" xfId="7010"/>
    <cellStyle name="Normal 2 144" xfId="7011"/>
    <cellStyle name="Normal 2 144 2" xfId="7012"/>
    <cellStyle name="Normal 2 144 3" xfId="7013"/>
    <cellStyle name="Normal 2 144 4" xfId="7014"/>
    <cellStyle name="Normal 2 144 5" xfId="7015"/>
    <cellStyle name="Normal 2 144 6" xfId="7016"/>
    <cellStyle name="Normal 2 144 7" xfId="7017"/>
    <cellStyle name="Normal 2 144 8" xfId="7018"/>
    <cellStyle name="Normal 2 145" xfId="7019"/>
    <cellStyle name="Normal 2 145 2" xfId="7020"/>
    <cellStyle name="Normal 2 145 3" xfId="7021"/>
    <cellStyle name="Normal 2 145 4" xfId="7022"/>
    <cellStyle name="Normal 2 145 5" xfId="7023"/>
    <cellStyle name="Normal 2 145 6" xfId="7024"/>
    <cellStyle name="Normal 2 145 7" xfId="7025"/>
    <cellStyle name="Normal 2 145 8" xfId="7026"/>
    <cellStyle name="Normal 2 146" xfId="7027"/>
    <cellStyle name="Normal 2 146 2" xfId="7028"/>
    <cellStyle name="Normal 2 146 3" xfId="7029"/>
    <cellStyle name="Normal 2 146 4" xfId="7030"/>
    <cellStyle name="Normal 2 146 5" xfId="7031"/>
    <cellStyle name="Normal 2 146 6" xfId="7032"/>
    <cellStyle name="Normal 2 146 7" xfId="7033"/>
    <cellStyle name="Normal 2 146 8" xfId="7034"/>
    <cellStyle name="Normal 2 147" xfId="7035"/>
    <cellStyle name="Normal 2 147 2" xfId="7036"/>
    <cellStyle name="Normal 2 147 3" xfId="7037"/>
    <cellStyle name="Normal 2 147 4" xfId="7038"/>
    <cellStyle name="Normal 2 147 5" xfId="7039"/>
    <cellStyle name="Normal 2 147 6" xfId="7040"/>
    <cellStyle name="Normal 2 147 7" xfId="7041"/>
    <cellStyle name="Normal 2 147 8" xfId="7042"/>
    <cellStyle name="Normal 2 148" xfId="7043"/>
    <cellStyle name="Normal 2 148 2" xfId="7044"/>
    <cellStyle name="Normal 2 148 3" xfId="7045"/>
    <cellStyle name="Normal 2 148 4" xfId="7046"/>
    <cellStyle name="Normal 2 148 5" xfId="7047"/>
    <cellStyle name="Normal 2 148 6" xfId="7048"/>
    <cellStyle name="Normal 2 148 7" xfId="7049"/>
    <cellStyle name="Normal 2 148 8" xfId="7050"/>
    <cellStyle name="Normal 2 149" xfId="7051"/>
    <cellStyle name="Normal 2 149 2" xfId="7052"/>
    <cellStyle name="Normal 2 149 3" xfId="7053"/>
    <cellStyle name="Normal 2 149 4" xfId="7054"/>
    <cellStyle name="Normal 2 149 5" xfId="7055"/>
    <cellStyle name="Normal 2 149 6" xfId="7056"/>
    <cellStyle name="Normal 2 149 7" xfId="7057"/>
    <cellStyle name="Normal 2 149 8" xfId="7058"/>
    <cellStyle name="Normal 2 15" xfId="7059"/>
    <cellStyle name="Normal 2 15 2" xfId="7060"/>
    <cellStyle name="Normal 2 15 2 2" xfId="7061"/>
    <cellStyle name="Normal 2 15 2 3" xfId="7062"/>
    <cellStyle name="Normal 2 15 2 4" xfId="7063"/>
    <cellStyle name="Normal 2 15 2 5" xfId="7064"/>
    <cellStyle name="Normal 2 15 2 6" xfId="7065"/>
    <cellStyle name="Normal 2 15 3" xfId="7066"/>
    <cellStyle name="Normal 2 15 4" xfId="7067"/>
    <cellStyle name="Normal 2 150" xfId="7068"/>
    <cellStyle name="Normal 2 150 2" xfId="7069"/>
    <cellStyle name="Normal 2 150 3" xfId="7070"/>
    <cellStyle name="Normal 2 150 4" xfId="7071"/>
    <cellStyle name="Normal 2 150 5" xfId="7072"/>
    <cellStyle name="Normal 2 150 6" xfId="7073"/>
    <cellStyle name="Normal 2 150 7" xfId="7074"/>
    <cellStyle name="Normal 2 150 8" xfId="7075"/>
    <cellStyle name="Normal 2 151" xfId="7076"/>
    <cellStyle name="Normal 2 151 2" xfId="7077"/>
    <cellStyle name="Normal 2 151 3" xfId="7078"/>
    <cellStyle name="Normal 2 151 4" xfId="7079"/>
    <cellStyle name="Normal 2 151 5" xfId="7080"/>
    <cellStyle name="Normal 2 151 6" xfId="7081"/>
    <cellStyle name="Normal 2 151 7" xfId="7082"/>
    <cellStyle name="Normal 2 151 8" xfId="7083"/>
    <cellStyle name="Normal 2 152" xfId="7084"/>
    <cellStyle name="Normal 2 152 2" xfId="7085"/>
    <cellStyle name="Normal 2 152 3" xfId="7086"/>
    <cellStyle name="Normal 2 152 4" xfId="7087"/>
    <cellStyle name="Normal 2 152 5" xfId="7088"/>
    <cellStyle name="Normal 2 152 6" xfId="7089"/>
    <cellStyle name="Normal 2 152 7" xfId="7090"/>
    <cellStyle name="Normal 2 152 8" xfId="7091"/>
    <cellStyle name="Normal 2 153" xfId="7092"/>
    <cellStyle name="Normal 2 153 2" xfId="7093"/>
    <cellStyle name="Normal 2 153 3" xfId="7094"/>
    <cellStyle name="Normal 2 153 4" xfId="7095"/>
    <cellStyle name="Normal 2 153 5" xfId="7096"/>
    <cellStyle name="Normal 2 153 6" xfId="7097"/>
    <cellStyle name="Normal 2 153 7" xfId="7098"/>
    <cellStyle name="Normal 2 153 8" xfId="7099"/>
    <cellStyle name="Normal 2 154" xfId="7100"/>
    <cellStyle name="Normal 2 154 2" xfId="7101"/>
    <cellStyle name="Normal 2 154 3" xfId="7102"/>
    <cellStyle name="Normal 2 154 4" xfId="7103"/>
    <cellStyle name="Normal 2 154 5" xfId="7104"/>
    <cellStyle name="Normal 2 154 6" xfId="7105"/>
    <cellStyle name="Normal 2 154 7" xfId="7106"/>
    <cellStyle name="Normal 2 154 8" xfId="7107"/>
    <cellStyle name="Normal 2 155" xfId="7108"/>
    <cellStyle name="Normal 2 155 2" xfId="7109"/>
    <cellStyle name="Normal 2 155 3" xfId="7110"/>
    <cellStyle name="Normal 2 155 4" xfId="7111"/>
    <cellStyle name="Normal 2 155 5" xfId="7112"/>
    <cellStyle name="Normal 2 155 6" xfId="7113"/>
    <cellStyle name="Normal 2 155 7" xfId="7114"/>
    <cellStyle name="Normal 2 155 8" xfId="7115"/>
    <cellStyle name="Normal 2 156" xfId="7116"/>
    <cellStyle name="Normal 2 156 2" xfId="7117"/>
    <cellStyle name="Normal 2 156 3" xfId="7118"/>
    <cellStyle name="Normal 2 156 4" xfId="7119"/>
    <cellStyle name="Normal 2 156 5" xfId="7120"/>
    <cellStyle name="Normal 2 156 6" xfId="7121"/>
    <cellStyle name="Normal 2 156 7" xfId="7122"/>
    <cellStyle name="Normal 2 156 8" xfId="7123"/>
    <cellStyle name="Normal 2 157" xfId="7124"/>
    <cellStyle name="Normal 2 157 2" xfId="7125"/>
    <cellStyle name="Normal 2 157 3" xfId="7126"/>
    <cellStyle name="Normal 2 157 4" xfId="7127"/>
    <cellStyle name="Normal 2 157 5" xfId="7128"/>
    <cellStyle name="Normal 2 157 6" xfId="7129"/>
    <cellStyle name="Normal 2 157 7" xfId="7130"/>
    <cellStyle name="Normal 2 157 8" xfId="7131"/>
    <cellStyle name="Normal 2 158" xfId="7132"/>
    <cellStyle name="Normal 2 158 2" xfId="7133"/>
    <cellStyle name="Normal 2 158 3" xfId="7134"/>
    <cellStyle name="Normal 2 158 4" xfId="7135"/>
    <cellStyle name="Normal 2 158 5" xfId="7136"/>
    <cellStyle name="Normal 2 158 6" xfId="7137"/>
    <cellStyle name="Normal 2 158 7" xfId="7138"/>
    <cellStyle name="Normal 2 158 8" xfId="7139"/>
    <cellStyle name="Normal 2 159" xfId="7140"/>
    <cellStyle name="Normal 2 159 2" xfId="7141"/>
    <cellStyle name="Normal 2 159 3" xfId="7142"/>
    <cellStyle name="Normal 2 159 4" xfId="7143"/>
    <cellStyle name="Normal 2 159 5" xfId="7144"/>
    <cellStyle name="Normal 2 159 6" xfId="7145"/>
    <cellStyle name="Normal 2 159 7" xfId="7146"/>
    <cellStyle name="Normal 2 159 8" xfId="7147"/>
    <cellStyle name="Normal 2 16" xfId="7148"/>
    <cellStyle name="Normal 2 16 2" xfId="7149"/>
    <cellStyle name="Normal 2 16 2 2" xfId="7150"/>
    <cellStyle name="Normal 2 16 2 3" xfId="7151"/>
    <cellStyle name="Normal 2 16 2 3 2" xfId="7152"/>
    <cellStyle name="Normal 2 16 2 3 3" xfId="7153"/>
    <cellStyle name="Normal 2 16 2 3 4" xfId="7154"/>
    <cellStyle name="Normal 2 16 2 3 5" xfId="7155"/>
    <cellStyle name="Normal 2 16 2 3 6" xfId="7156"/>
    <cellStyle name="Normal 2 16 2 4" xfId="7157"/>
    <cellStyle name="Normal 2 16 2 4 2" xfId="7158"/>
    <cellStyle name="Normal 2 16 2 4 3" xfId="7159"/>
    <cellStyle name="Normal 2 16 2 4 4" xfId="7160"/>
    <cellStyle name="Normal 2 16 2 4 5" xfId="7161"/>
    <cellStyle name="Normal 2 16 2 4 6" xfId="7162"/>
    <cellStyle name="Normal 2 16 3" xfId="7163"/>
    <cellStyle name="Normal 2 16 3 2" xfId="7164"/>
    <cellStyle name="Normal 2 16 3 3" xfId="7165"/>
    <cellStyle name="Normal 2 16 3 4" xfId="7166"/>
    <cellStyle name="Normal 2 16 3 5" xfId="7167"/>
    <cellStyle name="Normal 2 16 3 6" xfId="7168"/>
    <cellStyle name="Normal 2 16 4" xfId="7169"/>
    <cellStyle name="Normal 2 16 5" xfId="7170"/>
    <cellStyle name="Normal 2 160" xfId="7171"/>
    <cellStyle name="Normal 2 160 2" xfId="7172"/>
    <cellStyle name="Normal 2 160 3" xfId="7173"/>
    <cellStyle name="Normal 2 160 4" xfId="7174"/>
    <cellStyle name="Normal 2 160 5" xfId="7175"/>
    <cellStyle name="Normal 2 160 6" xfId="7176"/>
    <cellStyle name="Normal 2 160 7" xfId="7177"/>
    <cellStyle name="Normal 2 160 8" xfId="7178"/>
    <cellStyle name="Normal 2 161" xfId="7179"/>
    <cellStyle name="Normal 2 161 2" xfId="7180"/>
    <cellStyle name="Normal 2 161 3" xfId="7181"/>
    <cellStyle name="Normal 2 161 4" xfId="7182"/>
    <cellStyle name="Normal 2 161 5" xfId="7183"/>
    <cellStyle name="Normal 2 161 6" xfId="7184"/>
    <cellStyle name="Normal 2 161 7" xfId="7185"/>
    <cellStyle name="Normal 2 161 8" xfId="7186"/>
    <cellStyle name="Normal 2 162" xfId="7187"/>
    <cellStyle name="Normal 2 162 2" xfId="7188"/>
    <cellStyle name="Normal 2 162 3" xfId="7189"/>
    <cellStyle name="Normal 2 162 4" xfId="7190"/>
    <cellStyle name="Normal 2 162 5" xfId="7191"/>
    <cellStyle name="Normal 2 162 6" xfId="7192"/>
    <cellStyle name="Normal 2 162 7" xfId="7193"/>
    <cellStyle name="Normal 2 162 8" xfId="7194"/>
    <cellStyle name="Normal 2 163" xfId="7195"/>
    <cellStyle name="Normal 2 163 2" xfId="7196"/>
    <cellStyle name="Normal 2 163 3" xfId="7197"/>
    <cellStyle name="Normal 2 163 4" xfId="7198"/>
    <cellStyle name="Normal 2 163 5" xfId="7199"/>
    <cellStyle name="Normal 2 163 6" xfId="7200"/>
    <cellStyle name="Normal 2 163 7" xfId="7201"/>
    <cellStyle name="Normal 2 163 8" xfId="7202"/>
    <cellStyle name="Normal 2 164" xfId="7203"/>
    <cellStyle name="Normal 2 164 2" xfId="7204"/>
    <cellStyle name="Normal 2 164 3" xfId="7205"/>
    <cellStyle name="Normal 2 164 4" xfId="7206"/>
    <cellStyle name="Normal 2 164 5" xfId="7207"/>
    <cellStyle name="Normal 2 164 6" xfId="7208"/>
    <cellStyle name="Normal 2 164 7" xfId="7209"/>
    <cellStyle name="Normal 2 164 8" xfId="7210"/>
    <cellStyle name="Normal 2 165" xfId="7211"/>
    <cellStyle name="Normal 2 165 2" xfId="7212"/>
    <cellStyle name="Normal 2 165 3" xfId="7213"/>
    <cellStyle name="Normal 2 165 4" xfId="7214"/>
    <cellStyle name="Normal 2 165 5" xfId="7215"/>
    <cellStyle name="Normal 2 165 6" xfId="7216"/>
    <cellStyle name="Normal 2 165 7" xfId="7217"/>
    <cellStyle name="Normal 2 165 8" xfId="7218"/>
    <cellStyle name="Normal 2 166" xfId="7219"/>
    <cellStyle name="Normal 2 166 2" xfId="7220"/>
    <cellStyle name="Normal 2 166 3" xfId="7221"/>
    <cellStyle name="Normal 2 166 4" xfId="7222"/>
    <cellStyle name="Normal 2 166 5" xfId="7223"/>
    <cellStyle name="Normal 2 166 6" xfId="7224"/>
    <cellStyle name="Normal 2 166 7" xfId="7225"/>
    <cellStyle name="Normal 2 166 8" xfId="7226"/>
    <cellStyle name="Normal 2 167" xfId="7227"/>
    <cellStyle name="Normal 2 167 2" xfId="7228"/>
    <cellStyle name="Normal 2 167 3" xfId="7229"/>
    <cellStyle name="Normal 2 167 4" xfId="7230"/>
    <cellStyle name="Normal 2 167 5" xfId="7231"/>
    <cellStyle name="Normal 2 167 6" xfId="7232"/>
    <cellStyle name="Normal 2 167 7" xfId="7233"/>
    <cellStyle name="Normal 2 167 8" xfId="7234"/>
    <cellStyle name="Normal 2 168" xfId="7235"/>
    <cellStyle name="Normal 2 168 2" xfId="7236"/>
    <cellStyle name="Normal 2 168 3" xfId="7237"/>
    <cellStyle name="Normal 2 168 4" xfId="7238"/>
    <cellStyle name="Normal 2 168 5" xfId="7239"/>
    <cellStyle name="Normal 2 168 6" xfId="7240"/>
    <cellStyle name="Normal 2 168 7" xfId="7241"/>
    <cellStyle name="Normal 2 168 8" xfId="7242"/>
    <cellStyle name="Normal 2 169" xfId="7243"/>
    <cellStyle name="Normal 2 169 2" xfId="7244"/>
    <cellStyle name="Normal 2 169 3" xfId="7245"/>
    <cellStyle name="Normal 2 169 4" xfId="7246"/>
    <cellStyle name="Normal 2 169 5" xfId="7247"/>
    <cellStyle name="Normal 2 169 6" xfId="7248"/>
    <cellStyle name="Normal 2 169 7" xfId="7249"/>
    <cellStyle name="Normal 2 169 8" xfId="7250"/>
    <cellStyle name="Normal 2 17" xfId="7251"/>
    <cellStyle name="Normal 2 17 2" xfId="7252"/>
    <cellStyle name="Normal 2 17 2 2" xfId="7253"/>
    <cellStyle name="Normal 2 17 2 3" xfId="7254"/>
    <cellStyle name="Normal 2 17 2 3 2" xfId="7255"/>
    <cellStyle name="Normal 2 17 2 3 3" xfId="7256"/>
    <cellStyle name="Normal 2 17 2 3 4" xfId="7257"/>
    <cellStyle name="Normal 2 17 2 3 5" xfId="7258"/>
    <cellStyle name="Normal 2 17 2 3 6" xfId="7259"/>
    <cellStyle name="Normal 2 17 2 4" xfId="7260"/>
    <cellStyle name="Normal 2 17 2 4 2" xfId="7261"/>
    <cellStyle name="Normal 2 17 2 4 3" xfId="7262"/>
    <cellStyle name="Normal 2 17 2 4 4" xfId="7263"/>
    <cellStyle name="Normal 2 17 2 4 5" xfId="7264"/>
    <cellStyle name="Normal 2 17 2 4 6" xfId="7265"/>
    <cellStyle name="Normal 2 17 3" xfId="7266"/>
    <cellStyle name="Normal 2 17 3 2" xfId="7267"/>
    <cellStyle name="Normal 2 17 3 3" xfId="7268"/>
    <cellStyle name="Normal 2 17 3 4" xfId="7269"/>
    <cellStyle name="Normal 2 17 3 5" xfId="7270"/>
    <cellStyle name="Normal 2 17 3 6" xfId="7271"/>
    <cellStyle name="Normal 2 17 4" xfId="7272"/>
    <cellStyle name="Normal 2 17 5" xfId="7273"/>
    <cellStyle name="Normal 2 170" xfId="7274"/>
    <cellStyle name="Normal 2 170 2" xfId="7275"/>
    <cellStyle name="Normal 2 170 3" xfId="7276"/>
    <cellStyle name="Normal 2 170 4" xfId="7277"/>
    <cellStyle name="Normal 2 170 5" xfId="7278"/>
    <cellStyle name="Normal 2 170 6" xfId="7279"/>
    <cellStyle name="Normal 2 170 7" xfId="7280"/>
    <cellStyle name="Normal 2 170 8" xfId="7281"/>
    <cellStyle name="Normal 2 171" xfId="7282"/>
    <cellStyle name="Normal 2 171 2" xfId="7283"/>
    <cellStyle name="Normal 2 171 3" xfId="7284"/>
    <cellStyle name="Normal 2 171 4" xfId="7285"/>
    <cellStyle name="Normal 2 171 5" xfId="7286"/>
    <cellStyle name="Normal 2 171 6" xfId="7287"/>
    <cellStyle name="Normal 2 171 7" xfId="7288"/>
    <cellStyle name="Normal 2 171 8" xfId="7289"/>
    <cellStyle name="Normal 2 172" xfId="7290"/>
    <cellStyle name="Normal 2 172 2" xfId="7291"/>
    <cellStyle name="Normal 2 172 3" xfId="7292"/>
    <cellStyle name="Normal 2 172 4" xfId="7293"/>
    <cellStyle name="Normal 2 172 5" xfId="7294"/>
    <cellStyle name="Normal 2 172 6" xfId="7295"/>
    <cellStyle name="Normal 2 172 7" xfId="7296"/>
    <cellStyle name="Normal 2 172 8" xfId="7297"/>
    <cellStyle name="Normal 2 173" xfId="7298"/>
    <cellStyle name="Normal 2 173 2" xfId="7299"/>
    <cellStyle name="Normal 2 173 3" xfId="7300"/>
    <cellStyle name="Normal 2 173 4" xfId="7301"/>
    <cellStyle name="Normal 2 173 5" xfId="7302"/>
    <cellStyle name="Normal 2 173 6" xfId="7303"/>
    <cellStyle name="Normal 2 173 7" xfId="7304"/>
    <cellStyle name="Normal 2 173 8" xfId="7305"/>
    <cellStyle name="Normal 2 174" xfId="7306"/>
    <cellStyle name="Normal 2 174 2" xfId="7307"/>
    <cellStyle name="Normal 2 174 3" xfId="7308"/>
    <cellStyle name="Normal 2 174 4" xfId="7309"/>
    <cellStyle name="Normal 2 174 5" xfId="7310"/>
    <cellStyle name="Normal 2 174 6" xfId="7311"/>
    <cellStyle name="Normal 2 174 7" xfId="7312"/>
    <cellStyle name="Normal 2 174 8" xfId="7313"/>
    <cellStyle name="Normal 2 175" xfId="7314"/>
    <cellStyle name="Normal 2 175 2" xfId="7315"/>
    <cellStyle name="Normal 2 175 3" xfId="7316"/>
    <cellStyle name="Normal 2 175 4" xfId="7317"/>
    <cellStyle name="Normal 2 175 5" xfId="7318"/>
    <cellStyle name="Normal 2 175 6" xfId="7319"/>
    <cellStyle name="Normal 2 175 7" xfId="7320"/>
    <cellStyle name="Normal 2 175 8" xfId="7321"/>
    <cellStyle name="Normal 2 176" xfId="7322"/>
    <cellStyle name="Normal 2 176 2" xfId="7323"/>
    <cellStyle name="Normal 2 176 3" xfId="7324"/>
    <cellStyle name="Normal 2 176 4" xfId="7325"/>
    <cellStyle name="Normal 2 176 5" xfId="7326"/>
    <cellStyle name="Normal 2 176 6" xfId="7327"/>
    <cellStyle name="Normal 2 176 7" xfId="7328"/>
    <cellStyle name="Normal 2 176 8" xfId="7329"/>
    <cellStyle name="Normal 2 177" xfId="7330"/>
    <cellStyle name="Normal 2 177 2" xfId="7331"/>
    <cellStyle name="Normal 2 177 3" xfId="7332"/>
    <cellStyle name="Normal 2 177 4" xfId="7333"/>
    <cellStyle name="Normal 2 177 5" xfId="7334"/>
    <cellStyle name="Normal 2 177 6" xfId="7335"/>
    <cellStyle name="Normal 2 177 7" xfId="7336"/>
    <cellStyle name="Normal 2 177 8" xfId="7337"/>
    <cellStyle name="Normal 2 178" xfId="7338"/>
    <cellStyle name="Normal 2 178 2" xfId="7339"/>
    <cellStyle name="Normal 2 178 3" xfId="7340"/>
    <cellStyle name="Normal 2 178 4" xfId="7341"/>
    <cellStyle name="Normal 2 178 5" xfId="7342"/>
    <cellStyle name="Normal 2 178 6" xfId="7343"/>
    <cellStyle name="Normal 2 178 7" xfId="7344"/>
    <cellStyle name="Normal 2 178 8" xfId="7345"/>
    <cellStyle name="Normal 2 179" xfId="7346"/>
    <cellStyle name="Normal 2 179 2" xfId="7347"/>
    <cellStyle name="Normal 2 179 3" xfId="7348"/>
    <cellStyle name="Normal 2 179 4" xfId="7349"/>
    <cellStyle name="Normal 2 179 5" xfId="7350"/>
    <cellStyle name="Normal 2 179 6" xfId="7351"/>
    <cellStyle name="Normal 2 179 7" xfId="7352"/>
    <cellStyle name="Normal 2 179 8" xfId="7353"/>
    <cellStyle name="Normal 2 18" xfId="7354"/>
    <cellStyle name="Normal 2 18 2" xfId="7355"/>
    <cellStyle name="Normal 2 18 2 2" xfId="7356"/>
    <cellStyle name="Normal 2 18 2 3" xfId="7357"/>
    <cellStyle name="Normal 2 18 2 4" xfId="7358"/>
    <cellStyle name="Normal 2 18 2 5" xfId="7359"/>
    <cellStyle name="Normal 2 18 2 6" xfId="7360"/>
    <cellStyle name="Normal 2 18 3" xfId="7361"/>
    <cellStyle name="Normal 2 18 4" xfId="7362"/>
    <cellStyle name="Normal 2 180" xfId="7363"/>
    <cellStyle name="Normal 2 180 2" xfId="7364"/>
    <cellStyle name="Normal 2 180 3" xfId="7365"/>
    <cellStyle name="Normal 2 180 4" xfId="7366"/>
    <cellStyle name="Normal 2 180 5" xfId="7367"/>
    <cellStyle name="Normal 2 180 6" xfId="7368"/>
    <cellStyle name="Normal 2 180 7" xfId="7369"/>
    <cellStyle name="Normal 2 180 8" xfId="7370"/>
    <cellStyle name="Normal 2 181" xfId="7371"/>
    <cellStyle name="Normal 2 181 2" xfId="7372"/>
    <cellStyle name="Normal 2 181 3" xfId="7373"/>
    <cellStyle name="Normal 2 181 4" xfId="7374"/>
    <cellStyle name="Normal 2 181 5" xfId="7375"/>
    <cellStyle name="Normal 2 181 6" xfId="7376"/>
    <cellStyle name="Normal 2 181 7" xfId="7377"/>
    <cellStyle name="Normal 2 181 8" xfId="7378"/>
    <cellStyle name="Normal 2 182" xfId="7379"/>
    <cellStyle name="Normal 2 182 2" xfId="7380"/>
    <cellStyle name="Normal 2 182 3" xfId="7381"/>
    <cellStyle name="Normal 2 182 4" xfId="7382"/>
    <cellStyle name="Normal 2 182 5" xfId="7383"/>
    <cellStyle name="Normal 2 182 6" xfId="7384"/>
    <cellStyle name="Normal 2 182 7" xfId="7385"/>
    <cellStyle name="Normal 2 182 8" xfId="7386"/>
    <cellStyle name="Normal 2 183" xfId="7387"/>
    <cellStyle name="Normal 2 183 2" xfId="7388"/>
    <cellStyle name="Normal 2 183 3" xfId="7389"/>
    <cellStyle name="Normal 2 183 4" xfId="7390"/>
    <cellStyle name="Normal 2 183 5" xfId="7391"/>
    <cellStyle name="Normal 2 183 6" xfId="7392"/>
    <cellStyle name="Normal 2 183 7" xfId="7393"/>
    <cellStyle name="Normal 2 183 8" xfId="7394"/>
    <cellStyle name="Normal 2 184" xfId="7395"/>
    <cellStyle name="Normal 2 184 2" xfId="7396"/>
    <cellStyle name="Normal 2 184 3" xfId="7397"/>
    <cellStyle name="Normal 2 184 4" xfId="7398"/>
    <cellStyle name="Normal 2 184 5" xfId="7399"/>
    <cellStyle name="Normal 2 184 6" xfId="7400"/>
    <cellStyle name="Normal 2 184 7" xfId="7401"/>
    <cellStyle name="Normal 2 184 8" xfId="7402"/>
    <cellStyle name="Normal 2 185" xfId="7403"/>
    <cellStyle name="Normal 2 185 2" xfId="7404"/>
    <cellStyle name="Normal 2 185 3" xfId="7405"/>
    <cellStyle name="Normal 2 185 4" xfId="7406"/>
    <cellStyle name="Normal 2 185 5" xfId="7407"/>
    <cellStyle name="Normal 2 185 6" xfId="7408"/>
    <cellStyle name="Normal 2 185 7" xfId="7409"/>
    <cellStyle name="Normal 2 185 8" xfId="7410"/>
    <cellStyle name="Normal 2 186" xfId="7411"/>
    <cellStyle name="Normal 2 186 2" xfId="7412"/>
    <cellStyle name="Normal 2 186 3" xfId="7413"/>
    <cellStyle name="Normal 2 186 4" xfId="7414"/>
    <cellStyle name="Normal 2 186 5" xfId="7415"/>
    <cellStyle name="Normal 2 186 6" xfId="7416"/>
    <cellStyle name="Normal 2 186 7" xfId="7417"/>
    <cellStyle name="Normal 2 186 8" xfId="7418"/>
    <cellStyle name="Normal 2 187" xfId="7419"/>
    <cellStyle name="Normal 2 187 2" xfId="7420"/>
    <cellStyle name="Normal 2 187 3" xfId="7421"/>
    <cellStyle name="Normal 2 187 4" xfId="7422"/>
    <cellStyle name="Normal 2 187 5" xfId="7423"/>
    <cellStyle name="Normal 2 187 6" xfId="7424"/>
    <cellStyle name="Normal 2 187 7" xfId="7425"/>
    <cellStyle name="Normal 2 187 8" xfId="7426"/>
    <cellStyle name="Normal 2 188" xfId="7427"/>
    <cellStyle name="Normal 2 188 2" xfId="7428"/>
    <cellStyle name="Normal 2 188 3" xfId="7429"/>
    <cellStyle name="Normal 2 188 4" xfId="7430"/>
    <cellStyle name="Normal 2 188 5" xfId="7431"/>
    <cellStyle name="Normal 2 188 6" xfId="7432"/>
    <cellStyle name="Normal 2 188 7" xfId="7433"/>
    <cellStyle name="Normal 2 188 8" xfId="7434"/>
    <cellStyle name="Normal 2 189" xfId="7435"/>
    <cellStyle name="Normal 2 189 2" xfId="7436"/>
    <cellStyle name="Normal 2 189 3" xfId="7437"/>
    <cellStyle name="Normal 2 189 4" xfId="7438"/>
    <cellStyle name="Normal 2 189 5" xfId="7439"/>
    <cellStyle name="Normal 2 189 6" xfId="7440"/>
    <cellStyle name="Normal 2 189 7" xfId="7441"/>
    <cellStyle name="Normal 2 189 8" xfId="7442"/>
    <cellStyle name="Normal 2 19" xfId="7443"/>
    <cellStyle name="Normal 2 19 2" xfId="7444"/>
    <cellStyle name="Normal 2 19 2 2" xfId="7445"/>
    <cellStyle name="Normal 2 19 2 3" xfId="7446"/>
    <cellStyle name="Normal 2 19 2 3 2" xfId="7447"/>
    <cellStyle name="Normal 2 19 2 3 3" xfId="7448"/>
    <cellStyle name="Normal 2 19 2 3 4" xfId="7449"/>
    <cellStyle name="Normal 2 19 2 3 5" xfId="7450"/>
    <cellStyle name="Normal 2 19 2 3 6" xfId="7451"/>
    <cellStyle name="Normal 2 19 2 4" xfId="7452"/>
    <cellStyle name="Normal 2 19 2 4 2" xfId="7453"/>
    <cellStyle name="Normal 2 19 2 4 3" xfId="7454"/>
    <cellStyle name="Normal 2 19 2 4 4" xfId="7455"/>
    <cellStyle name="Normal 2 19 2 4 5" xfId="7456"/>
    <cellStyle name="Normal 2 19 2 4 6" xfId="7457"/>
    <cellStyle name="Normal 2 19 3" xfId="7458"/>
    <cellStyle name="Normal 2 19 3 2" xfId="7459"/>
    <cellStyle name="Normal 2 19 3 3" xfId="7460"/>
    <cellStyle name="Normal 2 19 3 4" xfId="7461"/>
    <cellStyle name="Normal 2 19 3 5" xfId="7462"/>
    <cellStyle name="Normal 2 19 3 6" xfId="7463"/>
    <cellStyle name="Normal 2 19 4" xfId="7464"/>
    <cellStyle name="Normal 2 19 5" xfId="7465"/>
    <cellStyle name="Normal 2 190" xfId="7466"/>
    <cellStyle name="Normal 2 190 2" xfId="7467"/>
    <cellStyle name="Normal 2 190 3" xfId="7468"/>
    <cellStyle name="Normal 2 190 4" xfId="7469"/>
    <cellStyle name="Normal 2 190 5" xfId="7470"/>
    <cellStyle name="Normal 2 190 6" xfId="7471"/>
    <cellStyle name="Normal 2 190 7" xfId="7472"/>
    <cellStyle name="Normal 2 190 8" xfId="7473"/>
    <cellStyle name="Normal 2 191" xfId="7474"/>
    <cellStyle name="Normal 2 191 2" xfId="7475"/>
    <cellStyle name="Normal 2 191 3" xfId="7476"/>
    <cellStyle name="Normal 2 191 4" xfId="7477"/>
    <cellStyle name="Normal 2 191 5" xfId="7478"/>
    <cellStyle name="Normal 2 191 6" xfId="7479"/>
    <cellStyle name="Normal 2 191 7" xfId="7480"/>
    <cellStyle name="Normal 2 191 8" xfId="7481"/>
    <cellStyle name="Normal 2 192" xfId="7482"/>
    <cellStyle name="Normal 2 192 2" xfId="7483"/>
    <cellStyle name="Normal 2 192 3" xfId="7484"/>
    <cellStyle name="Normal 2 192 4" xfId="7485"/>
    <cellStyle name="Normal 2 192 5" xfId="7486"/>
    <cellStyle name="Normal 2 192 6" xfId="7487"/>
    <cellStyle name="Normal 2 192 7" xfId="7488"/>
    <cellStyle name="Normal 2 192 8" xfId="7489"/>
    <cellStyle name="Normal 2 193" xfId="7490"/>
    <cellStyle name="Normal 2 193 2" xfId="7491"/>
    <cellStyle name="Normal 2 193 3" xfId="7492"/>
    <cellStyle name="Normal 2 193 4" xfId="7493"/>
    <cellStyle name="Normal 2 193 5" xfId="7494"/>
    <cellStyle name="Normal 2 193 6" xfId="7495"/>
    <cellStyle name="Normal 2 193 7" xfId="7496"/>
    <cellStyle name="Normal 2 193 8" xfId="7497"/>
    <cellStyle name="Normal 2 194" xfId="7498"/>
    <cellStyle name="Normal 2 194 2" xfId="7499"/>
    <cellStyle name="Normal 2 194 3" xfId="7500"/>
    <cellStyle name="Normal 2 194 4" xfId="7501"/>
    <cellStyle name="Normal 2 194 5" xfId="7502"/>
    <cellStyle name="Normal 2 194 6" xfId="7503"/>
    <cellStyle name="Normal 2 194 7" xfId="7504"/>
    <cellStyle name="Normal 2 194 8" xfId="7505"/>
    <cellStyle name="Normal 2 195" xfId="7506"/>
    <cellStyle name="Normal 2 195 2" xfId="7507"/>
    <cellStyle name="Normal 2 195 3" xfId="7508"/>
    <cellStyle name="Normal 2 195 4" xfId="7509"/>
    <cellStyle name="Normal 2 195 5" xfId="7510"/>
    <cellStyle name="Normal 2 195 6" xfId="7511"/>
    <cellStyle name="Normal 2 195 7" xfId="7512"/>
    <cellStyle name="Normal 2 195 8" xfId="7513"/>
    <cellStyle name="Normal 2 196" xfId="7514"/>
    <cellStyle name="Normal 2 196 2" xfId="7515"/>
    <cellStyle name="Normal 2 196 3" xfId="7516"/>
    <cellStyle name="Normal 2 196 4" xfId="7517"/>
    <cellStyle name="Normal 2 196 5" xfId="7518"/>
    <cellStyle name="Normal 2 196 6" xfId="7519"/>
    <cellStyle name="Normal 2 196 7" xfId="7520"/>
    <cellStyle name="Normal 2 196 8" xfId="7521"/>
    <cellStyle name="Normal 2 197" xfId="7522"/>
    <cellStyle name="Normal 2 197 2" xfId="7523"/>
    <cellStyle name="Normal 2 197 3" xfId="7524"/>
    <cellStyle name="Normal 2 197 4" xfId="7525"/>
    <cellStyle name="Normal 2 197 5" xfId="7526"/>
    <cellStyle name="Normal 2 197 6" xfId="7527"/>
    <cellStyle name="Normal 2 197 7" xfId="7528"/>
    <cellStyle name="Normal 2 197 8" xfId="7529"/>
    <cellStyle name="Normal 2 198" xfId="7530"/>
    <cellStyle name="Normal 2 198 2" xfId="7531"/>
    <cellStyle name="Normal 2 198 3" xfId="7532"/>
    <cellStyle name="Normal 2 198 4" xfId="7533"/>
    <cellStyle name="Normal 2 198 5" xfId="7534"/>
    <cellStyle name="Normal 2 198 6" xfId="7535"/>
    <cellStyle name="Normal 2 198 7" xfId="7536"/>
    <cellStyle name="Normal 2 198 8" xfId="7537"/>
    <cellStyle name="Normal 2 199" xfId="7538"/>
    <cellStyle name="Normal 2 2" xfId="7539"/>
    <cellStyle name="Normal 2 2 10" xfId="7540"/>
    <cellStyle name="Normal 2 2 10 2" xfId="7541"/>
    <cellStyle name="Normal 2 2 10 2 2" xfId="7542"/>
    <cellStyle name="Normal 2 2 10 2 3" xfId="7543"/>
    <cellStyle name="Normal 2 2 10 2 4" xfId="7544"/>
    <cellStyle name="Normal 2 2 10 2 5" xfId="7545"/>
    <cellStyle name="Normal 2 2 10 2 6" xfId="7546"/>
    <cellStyle name="Normal 2 2 10 3" xfId="7547"/>
    <cellStyle name="Normal 2 2 10 4" xfId="7548"/>
    <cellStyle name="Normal 2 2 100" xfId="7549"/>
    <cellStyle name="Normal 2 2 100 2" xfId="7550"/>
    <cellStyle name="Normal 2 2 100 3" xfId="7551"/>
    <cellStyle name="Normal 2 2 101" xfId="7552"/>
    <cellStyle name="Normal 2 2 101 2" xfId="7553"/>
    <cellStyle name="Normal 2 2 101 3" xfId="7554"/>
    <cellStyle name="Normal 2 2 102" xfId="7555"/>
    <cellStyle name="Normal 2 2 102 2" xfId="7556"/>
    <cellStyle name="Normal 2 2 102 3" xfId="7557"/>
    <cellStyle name="Normal 2 2 103" xfId="7558"/>
    <cellStyle name="Normal 2 2 103 2" xfId="7559"/>
    <cellStyle name="Normal 2 2 103 3" xfId="7560"/>
    <cellStyle name="Normal 2 2 104" xfId="7561"/>
    <cellStyle name="Normal 2 2 104 2" xfId="7562"/>
    <cellStyle name="Normal 2 2 104 3" xfId="7563"/>
    <cellStyle name="Normal 2 2 105" xfId="7564"/>
    <cellStyle name="Normal 2 2 105 2" xfId="7565"/>
    <cellStyle name="Normal 2 2 105 3" xfId="7566"/>
    <cellStyle name="Normal 2 2 106" xfId="7567"/>
    <cellStyle name="Normal 2 2 106 2" xfId="7568"/>
    <cellStyle name="Normal 2 2 106 3" xfId="7569"/>
    <cellStyle name="Normal 2 2 107" xfId="7570"/>
    <cellStyle name="Normal 2 2 107 2" xfId="7571"/>
    <cellStyle name="Normal 2 2 107 3" xfId="7572"/>
    <cellStyle name="Normal 2 2 108" xfId="7573"/>
    <cellStyle name="Normal 2 2 108 2" xfId="7574"/>
    <cellStyle name="Normal 2 2 108 3" xfId="7575"/>
    <cellStyle name="Normal 2 2 109" xfId="7576"/>
    <cellStyle name="Normal 2 2 109 2" xfId="7577"/>
    <cellStyle name="Normal 2 2 109 3" xfId="7578"/>
    <cellStyle name="Normal 2 2 11" xfId="7579"/>
    <cellStyle name="Normal 2 2 11 2" xfId="7580"/>
    <cellStyle name="Normal 2 2 11 2 2" xfId="7581"/>
    <cellStyle name="Normal 2 2 11 2 3" xfId="7582"/>
    <cellStyle name="Normal 2 2 11 2 4" xfId="7583"/>
    <cellStyle name="Normal 2 2 11 2 5" xfId="7584"/>
    <cellStyle name="Normal 2 2 11 2 6" xfId="7585"/>
    <cellStyle name="Normal 2 2 11 3" xfId="7586"/>
    <cellStyle name="Normal 2 2 11 4" xfId="7587"/>
    <cellStyle name="Normal 2 2 110" xfId="7588"/>
    <cellStyle name="Normal 2 2 110 2" xfId="7589"/>
    <cellStyle name="Normal 2 2 110 3" xfId="7590"/>
    <cellStyle name="Normal 2 2 111" xfId="7591"/>
    <cellStyle name="Normal 2 2 111 2" xfId="7592"/>
    <cellStyle name="Normal 2 2 111 3" xfId="7593"/>
    <cellStyle name="Normal 2 2 112" xfId="7594"/>
    <cellStyle name="Normal 2 2 112 2" xfId="7595"/>
    <cellStyle name="Normal 2 2 112 3" xfId="7596"/>
    <cellStyle name="Normal 2 2 113" xfId="7597"/>
    <cellStyle name="Normal 2 2 113 2" xfId="7598"/>
    <cellStyle name="Normal 2 2 113 3" xfId="7599"/>
    <cellStyle name="Normal 2 2 114" xfId="7600"/>
    <cellStyle name="Normal 2 2 114 2" xfId="7601"/>
    <cellStyle name="Normal 2 2 114 3" xfId="7602"/>
    <cellStyle name="Normal 2 2 115" xfId="7603"/>
    <cellStyle name="Normal 2 2 115 2" xfId="7604"/>
    <cellStyle name="Normal 2 2 115 3" xfId="7605"/>
    <cellStyle name="Normal 2 2 116" xfId="7606"/>
    <cellStyle name="Normal 2 2 116 2" xfId="7607"/>
    <cellStyle name="Normal 2 2 116 3" xfId="7608"/>
    <cellStyle name="Normal 2 2 117" xfId="7609"/>
    <cellStyle name="Normal 2 2 117 2" xfId="7610"/>
    <cellStyle name="Normal 2 2 117 3" xfId="7611"/>
    <cellStyle name="Normal 2 2 118" xfId="7612"/>
    <cellStyle name="Normal 2 2 118 2" xfId="7613"/>
    <cellStyle name="Normal 2 2 118 3" xfId="7614"/>
    <cellStyle name="Normal 2 2 119" xfId="7615"/>
    <cellStyle name="Normal 2 2 119 2" xfId="7616"/>
    <cellStyle name="Normal 2 2 119 3" xfId="7617"/>
    <cellStyle name="Normal 2 2 12" xfId="7618"/>
    <cellStyle name="Normal 2 2 12 2" xfId="7619"/>
    <cellStyle name="Normal 2 2 12 2 2" xfId="7620"/>
    <cellStyle name="Normal 2 2 12 2 3" xfId="7621"/>
    <cellStyle name="Normal 2 2 12 2 4" xfId="7622"/>
    <cellStyle name="Normal 2 2 12 2 5" xfId="7623"/>
    <cellStyle name="Normal 2 2 12 2 6" xfId="7624"/>
    <cellStyle name="Normal 2 2 12 3" xfId="7625"/>
    <cellStyle name="Normal 2 2 12 4" xfId="7626"/>
    <cellStyle name="Normal 2 2 120" xfId="7627"/>
    <cellStyle name="Normal 2 2 120 2" xfId="7628"/>
    <cellStyle name="Normal 2 2 120 3" xfId="7629"/>
    <cellStyle name="Normal 2 2 121" xfId="7630"/>
    <cellStyle name="Normal 2 2 121 2" xfId="7631"/>
    <cellStyle name="Normal 2 2 121 3" xfId="7632"/>
    <cellStyle name="Normal 2 2 122" xfId="7633"/>
    <cellStyle name="Normal 2 2 122 2" xfId="7634"/>
    <cellStyle name="Normal 2 2 122 3" xfId="7635"/>
    <cellStyle name="Normal 2 2 123" xfId="7636"/>
    <cellStyle name="Normal 2 2 123 2" xfId="7637"/>
    <cellStyle name="Normal 2 2 123 3" xfId="7638"/>
    <cellStyle name="Normal 2 2 124" xfId="7639"/>
    <cellStyle name="Normal 2 2 124 2" xfId="7640"/>
    <cellStyle name="Normal 2 2 124 3" xfId="7641"/>
    <cellStyle name="Normal 2 2 125" xfId="7642"/>
    <cellStyle name="Normal 2 2 125 2" xfId="7643"/>
    <cellStyle name="Normal 2 2 125 3" xfId="7644"/>
    <cellStyle name="Normal 2 2 126" xfId="7645"/>
    <cellStyle name="Normal 2 2 126 2" xfId="7646"/>
    <cellStyle name="Normal 2 2 126 3" xfId="7647"/>
    <cellStyle name="Normal 2 2 127" xfId="7648"/>
    <cellStyle name="Normal 2 2 127 2" xfId="7649"/>
    <cellStyle name="Normal 2 2 127 3" xfId="7650"/>
    <cellStyle name="Normal 2 2 128" xfId="7651"/>
    <cellStyle name="Normal 2 2 128 2" xfId="7652"/>
    <cellStyle name="Normal 2 2 128 3" xfId="7653"/>
    <cellStyle name="Normal 2 2 129" xfId="7654"/>
    <cellStyle name="Normal 2 2 129 2" xfId="7655"/>
    <cellStyle name="Normal 2 2 129 3" xfId="7656"/>
    <cellStyle name="Normal 2 2 13" xfId="7657"/>
    <cellStyle name="Normal 2 2 13 2" xfId="7658"/>
    <cellStyle name="Normal 2 2 13 2 2" xfId="7659"/>
    <cellStyle name="Normal 2 2 13 2 3" xfId="7660"/>
    <cellStyle name="Normal 2 2 13 2 4" xfId="7661"/>
    <cellStyle name="Normal 2 2 13 2 5" xfId="7662"/>
    <cellStyle name="Normal 2 2 13 2 6" xfId="7663"/>
    <cellStyle name="Normal 2 2 13 3" xfId="7664"/>
    <cellStyle name="Normal 2 2 13 4" xfId="7665"/>
    <cellStyle name="Normal 2 2 130" xfId="7666"/>
    <cellStyle name="Normal 2 2 130 2" xfId="7667"/>
    <cellStyle name="Normal 2 2 130 3" xfId="7668"/>
    <cellStyle name="Normal 2 2 131" xfId="7669"/>
    <cellStyle name="Normal 2 2 131 2" xfId="7670"/>
    <cellStyle name="Normal 2 2 131 3" xfId="7671"/>
    <cellStyle name="Normal 2 2 132" xfId="7672"/>
    <cellStyle name="Normal 2 2 132 2" xfId="7673"/>
    <cellStyle name="Normal 2 2 132 3" xfId="7674"/>
    <cellStyle name="Normal 2 2 133" xfId="7675"/>
    <cellStyle name="Normal 2 2 133 2" xfId="7676"/>
    <cellStyle name="Normal 2 2 133 3" xfId="7677"/>
    <cellStyle name="Normal 2 2 134" xfId="7678"/>
    <cellStyle name="Normal 2 2 134 2" xfId="7679"/>
    <cellStyle name="Normal 2 2 134 3" xfId="7680"/>
    <cellStyle name="Normal 2 2 135" xfId="7681"/>
    <cellStyle name="Normal 2 2 135 2" xfId="7682"/>
    <cellStyle name="Normal 2 2 135 3" xfId="7683"/>
    <cellStyle name="Normal 2 2 136" xfId="7684"/>
    <cellStyle name="Normal 2 2 136 2" xfId="7685"/>
    <cellStyle name="Normal 2 2 136 3" xfId="7686"/>
    <cellStyle name="Normal 2 2 137" xfId="7687"/>
    <cellStyle name="Normal 2 2 137 2" xfId="7688"/>
    <cellStyle name="Normal 2 2 137 3" xfId="7689"/>
    <cellStyle name="Normal 2 2 138" xfId="7690"/>
    <cellStyle name="Normal 2 2 138 2" xfId="7691"/>
    <cellStyle name="Normal 2 2 138 3" xfId="7692"/>
    <cellStyle name="Normal 2 2 139" xfId="7693"/>
    <cellStyle name="Normal 2 2 139 2" xfId="7694"/>
    <cellStyle name="Normal 2 2 139 3" xfId="7695"/>
    <cellStyle name="Normal 2 2 14" xfId="7696"/>
    <cellStyle name="Normal 2 2 14 2" xfId="7697"/>
    <cellStyle name="Normal 2 2 14 2 2" xfId="7698"/>
    <cellStyle name="Normal 2 2 14 2 3" xfId="7699"/>
    <cellStyle name="Normal 2 2 14 2 4" xfId="7700"/>
    <cellStyle name="Normal 2 2 14 2 5" xfId="7701"/>
    <cellStyle name="Normal 2 2 14 2 6" xfId="7702"/>
    <cellStyle name="Normal 2 2 14 3" xfId="7703"/>
    <cellStyle name="Normal 2 2 14 4" xfId="7704"/>
    <cellStyle name="Normal 2 2 140" xfId="7705"/>
    <cellStyle name="Normal 2 2 140 2" xfId="7706"/>
    <cellStyle name="Normal 2 2 140 3" xfId="7707"/>
    <cellStyle name="Normal 2 2 141" xfId="7708"/>
    <cellStyle name="Normal 2 2 141 2" xfId="7709"/>
    <cellStyle name="Normal 2 2 141 3" xfId="7710"/>
    <cellStyle name="Normal 2 2 142" xfId="7711"/>
    <cellStyle name="Normal 2 2 142 2" xfId="7712"/>
    <cellStyle name="Normal 2 2 142 3" xfId="7713"/>
    <cellStyle name="Normal 2 2 143" xfId="7714"/>
    <cellStyle name="Normal 2 2 143 2" xfId="7715"/>
    <cellStyle name="Normal 2 2 143 3" xfId="7716"/>
    <cellStyle name="Normal 2 2 144" xfId="7717"/>
    <cellStyle name="Normal 2 2 144 2" xfId="7718"/>
    <cellStyle name="Normal 2 2 144 3" xfId="7719"/>
    <cellStyle name="Normal 2 2 145" xfId="7720"/>
    <cellStyle name="Normal 2 2 145 2" xfId="7721"/>
    <cellStyle name="Normal 2 2 145 3" xfId="7722"/>
    <cellStyle name="Normal 2 2 146" xfId="7723"/>
    <cellStyle name="Normal 2 2 146 2" xfId="7724"/>
    <cellStyle name="Normal 2 2 146 3" xfId="7725"/>
    <cellStyle name="Normal 2 2 147" xfId="7726"/>
    <cellStyle name="Normal 2 2 147 2" xfId="7727"/>
    <cellStyle name="Normal 2 2 147 3" xfId="7728"/>
    <cellStyle name="Normal 2 2 148" xfId="7729"/>
    <cellStyle name="Normal 2 2 148 2" xfId="7730"/>
    <cellStyle name="Normal 2 2 148 3" xfId="7731"/>
    <cellStyle name="Normal 2 2 149" xfId="7732"/>
    <cellStyle name="Normal 2 2 149 2" xfId="7733"/>
    <cellStyle name="Normal 2 2 149 3" xfId="7734"/>
    <cellStyle name="Normal 2 2 15" xfId="7735"/>
    <cellStyle name="Normal 2 2 15 2" xfId="7736"/>
    <cellStyle name="Normal 2 2 15 2 2" xfId="7737"/>
    <cellStyle name="Normal 2 2 15 2 3" xfId="7738"/>
    <cellStyle name="Normal 2 2 15 2 4" xfId="7739"/>
    <cellStyle name="Normal 2 2 15 2 5" xfId="7740"/>
    <cellStyle name="Normal 2 2 15 2 6" xfId="7741"/>
    <cellStyle name="Normal 2 2 15 3" xfId="7742"/>
    <cellStyle name="Normal 2 2 15 4" xfId="7743"/>
    <cellStyle name="Normal 2 2 150" xfId="7744"/>
    <cellStyle name="Normal 2 2 150 2" xfId="7745"/>
    <cellStyle name="Normal 2 2 150 3" xfId="7746"/>
    <cellStyle name="Normal 2 2 151" xfId="7747"/>
    <cellStyle name="Normal 2 2 151 2" xfId="7748"/>
    <cellStyle name="Normal 2 2 151 3" xfId="7749"/>
    <cellStyle name="Normal 2 2 152" xfId="7750"/>
    <cellStyle name="Normal 2 2 152 2" xfId="7751"/>
    <cellStyle name="Normal 2 2 152 3" xfId="7752"/>
    <cellStyle name="Normal 2 2 153" xfId="7753"/>
    <cellStyle name="Normal 2 2 153 2" xfId="7754"/>
    <cellStyle name="Normal 2 2 153 3" xfId="7755"/>
    <cellStyle name="Normal 2 2 154" xfId="7756"/>
    <cellStyle name="Normal 2 2 154 2" xfId="7757"/>
    <cellStyle name="Normal 2 2 154 3" xfId="7758"/>
    <cellStyle name="Normal 2 2 155" xfId="7759"/>
    <cellStyle name="Normal 2 2 155 2" xfId="7760"/>
    <cellStyle name="Normal 2 2 155 3" xfId="7761"/>
    <cellStyle name="Normal 2 2 156" xfId="7762"/>
    <cellStyle name="Normal 2 2 156 2" xfId="7763"/>
    <cellStyle name="Normal 2 2 156 3" xfId="7764"/>
    <cellStyle name="Normal 2 2 157" xfId="7765"/>
    <cellStyle name="Normal 2 2 157 2" xfId="7766"/>
    <cellStyle name="Normal 2 2 157 3" xfId="7767"/>
    <cellStyle name="Normal 2 2 158" xfId="7768"/>
    <cellStyle name="Normal 2 2 158 2" xfId="7769"/>
    <cellStyle name="Normal 2 2 158 3" xfId="7770"/>
    <cellStyle name="Normal 2 2 159" xfId="7771"/>
    <cellStyle name="Normal 2 2 159 2" xfId="7772"/>
    <cellStyle name="Normal 2 2 159 3" xfId="7773"/>
    <cellStyle name="Normal 2 2 16" xfId="7774"/>
    <cellStyle name="Normal 2 2 16 2" xfId="7775"/>
    <cellStyle name="Normal 2 2 16 2 2" xfId="7776"/>
    <cellStyle name="Normal 2 2 16 2 3" xfId="7777"/>
    <cellStyle name="Normal 2 2 16 2 4" xfId="7778"/>
    <cellStyle name="Normal 2 2 16 2 5" xfId="7779"/>
    <cellStyle name="Normal 2 2 16 2 6" xfId="7780"/>
    <cellStyle name="Normal 2 2 16 3" xfId="7781"/>
    <cellStyle name="Normal 2 2 16 4" xfId="7782"/>
    <cellStyle name="Normal 2 2 160" xfId="7783"/>
    <cellStyle name="Normal 2 2 160 2" xfId="7784"/>
    <cellStyle name="Normal 2 2 160 3" xfId="7785"/>
    <cellStyle name="Normal 2 2 161" xfId="7786"/>
    <cellStyle name="Normal 2 2 161 2" xfId="7787"/>
    <cellStyle name="Normal 2 2 161 3" xfId="7788"/>
    <cellStyle name="Normal 2 2 162" xfId="7789"/>
    <cellStyle name="Normal 2 2 162 2" xfId="7790"/>
    <cellStyle name="Normal 2 2 162 3" xfId="7791"/>
    <cellStyle name="Normal 2 2 163" xfId="7792"/>
    <cellStyle name="Normal 2 2 163 2" xfId="7793"/>
    <cellStyle name="Normal 2 2 163 3" xfId="7794"/>
    <cellStyle name="Normal 2 2 164" xfId="7795"/>
    <cellStyle name="Normal 2 2 164 2" xfId="7796"/>
    <cellStyle name="Normal 2 2 164 3" xfId="7797"/>
    <cellStyle name="Normal 2 2 165" xfId="7798"/>
    <cellStyle name="Normal 2 2 165 2" xfId="7799"/>
    <cellStyle name="Normal 2 2 165 3" xfId="7800"/>
    <cellStyle name="Normal 2 2 166" xfId="7801"/>
    <cellStyle name="Normal 2 2 166 2" xfId="7802"/>
    <cellStyle name="Normal 2 2 166 3" xfId="7803"/>
    <cellStyle name="Normal 2 2 167" xfId="7804"/>
    <cellStyle name="Normal 2 2 167 2" xfId="7805"/>
    <cellStyle name="Normal 2 2 167 3" xfId="7806"/>
    <cellStyle name="Normal 2 2 168" xfId="7807"/>
    <cellStyle name="Normal 2 2 168 2" xfId="7808"/>
    <cellStyle name="Normal 2 2 168 3" xfId="7809"/>
    <cellStyle name="Normal 2 2 169" xfId="7810"/>
    <cellStyle name="Normal 2 2 169 2" xfId="7811"/>
    <cellStyle name="Normal 2 2 169 3" xfId="7812"/>
    <cellStyle name="Normal 2 2 17" xfId="7813"/>
    <cellStyle name="Normal 2 2 17 2" xfId="7814"/>
    <cellStyle name="Normal 2 2 17 2 2" xfId="7815"/>
    <cellStyle name="Normal 2 2 17 2 3" xfId="7816"/>
    <cellStyle name="Normal 2 2 17 2 4" xfId="7817"/>
    <cellStyle name="Normal 2 2 17 2 5" xfId="7818"/>
    <cellStyle name="Normal 2 2 17 2 6" xfId="7819"/>
    <cellStyle name="Normal 2 2 17 3" xfId="7820"/>
    <cellStyle name="Normal 2 2 17 4" xfId="7821"/>
    <cellStyle name="Normal 2 2 170" xfId="7822"/>
    <cellStyle name="Normal 2 2 170 2" xfId="7823"/>
    <cellStyle name="Normal 2 2 170 3" xfId="7824"/>
    <cellStyle name="Normal 2 2 171" xfId="7825"/>
    <cellStyle name="Normal 2 2 171 2" xfId="7826"/>
    <cellStyle name="Normal 2 2 171 3" xfId="7827"/>
    <cellStyle name="Normal 2 2 172" xfId="7828"/>
    <cellStyle name="Normal 2 2 172 2" xfId="7829"/>
    <cellStyle name="Normal 2 2 172 3" xfId="7830"/>
    <cellStyle name="Normal 2 2 173" xfId="7831"/>
    <cellStyle name="Normal 2 2 173 2" xfId="7832"/>
    <cellStyle name="Normal 2 2 173 3" xfId="7833"/>
    <cellStyle name="Normal 2 2 174" xfId="7834"/>
    <cellStyle name="Normal 2 2 174 2" xfId="7835"/>
    <cellStyle name="Normal 2 2 174 3" xfId="7836"/>
    <cellStyle name="Normal 2 2 175" xfId="7837"/>
    <cellStyle name="Normal 2 2 175 2" xfId="7838"/>
    <cellStyle name="Normal 2 2 175 3" xfId="7839"/>
    <cellStyle name="Normal 2 2 175 4" xfId="7840"/>
    <cellStyle name="Normal 2 2 175 5" xfId="7841"/>
    <cellStyle name="Normal 2 2 175 6" xfId="7842"/>
    <cellStyle name="Normal 2 2 176" xfId="7843"/>
    <cellStyle name="Normal 2 2 177" xfId="7844"/>
    <cellStyle name="Normal 2 2 178" xfId="7845"/>
    <cellStyle name="Normal 2 2 179" xfId="7846"/>
    <cellStyle name="Normal 2 2 18" xfId="7847"/>
    <cellStyle name="Normal 2 2 18 2" xfId="7848"/>
    <cellStyle name="Normal 2 2 18 2 2" xfId="7849"/>
    <cellStyle name="Normal 2 2 18 2 3" xfId="7850"/>
    <cellStyle name="Normal 2 2 18 2 4" xfId="7851"/>
    <cellStyle name="Normal 2 2 18 2 5" xfId="7852"/>
    <cellStyle name="Normal 2 2 18 2 6" xfId="7853"/>
    <cellStyle name="Normal 2 2 18 3" xfId="7854"/>
    <cellStyle name="Normal 2 2 18 4" xfId="7855"/>
    <cellStyle name="Normal 2 2 180" xfId="7856"/>
    <cellStyle name="Normal 2 2 181" xfId="7857"/>
    <cellStyle name="Normal 2 2 182" xfId="7858"/>
    <cellStyle name="Normal 2 2 19" xfId="7859"/>
    <cellStyle name="Normal 2 2 19 2" xfId="7860"/>
    <cellStyle name="Normal 2 2 19 2 2" xfId="7861"/>
    <cellStyle name="Normal 2 2 19 2 3" xfId="7862"/>
    <cellStyle name="Normal 2 2 19 2 4" xfId="7863"/>
    <cellStyle name="Normal 2 2 19 2 5" xfId="7864"/>
    <cellStyle name="Normal 2 2 19 2 6" xfId="7865"/>
    <cellStyle name="Normal 2 2 19 3" xfId="7866"/>
    <cellStyle name="Normal 2 2 19 4" xfId="7867"/>
    <cellStyle name="Normal 2 2 2" xfId="7868"/>
    <cellStyle name="Normal 2 2 2 10" xfId="7869"/>
    <cellStyle name="Normal 2 2 2 10 2" xfId="7870"/>
    <cellStyle name="Normal 2 2 2 10 3" xfId="7871"/>
    <cellStyle name="Normal 2 2 2 10 3 2" xfId="7872"/>
    <cellStyle name="Normal 2 2 2 10 3 3" xfId="7873"/>
    <cellStyle name="Normal 2 2 2 10 3 4" xfId="7874"/>
    <cellStyle name="Normal 2 2 2 10 3 5" xfId="7875"/>
    <cellStyle name="Normal 2 2 2 10 3 6" xfId="7876"/>
    <cellStyle name="Normal 2 2 2 10 4" xfId="7877"/>
    <cellStyle name="Normal 2 2 2 10 4 2" xfId="7878"/>
    <cellStyle name="Normal 2 2 2 10 4 3" xfId="7879"/>
    <cellStyle name="Normal 2 2 2 10 4 4" xfId="7880"/>
    <cellStyle name="Normal 2 2 2 10 4 5" xfId="7881"/>
    <cellStyle name="Normal 2 2 2 10 4 6" xfId="7882"/>
    <cellStyle name="Normal 2 2 2 100" xfId="7883"/>
    <cellStyle name="Normal 2 2 2 100 2" xfId="7884"/>
    <cellStyle name="Normal 2 2 2 100 3" xfId="7885"/>
    <cellStyle name="Normal 2 2 2 100 4" xfId="7886"/>
    <cellStyle name="Normal 2 2 2 100 5" xfId="7887"/>
    <cellStyle name="Normal 2 2 2 100 6" xfId="7888"/>
    <cellStyle name="Normal 2 2 2 100 7" xfId="7889"/>
    <cellStyle name="Normal 2 2 2 100 8" xfId="7890"/>
    <cellStyle name="Normal 2 2 2 101" xfId="7891"/>
    <cellStyle name="Normal 2 2 2 101 2" xfId="7892"/>
    <cellStyle name="Normal 2 2 2 101 3" xfId="7893"/>
    <cellStyle name="Normal 2 2 2 101 4" xfId="7894"/>
    <cellStyle name="Normal 2 2 2 101 5" xfId="7895"/>
    <cellStyle name="Normal 2 2 2 101 6" xfId="7896"/>
    <cellStyle name="Normal 2 2 2 101 7" xfId="7897"/>
    <cellStyle name="Normal 2 2 2 101 8" xfId="7898"/>
    <cellStyle name="Normal 2 2 2 102" xfId="7899"/>
    <cellStyle name="Normal 2 2 2 102 2" xfId="7900"/>
    <cellStyle name="Normal 2 2 2 102 3" xfId="7901"/>
    <cellStyle name="Normal 2 2 2 102 4" xfId="7902"/>
    <cellStyle name="Normal 2 2 2 102 5" xfId="7903"/>
    <cellStyle name="Normal 2 2 2 102 6" xfId="7904"/>
    <cellStyle name="Normal 2 2 2 102 7" xfId="7905"/>
    <cellStyle name="Normal 2 2 2 102 8" xfId="7906"/>
    <cellStyle name="Normal 2 2 2 103" xfId="7907"/>
    <cellStyle name="Normal 2 2 2 103 2" xfId="7908"/>
    <cellStyle name="Normal 2 2 2 103 3" xfId="7909"/>
    <cellStyle name="Normal 2 2 2 103 4" xfId="7910"/>
    <cellStyle name="Normal 2 2 2 103 5" xfId="7911"/>
    <cellStyle name="Normal 2 2 2 103 6" xfId="7912"/>
    <cellStyle name="Normal 2 2 2 103 7" xfId="7913"/>
    <cellStyle name="Normal 2 2 2 103 8" xfId="7914"/>
    <cellStyle name="Normal 2 2 2 104" xfId="7915"/>
    <cellStyle name="Normal 2 2 2 104 2" xfId="7916"/>
    <cellStyle name="Normal 2 2 2 104 3" xfId="7917"/>
    <cellStyle name="Normal 2 2 2 104 4" xfId="7918"/>
    <cellStyle name="Normal 2 2 2 104 5" xfId="7919"/>
    <cellStyle name="Normal 2 2 2 104 6" xfId="7920"/>
    <cellStyle name="Normal 2 2 2 104 7" xfId="7921"/>
    <cellStyle name="Normal 2 2 2 104 8" xfId="7922"/>
    <cellStyle name="Normal 2 2 2 105" xfId="7923"/>
    <cellStyle name="Normal 2 2 2 105 2" xfId="7924"/>
    <cellStyle name="Normal 2 2 2 105 3" xfId="7925"/>
    <cellStyle name="Normal 2 2 2 105 4" xfId="7926"/>
    <cellStyle name="Normal 2 2 2 105 5" xfId="7927"/>
    <cellStyle name="Normal 2 2 2 105 6" xfId="7928"/>
    <cellStyle name="Normal 2 2 2 105 7" xfId="7929"/>
    <cellStyle name="Normal 2 2 2 105 8" xfId="7930"/>
    <cellStyle name="Normal 2 2 2 106" xfId="7931"/>
    <cellStyle name="Normal 2 2 2 106 2" xfId="7932"/>
    <cellStyle name="Normal 2 2 2 106 3" xfId="7933"/>
    <cellStyle name="Normal 2 2 2 106 4" xfId="7934"/>
    <cellStyle name="Normal 2 2 2 106 5" xfId="7935"/>
    <cellStyle name="Normal 2 2 2 106 6" xfId="7936"/>
    <cellStyle name="Normal 2 2 2 106 7" xfId="7937"/>
    <cellStyle name="Normal 2 2 2 106 8" xfId="7938"/>
    <cellStyle name="Normal 2 2 2 107" xfId="7939"/>
    <cellStyle name="Normal 2 2 2 107 2" xfId="7940"/>
    <cellStyle name="Normal 2 2 2 107 3" xfId="7941"/>
    <cellStyle name="Normal 2 2 2 107 4" xfId="7942"/>
    <cellStyle name="Normal 2 2 2 107 5" xfId="7943"/>
    <cellStyle name="Normal 2 2 2 107 6" xfId="7944"/>
    <cellStyle name="Normal 2 2 2 107 7" xfId="7945"/>
    <cellStyle name="Normal 2 2 2 107 8" xfId="7946"/>
    <cellStyle name="Normal 2 2 2 108" xfId="7947"/>
    <cellStyle name="Normal 2 2 2 108 2" xfId="7948"/>
    <cellStyle name="Normal 2 2 2 108 3" xfId="7949"/>
    <cellStyle name="Normal 2 2 2 108 4" xfId="7950"/>
    <cellStyle name="Normal 2 2 2 108 5" xfId="7951"/>
    <cellStyle name="Normal 2 2 2 108 6" xfId="7952"/>
    <cellStyle name="Normal 2 2 2 108 7" xfId="7953"/>
    <cellStyle name="Normal 2 2 2 108 8" xfId="7954"/>
    <cellStyle name="Normal 2 2 2 109" xfId="7955"/>
    <cellStyle name="Normal 2 2 2 109 2" xfId="7956"/>
    <cellStyle name="Normal 2 2 2 109 3" xfId="7957"/>
    <cellStyle name="Normal 2 2 2 109 4" xfId="7958"/>
    <cellStyle name="Normal 2 2 2 109 5" xfId="7959"/>
    <cellStyle name="Normal 2 2 2 109 6" xfId="7960"/>
    <cellStyle name="Normal 2 2 2 109 7" xfId="7961"/>
    <cellStyle name="Normal 2 2 2 109 8" xfId="7962"/>
    <cellStyle name="Normal 2 2 2 11" xfId="7963"/>
    <cellStyle name="Normal 2 2 2 11 2" xfId="7964"/>
    <cellStyle name="Normal 2 2 2 11 3" xfId="7965"/>
    <cellStyle name="Normal 2 2 2 11 3 2" xfId="7966"/>
    <cellStyle name="Normal 2 2 2 11 3 3" xfId="7967"/>
    <cellStyle name="Normal 2 2 2 11 3 4" xfId="7968"/>
    <cellStyle name="Normal 2 2 2 11 3 5" xfId="7969"/>
    <cellStyle name="Normal 2 2 2 11 3 6" xfId="7970"/>
    <cellStyle name="Normal 2 2 2 11 4" xfId="7971"/>
    <cellStyle name="Normal 2 2 2 11 4 2" xfId="7972"/>
    <cellStyle name="Normal 2 2 2 11 4 3" xfId="7973"/>
    <cellStyle name="Normal 2 2 2 11 4 4" xfId="7974"/>
    <cellStyle name="Normal 2 2 2 11 4 5" xfId="7975"/>
    <cellStyle name="Normal 2 2 2 11 4 6" xfId="7976"/>
    <cellStyle name="Normal 2 2 2 110" xfId="7977"/>
    <cellStyle name="Normal 2 2 2 110 2" xfId="7978"/>
    <cellStyle name="Normal 2 2 2 110 3" xfId="7979"/>
    <cellStyle name="Normal 2 2 2 110 4" xfId="7980"/>
    <cellStyle name="Normal 2 2 2 110 5" xfId="7981"/>
    <cellStyle name="Normal 2 2 2 110 6" xfId="7982"/>
    <cellStyle name="Normal 2 2 2 110 7" xfId="7983"/>
    <cellStyle name="Normal 2 2 2 110 8" xfId="7984"/>
    <cellStyle name="Normal 2 2 2 111" xfId="7985"/>
    <cellStyle name="Normal 2 2 2 111 2" xfId="7986"/>
    <cellStyle name="Normal 2 2 2 111 3" xfId="7987"/>
    <cellStyle name="Normal 2 2 2 111 4" xfId="7988"/>
    <cellStyle name="Normal 2 2 2 111 5" xfId="7989"/>
    <cellStyle name="Normal 2 2 2 111 6" xfId="7990"/>
    <cellStyle name="Normal 2 2 2 111 7" xfId="7991"/>
    <cellStyle name="Normal 2 2 2 111 8" xfId="7992"/>
    <cellStyle name="Normal 2 2 2 112" xfId="7993"/>
    <cellStyle name="Normal 2 2 2 112 2" xfId="7994"/>
    <cellStyle name="Normal 2 2 2 112 3" xfId="7995"/>
    <cellStyle name="Normal 2 2 2 112 4" xfId="7996"/>
    <cellStyle name="Normal 2 2 2 112 5" xfId="7997"/>
    <cellStyle name="Normal 2 2 2 112 6" xfId="7998"/>
    <cellStyle name="Normal 2 2 2 112 7" xfId="7999"/>
    <cellStyle name="Normal 2 2 2 112 8" xfId="8000"/>
    <cellStyle name="Normal 2 2 2 113" xfId="8001"/>
    <cellStyle name="Normal 2 2 2 113 2" xfId="8002"/>
    <cellStyle name="Normal 2 2 2 113 3" xfId="8003"/>
    <cellStyle name="Normal 2 2 2 113 4" xfId="8004"/>
    <cellStyle name="Normal 2 2 2 113 5" xfId="8005"/>
    <cellStyle name="Normal 2 2 2 113 6" xfId="8006"/>
    <cellStyle name="Normal 2 2 2 113 7" xfId="8007"/>
    <cellStyle name="Normal 2 2 2 113 8" xfId="8008"/>
    <cellStyle name="Normal 2 2 2 114" xfId="8009"/>
    <cellStyle name="Normal 2 2 2 114 2" xfId="8010"/>
    <cellStyle name="Normal 2 2 2 114 3" xfId="8011"/>
    <cellStyle name="Normal 2 2 2 114 4" xfId="8012"/>
    <cellStyle name="Normal 2 2 2 114 5" xfId="8013"/>
    <cellStyle name="Normal 2 2 2 114 6" xfId="8014"/>
    <cellStyle name="Normal 2 2 2 114 7" xfId="8015"/>
    <cellStyle name="Normal 2 2 2 114 8" xfId="8016"/>
    <cellStyle name="Normal 2 2 2 115" xfId="8017"/>
    <cellStyle name="Normal 2 2 2 115 2" xfId="8018"/>
    <cellStyle name="Normal 2 2 2 115 3" xfId="8019"/>
    <cellStyle name="Normal 2 2 2 115 4" xfId="8020"/>
    <cellStyle name="Normal 2 2 2 115 5" xfId="8021"/>
    <cellStyle name="Normal 2 2 2 115 6" xfId="8022"/>
    <cellStyle name="Normal 2 2 2 115 7" xfId="8023"/>
    <cellStyle name="Normal 2 2 2 115 8" xfId="8024"/>
    <cellStyle name="Normal 2 2 2 116" xfId="8025"/>
    <cellStyle name="Normal 2 2 2 116 2" xfId="8026"/>
    <cellStyle name="Normal 2 2 2 116 3" xfId="8027"/>
    <cellStyle name="Normal 2 2 2 116 4" xfId="8028"/>
    <cellStyle name="Normal 2 2 2 116 5" xfId="8029"/>
    <cellStyle name="Normal 2 2 2 116 6" xfId="8030"/>
    <cellStyle name="Normal 2 2 2 116 7" xfId="8031"/>
    <cellStyle name="Normal 2 2 2 116 8" xfId="8032"/>
    <cellStyle name="Normal 2 2 2 117" xfId="8033"/>
    <cellStyle name="Normal 2 2 2 117 2" xfId="8034"/>
    <cellStyle name="Normal 2 2 2 117 3" xfId="8035"/>
    <cellStyle name="Normal 2 2 2 117 4" xfId="8036"/>
    <cellStyle name="Normal 2 2 2 117 5" xfId="8037"/>
    <cellStyle name="Normal 2 2 2 117 6" xfId="8038"/>
    <cellStyle name="Normal 2 2 2 117 7" xfId="8039"/>
    <cellStyle name="Normal 2 2 2 117 8" xfId="8040"/>
    <cellStyle name="Normal 2 2 2 118" xfId="8041"/>
    <cellStyle name="Normal 2 2 2 118 2" xfId="8042"/>
    <cellStyle name="Normal 2 2 2 118 3" xfId="8043"/>
    <cellStyle name="Normal 2 2 2 118 4" xfId="8044"/>
    <cellStyle name="Normal 2 2 2 118 5" xfId="8045"/>
    <cellStyle name="Normal 2 2 2 118 6" xfId="8046"/>
    <cellStyle name="Normal 2 2 2 118 7" xfId="8047"/>
    <cellStyle name="Normal 2 2 2 118 8" xfId="8048"/>
    <cellStyle name="Normal 2 2 2 119" xfId="8049"/>
    <cellStyle name="Normal 2 2 2 119 2" xfId="8050"/>
    <cellStyle name="Normal 2 2 2 119 3" xfId="8051"/>
    <cellStyle name="Normal 2 2 2 119 4" xfId="8052"/>
    <cellStyle name="Normal 2 2 2 119 5" xfId="8053"/>
    <cellStyle name="Normal 2 2 2 119 6" xfId="8054"/>
    <cellStyle name="Normal 2 2 2 119 7" xfId="8055"/>
    <cellStyle name="Normal 2 2 2 119 8" xfId="8056"/>
    <cellStyle name="Normal 2 2 2 12" xfId="8057"/>
    <cellStyle name="Normal 2 2 2 12 2" xfId="8058"/>
    <cellStyle name="Normal 2 2 2 12 2 2" xfId="8059"/>
    <cellStyle name="Normal 2 2 2 12 2 2 2" xfId="8060"/>
    <cellStyle name="Normal 2 2 2 12 2 2 3" xfId="8061"/>
    <cellStyle name="Normal 2 2 2 12 2 2 4" xfId="8062"/>
    <cellStyle name="Normal 2 2 2 12 2 2 5" xfId="8063"/>
    <cellStyle name="Normal 2 2 2 12 2 2 6" xfId="8064"/>
    <cellStyle name="Normal 2 2 2 12 2 3" xfId="8065"/>
    <cellStyle name="Normal 2 2 2 12 2 4" xfId="8066"/>
    <cellStyle name="Normal 2 2 2 12 3" xfId="8067"/>
    <cellStyle name="Normal 2 2 2 12 4" xfId="8068"/>
    <cellStyle name="Normal 2 2 2 12 4 2" xfId="8069"/>
    <cellStyle name="Normal 2 2 2 12 4 3" xfId="8070"/>
    <cellStyle name="Normal 2 2 2 12 4 4" xfId="8071"/>
    <cellStyle name="Normal 2 2 2 12 4 5" xfId="8072"/>
    <cellStyle name="Normal 2 2 2 12 4 6" xfId="8073"/>
    <cellStyle name="Normal 2 2 2 12 5" xfId="8074"/>
    <cellStyle name="Normal 2 2 2 12 5 2" xfId="8075"/>
    <cellStyle name="Normal 2 2 2 12 5 3" xfId="8076"/>
    <cellStyle name="Normal 2 2 2 12 5 4" xfId="8077"/>
    <cellStyle name="Normal 2 2 2 12 5 5" xfId="8078"/>
    <cellStyle name="Normal 2 2 2 12 5 6" xfId="8079"/>
    <cellStyle name="Normal 2 2 2 120" xfId="8080"/>
    <cellStyle name="Normal 2 2 2 120 2" xfId="8081"/>
    <cellStyle name="Normal 2 2 2 120 3" xfId="8082"/>
    <cellStyle name="Normal 2 2 2 120 4" xfId="8083"/>
    <cellStyle name="Normal 2 2 2 120 5" xfId="8084"/>
    <cellStyle name="Normal 2 2 2 120 6" xfId="8085"/>
    <cellStyle name="Normal 2 2 2 120 7" xfId="8086"/>
    <cellStyle name="Normal 2 2 2 120 8" xfId="8087"/>
    <cellStyle name="Normal 2 2 2 121" xfId="8088"/>
    <cellStyle name="Normal 2 2 2 121 2" xfId="8089"/>
    <cellStyle name="Normal 2 2 2 121 3" xfId="8090"/>
    <cellStyle name="Normal 2 2 2 121 4" xfId="8091"/>
    <cellStyle name="Normal 2 2 2 121 5" xfId="8092"/>
    <cellStyle name="Normal 2 2 2 121 6" xfId="8093"/>
    <cellStyle name="Normal 2 2 2 121 7" xfId="8094"/>
    <cellStyle name="Normal 2 2 2 121 8" xfId="8095"/>
    <cellStyle name="Normal 2 2 2 122" xfId="8096"/>
    <cellStyle name="Normal 2 2 2 122 2" xfId="8097"/>
    <cellStyle name="Normal 2 2 2 122 3" xfId="8098"/>
    <cellStyle name="Normal 2 2 2 122 4" xfId="8099"/>
    <cellStyle name="Normal 2 2 2 122 5" xfId="8100"/>
    <cellStyle name="Normal 2 2 2 122 6" xfId="8101"/>
    <cellStyle name="Normal 2 2 2 122 7" xfId="8102"/>
    <cellStyle name="Normal 2 2 2 122 8" xfId="8103"/>
    <cellStyle name="Normal 2 2 2 123" xfId="8104"/>
    <cellStyle name="Normal 2 2 2 123 2" xfId="8105"/>
    <cellStyle name="Normal 2 2 2 123 3" xfId="8106"/>
    <cellStyle name="Normal 2 2 2 123 4" xfId="8107"/>
    <cellStyle name="Normal 2 2 2 123 5" xfId="8108"/>
    <cellStyle name="Normal 2 2 2 123 6" xfId="8109"/>
    <cellStyle name="Normal 2 2 2 123 7" xfId="8110"/>
    <cellStyle name="Normal 2 2 2 123 8" xfId="8111"/>
    <cellStyle name="Normal 2 2 2 124" xfId="8112"/>
    <cellStyle name="Normal 2 2 2 124 2" xfId="8113"/>
    <cellStyle name="Normal 2 2 2 124 3" xfId="8114"/>
    <cellStyle name="Normal 2 2 2 124 4" xfId="8115"/>
    <cellStyle name="Normal 2 2 2 124 5" xfId="8116"/>
    <cellStyle name="Normal 2 2 2 124 6" xfId="8117"/>
    <cellStyle name="Normal 2 2 2 124 7" xfId="8118"/>
    <cellStyle name="Normal 2 2 2 124 8" xfId="8119"/>
    <cellStyle name="Normal 2 2 2 125" xfId="8120"/>
    <cellStyle name="Normal 2 2 2 125 2" xfId="8121"/>
    <cellStyle name="Normal 2 2 2 125 3" xfId="8122"/>
    <cellStyle name="Normal 2 2 2 125 4" xfId="8123"/>
    <cellStyle name="Normal 2 2 2 125 5" xfId="8124"/>
    <cellStyle name="Normal 2 2 2 125 6" xfId="8125"/>
    <cellStyle name="Normal 2 2 2 125 7" xfId="8126"/>
    <cellStyle name="Normal 2 2 2 125 8" xfId="8127"/>
    <cellStyle name="Normal 2 2 2 126" xfId="8128"/>
    <cellStyle name="Normal 2 2 2 126 2" xfId="8129"/>
    <cellStyle name="Normal 2 2 2 126 3" xfId="8130"/>
    <cellStyle name="Normal 2 2 2 126 4" xfId="8131"/>
    <cellStyle name="Normal 2 2 2 126 5" xfId="8132"/>
    <cellStyle name="Normal 2 2 2 126 6" xfId="8133"/>
    <cellStyle name="Normal 2 2 2 126 7" xfId="8134"/>
    <cellStyle name="Normal 2 2 2 126 8" xfId="8135"/>
    <cellStyle name="Normal 2 2 2 127" xfId="8136"/>
    <cellStyle name="Normal 2 2 2 127 2" xfId="8137"/>
    <cellStyle name="Normal 2 2 2 127 3" xfId="8138"/>
    <cellStyle name="Normal 2 2 2 127 4" xfId="8139"/>
    <cellStyle name="Normal 2 2 2 127 5" xfId="8140"/>
    <cellStyle name="Normal 2 2 2 127 6" xfId="8141"/>
    <cellStyle name="Normal 2 2 2 127 7" xfId="8142"/>
    <cellStyle name="Normal 2 2 2 127 8" xfId="8143"/>
    <cellStyle name="Normal 2 2 2 128" xfId="8144"/>
    <cellStyle name="Normal 2 2 2 128 2" xfId="8145"/>
    <cellStyle name="Normal 2 2 2 128 3" xfId="8146"/>
    <cellStyle name="Normal 2 2 2 128 4" xfId="8147"/>
    <cellStyle name="Normal 2 2 2 128 5" xfId="8148"/>
    <cellStyle name="Normal 2 2 2 128 6" xfId="8149"/>
    <cellStyle name="Normal 2 2 2 128 7" xfId="8150"/>
    <cellStyle name="Normal 2 2 2 128 8" xfId="8151"/>
    <cellStyle name="Normal 2 2 2 129" xfId="8152"/>
    <cellStyle name="Normal 2 2 2 129 2" xfId="8153"/>
    <cellStyle name="Normal 2 2 2 129 3" xfId="8154"/>
    <cellStyle name="Normal 2 2 2 129 4" xfId="8155"/>
    <cellStyle name="Normal 2 2 2 129 5" xfId="8156"/>
    <cellStyle name="Normal 2 2 2 129 6" xfId="8157"/>
    <cellStyle name="Normal 2 2 2 129 7" xfId="8158"/>
    <cellStyle name="Normal 2 2 2 129 8" xfId="8159"/>
    <cellStyle name="Normal 2 2 2 13" xfId="8160"/>
    <cellStyle name="Normal 2 2 2 13 2" xfId="8161"/>
    <cellStyle name="Normal 2 2 2 13 2 2" xfId="8162"/>
    <cellStyle name="Normal 2 2 2 13 2 3" xfId="8163"/>
    <cellStyle name="Normal 2 2 2 13 2 4" xfId="8164"/>
    <cellStyle name="Normal 2 2 2 13 2 5" xfId="8165"/>
    <cellStyle name="Normal 2 2 2 13 2 6" xfId="8166"/>
    <cellStyle name="Normal 2 2 2 13 3" xfId="8167"/>
    <cellStyle name="Normal 2 2 2 13 4" xfId="8168"/>
    <cellStyle name="Normal 2 2 2 130" xfId="8169"/>
    <cellStyle name="Normal 2 2 2 130 2" xfId="8170"/>
    <cellStyle name="Normal 2 2 2 130 3" xfId="8171"/>
    <cellStyle name="Normal 2 2 2 130 4" xfId="8172"/>
    <cellStyle name="Normal 2 2 2 130 5" xfId="8173"/>
    <cellStyle name="Normal 2 2 2 130 6" xfId="8174"/>
    <cellStyle name="Normal 2 2 2 130 7" xfId="8175"/>
    <cellStyle name="Normal 2 2 2 130 8" xfId="8176"/>
    <cellStyle name="Normal 2 2 2 131" xfId="8177"/>
    <cellStyle name="Normal 2 2 2 131 2" xfId="8178"/>
    <cellStyle name="Normal 2 2 2 131 3" xfId="8179"/>
    <cellStyle name="Normal 2 2 2 131 4" xfId="8180"/>
    <cellStyle name="Normal 2 2 2 131 5" xfId="8181"/>
    <cellStyle name="Normal 2 2 2 131 6" xfId="8182"/>
    <cellStyle name="Normal 2 2 2 131 7" xfId="8183"/>
    <cellStyle name="Normal 2 2 2 131 8" xfId="8184"/>
    <cellStyle name="Normal 2 2 2 132" xfId="8185"/>
    <cellStyle name="Normal 2 2 2 132 2" xfId="8186"/>
    <cellStyle name="Normal 2 2 2 132 3" xfId="8187"/>
    <cellStyle name="Normal 2 2 2 132 4" xfId="8188"/>
    <cellStyle name="Normal 2 2 2 132 5" xfId="8189"/>
    <cellStyle name="Normal 2 2 2 132 6" xfId="8190"/>
    <cellStyle name="Normal 2 2 2 132 7" xfId="8191"/>
    <cellStyle name="Normal 2 2 2 132 8" xfId="8192"/>
    <cellStyle name="Normal 2 2 2 133" xfId="8193"/>
    <cellStyle name="Normal 2 2 2 133 2" xfId="8194"/>
    <cellStyle name="Normal 2 2 2 133 3" xfId="8195"/>
    <cellStyle name="Normal 2 2 2 133 4" xfId="8196"/>
    <cellStyle name="Normal 2 2 2 133 5" xfId="8197"/>
    <cellStyle name="Normal 2 2 2 133 6" xfId="8198"/>
    <cellStyle name="Normal 2 2 2 133 7" xfId="8199"/>
    <cellStyle name="Normal 2 2 2 133 8" xfId="8200"/>
    <cellStyle name="Normal 2 2 2 134" xfId="8201"/>
    <cellStyle name="Normal 2 2 2 134 2" xfId="8202"/>
    <cellStyle name="Normal 2 2 2 134 3" xfId="8203"/>
    <cellStyle name="Normal 2 2 2 134 4" xfId="8204"/>
    <cellStyle name="Normal 2 2 2 134 5" xfId="8205"/>
    <cellStyle name="Normal 2 2 2 134 6" xfId="8206"/>
    <cellStyle name="Normal 2 2 2 134 7" xfId="8207"/>
    <cellStyle name="Normal 2 2 2 134 8" xfId="8208"/>
    <cellStyle name="Normal 2 2 2 135" xfId="8209"/>
    <cellStyle name="Normal 2 2 2 135 2" xfId="8210"/>
    <cellStyle name="Normal 2 2 2 135 3" xfId="8211"/>
    <cellStyle name="Normal 2 2 2 135 4" xfId="8212"/>
    <cellStyle name="Normal 2 2 2 135 5" xfId="8213"/>
    <cellStyle name="Normal 2 2 2 135 6" xfId="8214"/>
    <cellStyle name="Normal 2 2 2 135 7" xfId="8215"/>
    <cellStyle name="Normal 2 2 2 135 8" xfId="8216"/>
    <cellStyle name="Normal 2 2 2 136" xfId="8217"/>
    <cellStyle name="Normal 2 2 2 136 2" xfId="8218"/>
    <cellStyle name="Normal 2 2 2 136 3" xfId="8219"/>
    <cellStyle name="Normal 2 2 2 136 4" xfId="8220"/>
    <cellStyle name="Normal 2 2 2 136 5" xfId="8221"/>
    <cellStyle name="Normal 2 2 2 136 6" xfId="8222"/>
    <cellStyle name="Normal 2 2 2 136 7" xfId="8223"/>
    <cellStyle name="Normal 2 2 2 136 8" xfId="8224"/>
    <cellStyle name="Normal 2 2 2 137" xfId="8225"/>
    <cellStyle name="Normal 2 2 2 137 2" xfId="8226"/>
    <cellStyle name="Normal 2 2 2 137 3" xfId="8227"/>
    <cellStyle name="Normal 2 2 2 137 4" xfId="8228"/>
    <cellStyle name="Normal 2 2 2 137 5" xfId="8229"/>
    <cellStyle name="Normal 2 2 2 137 6" xfId="8230"/>
    <cellStyle name="Normal 2 2 2 137 7" xfId="8231"/>
    <cellStyle name="Normal 2 2 2 137 8" xfId="8232"/>
    <cellStyle name="Normal 2 2 2 138" xfId="8233"/>
    <cellStyle name="Normal 2 2 2 138 2" xfId="8234"/>
    <cellStyle name="Normal 2 2 2 138 3" xfId="8235"/>
    <cellStyle name="Normal 2 2 2 138 4" xfId="8236"/>
    <cellStyle name="Normal 2 2 2 138 5" xfId="8237"/>
    <cellStyle name="Normal 2 2 2 138 6" xfId="8238"/>
    <cellStyle name="Normal 2 2 2 138 7" xfId="8239"/>
    <cellStyle name="Normal 2 2 2 138 8" xfId="8240"/>
    <cellStyle name="Normal 2 2 2 139" xfId="8241"/>
    <cellStyle name="Normal 2 2 2 14" xfId="8242"/>
    <cellStyle name="Normal 2 2 2 14 2" xfId="8243"/>
    <cellStyle name="Normal 2 2 2 14 2 2" xfId="8244"/>
    <cellStyle name="Normal 2 2 2 14 2 3" xfId="8245"/>
    <cellStyle name="Normal 2 2 2 14 2 4" xfId="8246"/>
    <cellStyle name="Normal 2 2 2 14 2 5" xfId="8247"/>
    <cellStyle name="Normal 2 2 2 14 2 6" xfId="8248"/>
    <cellStyle name="Normal 2 2 2 14 3" xfId="8249"/>
    <cellStyle name="Normal 2 2 2 14 4" xfId="8250"/>
    <cellStyle name="Normal 2 2 2 140" xfId="8251"/>
    <cellStyle name="Normal 2 2 2 15" xfId="8252"/>
    <cellStyle name="Normal 2 2 2 15 2" xfId="8253"/>
    <cellStyle name="Normal 2 2 2 15 2 2" xfId="8254"/>
    <cellStyle name="Normal 2 2 2 15 2 3" xfId="8255"/>
    <cellStyle name="Normal 2 2 2 15 2 4" xfId="8256"/>
    <cellStyle name="Normal 2 2 2 15 2 5" xfId="8257"/>
    <cellStyle name="Normal 2 2 2 15 2 6" xfId="8258"/>
    <cellStyle name="Normal 2 2 2 15 3" xfId="8259"/>
    <cellStyle name="Normal 2 2 2 15 4" xfId="8260"/>
    <cellStyle name="Normal 2 2 2 16" xfId="8261"/>
    <cellStyle name="Normal 2 2 2 16 2" xfId="8262"/>
    <cellStyle name="Normal 2 2 2 16 2 2" xfId="8263"/>
    <cellStyle name="Normal 2 2 2 16 2 3" xfId="8264"/>
    <cellStyle name="Normal 2 2 2 16 2 4" xfId="8265"/>
    <cellStyle name="Normal 2 2 2 16 2 5" xfId="8266"/>
    <cellStyle name="Normal 2 2 2 16 2 6" xfId="8267"/>
    <cellStyle name="Normal 2 2 2 16 3" xfId="8268"/>
    <cellStyle name="Normal 2 2 2 16 4" xfId="8269"/>
    <cellStyle name="Normal 2 2 2 17" xfId="8270"/>
    <cellStyle name="Normal 2 2 2 17 2" xfId="8271"/>
    <cellStyle name="Normal 2 2 2 17 2 2" xfId="8272"/>
    <cellStyle name="Normal 2 2 2 17 2 3" xfId="8273"/>
    <cellStyle name="Normal 2 2 2 17 2 4" xfId="8274"/>
    <cellStyle name="Normal 2 2 2 17 2 5" xfId="8275"/>
    <cellStyle name="Normal 2 2 2 17 2 6" xfId="8276"/>
    <cellStyle name="Normal 2 2 2 17 3" xfId="8277"/>
    <cellStyle name="Normal 2 2 2 17 4" xfId="8278"/>
    <cellStyle name="Normal 2 2 2 18" xfId="8279"/>
    <cellStyle name="Normal 2 2 2 18 2" xfId="8280"/>
    <cellStyle name="Normal 2 2 2 18 2 2" xfId="8281"/>
    <cellStyle name="Normal 2 2 2 18 2 3" xfId="8282"/>
    <cellStyle name="Normal 2 2 2 18 2 4" xfId="8283"/>
    <cellStyle name="Normal 2 2 2 18 2 5" xfId="8284"/>
    <cellStyle name="Normal 2 2 2 18 2 6" xfId="8285"/>
    <cellStyle name="Normal 2 2 2 18 3" xfId="8286"/>
    <cellStyle name="Normal 2 2 2 18 4" xfId="8287"/>
    <cellStyle name="Normal 2 2 2 19" xfId="8288"/>
    <cellStyle name="Normal 2 2 2 19 2" xfId="8289"/>
    <cellStyle name="Normal 2 2 2 19 2 2" xfId="8290"/>
    <cellStyle name="Normal 2 2 2 19 2 3" xfId="8291"/>
    <cellStyle name="Normal 2 2 2 19 2 4" xfId="8292"/>
    <cellStyle name="Normal 2 2 2 19 2 5" xfId="8293"/>
    <cellStyle name="Normal 2 2 2 19 2 6" xfId="8294"/>
    <cellStyle name="Normal 2 2 2 19 3" xfId="8295"/>
    <cellStyle name="Normal 2 2 2 19 4" xfId="8296"/>
    <cellStyle name="Normal 2 2 2 2" xfId="8297"/>
    <cellStyle name="Normal 2 2 2 2 10" xfId="8298"/>
    <cellStyle name="Normal 2 2 2 2 10 2" xfId="8299"/>
    <cellStyle name="Normal 2 2 2 2 10 3" xfId="8300"/>
    <cellStyle name="Normal 2 2 2 2 10 3 2" xfId="8301"/>
    <cellStyle name="Normal 2 2 2 2 10 3 3" xfId="8302"/>
    <cellStyle name="Normal 2 2 2 2 10 3 4" xfId="8303"/>
    <cellStyle name="Normal 2 2 2 2 10 3 5" xfId="8304"/>
    <cellStyle name="Normal 2 2 2 2 10 3 6" xfId="8305"/>
    <cellStyle name="Normal 2 2 2 2 10 4" xfId="8306"/>
    <cellStyle name="Normal 2 2 2 2 10 4 2" xfId="8307"/>
    <cellStyle name="Normal 2 2 2 2 10 4 3" xfId="8308"/>
    <cellStyle name="Normal 2 2 2 2 10 4 4" xfId="8309"/>
    <cellStyle name="Normal 2 2 2 2 10 4 5" xfId="8310"/>
    <cellStyle name="Normal 2 2 2 2 10 4 6" xfId="8311"/>
    <cellStyle name="Normal 2 2 2 2 100" xfId="8312"/>
    <cellStyle name="Normal 2 2 2 2 100 2" xfId="8313"/>
    <cellStyle name="Normal 2 2 2 2 100 3" xfId="8314"/>
    <cellStyle name="Normal 2 2 2 2 100 4" xfId="8315"/>
    <cellStyle name="Normal 2 2 2 2 100 5" xfId="8316"/>
    <cellStyle name="Normal 2 2 2 2 100 6" xfId="8317"/>
    <cellStyle name="Normal 2 2 2 2 100 7" xfId="8318"/>
    <cellStyle name="Normal 2 2 2 2 100 8" xfId="8319"/>
    <cellStyle name="Normal 2 2 2 2 101" xfId="8320"/>
    <cellStyle name="Normal 2 2 2 2 101 2" xfId="8321"/>
    <cellStyle name="Normal 2 2 2 2 101 3" xfId="8322"/>
    <cellStyle name="Normal 2 2 2 2 101 4" xfId="8323"/>
    <cellStyle name="Normal 2 2 2 2 101 5" xfId="8324"/>
    <cellStyle name="Normal 2 2 2 2 101 6" xfId="8325"/>
    <cellStyle name="Normal 2 2 2 2 101 7" xfId="8326"/>
    <cellStyle name="Normal 2 2 2 2 101 8" xfId="8327"/>
    <cellStyle name="Normal 2 2 2 2 102" xfId="8328"/>
    <cellStyle name="Normal 2 2 2 2 102 2" xfId="8329"/>
    <cellStyle name="Normal 2 2 2 2 102 3" xfId="8330"/>
    <cellStyle name="Normal 2 2 2 2 102 4" xfId="8331"/>
    <cellStyle name="Normal 2 2 2 2 102 5" xfId="8332"/>
    <cellStyle name="Normal 2 2 2 2 102 6" xfId="8333"/>
    <cellStyle name="Normal 2 2 2 2 102 7" xfId="8334"/>
    <cellStyle name="Normal 2 2 2 2 102 8" xfId="8335"/>
    <cellStyle name="Normal 2 2 2 2 103" xfId="8336"/>
    <cellStyle name="Normal 2 2 2 2 103 2" xfId="8337"/>
    <cellStyle name="Normal 2 2 2 2 103 3" xfId="8338"/>
    <cellStyle name="Normal 2 2 2 2 103 4" xfId="8339"/>
    <cellStyle name="Normal 2 2 2 2 103 5" xfId="8340"/>
    <cellStyle name="Normal 2 2 2 2 103 6" xfId="8341"/>
    <cellStyle name="Normal 2 2 2 2 103 7" xfId="8342"/>
    <cellStyle name="Normal 2 2 2 2 103 8" xfId="8343"/>
    <cellStyle name="Normal 2 2 2 2 104" xfId="8344"/>
    <cellStyle name="Normal 2 2 2 2 104 2" xfId="8345"/>
    <cellStyle name="Normal 2 2 2 2 104 3" xfId="8346"/>
    <cellStyle name="Normal 2 2 2 2 104 4" xfId="8347"/>
    <cellStyle name="Normal 2 2 2 2 104 5" xfId="8348"/>
    <cellStyle name="Normal 2 2 2 2 104 6" xfId="8349"/>
    <cellStyle name="Normal 2 2 2 2 104 7" xfId="8350"/>
    <cellStyle name="Normal 2 2 2 2 104 8" xfId="8351"/>
    <cellStyle name="Normal 2 2 2 2 105" xfId="8352"/>
    <cellStyle name="Normal 2 2 2 2 105 2" xfId="8353"/>
    <cellStyle name="Normal 2 2 2 2 105 3" xfId="8354"/>
    <cellStyle name="Normal 2 2 2 2 105 4" xfId="8355"/>
    <cellStyle name="Normal 2 2 2 2 105 5" xfId="8356"/>
    <cellStyle name="Normal 2 2 2 2 105 6" xfId="8357"/>
    <cellStyle name="Normal 2 2 2 2 105 7" xfId="8358"/>
    <cellStyle name="Normal 2 2 2 2 105 8" xfId="8359"/>
    <cellStyle name="Normal 2 2 2 2 106" xfId="8360"/>
    <cellStyle name="Normal 2 2 2 2 106 2" xfId="8361"/>
    <cellStyle name="Normal 2 2 2 2 106 3" xfId="8362"/>
    <cellStyle name="Normal 2 2 2 2 106 4" xfId="8363"/>
    <cellStyle name="Normal 2 2 2 2 106 5" xfId="8364"/>
    <cellStyle name="Normal 2 2 2 2 106 6" xfId="8365"/>
    <cellStyle name="Normal 2 2 2 2 106 7" xfId="8366"/>
    <cellStyle name="Normal 2 2 2 2 106 8" xfId="8367"/>
    <cellStyle name="Normal 2 2 2 2 107" xfId="8368"/>
    <cellStyle name="Normal 2 2 2 2 107 2" xfId="8369"/>
    <cellStyle name="Normal 2 2 2 2 107 3" xfId="8370"/>
    <cellStyle name="Normal 2 2 2 2 107 4" xfId="8371"/>
    <cellStyle name="Normal 2 2 2 2 107 5" xfId="8372"/>
    <cellStyle name="Normal 2 2 2 2 107 6" xfId="8373"/>
    <cellStyle name="Normal 2 2 2 2 107 7" xfId="8374"/>
    <cellStyle name="Normal 2 2 2 2 107 8" xfId="8375"/>
    <cellStyle name="Normal 2 2 2 2 108" xfId="8376"/>
    <cellStyle name="Normal 2 2 2 2 108 2" xfId="8377"/>
    <cellStyle name="Normal 2 2 2 2 108 3" xfId="8378"/>
    <cellStyle name="Normal 2 2 2 2 108 4" xfId="8379"/>
    <cellStyle name="Normal 2 2 2 2 108 5" xfId="8380"/>
    <cellStyle name="Normal 2 2 2 2 108 6" xfId="8381"/>
    <cellStyle name="Normal 2 2 2 2 108 7" xfId="8382"/>
    <cellStyle name="Normal 2 2 2 2 108 8" xfId="8383"/>
    <cellStyle name="Normal 2 2 2 2 109" xfId="8384"/>
    <cellStyle name="Normal 2 2 2 2 109 2" xfId="8385"/>
    <cellStyle name="Normal 2 2 2 2 109 3" xfId="8386"/>
    <cellStyle name="Normal 2 2 2 2 109 4" xfId="8387"/>
    <cellStyle name="Normal 2 2 2 2 109 5" xfId="8388"/>
    <cellStyle name="Normal 2 2 2 2 109 6" xfId="8389"/>
    <cellStyle name="Normal 2 2 2 2 109 7" xfId="8390"/>
    <cellStyle name="Normal 2 2 2 2 109 8" xfId="8391"/>
    <cellStyle name="Normal 2 2 2 2 11" xfId="8392"/>
    <cellStyle name="Normal 2 2 2 2 11 2" xfId="8393"/>
    <cellStyle name="Normal 2 2 2 2 11 2 2" xfId="8394"/>
    <cellStyle name="Normal 2 2 2 2 11 2 3" xfId="8395"/>
    <cellStyle name="Normal 2 2 2 2 11 2 4" xfId="8396"/>
    <cellStyle name="Normal 2 2 2 2 11 2 5" xfId="8397"/>
    <cellStyle name="Normal 2 2 2 2 11 2 6" xfId="8398"/>
    <cellStyle name="Normal 2 2 2 2 11 3" xfId="8399"/>
    <cellStyle name="Normal 2 2 2 2 11 4" xfId="8400"/>
    <cellStyle name="Normal 2 2 2 2 11 5" xfId="8401"/>
    <cellStyle name="Normal 2 2 2 2 11 6" xfId="8402"/>
    <cellStyle name="Normal 2 2 2 2 11 7" xfId="8403"/>
    <cellStyle name="Normal 2 2 2 2 11 8" xfId="8404"/>
    <cellStyle name="Normal 2 2 2 2 11 9" xfId="8405"/>
    <cellStyle name="Normal 2 2 2 2 110" xfId="8406"/>
    <cellStyle name="Normal 2 2 2 2 110 2" xfId="8407"/>
    <cellStyle name="Normal 2 2 2 2 110 3" xfId="8408"/>
    <cellStyle name="Normal 2 2 2 2 110 4" xfId="8409"/>
    <cellStyle name="Normal 2 2 2 2 110 5" xfId="8410"/>
    <cellStyle name="Normal 2 2 2 2 110 6" xfId="8411"/>
    <cellStyle name="Normal 2 2 2 2 110 7" xfId="8412"/>
    <cellStyle name="Normal 2 2 2 2 110 8" xfId="8413"/>
    <cellStyle name="Normal 2 2 2 2 111" xfId="8414"/>
    <cellStyle name="Normal 2 2 2 2 111 2" xfId="8415"/>
    <cellStyle name="Normal 2 2 2 2 111 3" xfId="8416"/>
    <cellStyle name="Normal 2 2 2 2 111 4" xfId="8417"/>
    <cellStyle name="Normal 2 2 2 2 111 5" xfId="8418"/>
    <cellStyle name="Normal 2 2 2 2 111 6" xfId="8419"/>
    <cellStyle name="Normal 2 2 2 2 111 7" xfId="8420"/>
    <cellStyle name="Normal 2 2 2 2 111 8" xfId="8421"/>
    <cellStyle name="Normal 2 2 2 2 112" xfId="8422"/>
    <cellStyle name="Normal 2 2 2 2 112 2" xfId="8423"/>
    <cellStyle name="Normal 2 2 2 2 112 3" xfId="8424"/>
    <cellStyle name="Normal 2 2 2 2 112 4" xfId="8425"/>
    <cellStyle name="Normal 2 2 2 2 112 5" xfId="8426"/>
    <cellStyle name="Normal 2 2 2 2 112 6" xfId="8427"/>
    <cellStyle name="Normal 2 2 2 2 112 7" xfId="8428"/>
    <cellStyle name="Normal 2 2 2 2 112 8" xfId="8429"/>
    <cellStyle name="Normal 2 2 2 2 113" xfId="8430"/>
    <cellStyle name="Normal 2 2 2 2 113 2" xfId="8431"/>
    <cellStyle name="Normal 2 2 2 2 113 3" xfId="8432"/>
    <cellStyle name="Normal 2 2 2 2 113 4" xfId="8433"/>
    <cellStyle name="Normal 2 2 2 2 113 5" xfId="8434"/>
    <cellStyle name="Normal 2 2 2 2 113 6" xfId="8435"/>
    <cellStyle name="Normal 2 2 2 2 113 7" xfId="8436"/>
    <cellStyle name="Normal 2 2 2 2 113 8" xfId="8437"/>
    <cellStyle name="Normal 2 2 2 2 114" xfId="8438"/>
    <cellStyle name="Normal 2 2 2 2 114 2" xfId="8439"/>
    <cellStyle name="Normal 2 2 2 2 114 3" xfId="8440"/>
    <cellStyle name="Normal 2 2 2 2 114 4" xfId="8441"/>
    <cellStyle name="Normal 2 2 2 2 114 5" xfId="8442"/>
    <cellStyle name="Normal 2 2 2 2 114 6" xfId="8443"/>
    <cellStyle name="Normal 2 2 2 2 114 7" xfId="8444"/>
    <cellStyle name="Normal 2 2 2 2 114 8" xfId="8445"/>
    <cellStyle name="Normal 2 2 2 2 115" xfId="8446"/>
    <cellStyle name="Normal 2 2 2 2 115 2" xfId="8447"/>
    <cellStyle name="Normal 2 2 2 2 115 3" xfId="8448"/>
    <cellStyle name="Normal 2 2 2 2 115 4" xfId="8449"/>
    <cellStyle name="Normal 2 2 2 2 115 5" xfId="8450"/>
    <cellStyle name="Normal 2 2 2 2 115 6" xfId="8451"/>
    <cellStyle name="Normal 2 2 2 2 115 7" xfId="8452"/>
    <cellStyle name="Normal 2 2 2 2 115 8" xfId="8453"/>
    <cellStyle name="Normal 2 2 2 2 116" xfId="8454"/>
    <cellStyle name="Normal 2 2 2 2 116 2" xfId="8455"/>
    <cellStyle name="Normal 2 2 2 2 116 3" xfId="8456"/>
    <cellStyle name="Normal 2 2 2 2 116 4" xfId="8457"/>
    <cellStyle name="Normal 2 2 2 2 116 5" xfId="8458"/>
    <cellStyle name="Normal 2 2 2 2 116 6" xfId="8459"/>
    <cellStyle name="Normal 2 2 2 2 116 7" xfId="8460"/>
    <cellStyle name="Normal 2 2 2 2 116 8" xfId="8461"/>
    <cellStyle name="Normal 2 2 2 2 117" xfId="8462"/>
    <cellStyle name="Normal 2 2 2 2 117 2" xfId="8463"/>
    <cellStyle name="Normal 2 2 2 2 117 3" xfId="8464"/>
    <cellStyle name="Normal 2 2 2 2 117 4" xfId="8465"/>
    <cellStyle name="Normal 2 2 2 2 117 5" xfId="8466"/>
    <cellStyle name="Normal 2 2 2 2 117 6" xfId="8467"/>
    <cellStyle name="Normal 2 2 2 2 117 7" xfId="8468"/>
    <cellStyle name="Normal 2 2 2 2 117 8" xfId="8469"/>
    <cellStyle name="Normal 2 2 2 2 118" xfId="8470"/>
    <cellStyle name="Normal 2 2 2 2 118 2" xfId="8471"/>
    <cellStyle name="Normal 2 2 2 2 118 3" xfId="8472"/>
    <cellStyle name="Normal 2 2 2 2 118 4" xfId="8473"/>
    <cellStyle name="Normal 2 2 2 2 118 5" xfId="8474"/>
    <cellStyle name="Normal 2 2 2 2 118 6" xfId="8475"/>
    <cellStyle name="Normal 2 2 2 2 118 7" xfId="8476"/>
    <cellStyle name="Normal 2 2 2 2 118 8" xfId="8477"/>
    <cellStyle name="Normal 2 2 2 2 119" xfId="8478"/>
    <cellStyle name="Normal 2 2 2 2 119 2" xfId="8479"/>
    <cellStyle name="Normal 2 2 2 2 119 3" xfId="8480"/>
    <cellStyle name="Normal 2 2 2 2 119 4" xfId="8481"/>
    <cellStyle name="Normal 2 2 2 2 119 5" xfId="8482"/>
    <cellStyle name="Normal 2 2 2 2 119 6" xfId="8483"/>
    <cellStyle name="Normal 2 2 2 2 119 7" xfId="8484"/>
    <cellStyle name="Normal 2 2 2 2 119 8" xfId="8485"/>
    <cellStyle name="Normal 2 2 2 2 12" xfId="8486"/>
    <cellStyle name="Normal 2 2 2 2 12 2" xfId="8487"/>
    <cellStyle name="Normal 2 2 2 2 12 3" xfId="8488"/>
    <cellStyle name="Normal 2 2 2 2 12 4" xfId="8489"/>
    <cellStyle name="Normal 2 2 2 2 12 5" xfId="8490"/>
    <cellStyle name="Normal 2 2 2 2 12 6" xfId="8491"/>
    <cellStyle name="Normal 2 2 2 2 12 7" xfId="8492"/>
    <cellStyle name="Normal 2 2 2 2 12 8" xfId="8493"/>
    <cellStyle name="Normal 2 2 2 2 120" xfId="8494"/>
    <cellStyle name="Normal 2 2 2 2 120 2" xfId="8495"/>
    <cellStyle name="Normal 2 2 2 2 120 3" xfId="8496"/>
    <cellStyle name="Normal 2 2 2 2 120 4" xfId="8497"/>
    <cellStyle name="Normal 2 2 2 2 120 5" xfId="8498"/>
    <cellStyle name="Normal 2 2 2 2 120 6" xfId="8499"/>
    <cellStyle name="Normal 2 2 2 2 120 7" xfId="8500"/>
    <cellStyle name="Normal 2 2 2 2 120 8" xfId="8501"/>
    <cellStyle name="Normal 2 2 2 2 121" xfId="8502"/>
    <cellStyle name="Normal 2 2 2 2 121 2" xfId="8503"/>
    <cellStyle name="Normal 2 2 2 2 121 3" xfId="8504"/>
    <cellStyle name="Normal 2 2 2 2 121 4" xfId="8505"/>
    <cellStyle name="Normal 2 2 2 2 121 5" xfId="8506"/>
    <cellStyle name="Normal 2 2 2 2 121 6" xfId="8507"/>
    <cellStyle name="Normal 2 2 2 2 121 7" xfId="8508"/>
    <cellStyle name="Normal 2 2 2 2 121 8" xfId="8509"/>
    <cellStyle name="Normal 2 2 2 2 122" xfId="8510"/>
    <cellStyle name="Normal 2 2 2 2 122 2" xfId="8511"/>
    <cellStyle name="Normal 2 2 2 2 122 3" xfId="8512"/>
    <cellStyle name="Normal 2 2 2 2 122 4" xfId="8513"/>
    <cellStyle name="Normal 2 2 2 2 122 5" xfId="8514"/>
    <cellStyle name="Normal 2 2 2 2 122 6" xfId="8515"/>
    <cellStyle name="Normal 2 2 2 2 122 7" xfId="8516"/>
    <cellStyle name="Normal 2 2 2 2 122 8" xfId="8517"/>
    <cellStyle name="Normal 2 2 2 2 123" xfId="8518"/>
    <cellStyle name="Normal 2 2 2 2 123 2" xfId="8519"/>
    <cellStyle name="Normal 2 2 2 2 123 3" xfId="8520"/>
    <cellStyle name="Normal 2 2 2 2 123 4" xfId="8521"/>
    <cellStyle name="Normal 2 2 2 2 123 5" xfId="8522"/>
    <cellStyle name="Normal 2 2 2 2 123 6" xfId="8523"/>
    <cellStyle name="Normal 2 2 2 2 123 7" xfId="8524"/>
    <cellStyle name="Normal 2 2 2 2 123 8" xfId="8525"/>
    <cellStyle name="Normal 2 2 2 2 124" xfId="8526"/>
    <cellStyle name="Normal 2 2 2 2 124 2" xfId="8527"/>
    <cellStyle name="Normal 2 2 2 2 124 3" xfId="8528"/>
    <cellStyle name="Normal 2 2 2 2 124 4" xfId="8529"/>
    <cellStyle name="Normal 2 2 2 2 124 5" xfId="8530"/>
    <cellStyle name="Normal 2 2 2 2 124 6" xfId="8531"/>
    <cellStyle name="Normal 2 2 2 2 124 7" xfId="8532"/>
    <cellStyle name="Normal 2 2 2 2 124 8" xfId="8533"/>
    <cellStyle name="Normal 2 2 2 2 125" xfId="8534"/>
    <cellStyle name="Normal 2 2 2 2 125 2" xfId="8535"/>
    <cellStyle name="Normal 2 2 2 2 125 3" xfId="8536"/>
    <cellStyle name="Normal 2 2 2 2 125 4" xfId="8537"/>
    <cellStyle name="Normal 2 2 2 2 125 5" xfId="8538"/>
    <cellStyle name="Normal 2 2 2 2 125 6" xfId="8539"/>
    <cellStyle name="Normal 2 2 2 2 125 7" xfId="8540"/>
    <cellStyle name="Normal 2 2 2 2 125 8" xfId="8541"/>
    <cellStyle name="Normal 2 2 2 2 126" xfId="8542"/>
    <cellStyle name="Normal 2 2 2 2 126 2" xfId="8543"/>
    <cellStyle name="Normal 2 2 2 2 126 3" xfId="8544"/>
    <cellStyle name="Normal 2 2 2 2 126 4" xfId="8545"/>
    <cellStyle name="Normal 2 2 2 2 126 5" xfId="8546"/>
    <cellStyle name="Normal 2 2 2 2 126 6" xfId="8547"/>
    <cellStyle name="Normal 2 2 2 2 126 7" xfId="8548"/>
    <cellStyle name="Normal 2 2 2 2 126 8" xfId="8549"/>
    <cellStyle name="Normal 2 2 2 2 127" xfId="8550"/>
    <cellStyle name="Normal 2 2 2 2 127 2" xfId="8551"/>
    <cellStyle name="Normal 2 2 2 2 127 3" xfId="8552"/>
    <cellStyle name="Normal 2 2 2 2 127 4" xfId="8553"/>
    <cellStyle name="Normal 2 2 2 2 127 5" xfId="8554"/>
    <cellStyle name="Normal 2 2 2 2 127 6" xfId="8555"/>
    <cellStyle name="Normal 2 2 2 2 127 7" xfId="8556"/>
    <cellStyle name="Normal 2 2 2 2 127 8" xfId="8557"/>
    <cellStyle name="Normal 2 2 2 2 128" xfId="8558"/>
    <cellStyle name="Normal 2 2 2 2 128 2" xfId="8559"/>
    <cellStyle name="Normal 2 2 2 2 128 3" xfId="8560"/>
    <cellStyle name="Normal 2 2 2 2 128 4" xfId="8561"/>
    <cellStyle name="Normal 2 2 2 2 128 5" xfId="8562"/>
    <cellStyle name="Normal 2 2 2 2 128 6" xfId="8563"/>
    <cellStyle name="Normal 2 2 2 2 128 7" xfId="8564"/>
    <cellStyle name="Normal 2 2 2 2 128 8" xfId="8565"/>
    <cellStyle name="Normal 2 2 2 2 129" xfId="8566"/>
    <cellStyle name="Normal 2 2 2 2 129 2" xfId="8567"/>
    <cellStyle name="Normal 2 2 2 2 129 3" xfId="8568"/>
    <cellStyle name="Normal 2 2 2 2 129 4" xfId="8569"/>
    <cellStyle name="Normal 2 2 2 2 129 5" xfId="8570"/>
    <cellStyle name="Normal 2 2 2 2 129 6" xfId="8571"/>
    <cellStyle name="Normal 2 2 2 2 129 7" xfId="8572"/>
    <cellStyle name="Normal 2 2 2 2 129 8" xfId="8573"/>
    <cellStyle name="Normal 2 2 2 2 13" xfId="8574"/>
    <cellStyle name="Normal 2 2 2 2 13 2" xfId="8575"/>
    <cellStyle name="Normal 2 2 2 2 13 3" xfId="8576"/>
    <cellStyle name="Normal 2 2 2 2 13 4" xfId="8577"/>
    <cellStyle name="Normal 2 2 2 2 13 5" xfId="8578"/>
    <cellStyle name="Normal 2 2 2 2 13 6" xfId="8579"/>
    <cellStyle name="Normal 2 2 2 2 13 7" xfId="8580"/>
    <cellStyle name="Normal 2 2 2 2 13 8" xfId="8581"/>
    <cellStyle name="Normal 2 2 2 2 130" xfId="8582"/>
    <cellStyle name="Normal 2 2 2 2 131" xfId="8583"/>
    <cellStyle name="Normal 2 2 2 2 14" xfId="8584"/>
    <cellStyle name="Normal 2 2 2 2 14 2" xfId="8585"/>
    <cellStyle name="Normal 2 2 2 2 14 3" xfId="8586"/>
    <cellStyle name="Normal 2 2 2 2 14 4" xfId="8587"/>
    <cellStyle name="Normal 2 2 2 2 14 5" xfId="8588"/>
    <cellStyle name="Normal 2 2 2 2 14 6" xfId="8589"/>
    <cellStyle name="Normal 2 2 2 2 14 7" xfId="8590"/>
    <cellStyle name="Normal 2 2 2 2 14 8" xfId="8591"/>
    <cellStyle name="Normal 2 2 2 2 15" xfId="8592"/>
    <cellStyle name="Normal 2 2 2 2 15 2" xfId="8593"/>
    <cellStyle name="Normal 2 2 2 2 15 3" xfId="8594"/>
    <cellStyle name="Normal 2 2 2 2 15 4" xfId="8595"/>
    <cellStyle name="Normal 2 2 2 2 15 5" xfId="8596"/>
    <cellStyle name="Normal 2 2 2 2 15 6" xfId="8597"/>
    <cellStyle name="Normal 2 2 2 2 15 7" xfId="8598"/>
    <cellStyle name="Normal 2 2 2 2 15 8" xfId="8599"/>
    <cellStyle name="Normal 2 2 2 2 16" xfId="8600"/>
    <cellStyle name="Normal 2 2 2 2 16 2" xfId="8601"/>
    <cellStyle name="Normal 2 2 2 2 16 3" xfId="8602"/>
    <cellStyle name="Normal 2 2 2 2 16 4" xfId="8603"/>
    <cellStyle name="Normal 2 2 2 2 16 5" xfId="8604"/>
    <cellStyle name="Normal 2 2 2 2 16 6" xfId="8605"/>
    <cellStyle name="Normal 2 2 2 2 16 7" xfId="8606"/>
    <cellStyle name="Normal 2 2 2 2 16 8" xfId="8607"/>
    <cellStyle name="Normal 2 2 2 2 17" xfId="8608"/>
    <cellStyle name="Normal 2 2 2 2 17 2" xfId="8609"/>
    <cellStyle name="Normal 2 2 2 2 17 3" xfId="8610"/>
    <cellStyle name="Normal 2 2 2 2 17 4" xfId="8611"/>
    <cellStyle name="Normal 2 2 2 2 17 5" xfId="8612"/>
    <cellStyle name="Normal 2 2 2 2 17 6" xfId="8613"/>
    <cellStyle name="Normal 2 2 2 2 17 7" xfId="8614"/>
    <cellStyle name="Normal 2 2 2 2 17 8" xfId="8615"/>
    <cellStyle name="Normal 2 2 2 2 18" xfId="8616"/>
    <cellStyle name="Normal 2 2 2 2 18 2" xfId="8617"/>
    <cellStyle name="Normal 2 2 2 2 18 3" xfId="8618"/>
    <cellStyle name="Normal 2 2 2 2 18 4" xfId="8619"/>
    <cellStyle name="Normal 2 2 2 2 18 5" xfId="8620"/>
    <cellStyle name="Normal 2 2 2 2 18 6" xfId="8621"/>
    <cellStyle name="Normal 2 2 2 2 18 7" xfId="8622"/>
    <cellStyle name="Normal 2 2 2 2 18 8" xfId="8623"/>
    <cellStyle name="Normal 2 2 2 2 19" xfId="8624"/>
    <cellStyle name="Normal 2 2 2 2 19 2" xfId="8625"/>
    <cellStyle name="Normal 2 2 2 2 19 3" xfId="8626"/>
    <cellStyle name="Normal 2 2 2 2 19 4" xfId="8627"/>
    <cellStyle name="Normal 2 2 2 2 19 5" xfId="8628"/>
    <cellStyle name="Normal 2 2 2 2 19 6" xfId="8629"/>
    <cellStyle name="Normal 2 2 2 2 19 7" xfId="8630"/>
    <cellStyle name="Normal 2 2 2 2 19 8" xfId="8631"/>
    <cellStyle name="Normal 2 2 2 2 2" xfId="8632"/>
    <cellStyle name="Normal 2 2 2 2 2 10" xfId="8633"/>
    <cellStyle name="Normal 2 2 2 2 2 10 2" xfId="8634"/>
    <cellStyle name="Normal 2 2 2 2 2 10 2 2" xfId="8635"/>
    <cellStyle name="Normal 2 2 2 2 2 10 2 3" xfId="8636"/>
    <cellStyle name="Normal 2 2 2 2 2 10 2 4" xfId="8637"/>
    <cellStyle name="Normal 2 2 2 2 2 10 2 5" xfId="8638"/>
    <cellStyle name="Normal 2 2 2 2 2 10 2 6" xfId="8639"/>
    <cellStyle name="Normal 2 2 2 2 2 10 3" xfId="8640"/>
    <cellStyle name="Normal 2 2 2 2 2 10 3 2" xfId="8641"/>
    <cellStyle name="Normal 2 2 2 2 2 10 3 3" xfId="8642"/>
    <cellStyle name="Normal 2 2 2 2 2 10 3 4" xfId="8643"/>
    <cellStyle name="Normal 2 2 2 2 2 10 3 5" xfId="8644"/>
    <cellStyle name="Normal 2 2 2 2 2 10 3 6" xfId="8645"/>
    <cellStyle name="Normal 2 2 2 2 2 100" xfId="8646"/>
    <cellStyle name="Normal 2 2 2 2 2 100 2" xfId="8647"/>
    <cellStyle name="Normal 2 2 2 2 2 100 2 2" xfId="8648"/>
    <cellStyle name="Normal 2 2 2 2 2 100 2 3" xfId="8649"/>
    <cellStyle name="Normal 2 2 2 2 2 100 2 4" xfId="8650"/>
    <cellStyle name="Normal 2 2 2 2 2 100 2 5" xfId="8651"/>
    <cellStyle name="Normal 2 2 2 2 2 100 2 6" xfId="8652"/>
    <cellStyle name="Normal 2 2 2 2 2 100 3" xfId="8653"/>
    <cellStyle name="Normal 2 2 2 2 2 100 3 2" xfId="8654"/>
    <cellStyle name="Normal 2 2 2 2 2 100 3 3" xfId="8655"/>
    <cellStyle name="Normal 2 2 2 2 2 100 3 4" xfId="8656"/>
    <cellStyle name="Normal 2 2 2 2 2 100 3 5" xfId="8657"/>
    <cellStyle name="Normal 2 2 2 2 2 100 3 6" xfId="8658"/>
    <cellStyle name="Normal 2 2 2 2 2 101" xfId="8659"/>
    <cellStyle name="Normal 2 2 2 2 2 101 2" xfId="8660"/>
    <cellStyle name="Normal 2 2 2 2 2 101 2 2" xfId="8661"/>
    <cellStyle name="Normal 2 2 2 2 2 101 2 3" xfId="8662"/>
    <cellStyle name="Normal 2 2 2 2 2 101 2 4" xfId="8663"/>
    <cellStyle name="Normal 2 2 2 2 2 101 2 5" xfId="8664"/>
    <cellStyle name="Normal 2 2 2 2 2 101 2 6" xfId="8665"/>
    <cellStyle name="Normal 2 2 2 2 2 101 3" xfId="8666"/>
    <cellStyle name="Normal 2 2 2 2 2 101 3 2" xfId="8667"/>
    <cellStyle name="Normal 2 2 2 2 2 101 3 3" xfId="8668"/>
    <cellStyle name="Normal 2 2 2 2 2 101 3 4" xfId="8669"/>
    <cellStyle name="Normal 2 2 2 2 2 101 3 5" xfId="8670"/>
    <cellStyle name="Normal 2 2 2 2 2 101 3 6" xfId="8671"/>
    <cellStyle name="Normal 2 2 2 2 2 102" xfId="8672"/>
    <cellStyle name="Normal 2 2 2 2 2 102 2" xfId="8673"/>
    <cellStyle name="Normal 2 2 2 2 2 102 2 2" xfId="8674"/>
    <cellStyle name="Normal 2 2 2 2 2 102 2 3" xfId="8675"/>
    <cellStyle name="Normal 2 2 2 2 2 102 2 4" xfId="8676"/>
    <cellStyle name="Normal 2 2 2 2 2 102 2 5" xfId="8677"/>
    <cellStyle name="Normal 2 2 2 2 2 102 2 6" xfId="8678"/>
    <cellStyle name="Normal 2 2 2 2 2 102 3" xfId="8679"/>
    <cellStyle name="Normal 2 2 2 2 2 102 3 2" xfId="8680"/>
    <cellStyle name="Normal 2 2 2 2 2 102 3 3" xfId="8681"/>
    <cellStyle name="Normal 2 2 2 2 2 102 3 4" xfId="8682"/>
    <cellStyle name="Normal 2 2 2 2 2 102 3 5" xfId="8683"/>
    <cellStyle name="Normal 2 2 2 2 2 102 3 6" xfId="8684"/>
    <cellStyle name="Normal 2 2 2 2 2 103" xfId="8685"/>
    <cellStyle name="Normal 2 2 2 2 2 103 2" xfId="8686"/>
    <cellStyle name="Normal 2 2 2 2 2 103 2 2" xfId="8687"/>
    <cellStyle name="Normal 2 2 2 2 2 103 2 3" xfId="8688"/>
    <cellStyle name="Normal 2 2 2 2 2 103 2 4" xfId="8689"/>
    <cellStyle name="Normal 2 2 2 2 2 103 2 5" xfId="8690"/>
    <cellStyle name="Normal 2 2 2 2 2 103 2 6" xfId="8691"/>
    <cellStyle name="Normal 2 2 2 2 2 103 3" xfId="8692"/>
    <cellStyle name="Normal 2 2 2 2 2 103 3 2" xfId="8693"/>
    <cellStyle name="Normal 2 2 2 2 2 103 3 3" xfId="8694"/>
    <cellStyle name="Normal 2 2 2 2 2 103 3 4" xfId="8695"/>
    <cellStyle name="Normal 2 2 2 2 2 103 3 5" xfId="8696"/>
    <cellStyle name="Normal 2 2 2 2 2 103 3 6" xfId="8697"/>
    <cellStyle name="Normal 2 2 2 2 2 104" xfId="8698"/>
    <cellStyle name="Normal 2 2 2 2 2 104 2" xfId="8699"/>
    <cellStyle name="Normal 2 2 2 2 2 104 2 2" xfId="8700"/>
    <cellStyle name="Normal 2 2 2 2 2 104 2 3" xfId="8701"/>
    <cellStyle name="Normal 2 2 2 2 2 104 2 4" xfId="8702"/>
    <cellStyle name="Normal 2 2 2 2 2 104 2 5" xfId="8703"/>
    <cellStyle name="Normal 2 2 2 2 2 104 2 6" xfId="8704"/>
    <cellStyle name="Normal 2 2 2 2 2 104 3" xfId="8705"/>
    <cellStyle name="Normal 2 2 2 2 2 104 3 2" xfId="8706"/>
    <cellStyle name="Normal 2 2 2 2 2 104 3 3" xfId="8707"/>
    <cellStyle name="Normal 2 2 2 2 2 104 3 4" xfId="8708"/>
    <cellStyle name="Normal 2 2 2 2 2 104 3 5" xfId="8709"/>
    <cellStyle name="Normal 2 2 2 2 2 104 3 6" xfId="8710"/>
    <cellStyle name="Normal 2 2 2 2 2 105" xfId="8711"/>
    <cellStyle name="Normal 2 2 2 2 2 105 2" xfId="8712"/>
    <cellStyle name="Normal 2 2 2 2 2 105 2 2" xfId="8713"/>
    <cellStyle name="Normal 2 2 2 2 2 105 2 3" xfId="8714"/>
    <cellStyle name="Normal 2 2 2 2 2 105 2 4" xfId="8715"/>
    <cellStyle name="Normal 2 2 2 2 2 105 2 5" xfId="8716"/>
    <cellStyle name="Normal 2 2 2 2 2 105 2 6" xfId="8717"/>
    <cellStyle name="Normal 2 2 2 2 2 105 3" xfId="8718"/>
    <cellStyle name="Normal 2 2 2 2 2 105 3 2" xfId="8719"/>
    <cellStyle name="Normal 2 2 2 2 2 105 3 3" xfId="8720"/>
    <cellStyle name="Normal 2 2 2 2 2 105 3 4" xfId="8721"/>
    <cellStyle name="Normal 2 2 2 2 2 105 3 5" xfId="8722"/>
    <cellStyle name="Normal 2 2 2 2 2 105 3 6" xfId="8723"/>
    <cellStyle name="Normal 2 2 2 2 2 106" xfId="8724"/>
    <cellStyle name="Normal 2 2 2 2 2 106 2" xfId="8725"/>
    <cellStyle name="Normal 2 2 2 2 2 106 2 2" xfId="8726"/>
    <cellStyle name="Normal 2 2 2 2 2 106 2 3" xfId="8727"/>
    <cellStyle name="Normal 2 2 2 2 2 106 2 4" xfId="8728"/>
    <cellStyle name="Normal 2 2 2 2 2 106 2 5" xfId="8729"/>
    <cellStyle name="Normal 2 2 2 2 2 106 2 6" xfId="8730"/>
    <cellStyle name="Normal 2 2 2 2 2 106 3" xfId="8731"/>
    <cellStyle name="Normal 2 2 2 2 2 106 3 2" xfId="8732"/>
    <cellStyle name="Normal 2 2 2 2 2 106 3 3" xfId="8733"/>
    <cellStyle name="Normal 2 2 2 2 2 106 3 4" xfId="8734"/>
    <cellStyle name="Normal 2 2 2 2 2 106 3 5" xfId="8735"/>
    <cellStyle name="Normal 2 2 2 2 2 106 3 6" xfId="8736"/>
    <cellStyle name="Normal 2 2 2 2 2 107" xfId="8737"/>
    <cellStyle name="Normal 2 2 2 2 2 107 2" xfId="8738"/>
    <cellStyle name="Normal 2 2 2 2 2 107 2 2" xfId="8739"/>
    <cellStyle name="Normal 2 2 2 2 2 107 2 3" xfId="8740"/>
    <cellStyle name="Normal 2 2 2 2 2 107 2 4" xfId="8741"/>
    <cellStyle name="Normal 2 2 2 2 2 107 2 5" xfId="8742"/>
    <cellStyle name="Normal 2 2 2 2 2 107 2 6" xfId="8743"/>
    <cellStyle name="Normal 2 2 2 2 2 107 3" xfId="8744"/>
    <cellStyle name="Normal 2 2 2 2 2 107 3 2" xfId="8745"/>
    <cellStyle name="Normal 2 2 2 2 2 107 3 3" xfId="8746"/>
    <cellStyle name="Normal 2 2 2 2 2 107 3 4" xfId="8747"/>
    <cellStyle name="Normal 2 2 2 2 2 107 3 5" xfId="8748"/>
    <cellStyle name="Normal 2 2 2 2 2 107 3 6" xfId="8749"/>
    <cellStyle name="Normal 2 2 2 2 2 108" xfId="8750"/>
    <cellStyle name="Normal 2 2 2 2 2 108 2" xfId="8751"/>
    <cellStyle name="Normal 2 2 2 2 2 108 2 2" xfId="8752"/>
    <cellStyle name="Normal 2 2 2 2 2 108 2 3" xfId="8753"/>
    <cellStyle name="Normal 2 2 2 2 2 108 2 4" xfId="8754"/>
    <cellStyle name="Normal 2 2 2 2 2 108 2 5" xfId="8755"/>
    <cellStyle name="Normal 2 2 2 2 2 108 2 6" xfId="8756"/>
    <cellStyle name="Normal 2 2 2 2 2 108 3" xfId="8757"/>
    <cellStyle name="Normal 2 2 2 2 2 108 3 2" xfId="8758"/>
    <cellStyle name="Normal 2 2 2 2 2 108 3 3" xfId="8759"/>
    <cellStyle name="Normal 2 2 2 2 2 108 3 4" xfId="8760"/>
    <cellStyle name="Normal 2 2 2 2 2 108 3 5" xfId="8761"/>
    <cellStyle name="Normal 2 2 2 2 2 108 3 6" xfId="8762"/>
    <cellStyle name="Normal 2 2 2 2 2 109" xfId="8763"/>
    <cellStyle name="Normal 2 2 2 2 2 109 2" xfId="8764"/>
    <cellStyle name="Normal 2 2 2 2 2 109 2 2" xfId="8765"/>
    <cellStyle name="Normal 2 2 2 2 2 109 2 3" xfId="8766"/>
    <cellStyle name="Normal 2 2 2 2 2 109 2 4" xfId="8767"/>
    <cellStyle name="Normal 2 2 2 2 2 109 2 5" xfId="8768"/>
    <cellStyle name="Normal 2 2 2 2 2 109 2 6" xfId="8769"/>
    <cellStyle name="Normal 2 2 2 2 2 109 3" xfId="8770"/>
    <cellStyle name="Normal 2 2 2 2 2 109 3 2" xfId="8771"/>
    <cellStyle name="Normal 2 2 2 2 2 109 3 3" xfId="8772"/>
    <cellStyle name="Normal 2 2 2 2 2 109 3 4" xfId="8773"/>
    <cellStyle name="Normal 2 2 2 2 2 109 3 5" xfId="8774"/>
    <cellStyle name="Normal 2 2 2 2 2 109 3 6" xfId="8775"/>
    <cellStyle name="Normal 2 2 2 2 2 11" xfId="8776"/>
    <cellStyle name="Normal 2 2 2 2 2 11 2" xfId="8777"/>
    <cellStyle name="Normal 2 2 2 2 2 11 2 2" xfId="8778"/>
    <cellStyle name="Normal 2 2 2 2 2 11 2 3" xfId="8779"/>
    <cellStyle name="Normal 2 2 2 2 2 11 2 4" xfId="8780"/>
    <cellStyle name="Normal 2 2 2 2 2 11 2 5" xfId="8781"/>
    <cellStyle name="Normal 2 2 2 2 2 11 2 6" xfId="8782"/>
    <cellStyle name="Normal 2 2 2 2 2 11 3" xfId="8783"/>
    <cellStyle name="Normal 2 2 2 2 2 11 3 2" xfId="8784"/>
    <cellStyle name="Normal 2 2 2 2 2 11 3 3" xfId="8785"/>
    <cellStyle name="Normal 2 2 2 2 2 11 3 4" xfId="8786"/>
    <cellStyle name="Normal 2 2 2 2 2 11 3 5" xfId="8787"/>
    <cellStyle name="Normal 2 2 2 2 2 11 3 6" xfId="8788"/>
    <cellStyle name="Normal 2 2 2 2 2 110" xfId="8789"/>
    <cellStyle name="Normal 2 2 2 2 2 110 2" xfId="8790"/>
    <cellStyle name="Normal 2 2 2 2 2 110 2 2" xfId="8791"/>
    <cellStyle name="Normal 2 2 2 2 2 110 2 3" xfId="8792"/>
    <cellStyle name="Normal 2 2 2 2 2 110 2 4" xfId="8793"/>
    <cellStyle name="Normal 2 2 2 2 2 110 2 5" xfId="8794"/>
    <cellStyle name="Normal 2 2 2 2 2 110 2 6" xfId="8795"/>
    <cellStyle name="Normal 2 2 2 2 2 110 3" xfId="8796"/>
    <cellStyle name="Normal 2 2 2 2 2 110 3 2" xfId="8797"/>
    <cellStyle name="Normal 2 2 2 2 2 110 3 3" xfId="8798"/>
    <cellStyle name="Normal 2 2 2 2 2 110 3 4" xfId="8799"/>
    <cellStyle name="Normal 2 2 2 2 2 110 3 5" xfId="8800"/>
    <cellStyle name="Normal 2 2 2 2 2 110 3 6" xfId="8801"/>
    <cellStyle name="Normal 2 2 2 2 2 111" xfId="8802"/>
    <cellStyle name="Normal 2 2 2 2 2 111 2" xfId="8803"/>
    <cellStyle name="Normal 2 2 2 2 2 111 2 2" xfId="8804"/>
    <cellStyle name="Normal 2 2 2 2 2 111 2 3" xfId="8805"/>
    <cellStyle name="Normal 2 2 2 2 2 111 2 4" xfId="8806"/>
    <cellStyle name="Normal 2 2 2 2 2 111 2 5" xfId="8807"/>
    <cellStyle name="Normal 2 2 2 2 2 111 2 6" xfId="8808"/>
    <cellStyle name="Normal 2 2 2 2 2 111 3" xfId="8809"/>
    <cellStyle name="Normal 2 2 2 2 2 111 3 2" xfId="8810"/>
    <cellStyle name="Normal 2 2 2 2 2 111 3 3" xfId="8811"/>
    <cellStyle name="Normal 2 2 2 2 2 111 3 4" xfId="8812"/>
    <cellStyle name="Normal 2 2 2 2 2 111 3 5" xfId="8813"/>
    <cellStyle name="Normal 2 2 2 2 2 111 3 6" xfId="8814"/>
    <cellStyle name="Normal 2 2 2 2 2 112" xfId="8815"/>
    <cellStyle name="Normal 2 2 2 2 2 112 2" xfId="8816"/>
    <cellStyle name="Normal 2 2 2 2 2 112 2 2" xfId="8817"/>
    <cellStyle name="Normal 2 2 2 2 2 112 2 3" xfId="8818"/>
    <cellStyle name="Normal 2 2 2 2 2 112 2 4" xfId="8819"/>
    <cellStyle name="Normal 2 2 2 2 2 112 2 5" xfId="8820"/>
    <cellStyle name="Normal 2 2 2 2 2 112 2 6" xfId="8821"/>
    <cellStyle name="Normal 2 2 2 2 2 112 3" xfId="8822"/>
    <cellStyle name="Normal 2 2 2 2 2 112 3 2" xfId="8823"/>
    <cellStyle name="Normal 2 2 2 2 2 112 3 3" xfId="8824"/>
    <cellStyle name="Normal 2 2 2 2 2 112 3 4" xfId="8825"/>
    <cellStyle name="Normal 2 2 2 2 2 112 3 5" xfId="8826"/>
    <cellStyle name="Normal 2 2 2 2 2 112 3 6" xfId="8827"/>
    <cellStyle name="Normal 2 2 2 2 2 113" xfId="8828"/>
    <cellStyle name="Normal 2 2 2 2 2 113 2" xfId="8829"/>
    <cellStyle name="Normal 2 2 2 2 2 113 2 2" xfId="8830"/>
    <cellStyle name="Normal 2 2 2 2 2 113 2 3" xfId="8831"/>
    <cellStyle name="Normal 2 2 2 2 2 113 2 4" xfId="8832"/>
    <cellStyle name="Normal 2 2 2 2 2 113 2 5" xfId="8833"/>
    <cellStyle name="Normal 2 2 2 2 2 113 2 6" xfId="8834"/>
    <cellStyle name="Normal 2 2 2 2 2 113 3" xfId="8835"/>
    <cellStyle name="Normal 2 2 2 2 2 113 3 2" xfId="8836"/>
    <cellStyle name="Normal 2 2 2 2 2 113 3 3" xfId="8837"/>
    <cellStyle name="Normal 2 2 2 2 2 113 3 4" xfId="8838"/>
    <cellStyle name="Normal 2 2 2 2 2 113 3 5" xfId="8839"/>
    <cellStyle name="Normal 2 2 2 2 2 113 3 6" xfId="8840"/>
    <cellStyle name="Normal 2 2 2 2 2 114" xfId="8841"/>
    <cellStyle name="Normal 2 2 2 2 2 114 2" xfId="8842"/>
    <cellStyle name="Normal 2 2 2 2 2 114 2 2" xfId="8843"/>
    <cellStyle name="Normal 2 2 2 2 2 114 2 3" xfId="8844"/>
    <cellStyle name="Normal 2 2 2 2 2 114 2 4" xfId="8845"/>
    <cellStyle name="Normal 2 2 2 2 2 114 2 5" xfId="8846"/>
    <cellStyle name="Normal 2 2 2 2 2 114 2 6" xfId="8847"/>
    <cellStyle name="Normal 2 2 2 2 2 114 3" xfId="8848"/>
    <cellStyle name="Normal 2 2 2 2 2 114 3 2" xfId="8849"/>
    <cellStyle name="Normal 2 2 2 2 2 114 3 3" xfId="8850"/>
    <cellStyle name="Normal 2 2 2 2 2 114 3 4" xfId="8851"/>
    <cellStyle name="Normal 2 2 2 2 2 114 3 5" xfId="8852"/>
    <cellStyle name="Normal 2 2 2 2 2 114 3 6" xfId="8853"/>
    <cellStyle name="Normal 2 2 2 2 2 115" xfId="8854"/>
    <cellStyle name="Normal 2 2 2 2 2 115 2" xfId="8855"/>
    <cellStyle name="Normal 2 2 2 2 2 115 2 2" xfId="8856"/>
    <cellStyle name="Normal 2 2 2 2 2 115 2 3" xfId="8857"/>
    <cellStyle name="Normal 2 2 2 2 2 115 2 4" xfId="8858"/>
    <cellStyle name="Normal 2 2 2 2 2 115 2 5" xfId="8859"/>
    <cellStyle name="Normal 2 2 2 2 2 115 2 6" xfId="8860"/>
    <cellStyle name="Normal 2 2 2 2 2 115 3" xfId="8861"/>
    <cellStyle name="Normal 2 2 2 2 2 115 3 2" xfId="8862"/>
    <cellStyle name="Normal 2 2 2 2 2 115 3 3" xfId="8863"/>
    <cellStyle name="Normal 2 2 2 2 2 115 3 4" xfId="8864"/>
    <cellStyle name="Normal 2 2 2 2 2 115 3 5" xfId="8865"/>
    <cellStyle name="Normal 2 2 2 2 2 115 3 6" xfId="8866"/>
    <cellStyle name="Normal 2 2 2 2 2 116" xfId="8867"/>
    <cellStyle name="Normal 2 2 2 2 2 116 2" xfId="8868"/>
    <cellStyle name="Normal 2 2 2 2 2 116 2 2" xfId="8869"/>
    <cellStyle name="Normal 2 2 2 2 2 116 2 3" xfId="8870"/>
    <cellStyle name="Normal 2 2 2 2 2 116 2 4" xfId="8871"/>
    <cellStyle name="Normal 2 2 2 2 2 116 2 5" xfId="8872"/>
    <cellStyle name="Normal 2 2 2 2 2 116 2 6" xfId="8873"/>
    <cellStyle name="Normal 2 2 2 2 2 116 3" xfId="8874"/>
    <cellStyle name="Normal 2 2 2 2 2 116 3 2" xfId="8875"/>
    <cellStyle name="Normal 2 2 2 2 2 116 3 3" xfId="8876"/>
    <cellStyle name="Normal 2 2 2 2 2 116 3 4" xfId="8877"/>
    <cellStyle name="Normal 2 2 2 2 2 116 3 5" xfId="8878"/>
    <cellStyle name="Normal 2 2 2 2 2 116 3 6" xfId="8879"/>
    <cellStyle name="Normal 2 2 2 2 2 117" xfId="8880"/>
    <cellStyle name="Normal 2 2 2 2 2 117 2" xfId="8881"/>
    <cellStyle name="Normal 2 2 2 2 2 117 2 2" xfId="8882"/>
    <cellStyle name="Normal 2 2 2 2 2 117 2 3" xfId="8883"/>
    <cellStyle name="Normal 2 2 2 2 2 117 2 4" xfId="8884"/>
    <cellStyle name="Normal 2 2 2 2 2 117 2 5" xfId="8885"/>
    <cellStyle name="Normal 2 2 2 2 2 117 2 6" xfId="8886"/>
    <cellStyle name="Normal 2 2 2 2 2 117 3" xfId="8887"/>
    <cellStyle name="Normal 2 2 2 2 2 117 3 2" xfId="8888"/>
    <cellStyle name="Normal 2 2 2 2 2 117 3 3" xfId="8889"/>
    <cellStyle name="Normal 2 2 2 2 2 117 3 4" xfId="8890"/>
    <cellStyle name="Normal 2 2 2 2 2 117 3 5" xfId="8891"/>
    <cellStyle name="Normal 2 2 2 2 2 117 3 6" xfId="8892"/>
    <cellStyle name="Normal 2 2 2 2 2 118" xfId="8893"/>
    <cellStyle name="Normal 2 2 2 2 2 118 2" xfId="8894"/>
    <cellStyle name="Normal 2 2 2 2 2 118 2 2" xfId="8895"/>
    <cellStyle name="Normal 2 2 2 2 2 118 2 3" xfId="8896"/>
    <cellStyle name="Normal 2 2 2 2 2 118 2 4" xfId="8897"/>
    <cellStyle name="Normal 2 2 2 2 2 118 2 5" xfId="8898"/>
    <cellStyle name="Normal 2 2 2 2 2 118 2 6" xfId="8899"/>
    <cellStyle name="Normal 2 2 2 2 2 118 3" xfId="8900"/>
    <cellStyle name="Normal 2 2 2 2 2 118 3 2" xfId="8901"/>
    <cellStyle name="Normal 2 2 2 2 2 118 3 3" xfId="8902"/>
    <cellStyle name="Normal 2 2 2 2 2 118 3 4" xfId="8903"/>
    <cellStyle name="Normal 2 2 2 2 2 118 3 5" xfId="8904"/>
    <cellStyle name="Normal 2 2 2 2 2 118 3 6" xfId="8905"/>
    <cellStyle name="Normal 2 2 2 2 2 119" xfId="8906"/>
    <cellStyle name="Normal 2 2 2 2 2 119 2" xfId="8907"/>
    <cellStyle name="Normal 2 2 2 2 2 119 2 2" xfId="8908"/>
    <cellStyle name="Normal 2 2 2 2 2 119 2 3" xfId="8909"/>
    <cellStyle name="Normal 2 2 2 2 2 119 2 4" xfId="8910"/>
    <cellStyle name="Normal 2 2 2 2 2 119 2 5" xfId="8911"/>
    <cellStyle name="Normal 2 2 2 2 2 119 2 6" xfId="8912"/>
    <cellStyle name="Normal 2 2 2 2 2 119 3" xfId="8913"/>
    <cellStyle name="Normal 2 2 2 2 2 119 3 2" xfId="8914"/>
    <cellStyle name="Normal 2 2 2 2 2 119 3 3" xfId="8915"/>
    <cellStyle name="Normal 2 2 2 2 2 119 3 4" xfId="8916"/>
    <cellStyle name="Normal 2 2 2 2 2 119 3 5" xfId="8917"/>
    <cellStyle name="Normal 2 2 2 2 2 119 3 6" xfId="8918"/>
    <cellStyle name="Normal 2 2 2 2 2 12" xfId="8919"/>
    <cellStyle name="Normal 2 2 2 2 2 12 2" xfId="8920"/>
    <cellStyle name="Normal 2 2 2 2 2 12 2 2" xfId="8921"/>
    <cellStyle name="Normal 2 2 2 2 2 12 2 3" xfId="8922"/>
    <cellStyle name="Normal 2 2 2 2 2 12 2 4" xfId="8923"/>
    <cellStyle name="Normal 2 2 2 2 2 12 2 5" xfId="8924"/>
    <cellStyle name="Normal 2 2 2 2 2 12 2 6" xfId="8925"/>
    <cellStyle name="Normal 2 2 2 2 2 12 3" xfId="8926"/>
    <cellStyle name="Normal 2 2 2 2 2 12 3 2" xfId="8927"/>
    <cellStyle name="Normal 2 2 2 2 2 12 3 3" xfId="8928"/>
    <cellStyle name="Normal 2 2 2 2 2 12 3 4" xfId="8929"/>
    <cellStyle name="Normal 2 2 2 2 2 12 3 5" xfId="8930"/>
    <cellStyle name="Normal 2 2 2 2 2 12 3 6" xfId="8931"/>
    <cellStyle name="Normal 2 2 2 2 2 120" xfId="8932"/>
    <cellStyle name="Normal 2 2 2 2 2 120 2" xfId="8933"/>
    <cellStyle name="Normal 2 2 2 2 2 120 2 2" xfId="8934"/>
    <cellStyle name="Normal 2 2 2 2 2 120 2 3" xfId="8935"/>
    <cellStyle name="Normal 2 2 2 2 2 120 2 4" xfId="8936"/>
    <cellStyle name="Normal 2 2 2 2 2 120 2 5" xfId="8937"/>
    <cellStyle name="Normal 2 2 2 2 2 120 2 6" xfId="8938"/>
    <cellStyle name="Normal 2 2 2 2 2 120 3" xfId="8939"/>
    <cellStyle name="Normal 2 2 2 2 2 120 3 2" xfId="8940"/>
    <cellStyle name="Normal 2 2 2 2 2 120 3 3" xfId="8941"/>
    <cellStyle name="Normal 2 2 2 2 2 120 3 4" xfId="8942"/>
    <cellStyle name="Normal 2 2 2 2 2 120 3 5" xfId="8943"/>
    <cellStyle name="Normal 2 2 2 2 2 120 3 6" xfId="8944"/>
    <cellStyle name="Normal 2 2 2 2 2 121" xfId="8945"/>
    <cellStyle name="Normal 2 2 2 2 2 121 2" xfId="8946"/>
    <cellStyle name="Normal 2 2 2 2 2 121 2 2" xfId="8947"/>
    <cellStyle name="Normal 2 2 2 2 2 121 2 3" xfId="8948"/>
    <cellStyle name="Normal 2 2 2 2 2 121 2 4" xfId="8949"/>
    <cellStyle name="Normal 2 2 2 2 2 121 2 5" xfId="8950"/>
    <cellStyle name="Normal 2 2 2 2 2 121 2 6" xfId="8951"/>
    <cellStyle name="Normal 2 2 2 2 2 121 3" xfId="8952"/>
    <cellStyle name="Normal 2 2 2 2 2 121 3 2" xfId="8953"/>
    <cellStyle name="Normal 2 2 2 2 2 121 3 3" xfId="8954"/>
    <cellStyle name="Normal 2 2 2 2 2 121 3 4" xfId="8955"/>
    <cellStyle name="Normal 2 2 2 2 2 121 3 5" xfId="8956"/>
    <cellStyle name="Normal 2 2 2 2 2 121 3 6" xfId="8957"/>
    <cellStyle name="Normal 2 2 2 2 2 122" xfId="8958"/>
    <cellStyle name="Normal 2 2 2 2 2 122 2" xfId="8959"/>
    <cellStyle name="Normal 2 2 2 2 2 122 2 2" xfId="8960"/>
    <cellStyle name="Normal 2 2 2 2 2 122 2 3" xfId="8961"/>
    <cellStyle name="Normal 2 2 2 2 2 122 2 4" xfId="8962"/>
    <cellStyle name="Normal 2 2 2 2 2 122 2 5" xfId="8963"/>
    <cellStyle name="Normal 2 2 2 2 2 122 2 6" xfId="8964"/>
    <cellStyle name="Normal 2 2 2 2 2 122 3" xfId="8965"/>
    <cellStyle name="Normal 2 2 2 2 2 122 3 2" xfId="8966"/>
    <cellStyle name="Normal 2 2 2 2 2 122 3 3" xfId="8967"/>
    <cellStyle name="Normal 2 2 2 2 2 122 3 4" xfId="8968"/>
    <cellStyle name="Normal 2 2 2 2 2 122 3 5" xfId="8969"/>
    <cellStyle name="Normal 2 2 2 2 2 122 3 6" xfId="8970"/>
    <cellStyle name="Normal 2 2 2 2 2 123" xfId="8971"/>
    <cellStyle name="Normal 2 2 2 2 2 123 2" xfId="8972"/>
    <cellStyle name="Normal 2 2 2 2 2 123 2 2" xfId="8973"/>
    <cellStyle name="Normal 2 2 2 2 2 123 2 3" xfId="8974"/>
    <cellStyle name="Normal 2 2 2 2 2 123 2 4" xfId="8975"/>
    <cellStyle name="Normal 2 2 2 2 2 123 2 5" xfId="8976"/>
    <cellStyle name="Normal 2 2 2 2 2 123 2 6" xfId="8977"/>
    <cellStyle name="Normal 2 2 2 2 2 123 3" xfId="8978"/>
    <cellStyle name="Normal 2 2 2 2 2 123 3 2" xfId="8979"/>
    <cellStyle name="Normal 2 2 2 2 2 123 3 3" xfId="8980"/>
    <cellStyle name="Normal 2 2 2 2 2 123 3 4" xfId="8981"/>
    <cellStyle name="Normal 2 2 2 2 2 123 3 5" xfId="8982"/>
    <cellStyle name="Normal 2 2 2 2 2 123 3 6" xfId="8983"/>
    <cellStyle name="Normal 2 2 2 2 2 124" xfId="8984"/>
    <cellStyle name="Normal 2 2 2 2 2 124 2" xfId="8985"/>
    <cellStyle name="Normal 2 2 2 2 2 124 2 2" xfId="8986"/>
    <cellStyle name="Normal 2 2 2 2 2 124 2 3" xfId="8987"/>
    <cellStyle name="Normal 2 2 2 2 2 124 2 4" xfId="8988"/>
    <cellStyle name="Normal 2 2 2 2 2 124 2 5" xfId="8989"/>
    <cellStyle name="Normal 2 2 2 2 2 124 2 6" xfId="8990"/>
    <cellStyle name="Normal 2 2 2 2 2 124 3" xfId="8991"/>
    <cellStyle name="Normal 2 2 2 2 2 124 3 2" xfId="8992"/>
    <cellStyle name="Normal 2 2 2 2 2 124 3 3" xfId="8993"/>
    <cellStyle name="Normal 2 2 2 2 2 124 3 4" xfId="8994"/>
    <cellStyle name="Normal 2 2 2 2 2 124 3 5" xfId="8995"/>
    <cellStyle name="Normal 2 2 2 2 2 124 3 6" xfId="8996"/>
    <cellStyle name="Normal 2 2 2 2 2 125" xfId="8997"/>
    <cellStyle name="Normal 2 2 2 2 2 125 2" xfId="8998"/>
    <cellStyle name="Normal 2 2 2 2 2 125 2 2" xfId="8999"/>
    <cellStyle name="Normal 2 2 2 2 2 125 2 3" xfId="9000"/>
    <cellStyle name="Normal 2 2 2 2 2 125 2 4" xfId="9001"/>
    <cellStyle name="Normal 2 2 2 2 2 125 2 5" xfId="9002"/>
    <cellStyle name="Normal 2 2 2 2 2 125 2 6" xfId="9003"/>
    <cellStyle name="Normal 2 2 2 2 2 125 3" xfId="9004"/>
    <cellStyle name="Normal 2 2 2 2 2 125 3 2" xfId="9005"/>
    <cellStyle name="Normal 2 2 2 2 2 125 3 3" xfId="9006"/>
    <cellStyle name="Normal 2 2 2 2 2 125 3 4" xfId="9007"/>
    <cellStyle name="Normal 2 2 2 2 2 125 3 5" xfId="9008"/>
    <cellStyle name="Normal 2 2 2 2 2 125 3 6" xfId="9009"/>
    <cellStyle name="Normal 2 2 2 2 2 126" xfId="9010"/>
    <cellStyle name="Normal 2 2 2 2 2 126 2" xfId="9011"/>
    <cellStyle name="Normal 2 2 2 2 2 126 2 2" xfId="9012"/>
    <cellStyle name="Normal 2 2 2 2 2 126 2 3" xfId="9013"/>
    <cellStyle name="Normal 2 2 2 2 2 126 2 4" xfId="9014"/>
    <cellStyle name="Normal 2 2 2 2 2 126 2 5" xfId="9015"/>
    <cellStyle name="Normal 2 2 2 2 2 126 2 6" xfId="9016"/>
    <cellStyle name="Normal 2 2 2 2 2 126 3" xfId="9017"/>
    <cellStyle name="Normal 2 2 2 2 2 126 3 2" xfId="9018"/>
    <cellStyle name="Normal 2 2 2 2 2 126 3 3" xfId="9019"/>
    <cellStyle name="Normal 2 2 2 2 2 126 3 4" xfId="9020"/>
    <cellStyle name="Normal 2 2 2 2 2 126 3 5" xfId="9021"/>
    <cellStyle name="Normal 2 2 2 2 2 126 3 6" xfId="9022"/>
    <cellStyle name="Normal 2 2 2 2 2 127" xfId="9023"/>
    <cellStyle name="Normal 2 2 2 2 2 127 2" xfId="9024"/>
    <cellStyle name="Normal 2 2 2 2 2 127 2 2" xfId="9025"/>
    <cellStyle name="Normal 2 2 2 2 2 127 2 3" xfId="9026"/>
    <cellStyle name="Normal 2 2 2 2 2 127 2 4" xfId="9027"/>
    <cellStyle name="Normal 2 2 2 2 2 127 2 5" xfId="9028"/>
    <cellStyle name="Normal 2 2 2 2 2 127 2 6" xfId="9029"/>
    <cellStyle name="Normal 2 2 2 2 2 127 3" xfId="9030"/>
    <cellStyle name="Normal 2 2 2 2 2 127 3 2" xfId="9031"/>
    <cellStyle name="Normal 2 2 2 2 2 127 3 3" xfId="9032"/>
    <cellStyle name="Normal 2 2 2 2 2 127 3 4" xfId="9033"/>
    <cellStyle name="Normal 2 2 2 2 2 127 3 5" xfId="9034"/>
    <cellStyle name="Normal 2 2 2 2 2 127 3 6" xfId="9035"/>
    <cellStyle name="Normal 2 2 2 2 2 128" xfId="9036"/>
    <cellStyle name="Normal 2 2 2 2 2 129" xfId="9037"/>
    <cellStyle name="Normal 2 2 2 2 2 13" xfId="9038"/>
    <cellStyle name="Normal 2 2 2 2 2 13 2" xfId="9039"/>
    <cellStyle name="Normal 2 2 2 2 2 13 2 2" xfId="9040"/>
    <cellStyle name="Normal 2 2 2 2 2 13 2 3" xfId="9041"/>
    <cellStyle name="Normal 2 2 2 2 2 13 2 4" xfId="9042"/>
    <cellStyle name="Normal 2 2 2 2 2 13 2 5" xfId="9043"/>
    <cellStyle name="Normal 2 2 2 2 2 13 2 6" xfId="9044"/>
    <cellStyle name="Normal 2 2 2 2 2 13 3" xfId="9045"/>
    <cellStyle name="Normal 2 2 2 2 2 13 3 2" xfId="9046"/>
    <cellStyle name="Normal 2 2 2 2 2 13 3 3" xfId="9047"/>
    <cellStyle name="Normal 2 2 2 2 2 13 3 4" xfId="9048"/>
    <cellStyle name="Normal 2 2 2 2 2 13 3 5" xfId="9049"/>
    <cellStyle name="Normal 2 2 2 2 2 13 3 6" xfId="9050"/>
    <cellStyle name="Normal 2 2 2 2 2 14" xfId="9051"/>
    <cellStyle name="Normal 2 2 2 2 2 14 2" xfId="9052"/>
    <cellStyle name="Normal 2 2 2 2 2 14 2 2" xfId="9053"/>
    <cellStyle name="Normal 2 2 2 2 2 14 2 3" xfId="9054"/>
    <cellStyle name="Normal 2 2 2 2 2 14 2 4" xfId="9055"/>
    <cellStyle name="Normal 2 2 2 2 2 14 2 5" xfId="9056"/>
    <cellStyle name="Normal 2 2 2 2 2 14 2 6" xfId="9057"/>
    <cellStyle name="Normal 2 2 2 2 2 14 3" xfId="9058"/>
    <cellStyle name="Normal 2 2 2 2 2 14 3 2" xfId="9059"/>
    <cellStyle name="Normal 2 2 2 2 2 14 3 3" xfId="9060"/>
    <cellStyle name="Normal 2 2 2 2 2 14 3 4" xfId="9061"/>
    <cellStyle name="Normal 2 2 2 2 2 14 3 5" xfId="9062"/>
    <cellStyle name="Normal 2 2 2 2 2 14 3 6" xfId="9063"/>
    <cellStyle name="Normal 2 2 2 2 2 15" xfId="9064"/>
    <cellStyle name="Normal 2 2 2 2 2 15 2" xfId="9065"/>
    <cellStyle name="Normal 2 2 2 2 2 15 2 2" xfId="9066"/>
    <cellStyle name="Normal 2 2 2 2 2 15 2 3" xfId="9067"/>
    <cellStyle name="Normal 2 2 2 2 2 15 2 4" xfId="9068"/>
    <cellStyle name="Normal 2 2 2 2 2 15 2 5" xfId="9069"/>
    <cellStyle name="Normal 2 2 2 2 2 15 2 6" xfId="9070"/>
    <cellStyle name="Normal 2 2 2 2 2 15 3" xfId="9071"/>
    <cellStyle name="Normal 2 2 2 2 2 15 3 2" xfId="9072"/>
    <cellStyle name="Normal 2 2 2 2 2 15 3 3" xfId="9073"/>
    <cellStyle name="Normal 2 2 2 2 2 15 3 4" xfId="9074"/>
    <cellStyle name="Normal 2 2 2 2 2 15 3 5" xfId="9075"/>
    <cellStyle name="Normal 2 2 2 2 2 15 3 6" xfId="9076"/>
    <cellStyle name="Normal 2 2 2 2 2 16" xfId="9077"/>
    <cellStyle name="Normal 2 2 2 2 2 16 2" xfId="9078"/>
    <cellStyle name="Normal 2 2 2 2 2 16 2 2" xfId="9079"/>
    <cellStyle name="Normal 2 2 2 2 2 16 2 3" xfId="9080"/>
    <cellStyle name="Normal 2 2 2 2 2 16 2 4" xfId="9081"/>
    <cellStyle name="Normal 2 2 2 2 2 16 2 5" xfId="9082"/>
    <cellStyle name="Normal 2 2 2 2 2 16 2 6" xfId="9083"/>
    <cellStyle name="Normal 2 2 2 2 2 16 3" xfId="9084"/>
    <cellStyle name="Normal 2 2 2 2 2 16 3 2" xfId="9085"/>
    <cellStyle name="Normal 2 2 2 2 2 16 3 3" xfId="9086"/>
    <cellStyle name="Normal 2 2 2 2 2 16 3 4" xfId="9087"/>
    <cellStyle name="Normal 2 2 2 2 2 16 3 5" xfId="9088"/>
    <cellStyle name="Normal 2 2 2 2 2 16 3 6" xfId="9089"/>
    <cellStyle name="Normal 2 2 2 2 2 17" xfId="9090"/>
    <cellStyle name="Normal 2 2 2 2 2 17 2" xfId="9091"/>
    <cellStyle name="Normal 2 2 2 2 2 17 2 2" xfId="9092"/>
    <cellStyle name="Normal 2 2 2 2 2 17 2 3" xfId="9093"/>
    <cellStyle name="Normal 2 2 2 2 2 17 2 4" xfId="9094"/>
    <cellStyle name="Normal 2 2 2 2 2 17 2 5" xfId="9095"/>
    <cellStyle name="Normal 2 2 2 2 2 17 2 6" xfId="9096"/>
    <cellStyle name="Normal 2 2 2 2 2 17 3" xfId="9097"/>
    <cellStyle name="Normal 2 2 2 2 2 17 3 2" xfId="9098"/>
    <cellStyle name="Normal 2 2 2 2 2 17 3 3" xfId="9099"/>
    <cellStyle name="Normal 2 2 2 2 2 17 3 4" xfId="9100"/>
    <cellStyle name="Normal 2 2 2 2 2 17 3 5" xfId="9101"/>
    <cellStyle name="Normal 2 2 2 2 2 17 3 6" xfId="9102"/>
    <cellStyle name="Normal 2 2 2 2 2 18" xfId="9103"/>
    <cellStyle name="Normal 2 2 2 2 2 18 2" xfId="9104"/>
    <cellStyle name="Normal 2 2 2 2 2 18 2 2" xfId="9105"/>
    <cellStyle name="Normal 2 2 2 2 2 18 2 3" xfId="9106"/>
    <cellStyle name="Normal 2 2 2 2 2 18 2 4" xfId="9107"/>
    <cellStyle name="Normal 2 2 2 2 2 18 2 5" xfId="9108"/>
    <cellStyle name="Normal 2 2 2 2 2 18 2 6" xfId="9109"/>
    <cellStyle name="Normal 2 2 2 2 2 18 3" xfId="9110"/>
    <cellStyle name="Normal 2 2 2 2 2 18 3 2" xfId="9111"/>
    <cellStyle name="Normal 2 2 2 2 2 18 3 3" xfId="9112"/>
    <cellStyle name="Normal 2 2 2 2 2 18 3 4" xfId="9113"/>
    <cellStyle name="Normal 2 2 2 2 2 18 3 5" xfId="9114"/>
    <cellStyle name="Normal 2 2 2 2 2 18 3 6" xfId="9115"/>
    <cellStyle name="Normal 2 2 2 2 2 19" xfId="9116"/>
    <cellStyle name="Normal 2 2 2 2 2 19 2" xfId="9117"/>
    <cellStyle name="Normal 2 2 2 2 2 19 2 2" xfId="9118"/>
    <cellStyle name="Normal 2 2 2 2 2 19 2 3" xfId="9119"/>
    <cellStyle name="Normal 2 2 2 2 2 19 2 4" xfId="9120"/>
    <cellStyle name="Normal 2 2 2 2 2 19 2 5" xfId="9121"/>
    <cellStyle name="Normal 2 2 2 2 2 19 2 6" xfId="9122"/>
    <cellStyle name="Normal 2 2 2 2 2 19 3" xfId="9123"/>
    <cellStyle name="Normal 2 2 2 2 2 19 3 2" xfId="9124"/>
    <cellStyle name="Normal 2 2 2 2 2 19 3 3" xfId="9125"/>
    <cellStyle name="Normal 2 2 2 2 2 19 3 4" xfId="9126"/>
    <cellStyle name="Normal 2 2 2 2 2 19 3 5" xfId="9127"/>
    <cellStyle name="Normal 2 2 2 2 2 19 3 6" xfId="9128"/>
    <cellStyle name="Normal 2 2 2 2 2 2" xfId="9129"/>
    <cellStyle name="Normal 2 2 2 2 2 2 10" xfId="9130"/>
    <cellStyle name="Normal 2 2 2 2 2 2 10 2" xfId="9131"/>
    <cellStyle name="Normal 2 2 2 2 2 2 10 3" xfId="9132"/>
    <cellStyle name="Normal 2 2 2 2 2 2 10 4" xfId="9133"/>
    <cellStyle name="Normal 2 2 2 2 2 2 10 5" xfId="9134"/>
    <cellStyle name="Normal 2 2 2 2 2 2 10 6" xfId="9135"/>
    <cellStyle name="Normal 2 2 2 2 2 2 10 7" xfId="9136"/>
    <cellStyle name="Normal 2 2 2 2 2 2 10 8" xfId="9137"/>
    <cellStyle name="Normal 2 2 2 2 2 2 100" xfId="9138"/>
    <cellStyle name="Normal 2 2 2 2 2 2 100 2" xfId="9139"/>
    <cellStyle name="Normal 2 2 2 2 2 2 100 3" xfId="9140"/>
    <cellStyle name="Normal 2 2 2 2 2 2 100 4" xfId="9141"/>
    <cellStyle name="Normal 2 2 2 2 2 2 100 5" xfId="9142"/>
    <cellStyle name="Normal 2 2 2 2 2 2 100 6" xfId="9143"/>
    <cellStyle name="Normal 2 2 2 2 2 2 100 7" xfId="9144"/>
    <cellStyle name="Normal 2 2 2 2 2 2 100 8" xfId="9145"/>
    <cellStyle name="Normal 2 2 2 2 2 2 101" xfId="9146"/>
    <cellStyle name="Normal 2 2 2 2 2 2 101 2" xfId="9147"/>
    <cellStyle name="Normal 2 2 2 2 2 2 101 3" xfId="9148"/>
    <cellStyle name="Normal 2 2 2 2 2 2 101 4" xfId="9149"/>
    <cellStyle name="Normal 2 2 2 2 2 2 101 5" xfId="9150"/>
    <cellStyle name="Normal 2 2 2 2 2 2 101 6" xfId="9151"/>
    <cellStyle name="Normal 2 2 2 2 2 2 101 7" xfId="9152"/>
    <cellStyle name="Normal 2 2 2 2 2 2 101 8" xfId="9153"/>
    <cellStyle name="Normal 2 2 2 2 2 2 102" xfId="9154"/>
    <cellStyle name="Normal 2 2 2 2 2 2 102 2" xfId="9155"/>
    <cellStyle name="Normal 2 2 2 2 2 2 102 3" xfId="9156"/>
    <cellStyle name="Normal 2 2 2 2 2 2 102 4" xfId="9157"/>
    <cellStyle name="Normal 2 2 2 2 2 2 102 5" xfId="9158"/>
    <cellStyle name="Normal 2 2 2 2 2 2 102 6" xfId="9159"/>
    <cellStyle name="Normal 2 2 2 2 2 2 102 7" xfId="9160"/>
    <cellStyle name="Normal 2 2 2 2 2 2 102 8" xfId="9161"/>
    <cellStyle name="Normal 2 2 2 2 2 2 103" xfId="9162"/>
    <cellStyle name="Normal 2 2 2 2 2 2 103 2" xfId="9163"/>
    <cellStyle name="Normal 2 2 2 2 2 2 103 3" xfId="9164"/>
    <cellStyle name="Normal 2 2 2 2 2 2 103 4" xfId="9165"/>
    <cellStyle name="Normal 2 2 2 2 2 2 103 5" xfId="9166"/>
    <cellStyle name="Normal 2 2 2 2 2 2 103 6" xfId="9167"/>
    <cellStyle name="Normal 2 2 2 2 2 2 103 7" xfId="9168"/>
    <cellStyle name="Normal 2 2 2 2 2 2 103 8" xfId="9169"/>
    <cellStyle name="Normal 2 2 2 2 2 2 104" xfId="9170"/>
    <cellStyle name="Normal 2 2 2 2 2 2 104 2" xfId="9171"/>
    <cellStyle name="Normal 2 2 2 2 2 2 104 3" xfId="9172"/>
    <cellStyle name="Normal 2 2 2 2 2 2 104 4" xfId="9173"/>
    <cellStyle name="Normal 2 2 2 2 2 2 104 5" xfId="9174"/>
    <cellStyle name="Normal 2 2 2 2 2 2 104 6" xfId="9175"/>
    <cellStyle name="Normal 2 2 2 2 2 2 104 7" xfId="9176"/>
    <cellStyle name="Normal 2 2 2 2 2 2 104 8" xfId="9177"/>
    <cellStyle name="Normal 2 2 2 2 2 2 105" xfId="9178"/>
    <cellStyle name="Normal 2 2 2 2 2 2 105 2" xfId="9179"/>
    <cellStyle name="Normal 2 2 2 2 2 2 105 3" xfId="9180"/>
    <cellStyle name="Normal 2 2 2 2 2 2 105 4" xfId="9181"/>
    <cellStyle name="Normal 2 2 2 2 2 2 105 5" xfId="9182"/>
    <cellStyle name="Normal 2 2 2 2 2 2 105 6" xfId="9183"/>
    <cellStyle name="Normal 2 2 2 2 2 2 105 7" xfId="9184"/>
    <cellStyle name="Normal 2 2 2 2 2 2 105 8" xfId="9185"/>
    <cellStyle name="Normal 2 2 2 2 2 2 106" xfId="9186"/>
    <cellStyle name="Normal 2 2 2 2 2 2 106 2" xfId="9187"/>
    <cellStyle name="Normal 2 2 2 2 2 2 106 3" xfId="9188"/>
    <cellStyle name="Normal 2 2 2 2 2 2 106 4" xfId="9189"/>
    <cellStyle name="Normal 2 2 2 2 2 2 106 5" xfId="9190"/>
    <cellStyle name="Normal 2 2 2 2 2 2 106 6" xfId="9191"/>
    <cellStyle name="Normal 2 2 2 2 2 2 106 7" xfId="9192"/>
    <cellStyle name="Normal 2 2 2 2 2 2 106 8" xfId="9193"/>
    <cellStyle name="Normal 2 2 2 2 2 2 107" xfId="9194"/>
    <cellStyle name="Normal 2 2 2 2 2 2 107 2" xfId="9195"/>
    <cellStyle name="Normal 2 2 2 2 2 2 107 3" xfId="9196"/>
    <cellStyle name="Normal 2 2 2 2 2 2 107 4" xfId="9197"/>
    <cellStyle name="Normal 2 2 2 2 2 2 107 5" xfId="9198"/>
    <cellStyle name="Normal 2 2 2 2 2 2 107 6" xfId="9199"/>
    <cellStyle name="Normal 2 2 2 2 2 2 107 7" xfId="9200"/>
    <cellStyle name="Normal 2 2 2 2 2 2 107 8" xfId="9201"/>
    <cellStyle name="Normal 2 2 2 2 2 2 108" xfId="9202"/>
    <cellStyle name="Normal 2 2 2 2 2 2 108 2" xfId="9203"/>
    <cellStyle name="Normal 2 2 2 2 2 2 108 3" xfId="9204"/>
    <cellStyle name="Normal 2 2 2 2 2 2 108 4" xfId="9205"/>
    <cellStyle name="Normal 2 2 2 2 2 2 108 5" xfId="9206"/>
    <cellStyle name="Normal 2 2 2 2 2 2 108 6" xfId="9207"/>
    <cellStyle name="Normal 2 2 2 2 2 2 108 7" xfId="9208"/>
    <cellStyle name="Normal 2 2 2 2 2 2 108 8" xfId="9209"/>
    <cellStyle name="Normal 2 2 2 2 2 2 109" xfId="9210"/>
    <cellStyle name="Normal 2 2 2 2 2 2 109 2" xfId="9211"/>
    <cellStyle name="Normal 2 2 2 2 2 2 109 3" xfId="9212"/>
    <cellStyle name="Normal 2 2 2 2 2 2 109 4" xfId="9213"/>
    <cellStyle name="Normal 2 2 2 2 2 2 109 5" xfId="9214"/>
    <cellStyle name="Normal 2 2 2 2 2 2 109 6" xfId="9215"/>
    <cellStyle name="Normal 2 2 2 2 2 2 109 7" xfId="9216"/>
    <cellStyle name="Normal 2 2 2 2 2 2 109 8" xfId="9217"/>
    <cellStyle name="Normal 2 2 2 2 2 2 11" xfId="9218"/>
    <cellStyle name="Normal 2 2 2 2 2 2 11 2" xfId="9219"/>
    <cellStyle name="Normal 2 2 2 2 2 2 11 3" xfId="9220"/>
    <cellStyle name="Normal 2 2 2 2 2 2 11 4" xfId="9221"/>
    <cellStyle name="Normal 2 2 2 2 2 2 11 5" xfId="9222"/>
    <cellStyle name="Normal 2 2 2 2 2 2 11 6" xfId="9223"/>
    <cellStyle name="Normal 2 2 2 2 2 2 11 7" xfId="9224"/>
    <cellStyle name="Normal 2 2 2 2 2 2 11 8" xfId="9225"/>
    <cellStyle name="Normal 2 2 2 2 2 2 110" xfId="9226"/>
    <cellStyle name="Normal 2 2 2 2 2 2 110 2" xfId="9227"/>
    <cellStyle name="Normal 2 2 2 2 2 2 110 3" xfId="9228"/>
    <cellStyle name="Normal 2 2 2 2 2 2 110 4" xfId="9229"/>
    <cellStyle name="Normal 2 2 2 2 2 2 110 5" xfId="9230"/>
    <cellStyle name="Normal 2 2 2 2 2 2 110 6" xfId="9231"/>
    <cellStyle name="Normal 2 2 2 2 2 2 110 7" xfId="9232"/>
    <cellStyle name="Normal 2 2 2 2 2 2 110 8" xfId="9233"/>
    <cellStyle name="Normal 2 2 2 2 2 2 111" xfId="9234"/>
    <cellStyle name="Normal 2 2 2 2 2 2 111 2" xfId="9235"/>
    <cellStyle name="Normal 2 2 2 2 2 2 111 3" xfId="9236"/>
    <cellStyle name="Normal 2 2 2 2 2 2 111 4" xfId="9237"/>
    <cellStyle name="Normal 2 2 2 2 2 2 111 5" xfId="9238"/>
    <cellStyle name="Normal 2 2 2 2 2 2 111 6" xfId="9239"/>
    <cellStyle name="Normal 2 2 2 2 2 2 111 7" xfId="9240"/>
    <cellStyle name="Normal 2 2 2 2 2 2 111 8" xfId="9241"/>
    <cellStyle name="Normal 2 2 2 2 2 2 112" xfId="9242"/>
    <cellStyle name="Normal 2 2 2 2 2 2 112 2" xfId="9243"/>
    <cellStyle name="Normal 2 2 2 2 2 2 112 3" xfId="9244"/>
    <cellStyle name="Normal 2 2 2 2 2 2 112 4" xfId="9245"/>
    <cellStyle name="Normal 2 2 2 2 2 2 112 5" xfId="9246"/>
    <cellStyle name="Normal 2 2 2 2 2 2 112 6" xfId="9247"/>
    <cellStyle name="Normal 2 2 2 2 2 2 112 7" xfId="9248"/>
    <cellStyle name="Normal 2 2 2 2 2 2 112 8" xfId="9249"/>
    <cellStyle name="Normal 2 2 2 2 2 2 113" xfId="9250"/>
    <cellStyle name="Normal 2 2 2 2 2 2 113 2" xfId="9251"/>
    <cellStyle name="Normal 2 2 2 2 2 2 113 3" xfId="9252"/>
    <cellStyle name="Normal 2 2 2 2 2 2 113 4" xfId="9253"/>
    <cellStyle name="Normal 2 2 2 2 2 2 113 5" xfId="9254"/>
    <cellStyle name="Normal 2 2 2 2 2 2 113 6" xfId="9255"/>
    <cellStyle name="Normal 2 2 2 2 2 2 113 7" xfId="9256"/>
    <cellStyle name="Normal 2 2 2 2 2 2 113 8" xfId="9257"/>
    <cellStyle name="Normal 2 2 2 2 2 2 114" xfId="9258"/>
    <cellStyle name="Normal 2 2 2 2 2 2 114 2" xfId="9259"/>
    <cellStyle name="Normal 2 2 2 2 2 2 114 3" xfId="9260"/>
    <cellStyle name="Normal 2 2 2 2 2 2 114 4" xfId="9261"/>
    <cellStyle name="Normal 2 2 2 2 2 2 114 5" xfId="9262"/>
    <cellStyle name="Normal 2 2 2 2 2 2 114 6" xfId="9263"/>
    <cellStyle name="Normal 2 2 2 2 2 2 114 7" xfId="9264"/>
    <cellStyle name="Normal 2 2 2 2 2 2 114 8" xfId="9265"/>
    <cellStyle name="Normal 2 2 2 2 2 2 115" xfId="9266"/>
    <cellStyle name="Normal 2 2 2 2 2 2 115 2" xfId="9267"/>
    <cellStyle name="Normal 2 2 2 2 2 2 115 3" xfId="9268"/>
    <cellStyle name="Normal 2 2 2 2 2 2 115 4" xfId="9269"/>
    <cellStyle name="Normal 2 2 2 2 2 2 115 5" xfId="9270"/>
    <cellStyle name="Normal 2 2 2 2 2 2 115 6" xfId="9271"/>
    <cellStyle name="Normal 2 2 2 2 2 2 115 7" xfId="9272"/>
    <cellStyle name="Normal 2 2 2 2 2 2 115 8" xfId="9273"/>
    <cellStyle name="Normal 2 2 2 2 2 2 116" xfId="9274"/>
    <cellStyle name="Normal 2 2 2 2 2 2 116 2" xfId="9275"/>
    <cellStyle name="Normal 2 2 2 2 2 2 116 3" xfId="9276"/>
    <cellStyle name="Normal 2 2 2 2 2 2 116 4" xfId="9277"/>
    <cellStyle name="Normal 2 2 2 2 2 2 116 5" xfId="9278"/>
    <cellStyle name="Normal 2 2 2 2 2 2 116 6" xfId="9279"/>
    <cellStyle name="Normal 2 2 2 2 2 2 116 7" xfId="9280"/>
    <cellStyle name="Normal 2 2 2 2 2 2 116 8" xfId="9281"/>
    <cellStyle name="Normal 2 2 2 2 2 2 117" xfId="9282"/>
    <cellStyle name="Normal 2 2 2 2 2 2 117 2" xfId="9283"/>
    <cellStyle name="Normal 2 2 2 2 2 2 117 3" xfId="9284"/>
    <cellStyle name="Normal 2 2 2 2 2 2 117 4" xfId="9285"/>
    <cellStyle name="Normal 2 2 2 2 2 2 117 5" xfId="9286"/>
    <cellStyle name="Normal 2 2 2 2 2 2 117 6" xfId="9287"/>
    <cellStyle name="Normal 2 2 2 2 2 2 117 7" xfId="9288"/>
    <cellStyle name="Normal 2 2 2 2 2 2 117 8" xfId="9289"/>
    <cellStyle name="Normal 2 2 2 2 2 2 118" xfId="9290"/>
    <cellStyle name="Normal 2 2 2 2 2 2 118 2" xfId="9291"/>
    <cellStyle name="Normal 2 2 2 2 2 2 118 3" xfId="9292"/>
    <cellStyle name="Normal 2 2 2 2 2 2 118 4" xfId="9293"/>
    <cellStyle name="Normal 2 2 2 2 2 2 118 5" xfId="9294"/>
    <cellStyle name="Normal 2 2 2 2 2 2 118 6" xfId="9295"/>
    <cellStyle name="Normal 2 2 2 2 2 2 118 7" xfId="9296"/>
    <cellStyle name="Normal 2 2 2 2 2 2 118 8" xfId="9297"/>
    <cellStyle name="Normal 2 2 2 2 2 2 119" xfId="9298"/>
    <cellStyle name="Normal 2 2 2 2 2 2 119 2" xfId="9299"/>
    <cellStyle name="Normal 2 2 2 2 2 2 119 3" xfId="9300"/>
    <cellStyle name="Normal 2 2 2 2 2 2 119 4" xfId="9301"/>
    <cellStyle name="Normal 2 2 2 2 2 2 119 5" xfId="9302"/>
    <cellStyle name="Normal 2 2 2 2 2 2 119 6" xfId="9303"/>
    <cellStyle name="Normal 2 2 2 2 2 2 119 7" xfId="9304"/>
    <cellStyle name="Normal 2 2 2 2 2 2 119 8" xfId="9305"/>
    <cellStyle name="Normal 2 2 2 2 2 2 12" xfId="9306"/>
    <cellStyle name="Normal 2 2 2 2 2 2 12 2" xfId="9307"/>
    <cellStyle name="Normal 2 2 2 2 2 2 12 3" xfId="9308"/>
    <cellStyle name="Normal 2 2 2 2 2 2 12 4" xfId="9309"/>
    <cellStyle name="Normal 2 2 2 2 2 2 12 5" xfId="9310"/>
    <cellStyle name="Normal 2 2 2 2 2 2 12 6" xfId="9311"/>
    <cellStyle name="Normal 2 2 2 2 2 2 12 7" xfId="9312"/>
    <cellStyle name="Normal 2 2 2 2 2 2 12 8" xfId="9313"/>
    <cellStyle name="Normal 2 2 2 2 2 2 120" xfId="9314"/>
    <cellStyle name="Normal 2 2 2 2 2 2 120 2" xfId="9315"/>
    <cellStyle name="Normal 2 2 2 2 2 2 120 3" xfId="9316"/>
    <cellStyle name="Normal 2 2 2 2 2 2 120 4" xfId="9317"/>
    <cellStyle name="Normal 2 2 2 2 2 2 120 5" xfId="9318"/>
    <cellStyle name="Normal 2 2 2 2 2 2 120 6" xfId="9319"/>
    <cellStyle name="Normal 2 2 2 2 2 2 120 7" xfId="9320"/>
    <cellStyle name="Normal 2 2 2 2 2 2 120 8" xfId="9321"/>
    <cellStyle name="Normal 2 2 2 2 2 2 121" xfId="9322"/>
    <cellStyle name="Normal 2 2 2 2 2 2 121 2" xfId="9323"/>
    <cellStyle name="Normal 2 2 2 2 2 2 121 3" xfId="9324"/>
    <cellStyle name="Normal 2 2 2 2 2 2 121 4" xfId="9325"/>
    <cellStyle name="Normal 2 2 2 2 2 2 121 5" xfId="9326"/>
    <cellStyle name="Normal 2 2 2 2 2 2 121 6" xfId="9327"/>
    <cellStyle name="Normal 2 2 2 2 2 2 121 7" xfId="9328"/>
    <cellStyle name="Normal 2 2 2 2 2 2 121 8" xfId="9329"/>
    <cellStyle name="Normal 2 2 2 2 2 2 122" xfId="9330"/>
    <cellStyle name="Normal 2 2 2 2 2 2 122 2" xfId="9331"/>
    <cellStyle name="Normal 2 2 2 2 2 2 122 3" xfId="9332"/>
    <cellStyle name="Normal 2 2 2 2 2 2 122 4" xfId="9333"/>
    <cellStyle name="Normal 2 2 2 2 2 2 122 5" xfId="9334"/>
    <cellStyle name="Normal 2 2 2 2 2 2 122 6" xfId="9335"/>
    <cellStyle name="Normal 2 2 2 2 2 2 122 7" xfId="9336"/>
    <cellStyle name="Normal 2 2 2 2 2 2 122 8" xfId="9337"/>
    <cellStyle name="Normal 2 2 2 2 2 2 123" xfId="9338"/>
    <cellStyle name="Normal 2 2 2 2 2 2 123 2" xfId="9339"/>
    <cellStyle name="Normal 2 2 2 2 2 2 123 3" xfId="9340"/>
    <cellStyle name="Normal 2 2 2 2 2 2 123 4" xfId="9341"/>
    <cellStyle name="Normal 2 2 2 2 2 2 123 5" xfId="9342"/>
    <cellStyle name="Normal 2 2 2 2 2 2 123 6" xfId="9343"/>
    <cellStyle name="Normal 2 2 2 2 2 2 123 7" xfId="9344"/>
    <cellStyle name="Normal 2 2 2 2 2 2 123 8" xfId="9345"/>
    <cellStyle name="Normal 2 2 2 2 2 2 124" xfId="9346"/>
    <cellStyle name="Normal 2 2 2 2 2 2 124 2" xfId="9347"/>
    <cellStyle name="Normal 2 2 2 2 2 2 124 3" xfId="9348"/>
    <cellStyle name="Normal 2 2 2 2 2 2 124 4" xfId="9349"/>
    <cellStyle name="Normal 2 2 2 2 2 2 124 5" xfId="9350"/>
    <cellStyle name="Normal 2 2 2 2 2 2 124 6" xfId="9351"/>
    <cellStyle name="Normal 2 2 2 2 2 2 124 7" xfId="9352"/>
    <cellStyle name="Normal 2 2 2 2 2 2 124 8" xfId="9353"/>
    <cellStyle name="Normal 2 2 2 2 2 2 125" xfId="9354"/>
    <cellStyle name="Normal 2 2 2 2 2 2 125 2" xfId="9355"/>
    <cellStyle name="Normal 2 2 2 2 2 2 125 3" xfId="9356"/>
    <cellStyle name="Normal 2 2 2 2 2 2 125 4" xfId="9357"/>
    <cellStyle name="Normal 2 2 2 2 2 2 125 5" xfId="9358"/>
    <cellStyle name="Normal 2 2 2 2 2 2 125 6" xfId="9359"/>
    <cellStyle name="Normal 2 2 2 2 2 2 125 7" xfId="9360"/>
    <cellStyle name="Normal 2 2 2 2 2 2 125 8" xfId="9361"/>
    <cellStyle name="Normal 2 2 2 2 2 2 126" xfId="9362"/>
    <cellStyle name="Normal 2 2 2 2 2 2 126 2" xfId="9363"/>
    <cellStyle name="Normal 2 2 2 2 2 2 126 3" xfId="9364"/>
    <cellStyle name="Normal 2 2 2 2 2 2 126 4" xfId="9365"/>
    <cellStyle name="Normal 2 2 2 2 2 2 126 5" xfId="9366"/>
    <cellStyle name="Normal 2 2 2 2 2 2 126 6" xfId="9367"/>
    <cellStyle name="Normal 2 2 2 2 2 2 126 7" xfId="9368"/>
    <cellStyle name="Normal 2 2 2 2 2 2 126 8" xfId="9369"/>
    <cellStyle name="Normal 2 2 2 2 2 2 127" xfId="9370"/>
    <cellStyle name="Normal 2 2 2 2 2 2 127 2" xfId="9371"/>
    <cellStyle name="Normal 2 2 2 2 2 2 127 3" xfId="9372"/>
    <cellStyle name="Normal 2 2 2 2 2 2 127 4" xfId="9373"/>
    <cellStyle name="Normal 2 2 2 2 2 2 127 5" xfId="9374"/>
    <cellStyle name="Normal 2 2 2 2 2 2 127 6" xfId="9375"/>
    <cellStyle name="Normal 2 2 2 2 2 2 127 7" xfId="9376"/>
    <cellStyle name="Normal 2 2 2 2 2 2 127 8" xfId="9377"/>
    <cellStyle name="Normal 2 2 2 2 2 2 128" xfId="9378"/>
    <cellStyle name="Normal 2 2 2 2 2 2 128 2" xfId="9379"/>
    <cellStyle name="Normal 2 2 2 2 2 2 128 3" xfId="9380"/>
    <cellStyle name="Normal 2 2 2 2 2 2 128 4" xfId="9381"/>
    <cellStyle name="Normal 2 2 2 2 2 2 128 5" xfId="9382"/>
    <cellStyle name="Normal 2 2 2 2 2 2 128 6" xfId="9383"/>
    <cellStyle name="Normal 2 2 2 2 2 2 129" xfId="9384"/>
    <cellStyle name="Normal 2 2 2 2 2 2 129 2" xfId="9385"/>
    <cellStyle name="Normal 2 2 2 2 2 2 129 3" xfId="9386"/>
    <cellStyle name="Normal 2 2 2 2 2 2 129 4" xfId="9387"/>
    <cellStyle name="Normal 2 2 2 2 2 2 129 5" xfId="9388"/>
    <cellStyle name="Normal 2 2 2 2 2 2 129 6" xfId="9389"/>
    <cellStyle name="Normal 2 2 2 2 2 2 13" xfId="9390"/>
    <cellStyle name="Normal 2 2 2 2 2 2 13 2" xfId="9391"/>
    <cellStyle name="Normal 2 2 2 2 2 2 13 3" xfId="9392"/>
    <cellStyle name="Normal 2 2 2 2 2 2 13 4" xfId="9393"/>
    <cellStyle name="Normal 2 2 2 2 2 2 13 5" xfId="9394"/>
    <cellStyle name="Normal 2 2 2 2 2 2 13 6" xfId="9395"/>
    <cellStyle name="Normal 2 2 2 2 2 2 13 7" xfId="9396"/>
    <cellStyle name="Normal 2 2 2 2 2 2 13 8" xfId="9397"/>
    <cellStyle name="Normal 2 2 2 2 2 2 14" xfId="9398"/>
    <cellStyle name="Normal 2 2 2 2 2 2 14 2" xfId="9399"/>
    <cellStyle name="Normal 2 2 2 2 2 2 14 3" xfId="9400"/>
    <cellStyle name="Normal 2 2 2 2 2 2 14 4" xfId="9401"/>
    <cellStyle name="Normal 2 2 2 2 2 2 14 5" xfId="9402"/>
    <cellStyle name="Normal 2 2 2 2 2 2 14 6" xfId="9403"/>
    <cellStyle name="Normal 2 2 2 2 2 2 14 7" xfId="9404"/>
    <cellStyle name="Normal 2 2 2 2 2 2 14 8" xfId="9405"/>
    <cellStyle name="Normal 2 2 2 2 2 2 15" xfId="9406"/>
    <cellStyle name="Normal 2 2 2 2 2 2 15 2" xfId="9407"/>
    <cellStyle name="Normal 2 2 2 2 2 2 15 3" xfId="9408"/>
    <cellStyle name="Normal 2 2 2 2 2 2 15 4" xfId="9409"/>
    <cellStyle name="Normal 2 2 2 2 2 2 15 5" xfId="9410"/>
    <cellStyle name="Normal 2 2 2 2 2 2 15 6" xfId="9411"/>
    <cellStyle name="Normal 2 2 2 2 2 2 15 7" xfId="9412"/>
    <cellStyle name="Normal 2 2 2 2 2 2 15 8" xfId="9413"/>
    <cellStyle name="Normal 2 2 2 2 2 2 16" xfId="9414"/>
    <cellStyle name="Normal 2 2 2 2 2 2 16 2" xfId="9415"/>
    <cellStyle name="Normal 2 2 2 2 2 2 16 3" xfId="9416"/>
    <cellStyle name="Normal 2 2 2 2 2 2 16 4" xfId="9417"/>
    <cellStyle name="Normal 2 2 2 2 2 2 16 5" xfId="9418"/>
    <cellStyle name="Normal 2 2 2 2 2 2 16 6" xfId="9419"/>
    <cellStyle name="Normal 2 2 2 2 2 2 16 7" xfId="9420"/>
    <cellStyle name="Normal 2 2 2 2 2 2 16 8" xfId="9421"/>
    <cellStyle name="Normal 2 2 2 2 2 2 17" xfId="9422"/>
    <cellStyle name="Normal 2 2 2 2 2 2 17 2" xfId="9423"/>
    <cellStyle name="Normal 2 2 2 2 2 2 17 3" xfId="9424"/>
    <cellStyle name="Normal 2 2 2 2 2 2 17 4" xfId="9425"/>
    <cellStyle name="Normal 2 2 2 2 2 2 17 5" xfId="9426"/>
    <cellStyle name="Normal 2 2 2 2 2 2 17 6" xfId="9427"/>
    <cellStyle name="Normal 2 2 2 2 2 2 17 7" xfId="9428"/>
    <cellStyle name="Normal 2 2 2 2 2 2 17 8" xfId="9429"/>
    <cellStyle name="Normal 2 2 2 2 2 2 18" xfId="9430"/>
    <cellStyle name="Normal 2 2 2 2 2 2 18 2" xfId="9431"/>
    <cellStyle name="Normal 2 2 2 2 2 2 18 3" xfId="9432"/>
    <cellStyle name="Normal 2 2 2 2 2 2 18 4" xfId="9433"/>
    <cellStyle name="Normal 2 2 2 2 2 2 18 5" xfId="9434"/>
    <cellStyle name="Normal 2 2 2 2 2 2 18 6" xfId="9435"/>
    <cellStyle name="Normal 2 2 2 2 2 2 18 7" xfId="9436"/>
    <cellStyle name="Normal 2 2 2 2 2 2 18 8" xfId="9437"/>
    <cellStyle name="Normal 2 2 2 2 2 2 19" xfId="9438"/>
    <cellStyle name="Normal 2 2 2 2 2 2 19 2" xfId="9439"/>
    <cellStyle name="Normal 2 2 2 2 2 2 19 3" xfId="9440"/>
    <cellStyle name="Normal 2 2 2 2 2 2 19 4" xfId="9441"/>
    <cellStyle name="Normal 2 2 2 2 2 2 19 5" xfId="9442"/>
    <cellStyle name="Normal 2 2 2 2 2 2 19 6" xfId="9443"/>
    <cellStyle name="Normal 2 2 2 2 2 2 19 7" xfId="9444"/>
    <cellStyle name="Normal 2 2 2 2 2 2 19 8" xfId="9445"/>
    <cellStyle name="Normal 2 2 2 2 2 2 2" xfId="9446"/>
    <cellStyle name="Normal 2 2 2 2 2 2 2 10" xfId="9447"/>
    <cellStyle name="Normal 2 2 2 2 2 2 2 10 2" xfId="9448"/>
    <cellStyle name="Normal 2 2 2 2 2 2 2 10 2 2" xfId="9449"/>
    <cellStyle name="Normal 2 2 2 2 2 2 2 10 2 3" xfId="9450"/>
    <cellStyle name="Normal 2 2 2 2 2 2 2 10 2 4" xfId="9451"/>
    <cellStyle name="Normal 2 2 2 2 2 2 2 10 2 5" xfId="9452"/>
    <cellStyle name="Normal 2 2 2 2 2 2 2 10 2 6" xfId="9453"/>
    <cellStyle name="Normal 2 2 2 2 2 2 2 10 3" xfId="9454"/>
    <cellStyle name="Normal 2 2 2 2 2 2 2 10 3 2" xfId="9455"/>
    <cellStyle name="Normal 2 2 2 2 2 2 2 10 3 3" xfId="9456"/>
    <cellStyle name="Normal 2 2 2 2 2 2 2 10 3 4" xfId="9457"/>
    <cellStyle name="Normal 2 2 2 2 2 2 2 10 3 5" xfId="9458"/>
    <cellStyle name="Normal 2 2 2 2 2 2 2 10 3 6" xfId="9459"/>
    <cellStyle name="Normal 2 2 2 2 2 2 2 100" xfId="9460"/>
    <cellStyle name="Normal 2 2 2 2 2 2 2 100 2" xfId="9461"/>
    <cellStyle name="Normal 2 2 2 2 2 2 2 100 2 2" xfId="9462"/>
    <cellStyle name="Normal 2 2 2 2 2 2 2 100 2 3" xfId="9463"/>
    <cellStyle name="Normal 2 2 2 2 2 2 2 100 2 4" xfId="9464"/>
    <cellStyle name="Normal 2 2 2 2 2 2 2 100 2 5" xfId="9465"/>
    <cellStyle name="Normal 2 2 2 2 2 2 2 100 2 6" xfId="9466"/>
    <cellStyle name="Normal 2 2 2 2 2 2 2 100 3" xfId="9467"/>
    <cellStyle name="Normal 2 2 2 2 2 2 2 100 3 2" xfId="9468"/>
    <cellStyle name="Normal 2 2 2 2 2 2 2 100 3 3" xfId="9469"/>
    <cellStyle name="Normal 2 2 2 2 2 2 2 100 3 4" xfId="9470"/>
    <cellStyle name="Normal 2 2 2 2 2 2 2 100 3 5" xfId="9471"/>
    <cellStyle name="Normal 2 2 2 2 2 2 2 100 3 6" xfId="9472"/>
    <cellStyle name="Normal 2 2 2 2 2 2 2 101" xfId="9473"/>
    <cellStyle name="Normal 2 2 2 2 2 2 2 101 2" xfId="9474"/>
    <cellStyle name="Normal 2 2 2 2 2 2 2 101 2 2" xfId="9475"/>
    <cellStyle name="Normal 2 2 2 2 2 2 2 101 2 3" xfId="9476"/>
    <cellStyle name="Normal 2 2 2 2 2 2 2 101 2 4" xfId="9477"/>
    <cellStyle name="Normal 2 2 2 2 2 2 2 101 2 5" xfId="9478"/>
    <cellStyle name="Normal 2 2 2 2 2 2 2 101 2 6" xfId="9479"/>
    <cellStyle name="Normal 2 2 2 2 2 2 2 101 3" xfId="9480"/>
    <cellStyle name="Normal 2 2 2 2 2 2 2 101 3 2" xfId="9481"/>
    <cellStyle name="Normal 2 2 2 2 2 2 2 101 3 3" xfId="9482"/>
    <cellStyle name="Normal 2 2 2 2 2 2 2 101 3 4" xfId="9483"/>
    <cellStyle name="Normal 2 2 2 2 2 2 2 101 3 5" xfId="9484"/>
    <cellStyle name="Normal 2 2 2 2 2 2 2 101 3 6" xfId="9485"/>
    <cellStyle name="Normal 2 2 2 2 2 2 2 102" xfId="9486"/>
    <cellStyle name="Normal 2 2 2 2 2 2 2 102 2" xfId="9487"/>
    <cellStyle name="Normal 2 2 2 2 2 2 2 102 2 2" xfId="9488"/>
    <cellStyle name="Normal 2 2 2 2 2 2 2 102 2 3" xfId="9489"/>
    <cellStyle name="Normal 2 2 2 2 2 2 2 102 2 4" xfId="9490"/>
    <cellStyle name="Normal 2 2 2 2 2 2 2 102 2 5" xfId="9491"/>
    <cellStyle name="Normal 2 2 2 2 2 2 2 102 2 6" xfId="9492"/>
    <cellStyle name="Normal 2 2 2 2 2 2 2 102 3" xfId="9493"/>
    <cellStyle name="Normal 2 2 2 2 2 2 2 102 3 2" xfId="9494"/>
    <cellStyle name="Normal 2 2 2 2 2 2 2 102 3 3" xfId="9495"/>
    <cellStyle name="Normal 2 2 2 2 2 2 2 102 3 4" xfId="9496"/>
    <cellStyle name="Normal 2 2 2 2 2 2 2 102 3 5" xfId="9497"/>
    <cellStyle name="Normal 2 2 2 2 2 2 2 102 3 6" xfId="9498"/>
    <cellStyle name="Normal 2 2 2 2 2 2 2 103" xfId="9499"/>
    <cellStyle name="Normal 2 2 2 2 2 2 2 103 2" xfId="9500"/>
    <cellStyle name="Normal 2 2 2 2 2 2 2 103 2 2" xfId="9501"/>
    <cellStyle name="Normal 2 2 2 2 2 2 2 103 2 3" xfId="9502"/>
    <cellStyle name="Normal 2 2 2 2 2 2 2 103 2 4" xfId="9503"/>
    <cellStyle name="Normal 2 2 2 2 2 2 2 103 2 5" xfId="9504"/>
    <cellStyle name="Normal 2 2 2 2 2 2 2 103 2 6" xfId="9505"/>
    <cellStyle name="Normal 2 2 2 2 2 2 2 103 3" xfId="9506"/>
    <cellStyle name="Normal 2 2 2 2 2 2 2 103 3 2" xfId="9507"/>
    <cellStyle name="Normal 2 2 2 2 2 2 2 103 3 3" xfId="9508"/>
    <cellStyle name="Normal 2 2 2 2 2 2 2 103 3 4" xfId="9509"/>
    <cellStyle name="Normal 2 2 2 2 2 2 2 103 3 5" xfId="9510"/>
    <cellStyle name="Normal 2 2 2 2 2 2 2 103 3 6" xfId="9511"/>
    <cellStyle name="Normal 2 2 2 2 2 2 2 104" xfId="9512"/>
    <cellStyle name="Normal 2 2 2 2 2 2 2 104 2" xfId="9513"/>
    <cellStyle name="Normal 2 2 2 2 2 2 2 104 2 2" xfId="9514"/>
    <cellStyle name="Normal 2 2 2 2 2 2 2 104 2 3" xfId="9515"/>
    <cellStyle name="Normal 2 2 2 2 2 2 2 104 2 4" xfId="9516"/>
    <cellStyle name="Normal 2 2 2 2 2 2 2 104 2 5" xfId="9517"/>
    <cellStyle name="Normal 2 2 2 2 2 2 2 104 2 6" xfId="9518"/>
    <cellStyle name="Normal 2 2 2 2 2 2 2 104 3" xfId="9519"/>
    <cellStyle name="Normal 2 2 2 2 2 2 2 104 3 2" xfId="9520"/>
    <cellStyle name="Normal 2 2 2 2 2 2 2 104 3 3" xfId="9521"/>
    <cellStyle name="Normal 2 2 2 2 2 2 2 104 3 4" xfId="9522"/>
    <cellStyle name="Normal 2 2 2 2 2 2 2 104 3 5" xfId="9523"/>
    <cellStyle name="Normal 2 2 2 2 2 2 2 104 3 6" xfId="9524"/>
    <cellStyle name="Normal 2 2 2 2 2 2 2 105" xfId="9525"/>
    <cellStyle name="Normal 2 2 2 2 2 2 2 105 2" xfId="9526"/>
    <cellStyle name="Normal 2 2 2 2 2 2 2 105 2 2" xfId="9527"/>
    <cellStyle name="Normal 2 2 2 2 2 2 2 105 2 3" xfId="9528"/>
    <cellStyle name="Normal 2 2 2 2 2 2 2 105 2 4" xfId="9529"/>
    <cellStyle name="Normal 2 2 2 2 2 2 2 105 2 5" xfId="9530"/>
    <cellStyle name="Normal 2 2 2 2 2 2 2 105 2 6" xfId="9531"/>
    <cellStyle name="Normal 2 2 2 2 2 2 2 105 3" xfId="9532"/>
    <cellStyle name="Normal 2 2 2 2 2 2 2 105 3 2" xfId="9533"/>
    <cellStyle name="Normal 2 2 2 2 2 2 2 105 3 3" xfId="9534"/>
    <cellStyle name="Normal 2 2 2 2 2 2 2 105 3 4" xfId="9535"/>
    <cellStyle name="Normal 2 2 2 2 2 2 2 105 3 5" xfId="9536"/>
    <cellStyle name="Normal 2 2 2 2 2 2 2 105 3 6" xfId="9537"/>
    <cellStyle name="Normal 2 2 2 2 2 2 2 106" xfId="9538"/>
    <cellStyle name="Normal 2 2 2 2 2 2 2 106 2" xfId="9539"/>
    <cellStyle name="Normal 2 2 2 2 2 2 2 106 2 2" xfId="9540"/>
    <cellStyle name="Normal 2 2 2 2 2 2 2 106 2 3" xfId="9541"/>
    <cellStyle name="Normal 2 2 2 2 2 2 2 106 2 4" xfId="9542"/>
    <cellStyle name="Normal 2 2 2 2 2 2 2 106 2 5" xfId="9543"/>
    <cellStyle name="Normal 2 2 2 2 2 2 2 106 2 6" xfId="9544"/>
    <cellStyle name="Normal 2 2 2 2 2 2 2 106 3" xfId="9545"/>
    <cellStyle name="Normal 2 2 2 2 2 2 2 106 3 2" xfId="9546"/>
    <cellStyle name="Normal 2 2 2 2 2 2 2 106 3 3" xfId="9547"/>
    <cellStyle name="Normal 2 2 2 2 2 2 2 106 3 4" xfId="9548"/>
    <cellStyle name="Normal 2 2 2 2 2 2 2 106 3 5" xfId="9549"/>
    <cellStyle name="Normal 2 2 2 2 2 2 2 106 3 6" xfId="9550"/>
    <cellStyle name="Normal 2 2 2 2 2 2 2 107" xfId="9551"/>
    <cellStyle name="Normal 2 2 2 2 2 2 2 107 2" xfId="9552"/>
    <cellStyle name="Normal 2 2 2 2 2 2 2 107 2 2" xfId="9553"/>
    <cellStyle name="Normal 2 2 2 2 2 2 2 107 2 3" xfId="9554"/>
    <cellStyle name="Normal 2 2 2 2 2 2 2 107 2 4" xfId="9555"/>
    <cellStyle name="Normal 2 2 2 2 2 2 2 107 2 5" xfId="9556"/>
    <cellStyle name="Normal 2 2 2 2 2 2 2 107 2 6" xfId="9557"/>
    <cellStyle name="Normal 2 2 2 2 2 2 2 107 3" xfId="9558"/>
    <cellStyle name="Normal 2 2 2 2 2 2 2 107 3 2" xfId="9559"/>
    <cellStyle name="Normal 2 2 2 2 2 2 2 107 3 3" xfId="9560"/>
    <cellStyle name="Normal 2 2 2 2 2 2 2 107 3 4" xfId="9561"/>
    <cellStyle name="Normal 2 2 2 2 2 2 2 107 3 5" xfId="9562"/>
    <cellStyle name="Normal 2 2 2 2 2 2 2 107 3 6" xfId="9563"/>
    <cellStyle name="Normal 2 2 2 2 2 2 2 108" xfId="9564"/>
    <cellStyle name="Normal 2 2 2 2 2 2 2 108 2" xfId="9565"/>
    <cellStyle name="Normal 2 2 2 2 2 2 2 108 2 2" xfId="9566"/>
    <cellStyle name="Normal 2 2 2 2 2 2 2 108 2 3" xfId="9567"/>
    <cellStyle name="Normal 2 2 2 2 2 2 2 108 2 4" xfId="9568"/>
    <cellStyle name="Normal 2 2 2 2 2 2 2 108 2 5" xfId="9569"/>
    <cellStyle name="Normal 2 2 2 2 2 2 2 108 2 6" xfId="9570"/>
    <cellStyle name="Normal 2 2 2 2 2 2 2 108 3" xfId="9571"/>
    <cellStyle name="Normal 2 2 2 2 2 2 2 108 3 2" xfId="9572"/>
    <cellStyle name="Normal 2 2 2 2 2 2 2 108 3 3" xfId="9573"/>
    <cellStyle name="Normal 2 2 2 2 2 2 2 108 3 4" xfId="9574"/>
    <cellStyle name="Normal 2 2 2 2 2 2 2 108 3 5" xfId="9575"/>
    <cellStyle name="Normal 2 2 2 2 2 2 2 108 3 6" xfId="9576"/>
    <cellStyle name="Normal 2 2 2 2 2 2 2 109" xfId="9577"/>
    <cellStyle name="Normal 2 2 2 2 2 2 2 109 2" xfId="9578"/>
    <cellStyle name="Normal 2 2 2 2 2 2 2 109 2 2" xfId="9579"/>
    <cellStyle name="Normal 2 2 2 2 2 2 2 109 2 3" xfId="9580"/>
    <cellStyle name="Normal 2 2 2 2 2 2 2 109 2 4" xfId="9581"/>
    <cellStyle name="Normal 2 2 2 2 2 2 2 109 2 5" xfId="9582"/>
    <cellStyle name="Normal 2 2 2 2 2 2 2 109 2 6" xfId="9583"/>
    <cellStyle name="Normal 2 2 2 2 2 2 2 109 3" xfId="9584"/>
    <cellStyle name="Normal 2 2 2 2 2 2 2 109 3 2" xfId="9585"/>
    <cellStyle name="Normal 2 2 2 2 2 2 2 109 3 3" xfId="9586"/>
    <cellStyle name="Normal 2 2 2 2 2 2 2 109 3 4" xfId="9587"/>
    <cellStyle name="Normal 2 2 2 2 2 2 2 109 3 5" xfId="9588"/>
    <cellStyle name="Normal 2 2 2 2 2 2 2 109 3 6" xfId="9589"/>
    <cellStyle name="Normal 2 2 2 2 2 2 2 11" xfId="9590"/>
    <cellStyle name="Normal 2 2 2 2 2 2 2 11 2" xfId="9591"/>
    <cellStyle name="Normal 2 2 2 2 2 2 2 11 2 2" xfId="9592"/>
    <cellStyle name="Normal 2 2 2 2 2 2 2 11 2 3" xfId="9593"/>
    <cellStyle name="Normal 2 2 2 2 2 2 2 11 2 4" xfId="9594"/>
    <cellStyle name="Normal 2 2 2 2 2 2 2 11 2 5" xfId="9595"/>
    <cellStyle name="Normal 2 2 2 2 2 2 2 11 2 6" xfId="9596"/>
    <cellStyle name="Normal 2 2 2 2 2 2 2 11 3" xfId="9597"/>
    <cellStyle name="Normal 2 2 2 2 2 2 2 11 3 2" xfId="9598"/>
    <cellStyle name="Normal 2 2 2 2 2 2 2 11 3 3" xfId="9599"/>
    <cellStyle name="Normal 2 2 2 2 2 2 2 11 3 4" xfId="9600"/>
    <cellStyle name="Normal 2 2 2 2 2 2 2 11 3 5" xfId="9601"/>
    <cellStyle name="Normal 2 2 2 2 2 2 2 11 3 6" xfId="9602"/>
    <cellStyle name="Normal 2 2 2 2 2 2 2 110" xfId="9603"/>
    <cellStyle name="Normal 2 2 2 2 2 2 2 110 2" xfId="9604"/>
    <cellStyle name="Normal 2 2 2 2 2 2 2 110 2 2" xfId="9605"/>
    <cellStyle name="Normal 2 2 2 2 2 2 2 110 2 3" xfId="9606"/>
    <cellStyle name="Normal 2 2 2 2 2 2 2 110 2 4" xfId="9607"/>
    <cellStyle name="Normal 2 2 2 2 2 2 2 110 2 5" xfId="9608"/>
    <cellStyle name="Normal 2 2 2 2 2 2 2 110 2 6" xfId="9609"/>
    <cellStyle name="Normal 2 2 2 2 2 2 2 110 3" xfId="9610"/>
    <cellStyle name="Normal 2 2 2 2 2 2 2 110 3 2" xfId="9611"/>
    <cellStyle name="Normal 2 2 2 2 2 2 2 110 3 3" xfId="9612"/>
    <cellStyle name="Normal 2 2 2 2 2 2 2 110 3 4" xfId="9613"/>
    <cellStyle name="Normal 2 2 2 2 2 2 2 110 3 5" xfId="9614"/>
    <cellStyle name="Normal 2 2 2 2 2 2 2 110 3 6" xfId="9615"/>
    <cellStyle name="Normal 2 2 2 2 2 2 2 111" xfId="9616"/>
    <cellStyle name="Normal 2 2 2 2 2 2 2 111 2" xfId="9617"/>
    <cellStyle name="Normal 2 2 2 2 2 2 2 111 2 2" xfId="9618"/>
    <cellStyle name="Normal 2 2 2 2 2 2 2 111 2 3" xfId="9619"/>
    <cellStyle name="Normal 2 2 2 2 2 2 2 111 2 4" xfId="9620"/>
    <cellStyle name="Normal 2 2 2 2 2 2 2 111 2 5" xfId="9621"/>
    <cellStyle name="Normal 2 2 2 2 2 2 2 111 2 6" xfId="9622"/>
    <cellStyle name="Normal 2 2 2 2 2 2 2 111 3" xfId="9623"/>
    <cellStyle name="Normal 2 2 2 2 2 2 2 111 3 2" xfId="9624"/>
    <cellStyle name="Normal 2 2 2 2 2 2 2 111 3 3" xfId="9625"/>
    <cellStyle name="Normal 2 2 2 2 2 2 2 111 3 4" xfId="9626"/>
    <cellStyle name="Normal 2 2 2 2 2 2 2 111 3 5" xfId="9627"/>
    <cellStyle name="Normal 2 2 2 2 2 2 2 111 3 6" xfId="9628"/>
    <cellStyle name="Normal 2 2 2 2 2 2 2 112" xfId="9629"/>
    <cellStyle name="Normal 2 2 2 2 2 2 2 112 2" xfId="9630"/>
    <cellStyle name="Normal 2 2 2 2 2 2 2 112 2 2" xfId="9631"/>
    <cellStyle name="Normal 2 2 2 2 2 2 2 112 2 3" xfId="9632"/>
    <cellStyle name="Normal 2 2 2 2 2 2 2 112 2 4" xfId="9633"/>
    <cellStyle name="Normal 2 2 2 2 2 2 2 112 2 5" xfId="9634"/>
    <cellStyle name="Normal 2 2 2 2 2 2 2 112 2 6" xfId="9635"/>
    <cellStyle name="Normal 2 2 2 2 2 2 2 112 3" xfId="9636"/>
    <cellStyle name="Normal 2 2 2 2 2 2 2 112 3 2" xfId="9637"/>
    <cellStyle name="Normal 2 2 2 2 2 2 2 112 3 3" xfId="9638"/>
    <cellStyle name="Normal 2 2 2 2 2 2 2 112 3 4" xfId="9639"/>
    <cellStyle name="Normal 2 2 2 2 2 2 2 112 3 5" xfId="9640"/>
    <cellStyle name="Normal 2 2 2 2 2 2 2 112 3 6" xfId="9641"/>
    <cellStyle name="Normal 2 2 2 2 2 2 2 113" xfId="9642"/>
    <cellStyle name="Normal 2 2 2 2 2 2 2 113 2" xfId="9643"/>
    <cellStyle name="Normal 2 2 2 2 2 2 2 113 2 2" xfId="9644"/>
    <cellStyle name="Normal 2 2 2 2 2 2 2 113 2 3" xfId="9645"/>
    <cellStyle name="Normal 2 2 2 2 2 2 2 113 2 4" xfId="9646"/>
    <cellStyle name="Normal 2 2 2 2 2 2 2 113 2 5" xfId="9647"/>
    <cellStyle name="Normal 2 2 2 2 2 2 2 113 2 6" xfId="9648"/>
    <cellStyle name="Normal 2 2 2 2 2 2 2 113 3" xfId="9649"/>
    <cellStyle name="Normal 2 2 2 2 2 2 2 113 3 2" xfId="9650"/>
    <cellStyle name="Normal 2 2 2 2 2 2 2 113 3 3" xfId="9651"/>
    <cellStyle name="Normal 2 2 2 2 2 2 2 113 3 4" xfId="9652"/>
    <cellStyle name="Normal 2 2 2 2 2 2 2 113 3 5" xfId="9653"/>
    <cellStyle name="Normal 2 2 2 2 2 2 2 113 3 6" xfId="9654"/>
    <cellStyle name="Normal 2 2 2 2 2 2 2 114" xfId="9655"/>
    <cellStyle name="Normal 2 2 2 2 2 2 2 114 2" xfId="9656"/>
    <cellStyle name="Normal 2 2 2 2 2 2 2 114 2 2" xfId="9657"/>
    <cellStyle name="Normal 2 2 2 2 2 2 2 114 2 3" xfId="9658"/>
    <cellStyle name="Normal 2 2 2 2 2 2 2 114 2 4" xfId="9659"/>
    <cellStyle name="Normal 2 2 2 2 2 2 2 114 2 5" xfId="9660"/>
    <cellStyle name="Normal 2 2 2 2 2 2 2 114 2 6" xfId="9661"/>
    <cellStyle name="Normal 2 2 2 2 2 2 2 114 3" xfId="9662"/>
    <cellStyle name="Normal 2 2 2 2 2 2 2 114 3 2" xfId="9663"/>
    <cellStyle name="Normal 2 2 2 2 2 2 2 114 3 3" xfId="9664"/>
    <cellStyle name="Normal 2 2 2 2 2 2 2 114 3 4" xfId="9665"/>
    <cellStyle name="Normal 2 2 2 2 2 2 2 114 3 5" xfId="9666"/>
    <cellStyle name="Normal 2 2 2 2 2 2 2 114 3 6" xfId="9667"/>
    <cellStyle name="Normal 2 2 2 2 2 2 2 115" xfId="9668"/>
    <cellStyle name="Normal 2 2 2 2 2 2 2 115 2" xfId="9669"/>
    <cellStyle name="Normal 2 2 2 2 2 2 2 115 2 2" xfId="9670"/>
    <cellStyle name="Normal 2 2 2 2 2 2 2 115 2 3" xfId="9671"/>
    <cellStyle name="Normal 2 2 2 2 2 2 2 115 2 4" xfId="9672"/>
    <cellStyle name="Normal 2 2 2 2 2 2 2 115 2 5" xfId="9673"/>
    <cellStyle name="Normal 2 2 2 2 2 2 2 115 2 6" xfId="9674"/>
    <cellStyle name="Normal 2 2 2 2 2 2 2 115 3" xfId="9675"/>
    <cellStyle name="Normal 2 2 2 2 2 2 2 115 3 2" xfId="9676"/>
    <cellStyle name="Normal 2 2 2 2 2 2 2 115 3 3" xfId="9677"/>
    <cellStyle name="Normal 2 2 2 2 2 2 2 115 3 4" xfId="9678"/>
    <cellStyle name="Normal 2 2 2 2 2 2 2 115 3 5" xfId="9679"/>
    <cellStyle name="Normal 2 2 2 2 2 2 2 115 3 6" xfId="9680"/>
    <cellStyle name="Normal 2 2 2 2 2 2 2 116" xfId="9681"/>
    <cellStyle name="Normal 2 2 2 2 2 2 2 116 2" xfId="9682"/>
    <cellStyle name="Normal 2 2 2 2 2 2 2 116 2 2" xfId="9683"/>
    <cellStyle name="Normal 2 2 2 2 2 2 2 116 2 3" xfId="9684"/>
    <cellStyle name="Normal 2 2 2 2 2 2 2 116 2 4" xfId="9685"/>
    <cellStyle name="Normal 2 2 2 2 2 2 2 116 2 5" xfId="9686"/>
    <cellStyle name="Normal 2 2 2 2 2 2 2 116 2 6" xfId="9687"/>
    <cellStyle name="Normal 2 2 2 2 2 2 2 116 3" xfId="9688"/>
    <cellStyle name="Normal 2 2 2 2 2 2 2 116 3 2" xfId="9689"/>
    <cellStyle name="Normal 2 2 2 2 2 2 2 116 3 3" xfId="9690"/>
    <cellStyle name="Normal 2 2 2 2 2 2 2 116 3 4" xfId="9691"/>
    <cellStyle name="Normal 2 2 2 2 2 2 2 116 3 5" xfId="9692"/>
    <cellStyle name="Normal 2 2 2 2 2 2 2 116 3 6" xfId="9693"/>
    <cellStyle name="Normal 2 2 2 2 2 2 2 117" xfId="9694"/>
    <cellStyle name="Normal 2 2 2 2 2 2 2 117 2" xfId="9695"/>
    <cellStyle name="Normal 2 2 2 2 2 2 2 117 2 2" xfId="9696"/>
    <cellStyle name="Normal 2 2 2 2 2 2 2 117 2 3" xfId="9697"/>
    <cellStyle name="Normal 2 2 2 2 2 2 2 117 2 4" xfId="9698"/>
    <cellStyle name="Normal 2 2 2 2 2 2 2 117 2 5" xfId="9699"/>
    <cellStyle name="Normal 2 2 2 2 2 2 2 117 2 6" xfId="9700"/>
    <cellStyle name="Normal 2 2 2 2 2 2 2 117 3" xfId="9701"/>
    <cellStyle name="Normal 2 2 2 2 2 2 2 117 3 2" xfId="9702"/>
    <cellStyle name="Normal 2 2 2 2 2 2 2 117 3 3" xfId="9703"/>
    <cellStyle name="Normal 2 2 2 2 2 2 2 117 3 4" xfId="9704"/>
    <cellStyle name="Normal 2 2 2 2 2 2 2 117 3 5" xfId="9705"/>
    <cellStyle name="Normal 2 2 2 2 2 2 2 117 3 6" xfId="9706"/>
    <cellStyle name="Normal 2 2 2 2 2 2 2 118" xfId="9707"/>
    <cellStyle name="Normal 2 2 2 2 2 2 2 118 2" xfId="9708"/>
    <cellStyle name="Normal 2 2 2 2 2 2 2 118 2 2" xfId="9709"/>
    <cellStyle name="Normal 2 2 2 2 2 2 2 118 2 3" xfId="9710"/>
    <cellStyle name="Normal 2 2 2 2 2 2 2 118 2 4" xfId="9711"/>
    <cellStyle name="Normal 2 2 2 2 2 2 2 118 2 5" xfId="9712"/>
    <cellStyle name="Normal 2 2 2 2 2 2 2 118 2 6" xfId="9713"/>
    <cellStyle name="Normal 2 2 2 2 2 2 2 118 3" xfId="9714"/>
    <cellStyle name="Normal 2 2 2 2 2 2 2 118 3 2" xfId="9715"/>
    <cellStyle name="Normal 2 2 2 2 2 2 2 118 3 3" xfId="9716"/>
    <cellStyle name="Normal 2 2 2 2 2 2 2 118 3 4" xfId="9717"/>
    <cellStyle name="Normal 2 2 2 2 2 2 2 118 3 5" xfId="9718"/>
    <cellStyle name="Normal 2 2 2 2 2 2 2 118 3 6" xfId="9719"/>
    <cellStyle name="Normal 2 2 2 2 2 2 2 119" xfId="9720"/>
    <cellStyle name="Normal 2 2 2 2 2 2 2 119 2" xfId="9721"/>
    <cellStyle name="Normal 2 2 2 2 2 2 2 119 2 2" xfId="9722"/>
    <cellStyle name="Normal 2 2 2 2 2 2 2 119 2 3" xfId="9723"/>
    <cellStyle name="Normal 2 2 2 2 2 2 2 119 2 4" xfId="9724"/>
    <cellStyle name="Normal 2 2 2 2 2 2 2 119 2 5" xfId="9725"/>
    <cellStyle name="Normal 2 2 2 2 2 2 2 119 2 6" xfId="9726"/>
    <cellStyle name="Normal 2 2 2 2 2 2 2 119 3" xfId="9727"/>
    <cellStyle name="Normal 2 2 2 2 2 2 2 119 3 2" xfId="9728"/>
    <cellStyle name="Normal 2 2 2 2 2 2 2 119 3 3" xfId="9729"/>
    <cellStyle name="Normal 2 2 2 2 2 2 2 119 3 4" xfId="9730"/>
    <cellStyle name="Normal 2 2 2 2 2 2 2 119 3 5" xfId="9731"/>
    <cellStyle name="Normal 2 2 2 2 2 2 2 119 3 6" xfId="9732"/>
    <cellStyle name="Normal 2 2 2 2 2 2 2 12" xfId="9733"/>
    <cellStyle name="Normal 2 2 2 2 2 2 2 12 2" xfId="9734"/>
    <cellStyle name="Normal 2 2 2 2 2 2 2 12 2 2" xfId="9735"/>
    <cellStyle name="Normal 2 2 2 2 2 2 2 12 2 3" xfId="9736"/>
    <cellStyle name="Normal 2 2 2 2 2 2 2 12 2 4" xfId="9737"/>
    <cellStyle name="Normal 2 2 2 2 2 2 2 12 2 5" xfId="9738"/>
    <cellStyle name="Normal 2 2 2 2 2 2 2 12 2 6" xfId="9739"/>
    <cellStyle name="Normal 2 2 2 2 2 2 2 12 3" xfId="9740"/>
    <cellStyle name="Normal 2 2 2 2 2 2 2 12 3 2" xfId="9741"/>
    <cellStyle name="Normal 2 2 2 2 2 2 2 12 3 3" xfId="9742"/>
    <cellStyle name="Normal 2 2 2 2 2 2 2 12 3 4" xfId="9743"/>
    <cellStyle name="Normal 2 2 2 2 2 2 2 12 3 5" xfId="9744"/>
    <cellStyle name="Normal 2 2 2 2 2 2 2 12 3 6" xfId="9745"/>
    <cellStyle name="Normal 2 2 2 2 2 2 2 120" xfId="9746"/>
    <cellStyle name="Normal 2 2 2 2 2 2 2 120 2" xfId="9747"/>
    <cellStyle name="Normal 2 2 2 2 2 2 2 120 2 2" xfId="9748"/>
    <cellStyle name="Normal 2 2 2 2 2 2 2 120 2 3" xfId="9749"/>
    <cellStyle name="Normal 2 2 2 2 2 2 2 120 2 4" xfId="9750"/>
    <cellStyle name="Normal 2 2 2 2 2 2 2 120 2 5" xfId="9751"/>
    <cellStyle name="Normal 2 2 2 2 2 2 2 120 2 6" xfId="9752"/>
    <cellStyle name="Normal 2 2 2 2 2 2 2 120 3" xfId="9753"/>
    <cellStyle name="Normal 2 2 2 2 2 2 2 120 3 2" xfId="9754"/>
    <cellStyle name="Normal 2 2 2 2 2 2 2 120 3 3" xfId="9755"/>
    <cellStyle name="Normal 2 2 2 2 2 2 2 120 3 4" xfId="9756"/>
    <cellStyle name="Normal 2 2 2 2 2 2 2 120 3 5" xfId="9757"/>
    <cellStyle name="Normal 2 2 2 2 2 2 2 120 3 6" xfId="9758"/>
    <cellStyle name="Normal 2 2 2 2 2 2 2 121" xfId="9759"/>
    <cellStyle name="Normal 2 2 2 2 2 2 2 121 2" xfId="9760"/>
    <cellStyle name="Normal 2 2 2 2 2 2 2 121 2 2" xfId="9761"/>
    <cellStyle name="Normal 2 2 2 2 2 2 2 121 2 3" xfId="9762"/>
    <cellStyle name="Normal 2 2 2 2 2 2 2 121 2 4" xfId="9763"/>
    <cellStyle name="Normal 2 2 2 2 2 2 2 121 2 5" xfId="9764"/>
    <cellStyle name="Normal 2 2 2 2 2 2 2 121 2 6" xfId="9765"/>
    <cellStyle name="Normal 2 2 2 2 2 2 2 121 3" xfId="9766"/>
    <cellStyle name="Normal 2 2 2 2 2 2 2 121 3 2" xfId="9767"/>
    <cellStyle name="Normal 2 2 2 2 2 2 2 121 3 3" xfId="9768"/>
    <cellStyle name="Normal 2 2 2 2 2 2 2 121 3 4" xfId="9769"/>
    <cellStyle name="Normal 2 2 2 2 2 2 2 121 3 5" xfId="9770"/>
    <cellStyle name="Normal 2 2 2 2 2 2 2 121 3 6" xfId="9771"/>
    <cellStyle name="Normal 2 2 2 2 2 2 2 122" xfId="9772"/>
    <cellStyle name="Normal 2 2 2 2 2 2 2 123" xfId="9773"/>
    <cellStyle name="Normal 2 2 2 2 2 2 2 13" xfId="9774"/>
    <cellStyle name="Normal 2 2 2 2 2 2 2 13 2" xfId="9775"/>
    <cellStyle name="Normal 2 2 2 2 2 2 2 13 2 2" xfId="9776"/>
    <cellStyle name="Normal 2 2 2 2 2 2 2 13 2 3" xfId="9777"/>
    <cellStyle name="Normal 2 2 2 2 2 2 2 13 2 4" xfId="9778"/>
    <cellStyle name="Normal 2 2 2 2 2 2 2 13 2 5" xfId="9779"/>
    <cellStyle name="Normal 2 2 2 2 2 2 2 13 2 6" xfId="9780"/>
    <cellStyle name="Normal 2 2 2 2 2 2 2 13 3" xfId="9781"/>
    <cellStyle name="Normal 2 2 2 2 2 2 2 13 3 2" xfId="9782"/>
    <cellStyle name="Normal 2 2 2 2 2 2 2 13 3 3" xfId="9783"/>
    <cellStyle name="Normal 2 2 2 2 2 2 2 13 3 4" xfId="9784"/>
    <cellStyle name="Normal 2 2 2 2 2 2 2 13 3 5" xfId="9785"/>
    <cellStyle name="Normal 2 2 2 2 2 2 2 13 3 6" xfId="9786"/>
    <cellStyle name="Normal 2 2 2 2 2 2 2 14" xfId="9787"/>
    <cellStyle name="Normal 2 2 2 2 2 2 2 14 2" xfId="9788"/>
    <cellStyle name="Normal 2 2 2 2 2 2 2 14 2 2" xfId="9789"/>
    <cellStyle name="Normal 2 2 2 2 2 2 2 14 2 3" xfId="9790"/>
    <cellStyle name="Normal 2 2 2 2 2 2 2 14 2 4" xfId="9791"/>
    <cellStyle name="Normal 2 2 2 2 2 2 2 14 2 5" xfId="9792"/>
    <cellStyle name="Normal 2 2 2 2 2 2 2 14 2 6" xfId="9793"/>
    <cellStyle name="Normal 2 2 2 2 2 2 2 14 3" xfId="9794"/>
    <cellStyle name="Normal 2 2 2 2 2 2 2 14 3 2" xfId="9795"/>
    <cellStyle name="Normal 2 2 2 2 2 2 2 14 3 3" xfId="9796"/>
    <cellStyle name="Normal 2 2 2 2 2 2 2 14 3 4" xfId="9797"/>
    <cellStyle name="Normal 2 2 2 2 2 2 2 14 3 5" xfId="9798"/>
    <cellStyle name="Normal 2 2 2 2 2 2 2 14 3 6" xfId="9799"/>
    <cellStyle name="Normal 2 2 2 2 2 2 2 15" xfId="9800"/>
    <cellStyle name="Normal 2 2 2 2 2 2 2 15 2" xfId="9801"/>
    <cellStyle name="Normal 2 2 2 2 2 2 2 15 2 2" xfId="9802"/>
    <cellStyle name="Normal 2 2 2 2 2 2 2 15 2 3" xfId="9803"/>
    <cellStyle name="Normal 2 2 2 2 2 2 2 15 2 4" xfId="9804"/>
    <cellStyle name="Normal 2 2 2 2 2 2 2 15 2 5" xfId="9805"/>
    <cellStyle name="Normal 2 2 2 2 2 2 2 15 2 6" xfId="9806"/>
    <cellStyle name="Normal 2 2 2 2 2 2 2 15 3" xfId="9807"/>
    <cellStyle name="Normal 2 2 2 2 2 2 2 15 3 2" xfId="9808"/>
    <cellStyle name="Normal 2 2 2 2 2 2 2 15 3 3" xfId="9809"/>
    <cellStyle name="Normal 2 2 2 2 2 2 2 15 3 4" xfId="9810"/>
    <cellStyle name="Normal 2 2 2 2 2 2 2 15 3 5" xfId="9811"/>
    <cellStyle name="Normal 2 2 2 2 2 2 2 15 3 6" xfId="9812"/>
    <cellStyle name="Normal 2 2 2 2 2 2 2 16" xfId="9813"/>
    <cellStyle name="Normal 2 2 2 2 2 2 2 16 2" xfId="9814"/>
    <cellStyle name="Normal 2 2 2 2 2 2 2 16 2 2" xfId="9815"/>
    <cellStyle name="Normal 2 2 2 2 2 2 2 16 2 3" xfId="9816"/>
    <cellStyle name="Normal 2 2 2 2 2 2 2 16 2 4" xfId="9817"/>
    <cellStyle name="Normal 2 2 2 2 2 2 2 16 2 5" xfId="9818"/>
    <cellStyle name="Normal 2 2 2 2 2 2 2 16 2 6" xfId="9819"/>
    <cellStyle name="Normal 2 2 2 2 2 2 2 16 3" xfId="9820"/>
    <cellStyle name="Normal 2 2 2 2 2 2 2 16 3 2" xfId="9821"/>
    <cellStyle name="Normal 2 2 2 2 2 2 2 16 3 3" xfId="9822"/>
    <cellStyle name="Normal 2 2 2 2 2 2 2 16 3 4" xfId="9823"/>
    <cellStyle name="Normal 2 2 2 2 2 2 2 16 3 5" xfId="9824"/>
    <cellStyle name="Normal 2 2 2 2 2 2 2 16 3 6" xfId="9825"/>
    <cellStyle name="Normal 2 2 2 2 2 2 2 17" xfId="9826"/>
    <cellStyle name="Normal 2 2 2 2 2 2 2 17 2" xfId="9827"/>
    <cellStyle name="Normal 2 2 2 2 2 2 2 17 2 2" xfId="9828"/>
    <cellStyle name="Normal 2 2 2 2 2 2 2 17 2 3" xfId="9829"/>
    <cellStyle name="Normal 2 2 2 2 2 2 2 17 2 4" xfId="9830"/>
    <cellStyle name="Normal 2 2 2 2 2 2 2 17 2 5" xfId="9831"/>
    <cellStyle name="Normal 2 2 2 2 2 2 2 17 2 6" xfId="9832"/>
    <cellStyle name="Normal 2 2 2 2 2 2 2 17 3" xfId="9833"/>
    <cellStyle name="Normal 2 2 2 2 2 2 2 17 3 2" xfId="9834"/>
    <cellStyle name="Normal 2 2 2 2 2 2 2 17 3 3" xfId="9835"/>
    <cellStyle name="Normal 2 2 2 2 2 2 2 17 3 4" xfId="9836"/>
    <cellStyle name="Normal 2 2 2 2 2 2 2 17 3 5" xfId="9837"/>
    <cellStyle name="Normal 2 2 2 2 2 2 2 17 3 6" xfId="9838"/>
    <cellStyle name="Normal 2 2 2 2 2 2 2 18" xfId="9839"/>
    <cellStyle name="Normal 2 2 2 2 2 2 2 18 2" xfId="9840"/>
    <cellStyle name="Normal 2 2 2 2 2 2 2 18 2 2" xfId="9841"/>
    <cellStyle name="Normal 2 2 2 2 2 2 2 18 2 3" xfId="9842"/>
    <cellStyle name="Normal 2 2 2 2 2 2 2 18 2 4" xfId="9843"/>
    <cellStyle name="Normal 2 2 2 2 2 2 2 18 2 5" xfId="9844"/>
    <cellStyle name="Normal 2 2 2 2 2 2 2 18 2 6" xfId="9845"/>
    <cellStyle name="Normal 2 2 2 2 2 2 2 18 3" xfId="9846"/>
    <cellStyle name="Normal 2 2 2 2 2 2 2 18 3 2" xfId="9847"/>
    <cellStyle name="Normal 2 2 2 2 2 2 2 18 3 3" xfId="9848"/>
    <cellStyle name="Normal 2 2 2 2 2 2 2 18 3 4" xfId="9849"/>
    <cellStyle name="Normal 2 2 2 2 2 2 2 18 3 5" xfId="9850"/>
    <cellStyle name="Normal 2 2 2 2 2 2 2 18 3 6" xfId="9851"/>
    <cellStyle name="Normal 2 2 2 2 2 2 2 19" xfId="9852"/>
    <cellStyle name="Normal 2 2 2 2 2 2 2 19 2" xfId="9853"/>
    <cellStyle name="Normal 2 2 2 2 2 2 2 19 2 2" xfId="9854"/>
    <cellStyle name="Normal 2 2 2 2 2 2 2 19 2 3" xfId="9855"/>
    <cellStyle name="Normal 2 2 2 2 2 2 2 19 2 4" xfId="9856"/>
    <cellStyle name="Normal 2 2 2 2 2 2 2 19 2 5" xfId="9857"/>
    <cellStyle name="Normal 2 2 2 2 2 2 2 19 2 6" xfId="9858"/>
    <cellStyle name="Normal 2 2 2 2 2 2 2 19 3" xfId="9859"/>
    <cellStyle name="Normal 2 2 2 2 2 2 2 19 3 2" xfId="9860"/>
    <cellStyle name="Normal 2 2 2 2 2 2 2 19 3 3" xfId="9861"/>
    <cellStyle name="Normal 2 2 2 2 2 2 2 19 3 4" xfId="9862"/>
    <cellStyle name="Normal 2 2 2 2 2 2 2 19 3 5" xfId="9863"/>
    <cellStyle name="Normal 2 2 2 2 2 2 2 19 3 6" xfId="9864"/>
    <cellStyle name="Normal 2 2 2 2 2 2 2 2" xfId="9865"/>
    <cellStyle name="Normal 2 2 2 2 2 2 2 2 2" xfId="9866"/>
    <cellStyle name="Normal 2 2 2 2 2 2 2 2 3" xfId="9867"/>
    <cellStyle name="Normal 2 2 2 2 2 2 2 2 3 2" xfId="9868"/>
    <cellStyle name="Normal 2 2 2 2 2 2 2 2 3 3" xfId="9869"/>
    <cellStyle name="Normal 2 2 2 2 2 2 2 2 3 4" xfId="9870"/>
    <cellStyle name="Normal 2 2 2 2 2 2 2 2 3 5" xfId="9871"/>
    <cellStyle name="Normal 2 2 2 2 2 2 2 2 3 6" xfId="9872"/>
    <cellStyle name="Normal 2 2 2 2 2 2 2 2 4" xfId="9873"/>
    <cellStyle name="Normal 2 2 2 2 2 2 2 2 4 2" xfId="9874"/>
    <cellStyle name="Normal 2 2 2 2 2 2 2 2 4 3" xfId="9875"/>
    <cellStyle name="Normal 2 2 2 2 2 2 2 2 4 4" xfId="9876"/>
    <cellStyle name="Normal 2 2 2 2 2 2 2 2 4 5" xfId="9877"/>
    <cellStyle name="Normal 2 2 2 2 2 2 2 2 4 6" xfId="9878"/>
    <cellStyle name="Normal 2 2 2 2 2 2 2 2 5" xfId="9879"/>
    <cellStyle name="Normal 2 2 2 2 2 2 2 2 6" xfId="9880"/>
    <cellStyle name="Normal 2 2 2 2 2 2 2 2 7" xfId="9881"/>
    <cellStyle name="Normal 2 2 2 2 2 2 2 2 8" xfId="9882"/>
    <cellStyle name="Normal 2 2 2 2 2 2 2 2 9" xfId="9883"/>
    <cellStyle name="Normal 2 2 2 2 2 2 2 20" xfId="9884"/>
    <cellStyle name="Normal 2 2 2 2 2 2 2 20 2" xfId="9885"/>
    <cellStyle name="Normal 2 2 2 2 2 2 2 20 2 2" xfId="9886"/>
    <cellStyle name="Normal 2 2 2 2 2 2 2 20 2 3" xfId="9887"/>
    <cellStyle name="Normal 2 2 2 2 2 2 2 20 2 4" xfId="9888"/>
    <cellStyle name="Normal 2 2 2 2 2 2 2 20 2 5" xfId="9889"/>
    <cellStyle name="Normal 2 2 2 2 2 2 2 20 2 6" xfId="9890"/>
    <cellStyle name="Normal 2 2 2 2 2 2 2 20 3" xfId="9891"/>
    <cellStyle name="Normal 2 2 2 2 2 2 2 20 3 2" xfId="9892"/>
    <cellStyle name="Normal 2 2 2 2 2 2 2 20 3 3" xfId="9893"/>
    <cellStyle name="Normal 2 2 2 2 2 2 2 20 3 4" xfId="9894"/>
    <cellStyle name="Normal 2 2 2 2 2 2 2 20 3 5" xfId="9895"/>
    <cellStyle name="Normal 2 2 2 2 2 2 2 20 3 6" xfId="9896"/>
    <cellStyle name="Normal 2 2 2 2 2 2 2 21" xfId="9897"/>
    <cellStyle name="Normal 2 2 2 2 2 2 2 21 2" xfId="9898"/>
    <cellStyle name="Normal 2 2 2 2 2 2 2 21 2 2" xfId="9899"/>
    <cellStyle name="Normal 2 2 2 2 2 2 2 21 2 3" xfId="9900"/>
    <cellStyle name="Normal 2 2 2 2 2 2 2 21 2 4" xfId="9901"/>
    <cellStyle name="Normal 2 2 2 2 2 2 2 21 2 5" xfId="9902"/>
    <cellStyle name="Normal 2 2 2 2 2 2 2 21 2 6" xfId="9903"/>
    <cellStyle name="Normal 2 2 2 2 2 2 2 21 3" xfId="9904"/>
    <cellStyle name="Normal 2 2 2 2 2 2 2 21 3 2" xfId="9905"/>
    <cellStyle name="Normal 2 2 2 2 2 2 2 21 3 3" xfId="9906"/>
    <cellStyle name="Normal 2 2 2 2 2 2 2 21 3 4" xfId="9907"/>
    <cellStyle name="Normal 2 2 2 2 2 2 2 21 3 5" xfId="9908"/>
    <cellStyle name="Normal 2 2 2 2 2 2 2 21 3 6" xfId="9909"/>
    <cellStyle name="Normal 2 2 2 2 2 2 2 22" xfId="9910"/>
    <cellStyle name="Normal 2 2 2 2 2 2 2 22 2" xfId="9911"/>
    <cellStyle name="Normal 2 2 2 2 2 2 2 22 2 2" xfId="9912"/>
    <cellStyle name="Normal 2 2 2 2 2 2 2 22 2 3" xfId="9913"/>
    <cellStyle name="Normal 2 2 2 2 2 2 2 22 2 4" xfId="9914"/>
    <cellStyle name="Normal 2 2 2 2 2 2 2 22 2 5" xfId="9915"/>
    <cellStyle name="Normal 2 2 2 2 2 2 2 22 2 6" xfId="9916"/>
    <cellStyle name="Normal 2 2 2 2 2 2 2 22 3" xfId="9917"/>
    <cellStyle name="Normal 2 2 2 2 2 2 2 22 3 2" xfId="9918"/>
    <cellStyle name="Normal 2 2 2 2 2 2 2 22 3 3" xfId="9919"/>
    <cellStyle name="Normal 2 2 2 2 2 2 2 22 3 4" xfId="9920"/>
    <cellStyle name="Normal 2 2 2 2 2 2 2 22 3 5" xfId="9921"/>
    <cellStyle name="Normal 2 2 2 2 2 2 2 22 3 6" xfId="9922"/>
    <cellStyle name="Normal 2 2 2 2 2 2 2 23" xfId="9923"/>
    <cellStyle name="Normal 2 2 2 2 2 2 2 23 2" xfId="9924"/>
    <cellStyle name="Normal 2 2 2 2 2 2 2 23 2 2" xfId="9925"/>
    <cellStyle name="Normal 2 2 2 2 2 2 2 23 2 3" xfId="9926"/>
    <cellStyle name="Normal 2 2 2 2 2 2 2 23 2 4" xfId="9927"/>
    <cellStyle name="Normal 2 2 2 2 2 2 2 23 2 5" xfId="9928"/>
    <cellStyle name="Normal 2 2 2 2 2 2 2 23 2 6" xfId="9929"/>
    <cellStyle name="Normal 2 2 2 2 2 2 2 23 3" xfId="9930"/>
    <cellStyle name="Normal 2 2 2 2 2 2 2 23 3 2" xfId="9931"/>
    <cellStyle name="Normal 2 2 2 2 2 2 2 23 3 3" xfId="9932"/>
    <cellStyle name="Normal 2 2 2 2 2 2 2 23 3 4" xfId="9933"/>
    <cellStyle name="Normal 2 2 2 2 2 2 2 23 3 5" xfId="9934"/>
    <cellStyle name="Normal 2 2 2 2 2 2 2 23 3 6" xfId="9935"/>
    <cellStyle name="Normal 2 2 2 2 2 2 2 24" xfId="9936"/>
    <cellStyle name="Normal 2 2 2 2 2 2 2 24 2" xfId="9937"/>
    <cellStyle name="Normal 2 2 2 2 2 2 2 24 2 2" xfId="9938"/>
    <cellStyle name="Normal 2 2 2 2 2 2 2 24 2 3" xfId="9939"/>
    <cellStyle name="Normal 2 2 2 2 2 2 2 24 2 4" xfId="9940"/>
    <cellStyle name="Normal 2 2 2 2 2 2 2 24 2 5" xfId="9941"/>
    <cellStyle name="Normal 2 2 2 2 2 2 2 24 2 6" xfId="9942"/>
    <cellStyle name="Normal 2 2 2 2 2 2 2 24 3" xfId="9943"/>
    <cellStyle name="Normal 2 2 2 2 2 2 2 24 3 2" xfId="9944"/>
    <cellStyle name="Normal 2 2 2 2 2 2 2 24 3 3" xfId="9945"/>
    <cellStyle name="Normal 2 2 2 2 2 2 2 24 3 4" xfId="9946"/>
    <cellStyle name="Normal 2 2 2 2 2 2 2 24 3 5" xfId="9947"/>
    <cellStyle name="Normal 2 2 2 2 2 2 2 24 3 6" xfId="9948"/>
    <cellStyle name="Normal 2 2 2 2 2 2 2 25" xfId="9949"/>
    <cellStyle name="Normal 2 2 2 2 2 2 2 25 2" xfId="9950"/>
    <cellStyle name="Normal 2 2 2 2 2 2 2 25 2 2" xfId="9951"/>
    <cellStyle name="Normal 2 2 2 2 2 2 2 25 2 3" xfId="9952"/>
    <cellStyle name="Normal 2 2 2 2 2 2 2 25 2 4" xfId="9953"/>
    <cellStyle name="Normal 2 2 2 2 2 2 2 25 2 5" xfId="9954"/>
    <cellStyle name="Normal 2 2 2 2 2 2 2 25 2 6" xfId="9955"/>
    <cellStyle name="Normal 2 2 2 2 2 2 2 25 3" xfId="9956"/>
    <cellStyle name="Normal 2 2 2 2 2 2 2 25 3 2" xfId="9957"/>
    <cellStyle name="Normal 2 2 2 2 2 2 2 25 3 3" xfId="9958"/>
    <cellStyle name="Normal 2 2 2 2 2 2 2 25 3 4" xfId="9959"/>
    <cellStyle name="Normal 2 2 2 2 2 2 2 25 3 5" xfId="9960"/>
    <cellStyle name="Normal 2 2 2 2 2 2 2 25 3 6" xfId="9961"/>
    <cellStyle name="Normal 2 2 2 2 2 2 2 26" xfId="9962"/>
    <cellStyle name="Normal 2 2 2 2 2 2 2 26 2" xfId="9963"/>
    <cellStyle name="Normal 2 2 2 2 2 2 2 26 2 2" xfId="9964"/>
    <cellStyle name="Normal 2 2 2 2 2 2 2 26 2 3" xfId="9965"/>
    <cellStyle name="Normal 2 2 2 2 2 2 2 26 2 4" xfId="9966"/>
    <cellStyle name="Normal 2 2 2 2 2 2 2 26 2 5" xfId="9967"/>
    <cellStyle name="Normal 2 2 2 2 2 2 2 26 2 6" xfId="9968"/>
    <cellStyle name="Normal 2 2 2 2 2 2 2 26 3" xfId="9969"/>
    <cellStyle name="Normal 2 2 2 2 2 2 2 26 3 2" xfId="9970"/>
    <cellStyle name="Normal 2 2 2 2 2 2 2 26 3 3" xfId="9971"/>
    <cellStyle name="Normal 2 2 2 2 2 2 2 26 3 4" xfId="9972"/>
    <cellStyle name="Normal 2 2 2 2 2 2 2 26 3 5" xfId="9973"/>
    <cellStyle name="Normal 2 2 2 2 2 2 2 26 3 6" xfId="9974"/>
    <cellStyle name="Normal 2 2 2 2 2 2 2 27" xfId="9975"/>
    <cellStyle name="Normal 2 2 2 2 2 2 2 27 2" xfId="9976"/>
    <cellStyle name="Normal 2 2 2 2 2 2 2 27 2 2" xfId="9977"/>
    <cellStyle name="Normal 2 2 2 2 2 2 2 27 2 3" xfId="9978"/>
    <cellStyle name="Normal 2 2 2 2 2 2 2 27 2 4" xfId="9979"/>
    <cellStyle name="Normal 2 2 2 2 2 2 2 27 2 5" xfId="9980"/>
    <cellStyle name="Normal 2 2 2 2 2 2 2 27 2 6" xfId="9981"/>
    <cellStyle name="Normal 2 2 2 2 2 2 2 27 3" xfId="9982"/>
    <cellStyle name="Normal 2 2 2 2 2 2 2 27 3 2" xfId="9983"/>
    <cellStyle name="Normal 2 2 2 2 2 2 2 27 3 3" xfId="9984"/>
    <cellStyle name="Normal 2 2 2 2 2 2 2 27 3 4" xfId="9985"/>
    <cellStyle name="Normal 2 2 2 2 2 2 2 27 3 5" xfId="9986"/>
    <cellStyle name="Normal 2 2 2 2 2 2 2 27 3 6" xfId="9987"/>
    <cellStyle name="Normal 2 2 2 2 2 2 2 28" xfId="9988"/>
    <cellStyle name="Normal 2 2 2 2 2 2 2 28 2" xfId="9989"/>
    <cellStyle name="Normal 2 2 2 2 2 2 2 28 2 2" xfId="9990"/>
    <cellStyle name="Normal 2 2 2 2 2 2 2 28 2 3" xfId="9991"/>
    <cellStyle name="Normal 2 2 2 2 2 2 2 28 2 4" xfId="9992"/>
    <cellStyle name="Normal 2 2 2 2 2 2 2 28 2 5" xfId="9993"/>
    <cellStyle name="Normal 2 2 2 2 2 2 2 28 2 6" xfId="9994"/>
    <cellStyle name="Normal 2 2 2 2 2 2 2 28 3" xfId="9995"/>
    <cellStyle name="Normal 2 2 2 2 2 2 2 28 3 2" xfId="9996"/>
    <cellStyle name="Normal 2 2 2 2 2 2 2 28 3 3" xfId="9997"/>
    <cellStyle name="Normal 2 2 2 2 2 2 2 28 3 4" xfId="9998"/>
    <cellStyle name="Normal 2 2 2 2 2 2 2 28 3 5" xfId="9999"/>
    <cellStyle name="Normal 2 2 2 2 2 2 2 28 3 6" xfId="10000"/>
    <cellStyle name="Normal 2 2 2 2 2 2 2 29" xfId="10001"/>
    <cellStyle name="Normal 2 2 2 2 2 2 2 29 2" xfId="10002"/>
    <cellStyle name="Normal 2 2 2 2 2 2 2 29 2 2" xfId="10003"/>
    <cellStyle name="Normal 2 2 2 2 2 2 2 29 2 3" xfId="10004"/>
    <cellStyle name="Normal 2 2 2 2 2 2 2 29 2 4" xfId="10005"/>
    <cellStyle name="Normal 2 2 2 2 2 2 2 29 2 5" xfId="10006"/>
    <cellStyle name="Normal 2 2 2 2 2 2 2 29 2 6" xfId="10007"/>
    <cellStyle name="Normal 2 2 2 2 2 2 2 29 3" xfId="10008"/>
    <cellStyle name="Normal 2 2 2 2 2 2 2 29 3 2" xfId="10009"/>
    <cellStyle name="Normal 2 2 2 2 2 2 2 29 3 3" xfId="10010"/>
    <cellStyle name="Normal 2 2 2 2 2 2 2 29 3 4" xfId="10011"/>
    <cellStyle name="Normal 2 2 2 2 2 2 2 29 3 5" xfId="10012"/>
    <cellStyle name="Normal 2 2 2 2 2 2 2 29 3 6" xfId="10013"/>
    <cellStyle name="Normal 2 2 2 2 2 2 2 3" xfId="10014"/>
    <cellStyle name="Normal 2 2 2 2 2 2 2 3 2" xfId="10015"/>
    <cellStyle name="Normal 2 2 2 2 2 2 2 3 2 2" xfId="10016"/>
    <cellStyle name="Normal 2 2 2 2 2 2 2 3 2 3" xfId="10017"/>
    <cellStyle name="Normal 2 2 2 2 2 2 2 3 2 4" xfId="10018"/>
    <cellStyle name="Normal 2 2 2 2 2 2 2 3 2 5" xfId="10019"/>
    <cellStyle name="Normal 2 2 2 2 2 2 2 3 2 6" xfId="10020"/>
    <cellStyle name="Normal 2 2 2 2 2 2 2 3 3" xfId="10021"/>
    <cellStyle name="Normal 2 2 2 2 2 2 2 3 3 2" xfId="10022"/>
    <cellStyle name="Normal 2 2 2 2 2 2 2 3 3 3" xfId="10023"/>
    <cellStyle name="Normal 2 2 2 2 2 2 2 3 3 4" xfId="10024"/>
    <cellStyle name="Normal 2 2 2 2 2 2 2 3 3 5" xfId="10025"/>
    <cellStyle name="Normal 2 2 2 2 2 2 2 3 3 6" xfId="10026"/>
    <cellStyle name="Normal 2 2 2 2 2 2 2 30" xfId="10027"/>
    <cellStyle name="Normal 2 2 2 2 2 2 2 30 2" xfId="10028"/>
    <cellStyle name="Normal 2 2 2 2 2 2 2 30 2 2" xfId="10029"/>
    <cellStyle name="Normal 2 2 2 2 2 2 2 30 2 3" xfId="10030"/>
    <cellStyle name="Normal 2 2 2 2 2 2 2 30 2 4" xfId="10031"/>
    <cellStyle name="Normal 2 2 2 2 2 2 2 30 2 5" xfId="10032"/>
    <cellStyle name="Normal 2 2 2 2 2 2 2 30 2 6" xfId="10033"/>
    <cellStyle name="Normal 2 2 2 2 2 2 2 30 3" xfId="10034"/>
    <cellStyle name="Normal 2 2 2 2 2 2 2 30 3 2" xfId="10035"/>
    <cellStyle name="Normal 2 2 2 2 2 2 2 30 3 3" xfId="10036"/>
    <cellStyle name="Normal 2 2 2 2 2 2 2 30 3 4" xfId="10037"/>
    <cellStyle name="Normal 2 2 2 2 2 2 2 30 3 5" xfId="10038"/>
    <cellStyle name="Normal 2 2 2 2 2 2 2 30 3 6" xfId="10039"/>
    <cellStyle name="Normal 2 2 2 2 2 2 2 31" xfId="10040"/>
    <cellStyle name="Normal 2 2 2 2 2 2 2 31 2" xfId="10041"/>
    <cellStyle name="Normal 2 2 2 2 2 2 2 31 2 2" xfId="10042"/>
    <cellStyle name="Normal 2 2 2 2 2 2 2 31 2 3" xfId="10043"/>
    <cellStyle name="Normal 2 2 2 2 2 2 2 31 2 4" xfId="10044"/>
    <cellStyle name="Normal 2 2 2 2 2 2 2 31 2 5" xfId="10045"/>
    <cellStyle name="Normal 2 2 2 2 2 2 2 31 2 6" xfId="10046"/>
    <cellStyle name="Normal 2 2 2 2 2 2 2 31 3" xfId="10047"/>
    <cellStyle name="Normal 2 2 2 2 2 2 2 31 3 2" xfId="10048"/>
    <cellStyle name="Normal 2 2 2 2 2 2 2 31 3 3" xfId="10049"/>
    <cellStyle name="Normal 2 2 2 2 2 2 2 31 3 4" xfId="10050"/>
    <cellStyle name="Normal 2 2 2 2 2 2 2 31 3 5" xfId="10051"/>
    <cellStyle name="Normal 2 2 2 2 2 2 2 31 3 6" xfId="10052"/>
    <cellStyle name="Normal 2 2 2 2 2 2 2 32" xfId="10053"/>
    <cellStyle name="Normal 2 2 2 2 2 2 2 32 2" xfId="10054"/>
    <cellStyle name="Normal 2 2 2 2 2 2 2 32 2 2" xfId="10055"/>
    <cellStyle name="Normal 2 2 2 2 2 2 2 32 2 3" xfId="10056"/>
    <cellStyle name="Normal 2 2 2 2 2 2 2 32 2 4" xfId="10057"/>
    <cellStyle name="Normal 2 2 2 2 2 2 2 32 2 5" xfId="10058"/>
    <cellStyle name="Normal 2 2 2 2 2 2 2 32 2 6" xfId="10059"/>
    <cellStyle name="Normal 2 2 2 2 2 2 2 32 3" xfId="10060"/>
    <cellStyle name="Normal 2 2 2 2 2 2 2 32 3 2" xfId="10061"/>
    <cellStyle name="Normal 2 2 2 2 2 2 2 32 3 3" xfId="10062"/>
    <cellStyle name="Normal 2 2 2 2 2 2 2 32 3 4" xfId="10063"/>
    <cellStyle name="Normal 2 2 2 2 2 2 2 32 3 5" xfId="10064"/>
    <cellStyle name="Normal 2 2 2 2 2 2 2 32 3 6" xfId="10065"/>
    <cellStyle name="Normal 2 2 2 2 2 2 2 33" xfId="10066"/>
    <cellStyle name="Normal 2 2 2 2 2 2 2 33 2" xfId="10067"/>
    <cellStyle name="Normal 2 2 2 2 2 2 2 33 2 2" xfId="10068"/>
    <cellStyle name="Normal 2 2 2 2 2 2 2 33 2 3" xfId="10069"/>
    <cellStyle name="Normal 2 2 2 2 2 2 2 33 2 4" xfId="10070"/>
    <cellStyle name="Normal 2 2 2 2 2 2 2 33 2 5" xfId="10071"/>
    <cellStyle name="Normal 2 2 2 2 2 2 2 33 2 6" xfId="10072"/>
    <cellStyle name="Normal 2 2 2 2 2 2 2 33 3" xfId="10073"/>
    <cellStyle name="Normal 2 2 2 2 2 2 2 33 3 2" xfId="10074"/>
    <cellStyle name="Normal 2 2 2 2 2 2 2 33 3 3" xfId="10075"/>
    <cellStyle name="Normal 2 2 2 2 2 2 2 33 3 4" xfId="10076"/>
    <cellStyle name="Normal 2 2 2 2 2 2 2 33 3 5" xfId="10077"/>
    <cellStyle name="Normal 2 2 2 2 2 2 2 33 3 6" xfId="10078"/>
    <cellStyle name="Normal 2 2 2 2 2 2 2 34" xfId="10079"/>
    <cellStyle name="Normal 2 2 2 2 2 2 2 34 2" xfId="10080"/>
    <cellStyle name="Normal 2 2 2 2 2 2 2 34 2 2" xfId="10081"/>
    <cellStyle name="Normal 2 2 2 2 2 2 2 34 2 3" xfId="10082"/>
    <cellStyle name="Normal 2 2 2 2 2 2 2 34 2 4" xfId="10083"/>
    <cellStyle name="Normal 2 2 2 2 2 2 2 34 2 5" xfId="10084"/>
    <cellStyle name="Normal 2 2 2 2 2 2 2 34 2 6" xfId="10085"/>
    <cellStyle name="Normal 2 2 2 2 2 2 2 34 3" xfId="10086"/>
    <cellStyle name="Normal 2 2 2 2 2 2 2 34 3 2" xfId="10087"/>
    <cellStyle name="Normal 2 2 2 2 2 2 2 34 3 3" xfId="10088"/>
    <cellStyle name="Normal 2 2 2 2 2 2 2 34 3 4" xfId="10089"/>
    <cellStyle name="Normal 2 2 2 2 2 2 2 34 3 5" xfId="10090"/>
    <cellStyle name="Normal 2 2 2 2 2 2 2 34 3 6" xfId="10091"/>
    <cellStyle name="Normal 2 2 2 2 2 2 2 35" xfId="10092"/>
    <cellStyle name="Normal 2 2 2 2 2 2 2 35 2" xfId="10093"/>
    <cellStyle name="Normal 2 2 2 2 2 2 2 35 2 2" xfId="10094"/>
    <cellStyle name="Normal 2 2 2 2 2 2 2 35 2 3" xfId="10095"/>
    <cellStyle name="Normal 2 2 2 2 2 2 2 35 2 4" xfId="10096"/>
    <cellStyle name="Normal 2 2 2 2 2 2 2 35 2 5" xfId="10097"/>
    <cellStyle name="Normal 2 2 2 2 2 2 2 35 2 6" xfId="10098"/>
    <cellStyle name="Normal 2 2 2 2 2 2 2 35 3" xfId="10099"/>
    <cellStyle name="Normal 2 2 2 2 2 2 2 35 3 2" xfId="10100"/>
    <cellStyle name="Normal 2 2 2 2 2 2 2 35 3 3" xfId="10101"/>
    <cellStyle name="Normal 2 2 2 2 2 2 2 35 3 4" xfId="10102"/>
    <cellStyle name="Normal 2 2 2 2 2 2 2 35 3 5" xfId="10103"/>
    <cellStyle name="Normal 2 2 2 2 2 2 2 35 3 6" xfId="10104"/>
    <cellStyle name="Normal 2 2 2 2 2 2 2 36" xfId="10105"/>
    <cellStyle name="Normal 2 2 2 2 2 2 2 36 2" xfId="10106"/>
    <cellStyle name="Normal 2 2 2 2 2 2 2 36 2 2" xfId="10107"/>
    <cellStyle name="Normal 2 2 2 2 2 2 2 36 2 3" xfId="10108"/>
    <cellStyle name="Normal 2 2 2 2 2 2 2 36 2 4" xfId="10109"/>
    <cellStyle name="Normal 2 2 2 2 2 2 2 36 2 5" xfId="10110"/>
    <cellStyle name="Normal 2 2 2 2 2 2 2 36 2 6" xfId="10111"/>
    <cellStyle name="Normal 2 2 2 2 2 2 2 36 3" xfId="10112"/>
    <cellStyle name="Normal 2 2 2 2 2 2 2 36 3 2" xfId="10113"/>
    <cellStyle name="Normal 2 2 2 2 2 2 2 36 3 3" xfId="10114"/>
    <cellStyle name="Normal 2 2 2 2 2 2 2 36 3 4" xfId="10115"/>
    <cellStyle name="Normal 2 2 2 2 2 2 2 36 3 5" xfId="10116"/>
    <cellStyle name="Normal 2 2 2 2 2 2 2 36 3 6" xfId="10117"/>
    <cellStyle name="Normal 2 2 2 2 2 2 2 37" xfId="10118"/>
    <cellStyle name="Normal 2 2 2 2 2 2 2 37 2" xfId="10119"/>
    <cellStyle name="Normal 2 2 2 2 2 2 2 37 2 2" xfId="10120"/>
    <cellStyle name="Normal 2 2 2 2 2 2 2 37 2 3" xfId="10121"/>
    <cellStyle name="Normal 2 2 2 2 2 2 2 37 2 4" xfId="10122"/>
    <cellStyle name="Normal 2 2 2 2 2 2 2 37 2 5" xfId="10123"/>
    <cellStyle name="Normal 2 2 2 2 2 2 2 37 2 6" xfId="10124"/>
    <cellStyle name="Normal 2 2 2 2 2 2 2 37 3" xfId="10125"/>
    <cellStyle name="Normal 2 2 2 2 2 2 2 37 3 2" xfId="10126"/>
    <cellStyle name="Normal 2 2 2 2 2 2 2 37 3 3" xfId="10127"/>
    <cellStyle name="Normal 2 2 2 2 2 2 2 37 3 4" xfId="10128"/>
    <cellStyle name="Normal 2 2 2 2 2 2 2 37 3 5" xfId="10129"/>
    <cellStyle name="Normal 2 2 2 2 2 2 2 37 3 6" xfId="10130"/>
    <cellStyle name="Normal 2 2 2 2 2 2 2 38" xfId="10131"/>
    <cellStyle name="Normal 2 2 2 2 2 2 2 38 2" xfId="10132"/>
    <cellStyle name="Normal 2 2 2 2 2 2 2 38 2 2" xfId="10133"/>
    <cellStyle name="Normal 2 2 2 2 2 2 2 38 2 3" xfId="10134"/>
    <cellStyle name="Normal 2 2 2 2 2 2 2 38 2 4" xfId="10135"/>
    <cellStyle name="Normal 2 2 2 2 2 2 2 38 2 5" xfId="10136"/>
    <cellStyle name="Normal 2 2 2 2 2 2 2 38 2 6" xfId="10137"/>
    <cellStyle name="Normal 2 2 2 2 2 2 2 38 3" xfId="10138"/>
    <cellStyle name="Normal 2 2 2 2 2 2 2 38 3 2" xfId="10139"/>
    <cellStyle name="Normal 2 2 2 2 2 2 2 38 3 3" xfId="10140"/>
    <cellStyle name="Normal 2 2 2 2 2 2 2 38 3 4" xfId="10141"/>
    <cellStyle name="Normal 2 2 2 2 2 2 2 38 3 5" xfId="10142"/>
    <cellStyle name="Normal 2 2 2 2 2 2 2 38 3 6" xfId="10143"/>
    <cellStyle name="Normal 2 2 2 2 2 2 2 39" xfId="10144"/>
    <cellStyle name="Normal 2 2 2 2 2 2 2 39 2" xfId="10145"/>
    <cellStyle name="Normal 2 2 2 2 2 2 2 39 2 2" xfId="10146"/>
    <cellStyle name="Normal 2 2 2 2 2 2 2 39 2 3" xfId="10147"/>
    <cellStyle name="Normal 2 2 2 2 2 2 2 39 2 4" xfId="10148"/>
    <cellStyle name="Normal 2 2 2 2 2 2 2 39 2 5" xfId="10149"/>
    <cellStyle name="Normal 2 2 2 2 2 2 2 39 2 6" xfId="10150"/>
    <cellStyle name="Normal 2 2 2 2 2 2 2 39 3" xfId="10151"/>
    <cellStyle name="Normal 2 2 2 2 2 2 2 39 3 2" xfId="10152"/>
    <cellStyle name="Normal 2 2 2 2 2 2 2 39 3 3" xfId="10153"/>
    <cellStyle name="Normal 2 2 2 2 2 2 2 39 3 4" xfId="10154"/>
    <cellStyle name="Normal 2 2 2 2 2 2 2 39 3 5" xfId="10155"/>
    <cellStyle name="Normal 2 2 2 2 2 2 2 39 3 6" xfId="10156"/>
    <cellStyle name="Normal 2 2 2 2 2 2 2 4" xfId="10157"/>
    <cellStyle name="Normal 2 2 2 2 2 2 2 4 2" xfId="10158"/>
    <cellStyle name="Normal 2 2 2 2 2 2 2 4 2 2" xfId="10159"/>
    <cellStyle name="Normal 2 2 2 2 2 2 2 4 2 3" xfId="10160"/>
    <cellStyle name="Normal 2 2 2 2 2 2 2 4 2 4" xfId="10161"/>
    <cellStyle name="Normal 2 2 2 2 2 2 2 4 2 5" xfId="10162"/>
    <cellStyle name="Normal 2 2 2 2 2 2 2 4 2 6" xfId="10163"/>
    <cellStyle name="Normal 2 2 2 2 2 2 2 4 3" xfId="10164"/>
    <cellStyle name="Normal 2 2 2 2 2 2 2 4 3 2" xfId="10165"/>
    <cellStyle name="Normal 2 2 2 2 2 2 2 4 3 3" xfId="10166"/>
    <cellStyle name="Normal 2 2 2 2 2 2 2 4 3 4" xfId="10167"/>
    <cellStyle name="Normal 2 2 2 2 2 2 2 4 3 5" xfId="10168"/>
    <cellStyle name="Normal 2 2 2 2 2 2 2 4 3 6" xfId="10169"/>
    <cellStyle name="Normal 2 2 2 2 2 2 2 40" xfId="10170"/>
    <cellStyle name="Normal 2 2 2 2 2 2 2 40 2" xfId="10171"/>
    <cellStyle name="Normal 2 2 2 2 2 2 2 40 2 2" xfId="10172"/>
    <cellStyle name="Normal 2 2 2 2 2 2 2 40 2 3" xfId="10173"/>
    <cellStyle name="Normal 2 2 2 2 2 2 2 40 2 4" xfId="10174"/>
    <cellStyle name="Normal 2 2 2 2 2 2 2 40 2 5" xfId="10175"/>
    <cellStyle name="Normal 2 2 2 2 2 2 2 40 2 6" xfId="10176"/>
    <cellStyle name="Normal 2 2 2 2 2 2 2 40 3" xfId="10177"/>
    <cellStyle name="Normal 2 2 2 2 2 2 2 40 3 2" xfId="10178"/>
    <cellStyle name="Normal 2 2 2 2 2 2 2 40 3 3" xfId="10179"/>
    <cellStyle name="Normal 2 2 2 2 2 2 2 40 3 4" xfId="10180"/>
    <cellStyle name="Normal 2 2 2 2 2 2 2 40 3 5" xfId="10181"/>
    <cellStyle name="Normal 2 2 2 2 2 2 2 40 3 6" xfId="10182"/>
    <cellStyle name="Normal 2 2 2 2 2 2 2 41" xfId="10183"/>
    <cellStyle name="Normal 2 2 2 2 2 2 2 41 2" xfId="10184"/>
    <cellStyle name="Normal 2 2 2 2 2 2 2 41 2 2" xfId="10185"/>
    <cellStyle name="Normal 2 2 2 2 2 2 2 41 2 3" xfId="10186"/>
    <cellStyle name="Normal 2 2 2 2 2 2 2 41 2 4" xfId="10187"/>
    <cellStyle name="Normal 2 2 2 2 2 2 2 41 2 5" xfId="10188"/>
    <cellStyle name="Normal 2 2 2 2 2 2 2 41 2 6" xfId="10189"/>
    <cellStyle name="Normal 2 2 2 2 2 2 2 41 3" xfId="10190"/>
    <cellStyle name="Normal 2 2 2 2 2 2 2 41 3 2" xfId="10191"/>
    <cellStyle name="Normal 2 2 2 2 2 2 2 41 3 3" xfId="10192"/>
    <cellStyle name="Normal 2 2 2 2 2 2 2 41 3 4" xfId="10193"/>
    <cellStyle name="Normal 2 2 2 2 2 2 2 41 3 5" xfId="10194"/>
    <cellStyle name="Normal 2 2 2 2 2 2 2 41 3 6" xfId="10195"/>
    <cellStyle name="Normal 2 2 2 2 2 2 2 42" xfId="10196"/>
    <cellStyle name="Normal 2 2 2 2 2 2 2 42 2" xfId="10197"/>
    <cellStyle name="Normal 2 2 2 2 2 2 2 42 2 2" xfId="10198"/>
    <cellStyle name="Normal 2 2 2 2 2 2 2 42 2 3" xfId="10199"/>
    <cellStyle name="Normal 2 2 2 2 2 2 2 42 2 4" xfId="10200"/>
    <cellStyle name="Normal 2 2 2 2 2 2 2 42 2 5" xfId="10201"/>
    <cellStyle name="Normal 2 2 2 2 2 2 2 42 2 6" xfId="10202"/>
    <cellStyle name="Normal 2 2 2 2 2 2 2 42 3" xfId="10203"/>
    <cellStyle name="Normal 2 2 2 2 2 2 2 42 3 2" xfId="10204"/>
    <cellStyle name="Normal 2 2 2 2 2 2 2 42 3 3" xfId="10205"/>
    <cellStyle name="Normal 2 2 2 2 2 2 2 42 3 4" xfId="10206"/>
    <cellStyle name="Normal 2 2 2 2 2 2 2 42 3 5" xfId="10207"/>
    <cellStyle name="Normal 2 2 2 2 2 2 2 42 3 6" xfId="10208"/>
    <cellStyle name="Normal 2 2 2 2 2 2 2 43" xfId="10209"/>
    <cellStyle name="Normal 2 2 2 2 2 2 2 43 2" xfId="10210"/>
    <cellStyle name="Normal 2 2 2 2 2 2 2 43 2 2" xfId="10211"/>
    <cellStyle name="Normal 2 2 2 2 2 2 2 43 2 3" xfId="10212"/>
    <cellStyle name="Normal 2 2 2 2 2 2 2 43 2 4" xfId="10213"/>
    <cellStyle name="Normal 2 2 2 2 2 2 2 43 2 5" xfId="10214"/>
    <cellStyle name="Normal 2 2 2 2 2 2 2 43 2 6" xfId="10215"/>
    <cellStyle name="Normal 2 2 2 2 2 2 2 43 3" xfId="10216"/>
    <cellStyle name="Normal 2 2 2 2 2 2 2 43 3 2" xfId="10217"/>
    <cellStyle name="Normal 2 2 2 2 2 2 2 43 3 3" xfId="10218"/>
    <cellStyle name="Normal 2 2 2 2 2 2 2 43 3 4" xfId="10219"/>
    <cellStyle name="Normal 2 2 2 2 2 2 2 43 3 5" xfId="10220"/>
    <cellStyle name="Normal 2 2 2 2 2 2 2 43 3 6" xfId="10221"/>
    <cellStyle name="Normal 2 2 2 2 2 2 2 44" xfId="10222"/>
    <cellStyle name="Normal 2 2 2 2 2 2 2 44 2" xfId="10223"/>
    <cellStyle name="Normal 2 2 2 2 2 2 2 44 2 2" xfId="10224"/>
    <cellStyle name="Normal 2 2 2 2 2 2 2 44 2 3" xfId="10225"/>
    <cellStyle name="Normal 2 2 2 2 2 2 2 44 2 4" xfId="10226"/>
    <cellStyle name="Normal 2 2 2 2 2 2 2 44 2 5" xfId="10227"/>
    <cellStyle name="Normal 2 2 2 2 2 2 2 44 2 6" xfId="10228"/>
    <cellStyle name="Normal 2 2 2 2 2 2 2 44 3" xfId="10229"/>
    <cellStyle name="Normal 2 2 2 2 2 2 2 44 3 2" xfId="10230"/>
    <cellStyle name="Normal 2 2 2 2 2 2 2 44 3 3" xfId="10231"/>
    <cellStyle name="Normal 2 2 2 2 2 2 2 44 3 4" xfId="10232"/>
    <cellStyle name="Normal 2 2 2 2 2 2 2 44 3 5" xfId="10233"/>
    <cellStyle name="Normal 2 2 2 2 2 2 2 44 3 6" xfId="10234"/>
    <cellStyle name="Normal 2 2 2 2 2 2 2 45" xfId="10235"/>
    <cellStyle name="Normal 2 2 2 2 2 2 2 45 2" xfId="10236"/>
    <cellStyle name="Normal 2 2 2 2 2 2 2 45 2 2" xfId="10237"/>
    <cellStyle name="Normal 2 2 2 2 2 2 2 45 2 3" xfId="10238"/>
    <cellStyle name="Normal 2 2 2 2 2 2 2 45 2 4" xfId="10239"/>
    <cellStyle name="Normal 2 2 2 2 2 2 2 45 2 5" xfId="10240"/>
    <cellStyle name="Normal 2 2 2 2 2 2 2 45 2 6" xfId="10241"/>
    <cellStyle name="Normal 2 2 2 2 2 2 2 45 3" xfId="10242"/>
    <cellStyle name="Normal 2 2 2 2 2 2 2 45 3 2" xfId="10243"/>
    <cellStyle name="Normal 2 2 2 2 2 2 2 45 3 3" xfId="10244"/>
    <cellStyle name="Normal 2 2 2 2 2 2 2 45 3 4" xfId="10245"/>
    <cellStyle name="Normal 2 2 2 2 2 2 2 45 3 5" xfId="10246"/>
    <cellStyle name="Normal 2 2 2 2 2 2 2 45 3 6" xfId="10247"/>
    <cellStyle name="Normal 2 2 2 2 2 2 2 46" xfId="10248"/>
    <cellStyle name="Normal 2 2 2 2 2 2 2 46 2" xfId="10249"/>
    <cellStyle name="Normal 2 2 2 2 2 2 2 46 2 2" xfId="10250"/>
    <cellStyle name="Normal 2 2 2 2 2 2 2 46 2 3" xfId="10251"/>
    <cellStyle name="Normal 2 2 2 2 2 2 2 46 2 4" xfId="10252"/>
    <cellStyle name="Normal 2 2 2 2 2 2 2 46 2 5" xfId="10253"/>
    <cellStyle name="Normal 2 2 2 2 2 2 2 46 2 6" xfId="10254"/>
    <cellStyle name="Normal 2 2 2 2 2 2 2 46 3" xfId="10255"/>
    <cellStyle name="Normal 2 2 2 2 2 2 2 46 3 2" xfId="10256"/>
    <cellStyle name="Normal 2 2 2 2 2 2 2 46 3 3" xfId="10257"/>
    <cellStyle name="Normal 2 2 2 2 2 2 2 46 3 4" xfId="10258"/>
    <cellStyle name="Normal 2 2 2 2 2 2 2 46 3 5" xfId="10259"/>
    <cellStyle name="Normal 2 2 2 2 2 2 2 46 3 6" xfId="10260"/>
    <cellStyle name="Normal 2 2 2 2 2 2 2 47" xfId="10261"/>
    <cellStyle name="Normal 2 2 2 2 2 2 2 47 2" xfId="10262"/>
    <cellStyle name="Normal 2 2 2 2 2 2 2 47 2 2" xfId="10263"/>
    <cellStyle name="Normal 2 2 2 2 2 2 2 47 2 3" xfId="10264"/>
    <cellStyle name="Normal 2 2 2 2 2 2 2 47 2 4" xfId="10265"/>
    <cellStyle name="Normal 2 2 2 2 2 2 2 47 2 5" xfId="10266"/>
    <cellStyle name="Normal 2 2 2 2 2 2 2 47 2 6" xfId="10267"/>
    <cellStyle name="Normal 2 2 2 2 2 2 2 47 3" xfId="10268"/>
    <cellStyle name="Normal 2 2 2 2 2 2 2 47 3 2" xfId="10269"/>
    <cellStyle name="Normal 2 2 2 2 2 2 2 47 3 3" xfId="10270"/>
    <cellStyle name="Normal 2 2 2 2 2 2 2 47 3 4" xfId="10271"/>
    <cellStyle name="Normal 2 2 2 2 2 2 2 47 3 5" xfId="10272"/>
    <cellStyle name="Normal 2 2 2 2 2 2 2 47 3 6" xfId="10273"/>
    <cellStyle name="Normal 2 2 2 2 2 2 2 48" xfId="10274"/>
    <cellStyle name="Normal 2 2 2 2 2 2 2 48 2" xfId="10275"/>
    <cellStyle name="Normal 2 2 2 2 2 2 2 48 2 2" xfId="10276"/>
    <cellStyle name="Normal 2 2 2 2 2 2 2 48 2 3" xfId="10277"/>
    <cellStyle name="Normal 2 2 2 2 2 2 2 48 2 4" xfId="10278"/>
    <cellStyle name="Normal 2 2 2 2 2 2 2 48 2 5" xfId="10279"/>
    <cellStyle name="Normal 2 2 2 2 2 2 2 48 2 6" xfId="10280"/>
    <cellStyle name="Normal 2 2 2 2 2 2 2 48 3" xfId="10281"/>
    <cellStyle name="Normal 2 2 2 2 2 2 2 48 3 2" xfId="10282"/>
    <cellStyle name="Normal 2 2 2 2 2 2 2 48 3 3" xfId="10283"/>
    <cellStyle name="Normal 2 2 2 2 2 2 2 48 3 4" xfId="10284"/>
    <cellStyle name="Normal 2 2 2 2 2 2 2 48 3 5" xfId="10285"/>
    <cellStyle name="Normal 2 2 2 2 2 2 2 48 3 6" xfId="10286"/>
    <cellStyle name="Normal 2 2 2 2 2 2 2 49" xfId="10287"/>
    <cellStyle name="Normal 2 2 2 2 2 2 2 49 2" xfId="10288"/>
    <cellStyle name="Normal 2 2 2 2 2 2 2 49 2 2" xfId="10289"/>
    <cellStyle name="Normal 2 2 2 2 2 2 2 49 2 3" xfId="10290"/>
    <cellStyle name="Normal 2 2 2 2 2 2 2 49 2 4" xfId="10291"/>
    <cellStyle name="Normal 2 2 2 2 2 2 2 49 2 5" xfId="10292"/>
    <cellStyle name="Normal 2 2 2 2 2 2 2 49 2 6" xfId="10293"/>
    <cellStyle name="Normal 2 2 2 2 2 2 2 49 3" xfId="10294"/>
    <cellStyle name="Normal 2 2 2 2 2 2 2 49 3 2" xfId="10295"/>
    <cellStyle name="Normal 2 2 2 2 2 2 2 49 3 3" xfId="10296"/>
    <cellStyle name="Normal 2 2 2 2 2 2 2 49 3 4" xfId="10297"/>
    <cellStyle name="Normal 2 2 2 2 2 2 2 49 3 5" xfId="10298"/>
    <cellStyle name="Normal 2 2 2 2 2 2 2 49 3 6" xfId="10299"/>
    <cellStyle name="Normal 2 2 2 2 2 2 2 5" xfId="10300"/>
    <cellStyle name="Normal 2 2 2 2 2 2 2 5 2" xfId="10301"/>
    <cellStyle name="Normal 2 2 2 2 2 2 2 5 2 2" xfId="10302"/>
    <cellStyle name="Normal 2 2 2 2 2 2 2 5 2 3" xfId="10303"/>
    <cellStyle name="Normal 2 2 2 2 2 2 2 5 2 4" xfId="10304"/>
    <cellStyle name="Normal 2 2 2 2 2 2 2 5 2 5" xfId="10305"/>
    <cellStyle name="Normal 2 2 2 2 2 2 2 5 2 6" xfId="10306"/>
    <cellStyle name="Normal 2 2 2 2 2 2 2 5 3" xfId="10307"/>
    <cellStyle name="Normal 2 2 2 2 2 2 2 5 3 2" xfId="10308"/>
    <cellStyle name="Normal 2 2 2 2 2 2 2 5 3 3" xfId="10309"/>
    <cellStyle name="Normal 2 2 2 2 2 2 2 5 3 4" xfId="10310"/>
    <cellStyle name="Normal 2 2 2 2 2 2 2 5 3 5" xfId="10311"/>
    <cellStyle name="Normal 2 2 2 2 2 2 2 5 3 6" xfId="10312"/>
    <cellStyle name="Normal 2 2 2 2 2 2 2 50" xfId="10313"/>
    <cellStyle name="Normal 2 2 2 2 2 2 2 50 2" xfId="10314"/>
    <cellStyle name="Normal 2 2 2 2 2 2 2 50 2 2" xfId="10315"/>
    <cellStyle name="Normal 2 2 2 2 2 2 2 50 2 3" xfId="10316"/>
    <cellStyle name="Normal 2 2 2 2 2 2 2 50 2 4" xfId="10317"/>
    <cellStyle name="Normal 2 2 2 2 2 2 2 50 2 5" xfId="10318"/>
    <cellStyle name="Normal 2 2 2 2 2 2 2 50 2 6" xfId="10319"/>
    <cellStyle name="Normal 2 2 2 2 2 2 2 50 3" xfId="10320"/>
    <cellStyle name="Normal 2 2 2 2 2 2 2 50 3 2" xfId="10321"/>
    <cellStyle name="Normal 2 2 2 2 2 2 2 50 3 3" xfId="10322"/>
    <cellStyle name="Normal 2 2 2 2 2 2 2 50 3 4" xfId="10323"/>
    <cellStyle name="Normal 2 2 2 2 2 2 2 50 3 5" xfId="10324"/>
    <cellStyle name="Normal 2 2 2 2 2 2 2 50 3 6" xfId="10325"/>
    <cellStyle name="Normal 2 2 2 2 2 2 2 51" xfId="10326"/>
    <cellStyle name="Normal 2 2 2 2 2 2 2 51 2" xfId="10327"/>
    <cellStyle name="Normal 2 2 2 2 2 2 2 51 2 2" xfId="10328"/>
    <cellStyle name="Normal 2 2 2 2 2 2 2 51 2 3" xfId="10329"/>
    <cellStyle name="Normal 2 2 2 2 2 2 2 51 2 4" xfId="10330"/>
    <cellStyle name="Normal 2 2 2 2 2 2 2 51 2 5" xfId="10331"/>
    <cellStyle name="Normal 2 2 2 2 2 2 2 51 2 6" xfId="10332"/>
    <cellStyle name="Normal 2 2 2 2 2 2 2 51 3" xfId="10333"/>
    <cellStyle name="Normal 2 2 2 2 2 2 2 51 3 2" xfId="10334"/>
    <cellStyle name="Normal 2 2 2 2 2 2 2 51 3 3" xfId="10335"/>
    <cellStyle name="Normal 2 2 2 2 2 2 2 51 3 4" xfId="10336"/>
    <cellStyle name="Normal 2 2 2 2 2 2 2 51 3 5" xfId="10337"/>
    <cellStyle name="Normal 2 2 2 2 2 2 2 51 3 6" xfId="10338"/>
    <cellStyle name="Normal 2 2 2 2 2 2 2 52" xfId="10339"/>
    <cellStyle name="Normal 2 2 2 2 2 2 2 52 2" xfId="10340"/>
    <cellStyle name="Normal 2 2 2 2 2 2 2 52 2 2" xfId="10341"/>
    <cellStyle name="Normal 2 2 2 2 2 2 2 52 2 3" xfId="10342"/>
    <cellStyle name="Normal 2 2 2 2 2 2 2 52 2 4" xfId="10343"/>
    <cellStyle name="Normal 2 2 2 2 2 2 2 52 2 5" xfId="10344"/>
    <cellStyle name="Normal 2 2 2 2 2 2 2 52 2 6" xfId="10345"/>
    <cellStyle name="Normal 2 2 2 2 2 2 2 52 3" xfId="10346"/>
    <cellStyle name="Normal 2 2 2 2 2 2 2 52 3 2" xfId="10347"/>
    <cellStyle name="Normal 2 2 2 2 2 2 2 52 3 3" xfId="10348"/>
    <cellStyle name="Normal 2 2 2 2 2 2 2 52 3 4" xfId="10349"/>
    <cellStyle name="Normal 2 2 2 2 2 2 2 52 3 5" xfId="10350"/>
    <cellStyle name="Normal 2 2 2 2 2 2 2 52 3 6" xfId="10351"/>
    <cellStyle name="Normal 2 2 2 2 2 2 2 53" xfId="10352"/>
    <cellStyle name="Normal 2 2 2 2 2 2 2 53 2" xfId="10353"/>
    <cellStyle name="Normal 2 2 2 2 2 2 2 53 2 2" xfId="10354"/>
    <cellStyle name="Normal 2 2 2 2 2 2 2 53 2 3" xfId="10355"/>
    <cellStyle name="Normal 2 2 2 2 2 2 2 53 2 4" xfId="10356"/>
    <cellStyle name="Normal 2 2 2 2 2 2 2 53 2 5" xfId="10357"/>
    <cellStyle name="Normal 2 2 2 2 2 2 2 53 2 6" xfId="10358"/>
    <cellStyle name="Normal 2 2 2 2 2 2 2 53 3" xfId="10359"/>
    <cellStyle name="Normal 2 2 2 2 2 2 2 53 3 2" xfId="10360"/>
    <cellStyle name="Normal 2 2 2 2 2 2 2 53 3 3" xfId="10361"/>
    <cellStyle name="Normal 2 2 2 2 2 2 2 53 3 4" xfId="10362"/>
    <cellStyle name="Normal 2 2 2 2 2 2 2 53 3 5" xfId="10363"/>
    <cellStyle name="Normal 2 2 2 2 2 2 2 53 3 6" xfId="10364"/>
    <cellStyle name="Normal 2 2 2 2 2 2 2 54" xfId="10365"/>
    <cellStyle name="Normal 2 2 2 2 2 2 2 54 2" xfId="10366"/>
    <cellStyle name="Normal 2 2 2 2 2 2 2 54 2 2" xfId="10367"/>
    <cellStyle name="Normal 2 2 2 2 2 2 2 54 2 3" xfId="10368"/>
    <cellStyle name="Normal 2 2 2 2 2 2 2 54 2 4" xfId="10369"/>
    <cellStyle name="Normal 2 2 2 2 2 2 2 54 2 5" xfId="10370"/>
    <cellStyle name="Normal 2 2 2 2 2 2 2 54 2 6" xfId="10371"/>
    <cellStyle name="Normal 2 2 2 2 2 2 2 54 3" xfId="10372"/>
    <cellStyle name="Normal 2 2 2 2 2 2 2 54 3 2" xfId="10373"/>
    <cellStyle name="Normal 2 2 2 2 2 2 2 54 3 3" xfId="10374"/>
    <cellStyle name="Normal 2 2 2 2 2 2 2 54 3 4" xfId="10375"/>
    <cellStyle name="Normal 2 2 2 2 2 2 2 54 3 5" xfId="10376"/>
    <cellStyle name="Normal 2 2 2 2 2 2 2 54 3 6" xfId="10377"/>
    <cellStyle name="Normal 2 2 2 2 2 2 2 55" xfId="10378"/>
    <cellStyle name="Normal 2 2 2 2 2 2 2 55 2" xfId="10379"/>
    <cellStyle name="Normal 2 2 2 2 2 2 2 55 2 2" xfId="10380"/>
    <cellStyle name="Normal 2 2 2 2 2 2 2 55 2 3" xfId="10381"/>
    <cellStyle name="Normal 2 2 2 2 2 2 2 55 2 4" xfId="10382"/>
    <cellStyle name="Normal 2 2 2 2 2 2 2 55 2 5" xfId="10383"/>
    <cellStyle name="Normal 2 2 2 2 2 2 2 55 2 6" xfId="10384"/>
    <cellStyle name="Normal 2 2 2 2 2 2 2 55 3" xfId="10385"/>
    <cellStyle name="Normal 2 2 2 2 2 2 2 55 3 2" xfId="10386"/>
    <cellStyle name="Normal 2 2 2 2 2 2 2 55 3 3" xfId="10387"/>
    <cellStyle name="Normal 2 2 2 2 2 2 2 55 3 4" xfId="10388"/>
    <cellStyle name="Normal 2 2 2 2 2 2 2 55 3 5" xfId="10389"/>
    <cellStyle name="Normal 2 2 2 2 2 2 2 55 3 6" xfId="10390"/>
    <cellStyle name="Normal 2 2 2 2 2 2 2 56" xfId="10391"/>
    <cellStyle name="Normal 2 2 2 2 2 2 2 56 2" xfId="10392"/>
    <cellStyle name="Normal 2 2 2 2 2 2 2 56 2 2" xfId="10393"/>
    <cellStyle name="Normal 2 2 2 2 2 2 2 56 2 3" xfId="10394"/>
    <cellStyle name="Normal 2 2 2 2 2 2 2 56 2 4" xfId="10395"/>
    <cellStyle name="Normal 2 2 2 2 2 2 2 56 2 5" xfId="10396"/>
    <cellStyle name="Normal 2 2 2 2 2 2 2 56 2 6" xfId="10397"/>
    <cellStyle name="Normal 2 2 2 2 2 2 2 56 3" xfId="10398"/>
    <cellStyle name="Normal 2 2 2 2 2 2 2 56 3 2" xfId="10399"/>
    <cellStyle name="Normal 2 2 2 2 2 2 2 56 3 3" xfId="10400"/>
    <cellStyle name="Normal 2 2 2 2 2 2 2 56 3 4" xfId="10401"/>
    <cellStyle name="Normal 2 2 2 2 2 2 2 56 3 5" xfId="10402"/>
    <cellStyle name="Normal 2 2 2 2 2 2 2 56 3 6" xfId="10403"/>
    <cellStyle name="Normal 2 2 2 2 2 2 2 57" xfId="10404"/>
    <cellStyle name="Normal 2 2 2 2 2 2 2 57 2" xfId="10405"/>
    <cellStyle name="Normal 2 2 2 2 2 2 2 57 2 2" xfId="10406"/>
    <cellStyle name="Normal 2 2 2 2 2 2 2 57 2 3" xfId="10407"/>
    <cellStyle name="Normal 2 2 2 2 2 2 2 57 2 4" xfId="10408"/>
    <cellStyle name="Normal 2 2 2 2 2 2 2 57 2 5" xfId="10409"/>
    <cellStyle name="Normal 2 2 2 2 2 2 2 57 2 6" xfId="10410"/>
    <cellStyle name="Normal 2 2 2 2 2 2 2 57 3" xfId="10411"/>
    <cellStyle name="Normal 2 2 2 2 2 2 2 57 3 2" xfId="10412"/>
    <cellStyle name="Normal 2 2 2 2 2 2 2 57 3 3" xfId="10413"/>
    <cellStyle name="Normal 2 2 2 2 2 2 2 57 3 4" xfId="10414"/>
    <cellStyle name="Normal 2 2 2 2 2 2 2 57 3 5" xfId="10415"/>
    <cellStyle name="Normal 2 2 2 2 2 2 2 57 3 6" xfId="10416"/>
    <cellStyle name="Normal 2 2 2 2 2 2 2 58" xfId="10417"/>
    <cellStyle name="Normal 2 2 2 2 2 2 2 58 2" xfId="10418"/>
    <cellStyle name="Normal 2 2 2 2 2 2 2 58 2 2" xfId="10419"/>
    <cellStyle name="Normal 2 2 2 2 2 2 2 58 2 3" xfId="10420"/>
    <cellStyle name="Normal 2 2 2 2 2 2 2 58 2 4" xfId="10421"/>
    <cellStyle name="Normal 2 2 2 2 2 2 2 58 2 5" xfId="10422"/>
    <cellStyle name="Normal 2 2 2 2 2 2 2 58 2 6" xfId="10423"/>
    <cellStyle name="Normal 2 2 2 2 2 2 2 58 3" xfId="10424"/>
    <cellStyle name="Normal 2 2 2 2 2 2 2 58 3 2" xfId="10425"/>
    <cellStyle name="Normal 2 2 2 2 2 2 2 58 3 3" xfId="10426"/>
    <cellStyle name="Normal 2 2 2 2 2 2 2 58 3 4" xfId="10427"/>
    <cellStyle name="Normal 2 2 2 2 2 2 2 58 3 5" xfId="10428"/>
    <cellStyle name="Normal 2 2 2 2 2 2 2 58 3 6" xfId="10429"/>
    <cellStyle name="Normal 2 2 2 2 2 2 2 59" xfId="10430"/>
    <cellStyle name="Normal 2 2 2 2 2 2 2 59 2" xfId="10431"/>
    <cellStyle name="Normal 2 2 2 2 2 2 2 59 2 2" xfId="10432"/>
    <cellStyle name="Normal 2 2 2 2 2 2 2 59 2 3" xfId="10433"/>
    <cellStyle name="Normal 2 2 2 2 2 2 2 59 2 4" xfId="10434"/>
    <cellStyle name="Normal 2 2 2 2 2 2 2 59 2 5" xfId="10435"/>
    <cellStyle name="Normal 2 2 2 2 2 2 2 59 2 6" xfId="10436"/>
    <cellStyle name="Normal 2 2 2 2 2 2 2 59 3" xfId="10437"/>
    <cellStyle name="Normal 2 2 2 2 2 2 2 59 3 2" xfId="10438"/>
    <cellStyle name="Normal 2 2 2 2 2 2 2 59 3 3" xfId="10439"/>
    <cellStyle name="Normal 2 2 2 2 2 2 2 59 3 4" xfId="10440"/>
    <cellStyle name="Normal 2 2 2 2 2 2 2 59 3 5" xfId="10441"/>
    <cellStyle name="Normal 2 2 2 2 2 2 2 59 3 6" xfId="10442"/>
    <cellStyle name="Normal 2 2 2 2 2 2 2 6" xfId="10443"/>
    <cellStyle name="Normal 2 2 2 2 2 2 2 6 2" xfId="10444"/>
    <cellStyle name="Normal 2 2 2 2 2 2 2 6 2 2" xfId="10445"/>
    <cellStyle name="Normal 2 2 2 2 2 2 2 6 2 3" xfId="10446"/>
    <cellStyle name="Normal 2 2 2 2 2 2 2 6 2 4" xfId="10447"/>
    <cellStyle name="Normal 2 2 2 2 2 2 2 6 2 5" xfId="10448"/>
    <cellStyle name="Normal 2 2 2 2 2 2 2 6 2 6" xfId="10449"/>
    <cellStyle name="Normal 2 2 2 2 2 2 2 6 3" xfId="10450"/>
    <cellStyle name="Normal 2 2 2 2 2 2 2 6 3 2" xfId="10451"/>
    <cellStyle name="Normal 2 2 2 2 2 2 2 6 3 3" xfId="10452"/>
    <cellStyle name="Normal 2 2 2 2 2 2 2 6 3 4" xfId="10453"/>
    <cellStyle name="Normal 2 2 2 2 2 2 2 6 3 5" xfId="10454"/>
    <cellStyle name="Normal 2 2 2 2 2 2 2 6 3 6" xfId="10455"/>
    <cellStyle name="Normal 2 2 2 2 2 2 2 60" xfId="10456"/>
    <cellStyle name="Normal 2 2 2 2 2 2 2 60 2" xfId="10457"/>
    <cellStyle name="Normal 2 2 2 2 2 2 2 60 2 2" xfId="10458"/>
    <cellStyle name="Normal 2 2 2 2 2 2 2 60 2 3" xfId="10459"/>
    <cellStyle name="Normal 2 2 2 2 2 2 2 60 2 4" xfId="10460"/>
    <cellStyle name="Normal 2 2 2 2 2 2 2 60 2 5" xfId="10461"/>
    <cellStyle name="Normal 2 2 2 2 2 2 2 60 2 6" xfId="10462"/>
    <cellStyle name="Normal 2 2 2 2 2 2 2 60 3" xfId="10463"/>
    <cellStyle name="Normal 2 2 2 2 2 2 2 60 3 2" xfId="10464"/>
    <cellStyle name="Normal 2 2 2 2 2 2 2 60 3 3" xfId="10465"/>
    <cellStyle name="Normal 2 2 2 2 2 2 2 60 3 4" xfId="10466"/>
    <cellStyle name="Normal 2 2 2 2 2 2 2 60 3 5" xfId="10467"/>
    <cellStyle name="Normal 2 2 2 2 2 2 2 60 3 6" xfId="10468"/>
    <cellStyle name="Normal 2 2 2 2 2 2 2 61" xfId="10469"/>
    <cellStyle name="Normal 2 2 2 2 2 2 2 61 2" xfId="10470"/>
    <cellStyle name="Normal 2 2 2 2 2 2 2 61 2 2" xfId="10471"/>
    <cellStyle name="Normal 2 2 2 2 2 2 2 61 2 3" xfId="10472"/>
    <cellStyle name="Normal 2 2 2 2 2 2 2 61 2 4" xfId="10473"/>
    <cellStyle name="Normal 2 2 2 2 2 2 2 61 2 5" xfId="10474"/>
    <cellStyle name="Normal 2 2 2 2 2 2 2 61 2 6" xfId="10475"/>
    <cellStyle name="Normal 2 2 2 2 2 2 2 61 3" xfId="10476"/>
    <cellStyle name="Normal 2 2 2 2 2 2 2 61 3 2" xfId="10477"/>
    <cellStyle name="Normal 2 2 2 2 2 2 2 61 3 3" xfId="10478"/>
    <cellStyle name="Normal 2 2 2 2 2 2 2 61 3 4" xfId="10479"/>
    <cellStyle name="Normal 2 2 2 2 2 2 2 61 3 5" xfId="10480"/>
    <cellStyle name="Normal 2 2 2 2 2 2 2 61 3 6" xfId="10481"/>
    <cellStyle name="Normal 2 2 2 2 2 2 2 62" xfId="10482"/>
    <cellStyle name="Normal 2 2 2 2 2 2 2 62 2" xfId="10483"/>
    <cellStyle name="Normal 2 2 2 2 2 2 2 62 2 2" xfId="10484"/>
    <cellStyle name="Normal 2 2 2 2 2 2 2 62 2 3" xfId="10485"/>
    <cellStyle name="Normal 2 2 2 2 2 2 2 62 2 4" xfId="10486"/>
    <cellStyle name="Normal 2 2 2 2 2 2 2 62 2 5" xfId="10487"/>
    <cellStyle name="Normal 2 2 2 2 2 2 2 62 2 6" xfId="10488"/>
    <cellStyle name="Normal 2 2 2 2 2 2 2 62 3" xfId="10489"/>
    <cellStyle name="Normal 2 2 2 2 2 2 2 62 3 2" xfId="10490"/>
    <cellStyle name="Normal 2 2 2 2 2 2 2 62 3 3" xfId="10491"/>
    <cellStyle name="Normal 2 2 2 2 2 2 2 62 3 4" xfId="10492"/>
    <cellStyle name="Normal 2 2 2 2 2 2 2 62 3 5" xfId="10493"/>
    <cellStyle name="Normal 2 2 2 2 2 2 2 62 3 6" xfId="10494"/>
    <cellStyle name="Normal 2 2 2 2 2 2 2 63" xfId="10495"/>
    <cellStyle name="Normal 2 2 2 2 2 2 2 63 2" xfId="10496"/>
    <cellStyle name="Normal 2 2 2 2 2 2 2 63 2 2" xfId="10497"/>
    <cellStyle name="Normal 2 2 2 2 2 2 2 63 2 3" xfId="10498"/>
    <cellStyle name="Normal 2 2 2 2 2 2 2 63 2 4" xfId="10499"/>
    <cellStyle name="Normal 2 2 2 2 2 2 2 63 2 5" xfId="10500"/>
    <cellStyle name="Normal 2 2 2 2 2 2 2 63 2 6" xfId="10501"/>
    <cellStyle name="Normal 2 2 2 2 2 2 2 63 3" xfId="10502"/>
    <cellStyle name="Normal 2 2 2 2 2 2 2 63 3 2" xfId="10503"/>
    <cellStyle name="Normal 2 2 2 2 2 2 2 63 3 3" xfId="10504"/>
    <cellStyle name="Normal 2 2 2 2 2 2 2 63 3 4" xfId="10505"/>
    <cellStyle name="Normal 2 2 2 2 2 2 2 63 3 5" xfId="10506"/>
    <cellStyle name="Normal 2 2 2 2 2 2 2 63 3 6" xfId="10507"/>
    <cellStyle name="Normal 2 2 2 2 2 2 2 64" xfId="10508"/>
    <cellStyle name="Normal 2 2 2 2 2 2 2 64 2" xfId="10509"/>
    <cellStyle name="Normal 2 2 2 2 2 2 2 64 2 2" xfId="10510"/>
    <cellStyle name="Normal 2 2 2 2 2 2 2 64 2 3" xfId="10511"/>
    <cellStyle name="Normal 2 2 2 2 2 2 2 64 2 4" xfId="10512"/>
    <cellStyle name="Normal 2 2 2 2 2 2 2 64 2 5" xfId="10513"/>
    <cellStyle name="Normal 2 2 2 2 2 2 2 64 2 6" xfId="10514"/>
    <cellStyle name="Normal 2 2 2 2 2 2 2 64 3" xfId="10515"/>
    <cellStyle name="Normal 2 2 2 2 2 2 2 64 3 2" xfId="10516"/>
    <cellStyle name="Normal 2 2 2 2 2 2 2 64 3 3" xfId="10517"/>
    <cellStyle name="Normal 2 2 2 2 2 2 2 64 3 4" xfId="10518"/>
    <cellStyle name="Normal 2 2 2 2 2 2 2 64 3 5" xfId="10519"/>
    <cellStyle name="Normal 2 2 2 2 2 2 2 64 3 6" xfId="10520"/>
    <cellStyle name="Normal 2 2 2 2 2 2 2 65" xfId="10521"/>
    <cellStyle name="Normal 2 2 2 2 2 2 2 65 2" xfId="10522"/>
    <cellStyle name="Normal 2 2 2 2 2 2 2 65 2 2" xfId="10523"/>
    <cellStyle name="Normal 2 2 2 2 2 2 2 65 2 3" xfId="10524"/>
    <cellStyle name="Normal 2 2 2 2 2 2 2 65 2 4" xfId="10525"/>
    <cellStyle name="Normal 2 2 2 2 2 2 2 65 2 5" xfId="10526"/>
    <cellStyle name="Normal 2 2 2 2 2 2 2 65 2 6" xfId="10527"/>
    <cellStyle name="Normal 2 2 2 2 2 2 2 65 3" xfId="10528"/>
    <cellStyle name="Normal 2 2 2 2 2 2 2 65 3 2" xfId="10529"/>
    <cellStyle name="Normal 2 2 2 2 2 2 2 65 3 3" xfId="10530"/>
    <cellStyle name="Normal 2 2 2 2 2 2 2 65 3 4" xfId="10531"/>
    <cellStyle name="Normal 2 2 2 2 2 2 2 65 3 5" xfId="10532"/>
    <cellStyle name="Normal 2 2 2 2 2 2 2 65 3 6" xfId="10533"/>
    <cellStyle name="Normal 2 2 2 2 2 2 2 66" xfId="10534"/>
    <cellStyle name="Normal 2 2 2 2 2 2 2 66 2" xfId="10535"/>
    <cellStyle name="Normal 2 2 2 2 2 2 2 66 2 2" xfId="10536"/>
    <cellStyle name="Normal 2 2 2 2 2 2 2 66 2 3" xfId="10537"/>
    <cellStyle name="Normal 2 2 2 2 2 2 2 66 2 4" xfId="10538"/>
    <cellStyle name="Normal 2 2 2 2 2 2 2 66 2 5" xfId="10539"/>
    <cellStyle name="Normal 2 2 2 2 2 2 2 66 2 6" xfId="10540"/>
    <cellStyle name="Normal 2 2 2 2 2 2 2 66 3" xfId="10541"/>
    <cellStyle name="Normal 2 2 2 2 2 2 2 66 3 2" xfId="10542"/>
    <cellStyle name="Normal 2 2 2 2 2 2 2 66 3 3" xfId="10543"/>
    <cellStyle name="Normal 2 2 2 2 2 2 2 66 3 4" xfId="10544"/>
    <cellStyle name="Normal 2 2 2 2 2 2 2 66 3 5" xfId="10545"/>
    <cellStyle name="Normal 2 2 2 2 2 2 2 66 3 6" xfId="10546"/>
    <cellStyle name="Normal 2 2 2 2 2 2 2 67" xfId="10547"/>
    <cellStyle name="Normal 2 2 2 2 2 2 2 67 2" xfId="10548"/>
    <cellStyle name="Normal 2 2 2 2 2 2 2 67 2 2" xfId="10549"/>
    <cellStyle name="Normal 2 2 2 2 2 2 2 67 2 3" xfId="10550"/>
    <cellStyle name="Normal 2 2 2 2 2 2 2 67 2 4" xfId="10551"/>
    <cellStyle name="Normal 2 2 2 2 2 2 2 67 2 5" xfId="10552"/>
    <cellStyle name="Normal 2 2 2 2 2 2 2 67 2 6" xfId="10553"/>
    <cellStyle name="Normal 2 2 2 2 2 2 2 67 3" xfId="10554"/>
    <cellStyle name="Normal 2 2 2 2 2 2 2 67 3 2" xfId="10555"/>
    <cellStyle name="Normal 2 2 2 2 2 2 2 67 3 3" xfId="10556"/>
    <cellStyle name="Normal 2 2 2 2 2 2 2 67 3 4" xfId="10557"/>
    <cellStyle name="Normal 2 2 2 2 2 2 2 67 3 5" xfId="10558"/>
    <cellStyle name="Normal 2 2 2 2 2 2 2 67 3 6" xfId="10559"/>
    <cellStyle name="Normal 2 2 2 2 2 2 2 68" xfId="10560"/>
    <cellStyle name="Normal 2 2 2 2 2 2 2 68 2" xfId="10561"/>
    <cellStyle name="Normal 2 2 2 2 2 2 2 68 2 2" xfId="10562"/>
    <cellStyle name="Normal 2 2 2 2 2 2 2 68 2 3" xfId="10563"/>
    <cellStyle name="Normal 2 2 2 2 2 2 2 68 2 4" xfId="10564"/>
    <cellStyle name="Normal 2 2 2 2 2 2 2 68 2 5" xfId="10565"/>
    <cellStyle name="Normal 2 2 2 2 2 2 2 68 2 6" xfId="10566"/>
    <cellStyle name="Normal 2 2 2 2 2 2 2 68 3" xfId="10567"/>
    <cellStyle name="Normal 2 2 2 2 2 2 2 68 3 2" xfId="10568"/>
    <cellStyle name="Normal 2 2 2 2 2 2 2 68 3 3" xfId="10569"/>
    <cellStyle name="Normal 2 2 2 2 2 2 2 68 3 4" xfId="10570"/>
    <cellStyle name="Normal 2 2 2 2 2 2 2 68 3 5" xfId="10571"/>
    <cellStyle name="Normal 2 2 2 2 2 2 2 68 3 6" xfId="10572"/>
    <cellStyle name="Normal 2 2 2 2 2 2 2 69" xfId="10573"/>
    <cellStyle name="Normal 2 2 2 2 2 2 2 69 2" xfId="10574"/>
    <cellStyle name="Normal 2 2 2 2 2 2 2 69 2 2" xfId="10575"/>
    <cellStyle name="Normal 2 2 2 2 2 2 2 69 2 3" xfId="10576"/>
    <cellStyle name="Normal 2 2 2 2 2 2 2 69 2 4" xfId="10577"/>
    <cellStyle name="Normal 2 2 2 2 2 2 2 69 2 5" xfId="10578"/>
    <cellStyle name="Normal 2 2 2 2 2 2 2 69 2 6" xfId="10579"/>
    <cellStyle name="Normal 2 2 2 2 2 2 2 69 3" xfId="10580"/>
    <cellStyle name="Normal 2 2 2 2 2 2 2 69 3 2" xfId="10581"/>
    <cellStyle name="Normal 2 2 2 2 2 2 2 69 3 3" xfId="10582"/>
    <cellStyle name="Normal 2 2 2 2 2 2 2 69 3 4" xfId="10583"/>
    <cellStyle name="Normal 2 2 2 2 2 2 2 69 3 5" xfId="10584"/>
    <cellStyle name="Normal 2 2 2 2 2 2 2 69 3 6" xfId="10585"/>
    <cellStyle name="Normal 2 2 2 2 2 2 2 7" xfId="10586"/>
    <cellStyle name="Normal 2 2 2 2 2 2 2 7 2" xfId="10587"/>
    <cellStyle name="Normal 2 2 2 2 2 2 2 7 2 2" xfId="10588"/>
    <cellStyle name="Normal 2 2 2 2 2 2 2 7 2 3" xfId="10589"/>
    <cellStyle name="Normal 2 2 2 2 2 2 2 7 2 4" xfId="10590"/>
    <cellStyle name="Normal 2 2 2 2 2 2 2 7 2 5" xfId="10591"/>
    <cellStyle name="Normal 2 2 2 2 2 2 2 7 2 6" xfId="10592"/>
    <cellStyle name="Normal 2 2 2 2 2 2 2 7 3" xfId="10593"/>
    <cellStyle name="Normal 2 2 2 2 2 2 2 7 3 2" xfId="10594"/>
    <cellStyle name="Normal 2 2 2 2 2 2 2 7 3 3" xfId="10595"/>
    <cellStyle name="Normal 2 2 2 2 2 2 2 7 3 4" xfId="10596"/>
    <cellStyle name="Normal 2 2 2 2 2 2 2 7 3 5" xfId="10597"/>
    <cellStyle name="Normal 2 2 2 2 2 2 2 7 3 6" xfId="10598"/>
    <cellStyle name="Normal 2 2 2 2 2 2 2 70" xfId="10599"/>
    <cellStyle name="Normal 2 2 2 2 2 2 2 70 2" xfId="10600"/>
    <cellStyle name="Normal 2 2 2 2 2 2 2 70 2 2" xfId="10601"/>
    <cellStyle name="Normal 2 2 2 2 2 2 2 70 2 3" xfId="10602"/>
    <cellStyle name="Normal 2 2 2 2 2 2 2 70 2 4" xfId="10603"/>
    <cellStyle name="Normal 2 2 2 2 2 2 2 70 2 5" xfId="10604"/>
    <cellStyle name="Normal 2 2 2 2 2 2 2 70 2 6" xfId="10605"/>
    <cellStyle name="Normal 2 2 2 2 2 2 2 70 3" xfId="10606"/>
    <cellStyle name="Normal 2 2 2 2 2 2 2 70 3 2" xfId="10607"/>
    <cellStyle name="Normal 2 2 2 2 2 2 2 70 3 3" xfId="10608"/>
    <cellStyle name="Normal 2 2 2 2 2 2 2 70 3 4" xfId="10609"/>
    <cellStyle name="Normal 2 2 2 2 2 2 2 70 3 5" xfId="10610"/>
    <cellStyle name="Normal 2 2 2 2 2 2 2 70 3 6" xfId="10611"/>
    <cellStyle name="Normal 2 2 2 2 2 2 2 71" xfId="10612"/>
    <cellStyle name="Normal 2 2 2 2 2 2 2 71 2" xfId="10613"/>
    <cellStyle name="Normal 2 2 2 2 2 2 2 71 2 2" xfId="10614"/>
    <cellStyle name="Normal 2 2 2 2 2 2 2 71 2 3" xfId="10615"/>
    <cellStyle name="Normal 2 2 2 2 2 2 2 71 2 4" xfId="10616"/>
    <cellStyle name="Normal 2 2 2 2 2 2 2 71 2 5" xfId="10617"/>
    <cellStyle name="Normal 2 2 2 2 2 2 2 71 2 6" xfId="10618"/>
    <cellStyle name="Normal 2 2 2 2 2 2 2 71 3" xfId="10619"/>
    <cellStyle name="Normal 2 2 2 2 2 2 2 71 3 2" xfId="10620"/>
    <cellStyle name="Normal 2 2 2 2 2 2 2 71 3 3" xfId="10621"/>
    <cellStyle name="Normal 2 2 2 2 2 2 2 71 3 4" xfId="10622"/>
    <cellStyle name="Normal 2 2 2 2 2 2 2 71 3 5" xfId="10623"/>
    <cellStyle name="Normal 2 2 2 2 2 2 2 71 3 6" xfId="10624"/>
    <cellStyle name="Normal 2 2 2 2 2 2 2 72" xfId="10625"/>
    <cellStyle name="Normal 2 2 2 2 2 2 2 72 2" xfId="10626"/>
    <cellStyle name="Normal 2 2 2 2 2 2 2 72 2 2" xfId="10627"/>
    <cellStyle name="Normal 2 2 2 2 2 2 2 72 2 3" xfId="10628"/>
    <cellStyle name="Normal 2 2 2 2 2 2 2 72 2 4" xfId="10629"/>
    <cellStyle name="Normal 2 2 2 2 2 2 2 72 2 5" xfId="10630"/>
    <cellStyle name="Normal 2 2 2 2 2 2 2 72 2 6" xfId="10631"/>
    <cellStyle name="Normal 2 2 2 2 2 2 2 72 3" xfId="10632"/>
    <cellStyle name="Normal 2 2 2 2 2 2 2 72 3 2" xfId="10633"/>
    <cellStyle name="Normal 2 2 2 2 2 2 2 72 3 3" xfId="10634"/>
    <cellStyle name="Normal 2 2 2 2 2 2 2 72 3 4" xfId="10635"/>
    <cellStyle name="Normal 2 2 2 2 2 2 2 72 3 5" xfId="10636"/>
    <cellStyle name="Normal 2 2 2 2 2 2 2 72 3 6" xfId="10637"/>
    <cellStyle name="Normal 2 2 2 2 2 2 2 73" xfId="10638"/>
    <cellStyle name="Normal 2 2 2 2 2 2 2 73 2" xfId="10639"/>
    <cellStyle name="Normal 2 2 2 2 2 2 2 73 2 2" xfId="10640"/>
    <cellStyle name="Normal 2 2 2 2 2 2 2 73 2 3" xfId="10641"/>
    <cellStyle name="Normal 2 2 2 2 2 2 2 73 2 4" xfId="10642"/>
    <cellStyle name="Normal 2 2 2 2 2 2 2 73 2 5" xfId="10643"/>
    <cellStyle name="Normal 2 2 2 2 2 2 2 73 2 6" xfId="10644"/>
    <cellStyle name="Normal 2 2 2 2 2 2 2 73 3" xfId="10645"/>
    <cellStyle name="Normal 2 2 2 2 2 2 2 73 3 2" xfId="10646"/>
    <cellStyle name="Normal 2 2 2 2 2 2 2 73 3 3" xfId="10647"/>
    <cellStyle name="Normal 2 2 2 2 2 2 2 73 3 4" xfId="10648"/>
    <cellStyle name="Normal 2 2 2 2 2 2 2 73 3 5" xfId="10649"/>
    <cellStyle name="Normal 2 2 2 2 2 2 2 73 3 6" xfId="10650"/>
    <cellStyle name="Normal 2 2 2 2 2 2 2 74" xfId="10651"/>
    <cellStyle name="Normal 2 2 2 2 2 2 2 74 2" xfId="10652"/>
    <cellStyle name="Normal 2 2 2 2 2 2 2 74 2 2" xfId="10653"/>
    <cellStyle name="Normal 2 2 2 2 2 2 2 74 2 3" xfId="10654"/>
    <cellStyle name="Normal 2 2 2 2 2 2 2 74 2 4" xfId="10655"/>
    <cellStyle name="Normal 2 2 2 2 2 2 2 74 2 5" xfId="10656"/>
    <cellStyle name="Normal 2 2 2 2 2 2 2 74 2 6" xfId="10657"/>
    <cellStyle name="Normal 2 2 2 2 2 2 2 74 3" xfId="10658"/>
    <cellStyle name="Normal 2 2 2 2 2 2 2 74 3 2" xfId="10659"/>
    <cellStyle name="Normal 2 2 2 2 2 2 2 74 3 3" xfId="10660"/>
    <cellStyle name="Normal 2 2 2 2 2 2 2 74 3 4" xfId="10661"/>
    <cellStyle name="Normal 2 2 2 2 2 2 2 74 3 5" xfId="10662"/>
    <cellStyle name="Normal 2 2 2 2 2 2 2 74 3 6" xfId="10663"/>
    <cellStyle name="Normal 2 2 2 2 2 2 2 75" xfId="10664"/>
    <cellStyle name="Normal 2 2 2 2 2 2 2 75 2" xfId="10665"/>
    <cellStyle name="Normal 2 2 2 2 2 2 2 75 2 2" xfId="10666"/>
    <cellStyle name="Normal 2 2 2 2 2 2 2 75 2 3" xfId="10667"/>
    <cellStyle name="Normal 2 2 2 2 2 2 2 75 2 4" xfId="10668"/>
    <cellStyle name="Normal 2 2 2 2 2 2 2 75 2 5" xfId="10669"/>
    <cellStyle name="Normal 2 2 2 2 2 2 2 75 2 6" xfId="10670"/>
    <cellStyle name="Normal 2 2 2 2 2 2 2 75 3" xfId="10671"/>
    <cellStyle name="Normal 2 2 2 2 2 2 2 75 3 2" xfId="10672"/>
    <cellStyle name="Normal 2 2 2 2 2 2 2 75 3 3" xfId="10673"/>
    <cellStyle name="Normal 2 2 2 2 2 2 2 75 3 4" xfId="10674"/>
    <cellStyle name="Normal 2 2 2 2 2 2 2 75 3 5" xfId="10675"/>
    <cellStyle name="Normal 2 2 2 2 2 2 2 75 3 6" xfId="10676"/>
    <cellStyle name="Normal 2 2 2 2 2 2 2 76" xfId="10677"/>
    <cellStyle name="Normal 2 2 2 2 2 2 2 76 2" xfId="10678"/>
    <cellStyle name="Normal 2 2 2 2 2 2 2 76 2 2" xfId="10679"/>
    <cellStyle name="Normal 2 2 2 2 2 2 2 76 2 3" xfId="10680"/>
    <cellStyle name="Normal 2 2 2 2 2 2 2 76 2 4" xfId="10681"/>
    <cellStyle name="Normal 2 2 2 2 2 2 2 76 2 5" xfId="10682"/>
    <cellStyle name="Normal 2 2 2 2 2 2 2 76 2 6" xfId="10683"/>
    <cellStyle name="Normal 2 2 2 2 2 2 2 76 3" xfId="10684"/>
    <cellStyle name="Normal 2 2 2 2 2 2 2 76 3 2" xfId="10685"/>
    <cellStyle name="Normal 2 2 2 2 2 2 2 76 3 3" xfId="10686"/>
    <cellStyle name="Normal 2 2 2 2 2 2 2 76 3 4" xfId="10687"/>
    <cellStyle name="Normal 2 2 2 2 2 2 2 76 3 5" xfId="10688"/>
    <cellStyle name="Normal 2 2 2 2 2 2 2 76 3 6" xfId="10689"/>
    <cellStyle name="Normal 2 2 2 2 2 2 2 77" xfId="10690"/>
    <cellStyle name="Normal 2 2 2 2 2 2 2 77 2" xfId="10691"/>
    <cellStyle name="Normal 2 2 2 2 2 2 2 77 2 2" xfId="10692"/>
    <cellStyle name="Normal 2 2 2 2 2 2 2 77 2 3" xfId="10693"/>
    <cellStyle name="Normal 2 2 2 2 2 2 2 77 2 4" xfId="10694"/>
    <cellStyle name="Normal 2 2 2 2 2 2 2 77 2 5" xfId="10695"/>
    <cellStyle name="Normal 2 2 2 2 2 2 2 77 2 6" xfId="10696"/>
    <cellStyle name="Normal 2 2 2 2 2 2 2 77 3" xfId="10697"/>
    <cellStyle name="Normal 2 2 2 2 2 2 2 77 3 2" xfId="10698"/>
    <cellStyle name="Normal 2 2 2 2 2 2 2 77 3 3" xfId="10699"/>
    <cellStyle name="Normal 2 2 2 2 2 2 2 77 3 4" xfId="10700"/>
    <cellStyle name="Normal 2 2 2 2 2 2 2 77 3 5" xfId="10701"/>
    <cellStyle name="Normal 2 2 2 2 2 2 2 77 3 6" xfId="10702"/>
    <cellStyle name="Normal 2 2 2 2 2 2 2 78" xfId="10703"/>
    <cellStyle name="Normal 2 2 2 2 2 2 2 78 2" xfId="10704"/>
    <cellStyle name="Normal 2 2 2 2 2 2 2 78 2 2" xfId="10705"/>
    <cellStyle name="Normal 2 2 2 2 2 2 2 78 2 3" xfId="10706"/>
    <cellStyle name="Normal 2 2 2 2 2 2 2 78 2 4" xfId="10707"/>
    <cellStyle name="Normal 2 2 2 2 2 2 2 78 2 5" xfId="10708"/>
    <cellStyle name="Normal 2 2 2 2 2 2 2 78 2 6" xfId="10709"/>
    <cellStyle name="Normal 2 2 2 2 2 2 2 78 3" xfId="10710"/>
    <cellStyle name="Normal 2 2 2 2 2 2 2 78 3 2" xfId="10711"/>
    <cellStyle name="Normal 2 2 2 2 2 2 2 78 3 3" xfId="10712"/>
    <cellStyle name="Normal 2 2 2 2 2 2 2 78 3 4" xfId="10713"/>
    <cellStyle name="Normal 2 2 2 2 2 2 2 78 3 5" xfId="10714"/>
    <cellStyle name="Normal 2 2 2 2 2 2 2 78 3 6" xfId="10715"/>
    <cellStyle name="Normal 2 2 2 2 2 2 2 79" xfId="10716"/>
    <cellStyle name="Normal 2 2 2 2 2 2 2 79 2" xfId="10717"/>
    <cellStyle name="Normal 2 2 2 2 2 2 2 79 2 2" xfId="10718"/>
    <cellStyle name="Normal 2 2 2 2 2 2 2 79 2 3" xfId="10719"/>
    <cellStyle name="Normal 2 2 2 2 2 2 2 79 2 4" xfId="10720"/>
    <cellStyle name="Normal 2 2 2 2 2 2 2 79 2 5" xfId="10721"/>
    <cellStyle name="Normal 2 2 2 2 2 2 2 79 2 6" xfId="10722"/>
    <cellStyle name="Normal 2 2 2 2 2 2 2 79 3" xfId="10723"/>
    <cellStyle name="Normal 2 2 2 2 2 2 2 79 3 2" xfId="10724"/>
    <cellStyle name="Normal 2 2 2 2 2 2 2 79 3 3" xfId="10725"/>
    <cellStyle name="Normal 2 2 2 2 2 2 2 79 3 4" xfId="10726"/>
    <cellStyle name="Normal 2 2 2 2 2 2 2 79 3 5" xfId="10727"/>
    <cellStyle name="Normal 2 2 2 2 2 2 2 79 3 6" xfId="10728"/>
    <cellStyle name="Normal 2 2 2 2 2 2 2 8" xfId="10729"/>
    <cellStyle name="Normal 2 2 2 2 2 2 2 8 2" xfId="10730"/>
    <cellStyle name="Normal 2 2 2 2 2 2 2 8 2 2" xfId="10731"/>
    <cellStyle name="Normal 2 2 2 2 2 2 2 8 2 3" xfId="10732"/>
    <cellStyle name="Normal 2 2 2 2 2 2 2 8 2 4" xfId="10733"/>
    <cellStyle name="Normal 2 2 2 2 2 2 2 8 2 5" xfId="10734"/>
    <cellStyle name="Normal 2 2 2 2 2 2 2 8 2 6" xfId="10735"/>
    <cellStyle name="Normal 2 2 2 2 2 2 2 8 3" xfId="10736"/>
    <cellStyle name="Normal 2 2 2 2 2 2 2 8 3 2" xfId="10737"/>
    <cellStyle name="Normal 2 2 2 2 2 2 2 8 3 3" xfId="10738"/>
    <cellStyle name="Normal 2 2 2 2 2 2 2 8 3 4" xfId="10739"/>
    <cellStyle name="Normal 2 2 2 2 2 2 2 8 3 5" xfId="10740"/>
    <cellStyle name="Normal 2 2 2 2 2 2 2 8 3 6" xfId="10741"/>
    <cellStyle name="Normal 2 2 2 2 2 2 2 80" xfId="10742"/>
    <cellStyle name="Normal 2 2 2 2 2 2 2 80 2" xfId="10743"/>
    <cellStyle name="Normal 2 2 2 2 2 2 2 80 2 2" xfId="10744"/>
    <cellStyle name="Normal 2 2 2 2 2 2 2 80 2 3" xfId="10745"/>
    <cellStyle name="Normal 2 2 2 2 2 2 2 80 2 4" xfId="10746"/>
    <cellStyle name="Normal 2 2 2 2 2 2 2 80 2 5" xfId="10747"/>
    <cellStyle name="Normal 2 2 2 2 2 2 2 80 2 6" xfId="10748"/>
    <cellStyle name="Normal 2 2 2 2 2 2 2 80 3" xfId="10749"/>
    <cellStyle name="Normal 2 2 2 2 2 2 2 80 3 2" xfId="10750"/>
    <cellStyle name="Normal 2 2 2 2 2 2 2 80 3 3" xfId="10751"/>
    <cellStyle name="Normal 2 2 2 2 2 2 2 80 3 4" xfId="10752"/>
    <cellStyle name="Normal 2 2 2 2 2 2 2 80 3 5" xfId="10753"/>
    <cellStyle name="Normal 2 2 2 2 2 2 2 80 3 6" xfId="10754"/>
    <cellStyle name="Normal 2 2 2 2 2 2 2 81" xfId="10755"/>
    <cellStyle name="Normal 2 2 2 2 2 2 2 81 2" xfId="10756"/>
    <cellStyle name="Normal 2 2 2 2 2 2 2 81 2 2" xfId="10757"/>
    <cellStyle name="Normal 2 2 2 2 2 2 2 81 2 3" xfId="10758"/>
    <cellStyle name="Normal 2 2 2 2 2 2 2 81 2 4" xfId="10759"/>
    <cellStyle name="Normal 2 2 2 2 2 2 2 81 2 5" xfId="10760"/>
    <cellStyle name="Normal 2 2 2 2 2 2 2 81 2 6" xfId="10761"/>
    <cellStyle name="Normal 2 2 2 2 2 2 2 81 3" xfId="10762"/>
    <cellStyle name="Normal 2 2 2 2 2 2 2 81 3 2" xfId="10763"/>
    <cellStyle name="Normal 2 2 2 2 2 2 2 81 3 3" xfId="10764"/>
    <cellStyle name="Normal 2 2 2 2 2 2 2 81 3 4" xfId="10765"/>
    <cellStyle name="Normal 2 2 2 2 2 2 2 81 3 5" xfId="10766"/>
    <cellStyle name="Normal 2 2 2 2 2 2 2 81 3 6" xfId="10767"/>
    <cellStyle name="Normal 2 2 2 2 2 2 2 82" xfId="10768"/>
    <cellStyle name="Normal 2 2 2 2 2 2 2 82 2" xfId="10769"/>
    <cellStyle name="Normal 2 2 2 2 2 2 2 82 2 2" xfId="10770"/>
    <cellStyle name="Normal 2 2 2 2 2 2 2 82 2 3" xfId="10771"/>
    <cellStyle name="Normal 2 2 2 2 2 2 2 82 2 4" xfId="10772"/>
    <cellStyle name="Normal 2 2 2 2 2 2 2 82 2 5" xfId="10773"/>
    <cellStyle name="Normal 2 2 2 2 2 2 2 82 2 6" xfId="10774"/>
    <cellStyle name="Normal 2 2 2 2 2 2 2 82 3" xfId="10775"/>
    <cellStyle name="Normal 2 2 2 2 2 2 2 82 3 2" xfId="10776"/>
    <cellStyle name="Normal 2 2 2 2 2 2 2 82 3 3" xfId="10777"/>
    <cellStyle name="Normal 2 2 2 2 2 2 2 82 3 4" xfId="10778"/>
    <cellStyle name="Normal 2 2 2 2 2 2 2 82 3 5" xfId="10779"/>
    <cellStyle name="Normal 2 2 2 2 2 2 2 82 3 6" xfId="10780"/>
    <cellStyle name="Normal 2 2 2 2 2 2 2 83" xfId="10781"/>
    <cellStyle name="Normal 2 2 2 2 2 2 2 83 2" xfId="10782"/>
    <cellStyle name="Normal 2 2 2 2 2 2 2 83 2 2" xfId="10783"/>
    <cellStyle name="Normal 2 2 2 2 2 2 2 83 2 3" xfId="10784"/>
    <cellStyle name="Normal 2 2 2 2 2 2 2 83 2 4" xfId="10785"/>
    <cellStyle name="Normal 2 2 2 2 2 2 2 83 2 5" xfId="10786"/>
    <cellStyle name="Normal 2 2 2 2 2 2 2 83 2 6" xfId="10787"/>
    <cellStyle name="Normal 2 2 2 2 2 2 2 83 3" xfId="10788"/>
    <cellStyle name="Normal 2 2 2 2 2 2 2 83 3 2" xfId="10789"/>
    <cellStyle name="Normal 2 2 2 2 2 2 2 83 3 3" xfId="10790"/>
    <cellStyle name="Normal 2 2 2 2 2 2 2 83 3 4" xfId="10791"/>
    <cellStyle name="Normal 2 2 2 2 2 2 2 83 3 5" xfId="10792"/>
    <cellStyle name="Normal 2 2 2 2 2 2 2 83 3 6" xfId="10793"/>
    <cellStyle name="Normal 2 2 2 2 2 2 2 84" xfId="10794"/>
    <cellStyle name="Normal 2 2 2 2 2 2 2 84 2" xfId="10795"/>
    <cellStyle name="Normal 2 2 2 2 2 2 2 84 2 2" xfId="10796"/>
    <cellStyle name="Normal 2 2 2 2 2 2 2 84 2 3" xfId="10797"/>
    <cellStyle name="Normal 2 2 2 2 2 2 2 84 2 4" xfId="10798"/>
    <cellStyle name="Normal 2 2 2 2 2 2 2 84 2 5" xfId="10799"/>
    <cellStyle name="Normal 2 2 2 2 2 2 2 84 2 6" xfId="10800"/>
    <cellStyle name="Normal 2 2 2 2 2 2 2 84 3" xfId="10801"/>
    <cellStyle name="Normal 2 2 2 2 2 2 2 84 3 2" xfId="10802"/>
    <cellStyle name="Normal 2 2 2 2 2 2 2 84 3 3" xfId="10803"/>
    <cellStyle name="Normal 2 2 2 2 2 2 2 84 3 4" xfId="10804"/>
    <cellStyle name="Normal 2 2 2 2 2 2 2 84 3 5" xfId="10805"/>
    <cellStyle name="Normal 2 2 2 2 2 2 2 84 3 6" xfId="10806"/>
    <cellStyle name="Normal 2 2 2 2 2 2 2 85" xfId="10807"/>
    <cellStyle name="Normal 2 2 2 2 2 2 2 85 2" xfId="10808"/>
    <cellStyle name="Normal 2 2 2 2 2 2 2 85 2 2" xfId="10809"/>
    <cellStyle name="Normal 2 2 2 2 2 2 2 85 2 3" xfId="10810"/>
    <cellStyle name="Normal 2 2 2 2 2 2 2 85 2 4" xfId="10811"/>
    <cellStyle name="Normal 2 2 2 2 2 2 2 85 2 5" xfId="10812"/>
    <cellStyle name="Normal 2 2 2 2 2 2 2 85 2 6" xfId="10813"/>
    <cellStyle name="Normal 2 2 2 2 2 2 2 85 3" xfId="10814"/>
    <cellStyle name="Normal 2 2 2 2 2 2 2 85 3 2" xfId="10815"/>
    <cellStyle name="Normal 2 2 2 2 2 2 2 85 3 3" xfId="10816"/>
    <cellStyle name="Normal 2 2 2 2 2 2 2 85 3 4" xfId="10817"/>
    <cellStyle name="Normal 2 2 2 2 2 2 2 85 3 5" xfId="10818"/>
    <cellStyle name="Normal 2 2 2 2 2 2 2 85 3 6" xfId="10819"/>
    <cellStyle name="Normal 2 2 2 2 2 2 2 86" xfId="10820"/>
    <cellStyle name="Normal 2 2 2 2 2 2 2 86 2" xfId="10821"/>
    <cellStyle name="Normal 2 2 2 2 2 2 2 86 2 2" xfId="10822"/>
    <cellStyle name="Normal 2 2 2 2 2 2 2 86 2 3" xfId="10823"/>
    <cellStyle name="Normal 2 2 2 2 2 2 2 86 2 4" xfId="10824"/>
    <cellStyle name="Normal 2 2 2 2 2 2 2 86 2 5" xfId="10825"/>
    <cellStyle name="Normal 2 2 2 2 2 2 2 86 2 6" xfId="10826"/>
    <cellStyle name="Normal 2 2 2 2 2 2 2 86 3" xfId="10827"/>
    <cellStyle name="Normal 2 2 2 2 2 2 2 86 3 2" xfId="10828"/>
    <cellStyle name="Normal 2 2 2 2 2 2 2 86 3 3" xfId="10829"/>
    <cellStyle name="Normal 2 2 2 2 2 2 2 86 3 4" xfId="10830"/>
    <cellStyle name="Normal 2 2 2 2 2 2 2 86 3 5" xfId="10831"/>
    <cellStyle name="Normal 2 2 2 2 2 2 2 86 3 6" xfId="10832"/>
    <cellStyle name="Normal 2 2 2 2 2 2 2 87" xfId="10833"/>
    <cellStyle name="Normal 2 2 2 2 2 2 2 87 2" xfId="10834"/>
    <cellStyle name="Normal 2 2 2 2 2 2 2 87 2 2" xfId="10835"/>
    <cellStyle name="Normal 2 2 2 2 2 2 2 87 2 3" xfId="10836"/>
    <cellStyle name="Normal 2 2 2 2 2 2 2 87 2 4" xfId="10837"/>
    <cellStyle name="Normal 2 2 2 2 2 2 2 87 2 5" xfId="10838"/>
    <cellStyle name="Normal 2 2 2 2 2 2 2 87 2 6" xfId="10839"/>
    <cellStyle name="Normal 2 2 2 2 2 2 2 87 3" xfId="10840"/>
    <cellStyle name="Normal 2 2 2 2 2 2 2 87 3 2" xfId="10841"/>
    <cellStyle name="Normal 2 2 2 2 2 2 2 87 3 3" xfId="10842"/>
    <cellStyle name="Normal 2 2 2 2 2 2 2 87 3 4" xfId="10843"/>
    <cellStyle name="Normal 2 2 2 2 2 2 2 87 3 5" xfId="10844"/>
    <cellStyle name="Normal 2 2 2 2 2 2 2 87 3 6" xfId="10845"/>
    <cellStyle name="Normal 2 2 2 2 2 2 2 88" xfId="10846"/>
    <cellStyle name="Normal 2 2 2 2 2 2 2 88 2" xfId="10847"/>
    <cellStyle name="Normal 2 2 2 2 2 2 2 88 2 2" xfId="10848"/>
    <cellStyle name="Normal 2 2 2 2 2 2 2 88 2 3" xfId="10849"/>
    <cellStyle name="Normal 2 2 2 2 2 2 2 88 2 4" xfId="10850"/>
    <cellStyle name="Normal 2 2 2 2 2 2 2 88 2 5" xfId="10851"/>
    <cellStyle name="Normal 2 2 2 2 2 2 2 88 2 6" xfId="10852"/>
    <cellStyle name="Normal 2 2 2 2 2 2 2 88 3" xfId="10853"/>
    <cellStyle name="Normal 2 2 2 2 2 2 2 88 3 2" xfId="10854"/>
    <cellStyle name="Normal 2 2 2 2 2 2 2 88 3 3" xfId="10855"/>
    <cellStyle name="Normal 2 2 2 2 2 2 2 88 3 4" xfId="10856"/>
    <cellStyle name="Normal 2 2 2 2 2 2 2 88 3 5" xfId="10857"/>
    <cellStyle name="Normal 2 2 2 2 2 2 2 88 3 6" xfId="10858"/>
    <cellStyle name="Normal 2 2 2 2 2 2 2 89" xfId="10859"/>
    <cellStyle name="Normal 2 2 2 2 2 2 2 89 2" xfId="10860"/>
    <cellStyle name="Normal 2 2 2 2 2 2 2 89 2 2" xfId="10861"/>
    <cellStyle name="Normal 2 2 2 2 2 2 2 89 2 3" xfId="10862"/>
    <cellStyle name="Normal 2 2 2 2 2 2 2 89 2 4" xfId="10863"/>
    <cellStyle name="Normal 2 2 2 2 2 2 2 89 2 5" xfId="10864"/>
    <cellStyle name="Normal 2 2 2 2 2 2 2 89 2 6" xfId="10865"/>
    <cellStyle name="Normal 2 2 2 2 2 2 2 89 3" xfId="10866"/>
    <cellStyle name="Normal 2 2 2 2 2 2 2 89 3 2" xfId="10867"/>
    <cellStyle name="Normal 2 2 2 2 2 2 2 89 3 3" xfId="10868"/>
    <cellStyle name="Normal 2 2 2 2 2 2 2 89 3 4" xfId="10869"/>
    <cellStyle name="Normal 2 2 2 2 2 2 2 89 3 5" xfId="10870"/>
    <cellStyle name="Normal 2 2 2 2 2 2 2 89 3 6" xfId="10871"/>
    <cellStyle name="Normal 2 2 2 2 2 2 2 9" xfId="10872"/>
    <cellStyle name="Normal 2 2 2 2 2 2 2 9 2" xfId="10873"/>
    <cellStyle name="Normal 2 2 2 2 2 2 2 9 2 2" xfId="10874"/>
    <cellStyle name="Normal 2 2 2 2 2 2 2 9 2 3" xfId="10875"/>
    <cellStyle name="Normal 2 2 2 2 2 2 2 9 2 4" xfId="10876"/>
    <cellStyle name="Normal 2 2 2 2 2 2 2 9 2 5" xfId="10877"/>
    <cellStyle name="Normal 2 2 2 2 2 2 2 9 2 6" xfId="10878"/>
    <cellStyle name="Normal 2 2 2 2 2 2 2 9 3" xfId="10879"/>
    <cellStyle name="Normal 2 2 2 2 2 2 2 9 3 2" xfId="10880"/>
    <cellStyle name="Normal 2 2 2 2 2 2 2 9 3 3" xfId="10881"/>
    <cellStyle name="Normal 2 2 2 2 2 2 2 9 3 4" xfId="10882"/>
    <cellStyle name="Normal 2 2 2 2 2 2 2 9 3 5" xfId="10883"/>
    <cellStyle name="Normal 2 2 2 2 2 2 2 9 3 6" xfId="10884"/>
    <cellStyle name="Normal 2 2 2 2 2 2 2 90" xfId="10885"/>
    <cellStyle name="Normal 2 2 2 2 2 2 2 90 2" xfId="10886"/>
    <cellStyle name="Normal 2 2 2 2 2 2 2 90 2 2" xfId="10887"/>
    <cellStyle name="Normal 2 2 2 2 2 2 2 90 2 3" xfId="10888"/>
    <cellStyle name="Normal 2 2 2 2 2 2 2 90 2 4" xfId="10889"/>
    <cellStyle name="Normal 2 2 2 2 2 2 2 90 2 5" xfId="10890"/>
    <cellStyle name="Normal 2 2 2 2 2 2 2 90 2 6" xfId="10891"/>
    <cellStyle name="Normal 2 2 2 2 2 2 2 90 3" xfId="10892"/>
    <cellStyle name="Normal 2 2 2 2 2 2 2 90 3 2" xfId="10893"/>
    <cellStyle name="Normal 2 2 2 2 2 2 2 90 3 3" xfId="10894"/>
    <cellStyle name="Normal 2 2 2 2 2 2 2 90 3 4" xfId="10895"/>
    <cellStyle name="Normal 2 2 2 2 2 2 2 90 3 5" xfId="10896"/>
    <cellStyle name="Normal 2 2 2 2 2 2 2 90 3 6" xfId="10897"/>
    <cellStyle name="Normal 2 2 2 2 2 2 2 91" xfId="10898"/>
    <cellStyle name="Normal 2 2 2 2 2 2 2 91 2" xfId="10899"/>
    <cellStyle name="Normal 2 2 2 2 2 2 2 91 2 2" xfId="10900"/>
    <cellStyle name="Normal 2 2 2 2 2 2 2 91 2 3" xfId="10901"/>
    <cellStyle name="Normal 2 2 2 2 2 2 2 91 2 4" xfId="10902"/>
    <cellStyle name="Normal 2 2 2 2 2 2 2 91 2 5" xfId="10903"/>
    <cellStyle name="Normal 2 2 2 2 2 2 2 91 2 6" xfId="10904"/>
    <cellStyle name="Normal 2 2 2 2 2 2 2 91 3" xfId="10905"/>
    <cellStyle name="Normal 2 2 2 2 2 2 2 91 3 2" xfId="10906"/>
    <cellStyle name="Normal 2 2 2 2 2 2 2 91 3 3" xfId="10907"/>
    <cellStyle name="Normal 2 2 2 2 2 2 2 91 3 4" xfId="10908"/>
    <cellStyle name="Normal 2 2 2 2 2 2 2 91 3 5" xfId="10909"/>
    <cellStyle name="Normal 2 2 2 2 2 2 2 91 3 6" xfId="10910"/>
    <cellStyle name="Normal 2 2 2 2 2 2 2 92" xfId="10911"/>
    <cellStyle name="Normal 2 2 2 2 2 2 2 92 2" xfId="10912"/>
    <cellStyle name="Normal 2 2 2 2 2 2 2 92 2 2" xfId="10913"/>
    <cellStyle name="Normal 2 2 2 2 2 2 2 92 2 3" xfId="10914"/>
    <cellStyle name="Normal 2 2 2 2 2 2 2 92 2 4" xfId="10915"/>
    <cellStyle name="Normal 2 2 2 2 2 2 2 92 2 5" xfId="10916"/>
    <cellStyle name="Normal 2 2 2 2 2 2 2 92 2 6" xfId="10917"/>
    <cellStyle name="Normal 2 2 2 2 2 2 2 92 3" xfId="10918"/>
    <cellStyle name="Normal 2 2 2 2 2 2 2 92 3 2" xfId="10919"/>
    <cellStyle name="Normal 2 2 2 2 2 2 2 92 3 3" xfId="10920"/>
    <cellStyle name="Normal 2 2 2 2 2 2 2 92 3 4" xfId="10921"/>
    <cellStyle name="Normal 2 2 2 2 2 2 2 92 3 5" xfId="10922"/>
    <cellStyle name="Normal 2 2 2 2 2 2 2 92 3 6" xfId="10923"/>
    <cellStyle name="Normal 2 2 2 2 2 2 2 93" xfId="10924"/>
    <cellStyle name="Normal 2 2 2 2 2 2 2 93 2" xfId="10925"/>
    <cellStyle name="Normal 2 2 2 2 2 2 2 93 2 2" xfId="10926"/>
    <cellStyle name="Normal 2 2 2 2 2 2 2 93 2 3" xfId="10927"/>
    <cellStyle name="Normal 2 2 2 2 2 2 2 93 2 4" xfId="10928"/>
    <cellStyle name="Normal 2 2 2 2 2 2 2 93 2 5" xfId="10929"/>
    <cellStyle name="Normal 2 2 2 2 2 2 2 93 2 6" xfId="10930"/>
    <cellStyle name="Normal 2 2 2 2 2 2 2 93 3" xfId="10931"/>
    <cellStyle name="Normal 2 2 2 2 2 2 2 93 3 2" xfId="10932"/>
    <cellStyle name="Normal 2 2 2 2 2 2 2 93 3 3" xfId="10933"/>
    <cellStyle name="Normal 2 2 2 2 2 2 2 93 3 4" xfId="10934"/>
    <cellStyle name="Normal 2 2 2 2 2 2 2 93 3 5" xfId="10935"/>
    <cellStyle name="Normal 2 2 2 2 2 2 2 93 3 6" xfId="10936"/>
    <cellStyle name="Normal 2 2 2 2 2 2 2 94" xfId="10937"/>
    <cellStyle name="Normal 2 2 2 2 2 2 2 94 2" xfId="10938"/>
    <cellStyle name="Normal 2 2 2 2 2 2 2 94 2 2" xfId="10939"/>
    <cellStyle name="Normal 2 2 2 2 2 2 2 94 2 3" xfId="10940"/>
    <cellStyle name="Normal 2 2 2 2 2 2 2 94 2 4" xfId="10941"/>
    <cellStyle name="Normal 2 2 2 2 2 2 2 94 2 5" xfId="10942"/>
    <cellStyle name="Normal 2 2 2 2 2 2 2 94 2 6" xfId="10943"/>
    <cellStyle name="Normal 2 2 2 2 2 2 2 94 3" xfId="10944"/>
    <cellStyle name="Normal 2 2 2 2 2 2 2 94 3 2" xfId="10945"/>
    <cellStyle name="Normal 2 2 2 2 2 2 2 94 3 3" xfId="10946"/>
    <cellStyle name="Normal 2 2 2 2 2 2 2 94 3 4" xfId="10947"/>
    <cellStyle name="Normal 2 2 2 2 2 2 2 94 3 5" xfId="10948"/>
    <cellStyle name="Normal 2 2 2 2 2 2 2 94 3 6" xfId="10949"/>
    <cellStyle name="Normal 2 2 2 2 2 2 2 95" xfId="10950"/>
    <cellStyle name="Normal 2 2 2 2 2 2 2 95 2" xfId="10951"/>
    <cellStyle name="Normal 2 2 2 2 2 2 2 95 2 2" xfId="10952"/>
    <cellStyle name="Normal 2 2 2 2 2 2 2 95 2 3" xfId="10953"/>
    <cellStyle name="Normal 2 2 2 2 2 2 2 95 2 4" xfId="10954"/>
    <cellStyle name="Normal 2 2 2 2 2 2 2 95 2 5" xfId="10955"/>
    <cellStyle name="Normal 2 2 2 2 2 2 2 95 2 6" xfId="10956"/>
    <cellStyle name="Normal 2 2 2 2 2 2 2 95 3" xfId="10957"/>
    <cellStyle name="Normal 2 2 2 2 2 2 2 95 3 2" xfId="10958"/>
    <cellStyle name="Normal 2 2 2 2 2 2 2 95 3 3" xfId="10959"/>
    <cellStyle name="Normal 2 2 2 2 2 2 2 95 3 4" xfId="10960"/>
    <cellStyle name="Normal 2 2 2 2 2 2 2 95 3 5" xfId="10961"/>
    <cellStyle name="Normal 2 2 2 2 2 2 2 95 3 6" xfId="10962"/>
    <cellStyle name="Normal 2 2 2 2 2 2 2 96" xfId="10963"/>
    <cellStyle name="Normal 2 2 2 2 2 2 2 96 2" xfId="10964"/>
    <cellStyle name="Normal 2 2 2 2 2 2 2 96 2 2" xfId="10965"/>
    <cellStyle name="Normal 2 2 2 2 2 2 2 96 2 3" xfId="10966"/>
    <cellStyle name="Normal 2 2 2 2 2 2 2 96 2 4" xfId="10967"/>
    <cellStyle name="Normal 2 2 2 2 2 2 2 96 2 5" xfId="10968"/>
    <cellStyle name="Normal 2 2 2 2 2 2 2 96 2 6" xfId="10969"/>
    <cellStyle name="Normal 2 2 2 2 2 2 2 96 3" xfId="10970"/>
    <cellStyle name="Normal 2 2 2 2 2 2 2 96 3 2" xfId="10971"/>
    <cellStyle name="Normal 2 2 2 2 2 2 2 96 3 3" xfId="10972"/>
    <cellStyle name="Normal 2 2 2 2 2 2 2 96 3 4" xfId="10973"/>
    <cellStyle name="Normal 2 2 2 2 2 2 2 96 3 5" xfId="10974"/>
    <cellStyle name="Normal 2 2 2 2 2 2 2 96 3 6" xfId="10975"/>
    <cellStyle name="Normal 2 2 2 2 2 2 2 97" xfId="10976"/>
    <cellStyle name="Normal 2 2 2 2 2 2 2 97 2" xfId="10977"/>
    <cellStyle name="Normal 2 2 2 2 2 2 2 97 2 2" xfId="10978"/>
    <cellStyle name="Normal 2 2 2 2 2 2 2 97 2 3" xfId="10979"/>
    <cellStyle name="Normal 2 2 2 2 2 2 2 97 2 4" xfId="10980"/>
    <cellStyle name="Normal 2 2 2 2 2 2 2 97 2 5" xfId="10981"/>
    <cellStyle name="Normal 2 2 2 2 2 2 2 97 2 6" xfId="10982"/>
    <cellStyle name="Normal 2 2 2 2 2 2 2 97 3" xfId="10983"/>
    <cellStyle name="Normal 2 2 2 2 2 2 2 97 3 2" xfId="10984"/>
    <cellStyle name="Normal 2 2 2 2 2 2 2 97 3 3" xfId="10985"/>
    <cellStyle name="Normal 2 2 2 2 2 2 2 97 3 4" xfId="10986"/>
    <cellStyle name="Normal 2 2 2 2 2 2 2 97 3 5" xfId="10987"/>
    <cellStyle name="Normal 2 2 2 2 2 2 2 97 3 6" xfId="10988"/>
    <cellStyle name="Normal 2 2 2 2 2 2 2 98" xfId="10989"/>
    <cellStyle name="Normal 2 2 2 2 2 2 2 98 2" xfId="10990"/>
    <cellStyle name="Normal 2 2 2 2 2 2 2 98 2 2" xfId="10991"/>
    <cellStyle name="Normal 2 2 2 2 2 2 2 98 2 3" xfId="10992"/>
    <cellStyle name="Normal 2 2 2 2 2 2 2 98 2 4" xfId="10993"/>
    <cellStyle name="Normal 2 2 2 2 2 2 2 98 2 5" xfId="10994"/>
    <cellStyle name="Normal 2 2 2 2 2 2 2 98 2 6" xfId="10995"/>
    <cellStyle name="Normal 2 2 2 2 2 2 2 98 3" xfId="10996"/>
    <cellStyle name="Normal 2 2 2 2 2 2 2 98 3 2" xfId="10997"/>
    <cellStyle name="Normal 2 2 2 2 2 2 2 98 3 3" xfId="10998"/>
    <cellStyle name="Normal 2 2 2 2 2 2 2 98 3 4" xfId="10999"/>
    <cellStyle name="Normal 2 2 2 2 2 2 2 98 3 5" xfId="11000"/>
    <cellStyle name="Normal 2 2 2 2 2 2 2 98 3 6" xfId="11001"/>
    <cellStyle name="Normal 2 2 2 2 2 2 2 99" xfId="11002"/>
    <cellStyle name="Normal 2 2 2 2 2 2 2 99 2" xfId="11003"/>
    <cellStyle name="Normal 2 2 2 2 2 2 2 99 2 2" xfId="11004"/>
    <cellStyle name="Normal 2 2 2 2 2 2 2 99 2 3" xfId="11005"/>
    <cellStyle name="Normal 2 2 2 2 2 2 2 99 2 4" xfId="11006"/>
    <cellStyle name="Normal 2 2 2 2 2 2 2 99 2 5" xfId="11007"/>
    <cellStyle name="Normal 2 2 2 2 2 2 2 99 2 6" xfId="11008"/>
    <cellStyle name="Normal 2 2 2 2 2 2 2 99 3" xfId="11009"/>
    <cellStyle name="Normal 2 2 2 2 2 2 2 99 3 2" xfId="11010"/>
    <cellStyle name="Normal 2 2 2 2 2 2 2 99 3 3" xfId="11011"/>
    <cellStyle name="Normal 2 2 2 2 2 2 2 99 3 4" xfId="11012"/>
    <cellStyle name="Normal 2 2 2 2 2 2 2 99 3 5" xfId="11013"/>
    <cellStyle name="Normal 2 2 2 2 2 2 2 99 3 6" xfId="11014"/>
    <cellStyle name="Normal 2 2 2 2 2 2 20" xfId="11015"/>
    <cellStyle name="Normal 2 2 2 2 2 2 20 2" xfId="11016"/>
    <cellStyle name="Normal 2 2 2 2 2 2 20 3" xfId="11017"/>
    <cellStyle name="Normal 2 2 2 2 2 2 20 4" xfId="11018"/>
    <cellStyle name="Normal 2 2 2 2 2 2 20 5" xfId="11019"/>
    <cellStyle name="Normal 2 2 2 2 2 2 20 6" xfId="11020"/>
    <cellStyle name="Normal 2 2 2 2 2 2 20 7" xfId="11021"/>
    <cellStyle name="Normal 2 2 2 2 2 2 20 8" xfId="11022"/>
    <cellStyle name="Normal 2 2 2 2 2 2 21" xfId="11023"/>
    <cellStyle name="Normal 2 2 2 2 2 2 21 2" xfId="11024"/>
    <cellStyle name="Normal 2 2 2 2 2 2 21 3" xfId="11025"/>
    <cellStyle name="Normal 2 2 2 2 2 2 21 4" xfId="11026"/>
    <cellStyle name="Normal 2 2 2 2 2 2 21 5" xfId="11027"/>
    <cellStyle name="Normal 2 2 2 2 2 2 21 6" xfId="11028"/>
    <cellStyle name="Normal 2 2 2 2 2 2 21 7" xfId="11029"/>
    <cellStyle name="Normal 2 2 2 2 2 2 21 8" xfId="11030"/>
    <cellStyle name="Normal 2 2 2 2 2 2 22" xfId="11031"/>
    <cellStyle name="Normal 2 2 2 2 2 2 22 2" xfId="11032"/>
    <cellStyle name="Normal 2 2 2 2 2 2 22 3" xfId="11033"/>
    <cellStyle name="Normal 2 2 2 2 2 2 22 4" xfId="11034"/>
    <cellStyle name="Normal 2 2 2 2 2 2 22 5" xfId="11035"/>
    <cellStyle name="Normal 2 2 2 2 2 2 22 6" xfId="11036"/>
    <cellStyle name="Normal 2 2 2 2 2 2 22 7" xfId="11037"/>
    <cellStyle name="Normal 2 2 2 2 2 2 22 8" xfId="11038"/>
    <cellStyle name="Normal 2 2 2 2 2 2 23" xfId="11039"/>
    <cellStyle name="Normal 2 2 2 2 2 2 23 2" xfId="11040"/>
    <cellStyle name="Normal 2 2 2 2 2 2 23 3" xfId="11041"/>
    <cellStyle name="Normal 2 2 2 2 2 2 23 4" xfId="11042"/>
    <cellStyle name="Normal 2 2 2 2 2 2 23 5" xfId="11043"/>
    <cellStyle name="Normal 2 2 2 2 2 2 23 6" xfId="11044"/>
    <cellStyle name="Normal 2 2 2 2 2 2 23 7" xfId="11045"/>
    <cellStyle name="Normal 2 2 2 2 2 2 23 8" xfId="11046"/>
    <cellStyle name="Normal 2 2 2 2 2 2 24" xfId="11047"/>
    <cellStyle name="Normal 2 2 2 2 2 2 24 2" xfId="11048"/>
    <cellStyle name="Normal 2 2 2 2 2 2 24 3" xfId="11049"/>
    <cellStyle name="Normal 2 2 2 2 2 2 24 4" xfId="11050"/>
    <cellStyle name="Normal 2 2 2 2 2 2 24 5" xfId="11051"/>
    <cellStyle name="Normal 2 2 2 2 2 2 24 6" xfId="11052"/>
    <cellStyle name="Normal 2 2 2 2 2 2 24 7" xfId="11053"/>
    <cellStyle name="Normal 2 2 2 2 2 2 24 8" xfId="11054"/>
    <cellStyle name="Normal 2 2 2 2 2 2 25" xfId="11055"/>
    <cellStyle name="Normal 2 2 2 2 2 2 25 2" xfId="11056"/>
    <cellStyle name="Normal 2 2 2 2 2 2 25 3" xfId="11057"/>
    <cellStyle name="Normal 2 2 2 2 2 2 25 4" xfId="11058"/>
    <cellStyle name="Normal 2 2 2 2 2 2 25 5" xfId="11059"/>
    <cellStyle name="Normal 2 2 2 2 2 2 25 6" xfId="11060"/>
    <cellStyle name="Normal 2 2 2 2 2 2 25 7" xfId="11061"/>
    <cellStyle name="Normal 2 2 2 2 2 2 25 8" xfId="11062"/>
    <cellStyle name="Normal 2 2 2 2 2 2 26" xfId="11063"/>
    <cellStyle name="Normal 2 2 2 2 2 2 26 2" xfId="11064"/>
    <cellStyle name="Normal 2 2 2 2 2 2 26 3" xfId="11065"/>
    <cellStyle name="Normal 2 2 2 2 2 2 26 4" xfId="11066"/>
    <cellStyle name="Normal 2 2 2 2 2 2 26 5" xfId="11067"/>
    <cellStyle name="Normal 2 2 2 2 2 2 26 6" xfId="11068"/>
    <cellStyle name="Normal 2 2 2 2 2 2 26 7" xfId="11069"/>
    <cellStyle name="Normal 2 2 2 2 2 2 26 8" xfId="11070"/>
    <cellStyle name="Normal 2 2 2 2 2 2 27" xfId="11071"/>
    <cellStyle name="Normal 2 2 2 2 2 2 27 2" xfId="11072"/>
    <cellStyle name="Normal 2 2 2 2 2 2 27 3" xfId="11073"/>
    <cellStyle name="Normal 2 2 2 2 2 2 27 4" xfId="11074"/>
    <cellStyle name="Normal 2 2 2 2 2 2 27 5" xfId="11075"/>
    <cellStyle name="Normal 2 2 2 2 2 2 27 6" xfId="11076"/>
    <cellStyle name="Normal 2 2 2 2 2 2 27 7" xfId="11077"/>
    <cellStyle name="Normal 2 2 2 2 2 2 27 8" xfId="11078"/>
    <cellStyle name="Normal 2 2 2 2 2 2 28" xfId="11079"/>
    <cellStyle name="Normal 2 2 2 2 2 2 28 2" xfId="11080"/>
    <cellStyle name="Normal 2 2 2 2 2 2 28 3" xfId="11081"/>
    <cellStyle name="Normal 2 2 2 2 2 2 28 4" xfId="11082"/>
    <cellStyle name="Normal 2 2 2 2 2 2 28 5" xfId="11083"/>
    <cellStyle name="Normal 2 2 2 2 2 2 28 6" xfId="11084"/>
    <cellStyle name="Normal 2 2 2 2 2 2 28 7" xfId="11085"/>
    <cellStyle name="Normal 2 2 2 2 2 2 28 8" xfId="11086"/>
    <cellStyle name="Normal 2 2 2 2 2 2 29" xfId="11087"/>
    <cellStyle name="Normal 2 2 2 2 2 2 29 2" xfId="11088"/>
    <cellStyle name="Normal 2 2 2 2 2 2 29 3" xfId="11089"/>
    <cellStyle name="Normal 2 2 2 2 2 2 29 4" xfId="11090"/>
    <cellStyle name="Normal 2 2 2 2 2 2 29 5" xfId="11091"/>
    <cellStyle name="Normal 2 2 2 2 2 2 29 6" xfId="11092"/>
    <cellStyle name="Normal 2 2 2 2 2 2 29 7" xfId="11093"/>
    <cellStyle name="Normal 2 2 2 2 2 2 29 8" xfId="11094"/>
    <cellStyle name="Normal 2 2 2 2 2 2 3" xfId="11095"/>
    <cellStyle name="Normal 2 2 2 2 2 2 3 2" xfId="11096"/>
    <cellStyle name="Normal 2 2 2 2 2 2 3 3" xfId="11097"/>
    <cellStyle name="Normal 2 2 2 2 2 2 3 3 2" xfId="11098"/>
    <cellStyle name="Normal 2 2 2 2 2 2 3 3 3" xfId="11099"/>
    <cellStyle name="Normal 2 2 2 2 2 2 3 3 4" xfId="11100"/>
    <cellStyle name="Normal 2 2 2 2 2 2 3 3 5" xfId="11101"/>
    <cellStyle name="Normal 2 2 2 2 2 2 3 3 6" xfId="11102"/>
    <cellStyle name="Normal 2 2 2 2 2 2 3 4" xfId="11103"/>
    <cellStyle name="Normal 2 2 2 2 2 2 3 4 2" xfId="11104"/>
    <cellStyle name="Normal 2 2 2 2 2 2 3 4 3" xfId="11105"/>
    <cellStyle name="Normal 2 2 2 2 2 2 3 4 4" xfId="11106"/>
    <cellStyle name="Normal 2 2 2 2 2 2 3 4 5" xfId="11107"/>
    <cellStyle name="Normal 2 2 2 2 2 2 3 4 6" xfId="11108"/>
    <cellStyle name="Normal 2 2 2 2 2 2 30" xfId="11109"/>
    <cellStyle name="Normal 2 2 2 2 2 2 30 2" xfId="11110"/>
    <cellStyle name="Normal 2 2 2 2 2 2 30 3" xfId="11111"/>
    <cellStyle name="Normal 2 2 2 2 2 2 30 4" xfId="11112"/>
    <cellStyle name="Normal 2 2 2 2 2 2 30 5" xfId="11113"/>
    <cellStyle name="Normal 2 2 2 2 2 2 30 6" xfId="11114"/>
    <cellStyle name="Normal 2 2 2 2 2 2 30 7" xfId="11115"/>
    <cellStyle name="Normal 2 2 2 2 2 2 30 8" xfId="11116"/>
    <cellStyle name="Normal 2 2 2 2 2 2 31" xfId="11117"/>
    <cellStyle name="Normal 2 2 2 2 2 2 31 2" xfId="11118"/>
    <cellStyle name="Normal 2 2 2 2 2 2 31 3" xfId="11119"/>
    <cellStyle name="Normal 2 2 2 2 2 2 31 4" xfId="11120"/>
    <cellStyle name="Normal 2 2 2 2 2 2 31 5" xfId="11121"/>
    <cellStyle name="Normal 2 2 2 2 2 2 31 6" xfId="11122"/>
    <cellStyle name="Normal 2 2 2 2 2 2 31 7" xfId="11123"/>
    <cellStyle name="Normal 2 2 2 2 2 2 31 8" xfId="11124"/>
    <cellStyle name="Normal 2 2 2 2 2 2 32" xfId="11125"/>
    <cellStyle name="Normal 2 2 2 2 2 2 32 2" xfId="11126"/>
    <cellStyle name="Normal 2 2 2 2 2 2 32 3" xfId="11127"/>
    <cellStyle name="Normal 2 2 2 2 2 2 32 4" xfId="11128"/>
    <cellStyle name="Normal 2 2 2 2 2 2 32 5" xfId="11129"/>
    <cellStyle name="Normal 2 2 2 2 2 2 32 6" xfId="11130"/>
    <cellStyle name="Normal 2 2 2 2 2 2 32 7" xfId="11131"/>
    <cellStyle name="Normal 2 2 2 2 2 2 32 8" xfId="11132"/>
    <cellStyle name="Normal 2 2 2 2 2 2 33" xfId="11133"/>
    <cellStyle name="Normal 2 2 2 2 2 2 33 2" xfId="11134"/>
    <cellStyle name="Normal 2 2 2 2 2 2 33 3" xfId="11135"/>
    <cellStyle name="Normal 2 2 2 2 2 2 33 4" xfId="11136"/>
    <cellStyle name="Normal 2 2 2 2 2 2 33 5" xfId="11137"/>
    <cellStyle name="Normal 2 2 2 2 2 2 33 6" xfId="11138"/>
    <cellStyle name="Normal 2 2 2 2 2 2 33 7" xfId="11139"/>
    <cellStyle name="Normal 2 2 2 2 2 2 33 8" xfId="11140"/>
    <cellStyle name="Normal 2 2 2 2 2 2 34" xfId="11141"/>
    <cellStyle name="Normal 2 2 2 2 2 2 34 2" xfId="11142"/>
    <cellStyle name="Normal 2 2 2 2 2 2 34 3" xfId="11143"/>
    <cellStyle name="Normal 2 2 2 2 2 2 34 4" xfId="11144"/>
    <cellStyle name="Normal 2 2 2 2 2 2 34 5" xfId="11145"/>
    <cellStyle name="Normal 2 2 2 2 2 2 34 6" xfId="11146"/>
    <cellStyle name="Normal 2 2 2 2 2 2 34 7" xfId="11147"/>
    <cellStyle name="Normal 2 2 2 2 2 2 34 8" xfId="11148"/>
    <cellStyle name="Normal 2 2 2 2 2 2 35" xfId="11149"/>
    <cellStyle name="Normal 2 2 2 2 2 2 35 2" xfId="11150"/>
    <cellStyle name="Normal 2 2 2 2 2 2 35 3" xfId="11151"/>
    <cellStyle name="Normal 2 2 2 2 2 2 35 4" xfId="11152"/>
    <cellStyle name="Normal 2 2 2 2 2 2 35 5" xfId="11153"/>
    <cellStyle name="Normal 2 2 2 2 2 2 35 6" xfId="11154"/>
    <cellStyle name="Normal 2 2 2 2 2 2 35 7" xfId="11155"/>
    <cellStyle name="Normal 2 2 2 2 2 2 35 8" xfId="11156"/>
    <cellStyle name="Normal 2 2 2 2 2 2 36" xfId="11157"/>
    <cellStyle name="Normal 2 2 2 2 2 2 36 2" xfId="11158"/>
    <cellStyle name="Normal 2 2 2 2 2 2 36 3" xfId="11159"/>
    <cellStyle name="Normal 2 2 2 2 2 2 36 4" xfId="11160"/>
    <cellStyle name="Normal 2 2 2 2 2 2 36 5" xfId="11161"/>
    <cellStyle name="Normal 2 2 2 2 2 2 36 6" xfId="11162"/>
    <cellStyle name="Normal 2 2 2 2 2 2 36 7" xfId="11163"/>
    <cellStyle name="Normal 2 2 2 2 2 2 36 8" xfId="11164"/>
    <cellStyle name="Normal 2 2 2 2 2 2 37" xfId="11165"/>
    <cellStyle name="Normal 2 2 2 2 2 2 37 2" xfId="11166"/>
    <cellStyle name="Normal 2 2 2 2 2 2 37 3" xfId="11167"/>
    <cellStyle name="Normal 2 2 2 2 2 2 37 4" xfId="11168"/>
    <cellStyle name="Normal 2 2 2 2 2 2 37 5" xfId="11169"/>
    <cellStyle name="Normal 2 2 2 2 2 2 37 6" xfId="11170"/>
    <cellStyle name="Normal 2 2 2 2 2 2 37 7" xfId="11171"/>
    <cellStyle name="Normal 2 2 2 2 2 2 37 8" xfId="11172"/>
    <cellStyle name="Normal 2 2 2 2 2 2 38" xfId="11173"/>
    <cellStyle name="Normal 2 2 2 2 2 2 38 2" xfId="11174"/>
    <cellStyle name="Normal 2 2 2 2 2 2 38 3" xfId="11175"/>
    <cellStyle name="Normal 2 2 2 2 2 2 38 4" xfId="11176"/>
    <cellStyle name="Normal 2 2 2 2 2 2 38 5" xfId="11177"/>
    <cellStyle name="Normal 2 2 2 2 2 2 38 6" xfId="11178"/>
    <cellStyle name="Normal 2 2 2 2 2 2 38 7" xfId="11179"/>
    <cellStyle name="Normal 2 2 2 2 2 2 38 8" xfId="11180"/>
    <cellStyle name="Normal 2 2 2 2 2 2 39" xfId="11181"/>
    <cellStyle name="Normal 2 2 2 2 2 2 39 2" xfId="11182"/>
    <cellStyle name="Normal 2 2 2 2 2 2 39 3" xfId="11183"/>
    <cellStyle name="Normal 2 2 2 2 2 2 39 4" xfId="11184"/>
    <cellStyle name="Normal 2 2 2 2 2 2 39 5" xfId="11185"/>
    <cellStyle name="Normal 2 2 2 2 2 2 39 6" xfId="11186"/>
    <cellStyle name="Normal 2 2 2 2 2 2 39 7" xfId="11187"/>
    <cellStyle name="Normal 2 2 2 2 2 2 39 8" xfId="11188"/>
    <cellStyle name="Normal 2 2 2 2 2 2 4" xfId="11189"/>
    <cellStyle name="Normal 2 2 2 2 2 2 4 2" xfId="11190"/>
    <cellStyle name="Normal 2 2 2 2 2 2 4 3" xfId="11191"/>
    <cellStyle name="Normal 2 2 2 2 2 2 4 3 2" xfId="11192"/>
    <cellStyle name="Normal 2 2 2 2 2 2 4 3 3" xfId="11193"/>
    <cellStyle name="Normal 2 2 2 2 2 2 4 3 4" xfId="11194"/>
    <cellStyle name="Normal 2 2 2 2 2 2 4 3 5" xfId="11195"/>
    <cellStyle name="Normal 2 2 2 2 2 2 4 3 6" xfId="11196"/>
    <cellStyle name="Normal 2 2 2 2 2 2 4 4" xfId="11197"/>
    <cellStyle name="Normal 2 2 2 2 2 2 4 4 2" xfId="11198"/>
    <cellStyle name="Normal 2 2 2 2 2 2 4 4 3" xfId="11199"/>
    <cellStyle name="Normal 2 2 2 2 2 2 4 4 4" xfId="11200"/>
    <cellStyle name="Normal 2 2 2 2 2 2 4 4 5" xfId="11201"/>
    <cellStyle name="Normal 2 2 2 2 2 2 4 4 6" xfId="11202"/>
    <cellStyle name="Normal 2 2 2 2 2 2 40" xfId="11203"/>
    <cellStyle name="Normal 2 2 2 2 2 2 40 2" xfId="11204"/>
    <cellStyle name="Normal 2 2 2 2 2 2 40 3" xfId="11205"/>
    <cellStyle name="Normal 2 2 2 2 2 2 40 4" xfId="11206"/>
    <cellStyle name="Normal 2 2 2 2 2 2 40 5" xfId="11207"/>
    <cellStyle name="Normal 2 2 2 2 2 2 40 6" xfId="11208"/>
    <cellStyle name="Normal 2 2 2 2 2 2 40 7" xfId="11209"/>
    <cellStyle name="Normal 2 2 2 2 2 2 40 8" xfId="11210"/>
    <cellStyle name="Normal 2 2 2 2 2 2 41" xfId="11211"/>
    <cellStyle name="Normal 2 2 2 2 2 2 41 2" xfId="11212"/>
    <cellStyle name="Normal 2 2 2 2 2 2 41 3" xfId="11213"/>
    <cellStyle name="Normal 2 2 2 2 2 2 41 4" xfId="11214"/>
    <cellStyle name="Normal 2 2 2 2 2 2 41 5" xfId="11215"/>
    <cellStyle name="Normal 2 2 2 2 2 2 41 6" xfId="11216"/>
    <cellStyle name="Normal 2 2 2 2 2 2 41 7" xfId="11217"/>
    <cellStyle name="Normal 2 2 2 2 2 2 41 8" xfId="11218"/>
    <cellStyle name="Normal 2 2 2 2 2 2 42" xfId="11219"/>
    <cellStyle name="Normal 2 2 2 2 2 2 42 2" xfId="11220"/>
    <cellStyle name="Normal 2 2 2 2 2 2 42 3" xfId="11221"/>
    <cellStyle name="Normal 2 2 2 2 2 2 42 4" xfId="11222"/>
    <cellStyle name="Normal 2 2 2 2 2 2 42 5" xfId="11223"/>
    <cellStyle name="Normal 2 2 2 2 2 2 42 6" xfId="11224"/>
    <cellStyle name="Normal 2 2 2 2 2 2 42 7" xfId="11225"/>
    <cellStyle name="Normal 2 2 2 2 2 2 42 8" xfId="11226"/>
    <cellStyle name="Normal 2 2 2 2 2 2 43" xfId="11227"/>
    <cellStyle name="Normal 2 2 2 2 2 2 43 2" xfId="11228"/>
    <cellStyle name="Normal 2 2 2 2 2 2 43 3" xfId="11229"/>
    <cellStyle name="Normal 2 2 2 2 2 2 43 4" xfId="11230"/>
    <cellStyle name="Normal 2 2 2 2 2 2 43 5" xfId="11231"/>
    <cellStyle name="Normal 2 2 2 2 2 2 43 6" xfId="11232"/>
    <cellStyle name="Normal 2 2 2 2 2 2 43 7" xfId="11233"/>
    <cellStyle name="Normal 2 2 2 2 2 2 43 8" xfId="11234"/>
    <cellStyle name="Normal 2 2 2 2 2 2 44" xfId="11235"/>
    <cellStyle name="Normal 2 2 2 2 2 2 44 2" xfId="11236"/>
    <cellStyle name="Normal 2 2 2 2 2 2 44 3" xfId="11237"/>
    <cellStyle name="Normal 2 2 2 2 2 2 44 4" xfId="11238"/>
    <cellStyle name="Normal 2 2 2 2 2 2 44 5" xfId="11239"/>
    <cellStyle name="Normal 2 2 2 2 2 2 44 6" xfId="11240"/>
    <cellStyle name="Normal 2 2 2 2 2 2 44 7" xfId="11241"/>
    <cellStyle name="Normal 2 2 2 2 2 2 44 8" xfId="11242"/>
    <cellStyle name="Normal 2 2 2 2 2 2 45" xfId="11243"/>
    <cellStyle name="Normal 2 2 2 2 2 2 45 2" xfId="11244"/>
    <cellStyle name="Normal 2 2 2 2 2 2 45 3" xfId="11245"/>
    <cellStyle name="Normal 2 2 2 2 2 2 45 4" xfId="11246"/>
    <cellStyle name="Normal 2 2 2 2 2 2 45 5" xfId="11247"/>
    <cellStyle name="Normal 2 2 2 2 2 2 45 6" xfId="11248"/>
    <cellStyle name="Normal 2 2 2 2 2 2 45 7" xfId="11249"/>
    <cellStyle name="Normal 2 2 2 2 2 2 45 8" xfId="11250"/>
    <cellStyle name="Normal 2 2 2 2 2 2 46" xfId="11251"/>
    <cellStyle name="Normal 2 2 2 2 2 2 46 2" xfId="11252"/>
    <cellStyle name="Normal 2 2 2 2 2 2 46 3" xfId="11253"/>
    <cellStyle name="Normal 2 2 2 2 2 2 46 4" xfId="11254"/>
    <cellStyle name="Normal 2 2 2 2 2 2 46 5" xfId="11255"/>
    <cellStyle name="Normal 2 2 2 2 2 2 46 6" xfId="11256"/>
    <cellStyle name="Normal 2 2 2 2 2 2 46 7" xfId="11257"/>
    <cellStyle name="Normal 2 2 2 2 2 2 46 8" xfId="11258"/>
    <cellStyle name="Normal 2 2 2 2 2 2 47" xfId="11259"/>
    <cellStyle name="Normal 2 2 2 2 2 2 47 2" xfId="11260"/>
    <cellStyle name="Normal 2 2 2 2 2 2 47 3" xfId="11261"/>
    <cellStyle name="Normal 2 2 2 2 2 2 47 4" xfId="11262"/>
    <cellStyle name="Normal 2 2 2 2 2 2 47 5" xfId="11263"/>
    <cellStyle name="Normal 2 2 2 2 2 2 47 6" xfId="11264"/>
    <cellStyle name="Normal 2 2 2 2 2 2 47 7" xfId="11265"/>
    <cellStyle name="Normal 2 2 2 2 2 2 47 8" xfId="11266"/>
    <cellStyle name="Normal 2 2 2 2 2 2 48" xfId="11267"/>
    <cellStyle name="Normal 2 2 2 2 2 2 48 2" xfId="11268"/>
    <cellStyle name="Normal 2 2 2 2 2 2 48 3" xfId="11269"/>
    <cellStyle name="Normal 2 2 2 2 2 2 48 4" xfId="11270"/>
    <cellStyle name="Normal 2 2 2 2 2 2 48 5" xfId="11271"/>
    <cellStyle name="Normal 2 2 2 2 2 2 48 6" xfId="11272"/>
    <cellStyle name="Normal 2 2 2 2 2 2 48 7" xfId="11273"/>
    <cellStyle name="Normal 2 2 2 2 2 2 48 8" xfId="11274"/>
    <cellStyle name="Normal 2 2 2 2 2 2 49" xfId="11275"/>
    <cellStyle name="Normal 2 2 2 2 2 2 49 2" xfId="11276"/>
    <cellStyle name="Normal 2 2 2 2 2 2 49 3" xfId="11277"/>
    <cellStyle name="Normal 2 2 2 2 2 2 49 4" xfId="11278"/>
    <cellStyle name="Normal 2 2 2 2 2 2 49 5" xfId="11279"/>
    <cellStyle name="Normal 2 2 2 2 2 2 49 6" xfId="11280"/>
    <cellStyle name="Normal 2 2 2 2 2 2 49 7" xfId="11281"/>
    <cellStyle name="Normal 2 2 2 2 2 2 49 8" xfId="11282"/>
    <cellStyle name="Normal 2 2 2 2 2 2 5" xfId="11283"/>
    <cellStyle name="Normal 2 2 2 2 2 2 5 2" xfId="11284"/>
    <cellStyle name="Normal 2 2 2 2 2 2 5 3" xfId="11285"/>
    <cellStyle name="Normal 2 2 2 2 2 2 5 3 2" xfId="11286"/>
    <cellStyle name="Normal 2 2 2 2 2 2 5 3 3" xfId="11287"/>
    <cellStyle name="Normal 2 2 2 2 2 2 5 3 4" xfId="11288"/>
    <cellStyle name="Normal 2 2 2 2 2 2 5 3 5" xfId="11289"/>
    <cellStyle name="Normal 2 2 2 2 2 2 5 3 6" xfId="11290"/>
    <cellStyle name="Normal 2 2 2 2 2 2 5 4" xfId="11291"/>
    <cellStyle name="Normal 2 2 2 2 2 2 5 4 2" xfId="11292"/>
    <cellStyle name="Normal 2 2 2 2 2 2 5 4 3" xfId="11293"/>
    <cellStyle name="Normal 2 2 2 2 2 2 5 4 4" xfId="11294"/>
    <cellStyle name="Normal 2 2 2 2 2 2 5 4 5" xfId="11295"/>
    <cellStyle name="Normal 2 2 2 2 2 2 5 4 6" xfId="11296"/>
    <cellStyle name="Normal 2 2 2 2 2 2 50" xfId="11297"/>
    <cellStyle name="Normal 2 2 2 2 2 2 50 2" xfId="11298"/>
    <cellStyle name="Normal 2 2 2 2 2 2 50 3" xfId="11299"/>
    <cellStyle name="Normal 2 2 2 2 2 2 50 4" xfId="11300"/>
    <cellStyle name="Normal 2 2 2 2 2 2 50 5" xfId="11301"/>
    <cellStyle name="Normal 2 2 2 2 2 2 50 6" xfId="11302"/>
    <cellStyle name="Normal 2 2 2 2 2 2 50 7" xfId="11303"/>
    <cellStyle name="Normal 2 2 2 2 2 2 50 8" xfId="11304"/>
    <cellStyle name="Normal 2 2 2 2 2 2 51" xfId="11305"/>
    <cellStyle name="Normal 2 2 2 2 2 2 51 2" xfId="11306"/>
    <cellStyle name="Normal 2 2 2 2 2 2 51 3" xfId="11307"/>
    <cellStyle name="Normal 2 2 2 2 2 2 51 4" xfId="11308"/>
    <cellStyle name="Normal 2 2 2 2 2 2 51 5" xfId="11309"/>
    <cellStyle name="Normal 2 2 2 2 2 2 51 6" xfId="11310"/>
    <cellStyle name="Normal 2 2 2 2 2 2 51 7" xfId="11311"/>
    <cellStyle name="Normal 2 2 2 2 2 2 51 8" xfId="11312"/>
    <cellStyle name="Normal 2 2 2 2 2 2 52" xfId="11313"/>
    <cellStyle name="Normal 2 2 2 2 2 2 52 2" xfId="11314"/>
    <cellStyle name="Normal 2 2 2 2 2 2 52 3" xfId="11315"/>
    <cellStyle name="Normal 2 2 2 2 2 2 52 4" xfId="11316"/>
    <cellStyle name="Normal 2 2 2 2 2 2 52 5" xfId="11317"/>
    <cellStyle name="Normal 2 2 2 2 2 2 52 6" xfId="11318"/>
    <cellStyle name="Normal 2 2 2 2 2 2 52 7" xfId="11319"/>
    <cellStyle name="Normal 2 2 2 2 2 2 52 8" xfId="11320"/>
    <cellStyle name="Normal 2 2 2 2 2 2 53" xfId="11321"/>
    <cellStyle name="Normal 2 2 2 2 2 2 53 2" xfId="11322"/>
    <cellStyle name="Normal 2 2 2 2 2 2 53 3" xfId="11323"/>
    <cellStyle name="Normal 2 2 2 2 2 2 53 4" xfId="11324"/>
    <cellStyle name="Normal 2 2 2 2 2 2 53 5" xfId="11325"/>
    <cellStyle name="Normal 2 2 2 2 2 2 53 6" xfId="11326"/>
    <cellStyle name="Normal 2 2 2 2 2 2 53 7" xfId="11327"/>
    <cellStyle name="Normal 2 2 2 2 2 2 53 8" xfId="11328"/>
    <cellStyle name="Normal 2 2 2 2 2 2 54" xfId="11329"/>
    <cellStyle name="Normal 2 2 2 2 2 2 54 2" xfId="11330"/>
    <cellStyle name="Normal 2 2 2 2 2 2 54 3" xfId="11331"/>
    <cellStyle name="Normal 2 2 2 2 2 2 54 4" xfId="11332"/>
    <cellStyle name="Normal 2 2 2 2 2 2 54 5" xfId="11333"/>
    <cellStyle name="Normal 2 2 2 2 2 2 54 6" xfId="11334"/>
    <cellStyle name="Normal 2 2 2 2 2 2 54 7" xfId="11335"/>
    <cellStyle name="Normal 2 2 2 2 2 2 54 8" xfId="11336"/>
    <cellStyle name="Normal 2 2 2 2 2 2 55" xfId="11337"/>
    <cellStyle name="Normal 2 2 2 2 2 2 55 2" xfId="11338"/>
    <cellStyle name="Normal 2 2 2 2 2 2 55 3" xfId="11339"/>
    <cellStyle name="Normal 2 2 2 2 2 2 55 4" xfId="11340"/>
    <cellStyle name="Normal 2 2 2 2 2 2 55 5" xfId="11341"/>
    <cellStyle name="Normal 2 2 2 2 2 2 55 6" xfId="11342"/>
    <cellStyle name="Normal 2 2 2 2 2 2 55 7" xfId="11343"/>
    <cellStyle name="Normal 2 2 2 2 2 2 55 8" xfId="11344"/>
    <cellStyle name="Normal 2 2 2 2 2 2 56" xfId="11345"/>
    <cellStyle name="Normal 2 2 2 2 2 2 56 2" xfId="11346"/>
    <cellStyle name="Normal 2 2 2 2 2 2 56 3" xfId="11347"/>
    <cellStyle name="Normal 2 2 2 2 2 2 56 4" xfId="11348"/>
    <cellStyle name="Normal 2 2 2 2 2 2 56 5" xfId="11349"/>
    <cellStyle name="Normal 2 2 2 2 2 2 56 6" xfId="11350"/>
    <cellStyle name="Normal 2 2 2 2 2 2 56 7" xfId="11351"/>
    <cellStyle name="Normal 2 2 2 2 2 2 56 8" xfId="11352"/>
    <cellStyle name="Normal 2 2 2 2 2 2 57" xfId="11353"/>
    <cellStyle name="Normal 2 2 2 2 2 2 57 2" xfId="11354"/>
    <cellStyle name="Normal 2 2 2 2 2 2 57 3" xfId="11355"/>
    <cellStyle name="Normal 2 2 2 2 2 2 57 4" xfId="11356"/>
    <cellStyle name="Normal 2 2 2 2 2 2 57 5" xfId="11357"/>
    <cellStyle name="Normal 2 2 2 2 2 2 57 6" xfId="11358"/>
    <cellStyle name="Normal 2 2 2 2 2 2 57 7" xfId="11359"/>
    <cellStyle name="Normal 2 2 2 2 2 2 57 8" xfId="11360"/>
    <cellStyle name="Normal 2 2 2 2 2 2 58" xfId="11361"/>
    <cellStyle name="Normal 2 2 2 2 2 2 58 2" xfId="11362"/>
    <cellStyle name="Normal 2 2 2 2 2 2 58 3" xfId="11363"/>
    <cellStyle name="Normal 2 2 2 2 2 2 58 4" xfId="11364"/>
    <cellStyle name="Normal 2 2 2 2 2 2 58 5" xfId="11365"/>
    <cellStyle name="Normal 2 2 2 2 2 2 58 6" xfId="11366"/>
    <cellStyle name="Normal 2 2 2 2 2 2 58 7" xfId="11367"/>
    <cellStyle name="Normal 2 2 2 2 2 2 58 8" xfId="11368"/>
    <cellStyle name="Normal 2 2 2 2 2 2 59" xfId="11369"/>
    <cellStyle name="Normal 2 2 2 2 2 2 59 2" xfId="11370"/>
    <cellStyle name="Normal 2 2 2 2 2 2 59 3" xfId="11371"/>
    <cellStyle name="Normal 2 2 2 2 2 2 59 4" xfId="11372"/>
    <cellStyle name="Normal 2 2 2 2 2 2 59 5" xfId="11373"/>
    <cellStyle name="Normal 2 2 2 2 2 2 59 6" xfId="11374"/>
    <cellStyle name="Normal 2 2 2 2 2 2 59 7" xfId="11375"/>
    <cellStyle name="Normal 2 2 2 2 2 2 59 8" xfId="11376"/>
    <cellStyle name="Normal 2 2 2 2 2 2 6" xfId="11377"/>
    <cellStyle name="Normal 2 2 2 2 2 2 6 2" xfId="11378"/>
    <cellStyle name="Normal 2 2 2 2 2 2 6 3" xfId="11379"/>
    <cellStyle name="Normal 2 2 2 2 2 2 6 3 2" xfId="11380"/>
    <cellStyle name="Normal 2 2 2 2 2 2 6 3 3" xfId="11381"/>
    <cellStyle name="Normal 2 2 2 2 2 2 6 3 4" xfId="11382"/>
    <cellStyle name="Normal 2 2 2 2 2 2 6 3 5" xfId="11383"/>
    <cellStyle name="Normal 2 2 2 2 2 2 6 3 6" xfId="11384"/>
    <cellStyle name="Normal 2 2 2 2 2 2 6 4" xfId="11385"/>
    <cellStyle name="Normal 2 2 2 2 2 2 6 4 2" xfId="11386"/>
    <cellStyle name="Normal 2 2 2 2 2 2 6 4 3" xfId="11387"/>
    <cellStyle name="Normal 2 2 2 2 2 2 6 4 4" xfId="11388"/>
    <cellStyle name="Normal 2 2 2 2 2 2 6 4 5" xfId="11389"/>
    <cellStyle name="Normal 2 2 2 2 2 2 6 4 6" xfId="11390"/>
    <cellStyle name="Normal 2 2 2 2 2 2 60" xfId="11391"/>
    <cellStyle name="Normal 2 2 2 2 2 2 60 2" xfId="11392"/>
    <cellStyle name="Normal 2 2 2 2 2 2 60 3" xfId="11393"/>
    <cellStyle name="Normal 2 2 2 2 2 2 60 4" xfId="11394"/>
    <cellStyle name="Normal 2 2 2 2 2 2 60 5" xfId="11395"/>
    <cellStyle name="Normal 2 2 2 2 2 2 60 6" xfId="11396"/>
    <cellStyle name="Normal 2 2 2 2 2 2 60 7" xfId="11397"/>
    <cellStyle name="Normal 2 2 2 2 2 2 60 8" xfId="11398"/>
    <cellStyle name="Normal 2 2 2 2 2 2 61" xfId="11399"/>
    <cellStyle name="Normal 2 2 2 2 2 2 61 2" xfId="11400"/>
    <cellStyle name="Normal 2 2 2 2 2 2 61 3" xfId="11401"/>
    <cellStyle name="Normal 2 2 2 2 2 2 61 4" xfId="11402"/>
    <cellStyle name="Normal 2 2 2 2 2 2 61 5" xfId="11403"/>
    <cellStyle name="Normal 2 2 2 2 2 2 61 6" xfId="11404"/>
    <cellStyle name="Normal 2 2 2 2 2 2 61 7" xfId="11405"/>
    <cellStyle name="Normal 2 2 2 2 2 2 61 8" xfId="11406"/>
    <cellStyle name="Normal 2 2 2 2 2 2 62" xfId="11407"/>
    <cellStyle name="Normal 2 2 2 2 2 2 62 2" xfId="11408"/>
    <cellStyle name="Normal 2 2 2 2 2 2 62 3" xfId="11409"/>
    <cellStyle name="Normal 2 2 2 2 2 2 62 4" xfId="11410"/>
    <cellStyle name="Normal 2 2 2 2 2 2 62 5" xfId="11411"/>
    <cellStyle name="Normal 2 2 2 2 2 2 62 6" xfId="11412"/>
    <cellStyle name="Normal 2 2 2 2 2 2 62 7" xfId="11413"/>
    <cellStyle name="Normal 2 2 2 2 2 2 62 8" xfId="11414"/>
    <cellStyle name="Normal 2 2 2 2 2 2 63" xfId="11415"/>
    <cellStyle name="Normal 2 2 2 2 2 2 63 2" xfId="11416"/>
    <cellStyle name="Normal 2 2 2 2 2 2 63 3" xfId="11417"/>
    <cellStyle name="Normal 2 2 2 2 2 2 63 4" xfId="11418"/>
    <cellStyle name="Normal 2 2 2 2 2 2 63 5" xfId="11419"/>
    <cellStyle name="Normal 2 2 2 2 2 2 63 6" xfId="11420"/>
    <cellStyle name="Normal 2 2 2 2 2 2 63 7" xfId="11421"/>
    <cellStyle name="Normal 2 2 2 2 2 2 63 8" xfId="11422"/>
    <cellStyle name="Normal 2 2 2 2 2 2 64" xfId="11423"/>
    <cellStyle name="Normal 2 2 2 2 2 2 64 2" xfId="11424"/>
    <cellStyle name="Normal 2 2 2 2 2 2 64 3" xfId="11425"/>
    <cellStyle name="Normal 2 2 2 2 2 2 64 4" xfId="11426"/>
    <cellStyle name="Normal 2 2 2 2 2 2 64 5" xfId="11427"/>
    <cellStyle name="Normal 2 2 2 2 2 2 64 6" xfId="11428"/>
    <cellStyle name="Normal 2 2 2 2 2 2 64 7" xfId="11429"/>
    <cellStyle name="Normal 2 2 2 2 2 2 64 8" xfId="11430"/>
    <cellStyle name="Normal 2 2 2 2 2 2 65" xfId="11431"/>
    <cellStyle name="Normal 2 2 2 2 2 2 65 2" xfId="11432"/>
    <cellStyle name="Normal 2 2 2 2 2 2 65 3" xfId="11433"/>
    <cellStyle name="Normal 2 2 2 2 2 2 65 4" xfId="11434"/>
    <cellStyle name="Normal 2 2 2 2 2 2 65 5" xfId="11435"/>
    <cellStyle name="Normal 2 2 2 2 2 2 65 6" xfId="11436"/>
    <cellStyle name="Normal 2 2 2 2 2 2 65 7" xfId="11437"/>
    <cellStyle name="Normal 2 2 2 2 2 2 65 8" xfId="11438"/>
    <cellStyle name="Normal 2 2 2 2 2 2 66" xfId="11439"/>
    <cellStyle name="Normal 2 2 2 2 2 2 66 2" xfId="11440"/>
    <cellStyle name="Normal 2 2 2 2 2 2 66 3" xfId="11441"/>
    <cellStyle name="Normal 2 2 2 2 2 2 66 4" xfId="11442"/>
    <cellStyle name="Normal 2 2 2 2 2 2 66 5" xfId="11443"/>
    <cellStyle name="Normal 2 2 2 2 2 2 66 6" xfId="11444"/>
    <cellStyle name="Normal 2 2 2 2 2 2 66 7" xfId="11445"/>
    <cellStyle name="Normal 2 2 2 2 2 2 66 8" xfId="11446"/>
    <cellStyle name="Normal 2 2 2 2 2 2 67" xfId="11447"/>
    <cellStyle name="Normal 2 2 2 2 2 2 67 2" xfId="11448"/>
    <cellStyle name="Normal 2 2 2 2 2 2 67 3" xfId="11449"/>
    <cellStyle name="Normal 2 2 2 2 2 2 67 4" xfId="11450"/>
    <cellStyle name="Normal 2 2 2 2 2 2 67 5" xfId="11451"/>
    <cellStyle name="Normal 2 2 2 2 2 2 67 6" xfId="11452"/>
    <cellStyle name="Normal 2 2 2 2 2 2 67 7" xfId="11453"/>
    <cellStyle name="Normal 2 2 2 2 2 2 67 8" xfId="11454"/>
    <cellStyle name="Normal 2 2 2 2 2 2 68" xfId="11455"/>
    <cellStyle name="Normal 2 2 2 2 2 2 68 2" xfId="11456"/>
    <cellStyle name="Normal 2 2 2 2 2 2 68 3" xfId="11457"/>
    <cellStyle name="Normal 2 2 2 2 2 2 68 4" xfId="11458"/>
    <cellStyle name="Normal 2 2 2 2 2 2 68 5" xfId="11459"/>
    <cellStyle name="Normal 2 2 2 2 2 2 68 6" xfId="11460"/>
    <cellStyle name="Normal 2 2 2 2 2 2 68 7" xfId="11461"/>
    <cellStyle name="Normal 2 2 2 2 2 2 68 8" xfId="11462"/>
    <cellStyle name="Normal 2 2 2 2 2 2 69" xfId="11463"/>
    <cellStyle name="Normal 2 2 2 2 2 2 69 2" xfId="11464"/>
    <cellStyle name="Normal 2 2 2 2 2 2 69 3" xfId="11465"/>
    <cellStyle name="Normal 2 2 2 2 2 2 69 4" xfId="11466"/>
    <cellStyle name="Normal 2 2 2 2 2 2 69 5" xfId="11467"/>
    <cellStyle name="Normal 2 2 2 2 2 2 69 6" xfId="11468"/>
    <cellStyle name="Normal 2 2 2 2 2 2 69 7" xfId="11469"/>
    <cellStyle name="Normal 2 2 2 2 2 2 69 8" xfId="11470"/>
    <cellStyle name="Normal 2 2 2 2 2 2 7" xfId="11471"/>
    <cellStyle name="Normal 2 2 2 2 2 2 7 2" xfId="11472"/>
    <cellStyle name="Normal 2 2 2 2 2 2 7 3" xfId="11473"/>
    <cellStyle name="Normal 2 2 2 2 2 2 7 3 2" xfId="11474"/>
    <cellStyle name="Normal 2 2 2 2 2 2 7 3 3" xfId="11475"/>
    <cellStyle name="Normal 2 2 2 2 2 2 7 3 4" xfId="11476"/>
    <cellStyle name="Normal 2 2 2 2 2 2 7 3 5" xfId="11477"/>
    <cellStyle name="Normal 2 2 2 2 2 2 7 3 6" xfId="11478"/>
    <cellStyle name="Normal 2 2 2 2 2 2 7 4" xfId="11479"/>
    <cellStyle name="Normal 2 2 2 2 2 2 7 4 2" xfId="11480"/>
    <cellStyle name="Normal 2 2 2 2 2 2 7 4 3" xfId="11481"/>
    <cellStyle name="Normal 2 2 2 2 2 2 7 4 4" xfId="11482"/>
    <cellStyle name="Normal 2 2 2 2 2 2 7 4 5" xfId="11483"/>
    <cellStyle name="Normal 2 2 2 2 2 2 7 4 6" xfId="11484"/>
    <cellStyle name="Normal 2 2 2 2 2 2 70" xfId="11485"/>
    <cellStyle name="Normal 2 2 2 2 2 2 70 2" xfId="11486"/>
    <cellStyle name="Normal 2 2 2 2 2 2 70 3" xfId="11487"/>
    <cellStyle name="Normal 2 2 2 2 2 2 70 4" xfId="11488"/>
    <cellStyle name="Normal 2 2 2 2 2 2 70 5" xfId="11489"/>
    <cellStyle name="Normal 2 2 2 2 2 2 70 6" xfId="11490"/>
    <cellStyle name="Normal 2 2 2 2 2 2 70 7" xfId="11491"/>
    <cellStyle name="Normal 2 2 2 2 2 2 70 8" xfId="11492"/>
    <cellStyle name="Normal 2 2 2 2 2 2 71" xfId="11493"/>
    <cellStyle name="Normal 2 2 2 2 2 2 71 2" xfId="11494"/>
    <cellStyle name="Normal 2 2 2 2 2 2 71 3" xfId="11495"/>
    <cellStyle name="Normal 2 2 2 2 2 2 71 4" xfId="11496"/>
    <cellStyle name="Normal 2 2 2 2 2 2 71 5" xfId="11497"/>
    <cellStyle name="Normal 2 2 2 2 2 2 71 6" xfId="11498"/>
    <cellStyle name="Normal 2 2 2 2 2 2 71 7" xfId="11499"/>
    <cellStyle name="Normal 2 2 2 2 2 2 71 8" xfId="11500"/>
    <cellStyle name="Normal 2 2 2 2 2 2 72" xfId="11501"/>
    <cellStyle name="Normal 2 2 2 2 2 2 72 2" xfId="11502"/>
    <cellStyle name="Normal 2 2 2 2 2 2 72 3" xfId="11503"/>
    <cellStyle name="Normal 2 2 2 2 2 2 72 4" xfId="11504"/>
    <cellStyle name="Normal 2 2 2 2 2 2 72 5" xfId="11505"/>
    <cellStyle name="Normal 2 2 2 2 2 2 72 6" xfId="11506"/>
    <cellStyle name="Normal 2 2 2 2 2 2 72 7" xfId="11507"/>
    <cellStyle name="Normal 2 2 2 2 2 2 72 8" xfId="11508"/>
    <cellStyle name="Normal 2 2 2 2 2 2 73" xfId="11509"/>
    <cellStyle name="Normal 2 2 2 2 2 2 73 2" xfId="11510"/>
    <cellStyle name="Normal 2 2 2 2 2 2 73 3" xfId="11511"/>
    <cellStyle name="Normal 2 2 2 2 2 2 73 4" xfId="11512"/>
    <cellStyle name="Normal 2 2 2 2 2 2 73 5" xfId="11513"/>
    <cellStyle name="Normal 2 2 2 2 2 2 73 6" xfId="11514"/>
    <cellStyle name="Normal 2 2 2 2 2 2 73 7" xfId="11515"/>
    <cellStyle name="Normal 2 2 2 2 2 2 73 8" xfId="11516"/>
    <cellStyle name="Normal 2 2 2 2 2 2 74" xfId="11517"/>
    <cellStyle name="Normal 2 2 2 2 2 2 74 2" xfId="11518"/>
    <cellStyle name="Normal 2 2 2 2 2 2 74 3" xfId="11519"/>
    <cellStyle name="Normal 2 2 2 2 2 2 74 4" xfId="11520"/>
    <cellStyle name="Normal 2 2 2 2 2 2 74 5" xfId="11521"/>
    <cellStyle name="Normal 2 2 2 2 2 2 74 6" xfId="11522"/>
    <cellStyle name="Normal 2 2 2 2 2 2 74 7" xfId="11523"/>
    <cellStyle name="Normal 2 2 2 2 2 2 74 8" xfId="11524"/>
    <cellStyle name="Normal 2 2 2 2 2 2 75" xfId="11525"/>
    <cellStyle name="Normal 2 2 2 2 2 2 75 2" xfId="11526"/>
    <cellStyle name="Normal 2 2 2 2 2 2 75 3" xfId="11527"/>
    <cellStyle name="Normal 2 2 2 2 2 2 75 4" xfId="11528"/>
    <cellStyle name="Normal 2 2 2 2 2 2 75 5" xfId="11529"/>
    <cellStyle name="Normal 2 2 2 2 2 2 75 6" xfId="11530"/>
    <cellStyle name="Normal 2 2 2 2 2 2 75 7" xfId="11531"/>
    <cellStyle name="Normal 2 2 2 2 2 2 75 8" xfId="11532"/>
    <cellStyle name="Normal 2 2 2 2 2 2 76" xfId="11533"/>
    <cellStyle name="Normal 2 2 2 2 2 2 76 2" xfId="11534"/>
    <cellStyle name="Normal 2 2 2 2 2 2 76 3" xfId="11535"/>
    <cellStyle name="Normal 2 2 2 2 2 2 76 4" xfId="11536"/>
    <cellStyle name="Normal 2 2 2 2 2 2 76 5" xfId="11537"/>
    <cellStyle name="Normal 2 2 2 2 2 2 76 6" xfId="11538"/>
    <cellStyle name="Normal 2 2 2 2 2 2 76 7" xfId="11539"/>
    <cellStyle name="Normal 2 2 2 2 2 2 76 8" xfId="11540"/>
    <cellStyle name="Normal 2 2 2 2 2 2 77" xfId="11541"/>
    <cellStyle name="Normal 2 2 2 2 2 2 77 2" xfId="11542"/>
    <cellStyle name="Normal 2 2 2 2 2 2 77 3" xfId="11543"/>
    <cellStyle name="Normal 2 2 2 2 2 2 77 4" xfId="11544"/>
    <cellStyle name="Normal 2 2 2 2 2 2 77 5" xfId="11545"/>
    <cellStyle name="Normal 2 2 2 2 2 2 77 6" xfId="11546"/>
    <cellStyle name="Normal 2 2 2 2 2 2 77 7" xfId="11547"/>
    <cellStyle name="Normal 2 2 2 2 2 2 77 8" xfId="11548"/>
    <cellStyle name="Normal 2 2 2 2 2 2 78" xfId="11549"/>
    <cellStyle name="Normal 2 2 2 2 2 2 78 2" xfId="11550"/>
    <cellStyle name="Normal 2 2 2 2 2 2 78 3" xfId="11551"/>
    <cellStyle name="Normal 2 2 2 2 2 2 78 4" xfId="11552"/>
    <cellStyle name="Normal 2 2 2 2 2 2 78 5" xfId="11553"/>
    <cellStyle name="Normal 2 2 2 2 2 2 78 6" xfId="11554"/>
    <cellStyle name="Normal 2 2 2 2 2 2 78 7" xfId="11555"/>
    <cellStyle name="Normal 2 2 2 2 2 2 78 8" xfId="11556"/>
    <cellStyle name="Normal 2 2 2 2 2 2 79" xfId="11557"/>
    <cellStyle name="Normal 2 2 2 2 2 2 79 2" xfId="11558"/>
    <cellStyle name="Normal 2 2 2 2 2 2 79 3" xfId="11559"/>
    <cellStyle name="Normal 2 2 2 2 2 2 79 4" xfId="11560"/>
    <cellStyle name="Normal 2 2 2 2 2 2 79 5" xfId="11561"/>
    <cellStyle name="Normal 2 2 2 2 2 2 79 6" xfId="11562"/>
    <cellStyle name="Normal 2 2 2 2 2 2 79 7" xfId="11563"/>
    <cellStyle name="Normal 2 2 2 2 2 2 79 8" xfId="11564"/>
    <cellStyle name="Normal 2 2 2 2 2 2 8" xfId="11565"/>
    <cellStyle name="Normal 2 2 2 2 2 2 8 2" xfId="11566"/>
    <cellStyle name="Normal 2 2 2 2 2 2 8 3" xfId="11567"/>
    <cellStyle name="Normal 2 2 2 2 2 2 8 3 2" xfId="11568"/>
    <cellStyle name="Normal 2 2 2 2 2 2 8 3 3" xfId="11569"/>
    <cellStyle name="Normal 2 2 2 2 2 2 8 3 4" xfId="11570"/>
    <cellStyle name="Normal 2 2 2 2 2 2 8 3 5" xfId="11571"/>
    <cellStyle name="Normal 2 2 2 2 2 2 8 3 6" xfId="11572"/>
    <cellStyle name="Normal 2 2 2 2 2 2 8 4" xfId="11573"/>
    <cellStyle name="Normal 2 2 2 2 2 2 8 4 2" xfId="11574"/>
    <cellStyle name="Normal 2 2 2 2 2 2 8 4 3" xfId="11575"/>
    <cellStyle name="Normal 2 2 2 2 2 2 8 4 4" xfId="11576"/>
    <cellStyle name="Normal 2 2 2 2 2 2 8 4 5" xfId="11577"/>
    <cellStyle name="Normal 2 2 2 2 2 2 8 4 6" xfId="11578"/>
    <cellStyle name="Normal 2 2 2 2 2 2 80" xfId="11579"/>
    <cellStyle name="Normal 2 2 2 2 2 2 80 2" xfId="11580"/>
    <cellStyle name="Normal 2 2 2 2 2 2 80 3" xfId="11581"/>
    <cellStyle name="Normal 2 2 2 2 2 2 80 4" xfId="11582"/>
    <cellStyle name="Normal 2 2 2 2 2 2 80 5" xfId="11583"/>
    <cellStyle name="Normal 2 2 2 2 2 2 80 6" xfId="11584"/>
    <cellStyle name="Normal 2 2 2 2 2 2 80 7" xfId="11585"/>
    <cellStyle name="Normal 2 2 2 2 2 2 80 8" xfId="11586"/>
    <cellStyle name="Normal 2 2 2 2 2 2 81" xfId="11587"/>
    <cellStyle name="Normal 2 2 2 2 2 2 81 2" xfId="11588"/>
    <cellStyle name="Normal 2 2 2 2 2 2 81 3" xfId="11589"/>
    <cellStyle name="Normal 2 2 2 2 2 2 81 4" xfId="11590"/>
    <cellStyle name="Normal 2 2 2 2 2 2 81 5" xfId="11591"/>
    <cellStyle name="Normal 2 2 2 2 2 2 81 6" xfId="11592"/>
    <cellStyle name="Normal 2 2 2 2 2 2 81 7" xfId="11593"/>
    <cellStyle name="Normal 2 2 2 2 2 2 81 8" xfId="11594"/>
    <cellStyle name="Normal 2 2 2 2 2 2 82" xfId="11595"/>
    <cellStyle name="Normal 2 2 2 2 2 2 82 2" xfId="11596"/>
    <cellStyle name="Normal 2 2 2 2 2 2 82 3" xfId="11597"/>
    <cellStyle name="Normal 2 2 2 2 2 2 82 4" xfId="11598"/>
    <cellStyle name="Normal 2 2 2 2 2 2 82 5" xfId="11599"/>
    <cellStyle name="Normal 2 2 2 2 2 2 82 6" xfId="11600"/>
    <cellStyle name="Normal 2 2 2 2 2 2 82 7" xfId="11601"/>
    <cellStyle name="Normal 2 2 2 2 2 2 82 8" xfId="11602"/>
    <cellStyle name="Normal 2 2 2 2 2 2 83" xfId="11603"/>
    <cellStyle name="Normal 2 2 2 2 2 2 83 2" xfId="11604"/>
    <cellStyle name="Normal 2 2 2 2 2 2 83 3" xfId="11605"/>
    <cellStyle name="Normal 2 2 2 2 2 2 83 4" xfId="11606"/>
    <cellStyle name="Normal 2 2 2 2 2 2 83 5" xfId="11607"/>
    <cellStyle name="Normal 2 2 2 2 2 2 83 6" xfId="11608"/>
    <cellStyle name="Normal 2 2 2 2 2 2 83 7" xfId="11609"/>
    <cellStyle name="Normal 2 2 2 2 2 2 83 8" xfId="11610"/>
    <cellStyle name="Normal 2 2 2 2 2 2 84" xfId="11611"/>
    <cellStyle name="Normal 2 2 2 2 2 2 84 2" xfId="11612"/>
    <cellStyle name="Normal 2 2 2 2 2 2 84 3" xfId="11613"/>
    <cellStyle name="Normal 2 2 2 2 2 2 84 4" xfId="11614"/>
    <cellStyle name="Normal 2 2 2 2 2 2 84 5" xfId="11615"/>
    <cellStyle name="Normal 2 2 2 2 2 2 84 6" xfId="11616"/>
    <cellStyle name="Normal 2 2 2 2 2 2 84 7" xfId="11617"/>
    <cellStyle name="Normal 2 2 2 2 2 2 84 8" xfId="11618"/>
    <cellStyle name="Normal 2 2 2 2 2 2 85" xfId="11619"/>
    <cellStyle name="Normal 2 2 2 2 2 2 85 2" xfId="11620"/>
    <cellStyle name="Normal 2 2 2 2 2 2 85 3" xfId="11621"/>
    <cellStyle name="Normal 2 2 2 2 2 2 85 4" xfId="11622"/>
    <cellStyle name="Normal 2 2 2 2 2 2 85 5" xfId="11623"/>
    <cellStyle name="Normal 2 2 2 2 2 2 85 6" xfId="11624"/>
    <cellStyle name="Normal 2 2 2 2 2 2 85 7" xfId="11625"/>
    <cellStyle name="Normal 2 2 2 2 2 2 85 8" xfId="11626"/>
    <cellStyle name="Normal 2 2 2 2 2 2 86" xfId="11627"/>
    <cellStyle name="Normal 2 2 2 2 2 2 86 2" xfId="11628"/>
    <cellStyle name="Normal 2 2 2 2 2 2 86 3" xfId="11629"/>
    <cellStyle name="Normal 2 2 2 2 2 2 86 4" xfId="11630"/>
    <cellStyle name="Normal 2 2 2 2 2 2 86 5" xfId="11631"/>
    <cellStyle name="Normal 2 2 2 2 2 2 86 6" xfId="11632"/>
    <cellStyle name="Normal 2 2 2 2 2 2 86 7" xfId="11633"/>
    <cellStyle name="Normal 2 2 2 2 2 2 86 8" xfId="11634"/>
    <cellStyle name="Normal 2 2 2 2 2 2 87" xfId="11635"/>
    <cellStyle name="Normal 2 2 2 2 2 2 87 2" xfId="11636"/>
    <cellStyle name="Normal 2 2 2 2 2 2 87 3" xfId="11637"/>
    <cellStyle name="Normal 2 2 2 2 2 2 87 4" xfId="11638"/>
    <cellStyle name="Normal 2 2 2 2 2 2 87 5" xfId="11639"/>
    <cellStyle name="Normal 2 2 2 2 2 2 87 6" xfId="11640"/>
    <cellStyle name="Normal 2 2 2 2 2 2 87 7" xfId="11641"/>
    <cellStyle name="Normal 2 2 2 2 2 2 87 8" xfId="11642"/>
    <cellStyle name="Normal 2 2 2 2 2 2 88" xfId="11643"/>
    <cellStyle name="Normal 2 2 2 2 2 2 88 2" xfId="11644"/>
    <cellStyle name="Normal 2 2 2 2 2 2 88 3" xfId="11645"/>
    <cellStyle name="Normal 2 2 2 2 2 2 88 4" xfId="11646"/>
    <cellStyle name="Normal 2 2 2 2 2 2 88 5" xfId="11647"/>
    <cellStyle name="Normal 2 2 2 2 2 2 88 6" xfId="11648"/>
    <cellStyle name="Normal 2 2 2 2 2 2 88 7" xfId="11649"/>
    <cellStyle name="Normal 2 2 2 2 2 2 88 8" xfId="11650"/>
    <cellStyle name="Normal 2 2 2 2 2 2 89" xfId="11651"/>
    <cellStyle name="Normal 2 2 2 2 2 2 89 2" xfId="11652"/>
    <cellStyle name="Normal 2 2 2 2 2 2 89 3" xfId="11653"/>
    <cellStyle name="Normal 2 2 2 2 2 2 89 4" xfId="11654"/>
    <cellStyle name="Normal 2 2 2 2 2 2 89 5" xfId="11655"/>
    <cellStyle name="Normal 2 2 2 2 2 2 89 6" xfId="11656"/>
    <cellStyle name="Normal 2 2 2 2 2 2 89 7" xfId="11657"/>
    <cellStyle name="Normal 2 2 2 2 2 2 89 8" xfId="11658"/>
    <cellStyle name="Normal 2 2 2 2 2 2 9" xfId="11659"/>
    <cellStyle name="Normal 2 2 2 2 2 2 9 2" xfId="11660"/>
    <cellStyle name="Normal 2 2 2 2 2 2 9 2 2" xfId="11661"/>
    <cellStyle name="Normal 2 2 2 2 2 2 9 2 3" xfId="11662"/>
    <cellStyle name="Normal 2 2 2 2 2 2 9 2 4" xfId="11663"/>
    <cellStyle name="Normal 2 2 2 2 2 2 9 2 5" xfId="11664"/>
    <cellStyle name="Normal 2 2 2 2 2 2 9 2 6" xfId="11665"/>
    <cellStyle name="Normal 2 2 2 2 2 2 9 3" xfId="11666"/>
    <cellStyle name="Normal 2 2 2 2 2 2 9 4" xfId="11667"/>
    <cellStyle name="Normal 2 2 2 2 2 2 90" xfId="11668"/>
    <cellStyle name="Normal 2 2 2 2 2 2 90 2" xfId="11669"/>
    <cellStyle name="Normal 2 2 2 2 2 2 90 3" xfId="11670"/>
    <cellStyle name="Normal 2 2 2 2 2 2 90 4" xfId="11671"/>
    <cellStyle name="Normal 2 2 2 2 2 2 90 5" xfId="11672"/>
    <cellStyle name="Normal 2 2 2 2 2 2 90 6" xfId="11673"/>
    <cellStyle name="Normal 2 2 2 2 2 2 90 7" xfId="11674"/>
    <cellStyle name="Normal 2 2 2 2 2 2 90 8" xfId="11675"/>
    <cellStyle name="Normal 2 2 2 2 2 2 91" xfId="11676"/>
    <cellStyle name="Normal 2 2 2 2 2 2 91 2" xfId="11677"/>
    <cellStyle name="Normal 2 2 2 2 2 2 91 3" xfId="11678"/>
    <cellStyle name="Normal 2 2 2 2 2 2 91 4" xfId="11679"/>
    <cellStyle name="Normal 2 2 2 2 2 2 91 5" xfId="11680"/>
    <cellStyle name="Normal 2 2 2 2 2 2 91 6" xfId="11681"/>
    <cellStyle name="Normal 2 2 2 2 2 2 91 7" xfId="11682"/>
    <cellStyle name="Normal 2 2 2 2 2 2 91 8" xfId="11683"/>
    <cellStyle name="Normal 2 2 2 2 2 2 92" xfId="11684"/>
    <cellStyle name="Normal 2 2 2 2 2 2 92 2" xfId="11685"/>
    <cellStyle name="Normal 2 2 2 2 2 2 92 3" xfId="11686"/>
    <cellStyle name="Normal 2 2 2 2 2 2 92 4" xfId="11687"/>
    <cellStyle name="Normal 2 2 2 2 2 2 92 5" xfId="11688"/>
    <cellStyle name="Normal 2 2 2 2 2 2 92 6" xfId="11689"/>
    <cellStyle name="Normal 2 2 2 2 2 2 92 7" xfId="11690"/>
    <cellStyle name="Normal 2 2 2 2 2 2 92 8" xfId="11691"/>
    <cellStyle name="Normal 2 2 2 2 2 2 93" xfId="11692"/>
    <cellStyle name="Normal 2 2 2 2 2 2 93 2" xfId="11693"/>
    <cellStyle name="Normal 2 2 2 2 2 2 93 3" xfId="11694"/>
    <cellStyle name="Normal 2 2 2 2 2 2 93 4" xfId="11695"/>
    <cellStyle name="Normal 2 2 2 2 2 2 93 5" xfId="11696"/>
    <cellStyle name="Normal 2 2 2 2 2 2 93 6" xfId="11697"/>
    <cellStyle name="Normal 2 2 2 2 2 2 93 7" xfId="11698"/>
    <cellStyle name="Normal 2 2 2 2 2 2 93 8" xfId="11699"/>
    <cellStyle name="Normal 2 2 2 2 2 2 94" xfId="11700"/>
    <cellStyle name="Normal 2 2 2 2 2 2 94 2" xfId="11701"/>
    <cellStyle name="Normal 2 2 2 2 2 2 94 3" xfId="11702"/>
    <cellStyle name="Normal 2 2 2 2 2 2 94 4" xfId="11703"/>
    <cellStyle name="Normal 2 2 2 2 2 2 94 5" xfId="11704"/>
    <cellStyle name="Normal 2 2 2 2 2 2 94 6" xfId="11705"/>
    <cellStyle name="Normal 2 2 2 2 2 2 94 7" xfId="11706"/>
    <cellStyle name="Normal 2 2 2 2 2 2 94 8" xfId="11707"/>
    <cellStyle name="Normal 2 2 2 2 2 2 95" xfId="11708"/>
    <cellStyle name="Normal 2 2 2 2 2 2 95 2" xfId="11709"/>
    <cellStyle name="Normal 2 2 2 2 2 2 95 3" xfId="11710"/>
    <cellStyle name="Normal 2 2 2 2 2 2 95 4" xfId="11711"/>
    <cellStyle name="Normal 2 2 2 2 2 2 95 5" xfId="11712"/>
    <cellStyle name="Normal 2 2 2 2 2 2 95 6" xfId="11713"/>
    <cellStyle name="Normal 2 2 2 2 2 2 95 7" xfId="11714"/>
    <cellStyle name="Normal 2 2 2 2 2 2 95 8" xfId="11715"/>
    <cellStyle name="Normal 2 2 2 2 2 2 96" xfId="11716"/>
    <cellStyle name="Normal 2 2 2 2 2 2 96 2" xfId="11717"/>
    <cellStyle name="Normal 2 2 2 2 2 2 96 3" xfId="11718"/>
    <cellStyle name="Normal 2 2 2 2 2 2 96 4" xfId="11719"/>
    <cellStyle name="Normal 2 2 2 2 2 2 96 5" xfId="11720"/>
    <cellStyle name="Normal 2 2 2 2 2 2 96 6" xfId="11721"/>
    <cellStyle name="Normal 2 2 2 2 2 2 96 7" xfId="11722"/>
    <cellStyle name="Normal 2 2 2 2 2 2 96 8" xfId="11723"/>
    <cellStyle name="Normal 2 2 2 2 2 2 97" xfId="11724"/>
    <cellStyle name="Normal 2 2 2 2 2 2 97 2" xfId="11725"/>
    <cellStyle name="Normal 2 2 2 2 2 2 97 3" xfId="11726"/>
    <cellStyle name="Normal 2 2 2 2 2 2 97 4" xfId="11727"/>
    <cellStyle name="Normal 2 2 2 2 2 2 97 5" xfId="11728"/>
    <cellStyle name="Normal 2 2 2 2 2 2 97 6" xfId="11729"/>
    <cellStyle name="Normal 2 2 2 2 2 2 97 7" xfId="11730"/>
    <cellStyle name="Normal 2 2 2 2 2 2 97 8" xfId="11731"/>
    <cellStyle name="Normal 2 2 2 2 2 2 98" xfId="11732"/>
    <cellStyle name="Normal 2 2 2 2 2 2 98 2" xfId="11733"/>
    <cellStyle name="Normal 2 2 2 2 2 2 98 3" xfId="11734"/>
    <cellStyle name="Normal 2 2 2 2 2 2 98 4" xfId="11735"/>
    <cellStyle name="Normal 2 2 2 2 2 2 98 5" xfId="11736"/>
    <cellStyle name="Normal 2 2 2 2 2 2 98 6" xfId="11737"/>
    <cellStyle name="Normal 2 2 2 2 2 2 98 7" xfId="11738"/>
    <cellStyle name="Normal 2 2 2 2 2 2 98 8" xfId="11739"/>
    <cellStyle name="Normal 2 2 2 2 2 2 99" xfId="11740"/>
    <cellStyle name="Normal 2 2 2 2 2 2 99 2" xfId="11741"/>
    <cellStyle name="Normal 2 2 2 2 2 2 99 3" xfId="11742"/>
    <cellStyle name="Normal 2 2 2 2 2 2 99 4" xfId="11743"/>
    <cellStyle name="Normal 2 2 2 2 2 2 99 5" xfId="11744"/>
    <cellStyle name="Normal 2 2 2 2 2 2 99 6" xfId="11745"/>
    <cellStyle name="Normal 2 2 2 2 2 2 99 7" xfId="11746"/>
    <cellStyle name="Normal 2 2 2 2 2 2 99 8" xfId="11747"/>
    <cellStyle name="Normal 2 2 2 2 2 20" xfId="11748"/>
    <cellStyle name="Normal 2 2 2 2 2 20 2" xfId="11749"/>
    <cellStyle name="Normal 2 2 2 2 2 20 2 2" xfId="11750"/>
    <cellStyle name="Normal 2 2 2 2 2 20 2 3" xfId="11751"/>
    <cellStyle name="Normal 2 2 2 2 2 20 2 4" xfId="11752"/>
    <cellStyle name="Normal 2 2 2 2 2 20 2 5" xfId="11753"/>
    <cellStyle name="Normal 2 2 2 2 2 20 2 6" xfId="11754"/>
    <cellStyle name="Normal 2 2 2 2 2 20 3" xfId="11755"/>
    <cellStyle name="Normal 2 2 2 2 2 20 3 2" xfId="11756"/>
    <cellStyle name="Normal 2 2 2 2 2 20 3 3" xfId="11757"/>
    <cellStyle name="Normal 2 2 2 2 2 20 3 4" xfId="11758"/>
    <cellStyle name="Normal 2 2 2 2 2 20 3 5" xfId="11759"/>
    <cellStyle name="Normal 2 2 2 2 2 20 3 6" xfId="11760"/>
    <cellStyle name="Normal 2 2 2 2 2 21" xfId="11761"/>
    <cellStyle name="Normal 2 2 2 2 2 21 2" xfId="11762"/>
    <cellStyle name="Normal 2 2 2 2 2 21 2 2" xfId="11763"/>
    <cellStyle name="Normal 2 2 2 2 2 21 2 3" xfId="11764"/>
    <cellStyle name="Normal 2 2 2 2 2 21 2 4" xfId="11765"/>
    <cellStyle name="Normal 2 2 2 2 2 21 2 5" xfId="11766"/>
    <cellStyle name="Normal 2 2 2 2 2 21 2 6" xfId="11767"/>
    <cellStyle name="Normal 2 2 2 2 2 21 3" xfId="11768"/>
    <cellStyle name="Normal 2 2 2 2 2 21 3 2" xfId="11769"/>
    <cellStyle name="Normal 2 2 2 2 2 21 3 3" xfId="11770"/>
    <cellStyle name="Normal 2 2 2 2 2 21 3 4" xfId="11771"/>
    <cellStyle name="Normal 2 2 2 2 2 21 3 5" xfId="11772"/>
    <cellStyle name="Normal 2 2 2 2 2 21 3 6" xfId="11773"/>
    <cellStyle name="Normal 2 2 2 2 2 22" xfId="11774"/>
    <cellStyle name="Normal 2 2 2 2 2 22 2" xfId="11775"/>
    <cellStyle name="Normal 2 2 2 2 2 22 2 2" xfId="11776"/>
    <cellStyle name="Normal 2 2 2 2 2 22 2 3" xfId="11777"/>
    <cellStyle name="Normal 2 2 2 2 2 22 2 4" xfId="11778"/>
    <cellStyle name="Normal 2 2 2 2 2 22 2 5" xfId="11779"/>
    <cellStyle name="Normal 2 2 2 2 2 22 2 6" xfId="11780"/>
    <cellStyle name="Normal 2 2 2 2 2 22 3" xfId="11781"/>
    <cellStyle name="Normal 2 2 2 2 2 22 3 2" xfId="11782"/>
    <cellStyle name="Normal 2 2 2 2 2 22 3 3" xfId="11783"/>
    <cellStyle name="Normal 2 2 2 2 2 22 3 4" xfId="11784"/>
    <cellStyle name="Normal 2 2 2 2 2 22 3 5" xfId="11785"/>
    <cellStyle name="Normal 2 2 2 2 2 22 3 6" xfId="11786"/>
    <cellStyle name="Normal 2 2 2 2 2 23" xfId="11787"/>
    <cellStyle name="Normal 2 2 2 2 2 23 2" xfId="11788"/>
    <cellStyle name="Normal 2 2 2 2 2 23 2 2" xfId="11789"/>
    <cellStyle name="Normal 2 2 2 2 2 23 2 3" xfId="11790"/>
    <cellStyle name="Normal 2 2 2 2 2 23 2 4" xfId="11791"/>
    <cellStyle name="Normal 2 2 2 2 2 23 2 5" xfId="11792"/>
    <cellStyle name="Normal 2 2 2 2 2 23 2 6" xfId="11793"/>
    <cellStyle name="Normal 2 2 2 2 2 23 3" xfId="11794"/>
    <cellStyle name="Normal 2 2 2 2 2 23 3 2" xfId="11795"/>
    <cellStyle name="Normal 2 2 2 2 2 23 3 3" xfId="11796"/>
    <cellStyle name="Normal 2 2 2 2 2 23 3 4" xfId="11797"/>
    <cellStyle name="Normal 2 2 2 2 2 23 3 5" xfId="11798"/>
    <cellStyle name="Normal 2 2 2 2 2 23 3 6" xfId="11799"/>
    <cellStyle name="Normal 2 2 2 2 2 24" xfId="11800"/>
    <cellStyle name="Normal 2 2 2 2 2 24 2" xfId="11801"/>
    <cellStyle name="Normal 2 2 2 2 2 24 2 2" xfId="11802"/>
    <cellStyle name="Normal 2 2 2 2 2 24 2 3" xfId="11803"/>
    <cellStyle name="Normal 2 2 2 2 2 24 2 4" xfId="11804"/>
    <cellStyle name="Normal 2 2 2 2 2 24 2 5" xfId="11805"/>
    <cellStyle name="Normal 2 2 2 2 2 24 2 6" xfId="11806"/>
    <cellStyle name="Normal 2 2 2 2 2 24 3" xfId="11807"/>
    <cellStyle name="Normal 2 2 2 2 2 24 3 2" xfId="11808"/>
    <cellStyle name="Normal 2 2 2 2 2 24 3 3" xfId="11809"/>
    <cellStyle name="Normal 2 2 2 2 2 24 3 4" xfId="11810"/>
    <cellStyle name="Normal 2 2 2 2 2 24 3 5" xfId="11811"/>
    <cellStyle name="Normal 2 2 2 2 2 24 3 6" xfId="11812"/>
    <cellStyle name="Normal 2 2 2 2 2 25" xfId="11813"/>
    <cellStyle name="Normal 2 2 2 2 2 25 2" xfId="11814"/>
    <cellStyle name="Normal 2 2 2 2 2 25 2 2" xfId="11815"/>
    <cellStyle name="Normal 2 2 2 2 2 25 2 3" xfId="11816"/>
    <cellStyle name="Normal 2 2 2 2 2 25 2 4" xfId="11817"/>
    <cellStyle name="Normal 2 2 2 2 2 25 2 5" xfId="11818"/>
    <cellStyle name="Normal 2 2 2 2 2 25 2 6" xfId="11819"/>
    <cellStyle name="Normal 2 2 2 2 2 25 3" xfId="11820"/>
    <cellStyle name="Normal 2 2 2 2 2 25 3 2" xfId="11821"/>
    <cellStyle name="Normal 2 2 2 2 2 25 3 3" xfId="11822"/>
    <cellStyle name="Normal 2 2 2 2 2 25 3 4" xfId="11823"/>
    <cellStyle name="Normal 2 2 2 2 2 25 3 5" xfId="11824"/>
    <cellStyle name="Normal 2 2 2 2 2 25 3 6" xfId="11825"/>
    <cellStyle name="Normal 2 2 2 2 2 26" xfId="11826"/>
    <cellStyle name="Normal 2 2 2 2 2 26 2" xfId="11827"/>
    <cellStyle name="Normal 2 2 2 2 2 26 2 2" xfId="11828"/>
    <cellStyle name="Normal 2 2 2 2 2 26 2 3" xfId="11829"/>
    <cellStyle name="Normal 2 2 2 2 2 26 2 4" xfId="11830"/>
    <cellStyle name="Normal 2 2 2 2 2 26 2 5" xfId="11831"/>
    <cellStyle name="Normal 2 2 2 2 2 26 2 6" xfId="11832"/>
    <cellStyle name="Normal 2 2 2 2 2 26 3" xfId="11833"/>
    <cellStyle name="Normal 2 2 2 2 2 26 3 2" xfId="11834"/>
    <cellStyle name="Normal 2 2 2 2 2 26 3 3" xfId="11835"/>
    <cellStyle name="Normal 2 2 2 2 2 26 3 4" xfId="11836"/>
    <cellStyle name="Normal 2 2 2 2 2 26 3 5" xfId="11837"/>
    <cellStyle name="Normal 2 2 2 2 2 26 3 6" xfId="11838"/>
    <cellStyle name="Normal 2 2 2 2 2 27" xfId="11839"/>
    <cellStyle name="Normal 2 2 2 2 2 27 2" xfId="11840"/>
    <cellStyle name="Normal 2 2 2 2 2 27 2 2" xfId="11841"/>
    <cellStyle name="Normal 2 2 2 2 2 27 2 3" xfId="11842"/>
    <cellStyle name="Normal 2 2 2 2 2 27 2 4" xfId="11843"/>
    <cellStyle name="Normal 2 2 2 2 2 27 2 5" xfId="11844"/>
    <cellStyle name="Normal 2 2 2 2 2 27 2 6" xfId="11845"/>
    <cellStyle name="Normal 2 2 2 2 2 27 3" xfId="11846"/>
    <cellStyle name="Normal 2 2 2 2 2 27 3 2" xfId="11847"/>
    <cellStyle name="Normal 2 2 2 2 2 27 3 3" xfId="11848"/>
    <cellStyle name="Normal 2 2 2 2 2 27 3 4" xfId="11849"/>
    <cellStyle name="Normal 2 2 2 2 2 27 3 5" xfId="11850"/>
    <cellStyle name="Normal 2 2 2 2 2 27 3 6" xfId="11851"/>
    <cellStyle name="Normal 2 2 2 2 2 28" xfId="11852"/>
    <cellStyle name="Normal 2 2 2 2 2 28 2" xfId="11853"/>
    <cellStyle name="Normal 2 2 2 2 2 28 2 2" xfId="11854"/>
    <cellStyle name="Normal 2 2 2 2 2 28 2 3" xfId="11855"/>
    <cellStyle name="Normal 2 2 2 2 2 28 2 4" xfId="11856"/>
    <cellStyle name="Normal 2 2 2 2 2 28 2 5" xfId="11857"/>
    <cellStyle name="Normal 2 2 2 2 2 28 2 6" xfId="11858"/>
    <cellStyle name="Normal 2 2 2 2 2 28 3" xfId="11859"/>
    <cellStyle name="Normal 2 2 2 2 2 28 3 2" xfId="11860"/>
    <cellStyle name="Normal 2 2 2 2 2 28 3 3" xfId="11861"/>
    <cellStyle name="Normal 2 2 2 2 2 28 3 4" xfId="11862"/>
    <cellStyle name="Normal 2 2 2 2 2 28 3 5" xfId="11863"/>
    <cellStyle name="Normal 2 2 2 2 2 28 3 6" xfId="11864"/>
    <cellStyle name="Normal 2 2 2 2 2 29" xfId="11865"/>
    <cellStyle name="Normal 2 2 2 2 2 29 2" xfId="11866"/>
    <cellStyle name="Normal 2 2 2 2 2 29 2 2" xfId="11867"/>
    <cellStyle name="Normal 2 2 2 2 2 29 2 3" xfId="11868"/>
    <cellStyle name="Normal 2 2 2 2 2 29 2 4" xfId="11869"/>
    <cellStyle name="Normal 2 2 2 2 2 29 2 5" xfId="11870"/>
    <cellStyle name="Normal 2 2 2 2 2 29 2 6" xfId="11871"/>
    <cellStyle name="Normal 2 2 2 2 2 29 3" xfId="11872"/>
    <cellStyle name="Normal 2 2 2 2 2 29 3 2" xfId="11873"/>
    <cellStyle name="Normal 2 2 2 2 2 29 3 3" xfId="11874"/>
    <cellStyle name="Normal 2 2 2 2 2 29 3 4" xfId="11875"/>
    <cellStyle name="Normal 2 2 2 2 2 29 3 5" xfId="11876"/>
    <cellStyle name="Normal 2 2 2 2 2 29 3 6" xfId="11877"/>
    <cellStyle name="Normal 2 2 2 2 2 3" xfId="11878"/>
    <cellStyle name="Normal 2 2 2 2 2 3 2" xfId="11879"/>
    <cellStyle name="Normal 2 2 2 2 2 3 2 2" xfId="11880"/>
    <cellStyle name="Normal 2 2 2 2 2 3 2 3" xfId="11881"/>
    <cellStyle name="Normal 2 2 2 2 2 3 2 4" xfId="11882"/>
    <cellStyle name="Normal 2 2 2 2 2 3 2 5" xfId="11883"/>
    <cellStyle name="Normal 2 2 2 2 2 3 2 6" xfId="11884"/>
    <cellStyle name="Normal 2 2 2 2 2 3 3" xfId="11885"/>
    <cellStyle name="Normal 2 2 2 2 2 3 4" xfId="11886"/>
    <cellStyle name="Normal 2 2 2 2 2 30" xfId="11887"/>
    <cellStyle name="Normal 2 2 2 2 2 30 2" xfId="11888"/>
    <cellStyle name="Normal 2 2 2 2 2 30 2 2" xfId="11889"/>
    <cellStyle name="Normal 2 2 2 2 2 30 2 3" xfId="11890"/>
    <cellStyle name="Normal 2 2 2 2 2 30 2 4" xfId="11891"/>
    <cellStyle name="Normal 2 2 2 2 2 30 2 5" xfId="11892"/>
    <cellStyle name="Normal 2 2 2 2 2 30 2 6" xfId="11893"/>
    <cellStyle name="Normal 2 2 2 2 2 30 3" xfId="11894"/>
    <cellStyle name="Normal 2 2 2 2 2 30 3 2" xfId="11895"/>
    <cellStyle name="Normal 2 2 2 2 2 30 3 3" xfId="11896"/>
    <cellStyle name="Normal 2 2 2 2 2 30 3 4" xfId="11897"/>
    <cellStyle name="Normal 2 2 2 2 2 30 3 5" xfId="11898"/>
    <cellStyle name="Normal 2 2 2 2 2 30 3 6" xfId="11899"/>
    <cellStyle name="Normal 2 2 2 2 2 31" xfId="11900"/>
    <cellStyle name="Normal 2 2 2 2 2 31 2" xfId="11901"/>
    <cellStyle name="Normal 2 2 2 2 2 31 2 2" xfId="11902"/>
    <cellStyle name="Normal 2 2 2 2 2 31 2 3" xfId="11903"/>
    <cellStyle name="Normal 2 2 2 2 2 31 2 4" xfId="11904"/>
    <cellStyle name="Normal 2 2 2 2 2 31 2 5" xfId="11905"/>
    <cellStyle name="Normal 2 2 2 2 2 31 2 6" xfId="11906"/>
    <cellStyle name="Normal 2 2 2 2 2 31 3" xfId="11907"/>
    <cellStyle name="Normal 2 2 2 2 2 31 3 2" xfId="11908"/>
    <cellStyle name="Normal 2 2 2 2 2 31 3 3" xfId="11909"/>
    <cellStyle name="Normal 2 2 2 2 2 31 3 4" xfId="11910"/>
    <cellStyle name="Normal 2 2 2 2 2 31 3 5" xfId="11911"/>
    <cellStyle name="Normal 2 2 2 2 2 31 3 6" xfId="11912"/>
    <cellStyle name="Normal 2 2 2 2 2 32" xfId="11913"/>
    <cellStyle name="Normal 2 2 2 2 2 32 2" xfId="11914"/>
    <cellStyle name="Normal 2 2 2 2 2 32 2 2" xfId="11915"/>
    <cellStyle name="Normal 2 2 2 2 2 32 2 3" xfId="11916"/>
    <cellStyle name="Normal 2 2 2 2 2 32 2 4" xfId="11917"/>
    <cellStyle name="Normal 2 2 2 2 2 32 2 5" xfId="11918"/>
    <cellStyle name="Normal 2 2 2 2 2 32 2 6" xfId="11919"/>
    <cellStyle name="Normal 2 2 2 2 2 32 3" xfId="11920"/>
    <cellStyle name="Normal 2 2 2 2 2 32 3 2" xfId="11921"/>
    <cellStyle name="Normal 2 2 2 2 2 32 3 3" xfId="11922"/>
    <cellStyle name="Normal 2 2 2 2 2 32 3 4" xfId="11923"/>
    <cellStyle name="Normal 2 2 2 2 2 32 3 5" xfId="11924"/>
    <cellStyle name="Normal 2 2 2 2 2 32 3 6" xfId="11925"/>
    <cellStyle name="Normal 2 2 2 2 2 33" xfId="11926"/>
    <cellStyle name="Normal 2 2 2 2 2 33 2" xfId="11927"/>
    <cellStyle name="Normal 2 2 2 2 2 33 2 2" xfId="11928"/>
    <cellStyle name="Normal 2 2 2 2 2 33 2 3" xfId="11929"/>
    <cellStyle name="Normal 2 2 2 2 2 33 2 4" xfId="11930"/>
    <cellStyle name="Normal 2 2 2 2 2 33 2 5" xfId="11931"/>
    <cellStyle name="Normal 2 2 2 2 2 33 2 6" xfId="11932"/>
    <cellStyle name="Normal 2 2 2 2 2 33 3" xfId="11933"/>
    <cellStyle name="Normal 2 2 2 2 2 33 3 2" xfId="11934"/>
    <cellStyle name="Normal 2 2 2 2 2 33 3 3" xfId="11935"/>
    <cellStyle name="Normal 2 2 2 2 2 33 3 4" xfId="11936"/>
    <cellStyle name="Normal 2 2 2 2 2 33 3 5" xfId="11937"/>
    <cellStyle name="Normal 2 2 2 2 2 33 3 6" xfId="11938"/>
    <cellStyle name="Normal 2 2 2 2 2 34" xfId="11939"/>
    <cellStyle name="Normal 2 2 2 2 2 34 2" xfId="11940"/>
    <cellStyle name="Normal 2 2 2 2 2 34 2 2" xfId="11941"/>
    <cellStyle name="Normal 2 2 2 2 2 34 2 3" xfId="11942"/>
    <cellStyle name="Normal 2 2 2 2 2 34 2 4" xfId="11943"/>
    <cellStyle name="Normal 2 2 2 2 2 34 2 5" xfId="11944"/>
    <cellStyle name="Normal 2 2 2 2 2 34 2 6" xfId="11945"/>
    <cellStyle name="Normal 2 2 2 2 2 34 3" xfId="11946"/>
    <cellStyle name="Normal 2 2 2 2 2 34 3 2" xfId="11947"/>
    <cellStyle name="Normal 2 2 2 2 2 34 3 3" xfId="11948"/>
    <cellStyle name="Normal 2 2 2 2 2 34 3 4" xfId="11949"/>
    <cellStyle name="Normal 2 2 2 2 2 34 3 5" xfId="11950"/>
    <cellStyle name="Normal 2 2 2 2 2 34 3 6" xfId="11951"/>
    <cellStyle name="Normal 2 2 2 2 2 35" xfId="11952"/>
    <cellStyle name="Normal 2 2 2 2 2 35 2" xfId="11953"/>
    <cellStyle name="Normal 2 2 2 2 2 35 2 2" xfId="11954"/>
    <cellStyle name="Normal 2 2 2 2 2 35 2 3" xfId="11955"/>
    <cellStyle name="Normal 2 2 2 2 2 35 2 4" xfId="11956"/>
    <cellStyle name="Normal 2 2 2 2 2 35 2 5" xfId="11957"/>
    <cellStyle name="Normal 2 2 2 2 2 35 2 6" xfId="11958"/>
    <cellStyle name="Normal 2 2 2 2 2 35 3" xfId="11959"/>
    <cellStyle name="Normal 2 2 2 2 2 35 3 2" xfId="11960"/>
    <cellStyle name="Normal 2 2 2 2 2 35 3 3" xfId="11961"/>
    <cellStyle name="Normal 2 2 2 2 2 35 3 4" xfId="11962"/>
    <cellStyle name="Normal 2 2 2 2 2 35 3 5" xfId="11963"/>
    <cellStyle name="Normal 2 2 2 2 2 35 3 6" xfId="11964"/>
    <cellStyle name="Normal 2 2 2 2 2 36" xfId="11965"/>
    <cellStyle name="Normal 2 2 2 2 2 36 2" xfId="11966"/>
    <cellStyle name="Normal 2 2 2 2 2 36 2 2" xfId="11967"/>
    <cellStyle name="Normal 2 2 2 2 2 36 2 3" xfId="11968"/>
    <cellStyle name="Normal 2 2 2 2 2 36 2 4" xfId="11969"/>
    <cellStyle name="Normal 2 2 2 2 2 36 2 5" xfId="11970"/>
    <cellStyle name="Normal 2 2 2 2 2 36 2 6" xfId="11971"/>
    <cellStyle name="Normal 2 2 2 2 2 36 3" xfId="11972"/>
    <cellStyle name="Normal 2 2 2 2 2 36 3 2" xfId="11973"/>
    <cellStyle name="Normal 2 2 2 2 2 36 3 3" xfId="11974"/>
    <cellStyle name="Normal 2 2 2 2 2 36 3 4" xfId="11975"/>
    <cellStyle name="Normal 2 2 2 2 2 36 3 5" xfId="11976"/>
    <cellStyle name="Normal 2 2 2 2 2 36 3 6" xfId="11977"/>
    <cellStyle name="Normal 2 2 2 2 2 37" xfId="11978"/>
    <cellStyle name="Normal 2 2 2 2 2 37 2" xfId="11979"/>
    <cellStyle name="Normal 2 2 2 2 2 37 2 2" xfId="11980"/>
    <cellStyle name="Normal 2 2 2 2 2 37 2 3" xfId="11981"/>
    <cellStyle name="Normal 2 2 2 2 2 37 2 4" xfId="11982"/>
    <cellStyle name="Normal 2 2 2 2 2 37 2 5" xfId="11983"/>
    <cellStyle name="Normal 2 2 2 2 2 37 2 6" xfId="11984"/>
    <cellStyle name="Normal 2 2 2 2 2 37 3" xfId="11985"/>
    <cellStyle name="Normal 2 2 2 2 2 37 3 2" xfId="11986"/>
    <cellStyle name="Normal 2 2 2 2 2 37 3 3" xfId="11987"/>
    <cellStyle name="Normal 2 2 2 2 2 37 3 4" xfId="11988"/>
    <cellStyle name="Normal 2 2 2 2 2 37 3 5" xfId="11989"/>
    <cellStyle name="Normal 2 2 2 2 2 37 3 6" xfId="11990"/>
    <cellStyle name="Normal 2 2 2 2 2 38" xfId="11991"/>
    <cellStyle name="Normal 2 2 2 2 2 38 2" xfId="11992"/>
    <cellStyle name="Normal 2 2 2 2 2 38 2 2" xfId="11993"/>
    <cellStyle name="Normal 2 2 2 2 2 38 2 3" xfId="11994"/>
    <cellStyle name="Normal 2 2 2 2 2 38 2 4" xfId="11995"/>
    <cellStyle name="Normal 2 2 2 2 2 38 2 5" xfId="11996"/>
    <cellStyle name="Normal 2 2 2 2 2 38 2 6" xfId="11997"/>
    <cellStyle name="Normal 2 2 2 2 2 38 3" xfId="11998"/>
    <cellStyle name="Normal 2 2 2 2 2 38 3 2" xfId="11999"/>
    <cellStyle name="Normal 2 2 2 2 2 38 3 3" xfId="12000"/>
    <cellStyle name="Normal 2 2 2 2 2 38 3 4" xfId="12001"/>
    <cellStyle name="Normal 2 2 2 2 2 38 3 5" xfId="12002"/>
    <cellStyle name="Normal 2 2 2 2 2 38 3 6" xfId="12003"/>
    <cellStyle name="Normal 2 2 2 2 2 39" xfId="12004"/>
    <cellStyle name="Normal 2 2 2 2 2 39 2" xfId="12005"/>
    <cellStyle name="Normal 2 2 2 2 2 39 2 2" xfId="12006"/>
    <cellStyle name="Normal 2 2 2 2 2 39 2 3" xfId="12007"/>
    <cellStyle name="Normal 2 2 2 2 2 39 2 4" xfId="12008"/>
    <cellStyle name="Normal 2 2 2 2 2 39 2 5" xfId="12009"/>
    <cellStyle name="Normal 2 2 2 2 2 39 2 6" xfId="12010"/>
    <cellStyle name="Normal 2 2 2 2 2 39 3" xfId="12011"/>
    <cellStyle name="Normal 2 2 2 2 2 39 3 2" xfId="12012"/>
    <cellStyle name="Normal 2 2 2 2 2 39 3 3" xfId="12013"/>
    <cellStyle name="Normal 2 2 2 2 2 39 3 4" xfId="12014"/>
    <cellStyle name="Normal 2 2 2 2 2 39 3 5" xfId="12015"/>
    <cellStyle name="Normal 2 2 2 2 2 39 3 6" xfId="12016"/>
    <cellStyle name="Normal 2 2 2 2 2 4" xfId="12017"/>
    <cellStyle name="Normal 2 2 2 2 2 4 2" xfId="12018"/>
    <cellStyle name="Normal 2 2 2 2 2 4 2 2" xfId="12019"/>
    <cellStyle name="Normal 2 2 2 2 2 4 2 3" xfId="12020"/>
    <cellStyle name="Normal 2 2 2 2 2 4 2 4" xfId="12021"/>
    <cellStyle name="Normal 2 2 2 2 2 4 2 5" xfId="12022"/>
    <cellStyle name="Normal 2 2 2 2 2 4 2 6" xfId="12023"/>
    <cellStyle name="Normal 2 2 2 2 2 4 3" xfId="12024"/>
    <cellStyle name="Normal 2 2 2 2 2 4 4" xfId="12025"/>
    <cellStyle name="Normal 2 2 2 2 2 40" xfId="12026"/>
    <cellStyle name="Normal 2 2 2 2 2 40 2" xfId="12027"/>
    <cellStyle name="Normal 2 2 2 2 2 40 2 2" xfId="12028"/>
    <cellStyle name="Normal 2 2 2 2 2 40 2 3" xfId="12029"/>
    <cellStyle name="Normal 2 2 2 2 2 40 2 4" xfId="12030"/>
    <cellStyle name="Normal 2 2 2 2 2 40 2 5" xfId="12031"/>
    <cellStyle name="Normal 2 2 2 2 2 40 2 6" xfId="12032"/>
    <cellStyle name="Normal 2 2 2 2 2 40 3" xfId="12033"/>
    <cellStyle name="Normal 2 2 2 2 2 40 3 2" xfId="12034"/>
    <cellStyle name="Normal 2 2 2 2 2 40 3 3" xfId="12035"/>
    <cellStyle name="Normal 2 2 2 2 2 40 3 4" xfId="12036"/>
    <cellStyle name="Normal 2 2 2 2 2 40 3 5" xfId="12037"/>
    <cellStyle name="Normal 2 2 2 2 2 40 3 6" xfId="12038"/>
    <cellStyle name="Normal 2 2 2 2 2 41" xfId="12039"/>
    <cellStyle name="Normal 2 2 2 2 2 41 2" xfId="12040"/>
    <cellStyle name="Normal 2 2 2 2 2 41 2 2" xfId="12041"/>
    <cellStyle name="Normal 2 2 2 2 2 41 2 3" xfId="12042"/>
    <cellStyle name="Normal 2 2 2 2 2 41 2 4" xfId="12043"/>
    <cellStyle name="Normal 2 2 2 2 2 41 2 5" xfId="12044"/>
    <cellStyle name="Normal 2 2 2 2 2 41 2 6" xfId="12045"/>
    <cellStyle name="Normal 2 2 2 2 2 41 3" xfId="12046"/>
    <cellStyle name="Normal 2 2 2 2 2 41 3 2" xfId="12047"/>
    <cellStyle name="Normal 2 2 2 2 2 41 3 3" xfId="12048"/>
    <cellStyle name="Normal 2 2 2 2 2 41 3 4" xfId="12049"/>
    <cellStyle name="Normal 2 2 2 2 2 41 3 5" xfId="12050"/>
    <cellStyle name="Normal 2 2 2 2 2 41 3 6" xfId="12051"/>
    <cellStyle name="Normal 2 2 2 2 2 42" xfId="12052"/>
    <cellStyle name="Normal 2 2 2 2 2 42 2" xfId="12053"/>
    <cellStyle name="Normal 2 2 2 2 2 42 2 2" xfId="12054"/>
    <cellStyle name="Normal 2 2 2 2 2 42 2 3" xfId="12055"/>
    <cellStyle name="Normal 2 2 2 2 2 42 2 4" xfId="12056"/>
    <cellStyle name="Normal 2 2 2 2 2 42 2 5" xfId="12057"/>
    <cellStyle name="Normal 2 2 2 2 2 42 2 6" xfId="12058"/>
    <cellStyle name="Normal 2 2 2 2 2 42 3" xfId="12059"/>
    <cellStyle name="Normal 2 2 2 2 2 42 3 2" xfId="12060"/>
    <cellStyle name="Normal 2 2 2 2 2 42 3 3" xfId="12061"/>
    <cellStyle name="Normal 2 2 2 2 2 42 3 4" xfId="12062"/>
    <cellStyle name="Normal 2 2 2 2 2 42 3 5" xfId="12063"/>
    <cellStyle name="Normal 2 2 2 2 2 42 3 6" xfId="12064"/>
    <cellStyle name="Normal 2 2 2 2 2 43" xfId="12065"/>
    <cellStyle name="Normal 2 2 2 2 2 43 2" xfId="12066"/>
    <cellStyle name="Normal 2 2 2 2 2 43 2 2" xfId="12067"/>
    <cellStyle name="Normal 2 2 2 2 2 43 2 3" xfId="12068"/>
    <cellStyle name="Normal 2 2 2 2 2 43 2 4" xfId="12069"/>
    <cellStyle name="Normal 2 2 2 2 2 43 2 5" xfId="12070"/>
    <cellStyle name="Normal 2 2 2 2 2 43 2 6" xfId="12071"/>
    <cellStyle name="Normal 2 2 2 2 2 43 3" xfId="12072"/>
    <cellStyle name="Normal 2 2 2 2 2 43 3 2" xfId="12073"/>
    <cellStyle name="Normal 2 2 2 2 2 43 3 3" xfId="12074"/>
    <cellStyle name="Normal 2 2 2 2 2 43 3 4" xfId="12075"/>
    <cellStyle name="Normal 2 2 2 2 2 43 3 5" xfId="12076"/>
    <cellStyle name="Normal 2 2 2 2 2 43 3 6" xfId="12077"/>
    <cellStyle name="Normal 2 2 2 2 2 44" xfId="12078"/>
    <cellStyle name="Normal 2 2 2 2 2 44 2" xfId="12079"/>
    <cellStyle name="Normal 2 2 2 2 2 44 2 2" xfId="12080"/>
    <cellStyle name="Normal 2 2 2 2 2 44 2 3" xfId="12081"/>
    <cellStyle name="Normal 2 2 2 2 2 44 2 4" xfId="12082"/>
    <cellStyle name="Normal 2 2 2 2 2 44 2 5" xfId="12083"/>
    <cellStyle name="Normal 2 2 2 2 2 44 2 6" xfId="12084"/>
    <cellStyle name="Normal 2 2 2 2 2 44 3" xfId="12085"/>
    <cellStyle name="Normal 2 2 2 2 2 44 3 2" xfId="12086"/>
    <cellStyle name="Normal 2 2 2 2 2 44 3 3" xfId="12087"/>
    <cellStyle name="Normal 2 2 2 2 2 44 3 4" xfId="12088"/>
    <cellStyle name="Normal 2 2 2 2 2 44 3 5" xfId="12089"/>
    <cellStyle name="Normal 2 2 2 2 2 44 3 6" xfId="12090"/>
    <cellStyle name="Normal 2 2 2 2 2 45" xfId="12091"/>
    <cellStyle name="Normal 2 2 2 2 2 45 2" xfId="12092"/>
    <cellStyle name="Normal 2 2 2 2 2 45 2 2" xfId="12093"/>
    <cellStyle name="Normal 2 2 2 2 2 45 2 3" xfId="12094"/>
    <cellStyle name="Normal 2 2 2 2 2 45 2 4" xfId="12095"/>
    <cellStyle name="Normal 2 2 2 2 2 45 2 5" xfId="12096"/>
    <cellStyle name="Normal 2 2 2 2 2 45 2 6" xfId="12097"/>
    <cellStyle name="Normal 2 2 2 2 2 45 3" xfId="12098"/>
    <cellStyle name="Normal 2 2 2 2 2 45 3 2" xfId="12099"/>
    <cellStyle name="Normal 2 2 2 2 2 45 3 3" xfId="12100"/>
    <cellStyle name="Normal 2 2 2 2 2 45 3 4" xfId="12101"/>
    <cellStyle name="Normal 2 2 2 2 2 45 3 5" xfId="12102"/>
    <cellStyle name="Normal 2 2 2 2 2 45 3 6" xfId="12103"/>
    <cellStyle name="Normal 2 2 2 2 2 46" xfId="12104"/>
    <cellStyle name="Normal 2 2 2 2 2 46 2" xfId="12105"/>
    <cellStyle name="Normal 2 2 2 2 2 46 2 2" xfId="12106"/>
    <cellStyle name="Normal 2 2 2 2 2 46 2 3" xfId="12107"/>
    <cellStyle name="Normal 2 2 2 2 2 46 2 4" xfId="12108"/>
    <cellStyle name="Normal 2 2 2 2 2 46 2 5" xfId="12109"/>
    <cellStyle name="Normal 2 2 2 2 2 46 2 6" xfId="12110"/>
    <cellStyle name="Normal 2 2 2 2 2 46 3" xfId="12111"/>
    <cellStyle name="Normal 2 2 2 2 2 46 3 2" xfId="12112"/>
    <cellStyle name="Normal 2 2 2 2 2 46 3 3" xfId="12113"/>
    <cellStyle name="Normal 2 2 2 2 2 46 3 4" xfId="12114"/>
    <cellStyle name="Normal 2 2 2 2 2 46 3 5" xfId="12115"/>
    <cellStyle name="Normal 2 2 2 2 2 46 3 6" xfId="12116"/>
    <cellStyle name="Normal 2 2 2 2 2 47" xfId="12117"/>
    <cellStyle name="Normal 2 2 2 2 2 47 2" xfId="12118"/>
    <cellStyle name="Normal 2 2 2 2 2 47 2 2" xfId="12119"/>
    <cellStyle name="Normal 2 2 2 2 2 47 2 3" xfId="12120"/>
    <cellStyle name="Normal 2 2 2 2 2 47 2 4" xfId="12121"/>
    <cellStyle name="Normal 2 2 2 2 2 47 2 5" xfId="12122"/>
    <cellStyle name="Normal 2 2 2 2 2 47 2 6" xfId="12123"/>
    <cellStyle name="Normal 2 2 2 2 2 47 3" xfId="12124"/>
    <cellStyle name="Normal 2 2 2 2 2 47 3 2" xfId="12125"/>
    <cellStyle name="Normal 2 2 2 2 2 47 3 3" xfId="12126"/>
    <cellStyle name="Normal 2 2 2 2 2 47 3 4" xfId="12127"/>
    <cellStyle name="Normal 2 2 2 2 2 47 3 5" xfId="12128"/>
    <cellStyle name="Normal 2 2 2 2 2 47 3 6" xfId="12129"/>
    <cellStyle name="Normal 2 2 2 2 2 48" xfId="12130"/>
    <cellStyle name="Normal 2 2 2 2 2 48 2" xfId="12131"/>
    <cellStyle name="Normal 2 2 2 2 2 48 2 2" xfId="12132"/>
    <cellStyle name="Normal 2 2 2 2 2 48 2 3" xfId="12133"/>
    <cellStyle name="Normal 2 2 2 2 2 48 2 4" xfId="12134"/>
    <cellStyle name="Normal 2 2 2 2 2 48 2 5" xfId="12135"/>
    <cellStyle name="Normal 2 2 2 2 2 48 2 6" xfId="12136"/>
    <cellStyle name="Normal 2 2 2 2 2 48 3" xfId="12137"/>
    <cellStyle name="Normal 2 2 2 2 2 48 3 2" xfId="12138"/>
    <cellStyle name="Normal 2 2 2 2 2 48 3 3" xfId="12139"/>
    <cellStyle name="Normal 2 2 2 2 2 48 3 4" xfId="12140"/>
    <cellStyle name="Normal 2 2 2 2 2 48 3 5" xfId="12141"/>
    <cellStyle name="Normal 2 2 2 2 2 48 3 6" xfId="12142"/>
    <cellStyle name="Normal 2 2 2 2 2 49" xfId="12143"/>
    <cellStyle name="Normal 2 2 2 2 2 49 2" xfId="12144"/>
    <cellStyle name="Normal 2 2 2 2 2 49 2 2" xfId="12145"/>
    <cellStyle name="Normal 2 2 2 2 2 49 2 3" xfId="12146"/>
    <cellStyle name="Normal 2 2 2 2 2 49 2 4" xfId="12147"/>
    <cellStyle name="Normal 2 2 2 2 2 49 2 5" xfId="12148"/>
    <cellStyle name="Normal 2 2 2 2 2 49 2 6" xfId="12149"/>
    <cellStyle name="Normal 2 2 2 2 2 49 3" xfId="12150"/>
    <cellStyle name="Normal 2 2 2 2 2 49 3 2" xfId="12151"/>
    <cellStyle name="Normal 2 2 2 2 2 49 3 3" xfId="12152"/>
    <cellStyle name="Normal 2 2 2 2 2 49 3 4" xfId="12153"/>
    <cellStyle name="Normal 2 2 2 2 2 49 3 5" xfId="12154"/>
    <cellStyle name="Normal 2 2 2 2 2 49 3 6" xfId="12155"/>
    <cellStyle name="Normal 2 2 2 2 2 5" xfId="12156"/>
    <cellStyle name="Normal 2 2 2 2 2 5 2" xfId="12157"/>
    <cellStyle name="Normal 2 2 2 2 2 5 2 2" xfId="12158"/>
    <cellStyle name="Normal 2 2 2 2 2 5 2 3" xfId="12159"/>
    <cellStyle name="Normal 2 2 2 2 2 5 2 4" xfId="12160"/>
    <cellStyle name="Normal 2 2 2 2 2 5 2 5" xfId="12161"/>
    <cellStyle name="Normal 2 2 2 2 2 5 2 6" xfId="12162"/>
    <cellStyle name="Normal 2 2 2 2 2 5 3" xfId="12163"/>
    <cellStyle name="Normal 2 2 2 2 2 5 4" xfId="12164"/>
    <cellStyle name="Normal 2 2 2 2 2 50" xfId="12165"/>
    <cellStyle name="Normal 2 2 2 2 2 50 2" xfId="12166"/>
    <cellStyle name="Normal 2 2 2 2 2 50 2 2" xfId="12167"/>
    <cellStyle name="Normal 2 2 2 2 2 50 2 3" xfId="12168"/>
    <cellStyle name="Normal 2 2 2 2 2 50 2 4" xfId="12169"/>
    <cellStyle name="Normal 2 2 2 2 2 50 2 5" xfId="12170"/>
    <cellStyle name="Normal 2 2 2 2 2 50 2 6" xfId="12171"/>
    <cellStyle name="Normal 2 2 2 2 2 50 3" xfId="12172"/>
    <cellStyle name="Normal 2 2 2 2 2 50 3 2" xfId="12173"/>
    <cellStyle name="Normal 2 2 2 2 2 50 3 3" xfId="12174"/>
    <cellStyle name="Normal 2 2 2 2 2 50 3 4" xfId="12175"/>
    <cellStyle name="Normal 2 2 2 2 2 50 3 5" xfId="12176"/>
    <cellStyle name="Normal 2 2 2 2 2 50 3 6" xfId="12177"/>
    <cellStyle name="Normal 2 2 2 2 2 51" xfId="12178"/>
    <cellStyle name="Normal 2 2 2 2 2 51 2" xfId="12179"/>
    <cellStyle name="Normal 2 2 2 2 2 51 2 2" xfId="12180"/>
    <cellStyle name="Normal 2 2 2 2 2 51 2 3" xfId="12181"/>
    <cellStyle name="Normal 2 2 2 2 2 51 2 4" xfId="12182"/>
    <cellStyle name="Normal 2 2 2 2 2 51 2 5" xfId="12183"/>
    <cellStyle name="Normal 2 2 2 2 2 51 2 6" xfId="12184"/>
    <cellStyle name="Normal 2 2 2 2 2 51 3" xfId="12185"/>
    <cellStyle name="Normal 2 2 2 2 2 51 3 2" xfId="12186"/>
    <cellStyle name="Normal 2 2 2 2 2 51 3 3" xfId="12187"/>
    <cellStyle name="Normal 2 2 2 2 2 51 3 4" xfId="12188"/>
    <cellStyle name="Normal 2 2 2 2 2 51 3 5" xfId="12189"/>
    <cellStyle name="Normal 2 2 2 2 2 51 3 6" xfId="12190"/>
    <cellStyle name="Normal 2 2 2 2 2 52" xfId="12191"/>
    <cellStyle name="Normal 2 2 2 2 2 52 2" xfId="12192"/>
    <cellStyle name="Normal 2 2 2 2 2 52 2 2" xfId="12193"/>
    <cellStyle name="Normal 2 2 2 2 2 52 2 3" xfId="12194"/>
    <cellStyle name="Normal 2 2 2 2 2 52 2 4" xfId="12195"/>
    <cellStyle name="Normal 2 2 2 2 2 52 2 5" xfId="12196"/>
    <cellStyle name="Normal 2 2 2 2 2 52 2 6" xfId="12197"/>
    <cellStyle name="Normal 2 2 2 2 2 52 3" xfId="12198"/>
    <cellStyle name="Normal 2 2 2 2 2 52 3 2" xfId="12199"/>
    <cellStyle name="Normal 2 2 2 2 2 52 3 3" xfId="12200"/>
    <cellStyle name="Normal 2 2 2 2 2 52 3 4" xfId="12201"/>
    <cellStyle name="Normal 2 2 2 2 2 52 3 5" xfId="12202"/>
    <cellStyle name="Normal 2 2 2 2 2 52 3 6" xfId="12203"/>
    <cellStyle name="Normal 2 2 2 2 2 53" xfId="12204"/>
    <cellStyle name="Normal 2 2 2 2 2 53 2" xfId="12205"/>
    <cellStyle name="Normal 2 2 2 2 2 53 2 2" xfId="12206"/>
    <cellStyle name="Normal 2 2 2 2 2 53 2 3" xfId="12207"/>
    <cellStyle name="Normal 2 2 2 2 2 53 2 4" xfId="12208"/>
    <cellStyle name="Normal 2 2 2 2 2 53 2 5" xfId="12209"/>
    <cellStyle name="Normal 2 2 2 2 2 53 2 6" xfId="12210"/>
    <cellStyle name="Normal 2 2 2 2 2 53 3" xfId="12211"/>
    <cellStyle name="Normal 2 2 2 2 2 53 3 2" xfId="12212"/>
    <cellStyle name="Normal 2 2 2 2 2 53 3 3" xfId="12213"/>
    <cellStyle name="Normal 2 2 2 2 2 53 3 4" xfId="12214"/>
    <cellStyle name="Normal 2 2 2 2 2 53 3 5" xfId="12215"/>
    <cellStyle name="Normal 2 2 2 2 2 53 3 6" xfId="12216"/>
    <cellStyle name="Normal 2 2 2 2 2 54" xfId="12217"/>
    <cellStyle name="Normal 2 2 2 2 2 54 2" xfId="12218"/>
    <cellStyle name="Normal 2 2 2 2 2 54 2 2" xfId="12219"/>
    <cellStyle name="Normal 2 2 2 2 2 54 2 3" xfId="12220"/>
    <cellStyle name="Normal 2 2 2 2 2 54 2 4" xfId="12221"/>
    <cellStyle name="Normal 2 2 2 2 2 54 2 5" xfId="12222"/>
    <cellStyle name="Normal 2 2 2 2 2 54 2 6" xfId="12223"/>
    <cellStyle name="Normal 2 2 2 2 2 54 3" xfId="12224"/>
    <cellStyle name="Normal 2 2 2 2 2 54 3 2" xfId="12225"/>
    <cellStyle name="Normal 2 2 2 2 2 54 3 3" xfId="12226"/>
    <cellStyle name="Normal 2 2 2 2 2 54 3 4" xfId="12227"/>
    <cellStyle name="Normal 2 2 2 2 2 54 3 5" xfId="12228"/>
    <cellStyle name="Normal 2 2 2 2 2 54 3 6" xfId="12229"/>
    <cellStyle name="Normal 2 2 2 2 2 55" xfId="12230"/>
    <cellStyle name="Normal 2 2 2 2 2 55 2" xfId="12231"/>
    <cellStyle name="Normal 2 2 2 2 2 55 2 2" xfId="12232"/>
    <cellStyle name="Normal 2 2 2 2 2 55 2 3" xfId="12233"/>
    <cellStyle name="Normal 2 2 2 2 2 55 2 4" xfId="12234"/>
    <cellStyle name="Normal 2 2 2 2 2 55 2 5" xfId="12235"/>
    <cellStyle name="Normal 2 2 2 2 2 55 2 6" xfId="12236"/>
    <cellStyle name="Normal 2 2 2 2 2 55 3" xfId="12237"/>
    <cellStyle name="Normal 2 2 2 2 2 55 3 2" xfId="12238"/>
    <cellStyle name="Normal 2 2 2 2 2 55 3 3" xfId="12239"/>
    <cellStyle name="Normal 2 2 2 2 2 55 3 4" xfId="12240"/>
    <cellStyle name="Normal 2 2 2 2 2 55 3 5" xfId="12241"/>
    <cellStyle name="Normal 2 2 2 2 2 55 3 6" xfId="12242"/>
    <cellStyle name="Normal 2 2 2 2 2 56" xfId="12243"/>
    <cellStyle name="Normal 2 2 2 2 2 56 2" xfId="12244"/>
    <cellStyle name="Normal 2 2 2 2 2 56 2 2" xfId="12245"/>
    <cellStyle name="Normal 2 2 2 2 2 56 2 3" xfId="12246"/>
    <cellStyle name="Normal 2 2 2 2 2 56 2 4" xfId="12247"/>
    <cellStyle name="Normal 2 2 2 2 2 56 2 5" xfId="12248"/>
    <cellStyle name="Normal 2 2 2 2 2 56 2 6" xfId="12249"/>
    <cellStyle name="Normal 2 2 2 2 2 56 3" xfId="12250"/>
    <cellStyle name="Normal 2 2 2 2 2 56 3 2" xfId="12251"/>
    <cellStyle name="Normal 2 2 2 2 2 56 3 3" xfId="12252"/>
    <cellStyle name="Normal 2 2 2 2 2 56 3 4" xfId="12253"/>
    <cellStyle name="Normal 2 2 2 2 2 56 3 5" xfId="12254"/>
    <cellStyle name="Normal 2 2 2 2 2 56 3 6" xfId="12255"/>
    <cellStyle name="Normal 2 2 2 2 2 57" xfId="12256"/>
    <cellStyle name="Normal 2 2 2 2 2 57 2" xfId="12257"/>
    <cellStyle name="Normal 2 2 2 2 2 57 2 2" xfId="12258"/>
    <cellStyle name="Normal 2 2 2 2 2 57 2 3" xfId="12259"/>
    <cellStyle name="Normal 2 2 2 2 2 57 2 4" xfId="12260"/>
    <cellStyle name="Normal 2 2 2 2 2 57 2 5" xfId="12261"/>
    <cellStyle name="Normal 2 2 2 2 2 57 2 6" xfId="12262"/>
    <cellStyle name="Normal 2 2 2 2 2 57 3" xfId="12263"/>
    <cellStyle name="Normal 2 2 2 2 2 57 3 2" xfId="12264"/>
    <cellStyle name="Normal 2 2 2 2 2 57 3 3" xfId="12265"/>
    <cellStyle name="Normal 2 2 2 2 2 57 3 4" xfId="12266"/>
    <cellStyle name="Normal 2 2 2 2 2 57 3 5" xfId="12267"/>
    <cellStyle name="Normal 2 2 2 2 2 57 3 6" xfId="12268"/>
    <cellStyle name="Normal 2 2 2 2 2 58" xfId="12269"/>
    <cellStyle name="Normal 2 2 2 2 2 58 2" xfId="12270"/>
    <cellStyle name="Normal 2 2 2 2 2 58 2 2" xfId="12271"/>
    <cellStyle name="Normal 2 2 2 2 2 58 2 3" xfId="12272"/>
    <cellStyle name="Normal 2 2 2 2 2 58 2 4" xfId="12273"/>
    <cellStyle name="Normal 2 2 2 2 2 58 2 5" xfId="12274"/>
    <cellStyle name="Normal 2 2 2 2 2 58 2 6" xfId="12275"/>
    <cellStyle name="Normal 2 2 2 2 2 58 3" xfId="12276"/>
    <cellStyle name="Normal 2 2 2 2 2 58 3 2" xfId="12277"/>
    <cellStyle name="Normal 2 2 2 2 2 58 3 3" xfId="12278"/>
    <cellStyle name="Normal 2 2 2 2 2 58 3 4" xfId="12279"/>
    <cellStyle name="Normal 2 2 2 2 2 58 3 5" xfId="12280"/>
    <cellStyle name="Normal 2 2 2 2 2 58 3 6" xfId="12281"/>
    <cellStyle name="Normal 2 2 2 2 2 59" xfId="12282"/>
    <cellStyle name="Normal 2 2 2 2 2 59 2" xfId="12283"/>
    <cellStyle name="Normal 2 2 2 2 2 59 2 2" xfId="12284"/>
    <cellStyle name="Normal 2 2 2 2 2 59 2 3" xfId="12285"/>
    <cellStyle name="Normal 2 2 2 2 2 59 2 4" xfId="12286"/>
    <cellStyle name="Normal 2 2 2 2 2 59 2 5" xfId="12287"/>
    <cellStyle name="Normal 2 2 2 2 2 59 2 6" xfId="12288"/>
    <cellStyle name="Normal 2 2 2 2 2 59 3" xfId="12289"/>
    <cellStyle name="Normal 2 2 2 2 2 59 3 2" xfId="12290"/>
    <cellStyle name="Normal 2 2 2 2 2 59 3 3" xfId="12291"/>
    <cellStyle name="Normal 2 2 2 2 2 59 3 4" xfId="12292"/>
    <cellStyle name="Normal 2 2 2 2 2 59 3 5" xfId="12293"/>
    <cellStyle name="Normal 2 2 2 2 2 59 3 6" xfId="12294"/>
    <cellStyle name="Normal 2 2 2 2 2 6" xfId="12295"/>
    <cellStyle name="Normal 2 2 2 2 2 6 2" xfId="12296"/>
    <cellStyle name="Normal 2 2 2 2 2 6 2 2" xfId="12297"/>
    <cellStyle name="Normal 2 2 2 2 2 6 2 3" xfId="12298"/>
    <cellStyle name="Normal 2 2 2 2 2 6 2 4" xfId="12299"/>
    <cellStyle name="Normal 2 2 2 2 2 6 2 5" xfId="12300"/>
    <cellStyle name="Normal 2 2 2 2 2 6 2 6" xfId="12301"/>
    <cellStyle name="Normal 2 2 2 2 2 6 3" xfId="12302"/>
    <cellStyle name="Normal 2 2 2 2 2 6 4" xfId="12303"/>
    <cellStyle name="Normal 2 2 2 2 2 60" xfId="12304"/>
    <cellStyle name="Normal 2 2 2 2 2 60 2" xfId="12305"/>
    <cellStyle name="Normal 2 2 2 2 2 60 2 2" xfId="12306"/>
    <cellStyle name="Normal 2 2 2 2 2 60 2 3" xfId="12307"/>
    <cellStyle name="Normal 2 2 2 2 2 60 2 4" xfId="12308"/>
    <cellStyle name="Normal 2 2 2 2 2 60 2 5" xfId="12309"/>
    <cellStyle name="Normal 2 2 2 2 2 60 2 6" xfId="12310"/>
    <cellStyle name="Normal 2 2 2 2 2 60 3" xfId="12311"/>
    <cellStyle name="Normal 2 2 2 2 2 60 3 2" xfId="12312"/>
    <cellStyle name="Normal 2 2 2 2 2 60 3 3" xfId="12313"/>
    <cellStyle name="Normal 2 2 2 2 2 60 3 4" xfId="12314"/>
    <cellStyle name="Normal 2 2 2 2 2 60 3 5" xfId="12315"/>
    <cellStyle name="Normal 2 2 2 2 2 60 3 6" xfId="12316"/>
    <cellStyle name="Normal 2 2 2 2 2 61" xfId="12317"/>
    <cellStyle name="Normal 2 2 2 2 2 61 2" xfId="12318"/>
    <cellStyle name="Normal 2 2 2 2 2 61 2 2" xfId="12319"/>
    <cellStyle name="Normal 2 2 2 2 2 61 2 3" xfId="12320"/>
    <cellStyle name="Normal 2 2 2 2 2 61 2 4" xfId="12321"/>
    <cellStyle name="Normal 2 2 2 2 2 61 2 5" xfId="12322"/>
    <cellStyle name="Normal 2 2 2 2 2 61 2 6" xfId="12323"/>
    <cellStyle name="Normal 2 2 2 2 2 61 3" xfId="12324"/>
    <cellStyle name="Normal 2 2 2 2 2 61 3 2" xfId="12325"/>
    <cellStyle name="Normal 2 2 2 2 2 61 3 3" xfId="12326"/>
    <cellStyle name="Normal 2 2 2 2 2 61 3 4" xfId="12327"/>
    <cellStyle name="Normal 2 2 2 2 2 61 3 5" xfId="12328"/>
    <cellStyle name="Normal 2 2 2 2 2 61 3 6" xfId="12329"/>
    <cellStyle name="Normal 2 2 2 2 2 62" xfId="12330"/>
    <cellStyle name="Normal 2 2 2 2 2 62 2" xfId="12331"/>
    <cellStyle name="Normal 2 2 2 2 2 62 2 2" xfId="12332"/>
    <cellStyle name="Normal 2 2 2 2 2 62 2 3" xfId="12333"/>
    <cellStyle name="Normal 2 2 2 2 2 62 2 4" xfId="12334"/>
    <cellStyle name="Normal 2 2 2 2 2 62 2 5" xfId="12335"/>
    <cellStyle name="Normal 2 2 2 2 2 62 2 6" xfId="12336"/>
    <cellStyle name="Normal 2 2 2 2 2 62 3" xfId="12337"/>
    <cellStyle name="Normal 2 2 2 2 2 62 3 2" xfId="12338"/>
    <cellStyle name="Normal 2 2 2 2 2 62 3 3" xfId="12339"/>
    <cellStyle name="Normal 2 2 2 2 2 62 3 4" xfId="12340"/>
    <cellStyle name="Normal 2 2 2 2 2 62 3 5" xfId="12341"/>
    <cellStyle name="Normal 2 2 2 2 2 62 3 6" xfId="12342"/>
    <cellStyle name="Normal 2 2 2 2 2 63" xfId="12343"/>
    <cellStyle name="Normal 2 2 2 2 2 63 2" xfId="12344"/>
    <cellStyle name="Normal 2 2 2 2 2 63 2 2" xfId="12345"/>
    <cellStyle name="Normal 2 2 2 2 2 63 2 3" xfId="12346"/>
    <cellStyle name="Normal 2 2 2 2 2 63 2 4" xfId="12347"/>
    <cellStyle name="Normal 2 2 2 2 2 63 2 5" xfId="12348"/>
    <cellStyle name="Normal 2 2 2 2 2 63 2 6" xfId="12349"/>
    <cellStyle name="Normal 2 2 2 2 2 63 3" xfId="12350"/>
    <cellStyle name="Normal 2 2 2 2 2 63 3 2" xfId="12351"/>
    <cellStyle name="Normal 2 2 2 2 2 63 3 3" xfId="12352"/>
    <cellStyle name="Normal 2 2 2 2 2 63 3 4" xfId="12353"/>
    <cellStyle name="Normal 2 2 2 2 2 63 3 5" xfId="12354"/>
    <cellStyle name="Normal 2 2 2 2 2 63 3 6" xfId="12355"/>
    <cellStyle name="Normal 2 2 2 2 2 64" xfId="12356"/>
    <cellStyle name="Normal 2 2 2 2 2 64 2" xfId="12357"/>
    <cellStyle name="Normal 2 2 2 2 2 64 2 2" xfId="12358"/>
    <cellStyle name="Normal 2 2 2 2 2 64 2 3" xfId="12359"/>
    <cellStyle name="Normal 2 2 2 2 2 64 2 4" xfId="12360"/>
    <cellStyle name="Normal 2 2 2 2 2 64 2 5" xfId="12361"/>
    <cellStyle name="Normal 2 2 2 2 2 64 2 6" xfId="12362"/>
    <cellStyle name="Normal 2 2 2 2 2 64 3" xfId="12363"/>
    <cellStyle name="Normal 2 2 2 2 2 64 3 2" xfId="12364"/>
    <cellStyle name="Normal 2 2 2 2 2 64 3 3" xfId="12365"/>
    <cellStyle name="Normal 2 2 2 2 2 64 3 4" xfId="12366"/>
    <cellStyle name="Normal 2 2 2 2 2 64 3 5" xfId="12367"/>
    <cellStyle name="Normal 2 2 2 2 2 64 3 6" xfId="12368"/>
    <cellStyle name="Normal 2 2 2 2 2 65" xfId="12369"/>
    <cellStyle name="Normal 2 2 2 2 2 65 2" xfId="12370"/>
    <cellStyle name="Normal 2 2 2 2 2 65 2 2" xfId="12371"/>
    <cellStyle name="Normal 2 2 2 2 2 65 2 3" xfId="12372"/>
    <cellStyle name="Normal 2 2 2 2 2 65 2 4" xfId="12373"/>
    <cellStyle name="Normal 2 2 2 2 2 65 2 5" xfId="12374"/>
    <cellStyle name="Normal 2 2 2 2 2 65 2 6" xfId="12375"/>
    <cellStyle name="Normal 2 2 2 2 2 65 3" xfId="12376"/>
    <cellStyle name="Normal 2 2 2 2 2 65 3 2" xfId="12377"/>
    <cellStyle name="Normal 2 2 2 2 2 65 3 3" xfId="12378"/>
    <cellStyle name="Normal 2 2 2 2 2 65 3 4" xfId="12379"/>
    <cellStyle name="Normal 2 2 2 2 2 65 3 5" xfId="12380"/>
    <cellStyle name="Normal 2 2 2 2 2 65 3 6" xfId="12381"/>
    <cellStyle name="Normal 2 2 2 2 2 66" xfId="12382"/>
    <cellStyle name="Normal 2 2 2 2 2 66 2" xfId="12383"/>
    <cellStyle name="Normal 2 2 2 2 2 66 2 2" xfId="12384"/>
    <cellStyle name="Normal 2 2 2 2 2 66 2 3" xfId="12385"/>
    <cellStyle name="Normal 2 2 2 2 2 66 2 4" xfId="12386"/>
    <cellStyle name="Normal 2 2 2 2 2 66 2 5" xfId="12387"/>
    <cellStyle name="Normal 2 2 2 2 2 66 2 6" xfId="12388"/>
    <cellStyle name="Normal 2 2 2 2 2 66 3" xfId="12389"/>
    <cellStyle name="Normal 2 2 2 2 2 66 3 2" xfId="12390"/>
    <cellStyle name="Normal 2 2 2 2 2 66 3 3" xfId="12391"/>
    <cellStyle name="Normal 2 2 2 2 2 66 3 4" xfId="12392"/>
    <cellStyle name="Normal 2 2 2 2 2 66 3 5" xfId="12393"/>
    <cellStyle name="Normal 2 2 2 2 2 66 3 6" xfId="12394"/>
    <cellStyle name="Normal 2 2 2 2 2 67" xfId="12395"/>
    <cellStyle name="Normal 2 2 2 2 2 67 2" xfId="12396"/>
    <cellStyle name="Normal 2 2 2 2 2 67 2 2" xfId="12397"/>
    <cellStyle name="Normal 2 2 2 2 2 67 2 3" xfId="12398"/>
    <cellStyle name="Normal 2 2 2 2 2 67 2 4" xfId="12399"/>
    <cellStyle name="Normal 2 2 2 2 2 67 2 5" xfId="12400"/>
    <cellStyle name="Normal 2 2 2 2 2 67 2 6" xfId="12401"/>
    <cellStyle name="Normal 2 2 2 2 2 67 3" xfId="12402"/>
    <cellStyle name="Normal 2 2 2 2 2 67 3 2" xfId="12403"/>
    <cellStyle name="Normal 2 2 2 2 2 67 3 3" xfId="12404"/>
    <cellStyle name="Normal 2 2 2 2 2 67 3 4" xfId="12405"/>
    <cellStyle name="Normal 2 2 2 2 2 67 3 5" xfId="12406"/>
    <cellStyle name="Normal 2 2 2 2 2 67 3 6" xfId="12407"/>
    <cellStyle name="Normal 2 2 2 2 2 68" xfId="12408"/>
    <cellStyle name="Normal 2 2 2 2 2 68 2" xfId="12409"/>
    <cellStyle name="Normal 2 2 2 2 2 68 2 2" xfId="12410"/>
    <cellStyle name="Normal 2 2 2 2 2 68 2 3" xfId="12411"/>
    <cellStyle name="Normal 2 2 2 2 2 68 2 4" xfId="12412"/>
    <cellStyle name="Normal 2 2 2 2 2 68 2 5" xfId="12413"/>
    <cellStyle name="Normal 2 2 2 2 2 68 2 6" xfId="12414"/>
    <cellStyle name="Normal 2 2 2 2 2 68 3" xfId="12415"/>
    <cellStyle name="Normal 2 2 2 2 2 68 3 2" xfId="12416"/>
    <cellStyle name="Normal 2 2 2 2 2 68 3 3" xfId="12417"/>
    <cellStyle name="Normal 2 2 2 2 2 68 3 4" xfId="12418"/>
    <cellStyle name="Normal 2 2 2 2 2 68 3 5" xfId="12419"/>
    <cellStyle name="Normal 2 2 2 2 2 68 3 6" xfId="12420"/>
    <cellStyle name="Normal 2 2 2 2 2 69" xfId="12421"/>
    <cellStyle name="Normal 2 2 2 2 2 69 2" xfId="12422"/>
    <cellStyle name="Normal 2 2 2 2 2 69 2 2" xfId="12423"/>
    <cellStyle name="Normal 2 2 2 2 2 69 2 3" xfId="12424"/>
    <cellStyle name="Normal 2 2 2 2 2 69 2 4" xfId="12425"/>
    <cellStyle name="Normal 2 2 2 2 2 69 2 5" xfId="12426"/>
    <cellStyle name="Normal 2 2 2 2 2 69 2 6" xfId="12427"/>
    <cellStyle name="Normal 2 2 2 2 2 69 3" xfId="12428"/>
    <cellStyle name="Normal 2 2 2 2 2 69 3 2" xfId="12429"/>
    <cellStyle name="Normal 2 2 2 2 2 69 3 3" xfId="12430"/>
    <cellStyle name="Normal 2 2 2 2 2 69 3 4" xfId="12431"/>
    <cellStyle name="Normal 2 2 2 2 2 69 3 5" xfId="12432"/>
    <cellStyle name="Normal 2 2 2 2 2 69 3 6" xfId="12433"/>
    <cellStyle name="Normal 2 2 2 2 2 7" xfId="12434"/>
    <cellStyle name="Normal 2 2 2 2 2 7 2" xfId="12435"/>
    <cellStyle name="Normal 2 2 2 2 2 7 2 2" xfId="12436"/>
    <cellStyle name="Normal 2 2 2 2 2 7 2 3" xfId="12437"/>
    <cellStyle name="Normal 2 2 2 2 2 7 2 4" xfId="12438"/>
    <cellStyle name="Normal 2 2 2 2 2 7 2 5" xfId="12439"/>
    <cellStyle name="Normal 2 2 2 2 2 7 2 6" xfId="12440"/>
    <cellStyle name="Normal 2 2 2 2 2 7 3" xfId="12441"/>
    <cellStyle name="Normal 2 2 2 2 2 7 4" xfId="12442"/>
    <cellStyle name="Normal 2 2 2 2 2 70" xfId="12443"/>
    <cellStyle name="Normal 2 2 2 2 2 70 2" xfId="12444"/>
    <cellStyle name="Normal 2 2 2 2 2 70 2 2" xfId="12445"/>
    <cellStyle name="Normal 2 2 2 2 2 70 2 3" xfId="12446"/>
    <cellStyle name="Normal 2 2 2 2 2 70 2 4" xfId="12447"/>
    <cellStyle name="Normal 2 2 2 2 2 70 2 5" xfId="12448"/>
    <cellStyle name="Normal 2 2 2 2 2 70 2 6" xfId="12449"/>
    <cellStyle name="Normal 2 2 2 2 2 70 3" xfId="12450"/>
    <cellStyle name="Normal 2 2 2 2 2 70 3 2" xfId="12451"/>
    <cellStyle name="Normal 2 2 2 2 2 70 3 3" xfId="12452"/>
    <cellStyle name="Normal 2 2 2 2 2 70 3 4" xfId="12453"/>
    <cellStyle name="Normal 2 2 2 2 2 70 3 5" xfId="12454"/>
    <cellStyle name="Normal 2 2 2 2 2 70 3 6" xfId="12455"/>
    <cellStyle name="Normal 2 2 2 2 2 71" xfId="12456"/>
    <cellStyle name="Normal 2 2 2 2 2 71 2" xfId="12457"/>
    <cellStyle name="Normal 2 2 2 2 2 71 2 2" xfId="12458"/>
    <cellStyle name="Normal 2 2 2 2 2 71 2 3" xfId="12459"/>
    <cellStyle name="Normal 2 2 2 2 2 71 2 4" xfId="12460"/>
    <cellStyle name="Normal 2 2 2 2 2 71 2 5" xfId="12461"/>
    <cellStyle name="Normal 2 2 2 2 2 71 2 6" xfId="12462"/>
    <cellStyle name="Normal 2 2 2 2 2 71 3" xfId="12463"/>
    <cellStyle name="Normal 2 2 2 2 2 71 3 2" xfId="12464"/>
    <cellStyle name="Normal 2 2 2 2 2 71 3 3" xfId="12465"/>
    <cellStyle name="Normal 2 2 2 2 2 71 3 4" xfId="12466"/>
    <cellStyle name="Normal 2 2 2 2 2 71 3 5" xfId="12467"/>
    <cellStyle name="Normal 2 2 2 2 2 71 3 6" xfId="12468"/>
    <cellStyle name="Normal 2 2 2 2 2 72" xfId="12469"/>
    <cellStyle name="Normal 2 2 2 2 2 72 2" xfId="12470"/>
    <cellStyle name="Normal 2 2 2 2 2 72 2 2" xfId="12471"/>
    <cellStyle name="Normal 2 2 2 2 2 72 2 3" xfId="12472"/>
    <cellStyle name="Normal 2 2 2 2 2 72 2 4" xfId="12473"/>
    <cellStyle name="Normal 2 2 2 2 2 72 2 5" xfId="12474"/>
    <cellStyle name="Normal 2 2 2 2 2 72 2 6" xfId="12475"/>
    <cellStyle name="Normal 2 2 2 2 2 72 3" xfId="12476"/>
    <cellStyle name="Normal 2 2 2 2 2 72 3 2" xfId="12477"/>
    <cellStyle name="Normal 2 2 2 2 2 72 3 3" xfId="12478"/>
    <cellStyle name="Normal 2 2 2 2 2 72 3 4" xfId="12479"/>
    <cellStyle name="Normal 2 2 2 2 2 72 3 5" xfId="12480"/>
    <cellStyle name="Normal 2 2 2 2 2 72 3 6" xfId="12481"/>
    <cellStyle name="Normal 2 2 2 2 2 73" xfId="12482"/>
    <cellStyle name="Normal 2 2 2 2 2 73 2" xfId="12483"/>
    <cellStyle name="Normal 2 2 2 2 2 73 2 2" xfId="12484"/>
    <cellStyle name="Normal 2 2 2 2 2 73 2 3" xfId="12485"/>
    <cellStyle name="Normal 2 2 2 2 2 73 2 4" xfId="12486"/>
    <cellStyle name="Normal 2 2 2 2 2 73 2 5" xfId="12487"/>
    <cellStyle name="Normal 2 2 2 2 2 73 2 6" xfId="12488"/>
    <cellStyle name="Normal 2 2 2 2 2 73 3" xfId="12489"/>
    <cellStyle name="Normal 2 2 2 2 2 73 3 2" xfId="12490"/>
    <cellStyle name="Normal 2 2 2 2 2 73 3 3" xfId="12491"/>
    <cellStyle name="Normal 2 2 2 2 2 73 3 4" xfId="12492"/>
    <cellStyle name="Normal 2 2 2 2 2 73 3 5" xfId="12493"/>
    <cellStyle name="Normal 2 2 2 2 2 73 3 6" xfId="12494"/>
    <cellStyle name="Normal 2 2 2 2 2 74" xfId="12495"/>
    <cellStyle name="Normal 2 2 2 2 2 74 2" xfId="12496"/>
    <cellStyle name="Normal 2 2 2 2 2 74 2 2" xfId="12497"/>
    <cellStyle name="Normal 2 2 2 2 2 74 2 3" xfId="12498"/>
    <cellStyle name="Normal 2 2 2 2 2 74 2 4" xfId="12499"/>
    <cellStyle name="Normal 2 2 2 2 2 74 2 5" xfId="12500"/>
    <cellStyle name="Normal 2 2 2 2 2 74 2 6" xfId="12501"/>
    <cellStyle name="Normal 2 2 2 2 2 74 3" xfId="12502"/>
    <cellStyle name="Normal 2 2 2 2 2 74 3 2" xfId="12503"/>
    <cellStyle name="Normal 2 2 2 2 2 74 3 3" xfId="12504"/>
    <cellStyle name="Normal 2 2 2 2 2 74 3 4" xfId="12505"/>
    <cellStyle name="Normal 2 2 2 2 2 74 3 5" xfId="12506"/>
    <cellStyle name="Normal 2 2 2 2 2 74 3 6" xfId="12507"/>
    <cellStyle name="Normal 2 2 2 2 2 75" xfId="12508"/>
    <cellStyle name="Normal 2 2 2 2 2 75 2" xfId="12509"/>
    <cellStyle name="Normal 2 2 2 2 2 75 2 2" xfId="12510"/>
    <cellStyle name="Normal 2 2 2 2 2 75 2 3" xfId="12511"/>
    <cellStyle name="Normal 2 2 2 2 2 75 2 4" xfId="12512"/>
    <cellStyle name="Normal 2 2 2 2 2 75 2 5" xfId="12513"/>
    <cellStyle name="Normal 2 2 2 2 2 75 2 6" xfId="12514"/>
    <cellStyle name="Normal 2 2 2 2 2 75 3" xfId="12515"/>
    <cellStyle name="Normal 2 2 2 2 2 75 3 2" xfId="12516"/>
    <cellStyle name="Normal 2 2 2 2 2 75 3 3" xfId="12517"/>
    <cellStyle name="Normal 2 2 2 2 2 75 3 4" xfId="12518"/>
    <cellStyle name="Normal 2 2 2 2 2 75 3 5" xfId="12519"/>
    <cellStyle name="Normal 2 2 2 2 2 75 3 6" xfId="12520"/>
    <cellStyle name="Normal 2 2 2 2 2 76" xfId="12521"/>
    <cellStyle name="Normal 2 2 2 2 2 76 2" xfId="12522"/>
    <cellStyle name="Normal 2 2 2 2 2 76 2 2" xfId="12523"/>
    <cellStyle name="Normal 2 2 2 2 2 76 2 3" xfId="12524"/>
    <cellStyle name="Normal 2 2 2 2 2 76 2 4" xfId="12525"/>
    <cellStyle name="Normal 2 2 2 2 2 76 2 5" xfId="12526"/>
    <cellStyle name="Normal 2 2 2 2 2 76 2 6" xfId="12527"/>
    <cellStyle name="Normal 2 2 2 2 2 76 3" xfId="12528"/>
    <cellStyle name="Normal 2 2 2 2 2 76 3 2" xfId="12529"/>
    <cellStyle name="Normal 2 2 2 2 2 76 3 3" xfId="12530"/>
    <cellStyle name="Normal 2 2 2 2 2 76 3 4" xfId="12531"/>
    <cellStyle name="Normal 2 2 2 2 2 76 3 5" xfId="12532"/>
    <cellStyle name="Normal 2 2 2 2 2 76 3 6" xfId="12533"/>
    <cellStyle name="Normal 2 2 2 2 2 77" xfId="12534"/>
    <cellStyle name="Normal 2 2 2 2 2 77 2" xfId="12535"/>
    <cellStyle name="Normal 2 2 2 2 2 77 2 2" xfId="12536"/>
    <cellStyle name="Normal 2 2 2 2 2 77 2 3" xfId="12537"/>
    <cellStyle name="Normal 2 2 2 2 2 77 2 4" xfId="12538"/>
    <cellStyle name="Normal 2 2 2 2 2 77 2 5" xfId="12539"/>
    <cellStyle name="Normal 2 2 2 2 2 77 2 6" xfId="12540"/>
    <cellStyle name="Normal 2 2 2 2 2 77 3" xfId="12541"/>
    <cellStyle name="Normal 2 2 2 2 2 77 3 2" xfId="12542"/>
    <cellStyle name="Normal 2 2 2 2 2 77 3 3" xfId="12543"/>
    <cellStyle name="Normal 2 2 2 2 2 77 3 4" xfId="12544"/>
    <cellStyle name="Normal 2 2 2 2 2 77 3 5" xfId="12545"/>
    <cellStyle name="Normal 2 2 2 2 2 77 3 6" xfId="12546"/>
    <cellStyle name="Normal 2 2 2 2 2 78" xfId="12547"/>
    <cellStyle name="Normal 2 2 2 2 2 78 2" xfId="12548"/>
    <cellStyle name="Normal 2 2 2 2 2 78 2 2" xfId="12549"/>
    <cellStyle name="Normal 2 2 2 2 2 78 2 3" xfId="12550"/>
    <cellStyle name="Normal 2 2 2 2 2 78 2 4" xfId="12551"/>
    <cellStyle name="Normal 2 2 2 2 2 78 2 5" xfId="12552"/>
    <cellStyle name="Normal 2 2 2 2 2 78 2 6" xfId="12553"/>
    <cellStyle name="Normal 2 2 2 2 2 78 3" xfId="12554"/>
    <cellStyle name="Normal 2 2 2 2 2 78 3 2" xfId="12555"/>
    <cellStyle name="Normal 2 2 2 2 2 78 3 3" xfId="12556"/>
    <cellStyle name="Normal 2 2 2 2 2 78 3 4" xfId="12557"/>
    <cellStyle name="Normal 2 2 2 2 2 78 3 5" xfId="12558"/>
    <cellStyle name="Normal 2 2 2 2 2 78 3 6" xfId="12559"/>
    <cellStyle name="Normal 2 2 2 2 2 79" xfId="12560"/>
    <cellStyle name="Normal 2 2 2 2 2 79 2" xfId="12561"/>
    <cellStyle name="Normal 2 2 2 2 2 79 2 2" xfId="12562"/>
    <cellStyle name="Normal 2 2 2 2 2 79 2 3" xfId="12563"/>
    <cellStyle name="Normal 2 2 2 2 2 79 2 4" xfId="12564"/>
    <cellStyle name="Normal 2 2 2 2 2 79 2 5" xfId="12565"/>
    <cellStyle name="Normal 2 2 2 2 2 79 2 6" xfId="12566"/>
    <cellStyle name="Normal 2 2 2 2 2 79 3" xfId="12567"/>
    <cellStyle name="Normal 2 2 2 2 2 79 3 2" xfId="12568"/>
    <cellStyle name="Normal 2 2 2 2 2 79 3 3" xfId="12569"/>
    <cellStyle name="Normal 2 2 2 2 2 79 3 4" xfId="12570"/>
    <cellStyle name="Normal 2 2 2 2 2 79 3 5" xfId="12571"/>
    <cellStyle name="Normal 2 2 2 2 2 79 3 6" xfId="12572"/>
    <cellStyle name="Normal 2 2 2 2 2 8" xfId="12573"/>
    <cellStyle name="Normal 2 2 2 2 2 8 2" xfId="12574"/>
    <cellStyle name="Normal 2 2 2 2 2 8 2 2" xfId="12575"/>
    <cellStyle name="Normal 2 2 2 2 2 8 2 3" xfId="12576"/>
    <cellStyle name="Normal 2 2 2 2 2 8 2 4" xfId="12577"/>
    <cellStyle name="Normal 2 2 2 2 2 8 2 5" xfId="12578"/>
    <cellStyle name="Normal 2 2 2 2 2 8 2 6" xfId="12579"/>
    <cellStyle name="Normal 2 2 2 2 2 8 3" xfId="12580"/>
    <cellStyle name="Normal 2 2 2 2 2 8 4" xfId="12581"/>
    <cellStyle name="Normal 2 2 2 2 2 80" xfId="12582"/>
    <cellStyle name="Normal 2 2 2 2 2 80 2" xfId="12583"/>
    <cellStyle name="Normal 2 2 2 2 2 80 2 2" xfId="12584"/>
    <cellStyle name="Normal 2 2 2 2 2 80 2 3" xfId="12585"/>
    <cellStyle name="Normal 2 2 2 2 2 80 2 4" xfId="12586"/>
    <cellStyle name="Normal 2 2 2 2 2 80 2 5" xfId="12587"/>
    <cellStyle name="Normal 2 2 2 2 2 80 2 6" xfId="12588"/>
    <cellStyle name="Normal 2 2 2 2 2 80 3" xfId="12589"/>
    <cellStyle name="Normal 2 2 2 2 2 80 3 2" xfId="12590"/>
    <cellStyle name="Normal 2 2 2 2 2 80 3 3" xfId="12591"/>
    <cellStyle name="Normal 2 2 2 2 2 80 3 4" xfId="12592"/>
    <cellStyle name="Normal 2 2 2 2 2 80 3 5" xfId="12593"/>
    <cellStyle name="Normal 2 2 2 2 2 80 3 6" xfId="12594"/>
    <cellStyle name="Normal 2 2 2 2 2 81" xfId="12595"/>
    <cellStyle name="Normal 2 2 2 2 2 81 2" xfId="12596"/>
    <cellStyle name="Normal 2 2 2 2 2 81 2 2" xfId="12597"/>
    <cellStyle name="Normal 2 2 2 2 2 81 2 3" xfId="12598"/>
    <cellStyle name="Normal 2 2 2 2 2 81 2 4" xfId="12599"/>
    <cellStyle name="Normal 2 2 2 2 2 81 2 5" xfId="12600"/>
    <cellStyle name="Normal 2 2 2 2 2 81 2 6" xfId="12601"/>
    <cellStyle name="Normal 2 2 2 2 2 81 3" xfId="12602"/>
    <cellStyle name="Normal 2 2 2 2 2 81 3 2" xfId="12603"/>
    <cellStyle name="Normal 2 2 2 2 2 81 3 3" xfId="12604"/>
    <cellStyle name="Normal 2 2 2 2 2 81 3 4" xfId="12605"/>
    <cellStyle name="Normal 2 2 2 2 2 81 3 5" xfId="12606"/>
    <cellStyle name="Normal 2 2 2 2 2 81 3 6" xfId="12607"/>
    <cellStyle name="Normal 2 2 2 2 2 82" xfId="12608"/>
    <cellStyle name="Normal 2 2 2 2 2 82 2" xfId="12609"/>
    <cellStyle name="Normal 2 2 2 2 2 82 2 2" xfId="12610"/>
    <cellStyle name="Normal 2 2 2 2 2 82 2 3" xfId="12611"/>
    <cellStyle name="Normal 2 2 2 2 2 82 2 4" xfId="12612"/>
    <cellStyle name="Normal 2 2 2 2 2 82 2 5" xfId="12613"/>
    <cellStyle name="Normal 2 2 2 2 2 82 2 6" xfId="12614"/>
    <cellStyle name="Normal 2 2 2 2 2 82 3" xfId="12615"/>
    <cellStyle name="Normal 2 2 2 2 2 82 3 2" xfId="12616"/>
    <cellStyle name="Normal 2 2 2 2 2 82 3 3" xfId="12617"/>
    <cellStyle name="Normal 2 2 2 2 2 82 3 4" xfId="12618"/>
    <cellStyle name="Normal 2 2 2 2 2 82 3 5" xfId="12619"/>
    <cellStyle name="Normal 2 2 2 2 2 82 3 6" xfId="12620"/>
    <cellStyle name="Normal 2 2 2 2 2 83" xfId="12621"/>
    <cellStyle name="Normal 2 2 2 2 2 83 2" xfId="12622"/>
    <cellStyle name="Normal 2 2 2 2 2 83 2 2" xfId="12623"/>
    <cellStyle name="Normal 2 2 2 2 2 83 2 3" xfId="12624"/>
    <cellStyle name="Normal 2 2 2 2 2 83 2 4" xfId="12625"/>
    <cellStyle name="Normal 2 2 2 2 2 83 2 5" xfId="12626"/>
    <cellStyle name="Normal 2 2 2 2 2 83 2 6" xfId="12627"/>
    <cellStyle name="Normal 2 2 2 2 2 83 3" xfId="12628"/>
    <cellStyle name="Normal 2 2 2 2 2 83 3 2" xfId="12629"/>
    <cellStyle name="Normal 2 2 2 2 2 83 3 3" xfId="12630"/>
    <cellStyle name="Normal 2 2 2 2 2 83 3 4" xfId="12631"/>
    <cellStyle name="Normal 2 2 2 2 2 83 3 5" xfId="12632"/>
    <cellStyle name="Normal 2 2 2 2 2 83 3 6" xfId="12633"/>
    <cellStyle name="Normal 2 2 2 2 2 84" xfId="12634"/>
    <cellStyle name="Normal 2 2 2 2 2 84 2" xfId="12635"/>
    <cellStyle name="Normal 2 2 2 2 2 84 2 2" xfId="12636"/>
    <cellStyle name="Normal 2 2 2 2 2 84 2 3" xfId="12637"/>
    <cellStyle name="Normal 2 2 2 2 2 84 2 4" xfId="12638"/>
    <cellStyle name="Normal 2 2 2 2 2 84 2 5" xfId="12639"/>
    <cellStyle name="Normal 2 2 2 2 2 84 2 6" xfId="12640"/>
    <cellStyle name="Normal 2 2 2 2 2 84 3" xfId="12641"/>
    <cellStyle name="Normal 2 2 2 2 2 84 3 2" xfId="12642"/>
    <cellStyle name="Normal 2 2 2 2 2 84 3 3" xfId="12643"/>
    <cellStyle name="Normal 2 2 2 2 2 84 3 4" xfId="12644"/>
    <cellStyle name="Normal 2 2 2 2 2 84 3 5" xfId="12645"/>
    <cellStyle name="Normal 2 2 2 2 2 84 3 6" xfId="12646"/>
    <cellStyle name="Normal 2 2 2 2 2 85" xfId="12647"/>
    <cellStyle name="Normal 2 2 2 2 2 85 2" xfId="12648"/>
    <cellStyle name="Normal 2 2 2 2 2 85 2 2" xfId="12649"/>
    <cellStyle name="Normal 2 2 2 2 2 85 2 3" xfId="12650"/>
    <cellStyle name="Normal 2 2 2 2 2 85 2 4" xfId="12651"/>
    <cellStyle name="Normal 2 2 2 2 2 85 2 5" xfId="12652"/>
    <cellStyle name="Normal 2 2 2 2 2 85 2 6" xfId="12653"/>
    <cellStyle name="Normal 2 2 2 2 2 85 3" xfId="12654"/>
    <cellStyle name="Normal 2 2 2 2 2 85 3 2" xfId="12655"/>
    <cellStyle name="Normal 2 2 2 2 2 85 3 3" xfId="12656"/>
    <cellStyle name="Normal 2 2 2 2 2 85 3 4" xfId="12657"/>
    <cellStyle name="Normal 2 2 2 2 2 85 3 5" xfId="12658"/>
    <cellStyle name="Normal 2 2 2 2 2 85 3 6" xfId="12659"/>
    <cellStyle name="Normal 2 2 2 2 2 86" xfId="12660"/>
    <cellStyle name="Normal 2 2 2 2 2 86 2" xfId="12661"/>
    <cellStyle name="Normal 2 2 2 2 2 86 2 2" xfId="12662"/>
    <cellStyle name="Normal 2 2 2 2 2 86 2 3" xfId="12663"/>
    <cellStyle name="Normal 2 2 2 2 2 86 2 4" xfId="12664"/>
    <cellStyle name="Normal 2 2 2 2 2 86 2 5" xfId="12665"/>
    <cellStyle name="Normal 2 2 2 2 2 86 2 6" xfId="12666"/>
    <cellStyle name="Normal 2 2 2 2 2 86 3" xfId="12667"/>
    <cellStyle name="Normal 2 2 2 2 2 86 3 2" xfId="12668"/>
    <cellStyle name="Normal 2 2 2 2 2 86 3 3" xfId="12669"/>
    <cellStyle name="Normal 2 2 2 2 2 86 3 4" xfId="12670"/>
    <cellStyle name="Normal 2 2 2 2 2 86 3 5" xfId="12671"/>
    <cellStyle name="Normal 2 2 2 2 2 86 3 6" xfId="12672"/>
    <cellStyle name="Normal 2 2 2 2 2 87" xfId="12673"/>
    <cellStyle name="Normal 2 2 2 2 2 87 2" xfId="12674"/>
    <cellStyle name="Normal 2 2 2 2 2 87 2 2" xfId="12675"/>
    <cellStyle name="Normal 2 2 2 2 2 87 2 3" xfId="12676"/>
    <cellStyle name="Normal 2 2 2 2 2 87 2 4" xfId="12677"/>
    <cellStyle name="Normal 2 2 2 2 2 87 2 5" xfId="12678"/>
    <cellStyle name="Normal 2 2 2 2 2 87 2 6" xfId="12679"/>
    <cellStyle name="Normal 2 2 2 2 2 87 3" xfId="12680"/>
    <cellStyle name="Normal 2 2 2 2 2 87 3 2" xfId="12681"/>
    <cellStyle name="Normal 2 2 2 2 2 87 3 3" xfId="12682"/>
    <cellStyle name="Normal 2 2 2 2 2 87 3 4" xfId="12683"/>
    <cellStyle name="Normal 2 2 2 2 2 87 3 5" xfId="12684"/>
    <cellStyle name="Normal 2 2 2 2 2 87 3 6" xfId="12685"/>
    <cellStyle name="Normal 2 2 2 2 2 88" xfId="12686"/>
    <cellStyle name="Normal 2 2 2 2 2 88 2" xfId="12687"/>
    <cellStyle name="Normal 2 2 2 2 2 88 2 2" xfId="12688"/>
    <cellStyle name="Normal 2 2 2 2 2 88 2 3" xfId="12689"/>
    <cellStyle name="Normal 2 2 2 2 2 88 2 4" xfId="12690"/>
    <cellStyle name="Normal 2 2 2 2 2 88 2 5" xfId="12691"/>
    <cellStyle name="Normal 2 2 2 2 2 88 2 6" xfId="12692"/>
    <cellStyle name="Normal 2 2 2 2 2 88 3" xfId="12693"/>
    <cellStyle name="Normal 2 2 2 2 2 88 3 2" xfId="12694"/>
    <cellStyle name="Normal 2 2 2 2 2 88 3 3" xfId="12695"/>
    <cellStyle name="Normal 2 2 2 2 2 88 3 4" xfId="12696"/>
    <cellStyle name="Normal 2 2 2 2 2 88 3 5" xfId="12697"/>
    <cellStyle name="Normal 2 2 2 2 2 88 3 6" xfId="12698"/>
    <cellStyle name="Normal 2 2 2 2 2 89" xfId="12699"/>
    <cellStyle name="Normal 2 2 2 2 2 89 2" xfId="12700"/>
    <cellStyle name="Normal 2 2 2 2 2 89 2 2" xfId="12701"/>
    <cellStyle name="Normal 2 2 2 2 2 89 2 3" xfId="12702"/>
    <cellStyle name="Normal 2 2 2 2 2 89 2 4" xfId="12703"/>
    <cellStyle name="Normal 2 2 2 2 2 89 2 5" xfId="12704"/>
    <cellStyle name="Normal 2 2 2 2 2 89 2 6" xfId="12705"/>
    <cellStyle name="Normal 2 2 2 2 2 89 3" xfId="12706"/>
    <cellStyle name="Normal 2 2 2 2 2 89 3 2" xfId="12707"/>
    <cellStyle name="Normal 2 2 2 2 2 89 3 3" xfId="12708"/>
    <cellStyle name="Normal 2 2 2 2 2 89 3 4" xfId="12709"/>
    <cellStyle name="Normal 2 2 2 2 2 89 3 5" xfId="12710"/>
    <cellStyle name="Normal 2 2 2 2 2 89 3 6" xfId="12711"/>
    <cellStyle name="Normal 2 2 2 2 2 9" xfId="12712"/>
    <cellStyle name="Normal 2 2 2 2 2 9 2" xfId="12713"/>
    <cellStyle name="Normal 2 2 2 2 2 9 3" xfId="12714"/>
    <cellStyle name="Normal 2 2 2 2 2 9 3 2" xfId="12715"/>
    <cellStyle name="Normal 2 2 2 2 2 9 3 3" xfId="12716"/>
    <cellStyle name="Normal 2 2 2 2 2 9 3 4" xfId="12717"/>
    <cellStyle name="Normal 2 2 2 2 2 9 3 5" xfId="12718"/>
    <cellStyle name="Normal 2 2 2 2 2 9 3 6" xfId="12719"/>
    <cellStyle name="Normal 2 2 2 2 2 9 4" xfId="12720"/>
    <cellStyle name="Normal 2 2 2 2 2 9 4 2" xfId="12721"/>
    <cellStyle name="Normal 2 2 2 2 2 9 4 3" xfId="12722"/>
    <cellStyle name="Normal 2 2 2 2 2 9 4 4" xfId="12723"/>
    <cellStyle name="Normal 2 2 2 2 2 9 4 5" xfId="12724"/>
    <cellStyle name="Normal 2 2 2 2 2 9 4 6" xfId="12725"/>
    <cellStyle name="Normal 2 2 2 2 2 9 5" xfId="12726"/>
    <cellStyle name="Normal 2 2 2 2 2 9 6" xfId="12727"/>
    <cellStyle name="Normal 2 2 2 2 2 9 7" xfId="12728"/>
    <cellStyle name="Normal 2 2 2 2 2 9 8" xfId="12729"/>
    <cellStyle name="Normal 2 2 2 2 2 9 9" xfId="12730"/>
    <cellStyle name="Normal 2 2 2 2 2 90" xfId="12731"/>
    <cellStyle name="Normal 2 2 2 2 2 90 2" xfId="12732"/>
    <cellStyle name="Normal 2 2 2 2 2 90 2 2" xfId="12733"/>
    <cellStyle name="Normal 2 2 2 2 2 90 2 3" xfId="12734"/>
    <cellStyle name="Normal 2 2 2 2 2 90 2 4" xfId="12735"/>
    <cellStyle name="Normal 2 2 2 2 2 90 2 5" xfId="12736"/>
    <cellStyle name="Normal 2 2 2 2 2 90 2 6" xfId="12737"/>
    <cellStyle name="Normal 2 2 2 2 2 90 3" xfId="12738"/>
    <cellStyle name="Normal 2 2 2 2 2 90 3 2" xfId="12739"/>
    <cellStyle name="Normal 2 2 2 2 2 90 3 3" xfId="12740"/>
    <cellStyle name="Normal 2 2 2 2 2 90 3 4" xfId="12741"/>
    <cellStyle name="Normal 2 2 2 2 2 90 3 5" xfId="12742"/>
    <cellStyle name="Normal 2 2 2 2 2 90 3 6" xfId="12743"/>
    <cellStyle name="Normal 2 2 2 2 2 91" xfId="12744"/>
    <cellStyle name="Normal 2 2 2 2 2 91 2" xfId="12745"/>
    <cellStyle name="Normal 2 2 2 2 2 91 2 2" xfId="12746"/>
    <cellStyle name="Normal 2 2 2 2 2 91 2 3" xfId="12747"/>
    <cellStyle name="Normal 2 2 2 2 2 91 2 4" xfId="12748"/>
    <cellStyle name="Normal 2 2 2 2 2 91 2 5" xfId="12749"/>
    <cellStyle name="Normal 2 2 2 2 2 91 2 6" xfId="12750"/>
    <cellStyle name="Normal 2 2 2 2 2 91 3" xfId="12751"/>
    <cellStyle name="Normal 2 2 2 2 2 91 3 2" xfId="12752"/>
    <cellStyle name="Normal 2 2 2 2 2 91 3 3" xfId="12753"/>
    <cellStyle name="Normal 2 2 2 2 2 91 3 4" xfId="12754"/>
    <cellStyle name="Normal 2 2 2 2 2 91 3 5" xfId="12755"/>
    <cellStyle name="Normal 2 2 2 2 2 91 3 6" xfId="12756"/>
    <cellStyle name="Normal 2 2 2 2 2 92" xfId="12757"/>
    <cellStyle name="Normal 2 2 2 2 2 92 2" xfId="12758"/>
    <cellStyle name="Normal 2 2 2 2 2 92 2 2" xfId="12759"/>
    <cellStyle name="Normal 2 2 2 2 2 92 2 3" xfId="12760"/>
    <cellStyle name="Normal 2 2 2 2 2 92 2 4" xfId="12761"/>
    <cellStyle name="Normal 2 2 2 2 2 92 2 5" xfId="12762"/>
    <cellStyle name="Normal 2 2 2 2 2 92 2 6" xfId="12763"/>
    <cellStyle name="Normal 2 2 2 2 2 92 3" xfId="12764"/>
    <cellStyle name="Normal 2 2 2 2 2 92 3 2" xfId="12765"/>
    <cellStyle name="Normal 2 2 2 2 2 92 3 3" xfId="12766"/>
    <cellStyle name="Normal 2 2 2 2 2 92 3 4" xfId="12767"/>
    <cellStyle name="Normal 2 2 2 2 2 92 3 5" xfId="12768"/>
    <cellStyle name="Normal 2 2 2 2 2 92 3 6" xfId="12769"/>
    <cellStyle name="Normal 2 2 2 2 2 93" xfId="12770"/>
    <cellStyle name="Normal 2 2 2 2 2 93 2" xfId="12771"/>
    <cellStyle name="Normal 2 2 2 2 2 93 2 2" xfId="12772"/>
    <cellStyle name="Normal 2 2 2 2 2 93 2 3" xfId="12773"/>
    <cellStyle name="Normal 2 2 2 2 2 93 2 4" xfId="12774"/>
    <cellStyle name="Normal 2 2 2 2 2 93 2 5" xfId="12775"/>
    <cellStyle name="Normal 2 2 2 2 2 93 2 6" xfId="12776"/>
    <cellStyle name="Normal 2 2 2 2 2 93 3" xfId="12777"/>
    <cellStyle name="Normal 2 2 2 2 2 93 3 2" xfId="12778"/>
    <cellStyle name="Normal 2 2 2 2 2 93 3 3" xfId="12779"/>
    <cellStyle name="Normal 2 2 2 2 2 93 3 4" xfId="12780"/>
    <cellStyle name="Normal 2 2 2 2 2 93 3 5" xfId="12781"/>
    <cellStyle name="Normal 2 2 2 2 2 93 3 6" xfId="12782"/>
    <cellStyle name="Normal 2 2 2 2 2 94" xfId="12783"/>
    <cellStyle name="Normal 2 2 2 2 2 94 2" xfId="12784"/>
    <cellStyle name="Normal 2 2 2 2 2 94 2 2" xfId="12785"/>
    <cellStyle name="Normal 2 2 2 2 2 94 2 3" xfId="12786"/>
    <cellStyle name="Normal 2 2 2 2 2 94 2 4" xfId="12787"/>
    <cellStyle name="Normal 2 2 2 2 2 94 2 5" xfId="12788"/>
    <cellStyle name="Normal 2 2 2 2 2 94 2 6" xfId="12789"/>
    <cellStyle name="Normal 2 2 2 2 2 94 3" xfId="12790"/>
    <cellStyle name="Normal 2 2 2 2 2 94 3 2" xfId="12791"/>
    <cellStyle name="Normal 2 2 2 2 2 94 3 3" xfId="12792"/>
    <cellStyle name="Normal 2 2 2 2 2 94 3 4" xfId="12793"/>
    <cellStyle name="Normal 2 2 2 2 2 94 3 5" xfId="12794"/>
    <cellStyle name="Normal 2 2 2 2 2 94 3 6" xfId="12795"/>
    <cellStyle name="Normal 2 2 2 2 2 95" xfId="12796"/>
    <cellStyle name="Normal 2 2 2 2 2 95 2" xfId="12797"/>
    <cellStyle name="Normal 2 2 2 2 2 95 2 2" xfId="12798"/>
    <cellStyle name="Normal 2 2 2 2 2 95 2 3" xfId="12799"/>
    <cellStyle name="Normal 2 2 2 2 2 95 2 4" xfId="12800"/>
    <cellStyle name="Normal 2 2 2 2 2 95 2 5" xfId="12801"/>
    <cellStyle name="Normal 2 2 2 2 2 95 2 6" xfId="12802"/>
    <cellStyle name="Normal 2 2 2 2 2 95 3" xfId="12803"/>
    <cellStyle name="Normal 2 2 2 2 2 95 3 2" xfId="12804"/>
    <cellStyle name="Normal 2 2 2 2 2 95 3 3" xfId="12805"/>
    <cellStyle name="Normal 2 2 2 2 2 95 3 4" xfId="12806"/>
    <cellStyle name="Normal 2 2 2 2 2 95 3 5" xfId="12807"/>
    <cellStyle name="Normal 2 2 2 2 2 95 3 6" xfId="12808"/>
    <cellStyle name="Normal 2 2 2 2 2 96" xfId="12809"/>
    <cellStyle name="Normal 2 2 2 2 2 96 2" xfId="12810"/>
    <cellStyle name="Normal 2 2 2 2 2 96 2 2" xfId="12811"/>
    <cellStyle name="Normal 2 2 2 2 2 96 2 3" xfId="12812"/>
    <cellStyle name="Normal 2 2 2 2 2 96 2 4" xfId="12813"/>
    <cellStyle name="Normal 2 2 2 2 2 96 2 5" xfId="12814"/>
    <cellStyle name="Normal 2 2 2 2 2 96 2 6" xfId="12815"/>
    <cellStyle name="Normal 2 2 2 2 2 96 3" xfId="12816"/>
    <cellStyle name="Normal 2 2 2 2 2 96 3 2" xfId="12817"/>
    <cellStyle name="Normal 2 2 2 2 2 96 3 3" xfId="12818"/>
    <cellStyle name="Normal 2 2 2 2 2 96 3 4" xfId="12819"/>
    <cellStyle name="Normal 2 2 2 2 2 96 3 5" xfId="12820"/>
    <cellStyle name="Normal 2 2 2 2 2 96 3 6" xfId="12821"/>
    <cellStyle name="Normal 2 2 2 2 2 97" xfId="12822"/>
    <cellStyle name="Normal 2 2 2 2 2 97 2" xfId="12823"/>
    <cellStyle name="Normal 2 2 2 2 2 97 2 2" xfId="12824"/>
    <cellStyle name="Normal 2 2 2 2 2 97 2 3" xfId="12825"/>
    <cellStyle name="Normal 2 2 2 2 2 97 2 4" xfId="12826"/>
    <cellStyle name="Normal 2 2 2 2 2 97 2 5" xfId="12827"/>
    <cellStyle name="Normal 2 2 2 2 2 97 2 6" xfId="12828"/>
    <cellStyle name="Normal 2 2 2 2 2 97 3" xfId="12829"/>
    <cellStyle name="Normal 2 2 2 2 2 97 3 2" xfId="12830"/>
    <cellStyle name="Normal 2 2 2 2 2 97 3 3" xfId="12831"/>
    <cellStyle name="Normal 2 2 2 2 2 97 3 4" xfId="12832"/>
    <cellStyle name="Normal 2 2 2 2 2 97 3 5" xfId="12833"/>
    <cellStyle name="Normal 2 2 2 2 2 97 3 6" xfId="12834"/>
    <cellStyle name="Normal 2 2 2 2 2 98" xfId="12835"/>
    <cellStyle name="Normal 2 2 2 2 2 98 2" xfId="12836"/>
    <cellStyle name="Normal 2 2 2 2 2 98 2 2" xfId="12837"/>
    <cellStyle name="Normal 2 2 2 2 2 98 2 3" xfId="12838"/>
    <cellStyle name="Normal 2 2 2 2 2 98 2 4" xfId="12839"/>
    <cellStyle name="Normal 2 2 2 2 2 98 2 5" xfId="12840"/>
    <cellStyle name="Normal 2 2 2 2 2 98 2 6" xfId="12841"/>
    <cellStyle name="Normal 2 2 2 2 2 98 3" xfId="12842"/>
    <cellStyle name="Normal 2 2 2 2 2 98 3 2" xfId="12843"/>
    <cellStyle name="Normal 2 2 2 2 2 98 3 3" xfId="12844"/>
    <cellStyle name="Normal 2 2 2 2 2 98 3 4" xfId="12845"/>
    <cellStyle name="Normal 2 2 2 2 2 98 3 5" xfId="12846"/>
    <cellStyle name="Normal 2 2 2 2 2 98 3 6" xfId="12847"/>
    <cellStyle name="Normal 2 2 2 2 2 99" xfId="12848"/>
    <cellStyle name="Normal 2 2 2 2 2 99 2" xfId="12849"/>
    <cellStyle name="Normal 2 2 2 2 2 99 2 2" xfId="12850"/>
    <cellStyle name="Normal 2 2 2 2 2 99 2 3" xfId="12851"/>
    <cellStyle name="Normal 2 2 2 2 2 99 2 4" xfId="12852"/>
    <cellStyle name="Normal 2 2 2 2 2 99 2 5" xfId="12853"/>
    <cellStyle name="Normal 2 2 2 2 2 99 2 6" xfId="12854"/>
    <cellStyle name="Normal 2 2 2 2 2 99 3" xfId="12855"/>
    <cellStyle name="Normal 2 2 2 2 2 99 3 2" xfId="12856"/>
    <cellStyle name="Normal 2 2 2 2 2 99 3 3" xfId="12857"/>
    <cellStyle name="Normal 2 2 2 2 2 99 3 4" xfId="12858"/>
    <cellStyle name="Normal 2 2 2 2 2 99 3 5" xfId="12859"/>
    <cellStyle name="Normal 2 2 2 2 2 99 3 6" xfId="12860"/>
    <cellStyle name="Normal 2 2 2 2 20" xfId="12861"/>
    <cellStyle name="Normal 2 2 2 2 20 2" xfId="12862"/>
    <cellStyle name="Normal 2 2 2 2 20 3" xfId="12863"/>
    <cellStyle name="Normal 2 2 2 2 20 4" xfId="12864"/>
    <cellStyle name="Normal 2 2 2 2 20 5" xfId="12865"/>
    <cellStyle name="Normal 2 2 2 2 20 6" xfId="12866"/>
    <cellStyle name="Normal 2 2 2 2 20 7" xfId="12867"/>
    <cellStyle name="Normal 2 2 2 2 20 8" xfId="12868"/>
    <cellStyle name="Normal 2 2 2 2 21" xfId="12869"/>
    <cellStyle name="Normal 2 2 2 2 21 2" xfId="12870"/>
    <cellStyle name="Normal 2 2 2 2 21 3" xfId="12871"/>
    <cellStyle name="Normal 2 2 2 2 21 4" xfId="12872"/>
    <cellStyle name="Normal 2 2 2 2 21 5" xfId="12873"/>
    <cellStyle name="Normal 2 2 2 2 21 6" xfId="12874"/>
    <cellStyle name="Normal 2 2 2 2 21 7" xfId="12875"/>
    <cellStyle name="Normal 2 2 2 2 21 8" xfId="12876"/>
    <cellStyle name="Normal 2 2 2 2 22" xfId="12877"/>
    <cellStyle name="Normal 2 2 2 2 22 2" xfId="12878"/>
    <cellStyle name="Normal 2 2 2 2 22 3" xfId="12879"/>
    <cellStyle name="Normal 2 2 2 2 22 4" xfId="12880"/>
    <cellStyle name="Normal 2 2 2 2 22 5" xfId="12881"/>
    <cellStyle name="Normal 2 2 2 2 22 6" xfId="12882"/>
    <cellStyle name="Normal 2 2 2 2 22 7" xfId="12883"/>
    <cellStyle name="Normal 2 2 2 2 22 8" xfId="12884"/>
    <cellStyle name="Normal 2 2 2 2 23" xfId="12885"/>
    <cellStyle name="Normal 2 2 2 2 23 2" xfId="12886"/>
    <cellStyle name="Normal 2 2 2 2 23 3" xfId="12887"/>
    <cellStyle name="Normal 2 2 2 2 23 4" xfId="12888"/>
    <cellStyle name="Normal 2 2 2 2 23 5" xfId="12889"/>
    <cellStyle name="Normal 2 2 2 2 23 6" xfId="12890"/>
    <cellStyle name="Normal 2 2 2 2 23 7" xfId="12891"/>
    <cellStyle name="Normal 2 2 2 2 23 8" xfId="12892"/>
    <cellStyle name="Normal 2 2 2 2 24" xfId="12893"/>
    <cellStyle name="Normal 2 2 2 2 24 2" xfId="12894"/>
    <cellStyle name="Normal 2 2 2 2 24 3" xfId="12895"/>
    <cellStyle name="Normal 2 2 2 2 24 4" xfId="12896"/>
    <cellStyle name="Normal 2 2 2 2 24 5" xfId="12897"/>
    <cellStyle name="Normal 2 2 2 2 24 6" xfId="12898"/>
    <cellStyle name="Normal 2 2 2 2 24 7" xfId="12899"/>
    <cellStyle name="Normal 2 2 2 2 24 8" xfId="12900"/>
    <cellStyle name="Normal 2 2 2 2 25" xfId="12901"/>
    <cellStyle name="Normal 2 2 2 2 25 2" xfId="12902"/>
    <cellStyle name="Normal 2 2 2 2 25 3" xfId="12903"/>
    <cellStyle name="Normal 2 2 2 2 25 4" xfId="12904"/>
    <cellStyle name="Normal 2 2 2 2 25 5" xfId="12905"/>
    <cellStyle name="Normal 2 2 2 2 25 6" xfId="12906"/>
    <cellStyle name="Normal 2 2 2 2 25 7" xfId="12907"/>
    <cellStyle name="Normal 2 2 2 2 25 8" xfId="12908"/>
    <cellStyle name="Normal 2 2 2 2 26" xfId="12909"/>
    <cellStyle name="Normal 2 2 2 2 26 2" xfId="12910"/>
    <cellStyle name="Normal 2 2 2 2 26 3" xfId="12911"/>
    <cellStyle name="Normal 2 2 2 2 26 4" xfId="12912"/>
    <cellStyle name="Normal 2 2 2 2 26 5" xfId="12913"/>
    <cellStyle name="Normal 2 2 2 2 26 6" xfId="12914"/>
    <cellStyle name="Normal 2 2 2 2 26 7" xfId="12915"/>
    <cellStyle name="Normal 2 2 2 2 26 8" xfId="12916"/>
    <cellStyle name="Normal 2 2 2 2 27" xfId="12917"/>
    <cellStyle name="Normal 2 2 2 2 27 2" xfId="12918"/>
    <cellStyle name="Normal 2 2 2 2 27 3" xfId="12919"/>
    <cellStyle name="Normal 2 2 2 2 27 4" xfId="12920"/>
    <cellStyle name="Normal 2 2 2 2 27 5" xfId="12921"/>
    <cellStyle name="Normal 2 2 2 2 27 6" xfId="12922"/>
    <cellStyle name="Normal 2 2 2 2 27 7" xfId="12923"/>
    <cellStyle name="Normal 2 2 2 2 27 8" xfId="12924"/>
    <cellStyle name="Normal 2 2 2 2 28" xfId="12925"/>
    <cellStyle name="Normal 2 2 2 2 28 2" xfId="12926"/>
    <cellStyle name="Normal 2 2 2 2 28 3" xfId="12927"/>
    <cellStyle name="Normal 2 2 2 2 28 4" xfId="12928"/>
    <cellStyle name="Normal 2 2 2 2 28 5" xfId="12929"/>
    <cellStyle name="Normal 2 2 2 2 28 6" xfId="12930"/>
    <cellStyle name="Normal 2 2 2 2 28 7" xfId="12931"/>
    <cellStyle name="Normal 2 2 2 2 28 8" xfId="12932"/>
    <cellStyle name="Normal 2 2 2 2 29" xfId="12933"/>
    <cellStyle name="Normal 2 2 2 2 29 2" xfId="12934"/>
    <cellStyle name="Normal 2 2 2 2 29 3" xfId="12935"/>
    <cellStyle name="Normal 2 2 2 2 29 4" xfId="12936"/>
    <cellStyle name="Normal 2 2 2 2 29 5" xfId="12937"/>
    <cellStyle name="Normal 2 2 2 2 29 6" xfId="12938"/>
    <cellStyle name="Normal 2 2 2 2 29 7" xfId="12939"/>
    <cellStyle name="Normal 2 2 2 2 29 8" xfId="12940"/>
    <cellStyle name="Normal 2 2 2 2 3" xfId="12941"/>
    <cellStyle name="Normal 2 2 2 2 3 2" xfId="12942"/>
    <cellStyle name="Normal 2 2 2 2 3 3" xfId="12943"/>
    <cellStyle name="Normal 2 2 2 2 3 3 2" xfId="12944"/>
    <cellStyle name="Normal 2 2 2 2 3 3 3" xfId="12945"/>
    <cellStyle name="Normal 2 2 2 2 3 3 4" xfId="12946"/>
    <cellStyle name="Normal 2 2 2 2 3 3 5" xfId="12947"/>
    <cellStyle name="Normal 2 2 2 2 3 3 6" xfId="12948"/>
    <cellStyle name="Normal 2 2 2 2 3 4" xfId="12949"/>
    <cellStyle name="Normal 2 2 2 2 3 4 2" xfId="12950"/>
    <cellStyle name="Normal 2 2 2 2 3 4 3" xfId="12951"/>
    <cellStyle name="Normal 2 2 2 2 3 4 4" xfId="12952"/>
    <cellStyle name="Normal 2 2 2 2 3 4 5" xfId="12953"/>
    <cellStyle name="Normal 2 2 2 2 3 4 6" xfId="12954"/>
    <cellStyle name="Normal 2 2 2 2 30" xfId="12955"/>
    <cellStyle name="Normal 2 2 2 2 30 2" xfId="12956"/>
    <cellStyle name="Normal 2 2 2 2 30 3" xfId="12957"/>
    <cellStyle name="Normal 2 2 2 2 30 4" xfId="12958"/>
    <cellStyle name="Normal 2 2 2 2 30 5" xfId="12959"/>
    <cellStyle name="Normal 2 2 2 2 30 6" xfId="12960"/>
    <cellStyle name="Normal 2 2 2 2 30 7" xfId="12961"/>
    <cellStyle name="Normal 2 2 2 2 30 8" xfId="12962"/>
    <cellStyle name="Normal 2 2 2 2 31" xfId="12963"/>
    <cellStyle name="Normal 2 2 2 2 31 2" xfId="12964"/>
    <cellStyle name="Normal 2 2 2 2 31 3" xfId="12965"/>
    <cellStyle name="Normal 2 2 2 2 31 4" xfId="12966"/>
    <cellStyle name="Normal 2 2 2 2 31 5" xfId="12967"/>
    <cellStyle name="Normal 2 2 2 2 31 6" xfId="12968"/>
    <cellStyle name="Normal 2 2 2 2 31 7" xfId="12969"/>
    <cellStyle name="Normal 2 2 2 2 31 8" xfId="12970"/>
    <cellStyle name="Normal 2 2 2 2 32" xfId="12971"/>
    <cellStyle name="Normal 2 2 2 2 32 2" xfId="12972"/>
    <cellStyle name="Normal 2 2 2 2 32 3" xfId="12973"/>
    <cellStyle name="Normal 2 2 2 2 32 4" xfId="12974"/>
    <cellStyle name="Normal 2 2 2 2 32 5" xfId="12975"/>
    <cellStyle name="Normal 2 2 2 2 32 6" xfId="12976"/>
    <cellStyle name="Normal 2 2 2 2 32 7" xfId="12977"/>
    <cellStyle name="Normal 2 2 2 2 32 8" xfId="12978"/>
    <cellStyle name="Normal 2 2 2 2 33" xfId="12979"/>
    <cellStyle name="Normal 2 2 2 2 33 2" xfId="12980"/>
    <cellStyle name="Normal 2 2 2 2 33 3" xfId="12981"/>
    <cellStyle name="Normal 2 2 2 2 33 4" xfId="12982"/>
    <cellStyle name="Normal 2 2 2 2 33 5" xfId="12983"/>
    <cellStyle name="Normal 2 2 2 2 33 6" xfId="12984"/>
    <cellStyle name="Normal 2 2 2 2 33 7" xfId="12985"/>
    <cellStyle name="Normal 2 2 2 2 33 8" xfId="12986"/>
    <cellStyle name="Normal 2 2 2 2 34" xfId="12987"/>
    <cellStyle name="Normal 2 2 2 2 34 2" xfId="12988"/>
    <cellStyle name="Normal 2 2 2 2 34 3" xfId="12989"/>
    <cellStyle name="Normal 2 2 2 2 34 4" xfId="12990"/>
    <cellStyle name="Normal 2 2 2 2 34 5" xfId="12991"/>
    <cellStyle name="Normal 2 2 2 2 34 6" xfId="12992"/>
    <cellStyle name="Normal 2 2 2 2 34 7" xfId="12993"/>
    <cellStyle name="Normal 2 2 2 2 34 8" xfId="12994"/>
    <cellStyle name="Normal 2 2 2 2 35" xfId="12995"/>
    <cellStyle name="Normal 2 2 2 2 35 2" xfId="12996"/>
    <cellStyle name="Normal 2 2 2 2 35 3" xfId="12997"/>
    <cellStyle name="Normal 2 2 2 2 35 4" xfId="12998"/>
    <cellStyle name="Normal 2 2 2 2 35 5" xfId="12999"/>
    <cellStyle name="Normal 2 2 2 2 35 6" xfId="13000"/>
    <cellStyle name="Normal 2 2 2 2 35 7" xfId="13001"/>
    <cellStyle name="Normal 2 2 2 2 35 8" xfId="13002"/>
    <cellStyle name="Normal 2 2 2 2 36" xfId="13003"/>
    <cellStyle name="Normal 2 2 2 2 36 2" xfId="13004"/>
    <cellStyle name="Normal 2 2 2 2 36 3" xfId="13005"/>
    <cellStyle name="Normal 2 2 2 2 36 4" xfId="13006"/>
    <cellStyle name="Normal 2 2 2 2 36 5" xfId="13007"/>
    <cellStyle name="Normal 2 2 2 2 36 6" xfId="13008"/>
    <cellStyle name="Normal 2 2 2 2 36 7" xfId="13009"/>
    <cellStyle name="Normal 2 2 2 2 36 8" xfId="13010"/>
    <cellStyle name="Normal 2 2 2 2 37" xfId="13011"/>
    <cellStyle name="Normal 2 2 2 2 37 2" xfId="13012"/>
    <cellStyle name="Normal 2 2 2 2 37 3" xfId="13013"/>
    <cellStyle name="Normal 2 2 2 2 37 4" xfId="13014"/>
    <cellStyle name="Normal 2 2 2 2 37 5" xfId="13015"/>
    <cellStyle name="Normal 2 2 2 2 37 6" xfId="13016"/>
    <cellStyle name="Normal 2 2 2 2 37 7" xfId="13017"/>
    <cellStyle name="Normal 2 2 2 2 37 8" xfId="13018"/>
    <cellStyle name="Normal 2 2 2 2 38" xfId="13019"/>
    <cellStyle name="Normal 2 2 2 2 38 2" xfId="13020"/>
    <cellStyle name="Normal 2 2 2 2 38 3" xfId="13021"/>
    <cellStyle name="Normal 2 2 2 2 38 4" xfId="13022"/>
    <cellStyle name="Normal 2 2 2 2 38 5" xfId="13023"/>
    <cellStyle name="Normal 2 2 2 2 38 6" xfId="13024"/>
    <cellStyle name="Normal 2 2 2 2 38 7" xfId="13025"/>
    <cellStyle name="Normal 2 2 2 2 38 8" xfId="13026"/>
    <cellStyle name="Normal 2 2 2 2 39" xfId="13027"/>
    <cellStyle name="Normal 2 2 2 2 39 2" xfId="13028"/>
    <cellStyle name="Normal 2 2 2 2 39 3" xfId="13029"/>
    <cellStyle name="Normal 2 2 2 2 39 4" xfId="13030"/>
    <cellStyle name="Normal 2 2 2 2 39 5" xfId="13031"/>
    <cellStyle name="Normal 2 2 2 2 39 6" xfId="13032"/>
    <cellStyle name="Normal 2 2 2 2 39 7" xfId="13033"/>
    <cellStyle name="Normal 2 2 2 2 39 8" xfId="13034"/>
    <cellStyle name="Normal 2 2 2 2 4" xfId="13035"/>
    <cellStyle name="Normal 2 2 2 2 4 2" xfId="13036"/>
    <cellStyle name="Normal 2 2 2 2 4 3" xfId="13037"/>
    <cellStyle name="Normal 2 2 2 2 4 3 2" xfId="13038"/>
    <cellStyle name="Normal 2 2 2 2 4 3 3" xfId="13039"/>
    <cellStyle name="Normal 2 2 2 2 4 3 4" xfId="13040"/>
    <cellStyle name="Normal 2 2 2 2 4 3 5" xfId="13041"/>
    <cellStyle name="Normal 2 2 2 2 4 3 6" xfId="13042"/>
    <cellStyle name="Normal 2 2 2 2 4 4" xfId="13043"/>
    <cellStyle name="Normal 2 2 2 2 4 4 2" xfId="13044"/>
    <cellStyle name="Normal 2 2 2 2 4 4 3" xfId="13045"/>
    <cellStyle name="Normal 2 2 2 2 4 4 4" xfId="13046"/>
    <cellStyle name="Normal 2 2 2 2 4 4 5" xfId="13047"/>
    <cellStyle name="Normal 2 2 2 2 4 4 6" xfId="13048"/>
    <cellStyle name="Normal 2 2 2 2 40" xfId="13049"/>
    <cellStyle name="Normal 2 2 2 2 40 2" xfId="13050"/>
    <cellStyle name="Normal 2 2 2 2 40 3" xfId="13051"/>
    <cellStyle name="Normal 2 2 2 2 40 4" xfId="13052"/>
    <cellStyle name="Normal 2 2 2 2 40 5" xfId="13053"/>
    <cellStyle name="Normal 2 2 2 2 40 6" xfId="13054"/>
    <cellStyle name="Normal 2 2 2 2 40 7" xfId="13055"/>
    <cellStyle name="Normal 2 2 2 2 40 8" xfId="13056"/>
    <cellStyle name="Normal 2 2 2 2 41" xfId="13057"/>
    <cellStyle name="Normal 2 2 2 2 41 2" xfId="13058"/>
    <cellStyle name="Normal 2 2 2 2 41 3" xfId="13059"/>
    <cellStyle name="Normal 2 2 2 2 41 4" xfId="13060"/>
    <cellStyle name="Normal 2 2 2 2 41 5" xfId="13061"/>
    <cellStyle name="Normal 2 2 2 2 41 6" xfId="13062"/>
    <cellStyle name="Normal 2 2 2 2 41 7" xfId="13063"/>
    <cellStyle name="Normal 2 2 2 2 41 8" xfId="13064"/>
    <cellStyle name="Normal 2 2 2 2 42" xfId="13065"/>
    <cellStyle name="Normal 2 2 2 2 42 2" xfId="13066"/>
    <cellStyle name="Normal 2 2 2 2 42 3" xfId="13067"/>
    <cellStyle name="Normal 2 2 2 2 42 4" xfId="13068"/>
    <cellStyle name="Normal 2 2 2 2 42 5" xfId="13069"/>
    <cellStyle name="Normal 2 2 2 2 42 6" xfId="13070"/>
    <cellStyle name="Normal 2 2 2 2 42 7" xfId="13071"/>
    <cellStyle name="Normal 2 2 2 2 42 8" xfId="13072"/>
    <cellStyle name="Normal 2 2 2 2 43" xfId="13073"/>
    <cellStyle name="Normal 2 2 2 2 43 2" xfId="13074"/>
    <cellStyle name="Normal 2 2 2 2 43 3" xfId="13075"/>
    <cellStyle name="Normal 2 2 2 2 43 4" xfId="13076"/>
    <cellStyle name="Normal 2 2 2 2 43 5" xfId="13077"/>
    <cellStyle name="Normal 2 2 2 2 43 6" xfId="13078"/>
    <cellStyle name="Normal 2 2 2 2 43 7" xfId="13079"/>
    <cellStyle name="Normal 2 2 2 2 43 8" xfId="13080"/>
    <cellStyle name="Normal 2 2 2 2 44" xfId="13081"/>
    <cellStyle name="Normal 2 2 2 2 44 2" xfId="13082"/>
    <cellStyle name="Normal 2 2 2 2 44 3" xfId="13083"/>
    <cellStyle name="Normal 2 2 2 2 44 4" xfId="13084"/>
    <cellStyle name="Normal 2 2 2 2 44 5" xfId="13085"/>
    <cellStyle name="Normal 2 2 2 2 44 6" xfId="13086"/>
    <cellStyle name="Normal 2 2 2 2 44 7" xfId="13087"/>
    <cellStyle name="Normal 2 2 2 2 44 8" xfId="13088"/>
    <cellStyle name="Normal 2 2 2 2 45" xfId="13089"/>
    <cellStyle name="Normal 2 2 2 2 45 2" xfId="13090"/>
    <cellStyle name="Normal 2 2 2 2 45 3" xfId="13091"/>
    <cellStyle name="Normal 2 2 2 2 45 4" xfId="13092"/>
    <cellStyle name="Normal 2 2 2 2 45 5" xfId="13093"/>
    <cellStyle name="Normal 2 2 2 2 45 6" xfId="13094"/>
    <cellStyle name="Normal 2 2 2 2 45 7" xfId="13095"/>
    <cellStyle name="Normal 2 2 2 2 45 8" xfId="13096"/>
    <cellStyle name="Normal 2 2 2 2 46" xfId="13097"/>
    <cellStyle name="Normal 2 2 2 2 46 2" xfId="13098"/>
    <cellStyle name="Normal 2 2 2 2 46 3" xfId="13099"/>
    <cellStyle name="Normal 2 2 2 2 46 4" xfId="13100"/>
    <cellStyle name="Normal 2 2 2 2 46 5" xfId="13101"/>
    <cellStyle name="Normal 2 2 2 2 46 6" xfId="13102"/>
    <cellStyle name="Normal 2 2 2 2 46 7" xfId="13103"/>
    <cellStyle name="Normal 2 2 2 2 46 8" xfId="13104"/>
    <cellStyle name="Normal 2 2 2 2 47" xfId="13105"/>
    <cellStyle name="Normal 2 2 2 2 47 2" xfId="13106"/>
    <cellStyle name="Normal 2 2 2 2 47 3" xfId="13107"/>
    <cellStyle name="Normal 2 2 2 2 47 4" xfId="13108"/>
    <cellStyle name="Normal 2 2 2 2 47 5" xfId="13109"/>
    <cellStyle name="Normal 2 2 2 2 47 6" xfId="13110"/>
    <cellStyle name="Normal 2 2 2 2 47 7" xfId="13111"/>
    <cellStyle name="Normal 2 2 2 2 47 8" xfId="13112"/>
    <cellStyle name="Normal 2 2 2 2 48" xfId="13113"/>
    <cellStyle name="Normal 2 2 2 2 48 2" xfId="13114"/>
    <cellStyle name="Normal 2 2 2 2 48 3" xfId="13115"/>
    <cellStyle name="Normal 2 2 2 2 48 4" xfId="13116"/>
    <cellStyle name="Normal 2 2 2 2 48 5" xfId="13117"/>
    <cellStyle name="Normal 2 2 2 2 48 6" xfId="13118"/>
    <cellStyle name="Normal 2 2 2 2 48 7" xfId="13119"/>
    <cellStyle name="Normal 2 2 2 2 48 8" xfId="13120"/>
    <cellStyle name="Normal 2 2 2 2 49" xfId="13121"/>
    <cellStyle name="Normal 2 2 2 2 49 2" xfId="13122"/>
    <cellStyle name="Normal 2 2 2 2 49 3" xfId="13123"/>
    <cellStyle name="Normal 2 2 2 2 49 4" xfId="13124"/>
    <cellStyle name="Normal 2 2 2 2 49 5" xfId="13125"/>
    <cellStyle name="Normal 2 2 2 2 49 6" xfId="13126"/>
    <cellStyle name="Normal 2 2 2 2 49 7" xfId="13127"/>
    <cellStyle name="Normal 2 2 2 2 49 8" xfId="13128"/>
    <cellStyle name="Normal 2 2 2 2 5" xfId="13129"/>
    <cellStyle name="Normal 2 2 2 2 5 2" xfId="13130"/>
    <cellStyle name="Normal 2 2 2 2 5 3" xfId="13131"/>
    <cellStyle name="Normal 2 2 2 2 5 3 2" xfId="13132"/>
    <cellStyle name="Normal 2 2 2 2 5 3 3" xfId="13133"/>
    <cellStyle name="Normal 2 2 2 2 5 3 4" xfId="13134"/>
    <cellStyle name="Normal 2 2 2 2 5 3 5" xfId="13135"/>
    <cellStyle name="Normal 2 2 2 2 5 3 6" xfId="13136"/>
    <cellStyle name="Normal 2 2 2 2 5 4" xfId="13137"/>
    <cellStyle name="Normal 2 2 2 2 5 4 2" xfId="13138"/>
    <cellStyle name="Normal 2 2 2 2 5 4 3" xfId="13139"/>
    <cellStyle name="Normal 2 2 2 2 5 4 4" xfId="13140"/>
    <cellStyle name="Normal 2 2 2 2 5 4 5" xfId="13141"/>
    <cellStyle name="Normal 2 2 2 2 5 4 6" xfId="13142"/>
    <cellStyle name="Normal 2 2 2 2 50" xfId="13143"/>
    <cellStyle name="Normal 2 2 2 2 50 2" xfId="13144"/>
    <cellStyle name="Normal 2 2 2 2 50 3" xfId="13145"/>
    <cellStyle name="Normal 2 2 2 2 50 4" xfId="13146"/>
    <cellStyle name="Normal 2 2 2 2 50 5" xfId="13147"/>
    <cellStyle name="Normal 2 2 2 2 50 6" xfId="13148"/>
    <cellStyle name="Normal 2 2 2 2 50 7" xfId="13149"/>
    <cellStyle name="Normal 2 2 2 2 50 8" xfId="13150"/>
    <cellStyle name="Normal 2 2 2 2 51" xfId="13151"/>
    <cellStyle name="Normal 2 2 2 2 51 2" xfId="13152"/>
    <cellStyle name="Normal 2 2 2 2 51 3" xfId="13153"/>
    <cellStyle name="Normal 2 2 2 2 51 4" xfId="13154"/>
    <cellStyle name="Normal 2 2 2 2 51 5" xfId="13155"/>
    <cellStyle name="Normal 2 2 2 2 51 6" xfId="13156"/>
    <cellStyle name="Normal 2 2 2 2 51 7" xfId="13157"/>
    <cellStyle name="Normal 2 2 2 2 51 8" xfId="13158"/>
    <cellStyle name="Normal 2 2 2 2 52" xfId="13159"/>
    <cellStyle name="Normal 2 2 2 2 52 2" xfId="13160"/>
    <cellStyle name="Normal 2 2 2 2 52 3" xfId="13161"/>
    <cellStyle name="Normal 2 2 2 2 52 4" xfId="13162"/>
    <cellStyle name="Normal 2 2 2 2 52 5" xfId="13163"/>
    <cellStyle name="Normal 2 2 2 2 52 6" xfId="13164"/>
    <cellStyle name="Normal 2 2 2 2 52 7" xfId="13165"/>
    <cellStyle name="Normal 2 2 2 2 52 8" xfId="13166"/>
    <cellStyle name="Normal 2 2 2 2 53" xfId="13167"/>
    <cellStyle name="Normal 2 2 2 2 53 2" xfId="13168"/>
    <cellStyle name="Normal 2 2 2 2 53 3" xfId="13169"/>
    <cellStyle name="Normal 2 2 2 2 53 4" xfId="13170"/>
    <cellStyle name="Normal 2 2 2 2 53 5" xfId="13171"/>
    <cellStyle name="Normal 2 2 2 2 53 6" xfId="13172"/>
    <cellStyle name="Normal 2 2 2 2 53 7" xfId="13173"/>
    <cellStyle name="Normal 2 2 2 2 53 8" xfId="13174"/>
    <cellStyle name="Normal 2 2 2 2 54" xfId="13175"/>
    <cellStyle name="Normal 2 2 2 2 54 2" xfId="13176"/>
    <cellStyle name="Normal 2 2 2 2 54 3" xfId="13177"/>
    <cellStyle name="Normal 2 2 2 2 54 4" xfId="13178"/>
    <cellStyle name="Normal 2 2 2 2 54 5" xfId="13179"/>
    <cellStyle name="Normal 2 2 2 2 54 6" xfId="13180"/>
    <cellStyle name="Normal 2 2 2 2 54 7" xfId="13181"/>
    <cellStyle name="Normal 2 2 2 2 54 8" xfId="13182"/>
    <cellStyle name="Normal 2 2 2 2 55" xfId="13183"/>
    <cellStyle name="Normal 2 2 2 2 55 2" xfId="13184"/>
    <cellStyle name="Normal 2 2 2 2 55 3" xfId="13185"/>
    <cellStyle name="Normal 2 2 2 2 55 4" xfId="13186"/>
    <cellStyle name="Normal 2 2 2 2 55 5" xfId="13187"/>
    <cellStyle name="Normal 2 2 2 2 55 6" xfId="13188"/>
    <cellStyle name="Normal 2 2 2 2 55 7" xfId="13189"/>
    <cellStyle name="Normal 2 2 2 2 55 8" xfId="13190"/>
    <cellStyle name="Normal 2 2 2 2 56" xfId="13191"/>
    <cellStyle name="Normal 2 2 2 2 56 2" xfId="13192"/>
    <cellStyle name="Normal 2 2 2 2 56 3" xfId="13193"/>
    <cellStyle name="Normal 2 2 2 2 56 4" xfId="13194"/>
    <cellStyle name="Normal 2 2 2 2 56 5" xfId="13195"/>
    <cellStyle name="Normal 2 2 2 2 56 6" xfId="13196"/>
    <cellStyle name="Normal 2 2 2 2 56 7" xfId="13197"/>
    <cellStyle name="Normal 2 2 2 2 56 8" xfId="13198"/>
    <cellStyle name="Normal 2 2 2 2 57" xfId="13199"/>
    <cellStyle name="Normal 2 2 2 2 57 2" xfId="13200"/>
    <cellStyle name="Normal 2 2 2 2 57 3" xfId="13201"/>
    <cellStyle name="Normal 2 2 2 2 57 4" xfId="13202"/>
    <cellStyle name="Normal 2 2 2 2 57 5" xfId="13203"/>
    <cellStyle name="Normal 2 2 2 2 57 6" xfId="13204"/>
    <cellStyle name="Normal 2 2 2 2 57 7" xfId="13205"/>
    <cellStyle name="Normal 2 2 2 2 57 8" xfId="13206"/>
    <cellStyle name="Normal 2 2 2 2 58" xfId="13207"/>
    <cellStyle name="Normal 2 2 2 2 58 2" xfId="13208"/>
    <cellStyle name="Normal 2 2 2 2 58 3" xfId="13209"/>
    <cellStyle name="Normal 2 2 2 2 58 4" xfId="13210"/>
    <cellStyle name="Normal 2 2 2 2 58 5" xfId="13211"/>
    <cellStyle name="Normal 2 2 2 2 58 6" xfId="13212"/>
    <cellStyle name="Normal 2 2 2 2 58 7" xfId="13213"/>
    <cellStyle name="Normal 2 2 2 2 58 8" xfId="13214"/>
    <cellStyle name="Normal 2 2 2 2 59" xfId="13215"/>
    <cellStyle name="Normal 2 2 2 2 59 2" xfId="13216"/>
    <cellStyle name="Normal 2 2 2 2 59 3" xfId="13217"/>
    <cellStyle name="Normal 2 2 2 2 59 4" xfId="13218"/>
    <cellStyle name="Normal 2 2 2 2 59 5" xfId="13219"/>
    <cellStyle name="Normal 2 2 2 2 59 6" xfId="13220"/>
    <cellStyle name="Normal 2 2 2 2 59 7" xfId="13221"/>
    <cellStyle name="Normal 2 2 2 2 59 8" xfId="13222"/>
    <cellStyle name="Normal 2 2 2 2 6" xfId="13223"/>
    <cellStyle name="Normal 2 2 2 2 6 2" xfId="13224"/>
    <cellStyle name="Normal 2 2 2 2 6 3" xfId="13225"/>
    <cellStyle name="Normal 2 2 2 2 6 3 2" xfId="13226"/>
    <cellStyle name="Normal 2 2 2 2 6 3 3" xfId="13227"/>
    <cellStyle name="Normal 2 2 2 2 6 3 4" xfId="13228"/>
    <cellStyle name="Normal 2 2 2 2 6 3 5" xfId="13229"/>
    <cellStyle name="Normal 2 2 2 2 6 3 6" xfId="13230"/>
    <cellStyle name="Normal 2 2 2 2 6 4" xfId="13231"/>
    <cellStyle name="Normal 2 2 2 2 6 4 2" xfId="13232"/>
    <cellStyle name="Normal 2 2 2 2 6 4 3" xfId="13233"/>
    <cellStyle name="Normal 2 2 2 2 6 4 4" xfId="13234"/>
    <cellStyle name="Normal 2 2 2 2 6 4 5" xfId="13235"/>
    <cellStyle name="Normal 2 2 2 2 6 4 6" xfId="13236"/>
    <cellStyle name="Normal 2 2 2 2 60" xfId="13237"/>
    <cellStyle name="Normal 2 2 2 2 60 2" xfId="13238"/>
    <cellStyle name="Normal 2 2 2 2 60 3" xfId="13239"/>
    <cellStyle name="Normal 2 2 2 2 60 4" xfId="13240"/>
    <cellStyle name="Normal 2 2 2 2 60 5" xfId="13241"/>
    <cellStyle name="Normal 2 2 2 2 60 6" xfId="13242"/>
    <cellStyle name="Normal 2 2 2 2 60 7" xfId="13243"/>
    <cellStyle name="Normal 2 2 2 2 60 8" xfId="13244"/>
    <cellStyle name="Normal 2 2 2 2 61" xfId="13245"/>
    <cellStyle name="Normal 2 2 2 2 61 2" xfId="13246"/>
    <cellStyle name="Normal 2 2 2 2 61 3" xfId="13247"/>
    <cellStyle name="Normal 2 2 2 2 61 4" xfId="13248"/>
    <cellStyle name="Normal 2 2 2 2 61 5" xfId="13249"/>
    <cellStyle name="Normal 2 2 2 2 61 6" xfId="13250"/>
    <cellStyle name="Normal 2 2 2 2 61 7" xfId="13251"/>
    <cellStyle name="Normal 2 2 2 2 61 8" xfId="13252"/>
    <cellStyle name="Normal 2 2 2 2 62" xfId="13253"/>
    <cellStyle name="Normal 2 2 2 2 62 2" xfId="13254"/>
    <cellStyle name="Normal 2 2 2 2 62 3" xfId="13255"/>
    <cellStyle name="Normal 2 2 2 2 62 4" xfId="13256"/>
    <cellStyle name="Normal 2 2 2 2 62 5" xfId="13257"/>
    <cellStyle name="Normal 2 2 2 2 62 6" xfId="13258"/>
    <cellStyle name="Normal 2 2 2 2 62 7" xfId="13259"/>
    <cellStyle name="Normal 2 2 2 2 62 8" xfId="13260"/>
    <cellStyle name="Normal 2 2 2 2 63" xfId="13261"/>
    <cellStyle name="Normal 2 2 2 2 63 2" xfId="13262"/>
    <cellStyle name="Normal 2 2 2 2 63 3" xfId="13263"/>
    <cellStyle name="Normal 2 2 2 2 63 4" xfId="13264"/>
    <cellStyle name="Normal 2 2 2 2 63 5" xfId="13265"/>
    <cellStyle name="Normal 2 2 2 2 63 6" xfId="13266"/>
    <cellStyle name="Normal 2 2 2 2 63 7" xfId="13267"/>
    <cellStyle name="Normal 2 2 2 2 63 8" xfId="13268"/>
    <cellStyle name="Normal 2 2 2 2 64" xfId="13269"/>
    <cellStyle name="Normal 2 2 2 2 64 2" xfId="13270"/>
    <cellStyle name="Normal 2 2 2 2 64 3" xfId="13271"/>
    <cellStyle name="Normal 2 2 2 2 64 4" xfId="13272"/>
    <cellStyle name="Normal 2 2 2 2 64 5" xfId="13273"/>
    <cellStyle name="Normal 2 2 2 2 64 6" xfId="13274"/>
    <cellStyle name="Normal 2 2 2 2 64 7" xfId="13275"/>
    <cellStyle name="Normal 2 2 2 2 64 8" xfId="13276"/>
    <cellStyle name="Normal 2 2 2 2 65" xfId="13277"/>
    <cellStyle name="Normal 2 2 2 2 65 2" xfId="13278"/>
    <cellStyle name="Normal 2 2 2 2 65 3" xfId="13279"/>
    <cellStyle name="Normal 2 2 2 2 65 4" xfId="13280"/>
    <cellStyle name="Normal 2 2 2 2 65 5" xfId="13281"/>
    <cellStyle name="Normal 2 2 2 2 65 6" xfId="13282"/>
    <cellStyle name="Normal 2 2 2 2 65 7" xfId="13283"/>
    <cellStyle name="Normal 2 2 2 2 65 8" xfId="13284"/>
    <cellStyle name="Normal 2 2 2 2 66" xfId="13285"/>
    <cellStyle name="Normal 2 2 2 2 66 2" xfId="13286"/>
    <cellStyle name="Normal 2 2 2 2 66 3" xfId="13287"/>
    <cellStyle name="Normal 2 2 2 2 66 4" xfId="13288"/>
    <cellStyle name="Normal 2 2 2 2 66 5" xfId="13289"/>
    <cellStyle name="Normal 2 2 2 2 66 6" xfId="13290"/>
    <cellStyle name="Normal 2 2 2 2 66 7" xfId="13291"/>
    <cellStyle name="Normal 2 2 2 2 66 8" xfId="13292"/>
    <cellStyle name="Normal 2 2 2 2 67" xfId="13293"/>
    <cellStyle name="Normal 2 2 2 2 67 2" xfId="13294"/>
    <cellStyle name="Normal 2 2 2 2 67 3" xfId="13295"/>
    <cellStyle name="Normal 2 2 2 2 67 4" xfId="13296"/>
    <cellStyle name="Normal 2 2 2 2 67 5" xfId="13297"/>
    <cellStyle name="Normal 2 2 2 2 67 6" xfId="13298"/>
    <cellStyle name="Normal 2 2 2 2 67 7" xfId="13299"/>
    <cellStyle name="Normal 2 2 2 2 67 8" xfId="13300"/>
    <cellStyle name="Normal 2 2 2 2 68" xfId="13301"/>
    <cellStyle name="Normal 2 2 2 2 68 2" xfId="13302"/>
    <cellStyle name="Normal 2 2 2 2 68 3" xfId="13303"/>
    <cellStyle name="Normal 2 2 2 2 68 4" xfId="13304"/>
    <cellStyle name="Normal 2 2 2 2 68 5" xfId="13305"/>
    <cellStyle name="Normal 2 2 2 2 68 6" xfId="13306"/>
    <cellStyle name="Normal 2 2 2 2 68 7" xfId="13307"/>
    <cellStyle name="Normal 2 2 2 2 68 8" xfId="13308"/>
    <cellStyle name="Normal 2 2 2 2 69" xfId="13309"/>
    <cellStyle name="Normal 2 2 2 2 69 2" xfId="13310"/>
    <cellStyle name="Normal 2 2 2 2 69 3" xfId="13311"/>
    <cellStyle name="Normal 2 2 2 2 69 4" xfId="13312"/>
    <cellStyle name="Normal 2 2 2 2 69 5" xfId="13313"/>
    <cellStyle name="Normal 2 2 2 2 69 6" xfId="13314"/>
    <cellStyle name="Normal 2 2 2 2 69 7" xfId="13315"/>
    <cellStyle name="Normal 2 2 2 2 69 8" xfId="13316"/>
    <cellStyle name="Normal 2 2 2 2 7" xfId="13317"/>
    <cellStyle name="Normal 2 2 2 2 7 2" xfId="13318"/>
    <cellStyle name="Normal 2 2 2 2 7 3" xfId="13319"/>
    <cellStyle name="Normal 2 2 2 2 7 3 2" xfId="13320"/>
    <cellStyle name="Normal 2 2 2 2 7 3 3" xfId="13321"/>
    <cellStyle name="Normal 2 2 2 2 7 3 4" xfId="13322"/>
    <cellStyle name="Normal 2 2 2 2 7 3 5" xfId="13323"/>
    <cellStyle name="Normal 2 2 2 2 7 3 6" xfId="13324"/>
    <cellStyle name="Normal 2 2 2 2 7 4" xfId="13325"/>
    <cellStyle name="Normal 2 2 2 2 7 4 2" xfId="13326"/>
    <cellStyle name="Normal 2 2 2 2 7 4 3" xfId="13327"/>
    <cellStyle name="Normal 2 2 2 2 7 4 4" xfId="13328"/>
    <cellStyle name="Normal 2 2 2 2 7 4 5" xfId="13329"/>
    <cellStyle name="Normal 2 2 2 2 7 4 6" xfId="13330"/>
    <cellStyle name="Normal 2 2 2 2 70" xfId="13331"/>
    <cellStyle name="Normal 2 2 2 2 70 2" xfId="13332"/>
    <cellStyle name="Normal 2 2 2 2 70 3" xfId="13333"/>
    <cellStyle name="Normal 2 2 2 2 70 4" xfId="13334"/>
    <cellStyle name="Normal 2 2 2 2 70 5" xfId="13335"/>
    <cellStyle name="Normal 2 2 2 2 70 6" xfId="13336"/>
    <cellStyle name="Normal 2 2 2 2 70 7" xfId="13337"/>
    <cellStyle name="Normal 2 2 2 2 70 8" xfId="13338"/>
    <cellStyle name="Normal 2 2 2 2 71" xfId="13339"/>
    <cellStyle name="Normal 2 2 2 2 71 2" xfId="13340"/>
    <cellStyle name="Normal 2 2 2 2 71 3" xfId="13341"/>
    <cellStyle name="Normal 2 2 2 2 71 4" xfId="13342"/>
    <cellStyle name="Normal 2 2 2 2 71 5" xfId="13343"/>
    <cellStyle name="Normal 2 2 2 2 71 6" xfId="13344"/>
    <cellStyle name="Normal 2 2 2 2 71 7" xfId="13345"/>
    <cellStyle name="Normal 2 2 2 2 71 8" xfId="13346"/>
    <cellStyle name="Normal 2 2 2 2 72" xfId="13347"/>
    <cellStyle name="Normal 2 2 2 2 72 2" xfId="13348"/>
    <cellStyle name="Normal 2 2 2 2 72 3" xfId="13349"/>
    <cellStyle name="Normal 2 2 2 2 72 4" xfId="13350"/>
    <cellStyle name="Normal 2 2 2 2 72 5" xfId="13351"/>
    <cellStyle name="Normal 2 2 2 2 72 6" xfId="13352"/>
    <cellStyle name="Normal 2 2 2 2 72 7" xfId="13353"/>
    <cellStyle name="Normal 2 2 2 2 72 8" xfId="13354"/>
    <cellStyle name="Normal 2 2 2 2 73" xfId="13355"/>
    <cellStyle name="Normal 2 2 2 2 73 2" xfId="13356"/>
    <cellStyle name="Normal 2 2 2 2 73 3" xfId="13357"/>
    <cellStyle name="Normal 2 2 2 2 73 4" xfId="13358"/>
    <cellStyle name="Normal 2 2 2 2 73 5" xfId="13359"/>
    <cellStyle name="Normal 2 2 2 2 73 6" xfId="13360"/>
    <cellStyle name="Normal 2 2 2 2 73 7" xfId="13361"/>
    <cellStyle name="Normal 2 2 2 2 73 8" xfId="13362"/>
    <cellStyle name="Normal 2 2 2 2 74" xfId="13363"/>
    <cellStyle name="Normal 2 2 2 2 74 2" xfId="13364"/>
    <cellStyle name="Normal 2 2 2 2 74 3" xfId="13365"/>
    <cellStyle name="Normal 2 2 2 2 74 4" xfId="13366"/>
    <cellStyle name="Normal 2 2 2 2 74 5" xfId="13367"/>
    <cellStyle name="Normal 2 2 2 2 74 6" xfId="13368"/>
    <cellStyle name="Normal 2 2 2 2 74 7" xfId="13369"/>
    <cellStyle name="Normal 2 2 2 2 74 8" xfId="13370"/>
    <cellStyle name="Normal 2 2 2 2 75" xfId="13371"/>
    <cellStyle name="Normal 2 2 2 2 75 2" xfId="13372"/>
    <cellStyle name="Normal 2 2 2 2 75 3" xfId="13373"/>
    <cellStyle name="Normal 2 2 2 2 75 4" xfId="13374"/>
    <cellStyle name="Normal 2 2 2 2 75 5" xfId="13375"/>
    <cellStyle name="Normal 2 2 2 2 75 6" xfId="13376"/>
    <cellStyle name="Normal 2 2 2 2 75 7" xfId="13377"/>
    <cellStyle name="Normal 2 2 2 2 75 8" xfId="13378"/>
    <cellStyle name="Normal 2 2 2 2 76" xfId="13379"/>
    <cellStyle name="Normal 2 2 2 2 76 2" xfId="13380"/>
    <cellStyle name="Normal 2 2 2 2 76 3" xfId="13381"/>
    <cellStyle name="Normal 2 2 2 2 76 4" xfId="13382"/>
    <cellStyle name="Normal 2 2 2 2 76 5" xfId="13383"/>
    <cellStyle name="Normal 2 2 2 2 76 6" xfId="13384"/>
    <cellStyle name="Normal 2 2 2 2 76 7" xfId="13385"/>
    <cellStyle name="Normal 2 2 2 2 76 8" xfId="13386"/>
    <cellStyle name="Normal 2 2 2 2 77" xfId="13387"/>
    <cellStyle name="Normal 2 2 2 2 77 2" xfId="13388"/>
    <cellStyle name="Normal 2 2 2 2 77 3" xfId="13389"/>
    <cellStyle name="Normal 2 2 2 2 77 4" xfId="13390"/>
    <cellStyle name="Normal 2 2 2 2 77 5" xfId="13391"/>
    <cellStyle name="Normal 2 2 2 2 77 6" xfId="13392"/>
    <cellStyle name="Normal 2 2 2 2 77 7" xfId="13393"/>
    <cellStyle name="Normal 2 2 2 2 77 8" xfId="13394"/>
    <cellStyle name="Normal 2 2 2 2 78" xfId="13395"/>
    <cellStyle name="Normal 2 2 2 2 78 2" xfId="13396"/>
    <cellStyle name="Normal 2 2 2 2 78 3" xfId="13397"/>
    <cellStyle name="Normal 2 2 2 2 78 4" xfId="13398"/>
    <cellStyle name="Normal 2 2 2 2 78 5" xfId="13399"/>
    <cellStyle name="Normal 2 2 2 2 78 6" xfId="13400"/>
    <cellStyle name="Normal 2 2 2 2 78 7" xfId="13401"/>
    <cellStyle name="Normal 2 2 2 2 78 8" xfId="13402"/>
    <cellStyle name="Normal 2 2 2 2 79" xfId="13403"/>
    <cellStyle name="Normal 2 2 2 2 79 2" xfId="13404"/>
    <cellStyle name="Normal 2 2 2 2 79 3" xfId="13405"/>
    <cellStyle name="Normal 2 2 2 2 79 4" xfId="13406"/>
    <cellStyle name="Normal 2 2 2 2 79 5" xfId="13407"/>
    <cellStyle name="Normal 2 2 2 2 79 6" xfId="13408"/>
    <cellStyle name="Normal 2 2 2 2 79 7" xfId="13409"/>
    <cellStyle name="Normal 2 2 2 2 79 8" xfId="13410"/>
    <cellStyle name="Normal 2 2 2 2 8" xfId="13411"/>
    <cellStyle name="Normal 2 2 2 2 8 2" xfId="13412"/>
    <cellStyle name="Normal 2 2 2 2 8 3" xfId="13413"/>
    <cellStyle name="Normal 2 2 2 2 8 3 2" xfId="13414"/>
    <cellStyle name="Normal 2 2 2 2 8 3 3" xfId="13415"/>
    <cellStyle name="Normal 2 2 2 2 8 3 4" xfId="13416"/>
    <cellStyle name="Normal 2 2 2 2 8 3 5" xfId="13417"/>
    <cellStyle name="Normal 2 2 2 2 8 3 6" xfId="13418"/>
    <cellStyle name="Normal 2 2 2 2 8 4" xfId="13419"/>
    <cellStyle name="Normal 2 2 2 2 8 4 2" xfId="13420"/>
    <cellStyle name="Normal 2 2 2 2 8 4 3" xfId="13421"/>
    <cellStyle name="Normal 2 2 2 2 8 4 4" xfId="13422"/>
    <cellStyle name="Normal 2 2 2 2 8 4 5" xfId="13423"/>
    <cellStyle name="Normal 2 2 2 2 8 4 6" xfId="13424"/>
    <cellStyle name="Normal 2 2 2 2 80" xfId="13425"/>
    <cellStyle name="Normal 2 2 2 2 80 2" xfId="13426"/>
    <cellStyle name="Normal 2 2 2 2 80 3" xfId="13427"/>
    <cellStyle name="Normal 2 2 2 2 80 4" xfId="13428"/>
    <cellStyle name="Normal 2 2 2 2 80 5" xfId="13429"/>
    <cellStyle name="Normal 2 2 2 2 80 6" xfId="13430"/>
    <cellStyle name="Normal 2 2 2 2 80 7" xfId="13431"/>
    <cellStyle name="Normal 2 2 2 2 80 8" xfId="13432"/>
    <cellStyle name="Normal 2 2 2 2 81" xfId="13433"/>
    <cellStyle name="Normal 2 2 2 2 81 2" xfId="13434"/>
    <cellStyle name="Normal 2 2 2 2 81 3" xfId="13435"/>
    <cellStyle name="Normal 2 2 2 2 81 4" xfId="13436"/>
    <cellStyle name="Normal 2 2 2 2 81 5" xfId="13437"/>
    <cellStyle name="Normal 2 2 2 2 81 6" xfId="13438"/>
    <cellStyle name="Normal 2 2 2 2 81 7" xfId="13439"/>
    <cellStyle name="Normal 2 2 2 2 81 8" xfId="13440"/>
    <cellStyle name="Normal 2 2 2 2 82" xfId="13441"/>
    <cellStyle name="Normal 2 2 2 2 82 2" xfId="13442"/>
    <cellStyle name="Normal 2 2 2 2 82 3" xfId="13443"/>
    <cellStyle name="Normal 2 2 2 2 82 4" xfId="13444"/>
    <cellStyle name="Normal 2 2 2 2 82 5" xfId="13445"/>
    <cellStyle name="Normal 2 2 2 2 82 6" xfId="13446"/>
    <cellStyle name="Normal 2 2 2 2 82 7" xfId="13447"/>
    <cellStyle name="Normal 2 2 2 2 82 8" xfId="13448"/>
    <cellStyle name="Normal 2 2 2 2 83" xfId="13449"/>
    <cellStyle name="Normal 2 2 2 2 83 2" xfId="13450"/>
    <cellStyle name="Normal 2 2 2 2 83 3" xfId="13451"/>
    <cellStyle name="Normal 2 2 2 2 83 4" xfId="13452"/>
    <cellStyle name="Normal 2 2 2 2 83 5" xfId="13453"/>
    <cellStyle name="Normal 2 2 2 2 83 6" xfId="13454"/>
    <cellStyle name="Normal 2 2 2 2 83 7" xfId="13455"/>
    <cellStyle name="Normal 2 2 2 2 83 8" xfId="13456"/>
    <cellStyle name="Normal 2 2 2 2 84" xfId="13457"/>
    <cellStyle name="Normal 2 2 2 2 84 2" xfId="13458"/>
    <cellStyle name="Normal 2 2 2 2 84 3" xfId="13459"/>
    <cellStyle name="Normal 2 2 2 2 84 4" xfId="13460"/>
    <cellStyle name="Normal 2 2 2 2 84 5" xfId="13461"/>
    <cellStyle name="Normal 2 2 2 2 84 6" xfId="13462"/>
    <cellStyle name="Normal 2 2 2 2 84 7" xfId="13463"/>
    <cellStyle name="Normal 2 2 2 2 84 8" xfId="13464"/>
    <cellStyle name="Normal 2 2 2 2 85" xfId="13465"/>
    <cellStyle name="Normal 2 2 2 2 85 2" xfId="13466"/>
    <cellStyle name="Normal 2 2 2 2 85 3" xfId="13467"/>
    <cellStyle name="Normal 2 2 2 2 85 4" xfId="13468"/>
    <cellStyle name="Normal 2 2 2 2 85 5" xfId="13469"/>
    <cellStyle name="Normal 2 2 2 2 85 6" xfId="13470"/>
    <cellStyle name="Normal 2 2 2 2 85 7" xfId="13471"/>
    <cellStyle name="Normal 2 2 2 2 85 8" xfId="13472"/>
    <cellStyle name="Normal 2 2 2 2 86" xfId="13473"/>
    <cellStyle name="Normal 2 2 2 2 86 2" xfId="13474"/>
    <cellStyle name="Normal 2 2 2 2 86 3" xfId="13475"/>
    <cellStyle name="Normal 2 2 2 2 86 4" xfId="13476"/>
    <cellStyle name="Normal 2 2 2 2 86 5" xfId="13477"/>
    <cellStyle name="Normal 2 2 2 2 86 6" xfId="13478"/>
    <cellStyle name="Normal 2 2 2 2 86 7" xfId="13479"/>
    <cellStyle name="Normal 2 2 2 2 86 8" xfId="13480"/>
    <cellStyle name="Normal 2 2 2 2 87" xfId="13481"/>
    <cellStyle name="Normal 2 2 2 2 87 2" xfId="13482"/>
    <cellStyle name="Normal 2 2 2 2 87 3" xfId="13483"/>
    <cellStyle name="Normal 2 2 2 2 87 4" xfId="13484"/>
    <cellStyle name="Normal 2 2 2 2 87 5" xfId="13485"/>
    <cellStyle name="Normal 2 2 2 2 87 6" xfId="13486"/>
    <cellStyle name="Normal 2 2 2 2 87 7" xfId="13487"/>
    <cellStyle name="Normal 2 2 2 2 87 8" xfId="13488"/>
    <cellStyle name="Normal 2 2 2 2 88" xfId="13489"/>
    <cellStyle name="Normal 2 2 2 2 88 2" xfId="13490"/>
    <cellStyle name="Normal 2 2 2 2 88 3" xfId="13491"/>
    <cellStyle name="Normal 2 2 2 2 88 4" xfId="13492"/>
    <cellStyle name="Normal 2 2 2 2 88 5" xfId="13493"/>
    <cellStyle name="Normal 2 2 2 2 88 6" xfId="13494"/>
    <cellStyle name="Normal 2 2 2 2 88 7" xfId="13495"/>
    <cellStyle name="Normal 2 2 2 2 88 8" xfId="13496"/>
    <cellStyle name="Normal 2 2 2 2 89" xfId="13497"/>
    <cellStyle name="Normal 2 2 2 2 89 2" xfId="13498"/>
    <cellStyle name="Normal 2 2 2 2 89 3" xfId="13499"/>
    <cellStyle name="Normal 2 2 2 2 89 4" xfId="13500"/>
    <cellStyle name="Normal 2 2 2 2 89 5" xfId="13501"/>
    <cellStyle name="Normal 2 2 2 2 89 6" xfId="13502"/>
    <cellStyle name="Normal 2 2 2 2 89 7" xfId="13503"/>
    <cellStyle name="Normal 2 2 2 2 89 8" xfId="13504"/>
    <cellStyle name="Normal 2 2 2 2 9" xfId="13505"/>
    <cellStyle name="Normal 2 2 2 2 9 2" xfId="13506"/>
    <cellStyle name="Normal 2 2 2 2 9 3" xfId="13507"/>
    <cellStyle name="Normal 2 2 2 2 9 3 2" xfId="13508"/>
    <cellStyle name="Normal 2 2 2 2 9 3 3" xfId="13509"/>
    <cellStyle name="Normal 2 2 2 2 9 3 4" xfId="13510"/>
    <cellStyle name="Normal 2 2 2 2 9 3 5" xfId="13511"/>
    <cellStyle name="Normal 2 2 2 2 9 3 6" xfId="13512"/>
    <cellStyle name="Normal 2 2 2 2 9 4" xfId="13513"/>
    <cellStyle name="Normal 2 2 2 2 9 4 2" xfId="13514"/>
    <cellStyle name="Normal 2 2 2 2 9 4 3" xfId="13515"/>
    <cellStyle name="Normal 2 2 2 2 9 4 4" xfId="13516"/>
    <cellStyle name="Normal 2 2 2 2 9 4 5" xfId="13517"/>
    <cellStyle name="Normal 2 2 2 2 9 4 6" xfId="13518"/>
    <cellStyle name="Normal 2 2 2 2 90" xfId="13519"/>
    <cellStyle name="Normal 2 2 2 2 90 2" xfId="13520"/>
    <cellStyle name="Normal 2 2 2 2 90 3" xfId="13521"/>
    <cellStyle name="Normal 2 2 2 2 90 4" xfId="13522"/>
    <cellStyle name="Normal 2 2 2 2 90 5" xfId="13523"/>
    <cellStyle name="Normal 2 2 2 2 90 6" xfId="13524"/>
    <cellStyle name="Normal 2 2 2 2 90 7" xfId="13525"/>
    <cellStyle name="Normal 2 2 2 2 90 8" xfId="13526"/>
    <cellStyle name="Normal 2 2 2 2 91" xfId="13527"/>
    <cellStyle name="Normal 2 2 2 2 91 2" xfId="13528"/>
    <cellStyle name="Normal 2 2 2 2 91 3" xfId="13529"/>
    <cellStyle name="Normal 2 2 2 2 91 4" xfId="13530"/>
    <cellStyle name="Normal 2 2 2 2 91 5" xfId="13531"/>
    <cellStyle name="Normal 2 2 2 2 91 6" xfId="13532"/>
    <cellStyle name="Normal 2 2 2 2 91 7" xfId="13533"/>
    <cellStyle name="Normal 2 2 2 2 91 8" xfId="13534"/>
    <cellStyle name="Normal 2 2 2 2 92" xfId="13535"/>
    <cellStyle name="Normal 2 2 2 2 92 2" xfId="13536"/>
    <cellStyle name="Normal 2 2 2 2 92 3" xfId="13537"/>
    <cellStyle name="Normal 2 2 2 2 92 4" xfId="13538"/>
    <cellStyle name="Normal 2 2 2 2 92 5" xfId="13539"/>
    <cellStyle name="Normal 2 2 2 2 92 6" xfId="13540"/>
    <cellStyle name="Normal 2 2 2 2 92 7" xfId="13541"/>
    <cellStyle name="Normal 2 2 2 2 92 8" xfId="13542"/>
    <cellStyle name="Normal 2 2 2 2 93" xfId="13543"/>
    <cellStyle name="Normal 2 2 2 2 93 2" xfId="13544"/>
    <cellStyle name="Normal 2 2 2 2 93 3" xfId="13545"/>
    <cellStyle name="Normal 2 2 2 2 93 4" xfId="13546"/>
    <cellStyle name="Normal 2 2 2 2 93 5" xfId="13547"/>
    <cellStyle name="Normal 2 2 2 2 93 6" xfId="13548"/>
    <cellStyle name="Normal 2 2 2 2 93 7" xfId="13549"/>
    <cellStyle name="Normal 2 2 2 2 93 8" xfId="13550"/>
    <cellStyle name="Normal 2 2 2 2 94" xfId="13551"/>
    <cellStyle name="Normal 2 2 2 2 94 2" xfId="13552"/>
    <cellStyle name="Normal 2 2 2 2 94 3" xfId="13553"/>
    <cellStyle name="Normal 2 2 2 2 94 4" xfId="13554"/>
    <cellStyle name="Normal 2 2 2 2 94 5" xfId="13555"/>
    <cellStyle name="Normal 2 2 2 2 94 6" xfId="13556"/>
    <cellStyle name="Normal 2 2 2 2 94 7" xfId="13557"/>
    <cellStyle name="Normal 2 2 2 2 94 8" xfId="13558"/>
    <cellStyle name="Normal 2 2 2 2 95" xfId="13559"/>
    <cellStyle name="Normal 2 2 2 2 95 2" xfId="13560"/>
    <cellStyle name="Normal 2 2 2 2 95 3" xfId="13561"/>
    <cellStyle name="Normal 2 2 2 2 95 4" xfId="13562"/>
    <cellStyle name="Normal 2 2 2 2 95 5" xfId="13563"/>
    <cellStyle name="Normal 2 2 2 2 95 6" xfId="13564"/>
    <cellStyle name="Normal 2 2 2 2 95 7" xfId="13565"/>
    <cellStyle name="Normal 2 2 2 2 95 8" xfId="13566"/>
    <cellStyle name="Normal 2 2 2 2 96" xfId="13567"/>
    <cellStyle name="Normal 2 2 2 2 96 2" xfId="13568"/>
    <cellStyle name="Normal 2 2 2 2 96 3" xfId="13569"/>
    <cellStyle name="Normal 2 2 2 2 96 4" xfId="13570"/>
    <cellStyle name="Normal 2 2 2 2 96 5" xfId="13571"/>
    <cellStyle name="Normal 2 2 2 2 96 6" xfId="13572"/>
    <cellStyle name="Normal 2 2 2 2 96 7" xfId="13573"/>
    <cellStyle name="Normal 2 2 2 2 96 8" xfId="13574"/>
    <cellStyle name="Normal 2 2 2 2 97" xfId="13575"/>
    <cellStyle name="Normal 2 2 2 2 97 2" xfId="13576"/>
    <cellStyle name="Normal 2 2 2 2 97 3" xfId="13577"/>
    <cellStyle name="Normal 2 2 2 2 97 4" xfId="13578"/>
    <cellStyle name="Normal 2 2 2 2 97 5" xfId="13579"/>
    <cellStyle name="Normal 2 2 2 2 97 6" xfId="13580"/>
    <cellStyle name="Normal 2 2 2 2 97 7" xfId="13581"/>
    <cellStyle name="Normal 2 2 2 2 97 8" xfId="13582"/>
    <cellStyle name="Normal 2 2 2 2 98" xfId="13583"/>
    <cellStyle name="Normal 2 2 2 2 98 2" xfId="13584"/>
    <cellStyle name="Normal 2 2 2 2 98 3" xfId="13585"/>
    <cellStyle name="Normal 2 2 2 2 98 4" xfId="13586"/>
    <cellStyle name="Normal 2 2 2 2 98 5" xfId="13587"/>
    <cellStyle name="Normal 2 2 2 2 98 6" xfId="13588"/>
    <cellStyle name="Normal 2 2 2 2 98 7" xfId="13589"/>
    <cellStyle name="Normal 2 2 2 2 98 8" xfId="13590"/>
    <cellStyle name="Normal 2 2 2 2 99" xfId="13591"/>
    <cellStyle name="Normal 2 2 2 2 99 2" xfId="13592"/>
    <cellStyle name="Normal 2 2 2 2 99 3" xfId="13593"/>
    <cellStyle name="Normal 2 2 2 2 99 4" xfId="13594"/>
    <cellStyle name="Normal 2 2 2 2 99 5" xfId="13595"/>
    <cellStyle name="Normal 2 2 2 2 99 6" xfId="13596"/>
    <cellStyle name="Normal 2 2 2 2 99 7" xfId="13597"/>
    <cellStyle name="Normal 2 2 2 2 99 8" xfId="13598"/>
    <cellStyle name="Normal 2 2 2 20" xfId="13599"/>
    <cellStyle name="Normal 2 2 2 20 2" xfId="13600"/>
    <cellStyle name="Normal 2 2 2 20 2 2" xfId="13601"/>
    <cellStyle name="Normal 2 2 2 20 2 3" xfId="13602"/>
    <cellStyle name="Normal 2 2 2 20 2 4" xfId="13603"/>
    <cellStyle name="Normal 2 2 2 20 2 5" xfId="13604"/>
    <cellStyle name="Normal 2 2 2 20 2 6" xfId="13605"/>
    <cellStyle name="Normal 2 2 2 20 3" xfId="13606"/>
    <cellStyle name="Normal 2 2 2 20 4" xfId="13607"/>
    <cellStyle name="Normal 2 2 2 21" xfId="13608"/>
    <cellStyle name="Normal 2 2 2 21 2" xfId="13609"/>
    <cellStyle name="Normal 2 2 2 21 3" xfId="13610"/>
    <cellStyle name="Normal 2 2 2 21 4" xfId="13611"/>
    <cellStyle name="Normal 2 2 2 21 5" xfId="13612"/>
    <cellStyle name="Normal 2 2 2 21 6" xfId="13613"/>
    <cellStyle name="Normal 2 2 2 21 7" xfId="13614"/>
    <cellStyle name="Normal 2 2 2 21 8" xfId="13615"/>
    <cellStyle name="Normal 2 2 2 22" xfId="13616"/>
    <cellStyle name="Normal 2 2 2 22 2" xfId="13617"/>
    <cellStyle name="Normal 2 2 2 22 3" xfId="13618"/>
    <cellStyle name="Normal 2 2 2 22 4" xfId="13619"/>
    <cellStyle name="Normal 2 2 2 22 5" xfId="13620"/>
    <cellStyle name="Normal 2 2 2 22 6" xfId="13621"/>
    <cellStyle name="Normal 2 2 2 22 7" xfId="13622"/>
    <cellStyle name="Normal 2 2 2 22 8" xfId="13623"/>
    <cellStyle name="Normal 2 2 2 23" xfId="13624"/>
    <cellStyle name="Normal 2 2 2 23 2" xfId="13625"/>
    <cellStyle name="Normal 2 2 2 23 3" xfId="13626"/>
    <cellStyle name="Normal 2 2 2 23 4" xfId="13627"/>
    <cellStyle name="Normal 2 2 2 23 5" xfId="13628"/>
    <cellStyle name="Normal 2 2 2 23 6" xfId="13629"/>
    <cellStyle name="Normal 2 2 2 23 7" xfId="13630"/>
    <cellStyle name="Normal 2 2 2 23 8" xfId="13631"/>
    <cellStyle name="Normal 2 2 2 24" xfId="13632"/>
    <cellStyle name="Normal 2 2 2 24 2" xfId="13633"/>
    <cellStyle name="Normal 2 2 2 24 3" xfId="13634"/>
    <cellStyle name="Normal 2 2 2 24 4" xfId="13635"/>
    <cellStyle name="Normal 2 2 2 24 5" xfId="13636"/>
    <cellStyle name="Normal 2 2 2 24 6" xfId="13637"/>
    <cellStyle name="Normal 2 2 2 24 7" xfId="13638"/>
    <cellStyle name="Normal 2 2 2 24 8" xfId="13639"/>
    <cellStyle name="Normal 2 2 2 25" xfId="13640"/>
    <cellStyle name="Normal 2 2 2 25 2" xfId="13641"/>
    <cellStyle name="Normal 2 2 2 25 3" xfId="13642"/>
    <cellStyle name="Normal 2 2 2 25 4" xfId="13643"/>
    <cellStyle name="Normal 2 2 2 25 5" xfId="13644"/>
    <cellStyle name="Normal 2 2 2 25 6" xfId="13645"/>
    <cellStyle name="Normal 2 2 2 25 7" xfId="13646"/>
    <cellStyle name="Normal 2 2 2 25 8" xfId="13647"/>
    <cellStyle name="Normal 2 2 2 26" xfId="13648"/>
    <cellStyle name="Normal 2 2 2 26 2" xfId="13649"/>
    <cellStyle name="Normal 2 2 2 26 3" xfId="13650"/>
    <cellStyle name="Normal 2 2 2 26 4" xfId="13651"/>
    <cellStyle name="Normal 2 2 2 26 5" xfId="13652"/>
    <cellStyle name="Normal 2 2 2 26 6" xfId="13653"/>
    <cellStyle name="Normal 2 2 2 26 7" xfId="13654"/>
    <cellStyle name="Normal 2 2 2 26 8" xfId="13655"/>
    <cellStyle name="Normal 2 2 2 27" xfId="13656"/>
    <cellStyle name="Normal 2 2 2 27 2" xfId="13657"/>
    <cellStyle name="Normal 2 2 2 27 3" xfId="13658"/>
    <cellStyle name="Normal 2 2 2 27 4" xfId="13659"/>
    <cellStyle name="Normal 2 2 2 27 5" xfId="13660"/>
    <cellStyle name="Normal 2 2 2 27 6" xfId="13661"/>
    <cellStyle name="Normal 2 2 2 27 7" xfId="13662"/>
    <cellStyle name="Normal 2 2 2 27 8" xfId="13663"/>
    <cellStyle name="Normal 2 2 2 28" xfId="13664"/>
    <cellStyle name="Normal 2 2 2 28 2" xfId="13665"/>
    <cellStyle name="Normal 2 2 2 28 3" xfId="13666"/>
    <cellStyle name="Normal 2 2 2 28 4" xfId="13667"/>
    <cellStyle name="Normal 2 2 2 28 5" xfId="13668"/>
    <cellStyle name="Normal 2 2 2 28 6" xfId="13669"/>
    <cellStyle name="Normal 2 2 2 28 7" xfId="13670"/>
    <cellStyle name="Normal 2 2 2 28 8" xfId="13671"/>
    <cellStyle name="Normal 2 2 2 29" xfId="13672"/>
    <cellStyle name="Normal 2 2 2 29 2" xfId="13673"/>
    <cellStyle name="Normal 2 2 2 29 3" xfId="13674"/>
    <cellStyle name="Normal 2 2 2 29 4" xfId="13675"/>
    <cellStyle name="Normal 2 2 2 29 5" xfId="13676"/>
    <cellStyle name="Normal 2 2 2 29 6" xfId="13677"/>
    <cellStyle name="Normal 2 2 2 29 7" xfId="13678"/>
    <cellStyle name="Normal 2 2 2 29 8" xfId="13679"/>
    <cellStyle name="Normal 2 2 2 3" xfId="13680"/>
    <cellStyle name="Normal 2 2 2 3 2" xfId="13681"/>
    <cellStyle name="Normal 2 2 2 3 3" xfId="13682"/>
    <cellStyle name="Normal 2 2 2 3 3 2" xfId="13683"/>
    <cellStyle name="Normal 2 2 2 3 3 3" xfId="13684"/>
    <cellStyle name="Normal 2 2 2 3 3 4" xfId="13685"/>
    <cellStyle name="Normal 2 2 2 3 3 5" xfId="13686"/>
    <cellStyle name="Normal 2 2 2 3 3 6" xfId="13687"/>
    <cellStyle name="Normal 2 2 2 3 4" xfId="13688"/>
    <cellStyle name="Normal 2 2 2 3 4 2" xfId="13689"/>
    <cellStyle name="Normal 2 2 2 3 4 3" xfId="13690"/>
    <cellStyle name="Normal 2 2 2 3 4 4" xfId="13691"/>
    <cellStyle name="Normal 2 2 2 3 4 5" xfId="13692"/>
    <cellStyle name="Normal 2 2 2 3 4 6" xfId="13693"/>
    <cellStyle name="Normal 2 2 2 30" xfId="13694"/>
    <cellStyle name="Normal 2 2 2 30 2" xfId="13695"/>
    <cellStyle name="Normal 2 2 2 30 3" xfId="13696"/>
    <cellStyle name="Normal 2 2 2 30 4" xfId="13697"/>
    <cellStyle name="Normal 2 2 2 30 5" xfId="13698"/>
    <cellStyle name="Normal 2 2 2 30 6" xfId="13699"/>
    <cellStyle name="Normal 2 2 2 30 7" xfId="13700"/>
    <cellStyle name="Normal 2 2 2 30 8" xfId="13701"/>
    <cellStyle name="Normal 2 2 2 31" xfId="13702"/>
    <cellStyle name="Normal 2 2 2 31 2" xfId="13703"/>
    <cellStyle name="Normal 2 2 2 31 3" xfId="13704"/>
    <cellStyle name="Normal 2 2 2 31 4" xfId="13705"/>
    <cellStyle name="Normal 2 2 2 31 5" xfId="13706"/>
    <cellStyle name="Normal 2 2 2 31 6" xfId="13707"/>
    <cellStyle name="Normal 2 2 2 31 7" xfId="13708"/>
    <cellStyle name="Normal 2 2 2 31 8" xfId="13709"/>
    <cellStyle name="Normal 2 2 2 32" xfId="13710"/>
    <cellStyle name="Normal 2 2 2 32 2" xfId="13711"/>
    <cellStyle name="Normal 2 2 2 32 3" xfId="13712"/>
    <cellStyle name="Normal 2 2 2 32 4" xfId="13713"/>
    <cellStyle name="Normal 2 2 2 32 5" xfId="13714"/>
    <cellStyle name="Normal 2 2 2 32 6" xfId="13715"/>
    <cellStyle name="Normal 2 2 2 32 7" xfId="13716"/>
    <cellStyle name="Normal 2 2 2 32 8" xfId="13717"/>
    <cellStyle name="Normal 2 2 2 33" xfId="13718"/>
    <cellStyle name="Normal 2 2 2 33 2" xfId="13719"/>
    <cellStyle name="Normal 2 2 2 33 3" xfId="13720"/>
    <cellStyle name="Normal 2 2 2 33 4" xfId="13721"/>
    <cellStyle name="Normal 2 2 2 33 5" xfId="13722"/>
    <cellStyle name="Normal 2 2 2 33 6" xfId="13723"/>
    <cellStyle name="Normal 2 2 2 33 7" xfId="13724"/>
    <cellStyle name="Normal 2 2 2 33 8" xfId="13725"/>
    <cellStyle name="Normal 2 2 2 34" xfId="13726"/>
    <cellStyle name="Normal 2 2 2 34 2" xfId="13727"/>
    <cellStyle name="Normal 2 2 2 34 3" xfId="13728"/>
    <cellStyle name="Normal 2 2 2 34 4" xfId="13729"/>
    <cellStyle name="Normal 2 2 2 34 5" xfId="13730"/>
    <cellStyle name="Normal 2 2 2 34 6" xfId="13731"/>
    <cellStyle name="Normal 2 2 2 34 7" xfId="13732"/>
    <cellStyle name="Normal 2 2 2 34 8" xfId="13733"/>
    <cellStyle name="Normal 2 2 2 35" xfId="13734"/>
    <cellStyle name="Normal 2 2 2 35 2" xfId="13735"/>
    <cellStyle name="Normal 2 2 2 35 3" xfId="13736"/>
    <cellStyle name="Normal 2 2 2 35 4" xfId="13737"/>
    <cellStyle name="Normal 2 2 2 35 5" xfId="13738"/>
    <cellStyle name="Normal 2 2 2 35 6" xfId="13739"/>
    <cellStyle name="Normal 2 2 2 35 7" xfId="13740"/>
    <cellStyle name="Normal 2 2 2 35 8" xfId="13741"/>
    <cellStyle name="Normal 2 2 2 36" xfId="13742"/>
    <cellStyle name="Normal 2 2 2 36 2" xfId="13743"/>
    <cellStyle name="Normal 2 2 2 36 3" xfId="13744"/>
    <cellStyle name="Normal 2 2 2 36 4" xfId="13745"/>
    <cellStyle name="Normal 2 2 2 36 5" xfId="13746"/>
    <cellStyle name="Normal 2 2 2 36 6" xfId="13747"/>
    <cellStyle name="Normal 2 2 2 36 7" xfId="13748"/>
    <cellStyle name="Normal 2 2 2 36 8" xfId="13749"/>
    <cellStyle name="Normal 2 2 2 37" xfId="13750"/>
    <cellStyle name="Normal 2 2 2 37 2" xfId="13751"/>
    <cellStyle name="Normal 2 2 2 37 3" xfId="13752"/>
    <cellStyle name="Normal 2 2 2 37 4" xfId="13753"/>
    <cellStyle name="Normal 2 2 2 37 5" xfId="13754"/>
    <cellStyle name="Normal 2 2 2 37 6" xfId="13755"/>
    <cellStyle name="Normal 2 2 2 37 7" xfId="13756"/>
    <cellStyle name="Normal 2 2 2 37 8" xfId="13757"/>
    <cellStyle name="Normal 2 2 2 38" xfId="13758"/>
    <cellStyle name="Normal 2 2 2 38 2" xfId="13759"/>
    <cellStyle name="Normal 2 2 2 38 3" xfId="13760"/>
    <cellStyle name="Normal 2 2 2 38 4" xfId="13761"/>
    <cellStyle name="Normal 2 2 2 38 5" xfId="13762"/>
    <cellStyle name="Normal 2 2 2 38 6" xfId="13763"/>
    <cellStyle name="Normal 2 2 2 38 7" xfId="13764"/>
    <cellStyle name="Normal 2 2 2 38 8" xfId="13765"/>
    <cellStyle name="Normal 2 2 2 39" xfId="13766"/>
    <cellStyle name="Normal 2 2 2 39 2" xfId="13767"/>
    <cellStyle name="Normal 2 2 2 39 3" xfId="13768"/>
    <cellStyle name="Normal 2 2 2 39 4" xfId="13769"/>
    <cellStyle name="Normal 2 2 2 39 5" xfId="13770"/>
    <cellStyle name="Normal 2 2 2 39 6" xfId="13771"/>
    <cellStyle name="Normal 2 2 2 39 7" xfId="13772"/>
    <cellStyle name="Normal 2 2 2 39 8" xfId="13773"/>
    <cellStyle name="Normal 2 2 2 4" xfId="13774"/>
    <cellStyle name="Normal 2 2 2 4 2" xfId="13775"/>
    <cellStyle name="Normal 2 2 2 4 3" xfId="13776"/>
    <cellStyle name="Normal 2 2 2 4 3 2" xfId="13777"/>
    <cellStyle name="Normal 2 2 2 4 3 3" xfId="13778"/>
    <cellStyle name="Normal 2 2 2 4 3 4" xfId="13779"/>
    <cellStyle name="Normal 2 2 2 4 3 5" xfId="13780"/>
    <cellStyle name="Normal 2 2 2 4 3 6" xfId="13781"/>
    <cellStyle name="Normal 2 2 2 4 4" xfId="13782"/>
    <cellStyle name="Normal 2 2 2 4 4 2" xfId="13783"/>
    <cellStyle name="Normal 2 2 2 4 4 3" xfId="13784"/>
    <cellStyle name="Normal 2 2 2 4 4 4" xfId="13785"/>
    <cellStyle name="Normal 2 2 2 4 4 5" xfId="13786"/>
    <cellStyle name="Normal 2 2 2 4 4 6" xfId="13787"/>
    <cellStyle name="Normal 2 2 2 40" xfId="13788"/>
    <cellStyle name="Normal 2 2 2 40 2" xfId="13789"/>
    <cellStyle name="Normal 2 2 2 40 3" xfId="13790"/>
    <cellStyle name="Normal 2 2 2 40 4" xfId="13791"/>
    <cellStyle name="Normal 2 2 2 40 5" xfId="13792"/>
    <cellStyle name="Normal 2 2 2 40 6" xfId="13793"/>
    <cellStyle name="Normal 2 2 2 40 7" xfId="13794"/>
    <cellStyle name="Normal 2 2 2 40 8" xfId="13795"/>
    <cellStyle name="Normal 2 2 2 41" xfId="13796"/>
    <cellStyle name="Normal 2 2 2 41 2" xfId="13797"/>
    <cellStyle name="Normal 2 2 2 41 3" xfId="13798"/>
    <cellStyle name="Normal 2 2 2 41 4" xfId="13799"/>
    <cellStyle name="Normal 2 2 2 41 5" xfId="13800"/>
    <cellStyle name="Normal 2 2 2 41 6" xfId="13801"/>
    <cellStyle name="Normal 2 2 2 41 7" xfId="13802"/>
    <cellStyle name="Normal 2 2 2 41 8" xfId="13803"/>
    <cellStyle name="Normal 2 2 2 42" xfId="13804"/>
    <cellStyle name="Normal 2 2 2 42 2" xfId="13805"/>
    <cellStyle name="Normal 2 2 2 42 3" xfId="13806"/>
    <cellStyle name="Normal 2 2 2 42 4" xfId="13807"/>
    <cellStyle name="Normal 2 2 2 42 5" xfId="13808"/>
    <cellStyle name="Normal 2 2 2 42 6" xfId="13809"/>
    <cellStyle name="Normal 2 2 2 42 7" xfId="13810"/>
    <cellStyle name="Normal 2 2 2 42 8" xfId="13811"/>
    <cellStyle name="Normal 2 2 2 43" xfId="13812"/>
    <cellStyle name="Normal 2 2 2 43 2" xfId="13813"/>
    <cellStyle name="Normal 2 2 2 43 3" xfId="13814"/>
    <cellStyle name="Normal 2 2 2 43 4" xfId="13815"/>
    <cellStyle name="Normal 2 2 2 43 5" xfId="13816"/>
    <cellStyle name="Normal 2 2 2 43 6" xfId="13817"/>
    <cellStyle name="Normal 2 2 2 43 7" xfId="13818"/>
    <cellStyle name="Normal 2 2 2 43 8" xfId="13819"/>
    <cellStyle name="Normal 2 2 2 44" xfId="13820"/>
    <cellStyle name="Normal 2 2 2 44 2" xfId="13821"/>
    <cellStyle name="Normal 2 2 2 44 3" xfId="13822"/>
    <cellStyle name="Normal 2 2 2 44 4" xfId="13823"/>
    <cellStyle name="Normal 2 2 2 44 5" xfId="13824"/>
    <cellStyle name="Normal 2 2 2 44 6" xfId="13825"/>
    <cellStyle name="Normal 2 2 2 44 7" xfId="13826"/>
    <cellStyle name="Normal 2 2 2 44 8" xfId="13827"/>
    <cellStyle name="Normal 2 2 2 45" xfId="13828"/>
    <cellStyle name="Normal 2 2 2 45 2" xfId="13829"/>
    <cellStyle name="Normal 2 2 2 45 3" xfId="13830"/>
    <cellStyle name="Normal 2 2 2 45 4" xfId="13831"/>
    <cellStyle name="Normal 2 2 2 45 5" xfId="13832"/>
    <cellStyle name="Normal 2 2 2 45 6" xfId="13833"/>
    <cellStyle name="Normal 2 2 2 45 7" xfId="13834"/>
    <cellStyle name="Normal 2 2 2 45 8" xfId="13835"/>
    <cellStyle name="Normal 2 2 2 46" xfId="13836"/>
    <cellStyle name="Normal 2 2 2 46 2" xfId="13837"/>
    <cellStyle name="Normal 2 2 2 46 3" xfId="13838"/>
    <cellStyle name="Normal 2 2 2 46 4" xfId="13839"/>
    <cellStyle name="Normal 2 2 2 46 5" xfId="13840"/>
    <cellStyle name="Normal 2 2 2 46 6" xfId="13841"/>
    <cellStyle name="Normal 2 2 2 46 7" xfId="13842"/>
    <cellStyle name="Normal 2 2 2 46 8" xfId="13843"/>
    <cellStyle name="Normal 2 2 2 47" xfId="13844"/>
    <cellStyle name="Normal 2 2 2 47 2" xfId="13845"/>
    <cellStyle name="Normal 2 2 2 47 3" xfId="13846"/>
    <cellStyle name="Normal 2 2 2 47 4" xfId="13847"/>
    <cellStyle name="Normal 2 2 2 47 5" xfId="13848"/>
    <cellStyle name="Normal 2 2 2 47 6" xfId="13849"/>
    <cellStyle name="Normal 2 2 2 47 7" xfId="13850"/>
    <cellStyle name="Normal 2 2 2 47 8" xfId="13851"/>
    <cellStyle name="Normal 2 2 2 48" xfId="13852"/>
    <cellStyle name="Normal 2 2 2 48 2" xfId="13853"/>
    <cellStyle name="Normal 2 2 2 48 3" xfId="13854"/>
    <cellStyle name="Normal 2 2 2 48 4" xfId="13855"/>
    <cellStyle name="Normal 2 2 2 48 5" xfId="13856"/>
    <cellStyle name="Normal 2 2 2 48 6" xfId="13857"/>
    <cellStyle name="Normal 2 2 2 48 7" xfId="13858"/>
    <cellStyle name="Normal 2 2 2 48 8" xfId="13859"/>
    <cellStyle name="Normal 2 2 2 49" xfId="13860"/>
    <cellStyle name="Normal 2 2 2 49 2" xfId="13861"/>
    <cellStyle name="Normal 2 2 2 49 3" xfId="13862"/>
    <cellStyle name="Normal 2 2 2 49 4" xfId="13863"/>
    <cellStyle name="Normal 2 2 2 49 5" xfId="13864"/>
    <cellStyle name="Normal 2 2 2 49 6" xfId="13865"/>
    <cellStyle name="Normal 2 2 2 49 7" xfId="13866"/>
    <cellStyle name="Normal 2 2 2 49 8" xfId="13867"/>
    <cellStyle name="Normal 2 2 2 5" xfId="13868"/>
    <cellStyle name="Normal 2 2 2 5 2" xfId="13869"/>
    <cellStyle name="Normal 2 2 2 5 3" xfId="13870"/>
    <cellStyle name="Normal 2 2 2 5 3 2" xfId="13871"/>
    <cellStyle name="Normal 2 2 2 5 3 3" xfId="13872"/>
    <cellStyle name="Normal 2 2 2 5 3 4" xfId="13873"/>
    <cellStyle name="Normal 2 2 2 5 3 5" xfId="13874"/>
    <cellStyle name="Normal 2 2 2 5 3 6" xfId="13875"/>
    <cellStyle name="Normal 2 2 2 5 4" xfId="13876"/>
    <cellStyle name="Normal 2 2 2 5 4 2" xfId="13877"/>
    <cellStyle name="Normal 2 2 2 5 4 3" xfId="13878"/>
    <cellStyle name="Normal 2 2 2 5 4 4" xfId="13879"/>
    <cellStyle name="Normal 2 2 2 5 4 5" xfId="13880"/>
    <cellStyle name="Normal 2 2 2 5 4 6" xfId="13881"/>
    <cellStyle name="Normal 2 2 2 50" xfId="13882"/>
    <cellStyle name="Normal 2 2 2 50 2" xfId="13883"/>
    <cellStyle name="Normal 2 2 2 50 3" xfId="13884"/>
    <cellStyle name="Normal 2 2 2 50 4" xfId="13885"/>
    <cellStyle name="Normal 2 2 2 50 5" xfId="13886"/>
    <cellStyle name="Normal 2 2 2 50 6" xfId="13887"/>
    <cellStyle name="Normal 2 2 2 50 7" xfId="13888"/>
    <cellStyle name="Normal 2 2 2 50 8" xfId="13889"/>
    <cellStyle name="Normal 2 2 2 51" xfId="13890"/>
    <cellStyle name="Normal 2 2 2 51 2" xfId="13891"/>
    <cellStyle name="Normal 2 2 2 51 3" xfId="13892"/>
    <cellStyle name="Normal 2 2 2 51 4" xfId="13893"/>
    <cellStyle name="Normal 2 2 2 51 5" xfId="13894"/>
    <cellStyle name="Normal 2 2 2 51 6" xfId="13895"/>
    <cellStyle name="Normal 2 2 2 51 7" xfId="13896"/>
    <cellStyle name="Normal 2 2 2 51 8" xfId="13897"/>
    <cellStyle name="Normal 2 2 2 52" xfId="13898"/>
    <cellStyle name="Normal 2 2 2 52 2" xfId="13899"/>
    <cellStyle name="Normal 2 2 2 52 3" xfId="13900"/>
    <cellStyle name="Normal 2 2 2 52 4" xfId="13901"/>
    <cellStyle name="Normal 2 2 2 52 5" xfId="13902"/>
    <cellStyle name="Normal 2 2 2 52 6" xfId="13903"/>
    <cellStyle name="Normal 2 2 2 52 7" xfId="13904"/>
    <cellStyle name="Normal 2 2 2 52 8" xfId="13905"/>
    <cellStyle name="Normal 2 2 2 53" xfId="13906"/>
    <cellStyle name="Normal 2 2 2 53 2" xfId="13907"/>
    <cellStyle name="Normal 2 2 2 53 3" xfId="13908"/>
    <cellStyle name="Normal 2 2 2 53 4" xfId="13909"/>
    <cellStyle name="Normal 2 2 2 53 5" xfId="13910"/>
    <cellStyle name="Normal 2 2 2 53 6" xfId="13911"/>
    <cellStyle name="Normal 2 2 2 53 7" xfId="13912"/>
    <cellStyle name="Normal 2 2 2 53 8" xfId="13913"/>
    <cellStyle name="Normal 2 2 2 54" xfId="13914"/>
    <cellStyle name="Normal 2 2 2 54 2" xfId="13915"/>
    <cellStyle name="Normal 2 2 2 54 3" xfId="13916"/>
    <cellStyle name="Normal 2 2 2 54 4" xfId="13917"/>
    <cellStyle name="Normal 2 2 2 54 5" xfId="13918"/>
    <cellStyle name="Normal 2 2 2 54 6" xfId="13919"/>
    <cellStyle name="Normal 2 2 2 54 7" xfId="13920"/>
    <cellStyle name="Normal 2 2 2 54 8" xfId="13921"/>
    <cellStyle name="Normal 2 2 2 55" xfId="13922"/>
    <cellStyle name="Normal 2 2 2 55 2" xfId="13923"/>
    <cellStyle name="Normal 2 2 2 55 3" xfId="13924"/>
    <cellStyle name="Normal 2 2 2 55 4" xfId="13925"/>
    <cellStyle name="Normal 2 2 2 55 5" xfId="13926"/>
    <cellStyle name="Normal 2 2 2 55 6" xfId="13927"/>
    <cellStyle name="Normal 2 2 2 55 7" xfId="13928"/>
    <cellStyle name="Normal 2 2 2 55 8" xfId="13929"/>
    <cellStyle name="Normal 2 2 2 56" xfId="13930"/>
    <cellStyle name="Normal 2 2 2 56 2" xfId="13931"/>
    <cellStyle name="Normal 2 2 2 56 3" xfId="13932"/>
    <cellStyle name="Normal 2 2 2 56 4" xfId="13933"/>
    <cellStyle name="Normal 2 2 2 56 5" xfId="13934"/>
    <cellStyle name="Normal 2 2 2 56 6" xfId="13935"/>
    <cellStyle name="Normal 2 2 2 56 7" xfId="13936"/>
    <cellStyle name="Normal 2 2 2 56 8" xfId="13937"/>
    <cellStyle name="Normal 2 2 2 57" xfId="13938"/>
    <cellStyle name="Normal 2 2 2 57 2" xfId="13939"/>
    <cellStyle name="Normal 2 2 2 57 3" xfId="13940"/>
    <cellStyle name="Normal 2 2 2 57 4" xfId="13941"/>
    <cellStyle name="Normal 2 2 2 57 5" xfId="13942"/>
    <cellStyle name="Normal 2 2 2 57 6" xfId="13943"/>
    <cellStyle name="Normal 2 2 2 57 7" xfId="13944"/>
    <cellStyle name="Normal 2 2 2 57 8" xfId="13945"/>
    <cellStyle name="Normal 2 2 2 58" xfId="13946"/>
    <cellStyle name="Normal 2 2 2 58 2" xfId="13947"/>
    <cellStyle name="Normal 2 2 2 58 3" xfId="13948"/>
    <cellStyle name="Normal 2 2 2 58 4" xfId="13949"/>
    <cellStyle name="Normal 2 2 2 58 5" xfId="13950"/>
    <cellStyle name="Normal 2 2 2 58 6" xfId="13951"/>
    <cellStyle name="Normal 2 2 2 58 7" xfId="13952"/>
    <cellStyle name="Normal 2 2 2 58 8" xfId="13953"/>
    <cellStyle name="Normal 2 2 2 59" xfId="13954"/>
    <cellStyle name="Normal 2 2 2 59 2" xfId="13955"/>
    <cellStyle name="Normal 2 2 2 59 3" xfId="13956"/>
    <cellStyle name="Normal 2 2 2 59 4" xfId="13957"/>
    <cellStyle name="Normal 2 2 2 59 5" xfId="13958"/>
    <cellStyle name="Normal 2 2 2 59 6" xfId="13959"/>
    <cellStyle name="Normal 2 2 2 59 7" xfId="13960"/>
    <cellStyle name="Normal 2 2 2 59 8" xfId="13961"/>
    <cellStyle name="Normal 2 2 2 6" xfId="13962"/>
    <cellStyle name="Normal 2 2 2 6 2" xfId="13963"/>
    <cellStyle name="Normal 2 2 2 6 3" xfId="13964"/>
    <cellStyle name="Normal 2 2 2 6 3 2" xfId="13965"/>
    <cellStyle name="Normal 2 2 2 6 3 3" xfId="13966"/>
    <cellStyle name="Normal 2 2 2 6 3 4" xfId="13967"/>
    <cellStyle name="Normal 2 2 2 6 3 5" xfId="13968"/>
    <cellStyle name="Normal 2 2 2 6 3 6" xfId="13969"/>
    <cellStyle name="Normal 2 2 2 6 4" xfId="13970"/>
    <cellStyle name="Normal 2 2 2 6 4 2" xfId="13971"/>
    <cellStyle name="Normal 2 2 2 6 4 3" xfId="13972"/>
    <cellStyle name="Normal 2 2 2 6 4 4" xfId="13973"/>
    <cellStyle name="Normal 2 2 2 6 4 5" xfId="13974"/>
    <cellStyle name="Normal 2 2 2 6 4 6" xfId="13975"/>
    <cellStyle name="Normal 2 2 2 60" xfId="13976"/>
    <cellStyle name="Normal 2 2 2 60 2" xfId="13977"/>
    <cellStyle name="Normal 2 2 2 60 3" xfId="13978"/>
    <cellStyle name="Normal 2 2 2 60 4" xfId="13979"/>
    <cellStyle name="Normal 2 2 2 60 5" xfId="13980"/>
    <cellStyle name="Normal 2 2 2 60 6" xfId="13981"/>
    <cellStyle name="Normal 2 2 2 60 7" xfId="13982"/>
    <cellStyle name="Normal 2 2 2 60 8" xfId="13983"/>
    <cellStyle name="Normal 2 2 2 61" xfId="13984"/>
    <cellStyle name="Normal 2 2 2 61 2" xfId="13985"/>
    <cellStyle name="Normal 2 2 2 61 3" xfId="13986"/>
    <cellStyle name="Normal 2 2 2 61 4" xfId="13987"/>
    <cellStyle name="Normal 2 2 2 61 5" xfId="13988"/>
    <cellStyle name="Normal 2 2 2 61 6" xfId="13989"/>
    <cellStyle name="Normal 2 2 2 61 7" xfId="13990"/>
    <cellStyle name="Normal 2 2 2 61 8" xfId="13991"/>
    <cellStyle name="Normal 2 2 2 62" xfId="13992"/>
    <cellStyle name="Normal 2 2 2 62 2" xfId="13993"/>
    <cellStyle name="Normal 2 2 2 62 3" xfId="13994"/>
    <cellStyle name="Normal 2 2 2 62 4" xfId="13995"/>
    <cellStyle name="Normal 2 2 2 62 5" xfId="13996"/>
    <cellStyle name="Normal 2 2 2 62 6" xfId="13997"/>
    <cellStyle name="Normal 2 2 2 62 7" xfId="13998"/>
    <cellStyle name="Normal 2 2 2 62 8" xfId="13999"/>
    <cellStyle name="Normal 2 2 2 63" xfId="14000"/>
    <cellStyle name="Normal 2 2 2 63 2" xfId="14001"/>
    <cellStyle name="Normal 2 2 2 63 3" xfId="14002"/>
    <cellStyle name="Normal 2 2 2 63 4" xfId="14003"/>
    <cellStyle name="Normal 2 2 2 63 5" xfId="14004"/>
    <cellStyle name="Normal 2 2 2 63 6" xfId="14005"/>
    <cellStyle name="Normal 2 2 2 63 7" xfId="14006"/>
    <cellStyle name="Normal 2 2 2 63 8" xfId="14007"/>
    <cellStyle name="Normal 2 2 2 64" xfId="14008"/>
    <cellStyle name="Normal 2 2 2 64 2" xfId="14009"/>
    <cellStyle name="Normal 2 2 2 64 3" xfId="14010"/>
    <cellStyle name="Normal 2 2 2 64 4" xfId="14011"/>
    <cellStyle name="Normal 2 2 2 64 5" xfId="14012"/>
    <cellStyle name="Normal 2 2 2 64 6" xfId="14013"/>
    <cellStyle name="Normal 2 2 2 64 7" xfId="14014"/>
    <cellStyle name="Normal 2 2 2 64 8" xfId="14015"/>
    <cellStyle name="Normal 2 2 2 65" xfId="14016"/>
    <cellStyle name="Normal 2 2 2 65 2" xfId="14017"/>
    <cellStyle name="Normal 2 2 2 65 3" xfId="14018"/>
    <cellStyle name="Normal 2 2 2 65 4" xfId="14019"/>
    <cellStyle name="Normal 2 2 2 65 5" xfId="14020"/>
    <cellStyle name="Normal 2 2 2 65 6" xfId="14021"/>
    <cellStyle name="Normal 2 2 2 65 7" xfId="14022"/>
    <cellStyle name="Normal 2 2 2 65 8" xfId="14023"/>
    <cellStyle name="Normal 2 2 2 66" xfId="14024"/>
    <cellStyle name="Normal 2 2 2 66 2" xfId="14025"/>
    <cellStyle name="Normal 2 2 2 66 3" xfId="14026"/>
    <cellStyle name="Normal 2 2 2 66 4" xfId="14027"/>
    <cellStyle name="Normal 2 2 2 66 5" xfId="14028"/>
    <cellStyle name="Normal 2 2 2 66 6" xfId="14029"/>
    <cellStyle name="Normal 2 2 2 66 7" xfId="14030"/>
    <cellStyle name="Normal 2 2 2 66 8" xfId="14031"/>
    <cellStyle name="Normal 2 2 2 67" xfId="14032"/>
    <cellStyle name="Normal 2 2 2 67 2" xfId="14033"/>
    <cellStyle name="Normal 2 2 2 67 3" xfId="14034"/>
    <cellStyle name="Normal 2 2 2 67 4" xfId="14035"/>
    <cellStyle name="Normal 2 2 2 67 5" xfId="14036"/>
    <cellStyle name="Normal 2 2 2 67 6" xfId="14037"/>
    <cellStyle name="Normal 2 2 2 67 7" xfId="14038"/>
    <cellStyle name="Normal 2 2 2 67 8" xfId="14039"/>
    <cellStyle name="Normal 2 2 2 68" xfId="14040"/>
    <cellStyle name="Normal 2 2 2 68 2" xfId="14041"/>
    <cellStyle name="Normal 2 2 2 68 3" xfId="14042"/>
    <cellStyle name="Normal 2 2 2 68 4" xfId="14043"/>
    <cellStyle name="Normal 2 2 2 68 5" xfId="14044"/>
    <cellStyle name="Normal 2 2 2 68 6" xfId="14045"/>
    <cellStyle name="Normal 2 2 2 68 7" xfId="14046"/>
    <cellStyle name="Normal 2 2 2 68 8" xfId="14047"/>
    <cellStyle name="Normal 2 2 2 69" xfId="14048"/>
    <cellStyle name="Normal 2 2 2 69 2" xfId="14049"/>
    <cellStyle name="Normal 2 2 2 69 3" xfId="14050"/>
    <cellStyle name="Normal 2 2 2 69 4" xfId="14051"/>
    <cellStyle name="Normal 2 2 2 69 5" xfId="14052"/>
    <cellStyle name="Normal 2 2 2 69 6" xfId="14053"/>
    <cellStyle name="Normal 2 2 2 69 7" xfId="14054"/>
    <cellStyle name="Normal 2 2 2 69 8" xfId="14055"/>
    <cellStyle name="Normal 2 2 2 7" xfId="14056"/>
    <cellStyle name="Normal 2 2 2 7 2" xfId="14057"/>
    <cellStyle name="Normal 2 2 2 7 3" xfId="14058"/>
    <cellStyle name="Normal 2 2 2 7 3 2" xfId="14059"/>
    <cellStyle name="Normal 2 2 2 7 3 3" xfId="14060"/>
    <cellStyle name="Normal 2 2 2 7 3 4" xfId="14061"/>
    <cellStyle name="Normal 2 2 2 7 3 5" xfId="14062"/>
    <cellStyle name="Normal 2 2 2 7 3 6" xfId="14063"/>
    <cellStyle name="Normal 2 2 2 7 4" xfId="14064"/>
    <cellStyle name="Normal 2 2 2 7 4 2" xfId="14065"/>
    <cellStyle name="Normal 2 2 2 7 4 3" xfId="14066"/>
    <cellStyle name="Normal 2 2 2 7 4 4" xfId="14067"/>
    <cellStyle name="Normal 2 2 2 7 4 5" xfId="14068"/>
    <cellStyle name="Normal 2 2 2 7 4 6" xfId="14069"/>
    <cellStyle name="Normal 2 2 2 70" xfId="14070"/>
    <cellStyle name="Normal 2 2 2 70 2" xfId="14071"/>
    <cellStyle name="Normal 2 2 2 70 3" xfId="14072"/>
    <cellStyle name="Normal 2 2 2 70 4" xfId="14073"/>
    <cellStyle name="Normal 2 2 2 70 5" xfId="14074"/>
    <cellStyle name="Normal 2 2 2 70 6" xfId="14075"/>
    <cellStyle name="Normal 2 2 2 70 7" xfId="14076"/>
    <cellStyle name="Normal 2 2 2 70 8" xfId="14077"/>
    <cellStyle name="Normal 2 2 2 71" xfId="14078"/>
    <cellStyle name="Normal 2 2 2 71 2" xfId="14079"/>
    <cellStyle name="Normal 2 2 2 71 3" xfId="14080"/>
    <cellStyle name="Normal 2 2 2 71 4" xfId="14081"/>
    <cellStyle name="Normal 2 2 2 71 5" xfId="14082"/>
    <cellStyle name="Normal 2 2 2 71 6" xfId="14083"/>
    <cellStyle name="Normal 2 2 2 71 7" xfId="14084"/>
    <cellStyle name="Normal 2 2 2 71 8" xfId="14085"/>
    <cellStyle name="Normal 2 2 2 72" xfId="14086"/>
    <cellStyle name="Normal 2 2 2 72 2" xfId="14087"/>
    <cellStyle name="Normal 2 2 2 72 3" xfId="14088"/>
    <cellStyle name="Normal 2 2 2 72 4" xfId="14089"/>
    <cellStyle name="Normal 2 2 2 72 5" xfId="14090"/>
    <cellStyle name="Normal 2 2 2 72 6" xfId="14091"/>
    <cellStyle name="Normal 2 2 2 72 7" xfId="14092"/>
    <cellStyle name="Normal 2 2 2 72 8" xfId="14093"/>
    <cellStyle name="Normal 2 2 2 73" xfId="14094"/>
    <cellStyle name="Normal 2 2 2 73 2" xfId="14095"/>
    <cellStyle name="Normal 2 2 2 73 3" xfId="14096"/>
    <cellStyle name="Normal 2 2 2 73 4" xfId="14097"/>
    <cellStyle name="Normal 2 2 2 73 5" xfId="14098"/>
    <cellStyle name="Normal 2 2 2 73 6" xfId="14099"/>
    <cellStyle name="Normal 2 2 2 73 7" xfId="14100"/>
    <cellStyle name="Normal 2 2 2 73 8" xfId="14101"/>
    <cellStyle name="Normal 2 2 2 74" xfId="14102"/>
    <cellStyle name="Normal 2 2 2 74 2" xfId="14103"/>
    <cellStyle name="Normal 2 2 2 74 3" xfId="14104"/>
    <cellStyle name="Normal 2 2 2 74 4" xfId="14105"/>
    <cellStyle name="Normal 2 2 2 74 5" xfId="14106"/>
    <cellStyle name="Normal 2 2 2 74 6" xfId="14107"/>
    <cellStyle name="Normal 2 2 2 74 7" xfId="14108"/>
    <cellStyle name="Normal 2 2 2 74 8" xfId="14109"/>
    <cellStyle name="Normal 2 2 2 75" xfId="14110"/>
    <cellStyle name="Normal 2 2 2 75 2" xfId="14111"/>
    <cellStyle name="Normal 2 2 2 75 3" xfId="14112"/>
    <cellStyle name="Normal 2 2 2 75 4" xfId="14113"/>
    <cellStyle name="Normal 2 2 2 75 5" xfId="14114"/>
    <cellStyle name="Normal 2 2 2 75 6" xfId="14115"/>
    <cellStyle name="Normal 2 2 2 75 7" xfId="14116"/>
    <cellStyle name="Normal 2 2 2 75 8" xfId="14117"/>
    <cellStyle name="Normal 2 2 2 76" xfId="14118"/>
    <cellStyle name="Normal 2 2 2 76 2" xfId="14119"/>
    <cellStyle name="Normal 2 2 2 76 3" xfId="14120"/>
    <cellStyle name="Normal 2 2 2 76 4" xfId="14121"/>
    <cellStyle name="Normal 2 2 2 76 5" xfId="14122"/>
    <cellStyle name="Normal 2 2 2 76 6" xfId="14123"/>
    <cellStyle name="Normal 2 2 2 76 7" xfId="14124"/>
    <cellStyle name="Normal 2 2 2 76 8" xfId="14125"/>
    <cellStyle name="Normal 2 2 2 77" xfId="14126"/>
    <cellStyle name="Normal 2 2 2 77 2" xfId="14127"/>
    <cellStyle name="Normal 2 2 2 77 3" xfId="14128"/>
    <cellStyle name="Normal 2 2 2 77 4" xfId="14129"/>
    <cellStyle name="Normal 2 2 2 77 5" xfId="14130"/>
    <cellStyle name="Normal 2 2 2 77 6" xfId="14131"/>
    <cellStyle name="Normal 2 2 2 77 7" xfId="14132"/>
    <cellStyle name="Normal 2 2 2 77 8" xfId="14133"/>
    <cellStyle name="Normal 2 2 2 78" xfId="14134"/>
    <cellStyle name="Normal 2 2 2 78 2" xfId="14135"/>
    <cellStyle name="Normal 2 2 2 78 3" xfId="14136"/>
    <cellStyle name="Normal 2 2 2 78 4" xfId="14137"/>
    <cellStyle name="Normal 2 2 2 78 5" xfId="14138"/>
    <cellStyle name="Normal 2 2 2 78 6" xfId="14139"/>
    <cellStyle name="Normal 2 2 2 78 7" xfId="14140"/>
    <cellStyle name="Normal 2 2 2 78 8" xfId="14141"/>
    <cellStyle name="Normal 2 2 2 79" xfId="14142"/>
    <cellStyle name="Normal 2 2 2 79 2" xfId="14143"/>
    <cellStyle name="Normal 2 2 2 79 3" xfId="14144"/>
    <cellStyle name="Normal 2 2 2 79 4" xfId="14145"/>
    <cellStyle name="Normal 2 2 2 79 5" xfId="14146"/>
    <cellStyle name="Normal 2 2 2 79 6" xfId="14147"/>
    <cellStyle name="Normal 2 2 2 79 7" xfId="14148"/>
    <cellStyle name="Normal 2 2 2 79 8" xfId="14149"/>
    <cellStyle name="Normal 2 2 2 8" xfId="14150"/>
    <cellStyle name="Normal 2 2 2 8 2" xfId="14151"/>
    <cellStyle name="Normal 2 2 2 8 3" xfId="14152"/>
    <cellStyle name="Normal 2 2 2 8 3 2" xfId="14153"/>
    <cellStyle name="Normal 2 2 2 8 3 3" xfId="14154"/>
    <cellStyle name="Normal 2 2 2 8 3 4" xfId="14155"/>
    <cellStyle name="Normal 2 2 2 8 3 5" xfId="14156"/>
    <cellStyle name="Normal 2 2 2 8 3 6" xfId="14157"/>
    <cellStyle name="Normal 2 2 2 8 4" xfId="14158"/>
    <cellStyle name="Normal 2 2 2 8 4 2" xfId="14159"/>
    <cellStyle name="Normal 2 2 2 8 4 3" xfId="14160"/>
    <cellStyle name="Normal 2 2 2 8 4 4" xfId="14161"/>
    <cellStyle name="Normal 2 2 2 8 4 5" xfId="14162"/>
    <cellStyle name="Normal 2 2 2 8 4 6" xfId="14163"/>
    <cellStyle name="Normal 2 2 2 80" xfId="14164"/>
    <cellStyle name="Normal 2 2 2 80 2" xfId="14165"/>
    <cellStyle name="Normal 2 2 2 80 3" xfId="14166"/>
    <cellStyle name="Normal 2 2 2 80 4" xfId="14167"/>
    <cellStyle name="Normal 2 2 2 80 5" xfId="14168"/>
    <cellStyle name="Normal 2 2 2 80 6" xfId="14169"/>
    <cellStyle name="Normal 2 2 2 80 7" xfId="14170"/>
    <cellStyle name="Normal 2 2 2 80 8" xfId="14171"/>
    <cellStyle name="Normal 2 2 2 81" xfId="14172"/>
    <cellStyle name="Normal 2 2 2 81 2" xfId="14173"/>
    <cellStyle name="Normal 2 2 2 81 3" xfId="14174"/>
    <cellStyle name="Normal 2 2 2 81 4" xfId="14175"/>
    <cellStyle name="Normal 2 2 2 81 5" xfId="14176"/>
    <cellStyle name="Normal 2 2 2 81 6" xfId="14177"/>
    <cellStyle name="Normal 2 2 2 81 7" xfId="14178"/>
    <cellStyle name="Normal 2 2 2 81 8" xfId="14179"/>
    <cellStyle name="Normal 2 2 2 82" xfId="14180"/>
    <cellStyle name="Normal 2 2 2 82 2" xfId="14181"/>
    <cellStyle name="Normal 2 2 2 82 3" xfId="14182"/>
    <cellStyle name="Normal 2 2 2 82 4" xfId="14183"/>
    <cellStyle name="Normal 2 2 2 82 5" xfId="14184"/>
    <cellStyle name="Normal 2 2 2 82 6" xfId="14185"/>
    <cellStyle name="Normal 2 2 2 82 7" xfId="14186"/>
    <cellStyle name="Normal 2 2 2 82 8" xfId="14187"/>
    <cellStyle name="Normal 2 2 2 83" xfId="14188"/>
    <cellStyle name="Normal 2 2 2 83 2" xfId="14189"/>
    <cellStyle name="Normal 2 2 2 83 3" xfId="14190"/>
    <cellStyle name="Normal 2 2 2 83 4" xfId="14191"/>
    <cellStyle name="Normal 2 2 2 83 5" xfId="14192"/>
    <cellStyle name="Normal 2 2 2 83 6" xfId="14193"/>
    <cellStyle name="Normal 2 2 2 83 7" xfId="14194"/>
    <cellStyle name="Normal 2 2 2 83 8" xfId="14195"/>
    <cellStyle name="Normal 2 2 2 84" xfId="14196"/>
    <cellStyle name="Normal 2 2 2 84 2" xfId="14197"/>
    <cellStyle name="Normal 2 2 2 84 3" xfId="14198"/>
    <cellStyle name="Normal 2 2 2 84 4" xfId="14199"/>
    <cellStyle name="Normal 2 2 2 84 5" xfId="14200"/>
    <cellStyle name="Normal 2 2 2 84 6" xfId="14201"/>
    <cellStyle name="Normal 2 2 2 84 7" xfId="14202"/>
    <cellStyle name="Normal 2 2 2 84 8" xfId="14203"/>
    <cellStyle name="Normal 2 2 2 85" xfId="14204"/>
    <cellStyle name="Normal 2 2 2 85 2" xfId="14205"/>
    <cellStyle name="Normal 2 2 2 85 3" xfId="14206"/>
    <cellStyle name="Normal 2 2 2 85 4" xfId="14207"/>
    <cellStyle name="Normal 2 2 2 85 5" xfId="14208"/>
    <cellStyle name="Normal 2 2 2 85 6" xfId="14209"/>
    <cellStyle name="Normal 2 2 2 85 7" xfId="14210"/>
    <cellStyle name="Normal 2 2 2 85 8" xfId="14211"/>
    <cellStyle name="Normal 2 2 2 86" xfId="14212"/>
    <cellStyle name="Normal 2 2 2 86 2" xfId="14213"/>
    <cellStyle name="Normal 2 2 2 86 3" xfId="14214"/>
    <cellStyle name="Normal 2 2 2 86 4" xfId="14215"/>
    <cellStyle name="Normal 2 2 2 86 5" xfId="14216"/>
    <cellStyle name="Normal 2 2 2 86 6" xfId="14217"/>
    <cellStyle name="Normal 2 2 2 86 7" xfId="14218"/>
    <cellStyle name="Normal 2 2 2 86 8" xfId="14219"/>
    <cellStyle name="Normal 2 2 2 87" xfId="14220"/>
    <cellStyle name="Normal 2 2 2 87 2" xfId="14221"/>
    <cellStyle name="Normal 2 2 2 87 3" xfId="14222"/>
    <cellStyle name="Normal 2 2 2 87 4" xfId="14223"/>
    <cellStyle name="Normal 2 2 2 87 5" xfId="14224"/>
    <cellStyle name="Normal 2 2 2 87 6" xfId="14225"/>
    <cellStyle name="Normal 2 2 2 87 7" xfId="14226"/>
    <cellStyle name="Normal 2 2 2 87 8" xfId="14227"/>
    <cellStyle name="Normal 2 2 2 88" xfId="14228"/>
    <cellStyle name="Normal 2 2 2 88 2" xfId="14229"/>
    <cellStyle name="Normal 2 2 2 88 3" xfId="14230"/>
    <cellStyle name="Normal 2 2 2 88 4" xfId="14231"/>
    <cellStyle name="Normal 2 2 2 88 5" xfId="14232"/>
    <cellStyle name="Normal 2 2 2 88 6" xfId="14233"/>
    <cellStyle name="Normal 2 2 2 88 7" xfId="14234"/>
    <cellStyle name="Normal 2 2 2 88 8" xfId="14235"/>
    <cellStyle name="Normal 2 2 2 89" xfId="14236"/>
    <cellStyle name="Normal 2 2 2 89 2" xfId="14237"/>
    <cellStyle name="Normal 2 2 2 89 3" xfId="14238"/>
    <cellStyle name="Normal 2 2 2 89 4" xfId="14239"/>
    <cellStyle name="Normal 2 2 2 89 5" xfId="14240"/>
    <cellStyle name="Normal 2 2 2 89 6" xfId="14241"/>
    <cellStyle name="Normal 2 2 2 89 7" xfId="14242"/>
    <cellStyle name="Normal 2 2 2 89 8" xfId="14243"/>
    <cellStyle name="Normal 2 2 2 9" xfId="14244"/>
    <cellStyle name="Normal 2 2 2 9 2" xfId="14245"/>
    <cellStyle name="Normal 2 2 2 9 3" xfId="14246"/>
    <cellStyle name="Normal 2 2 2 9 3 2" xfId="14247"/>
    <cellStyle name="Normal 2 2 2 9 3 3" xfId="14248"/>
    <cellStyle name="Normal 2 2 2 9 3 4" xfId="14249"/>
    <cellStyle name="Normal 2 2 2 9 3 5" xfId="14250"/>
    <cellStyle name="Normal 2 2 2 9 3 6" xfId="14251"/>
    <cellStyle name="Normal 2 2 2 9 4" xfId="14252"/>
    <cellStyle name="Normal 2 2 2 9 4 2" xfId="14253"/>
    <cellStyle name="Normal 2 2 2 9 4 3" xfId="14254"/>
    <cellStyle name="Normal 2 2 2 9 4 4" xfId="14255"/>
    <cellStyle name="Normal 2 2 2 9 4 5" xfId="14256"/>
    <cellStyle name="Normal 2 2 2 9 4 6" xfId="14257"/>
    <cellStyle name="Normal 2 2 2 90" xfId="14258"/>
    <cellStyle name="Normal 2 2 2 90 2" xfId="14259"/>
    <cellStyle name="Normal 2 2 2 90 3" xfId="14260"/>
    <cellStyle name="Normal 2 2 2 90 4" xfId="14261"/>
    <cellStyle name="Normal 2 2 2 90 5" xfId="14262"/>
    <cellStyle name="Normal 2 2 2 90 6" xfId="14263"/>
    <cellStyle name="Normal 2 2 2 90 7" xfId="14264"/>
    <cellStyle name="Normal 2 2 2 90 8" xfId="14265"/>
    <cellStyle name="Normal 2 2 2 91" xfId="14266"/>
    <cellStyle name="Normal 2 2 2 91 2" xfId="14267"/>
    <cellStyle name="Normal 2 2 2 91 3" xfId="14268"/>
    <cellStyle name="Normal 2 2 2 91 4" xfId="14269"/>
    <cellStyle name="Normal 2 2 2 91 5" xfId="14270"/>
    <cellStyle name="Normal 2 2 2 91 6" xfId="14271"/>
    <cellStyle name="Normal 2 2 2 91 7" xfId="14272"/>
    <cellStyle name="Normal 2 2 2 91 8" xfId="14273"/>
    <cellStyle name="Normal 2 2 2 92" xfId="14274"/>
    <cellStyle name="Normal 2 2 2 92 2" xfId="14275"/>
    <cellStyle name="Normal 2 2 2 92 3" xfId="14276"/>
    <cellStyle name="Normal 2 2 2 92 4" xfId="14277"/>
    <cellStyle name="Normal 2 2 2 92 5" xfId="14278"/>
    <cellStyle name="Normal 2 2 2 92 6" xfId="14279"/>
    <cellStyle name="Normal 2 2 2 92 7" xfId="14280"/>
    <cellStyle name="Normal 2 2 2 92 8" xfId="14281"/>
    <cellStyle name="Normal 2 2 2 93" xfId="14282"/>
    <cellStyle name="Normal 2 2 2 93 2" xfId="14283"/>
    <cellStyle name="Normal 2 2 2 93 3" xfId="14284"/>
    <cellStyle name="Normal 2 2 2 93 4" xfId="14285"/>
    <cellStyle name="Normal 2 2 2 93 5" xfId="14286"/>
    <cellStyle name="Normal 2 2 2 93 6" xfId="14287"/>
    <cellStyle name="Normal 2 2 2 93 7" xfId="14288"/>
    <cellStyle name="Normal 2 2 2 93 8" xfId="14289"/>
    <cellStyle name="Normal 2 2 2 94" xfId="14290"/>
    <cellStyle name="Normal 2 2 2 94 2" xfId="14291"/>
    <cellStyle name="Normal 2 2 2 94 3" xfId="14292"/>
    <cellStyle name="Normal 2 2 2 94 4" xfId="14293"/>
    <cellStyle name="Normal 2 2 2 94 5" xfId="14294"/>
    <cellStyle name="Normal 2 2 2 94 6" xfId="14295"/>
    <cellStyle name="Normal 2 2 2 94 7" xfId="14296"/>
    <cellStyle name="Normal 2 2 2 94 8" xfId="14297"/>
    <cellStyle name="Normal 2 2 2 95" xfId="14298"/>
    <cellStyle name="Normal 2 2 2 95 2" xfId="14299"/>
    <cellStyle name="Normal 2 2 2 95 3" xfId="14300"/>
    <cellStyle name="Normal 2 2 2 95 4" xfId="14301"/>
    <cellStyle name="Normal 2 2 2 95 5" xfId="14302"/>
    <cellStyle name="Normal 2 2 2 95 6" xfId="14303"/>
    <cellStyle name="Normal 2 2 2 95 7" xfId="14304"/>
    <cellStyle name="Normal 2 2 2 95 8" xfId="14305"/>
    <cellStyle name="Normal 2 2 2 96" xfId="14306"/>
    <cellStyle name="Normal 2 2 2 96 2" xfId="14307"/>
    <cellStyle name="Normal 2 2 2 96 3" xfId="14308"/>
    <cellStyle name="Normal 2 2 2 96 4" xfId="14309"/>
    <cellStyle name="Normal 2 2 2 96 5" xfId="14310"/>
    <cellStyle name="Normal 2 2 2 96 6" xfId="14311"/>
    <cellStyle name="Normal 2 2 2 96 7" xfId="14312"/>
    <cellStyle name="Normal 2 2 2 96 8" xfId="14313"/>
    <cellStyle name="Normal 2 2 2 97" xfId="14314"/>
    <cellStyle name="Normal 2 2 2 97 2" xfId="14315"/>
    <cellStyle name="Normal 2 2 2 97 3" xfId="14316"/>
    <cellStyle name="Normal 2 2 2 97 4" xfId="14317"/>
    <cellStyle name="Normal 2 2 2 97 5" xfId="14318"/>
    <cellStyle name="Normal 2 2 2 97 6" xfId="14319"/>
    <cellStyle name="Normal 2 2 2 97 7" xfId="14320"/>
    <cellStyle name="Normal 2 2 2 97 8" xfId="14321"/>
    <cellStyle name="Normal 2 2 2 98" xfId="14322"/>
    <cellStyle name="Normal 2 2 2 98 2" xfId="14323"/>
    <cellStyle name="Normal 2 2 2 98 3" xfId="14324"/>
    <cellStyle name="Normal 2 2 2 98 4" xfId="14325"/>
    <cellStyle name="Normal 2 2 2 98 5" xfId="14326"/>
    <cellStyle name="Normal 2 2 2 98 6" xfId="14327"/>
    <cellStyle name="Normal 2 2 2 98 7" xfId="14328"/>
    <cellStyle name="Normal 2 2 2 98 8" xfId="14329"/>
    <cellStyle name="Normal 2 2 2 99" xfId="14330"/>
    <cellStyle name="Normal 2 2 2 99 2" xfId="14331"/>
    <cellStyle name="Normal 2 2 2 99 3" xfId="14332"/>
    <cellStyle name="Normal 2 2 2 99 4" xfId="14333"/>
    <cellStyle name="Normal 2 2 2 99 5" xfId="14334"/>
    <cellStyle name="Normal 2 2 2 99 6" xfId="14335"/>
    <cellStyle name="Normal 2 2 2 99 7" xfId="14336"/>
    <cellStyle name="Normal 2 2 2 99 8" xfId="14337"/>
    <cellStyle name="Normal 2 2 20" xfId="14338"/>
    <cellStyle name="Normal 2 2 20 2" xfId="14339"/>
    <cellStyle name="Normal 2 2 20 2 2" xfId="14340"/>
    <cellStyle name="Normal 2 2 20 2 3" xfId="14341"/>
    <cellStyle name="Normal 2 2 20 2 4" xfId="14342"/>
    <cellStyle name="Normal 2 2 20 2 5" xfId="14343"/>
    <cellStyle name="Normal 2 2 20 2 6" xfId="14344"/>
    <cellStyle name="Normal 2 2 20 3" xfId="14345"/>
    <cellStyle name="Normal 2 2 20 4" xfId="14346"/>
    <cellStyle name="Normal 2 2 21" xfId="14347"/>
    <cellStyle name="Normal 2 2 21 2" xfId="14348"/>
    <cellStyle name="Normal 2 2 21 2 2" xfId="14349"/>
    <cellStyle name="Normal 2 2 21 2 3" xfId="14350"/>
    <cellStyle name="Normal 2 2 21 2 4" xfId="14351"/>
    <cellStyle name="Normal 2 2 21 2 5" xfId="14352"/>
    <cellStyle name="Normal 2 2 21 2 6" xfId="14353"/>
    <cellStyle name="Normal 2 2 21 3" xfId="14354"/>
    <cellStyle name="Normal 2 2 21 4" xfId="14355"/>
    <cellStyle name="Normal 2 2 22" xfId="14356"/>
    <cellStyle name="Normal 2 2 22 2" xfId="14357"/>
    <cellStyle name="Normal 2 2 22 2 2" xfId="14358"/>
    <cellStyle name="Normal 2 2 22 2 3" xfId="14359"/>
    <cellStyle name="Normal 2 2 22 2 4" xfId="14360"/>
    <cellStyle name="Normal 2 2 22 2 5" xfId="14361"/>
    <cellStyle name="Normal 2 2 22 2 6" xfId="14362"/>
    <cellStyle name="Normal 2 2 22 3" xfId="14363"/>
    <cellStyle name="Normal 2 2 22 4" xfId="14364"/>
    <cellStyle name="Normal 2 2 23" xfId="14365"/>
    <cellStyle name="Normal 2 2 23 2" xfId="14366"/>
    <cellStyle name="Normal 2 2 23 2 2" xfId="14367"/>
    <cellStyle name="Normal 2 2 23 2 3" xfId="14368"/>
    <cellStyle name="Normal 2 2 23 2 4" xfId="14369"/>
    <cellStyle name="Normal 2 2 23 2 5" xfId="14370"/>
    <cellStyle name="Normal 2 2 23 2 6" xfId="14371"/>
    <cellStyle name="Normal 2 2 23 3" xfId="14372"/>
    <cellStyle name="Normal 2 2 23 4" xfId="14373"/>
    <cellStyle name="Normal 2 2 24" xfId="14374"/>
    <cellStyle name="Normal 2 2 24 2" xfId="14375"/>
    <cellStyle name="Normal 2 2 24 2 2" xfId="14376"/>
    <cellStyle name="Normal 2 2 24 2 3" xfId="14377"/>
    <cellStyle name="Normal 2 2 24 2 4" xfId="14378"/>
    <cellStyle name="Normal 2 2 24 2 5" xfId="14379"/>
    <cellStyle name="Normal 2 2 24 2 6" xfId="14380"/>
    <cellStyle name="Normal 2 2 24 3" xfId="14381"/>
    <cellStyle name="Normal 2 2 24 4" xfId="14382"/>
    <cellStyle name="Normal 2 2 25" xfId="14383"/>
    <cellStyle name="Normal 2 2 25 2" xfId="14384"/>
    <cellStyle name="Normal 2 2 25 2 2" xfId="14385"/>
    <cellStyle name="Normal 2 2 25 2 3" xfId="14386"/>
    <cellStyle name="Normal 2 2 25 2 4" xfId="14387"/>
    <cellStyle name="Normal 2 2 25 2 5" xfId="14388"/>
    <cellStyle name="Normal 2 2 25 2 6" xfId="14389"/>
    <cellStyle name="Normal 2 2 25 3" xfId="14390"/>
    <cellStyle name="Normal 2 2 25 4" xfId="14391"/>
    <cellStyle name="Normal 2 2 26" xfId="14392"/>
    <cellStyle name="Normal 2 2 26 2" xfId="14393"/>
    <cellStyle name="Normal 2 2 26 2 2" xfId="14394"/>
    <cellStyle name="Normal 2 2 26 2 3" xfId="14395"/>
    <cellStyle name="Normal 2 2 26 2 4" xfId="14396"/>
    <cellStyle name="Normal 2 2 26 2 5" xfId="14397"/>
    <cellStyle name="Normal 2 2 26 2 6" xfId="14398"/>
    <cellStyle name="Normal 2 2 26 3" xfId="14399"/>
    <cellStyle name="Normal 2 2 26 4" xfId="14400"/>
    <cellStyle name="Normal 2 2 27" xfId="14401"/>
    <cellStyle name="Normal 2 2 27 2" xfId="14402"/>
    <cellStyle name="Normal 2 2 27 2 2" xfId="14403"/>
    <cellStyle name="Normal 2 2 27 2 3" xfId="14404"/>
    <cellStyle name="Normal 2 2 27 2 4" xfId="14405"/>
    <cellStyle name="Normal 2 2 27 2 5" xfId="14406"/>
    <cellStyle name="Normal 2 2 27 2 6" xfId="14407"/>
    <cellStyle name="Normal 2 2 27 3" xfId="14408"/>
    <cellStyle name="Normal 2 2 27 4" xfId="14409"/>
    <cellStyle name="Normal 2 2 28" xfId="14410"/>
    <cellStyle name="Normal 2 2 28 2" xfId="14411"/>
    <cellStyle name="Normal 2 2 28 2 2" xfId="14412"/>
    <cellStyle name="Normal 2 2 28 2 3" xfId="14413"/>
    <cellStyle name="Normal 2 2 28 2 4" xfId="14414"/>
    <cellStyle name="Normal 2 2 28 2 5" xfId="14415"/>
    <cellStyle name="Normal 2 2 28 2 6" xfId="14416"/>
    <cellStyle name="Normal 2 2 28 3" xfId="14417"/>
    <cellStyle name="Normal 2 2 28 4" xfId="14418"/>
    <cellStyle name="Normal 2 2 29" xfId="14419"/>
    <cellStyle name="Normal 2 2 29 2" xfId="14420"/>
    <cellStyle name="Normal 2 2 29 2 2" xfId="14421"/>
    <cellStyle name="Normal 2 2 29 2 3" xfId="14422"/>
    <cellStyle name="Normal 2 2 29 2 4" xfId="14423"/>
    <cellStyle name="Normal 2 2 29 2 5" xfId="14424"/>
    <cellStyle name="Normal 2 2 29 2 6" xfId="14425"/>
    <cellStyle name="Normal 2 2 29 3" xfId="14426"/>
    <cellStyle name="Normal 2 2 29 4" xfId="14427"/>
    <cellStyle name="Normal 2 2 3" xfId="14428"/>
    <cellStyle name="Normal 2 2 3 2" xfId="14429"/>
    <cellStyle name="Normal 2 2 3 2 2" xfId="14430"/>
    <cellStyle name="Normal 2 2 3 2 3" xfId="14431"/>
    <cellStyle name="Normal 2 2 3 2 4" xfId="14432"/>
    <cellStyle name="Normal 2 2 3 2 5" xfId="14433"/>
    <cellStyle name="Normal 2 2 3 2 6" xfId="14434"/>
    <cellStyle name="Normal 2 2 3 3" xfId="14435"/>
    <cellStyle name="Normal 2 2 3 4" xfId="14436"/>
    <cellStyle name="Normal 2 2 30" xfId="14437"/>
    <cellStyle name="Normal 2 2 30 2" xfId="14438"/>
    <cellStyle name="Normal 2 2 30 2 2" xfId="14439"/>
    <cellStyle name="Normal 2 2 30 2 3" xfId="14440"/>
    <cellStyle name="Normal 2 2 30 2 4" xfId="14441"/>
    <cellStyle name="Normal 2 2 30 2 5" xfId="14442"/>
    <cellStyle name="Normal 2 2 30 2 6" xfId="14443"/>
    <cellStyle name="Normal 2 2 30 3" xfId="14444"/>
    <cellStyle name="Normal 2 2 30 4" xfId="14445"/>
    <cellStyle name="Normal 2 2 31" xfId="14446"/>
    <cellStyle name="Normal 2 2 31 2" xfId="14447"/>
    <cellStyle name="Normal 2 2 31 2 2" xfId="14448"/>
    <cellStyle name="Normal 2 2 31 2 3" xfId="14449"/>
    <cellStyle name="Normal 2 2 31 2 4" xfId="14450"/>
    <cellStyle name="Normal 2 2 31 2 5" xfId="14451"/>
    <cellStyle name="Normal 2 2 31 2 6" xfId="14452"/>
    <cellStyle name="Normal 2 2 31 3" xfId="14453"/>
    <cellStyle name="Normal 2 2 31 4" xfId="14454"/>
    <cellStyle name="Normal 2 2 32" xfId="14455"/>
    <cellStyle name="Normal 2 2 32 2" xfId="14456"/>
    <cellStyle name="Normal 2 2 32 2 2" xfId="14457"/>
    <cellStyle name="Normal 2 2 32 2 3" xfId="14458"/>
    <cellStyle name="Normal 2 2 32 2 4" xfId="14459"/>
    <cellStyle name="Normal 2 2 32 2 5" xfId="14460"/>
    <cellStyle name="Normal 2 2 32 2 6" xfId="14461"/>
    <cellStyle name="Normal 2 2 32 3" xfId="14462"/>
    <cellStyle name="Normal 2 2 32 4" xfId="14463"/>
    <cellStyle name="Normal 2 2 33" xfId="14464"/>
    <cellStyle name="Normal 2 2 33 2" xfId="14465"/>
    <cellStyle name="Normal 2 2 33 2 2" xfId="14466"/>
    <cellStyle name="Normal 2 2 33 2 3" xfId="14467"/>
    <cellStyle name="Normal 2 2 33 2 4" xfId="14468"/>
    <cellStyle name="Normal 2 2 33 2 5" xfId="14469"/>
    <cellStyle name="Normal 2 2 33 2 6" xfId="14470"/>
    <cellStyle name="Normal 2 2 33 3" xfId="14471"/>
    <cellStyle name="Normal 2 2 33 4" xfId="14472"/>
    <cellStyle name="Normal 2 2 34" xfId="14473"/>
    <cellStyle name="Normal 2 2 34 2" xfId="14474"/>
    <cellStyle name="Normal 2 2 34 2 2" xfId="14475"/>
    <cellStyle name="Normal 2 2 34 2 3" xfId="14476"/>
    <cellStyle name="Normal 2 2 34 2 4" xfId="14477"/>
    <cellStyle name="Normal 2 2 34 2 5" xfId="14478"/>
    <cellStyle name="Normal 2 2 34 2 6" xfId="14479"/>
    <cellStyle name="Normal 2 2 34 3" xfId="14480"/>
    <cellStyle name="Normal 2 2 34 4" xfId="14481"/>
    <cellStyle name="Normal 2 2 35" xfId="14482"/>
    <cellStyle name="Normal 2 2 35 2" xfId="14483"/>
    <cellStyle name="Normal 2 2 35 2 2" xfId="14484"/>
    <cellStyle name="Normal 2 2 35 2 3" xfId="14485"/>
    <cellStyle name="Normal 2 2 35 2 4" xfId="14486"/>
    <cellStyle name="Normal 2 2 35 2 5" xfId="14487"/>
    <cellStyle name="Normal 2 2 35 2 6" xfId="14488"/>
    <cellStyle name="Normal 2 2 35 3" xfId="14489"/>
    <cellStyle name="Normal 2 2 35 4" xfId="14490"/>
    <cellStyle name="Normal 2 2 36" xfId="14491"/>
    <cellStyle name="Normal 2 2 36 2" xfId="14492"/>
    <cellStyle name="Normal 2 2 36 2 2" xfId="14493"/>
    <cellStyle name="Normal 2 2 36 2 3" xfId="14494"/>
    <cellStyle name="Normal 2 2 36 2 4" xfId="14495"/>
    <cellStyle name="Normal 2 2 36 2 5" xfId="14496"/>
    <cellStyle name="Normal 2 2 36 2 6" xfId="14497"/>
    <cellStyle name="Normal 2 2 36 3" xfId="14498"/>
    <cellStyle name="Normal 2 2 36 4" xfId="14499"/>
    <cellStyle name="Normal 2 2 37" xfId="14500"/>
    <cellStyle name="Normal 2 2 37 2" xfId="14501"/>
    <cellStyle name="Normal 2 2 37 2 2" xfId="14502"/>
    <cellStyle name="Normal 2 2 37 2 3" xfId="14503"/>
    <cellStyle name="Normal 2 2 37 2 4" xfId="14504"/>
    <cellStyle name="Normal 2 2 37 2 5" xfId="14505"/>
    <cellStyle name="Normal 2 2 37 2 6" xfId="14506"/>
    <cellStyle name="Normal 2 2 37 3" xfId="14507"/>
    <cellStyle name="Normal 2 2 37 4" xfId="14508"/>
    <cellStyle name="Normal 2 2 38" xfId="14509"/>
    <cellStyle name="Normal 2 2 38 2" xfId="14510"/>
    <cellStyle name="Normal 2 2 38 2 2" xfId="14511"/>
    <cellStyle name="Normal 2 2 38 2 3" xfId="14512"/>
    <cellStyle name="Normal 2 2 38 2 4" xfId="14513"/>
    <cellStyle name="Normal 2 2 38 2 5" xfId="14514"/>
    <cellStyle name="Normal 2 2 38 2 6" xfId="14515"/>
    <cellStyle name="Normal 2 2 38 3" xfId="14516"/>
    <cellStyle name="Normal 2 2 38 4" xfId="14517"/>
    <cellStyle name="Normal 2 2 39" xfId="14518"/>
    <cellStyle name="Normal 2 2 39 2" xfId="14519"/>
    <cellStyle name="Normal 2 2 39 2 2" xfId="14520"/>
    <cellStyle name="Normal 2 2 39 2 2 2" xfId="14521"/>
    <cellStyle name="Normal 2 2 39 2 2 2 2" xfId="14522"/>
    <cellStyle name="Normal 2 2 39 2 2 2 3" xfId="14523"/>
    <cellStyle name="Normal 2 2 39 2 2 2 4" xfId="14524"/>
    <cellStyle name="Normal 2 2 39 2 2 2 5" xfId="14525"/>
    <cellStyle name="Normal 2 2 39 2 2 2 6" xfId="14526"/>
    <cellStyle name="Normal 2 2 39 2 2 3" xfId="14527"/>
    <cellStyle name="Normal 2 2 39 2 2 4" xfId="14528"/>
    <cellStyle name="Normal 2 2 39 2 3" xfId="14529"/>
    <cellStyle name="Normal 2 2 39 2 3 2" xfId="14530"/>
    <cellStyle name="Normal 2 2 39 2 3 3" xfId="14531"/>
    <cellStyle name="Normal 2 2 39 2 3 4" xfId="14532"/>
    <cellStyle name="Normal 2 2 39 2 3 5" xfId="14533"/>
    <cellStyle name="Normal 2 2 39 2 3 6" xfId="14534"/>
    <cellStyle name="Normal 2 2 39 2 4" xfId="14535"/>
    <cellStyle name="Normal 2 2 39 2 5" xfId="14536"/>
    <cellStyle name="Normal 2 2 39 3" xfId="14537"/>
    <cellStyle name="Normal 2 2 39 3 2" xfId="14538"/>
    <cellStyle name="Normal 2 2 39 3 2 2" xfId="14539"/>
    <cellStyle name="Normal 2 2 39 3 2 3" xfId="14540"/>
    <cellStyle name="Normal 2 2 39 3 2 4" xfId="14541"/>
    <cellStyle name="Normal 2 2 39 3 2 5" xfId="14542"/>
    <cellStyle name="Normal 2 2 39 3 2 6" xfId="14543"/>
    <cellStyle name="Normal 2 2 39 3 3" xfId="14544"/>
    <cellStyle name="Normal 2 2 39 3 4" xfId="14545"/>
    <cellStyle name="Normal 2 2 39 4" xfId="14546"/>
    <cellStyle name="Normal 2 2 39 4 2" xfId="14547"/>
    <cellStyle name="Normal 2 2 39 4 2 2" xfId="14548"/>
    <cellStyle name="Normal 2 2 39 4 2 3" xfId="14549"/>
    <cellStyle name="Normal 2 2 39 4 2 4" xfId="14550"/>
    <cellStyle name="Normal 2 2 39 4 2 5" xfId="14551"/>
    <cellStyle name="Normal 2 2 39 4 2 6" xfId="14552"/>
    <cellStyle name="Normal 2 2 39 4 3" xfId="14553"/>
    <cellStyle name="Normal 2 2 39 4 4" xfId="14554"/>
    <cellStyle name="Normal 2 2 39 5" xfId="14555"/>
    <cellStyle name="Normal 2 2 39 5 2" xfId="14556"/>
    <cellStyle name="Normal 2 2 39 5 3" xfId="14557"/>
    <cellStyle name="Normal 2 2 39 5 4" xfId="14558"/>
    <cellStyle name="Normal 2 2 39 5 5" xfId="14559"/>
    <cellStyle name="Normal 2 2 39 5 6" xfId="14560"/>
    <cellStyle name="Normal 2 2 39 6" xfId="14561"/>
    <cellStyle name="Normal 2 2 39 7" xfId="14562"/>
    <cellStyle name="Normal 2 2 4" xfId="14563"/>
    <cellStyle name="Normal 2 2 4 2" xfId="14564"/>
    <cellStyle name="Normal 2 2 4 2 2" xfId="14565"/>
    <cellStyle name="Normal 2 2 4 2 3" xfId="14566"/>
    <cellStyle name="Normal 2 2 4 2 4" xfId="14567"/>
    <cellStyle name="Normal 2 2 4 2 5" xfId="14568"/>
    <cellStyle name="Normal 2 2 4 2 6" xfId="14569"/>
    <cellStyle name="Normal 2 2 4 3" xfId="14570"/>
    <cellStyle name="Normal 2 2 4 4" xfId="14571"/>
    <cellStyle name="Normal 2 2 40" xfId="14572"/>
    <cellStyle name="Normal 2 2 40 2" xfId="14573"/>
    <cellStyle name="Normal 2 2 40 2 2" xfId="14574"/>
    <cellStyle name="Normal 2 2 40 2 3" xfId="14575"/>
    <cellStyle name="Normal 2 2 40 2 4" xfId="14576"/>
    <cellStyle name="Normal 2 2 40 2 5" xfId="14577"/>
    <cellStyle name="Normal 2 2 40 2 6" xfId="14578"/>
    <cellStyle name="Normal 2 2 40 3" xfId="14579"/>
    <cellStyle name="Normal 2 2 40 4" xfId="14580"/>
    <cellStyle name="Normal 2 2 41" xfId="14581"/>
    <cellStyle name="Normal 2 2 41 2" xfId="14582"/>
    <cellStyle name="Normal 2 2 41 2 2" xfId="14583"/>
    <cellStyle name="Normal 2 2 41 2 3" xfId="14584"/>
    <cellStyle name="Normal 2 2 41 2 4" xfId="14585"/>
    <cellStyle name="Normal 2 2 41 2 5" xfId="14586"/>
    <cellStyle name="Normal 2 2 41 2 6" xfId="14587"/>
    <cellStyle name="Normal 2 2 41 3" xfId="14588"/>
    <cellStyle name="Normal 2 2 41 4" xfId="14589"/>
    <cellStyle name="Normal 2 2 42" xfId="14590"/>
    <cellStyle name="Normal 2 2 42 2" xfId="14591"/>
    <cellStyle name="Normal 2 2 42 2 2" xfId="14592"/>
    <cellStyle name="Normal 2 2 42 2 3" xfId="14593"/>
    <cellStyle name="Normal 2 2 42 2 4" xfId="14594"/>
    <cellStyle name="Normal 2 2 42 2 5" xfId="14595"/>
    <cellStyle name="Normal 2 2 42 2 6" xfId="14596"/>
    <cellStyle name="Normal 2 2 42 3" xfId="14597"/>
    <cellStyle name="Normal 2 2 42 4" xfId="14598"/>
    <cellStyle name="Normal 2 2 43" xfId="14599"/>
    <cellStyle name="Normal 2 2 43 2" xfId="14600"/>
    <cellStyle name="Normal 2 2 43 2 2" xfId="14601"/>
    <cellStyle name="Normal 2 2 43 2 3" xfId="14602"/>
    <cellStyle name="Normal 2 2 43 2 4" xfId="14603"/>
    <cellStyle name="Normal 2 2 43 2 5" xfId="14604"/>
    <cellStyle name="Normal 2 2 43 2 6" xfId="14605"/>
    <cellStyle name="Normal 2 2 43 3" xfId="14606"/>
    <cellStyle name="Normal 2 2 43 4" xfId="14607"/>
    <cellStyle name="Normal 2 2 44" xfId="14608"/>
    <cellStyle name="Normal 2 2 44 2" xfId="14609"/>
    <cellStyle name="Normal 2 2 44 2 2" xfId="14610"/>
    <cellStyle name="Normal 2 2 44 2 3" xfId="14611"/>
    <cellStyle name="Normal 2 2 44 2 4" xfId="14612"/>
    <cellStyle name="Normal 2 2 44 2 5" xfId="14613"/>
    <cellStyle name="Normal 2 2 44 2 6" xfId="14614"/>
    <cellStyle name="Normal 2 2 44 3" xfId="14615"/>
    <cellStyle name="Normal 2 2 44 4" xfId="14616"/>
    <cellStyle name="Normal 2 2 45" xfId="14617"/>
    <cellStyle name="Normal 2 2 45 2" xfId="14618"/>
    <cellStyle name="Normal 2 2 45 2 2" xfId="14619"/>
    <cellStyle name="Normal 2 2 45 2 3" xfId="14620"/>
    <cellStyle name="Normal 2 2 45 2 4" xfId="14621"/>
    <cellStyle name="Normal 2 2 45 2 5" xfId="14622"/>
    <cellStyle name="Normal 2 2 45 2 6" xfId="14623"/>
    <cellStyle name="Normal 2 2 45 3" xfId="14624"/>
    <cellStyle name="Normal 2 2 45 4" xfId="14625"/>
    <cellStyle name="Normal 2 2 46" xfId="14626"/>
    <cellStyle name="Normal 2 2 46 2" xfId="14627"/>
    <cellStyle name="Normal 2 2 46 2 2" xfId="14628"/>
    <cellStyle name="Normal 2 2 46 2 3" xfId="14629"/>
    <cellStyle name="Normal 2 2 46 2 4" xfId="14630"/>
    <cellStyle name="Normal 2 2 46 2 5" xfId="14631"/>
    <cellStyle name="Normal 2 2 46 2 6" xfId="14632"/>
    <cellStyle name="Normal 2 2 46 3" xfId="14633"/>
    <cellStyle name="Normal 2 2 46 4" xfId="14634"/>
    <cellStyle name="Normal 2 2 47" xfId="14635"/>
    <cellStyle name="Normal 2 2 47 2" xfId="14636"/>
    <cellStyle name="Normal 2 2 47 2 2" xfId="14637"/>
    <cellStyle name="Normal 2 2 47 2 3" xfId="14638"/>
    <cellStyle name="Normal 2 2 47 2 4" xfId="14639"/>
    <cellStyle name="Normal 2 2 47 2 5" xfId="14640"/>
    <cellStyle name="Normal 2 2 47 2 6" xfId="14641"/>
    <cellStyle name="Normal 2 2 47 3" xfId="14642"/>
    <cellStyle name="Normal 2 2 47 4" xfId="14643"/>
    <cellStyle name="Normal 2 2 48" xfId="14644"/>
    <cellStyle name="Normal 2 2 48 2" xfId="14645"/>
    <cellStyle name="Normal 2 2 48 2 2" xfId="14646"/>
    <cellStyle name="Normal 2 2 48 2 2 2" xfId="14647"/>
    <cellStyle name="Normal 2 2 48 2 2 3" xfId="14648"/>
    <cellStyle name="Normal 2 2 48 2 2 4" xfId="14649"/>
    <cellStyle name="Normal 2 2 48 2 2 5" xfId="14650"/>
    <cellStyle name="Normal 2 2 48 2 2 6" xfId="14651"/>
    <cellStyle name="Normal 2 2 48 2 3" xfId="14652"/>
    <cellStyle name="Normal 2 2 48 2 4" xfId="14653"/>
    <cellStyle name="Normal 2 2 48 3" xfId="14654"/>
    <cellStyle name="Normal 2 2 48 3 2" xfId="14655"/>
    <cellStyle name="Normal 2 2 48 3 3" xfId="14656"/>
    <cellStyle name="Normal 2 2 48 3 4" xfId="14657"/>
    <cellStyle name="Normal 2 2 48 3 5" xfId="14658"/>
    <cellStyle name="Normal 2 2 48 3 6" xfId="14659"/>
    <cellStyle name="Normal 2 2 48 4" xfId="14660"/>
    <cellStyle name="Normal 2 2 48 5" xfId="14661"/>
    <cellStyle name="Normal 2 2 49" xfId="14662"/>
    <cellStyle name="Normal 2 2 49 2" xfId="14663"/>
    <cellStyle name="Normal 2 2 49 2 2" xfId="14664"/>
    <cellStyle name="Normal 2 2 49 2 3" xfId="14665"/>
    <cellStyle name="Normal 2 2 49 2 4" xfId="14666"/>
    <cellStyle name="Normal 2 2 49 2 5" xfId="14667"/>
    <cellStyle name="Normal 2 2 49 2 6" xfId="14668"/>
    <cellStyle name="Normal 2 2 49 3" xfId="14669"/>
    <cellStyle name="Normal 2 2 49 4" xfId="14670"/>
    <cellStyle name="Normal 2 2 5" xfId="14671"/>
    <cellStyle name="Normal 2 2 5 2" xfId="14672"/>
    <cellStyle name="Normal 2 2 5 2 2" xfId="14673"/>
    <cellStyle name="Normal 2 2 5 2 3" xfId="14674"/>
    <cellStyle name="Normal 2 2 5 2 4" xfId="14675"/>
    <cellStyle name="Normal 2 2 5 2 5" xfId="14676"/>
    <cellStyle name="Normal 2 2 5 2 6" xfId="14677"/>
    <cellStyle name="Normal 2 2 5 3" xfId="14678"/>
    <cellStyle name="Normal 2 2 5 4" xfId="14679"/>
    <cellStyle name="Normal 2 2 50" xfId="14680"/>
    <cellStyle name="Normal 2 2 50 2" xfId="14681"/>
    <cellStyle name="Normal 2 2 50 2 2" xfId="14682"/>
    <cellStyle name="Normal 2 2 50 2 3" xfId="14683"/>
    <cellStyle name="Normal 2 2 50 2 4" xfId="14684"/>
    <cellStyle name="Normal 2 2 50 2 5" xfId="14685"/>
    <cellStyle name="Normal 2 2 50 2 6" xfId="14686"/>
    <cellStyle name="Normal 2 2 50 3" xfId="14687"/>
    <cellStyle name="Normal 2 2 50 4" xfId="14688"/>
    <cellStyle name="Normal 2 2 51" xfId="14689"/>
    <cellStyle name="Normal 2 2 51 2" xfId="14690"/>
    <cellStyle name="Normal 2 2 51 2 2" xfId="14691"/>
    <cellStyle name="Normal 2 2 51 2 3" xfId="14692"/>
    <cellStyle name="Normal 2 2 51 2 4" xfId="14693"/>
    <cellStyle name="Normal 2 2 51 2 5" xfId="14694"/>
    <cellStyle name="Normal 2 2 51 2 6" xfId="14695"/>
    <cellStyle name="Normal 2 2 51 3" xfId="14696"/>
    <cellStyle name="Normal 2 2 51 4" xfId="14697"/>
    <cellStyle name="Normal 2 2 52" xfId="14698"/>
    <cellStyle name="Normal 2 2 52 2" xfId="14699"/>
    <cellStyle name="Normal 2 2 52 2 2" xfId="14700"/>
    <cellStyle name="Normal 2 2 52 2 3" xfId="14701"/>
    <cellStyle name="Normal 2 2 52 2 4" xfId="14702"/>
    <cellStyle name="Normal 2 2 52 2 5" xfId="14703"/>
    <cellStyle name="Normal 2 2 52 2 6" xfId="14704"/>
    <cellStyle name="Normal 2 2 52 3" xfId="14705"/>
    <cellStyle name="Normal 2 2 52 4" xfId="14706"/>
    <cellStyle name="Normal 2 2 53" xfId="14707"/>
    <cellStyle name="Normal 2 2 53 2" xfId="14708"/>
    <cellStyle name="Normal 2 2 53 2 2" xfId="14709"/>
    <cellStyle name="Normal 2 2 53 2 3" xfId="14710"/>
    <cellStyle name="Normal 2 2 53 2 4" xfId="14711"/>
    <cellStyle name="Normal 2 2 53 2 5" xfId="14712"/>
    <cellStyle name="Normal 2 2 53 2 6" xfId="14713"/>
    <cellStyle name="Normal 2 2 53 3" xfId="14714"/>
    <cellStyle name="Normal 2 2 53 4" xfId="14715"/>
    <cellStyle name="Normal 2 2 54" xfId="14716"/>
    <cellStyle name="Normal 2 2 54 2" xfId="14717"/>
    <cellStyle name="Normal 2 2 54 2 2" xfId="14718"/>
    <cellStyle name="Normal 2 2 54 2 3" xfId="14719"/>
    <cellStyle name="Normal 2 2 54 2 4" xfId="14720"/>
    <cellStyle name="Normal 2 2 54 2 5" xfId="14721"/>
    <cellStyle name="Normal 2 2 54 2 6" xfId="14722"/>
    <cellStyle name="Normal 2 2 54 3" xfId="14723"/>
    <cellStyle name="Normal 2 2 54 4" xfId="14724"/>
    <cellStyle name="Normal 2 2 55" xfId="14725"/>
    <cellStyle name="Normal 2 2 55 2" xfId="14726"/>
    <cellStyle name="Normal 2 2 55 2 2" xfId="14727"/>
    <cellStyle name="Normal 2 2 55 2 3" xfId="14728"/>
    <cellStyle name="Normal 2 2 55 2 4" xfId="14729"/>
    <cellStyle name="Normal 2 2 55 2 5" xfId="14730"/>
    <cellStyle name="Normal 2 2 55 2 6" xfId="14731"/>
    <cellStyle name="Normal 2 2 55 3" xfId="14732"/>
    <cellStyle name="Normal 2 2 55 4" xfId="14733"/>
    <cellStyle name="Normal 2 2 56" xfId="14734"/>
    <cellStyle name="Normal 2 2 56 2" xfId="14735"/>
    <cellStyle name="Normal 2 2 56 3" xfId="14736"/>
    <cellStyle name="Normal 2 2 56 4" xfId="14737"/>
    <cellStyle name="Normal 2 2 56 5" xfId="14738"/>
    <cellStyle name="Normal 2 2 56 6" xfId="14739"/>
    <cellStyle name="Normal 2 2 56 7" xfId="14740"/>
    <cellStyle name="Normal 2 2 56 8" xfId="14741"/>
    <cellStyle name="Normal 2 2 56 9" xfId="14742"/>
    <cellStyle name="Normal 2 2 57" xfId="14743"/>
    <cellStyle name="Normal 2 2 57 2" xfId="14744"/>
    <cellStyle name="Normal 2 2 57 3" xfId="14745"/>
    <cellStyle name="Normal 2 2 58" xfId="14746"/>
    <cellStyle name="Normal 2 2 58 2" xfId="14747"/>
    <cellStyle name="Normal 2 2 58 3" xfId="14748"/>
    <cellStyle name="Normal 2 2 59" xfId="14749"/>
    <cellStyle name="Normal 2 2 59 2" xfId="14750"/>
    <cellStyle name="Normal 2 2 59 3" xfId="14751"/>
    <cellStyle name="Normal 2 2 6" xfId="14752"/>
    <cellStyle name="Normal 2 2 6 2" xfId="14753"/>
    <cellStyle name="Normal 2 2 6 2 2" xfId="14754"/>
    <cellStyle name="Normal 2 2 6 2 3" xfId="14755"/>
    <cellStyle name="Normal 2 2 6 2 4" xfId="14756"/>
    <cellStyle name="Normal 2 2 6 2 5" xfId="14757"/>
    <cellStyle name="Normal 2 2 6 2 6" xfId="14758"/>
    <cellStyle name="Normal 2 2 6 3" xfId="14759"/>
    <cellStyle name="Normal 2 2 6 4" xfId="14760"/>
    <cellStyle name="Normal 2 2 60" xfId="14761"/>
    <cellStyle name="Normal 2 2 60 2" xfId="14762"/>
    <cellStyle name="Normal 2 2 60 3" xfId="14763"/>
    <cellStyle name="Normal 2 2 61" xfId="14764"/>
    <cellStyle name="Normal 2 2 61 2" xfId="14765"/>
    <cellStyle name="Normal 2 2 61 3" xfId="14766"/>
    <cellStyle name="Normal 2 2 62" xfId="14767"/>
    <cellStyle name="Normal 2 2 62 2" xfId="14768"/>
    <cellStyle name="Normal 2 2 62 3" xfId="14769"/>
    <cellStyle name="Normal 2 2 63" xfId="14770"/>
    <cellStyle name="Normal 2 2 63 2" xfId="14771"/>
    <cellStyle name="Normal 2 2 63 3" xfId="14772"/>
    <cellStyle name="Normal 2 2 64" xfId="14773"/>
    <cellStyle name="Normal 2 2 64 2" xfId="14774"/>
    <cellStyle name="Normal 2 2 64 3" xfId="14775"/>
    <cellStyle name="Normal 2 2 65" xfId="14776"/>
    <cellStyle name="Normal 2 2 65 2" xfId="14777"/>
    <cellStyle name="Normal 2 2 65 3" xfId="14778"/>
    <cellStyle name="Normal 2 2 66" xfId="14779"/>
    <cellStyle name="Normal 2 2 66 2" xfId="14780"/>
    <cellStyle name="Normal 2 2 66 3" xfId="14781"/>
    <cellStyle name="Normal 2 2 67" xfId="14782"/>
    <cellStyle name="Normal 2 2 67 2" xfId="14783"/>
    <cellStyle name="Normal 2 2 67 3" xfId="14784"/>
    <cellStyle name="Normal 2 2 68" xfId="14785"/>
    <cellStyle name="Normal 2 2 68 2" xfId="14786"/>
    <cellStyle name="Normal 2 2 68 3" xfId="14787"/>
    <cellStyle name="Normal 2 2 69" xfId="14788"/>
    <cellStyle name="Normal 2 2 69 2" xfId="14789"/>
    <cellStyle name="Normal 2 2 69 3" xfId="14790"/>
    <cellStyle name="Normal 2 2 7" xfId="14791"/>
    <cellStyle name="Normal 2 2 7 2" xfId="14792"/>
    <cellStyle name="Normal 2 2 7 2 2" xfId="14793"/>
    <cellStyle name="Normal 2 2 7 2 3" xfId="14794"/>
    <cellStyle name="Normal 2 2 7 2 4" xfId="14795"/>
    <cellStyle name="Normal 2 2 7 2 5" xfId="14796"/>
    <cellStyle name="Normal 2 2 7 2 6" xfId="14797"/>
    <cellStyle name="Normal 2 2 7 3" xfId="14798"/>
    <cellStyle name="Normal 2 2 7 4" xfId="14799"/>
    <cellStyle name="Normal 2 2 70" xfId="14800"/>
    <cellStyle name="Normal 2 2 70 2" xfId="14801"/>
    <cellStyle name="Normal 2 2 70 3" xfId="14802"/>
    <cellStyle name="Normal 2 2 71" xfId="14803"/>
    <cellStyle name="Normal 2 2 71 2" xfId="14804"/>
    <cellStyle name="Normal 2 2 71 3" xfId="14805"/>
    <cellStyle name="Normal 2 2 72" xfId="14806"/>
    <cellStyle name="Normal 2 2 72 2" xfId="14807"/>
    <cellStyle name="Normal 2 2 72 3" xfId="14808"/>
    <cellStyle name="Normal 2 2 73" xfId="14809"/>
    <cellStyle name="Normal 2 2 73 2" xfId="14810"/>
    <cellStyle name="Normal 2 2 73 3" xfId="14811"/>
    <cellStyle name="Normal 2 2 74" xfId="14812"/>
    <cellStyle name="Normal 2 2 74 2" xfId="14813"/>
    <cellStyle name="Normal 2 2 74 3" xfId="14814"/>
    <cellStyle name="Normal 2 2 75" xfId="14815"/>
    <cellStyle name="Normal 2 2 75 2" xfId="14816"/>
    <cellStyle name="Normal 2 2 75 3" xfId="14817"/>
    <cellStyle name="Normal 2 2 76" xfId="14818"/>
    <cellStyle name="Normal 2 2 76 2" xfId="14819"/>
    <cellStyle name="Normal 2 2 76 3" xfId="14820"/>
    <cellStyle name="Normal 2 2 77" xfId="14821"/>
    <cellStyle name="Normal 2 2 77 2" xfId="14822"/>
    <cellStyle name="Normal 2 2 77 3" xfId="14823"/>
    <cellStyle name="Normal 2 2 78" xfId="14824"/>
    <cellStyle name="Normal 2 2 78 2" xfId="14825"/>
    <cellStyle name="Normal 2 2 78 3" xfId="14826"/>
    <cellStyle name="Normal 2 2 79" xfId="14827"/>
    <cellStyle name="Normal 2 2 79 2" xfId="14828"/>
    <cellStyle name="Normal 2 2 79 3" xfId="14829"/>
    <cellStyle name="Normal 2 2 8" xfId="14830"/>
    <cellStyle name="Normal 2 2 8 2" xfId="14831"/>
    <cellStyle name="Normal 2 2 8 2 2" xfId="14832"/>
    <cellStyle name="Normal 2 2 8 2 3" xfId="14833"/>
    <cellStyle name="Normal 2 2 8 2 4" xfId="14834"/>
    <cellStyle name="Normal 2 2 8 2 5" xfId="14835"/>
    <cellStyle name="Normal 2 2 8 2 6" xfId="14836"/>
    <cellStyle name="Normal 2 2 8 3" xfId="14837"/>
    <cellStyle name="Normal 2 2 8 4" xfId="14838"/>
    <cellStyle name="Normal 2 2 80" xfId="14839"/>
    <cellStyle name="Normal 2 2 80 2" xfId="14840"/>
    <cellStyle name="Normal 2 2 80 3" xfId="14841"/>
    <cellStyle name="Normal 2 2 81" xfId="14842"/>
    <cellStyle name="Normal 2 2 81 2" xfId="14843"/>
    <cellStyle name="Normal 2 2 81 3" xfId="14844"/>
    <cellStyle name="Normal 2 2 82" xfId="14845"/>
    <cellStyle name="Normal 2 2 82 2" xfId="14846"/>
    <cellStyle name="Normal 2 2 82 3" xfId="14847"/>
    <cellStyle name="Normal 2 2 83" xfId="14848"/>
    <cellStyle name="Normal 2 2 83 2" xfId="14849"/>
    <cellStyle name="Normal 2 2 83 3" xfId="14850"/>
    <cellStyle name="Normal 2 2 84" xfId="14851"/>
    <cellStyle name="Normal 2 2 84 2" xfId="14852"/>
    <cellStyle name="Normal 2 2 84 3" xfId="14853"/>
    <cellStyle name="Normal 2 2 85" xfId="14854"/>
    <cellStyle name="Normal 2 2 85 2" xfId="14855"/>
    <cellStyle name="Normal 2 2 85 3" xfId="14856"/>
    <cellStyle name="Normal 2 2 86" xfId="14857"/>
    <cellStyle name="Normal 2 2 86 2" xfId="14858"/>
    <cellStyle name="Normal 2 2 86 3" xfId="14859"/>
    <cellStyle name="Normal 2 2 87" xfId="14860"/>
    <cellStyle name="Normal 2 2 87 2" xfId="14861"/>
    <cellStyle name="Normal 2 2 87 3" xfId="14862"/>
    <cellStyle name="Normal 2 2 88" xfId="14863"/>
    <cellStyle name="Normal 2 2 88 2" xfId="14864"/>
    <cellStyle name="Normal 2 2 88 3" xfId="14865"/>
    <cellStyle name="Normal 2 2 89" xfId="14866"/>
    <cellStyle name="Normal 2 2 89 2" xfId="14867"/>
    <cellStyle name="Normal 2 2 89 3" xfId="14868"/>
    <cellStyle name="Normal 2 2 9" xfId="14869"/>
    <cellStyle name="Normal 2 2 9 2" xfId="14870"/>
    <cellStyle name="Normal 2 2 9 2 2" xfId="14871"/>
    <cellStyle name="Normal 2 2 9 2 3" xfId="14872"/>
    <cellStyle name="Normal 2 2 9 2 4" xfId="14873"/>
    <cellStyle name="Normal 2 2 9 2 5" xfId="14874"/>
    <cellStyle name="Normal 2 2 9 2 6" xfId="14875"/>
    <cellStyle name="Normal 2 2 9 3" xfId="14876"/>
    <cellStyle name="Normal 2 2 9 4" xfId="14877"/>
    <cellStyle name="Normal 2 2 90" xfId="14878"/>
    <cellStyle name="Normal 2 2 90 2" xfId="14879"/>
    <cellStyle name="Normal 2 2 90 3" xfId="14880"/>
    <cellStyle name="Normal 2 2 91" xfId="14881"/>
    <cellStyle name="Normal 2 2 91 2" xfId="14882"/>
    <cellStyle name="Normal 2 2 91 3" xfId="14883"/>
    <cellStyle name="Normal 2 2 92" xfId="14884"/>
    <cellStyle name="Normal 2 2 92 2" xfId="14885"/>
    <cellStyle name="Normal 2 2 92 3" xfId="14886"/>
    <cellStyle name="Normal 2 2 93" xfId="14887"/>
    <cellStyle name="Normal 2 2 93 2" xfId="14888"/>
    <cellStyle name="Normal 2 2 93 3" xfId="14889"/>
    <cellStyle name="Normal 2 2 94" xfId="14890"/>
    <cellStyle name="Normal 2 2 94 2" xfId="14891"/>
    <cellStyle name="Normal 2 2 94 3" xfId="14892"/>
    <cellStyle name="Normal 2 2 95" xfId="14893"/>
    <cellStyle name="Normal 2 2 95 2" xfId="14894"/>
    <cellStyle name="Normal 2 2 95 3" xfId="14895"/>
    <cellStyle name="Normal 2 2 96" xfId="14896"/>
    <cellStyle name="Normal 2 2 96 2" xfId="14897"/>
    <cellStyle name="Normal 2 2 96 3" xfId="14898"/>
    <cellStyle name="Normal 2 2 97" xfId="14899"/>
    <cellStyle name="Normal 2 2 97 2" xfId="14900"/>
    <cellStyle name="Normal 2 2 97 3" xfId="14901"/>
    <cellStyle name="Normal 2 2 98" xfId="14902"/>
    <cellStyle name="Normal 2 2 98 2" xfId="14903"/>
    <cellStyle name="Normal 2 2 98 3" xfId="14904"/>
    <cellStyle name="Normal 2 2 99" xfId="14905"/>
    <cellStyle name="Normal 2 2 99 2" xfId="14906"/>
    <cellStyle name="Normal 2 2 99 3" xfId="14907"/>
    <cellStyle name="Normal 2 20" xfId="14908"/>
    <cellStyle name="Normal 2 20 2" xfId="14909"/>
    <cellStyle name="Normal 2 20 2 2" xfId="14910"/>
    <cellStyle name="Normal 2 20 2 3" xfId="14911"/>
    <cellStyle name="Normal 2 20 2 3 2" xfId="14912"/>
    <cellStyle name="Normal 2 20 2 3 3" xfId="14913"/>
    <cellStyle name="Normal 2 20 2 3 4" xfId="14914"/>
    <cellStyle name="Normal 2 20 2 3 5" xfId="14915"/>
    <cellStyle name="Normal 2 20 2 3 6" xfId="14916"/>
    <cellStyle name="Normal 2 20 2 4" xfId="14917"/>
    <cellStyle name="Normal 2 20 2 4 2" xfId="14918"/>
    <cellStyle name="Normal 2 20 2 4 3" xfId="14919"/>
    <cellStyle name="Normal 2 20 2 4 4" xfId="14920"/>
    <cellStyle name="Normal 2 20 2 4 5" xfId="14921"/>
    <cellStyle name="Normal 2 20 2 4 6" xfId="14922"/>
    <cellStyle name="Normal 2 20 3" xfId="14923"/>
    <cellStyle name="Normal 2 20 3 2" xfId="14924"/>
    <cellStyle name="Normal 2 20 3 3" xfId="14925"/>
    <cellStyle name="Normal 2 20 3 4" xfId="14926"/>
    <cellStyle name="Normal 2 20 3 5" xfId="14927"/>
    <cellStyle name="Normal 2 20 3 6" xfId="14928"/>
    <cellStyle name="Normal 2 20 4" xfId="14929"/>
    <cellStyle name="Normal 2 20 5" xfId="14930"/>
    <cellStyle name="Normal 2 200" xfId="14931"/>
    <cellStyle name="Normal 2 21" xfId="14932"/>
    <cellStyle name="Normal 2 21 2" xfId="14933"/>
    <cellStyle name="Normal 2 21 2 2" xfId="14934"/>
    <cellStyle name="Normal 2 21 2 3" xfId="14935"/>
    <cellStyle name="Normal 2 21 2 4" xfId="14936"/>
    <cellStyle name="Normal 2 21 2 5" xfId="14937"/>
    <cellStyle name="Normal 2 21 2 6" xfId="14938"/>
    <cellStyle name="Normal 2 21 3" xfId="14939"/>
    <cellStyle name="Normal 2 21 4" xfId="14940"/>
    <cellStyle name="Normal 2 22" xfId="14941"/>
    <cellStyle name="Normal 2 22 2" xfId="14942"/>
    <cellStyle name="Normal 2 22 2 2" xfId="14943"/>
    <cellStyle name="Normal 2 22 2 3" xfId="14944"/>
    <cellStyle name="Normal 2 22 2 3 2" xfId="14945"/>
    <cellStyle name="Normal 2 22 2 3 3" xfId="14946"/>
    <cellStyle name="Normal 2 22 2 3 4" xfId="14947"/>
    <cellStyle name="Normal 2 22 2 3 5" xfId="14948"/>
    <cellStyle name="Normal 2 22 2 3 6" xfId="14949"/>
    <cellStyle name="Normal 2 22 2 4" xfId="14950"/>
    <cellStyle name="Normal 2 22 2 4 2" xfId="14951"/>
    <cellStyle name="Normal 2 22 2 4 3" xfId="14952"/>
    <cellStyle name="Normal 2 22 2 4 4" xfId="14953"/>
    <cellStyle name="Normal 2 22 2 4 5" xfId="14954"/>
    <cellStyle name="Normal 2 22 2 4 6" xfId="14955"/>
    <cellStyle name="Normal 2 22 3" xfId="14956"/>
    <cellStyle name="Normal 2 22 3 2" xfId="14957"/>
    <cellStyle name="Normal 2 22 3 3" xfId="14958"/>
    <cellStyle name="Normal 2 22 3 4" xfId="14959"/>
    <cellStyle name="Normal 2 22 3 5" xfId="14960"/>
    <cellStyle name="Normal 2 22 3 6" xfId="14961"/>
    <cellStyle name="Normal 2 22 4" xfId="14962"/>
    <cellStyle name="Normal 2 22 5" xfId="14963"/>
    <cellStyle name="Normal 2 23" xfId="14964"/>
    <cellStyle name="Normal 2 23 2" xfId="14965"/>
    <cellStyle name="Normal 2 23 2 2" xfId="14966"/>
    <cellStyle name="Normal 2 23 2 3" xfId="14967"/>
    <cellStyle name="Normal 2 23 2 3 2" xfId="14968"/>
    <cellStyle name="Normal 2 23 2 3 3" xfId="14969"/>
    <cellStyle name="Normal 2 23 2 3 4" xfId="14970"/>
    <cellStyle name="Normal 2 23 2 3 5" xfId="14971"/>
    <cellStyle name="Normal 2 23 2 3 6" xfId="14972"/>
    <cellStyle name="Normal 2 23 2 4" xfId="14973"/>
    <cellStyle name="Normal 2 23 2 4 2" xfId="14974"/>
    <cellStyle name="Normal 2 23 2 4 3" xfId="14975"/>
    <cellStyle name="Normal 2 23 2 4 4" xfId="14976"/>
    <cellStyle name="Normal 2 23 2 4 5" xfId="14977"/>
    <cellStyle name="Normal 2 23 2 4 6" xfId="14978"/>
    <cellStyle name="Normal 2 23 3" xfId="14979"/>
    <cellStyle name="Normal 2 23 3 2" xfId="14980"/>
    <cellStyle name="Normal 2 23 3 3" xfId="14981"/>
    <cellStyle name="Normal 2 23 3 4" xfId="14982"/>
    <cellStyle name="Normal 2 23 3 5" xfId="14983"/>
    <cellStyle name="Normal 2 23 3 6" xfId="14984"/>
    <cellStyle name="Normal 2 23 4" xfId="14985"/>
    <cellStyle name="Normal 2 23 5" xfId="14986"/>
    <cellStyle name="Normal 2 24" xfId="14987"/>
    <cellStyle name="Normal 2 24 2" xfId="14988"/>
    <cellStyle name="Normal 2 24 2 2" xfId="14989"/>
    <cellStyle name="Normal 2 24 2 3" xfId="14990"/>
    <cellStyle name="Normal 2 24 2 3 2" xfId="14991"/>
    <cellStyle name="Normal 2 24 2 3 3" xfId="14992"/>
    <cellStyle name="Normal 2 24 2 3 4" xfId="14993"/>
    <cellStyle name="Normal 2 24 2 3 5" xfId="14994"/>
    <cellStyle name="Normal 2 24 2 3 6" xfId="14995"/>
    <cellStyle name="Normal 2 24 2 4" xfId="14996"/>
    <cellStyle name="Normal 2 24 2 4 2" xfId="14997"/>
    <cellStyle name="Normal 2 24 2 4 3" xfId="14998"/>
    <cellStyle name="Normal 2 24 2 4 4" xfId="14999"/>
    <cellStyle name="Normal 2 24 2 4 5" xfId="15000"/>
    <cellStyle name="Normal 2 24 2 4 6" xfId="15001"/>
    <cellStyle name="Normal 2 24 3" xfId="15002"/>
    <cellStyle name="Normal 2 24 3 2" xfId="15003"/>
    <cellStyle name="Normal 2 24 3 3" xfId="15004"/>
    <cellStyle name="Normal 2 24 3 4" xfId="15005"/>
    <cellStyle name="Normal 2 24 3 5" xfId="15006"/>
    <cellStyle name="Normal 2 24 3 6" xfId="15007"/>
    <cellStyle name="Normal 2 24 4" xfId="15008"/>
    <cellStyle name="Normal 2 24 5" xfId="15009"/>
    <cellStyle name="Normal 2 25" xfId="15010"/>
    <cellStyle name="Normal 2 25 2" xfId="15011"/>
    <cellStyle name="Normal 2 25 2 2" xfId="15012"/>
    <cellStyle name="Normal 2 25 2 3" xfId="15013"/>
    <cellStyle name="Normal 2 25 2 3 2" xfId="15014"/>
    <cellStyle name="Normal 2 25 2 3 3" xfId="15015"/>
    <cellStyle name="Normal 2 25 2 3 4" xfId="15016"/>
    <cellStyle name="Normal 2 25 2 3 5" xfId="15017"/>
    <cellStyle name="Normal 2 25 2 3 6" xfId="15018"/>
    <cellStyle name="Normal 2 25 2 4" xfId="15019"/>
    <cellStyle name="Normal 2 25 2 4 2" xfId="15020"/>
    <cellStyle name="Normal 2 25 2 4 3" xfId="15021"/>
    <cellStyle name="Normal 2 25 2 4 4" xfId="15022"/>
    <cellStyle name="Normal 2 25 2 4 5" xfId="15023"/>
    <cellStyle name="Normal 2 25 2 4 6" xfId="15024"/>
    <cellStyle name="Normal 2 25 3" xfId="15025"/>
    <cellStyle name="Normal 2 25 3 2" xfId="15026"/>
    <cellStyle name="Normal 2 25 3 3" xfId="15027"/>
    <cellStyle name="Normal 2 25 3 4" xfId="15028"/>
    <cellStyle name="Normal 2 25 3 5" xfId="15029"/>
    <cellStyle name="Normal 2 25 3 6" xfId="15030"/>
    <cellStyle name="Normal 2 25 4" xfId="15031"/>
    <cellStyle name="Normal 2 25 5" xfId="15032"/>
    <cellStyle name="Normal 2 26" xfId="15033"/>
    <cellStyle name="Normal 2 26 2" xfId="15034"/>
    <cellStyle name="Normal 2 26 2 2" xfId="15035"/>
    <cellStyle name="Normal 2 26 2 3" xfId="15036"/>
    <cellStyle name="Normal 2 26 2 3 2" xfId="15037"/>
    <cellStyle name="Normal 2 26 2 3 3" xfId="15038"/>
    <cellStyle name="Normal 2 26 2 3 4" xfId="15039"/>
    <cellStyle name="Normal 2 26 2 3 5" xfId="15040"/>
    <cellStyle name="Normal 2 26 2 3 6" xfId="15041"/>
    <cellStyle name="Normal 2 26 2 4" xfId="15042"/>
    <cellStyle name="Normal 2 26 2 4 2" xfId="15043"/>
    <cellStyle name="Normal 2 26 2 4 3" xfId="15044"/>
    <cellStyle name="Normal 2 26 2 4 4" xfId="15045"/>
    <cellStyle name="Normal 2 26 2 4 5" xfId="15046"/>
    <cellStyle name="Normal 2 26 2 4 6" xfId="15047"/>
    <cellStyle name="Normal 2 26 3" xfId="15048"/>
    <cellStyle name="Normal 2 26 3 2" xfId="15049"/>
    <cellStyle name="Normal 2 26 3 3" xfId="15050"/>
    <cellStyle name="Normal 2 26 3 4" xfId="15051"/>
    <cellStyle name="Normal 2 26 3 5" xfId="15052"/>
    <cellStyle name="Normal 2 26 3 6" xfId="15053"/>
    <cellStyle name="Normal 2 26 4" xfId="15054"/>
    <cellStyle name="Normal 2 26 5" xfId="15055"/>
    <cellStyle name="Normal 2 27" xfId="15056"/>
    <cellStyle name="Normal 2 27 2" xfId="15057"/>
    <cellStyle name="Normal 2 27 2 2" xfId="15058"/>
    <cellStyle name="Normal 2 27 2 3" xfId="15059"/>
    <cellStyle name="Normal 2 27 2 3 2" xfId="15060"/>
    <cellStyle name="Normal 2 27 2 3 3" xfId="15061"/>
    <cellStyle name="Normal 2 27 2 3 4" xfId="15062"/>
    <cellStyle name="Normal 2 27 2 3 5" xfId="15063"/>
    <cellStyle name="Normal 2 27 2 3 6" xfId="15064"/>
    <cellStyle name="Normal 2 27 2 4" xfId="15065"/>
    <cellStyle name="Normal 2 27 2 4 2" xfId="15066"/>
    <cellStyle name="Normal 2 27 2 4 3" xfId="15067"/>
    <cellStyle name="Normal 2 27 2 4 4" xfId="15068"/>
    <cellStyle name="Normal 2 27 2 4 5" xfId="15069"/>
    <cellStyle name="Normal 2 27 2 4 6" xfId="15070"/>
    <cellStyle name="Normal 2 27 3" xfId="15071"/>
    <cellStyle name="Normal 2 27 3 2" xfId="15072"/>
    <cellStyle name="Normal 2 27 3 3" xfId="15073"/>
    <cellStyle name="Normal 2 27 3 4" xfId="15074"/>
    <cellStyle name="Normal 2 27 3 5" xfId="15075"/>
    <cellStyle name="Normal 2 27 3 6" xfId="15076"/>
    <cellStyle name="Normal 2 27 4" xfId="15077"/>
    <cellStyle name="Normal 2 27 5" xfId="15078"/>
    <cellStyle name="Normal 2 28" xfId="15079"/>
    <cellStyle name="Normal 2 28 2" xfId="15080"/>
    <cellStyle name="Normal 2 28 2 2" xfId="15081"/>
    <cellStyle name="Normal 2 28 2 3" xfId="15082"/>
    <cellStyle name="Normal 2 28 2 4" xfId="15083"/>
    <cellStyle name="Normal 2 28 2 5" xfId="15084"/>
    <cellStyle name="Normal 2 28 2 6" xfId="15085"/>
    <cellStyle name="Normal 2 28 3" xfId="15086"/>
    <cellStyle name="Normal 2 28 4" xfId="15087"/>
    <cellStyle name="Normal 2 29" xfId="15088"/>
    <cellStyle name="Normal 2 29 2" xfId="15089"/>
    <cellStyle name="Normal 2 29 2 2" xfId="15090"/>
    <cellStyle name="Normal 2 29 2 3" xfId="15091"/>
    <cellStyle name="Normal 2 29 2 3 2" xfId="15092"/>
    <cellStyle name="Normal 2 29 2 3 3" xfId="15093"/>
    <cellStyle name="Normal 2 29 2 3 4" xfId="15094"/>
    <cellStyle name="Normal 2 29 2 3 5" xfId="15095"/>
    <cellStyle name="Normal 2 29 2 3 6" xfId="15096"/>
    <cellStyle name="Normal 2 29 2 4" xfId="15097"/>
    <cellStyle name="Normal 2 29 2 4 2" xfId="15098"/>
    <cellStyle name="Normal 2 29 2 4 3" xfId="15099"/>
    <cellStyle name="Normal 2 29 2 4 4" xfId="15100"/>
    <cellStyle name="Normal 2 29 2 4 5" xfId="15101"/>
    <cellStyle name="Normal 2 29 2 4 6" xfId="15102"/>
    <cellStyle name="Normal 2 29 3" xfId="15103"/>
    <cellStyle name="Normal 2 29 3 2" xfId="15104"/>
    <cellStyle name="Normal 2 29 3 3" xfId="15105"/>
    <cellStyle name="Normal 2 29 3 4" xfId="15106"/>
    <cellStyle name="Normal 2 29 3 5" xfId="15107"/>
    <cellStyle name="Normal 2 29 3 6" xfId="15108"/>
    <cellStyle name="Normal 2 29 4" xfId="15109"/>
    <cellStyle name="Normal 2 29 5" xfId="15110"/>
    <cellStyle name="Normal 2 3" xfId="15111"/>
    <cellStyle name="Normal 2 3 10" xfId="15112"/>
    <cellStyle name="Normal 2 3 10 2" xfId="15113"/>
    <cellStyle name="Normal 2 3 10 3" xfId="15114"/>
    <cellStyle name="Normal 2 3 10 4" xfId="15115"/>
    <cellStyle name="Normal 2 3 11" xfId="15116"/>
    <cellStyle name="Normal 2 3 11 2" xfId="15117"/>
    <cellStyle name="Normal 2 3 11 3" xfId="15118"/>
    <cellStyle name="Normal 2 3 11 4" xfId="15119"/>
    <cellStyle name="Normal 2 3 12" xfId="15120"/>
    <cellStyle name="Normal 2 3 12 2" xfId="15121"/>
    <cellStyle name="Normal 2 3 12 3" xfId="15122"/>
    <cellStyle name="Normal 2 3 12 4" xfId="15123"/>
    <cellStyle name="Normal 2 3 13" xfId="15124"/>
    <cellStyle name="Normal 2 3 13 2" xfId="15125"/>
    <cellStyle name="Normal 2 3 13 3" xfId="15126"/>
    <cellStyle name="Normal 2 3 13 4" xfId="15127"/>
    <cellStyle name="Normal 2 3 14" xfId="15128"/>
    <cellStyle name="Normal 2 3 14 2" xfId="15129"/>
    <cellStyle name="Normal 2 3 14 3" xfId="15130"/>
    <cellStyle name="Normal 2 3 14 4" xfId="15131"/>
    <cellStyle name="Normal 2 3 15" xfId="15132"/>
    <cellStyle name="Normal 2 3 15 2" xfId="15133"/>
    <cellStyle name="Normal 2 3 15 3" xfId="15134"/>
    <cellStyle name="Normal 2 3 15 4" xfId="15135"/>
    <cellStyle name="Normal 2 3 16" xfId="15136"/>
    <cellStyle name="Normal 2 3 16 2" xfId="15137"/>
    <cellStyle name="Normal 2 3 16 3" xfId="15138"/>
    <cellStyle name="Normal 2 3 16 4" xfId="15139"/>
    <cellStyle name="Normal 2 3 17" xfId="15140"/>
    <cellStyle name="Normal 2 3 17 2" xfId="15141"/>
    <cellStyle name="Normal 2 3 17 3" xfId="15142"/>
    <cellStyle name="Normal 2 3 17 4" xfId="15143"/>
    <cellStyle name="Normal 2 3 18" xfId="15144"/>
    <cellStyle name="Normal 2 3 18 2" xfId="15145"/>
    <cellStyle name="Normal 2 3 18 3" xfId="15146"/>
    <cellStyle name="Normal 2 3 18 4" xfId="15147"/>
    <cellStyle name="Normal 2 3 19" xfId="15148"/>
    <cellStyle name="Normal 2 3 19 2" xfId="15149"/>
    <cellStyle name="Normal 2 3 19 3" xfId="15150"/>
    <cellStyle name="Normal 2 3 19 4" xfId="15151"/>
    <cellStyle name="Normal 2 3 2" xfId="15152"/>
    <cellStyle name="Normal 2 3 2 2" xfId="15153"/>
    <cellStyle name="Normal 2 3 2 2 2" xfId="15154"/>
    <cellStyle name="Normal 2 3 2 2 3" xfId="15155"/>
    <cellStyle name="Normal 2 3 2 2 4" xfId="15156"/>
    <cellStyle name="Normal 2 3 2 3" xfId="15157"/>
    <cellStyle name="Normal 2 3 2 3 2" xfId="15158"/>
    <cellStyle name="Normal 2 3 2 3 3" xfId="15159"/>
    <cellStyle name="Normal 2 3 2 3 4" xfId="15160"/>
    <cellStyle name="Normal 2 3 2 4" xfId="15161"/>
    <cellStyle name="Normal 2 3 2 4 2" xfId="15162"/>
    <cellStyle name="Normal 2 3 2 4 3" xfId="15163"/>
    <cellStyle name="Normal 2 3 2 4 4" xfId="15164"/>
    <cellStyle name="Normal 2 3 2 4 5" xfId="15165"/>
    <cellStyle name="Normal 2 3 2 4 6" xfId="15166"/>
    <cellStyle name="Normal 2 3 2 5" xfId="15167"/>
    <cellStyle name="Normal 2 3 2 6" xfId="15168"/>
    <cellStyle name="Normal 2 3 20" xfId="15169"/>
    <cellStyle name="Normal 2 3 20 2" xfId="15170"/>
    <cellStyle name="Normal 2 3 20 3" xfId="15171"/>
    <cellStyle name="Normal 2 3 20 4" xfId="15172"/>
    <cellStyle name="Normal 2 3 21" xfId="15173"/>
    <cellStyle name="Normal 2 3 21 2" xfId="15174"/>
    <cellStyle name="Normal 2 3 21 3" xfId="15175"/>
    <cellStyle name="Normal 2 3 21 4" xfId="15176"/>
    <cellStyle name="Normal 2 3 22" xfId="15177"/>
    <cellStyle name="Normal 2 3 22 2" xfId="15178"/>
    <cellStyle name="Normal 2 3 22 3" xfId="15179"/>
    <cellStyle name="Normal 2 3 22 4" xfId="15180"/>
    <cellStyle name="Normal 2 3 23" xfId="15181"/>
    <cellStyle name="Normal 2 3 23 2" xfId="15182"/>
    <cellStyle name="Normal 2 3 23 3" xfId="15183"/>
    <cellStyle name="Normal 2 3 23 4" xfId="15184"/>
    <cellStyle name="Normal 2 3 24" xfId="15185"/>
    <cellStyle name="Normal 2 3 24 2" xfId="15186"/>
    <cellStyle name="Normal 2 3 24 3" xfId="15187"/>
    <cellStyle name="Normal 2 3 24 4" xfId="15188"/>
    <cellStyle name="Normal 2 3 25" xfId="15189"/>
    <cellStyle name="Normal 2 3 25 2" xfId="15190"/>
    <cellStyle name="Normal 2 3 25 3" xfId="15191"/>
    <cellStyle name="Normal 2 3 25 4" xfId="15192"/>
    <cellStyle name="Normal 2 3 26" xfId="15193"/>
    <cellStyle name="Normal 2 3 26 2" xfId="15194"/>
    <cellStyle name="Normal 2 3 26 2 2" xfId="15195"/>
    <cellStyle name="Normal 2 3 26 2 3" xfId="15196"/>
    <cellStyle name="Normal 2 3 26 2 4" xfId="15197"/>
    <cellStyle name="Normal 2 3 26 2 5" xfId="15198"/>
    <cellStyle name="Normal 2 3 26 2 6" xfId="15199"/>
    <cellStyle name="Normal 2 3 26 3" xfId="15200"/>
    <cellStyle name="Normal 2 3 26 4" xfId="15201"/>
    <cellStyle name="Normal 2 3 27" xfId="15202"/>
    <cellStyle name="Normal 2 3 28" xfId="15203"/>
    <cellStyle name="Normal 2 3 29" xfId="15204"/>
    <cellStyle name="Normal 2 3 3" xfId="15205"/>
    <cellStyle name="Normal 2 3 3 2" xfId="15206"/>
    <cellStyle name="Normal 2 3 3 3" xfId="15207"/>
    <cellStyle name="Normal 2 3 3 4" xfId="15208"/>
    <cellStyle name="Normal 2 3 4" xfId="15209"/>
    <cellStyle name="Normal 2 3 4 2" xfId="15210"/>
    <cellStyle name="Normal 2 3 4 3" xfId="15211"/>
    <cellStyle name="Normal 2 3 4 4" xfId="15212"/>
    <cellStyle name="Normal 2 3 5" xfId="15213"/>
    <cellStyle name="Normal 2 3 5 2" xfId="15214"/>
    <cellStyle name="Normal 2 3 5 3" xfId="15215"/>
    <cellStyle name="Normal 2 3 5 4" xfId="15216"/>
    <cellStyle name="Normal 2 3 6" xfId="15217"/>
    <cellStyle name="Normal 2 3 6 2" xfId="15218"/>
    <cellStyle name="Normal 2 3 6 3" xfId="15219"/>
    <cellStyle name="Normal 2 3 6 4" xfId="15220"/>
    <cellStyle name="Normal 2 3 7" xfId="15221"/>
    <cellStyle name="Normal 2 3 7 2" xfId="15222"/>
    <cellStyle name="Normal 2 3 7 3" xfId="15223"/>
    <cellStyle name="Normal 2 3 7 4" xfId="15224"/>
    <cellStyle name="Normal 2 3 8" xfId="15225"/>
    <cellStyle name="Normal 2 3 8 2" xfId="15226"/>
    <cellStyle name="Normal 2 3 8 3" xfId="15227"/>
    <cellStyle name="Normal 2 3 8 4" xfId="15228"/>
    <cellStyle name="Normal 2 3 9" xfId="15229"/>
    <cellStyle name="Normal 2 3 9 2" xfId="15230"/>
    <cellStyle name="Normal 2 3 9 3" xfId="15231"/>
    <cellStyle name="Normal 2 3 9 4" xfId="15232"/>
    <cellStyle name="Normal 2 30" xfId="15233"/>
    <cellStyle name="Normal 2 30 2" xfId="15234"/>
    <cellStyle name="Normal 2 30 2 2" xfId="15235"/>
    <cellStyle name="Normal 2 30 2 3" xfId="15236"/>
    <cellStyle name="Normal 2 30 2 4" xfId="15237"/>
    <cellStyle name="Normal 2 30 2 5" xfId="15238"/>
    <cellStyle name="Normal 2 30 2 6" xfId="15239"/>
    <cellStyle name="Normal 2 30 3" xfId="15240"/>
    <cellStyle name="Normal 2 30 4" xfId="15241"/>
    <cellStyle name="Normal 2 31" xfId="15242"/>
    <cellStyle name="Normal 2 31 2" xfId="15243"/>
    <cellStyle name="Normal 2 31 2 2" xfId="15244"/>
    <cellStyle name="Normal 2 31 2 3" xfId="15245"/>
    <cellStyle name="Normal 2 31 2 3 2" xfId="15246"/>
    <cellStyle name="Normal 2 31 2 3 3" xfId="15247"/>
    <cellStyle name="Normal 2 31 2 3 4" xfId="15248"/>
    <cellStyle name="Normal 2 31 2 3 5" xfId="15249"/>
    <cellStyle name="Normal 2 31 2 3 6" xfId="15250"/>
    <cellStyle name="Normal 2 31 2 4" xfId="15251"/>
    <cellStyle name="Normal 2 31 2 4 2" xfId="15252"/>
    <cellStyle name="Normal 2 31 2 4 3" xfId="15253"/>
    <cellStyle name="Normal 2 31 2 4 4" xfId="15254"/>
    <cellStyle name="Normal 2 31 2 4 5" xfId="15255"/>
    <cellStyle name="Normal 2 31 2 4 6" xfId="15256"/>
    <cellStyle name="Normal 2 31 3" xfId="15257"/>
    <cellStyle name="Normal 2 31 3 2" xfId="15258"/>
    <cellStyle name="Normal 2 31 3 3" xfId="15259"/>
    <cellStyle name="Normal 2 31 3 4" xfId="15260"/>
    <cellStyle name="Normal 2 31 3 5" xfId="15261"/>
    <cellStyle name="Normal 2 31 3 6" xfId="15262"/>
    <cellStyle name="Normal 2 31 4" xfId="15263"/>
    <cellStyle name="Normal 2 31 5" xfId="15264"/>
    <cellStyle name="Normal 2 32" xfId="15265"/>
    <cellStyle name="Normal 2 32 2" xfId="15266"/>
    <cellStyle name="Normal 2 32 2 2" xfId="15267"/>
    <cellStyle name="Normal 2 32 2 3" xfId="15268"/>
    <cellStyle name="Normal 2 32 2 4" xfId="15269"/>
    <cellStyle name="Normal 2 32 2 5" xfId="15270"/>
    <cellStyle name="Normal 2 32 2 6" xfId="15271"/>
    <cellStyle name="Normal 2 32 3" xfId="15272"/>
    <cellStyle name="Normal 2 32 4" xfId="15273"/>
    <cellStyle name="Normal 2 33" xfId="15274"/>
    <cellStyle name="Normal 2 33 2" xfId="15275"/>
    <cellStyle name="Normal 2 33 2 2" xfId="15276"/>
    <cellStyle name="Normal 2 33 2 3" xfId="15277"/>
    <cellStyle name="Normal 2 33 2 4" xfId="15278"/>
    <cellStyle name="Normal 2 33 2 5" xfId="15279"/>
    <cellStyle name="Normal 2 33 2 6" xfId="15280"/>
    <cellStyle name="Normal 2 33 3" xfId="15281"/>
    <cellStyle name="Normal 2 33 4" xfId="15282"/>
    <cellStyle name="Normal 2 34" xfId="15283"/>
    <cellStyle name="Normal 2 34 2" xfId="15284"/>
    <cellStyle name="Normal 2 34 2 2" xfId="15285"/>
    <cellStyle name="Normal 2 34 2 3" xfId="15286"/>
    <cellStyle name="Normal 2 34 2 4" xfId="15287"/>
    <cellStyle name="Normal 2 34 2 5" xfId="15288"/>
    <cellStyle name="Normal 2 34 2 6" xfId="15289"/>
    <cellStyle name="Normal 2 34 3" xfId="15290"/>
    <cellStyle name="Normal 2 34 4" xfId="15291"/>
    <cellStyle name="Normal 2 35" xfId="15292"/>
    <cellStyle name="Normal 2 35 10" xfId="15293"/>
    <cellStyle name="Normal 2 35 10 2" xfId="15294"/>
    <cellStyle name="Normal 2 35 10 3" xfId="15295"/>
    <cellStyle name="Normal 2 35 10 3 2" xfId="15296"/>
    <cellStyle name="Normal 2 35 10 3 3" xfId="15297"/>
    <cellStyle name="Normal 2 35 10 3 4" xfId="15298"/>
    <cellStyle name="Normal 2 35 10 3 5" xfId="15299"/>
    <cellStyle name="Normal 2 35 10 3 6" xfId="15300"/>
    <cellStyle name="Normal 2 35 10 4" xfId="15301"/>
    <cellStyle name="Normal 2 35 10 4 2" xfId="15302"/>
    <cellStyle name="Normal 2 35 10 4 3" xfId="15303"/>
    <cellStyle name="Normal 2 35 10 4 4" xfId="15304"/>
    <cellStyle name="Normal 2 35 10 4 5" xfId="15305"/>
    <cellStyle name="Normal 2 35 10 4 6" xfId="15306"/>
    <cellStyle name="Normal 2 35 11" xfId="15307"/>
    <cellStyle name="Normal 2 35 11 2" xfId="15308"/>
    <cellStyle name="Normal 2 35 11 3" xfId="15309"/>
    <cellStyle name="Normal 2 35 11 3 2" xfId="15310"/>
    <cellStyle name="Normal 2 35 11 3 3" xfId="15311"/>
    <cellStyle name="Normal 2 35 11 3 4" xfId="15312"/>
    <cellStyle name="Normal 2 35 11 3 5" xfId="15313"/>
    <cellStyle name="Normal 2 35 11 3 6" xfId="15314"/>
    <cellStyle name="Normal 2 35 11 4" xfId="15315"/>
    <cellStyle name="Normal 2 35 11 4 2" xfId="15316"/>
    <cellStyle name="Normal 2 35 11 4 3" xfId="15317"/>
    <cellStyle name="Normal 2 35 11 4 4" xfId="15318"/>
    <cellStyle name="Normal 2 35 11 4 5" xfId="15319"/>
    <cellStyle name="Normal 2 35 11 4 6" xfId="15320"/>
    <cellStyle name="Normal 2 35 12" xfId="15321"/>
    <cellStyle name="Normal 2 35 12 2" xfId="15322"/>
    <cellStyle name="Normal 2 35 12 3" xfId="15323"/>
    <cellStyle name="Normal 2 35 12 3 2" xfId="15324"/>
    <cellStyle name="Normal 2 35 12 3 3" xfId="15325"/>
    <cellStyle name="Normal 2 35 12 3 4" xfId="15326"/>
    <cellStyle name="Normal 2 35 12 3 5" xfId="15327"/>
    <cellStyle name="Normal 2 35 12 3 6" xfId="15328"/>
    <cellStyle name="Normal 2 35 12 4" xfId="15329"/>
    <cellStyle name="Normal 2 35 12 4 2" xfId="15330"/>
    <cellStyle name="Normal 2 35 12 4 3" xfId="15331"/>
    <cellStyle name="Normal 2 35 12 4 4" xfId="15332"/>
    <cellStyle name="Normal 2 35 12 4 5" xfId="15333"/>
    <cellStyle name="Normal 2 35 12 4 6" xfId="15334"/>
    <cellStyle name="Normal 2 35 13" xfId="15335"/>
    <cellStyle name="Normal 2 35 13 2" xfId="15336"/>
    <cellStyle name="Normal 2 35 13 3" xfId="15337"/>
    <cellStyle name="Normal 2 35 13 3 2" xfId="15338"/>
    <cellStyle name="Normal 2 35 13 3 3" xfId="15339"/>
    <cellStyle name="Normal 2 35 13 3 4" xfId="15340"/>
    <cellStyle name="Normal 2 35 13 3 5" xfId="15341"/>
    <cellStyle name="Normal 2 35 13 3 6" xfId="15342"/>
    <cellStyle name="Normal 2 35 13 4" xfId="15343"/>
    <cellStyle name="Normal 2 35 13 4 2" xfId="15344"/>
    <cellStyle name="Normal 2 35 13 4 3" xfId="15345"/>
    <cellStyle name="Normal 2 35 13 4 4" xfId="15346"/>
    <cellStyle name="Normal 2 35 13 4 5" xfId="15347"/>
    <cellStyle name="Normal 2 35 13 4 6" xfId="15348"/>
    <cellStyle name="Normal 2 35 14" xfId="15349"/>
    <cellStyle name="Normal 2 35 14 2" xfId="15350"/>
    <cellStyle name="Normal 2 35 14 3" xfId="15351"/>
    <cellStyle name="Normal 2 35 14 3 2" xfId="15352"/>
    <cellStyle name="Normal 2 35 14 3 3" xfId="15353"/>
    <cellStyle name="Normal 2 35 14 3 4" xfId="15354"/>
    <cellStyle name="Normal 2 35 14 3 5" xfId="15355"/>
    <cellStyle name="Normal 2 35 14 3 6" xfId="15356"/>
    <cellStyle name="Normal 2 35 14 4" xfId="15357"/>
    <cellStyle name="Normal 2 35 14 4 2" xfId="15358"/>
    <cellStyle name="Normal 2 35 14 4 3" xfId="15359"/>
    <cellStyle name="Normal 2 35 14 4 4" xfId="15360"/>
    <cellStyle name="Normal 2 35 14 4 5" xfId="15361"/>
    <cellStyle name="Normal 2 35 14 4 6" xfId="15362"/>
    <cellStyle name="Normal 2 35 15" xfId="15363"/>
    <cellStyle name="Normal 2 35 15 2" xfId="15364"/>
    <cellStyle name="Normal 2 35 15 3" xfId="15365"/>
    <cellStyle name="Normal 2 35 15 3 2" xfId="15366"/>
    <cellStyle name="Normal 2 35 15 3 3" xfId="15367"/>
    <cellStyle name="Normal 2 35 15 3 4" xfId="15368"/>
    <cellStyle name="Normal 2 35 15 3 5" xfId="15369"/>
    <cellStyle name="Normal 2 35 15 3 6" xfId="15370"/>
    <cellStyle name="Normal 2 35 15 4" xfId="15371"/>
    <cellStyle name="Normal 2 35 15 4 2" xfId="15372"/>
    <cellStyle name="Normal 2 35 15 4 3" xfId="15373"/>
    <cellStyle name="Normal 2 35 15 4 4" xfId="15374"/>
    <cellStyle name="Normal 2 35 15 4 5" xfId="15375"/>
    <cellStyle name="Normal 2 35 15 4 6" xfId="15376"/>
    <cellStyle name="Normal 2 35 16" xfId="15377"/>
    <cellStyle name="Normal 2 35 16 2" xfId="15378"/>
    <cellStyle name="Normal 2 35 16 3" xfId="15379"/>
    <cellStyle name="Normal 2 35 16 3 2" xfId="15380"/>
    <cellStyle name="Normal 2 35 16 3 3" xfId="15381"/>
    <cellStyle name="Normal 2 35 16 3 4" xfId="15382"/>
    <cellStyle name="Normal 2 35 16 3 5" xfId="15383"/>
    <cellStyle name="Normal 2 35 16 3 6" xfId="15384"/>
    <cellStyle name="Normal 2 35 16 4" xfId="15385"/>
    <cellStyle name="Normal 2 35 16 4 2" xfId="15386"/>
    <cellStyle name="Normal 2 35 16 4 3" xfId="15387"/>
    <cellStyle name="Normal 2 35 16 4 4" xfId="15388"/>
    <cellStyle name="Normal 2 35 16 4 5" xfId="15389"/>
    <cellStyle name="Normal 2 35 16 4 6" xfId="15390"/>
    <cellStyle name="Normal 2 35 17" xfId="15391"/>
    <cellStyle name="Normal 2 35 17 2" xfId="15392"/>
    <cellStyle name="Normal 2 35 17 3" xfId="15393"/>
    <cellStyle name="Normal 2 35 17 4" xfId="15394"/>
    <cellStyle name="Normal 2 35 17 5" xfId="15395"/>
    <cellStyle name="Normal 2 35 17 6" xfId="15396"/>
    <cellStyle name="Normal 2 35 18" xfId="15397"/>
    <cellStyle name="Normal 2 35 19" xfId="15398"/>
    <cellStyle name="Normal 2 35 2" xfId="15399"/>
    <cellStyle name="Normal 2 35 2 2" xfId="15400"/>
    <cellStyle name="Normal 2 35 2 3" xfId="15401"/>
    <cellStyle name="Normal 2 35 2 3 2" xfId="15402"/>
    <cellStyle name="Normal 2 35 2 3 3" xfId="15403"/>
    <cellStyle name="Normal 2 35 2 3 4" xfId="15404"/>
    <cellStyle name="Normal 2 35 2 3 5" xfId="15405"/>
    <cellStyle name="Normal 2 35 2 3 6" xfId="15406"/>
    <cellStyle name="Normal 2 35 2 4" xfId="15407"/>
    <cellStyle name="Normal 2 35 2 4 2" xfId="15408"/>
    <cellStyle name="Normal 2 35 2 4 3" xfId="15409"/>
    <cellStyle name="Normal 2 35 2 4 4" xfId="15410"/>
    <cellStyle name="Normal 2 35 2 4 5" xfId="15411"/>
    <cellStyle name="Normal 2 35 2 4 6" xfId="15412"/>
    <cellStyle name="Normal 2 35 3" xfId="15413"/>
    <cellStyle name="Normal 2 35 3 2" xfId="15414"/>
    <cellStyle name="Normal 2 35 3 3" xfId="15415"/>
    <cellStyle name="Normal 2 35 3 3 2" xfId="15416"/>
    <cellStyle name="Normal 2 35 3 3 3" xfId="15417"/>
    <cellStyle name="Normal 2 35 3 3 4" xfId="15418"/>
    <cellStyle name="Normal 2 35 3 3 5" xfId="15419"/>
    <cellStyle name="Normal 2 35 3 3 6" xfId="15420"/>
    <cellStyle name="Normal 2 35 3 4" xfId="15421"/>
    <cellStyle name="Normal 2 35 3 4 2" xfId="15422"/>
    <cellStyle name="Normal 2 35 3 4 3" xfId="15423"/>
    <cellStyle name="Normal 2 35 3 4 4" xfId="15424"/>
    <cellStyle name="Normal 2 35 3 4 5" xfId="15425"/>
    <cellStyle name="Normal 2 35 3 4 6" xfId="15426"/>
    <cellStyle name="Normal 2 35 4" xfId="15427"/>
    <cellStyle name="Normal 2 35 4 2" xfId="15428"/>
    <cellStyle name="Normal 2 35 4 3" xfId="15429"/>
    <cellStyle name="Normal 2 35 4 3 2" xfId="15430"/>
    <cellStyle name="Normal 2 35 4 3 3" xfId="15431"/>
    <cellStyle name="Normal 2 35 4 3 4" xfId="15432"/>
    <cellStyle name="Normal 2 35 4 3 5" xfId="15433"/>
    <cellStyle name="Normal 2 35 4 3 6" xfId="15434"/>
    <cellStyle name="Normal 2 35 4 4" xfId="15435"/>
    <cellStyle name="Normal 2 35 4 4 2" xfId="15436"/>
    <cellStyle name="Normal 2 35 4 4 3" xfId="15437"/>
    <cellStyle name="Normal 2 35 4 4 4" xfId="15438"/>
    <cellStyle name="Normal 2 35 4 4 5" xfId="15439"/>
    <cellStyle name="Normal 2 35 4 4 6" xfId="15440"/>
    <cellStyle name="Normal 2 35 5" xfId="15441"/>
    <cellStyle name="Normal 2 35 5 2" xfId="15442"/>
    <cellStyle name="Normal 2 35 5 3" xfId="15443"/>
    <cellStyle name="Normal 2 35 5 3 2" xfId="15444"/>
    <cellStyle name="Normal 2 35 5 3 3" xfId="15445"/>
    <cellStyle name="Normal 2 35 5 3 4" xfId="15446"/>
    <cellStyle name="Normal 2 35 5 3 5" xfId="15447"/>
    <cellStyle name="Normal 2 35 5 3 6" xfId="15448"/>
    <cellStyle name="Normal 2 35 5 4" xfId="15449"/>
    <cellStyle name="Normal 2 35 5 4 2" xfId="15450"/>
    <cellStyle name="Normal 2 35 5 4 3" xfId="15451"/>
    <cellStyle name="Normal 2 35 5 4 4" xfId="15452"/>
    <cellStyle name="Normal 2 35 5 4 5" xfId="15453"/>
    <cellStyle name="Normal 2 35 5 4 6" xfId="15454"/>
    <cellStyle name="Normal 2 35 6" xfId="15455"/>
    <cellStyle name="Normal 2 35 6 2" xfId="15456"/>
    <cellStyle name="Normal 2 35 6 3" xfId="15457"/>
    <cellStyle name="Normal 2 35 6 3 2" xfId="15458"/>
    <cellStyle name="Normal 2 35 6 3 3" xfId="15459"/>
    <cellStyle name="Normal 2 35 6 3 4" xfId="15460"/>
    <cellStyle name="Normal 2 35 6 3 5" xfId="15461"/>
    <cellStyle name="Normal 2 35 6 3 6" xfId="15462"/>
    <cellStyle name="Normal 2 35 6 4" xfId="15463"/>
    <cellStyle name="Normal 2 35 6 4 2" xfId="15464"/>
    <cellStyle name="Normal 2 35 6 4 3" xfId="15465"/>
    <cellStyle name="Normal 2 35 6 4 4" xfId="15466"/>
    <cellStyle name="Normal 2 35 6 4 5" xfId="15467"/>
    <cellStyle name="Normal 2 35 6 4 6" xfId="15468"/>
    <cellStyle name="Normal 2 35 7" xfId="15469"/>
    <cellStyle name="Normal 2 35 7 2" xfId="15470"/>
    <cellStyle name="Normal 2 35 7 3" xfId="15471"/>
    <cellStyle name="Normal 2 35 7 3 2" xfId="15472"/>
    <cellStyle name="Normal 2 35 7 3 3" xfId="15473"/>
    <cellStyle name="Normal 2 35 7 3 4" xfId="15474"/>
    <cellStyle name="Normal 2 35 7 3 5" xfId="15475"/>
    <cellStyle name="Normal 2 35 7 3 6" xfId="15476"/>
    <cellStyle name="Normal 2 35 7 4" xfId="15477"/>
    <cellStyle name="Normal 2 35 7 4 2" xfId="15478"/>
    <cellStyle name="Normal 2 35 7 4 3" xfId="15479"/>
    <cellStyle name="Normal 2 35 7 4 4" xfId="15480"/>
    <cellStyle name="Normal 2 35 7 4 5" xfId="15481"/>
    <cellStyle name="Normal 2 35 7 4 6" xfId="15482"/>
    <cellStyle name="Normal 2 35 8" xfId="15483"/>
    <cellStyle name="Normal 2 35 8 2" xfId="15484"/>
    <cellStyle name="Normal 2 35 8 3" xfId="15485"/>
    <cellStyle name="Normal 2 35 8 3 2" xfId="15486"/>
    <cellStyle name="Normal 2 35 8 3 3" xfId="15487"/>
    <cellStyle name="Normal 2 35 8 3 4" xfId="15488"/>
    <cellStyle name="Normal 2 35 8 3 5" xfId="15489"/>
    <cellStyle name="Normal 2 35 8 3 6" xfId="15490"/>
    <cellStyle name="Normal 2 35 8 4" xfId="15491"/>
    <cellStyle name="Normal 2 35 8 4 2" xfId="15492"/>
    <cellStyle name="Normal 2 35 8 4 3" xfId="15493"/>
    <cellStyle name="Normal 2 35 8 4 4" xfId="15494"/>
    <cellStyle name="Normal 2 35 8 4 5" xfId="15495"/>
    <cellStyle name="Normal 2 35 8 4 6" xfId="15496"/>
    <cellStyle name="Normal 2 35 9" xfId="15497"/>
    <cellStyle name="Normal 2 35 9 2" xfId="15498"/>
    <cellStyle name="Normal 2 35 9 3" xfId="15499"/>
    <cellStyle name="Normal 2 35 9 3 2" xfId="15500"/>
    <cellStyle name="Normal 2 35 9 3 3" xfId="15501"/>
    <cellStyle name="Normal 2 35 9 3 4" xfId="15502"/>
    <cellStyle name="Normal 2 35 9 3 5" xfId="15503"/>
    <cellStyle name="Normal 2 35 9 3 6" xfId="15504"/>
    <cellStyle name="Normal 2 35 9 4" xfId="15505"/>
    <cellStyle name="Normal 2 35 9 4 2" xfId="15506"/>
    <cellStyle name="Normal 2 35 9 4 3" xfId="15507"/>
    <cellStyle name="Normal 2 35 9 4 4" xfId="15508"/>
    <cellStyle name="Normal 2 35 9 4 5" xfId="15509"/>
    <cellStyle name="Normal 2 35 9 4 6" xfId="15510"/>
    <cellStyle name="Normal 2 36" xfId="15511"/>
    <cellStyle name="Normal 2 36 2" xfId="15512"/>
    <cellStyle name="Normal 2 36 3" xfId="15513"/>
    <cellStyle name="Normal 2 36 3 2" xfId="15514"/>
    <cellStyle name="Normal 2 36 3 3" xfId="15515"/>
    <cellStyle name="Normal 2 36 3 4" xfId="15516"/>
    <cellStyle name="Normal 2 36 3 5" xfId="15517"/>
    <cellStyle name="Normal 2 36 3 6" xfId="15518"/>
    <cellStyle name="Normal 2 36 4" xfId="15519"/>
    <cellStyle name="Normal 2 36 4 2" xfId="15520"/>
    <cellStyle name="Normal 2 36 4 3" xfId="15521"/>
    <cellStyle name="Normal 2 36 4 4" xfId="15522"/>
    <cellStyle name="Normal 2 36 4 5" xfId="15523"/>
    <cellStyle name="Normal 2 36 4 6" xfId="15524"/>
    <cellStyle name="Normal 2 37" xfId="15525"/>
    <cellStyle name="Normal 2 37 2" xfId="15526"/>
    <cellStyle name="Normal 2 37 3" xfId="15527"/>
    <cellStyle name="Normal 2 37 3 2" xfId="15528"/>
    <cellStyle name="Normal 2 37 3 3" xfId="15529"/>
    <cellStyle name="Normal 2 37 3 4" xfId="15530"/>
    <cellStyle name="Normal 2 37 3 5" xfId="15531"/>
    <cellStyle name="Normal 2 37 3 6" xfId="15532"/>
    <cellStyle name="Normal 2 37 4" xfId="15533"/>
    <cellStyle name="Normal 2 37 4 2" xfId="15534"/>
    <cellStyle name="Normal 2 37 4 3" xfId="15535"/>
    <cellStyle name="Normal 2 37 4 4" xfId="15536"/>
    <cellStyle name="Normal 2 37 4 5" xfId="15537"/>
    <cellStyle name="Normal 2 37 4 6" xfId="15538"/>
    <cellStyle name="Normal 2 38" xfId="15539"/>
    <cellStyle name="Normal 2 38 2" xfId="15540"/>
    <cellStyle name="Normal 2 38 2 2" xfId="15541"/>
    <cellStyle name="Normal 2 38 2 3" xfId="15542"/>
    <cellStyle name="Normal 2 38 2 4" xfId="15543"/>
    <cellStyle name="Normal 2 38 2 5" xfId="15544"/>
    <cellStyle name="Normal 2 38 2 6" xfId="15545"/>
    <cellStyle name="Normal 2 38 3" xfId="15546"/>
    <cellStyle name="Normal 2 38 4" xfId="15547"/>
    <cellStyle name="Normal 2 39" xfId="15548"/>
    <cellStyle name="Normal 2 39 2" xfId="15549"/>
    <cellStyle name="Normal 2 39 2 2" xfId="15550"/>
    <cellStyle name="Normal 2 39 2 3" xfId="15551"/>
    <cellStyle name="Normal 2 39 2 4" xfId="15552"/>
    <cellStyle name="Normal 2 39 2 5" xfId="15553"/>
    <cellStyle name="Normal 2 39 2 6" xfId="15554"/>
    <cellStyle name="Normal 2 39 3" xfId="15555"/>
    <cellStyle name="Normal 2 39 4" xfId="15556"/>
    <cellStyle name="Normal 2 4" xfId="15557"/>
    <cellStyle name="Normal 2 4 2" xfId="15558"/>
    <cellStyle name="Normal 2 4 3" xfId="15559"/>
    <cellStyle name="Normal 2 4 4" xfId="15560"/>
    <cellStyle name="Normal 2 40" xfId="15561"/>
    <cellStyle name="Normal 2 40 2" xfId="15562"/>
    <cellStyle name="Normal 2 40 2 2" xfId="15563"/>
    <cellStyle name="Normal 2 40 2 3" xfId="15564"/>
    <cellStyle name="Normal 2 40 2 4" xfId="15565"/>
    <cellStyle name="Normal 2 40 2 5" xfId="15566"/>
    <cellStyle name="Normal 2 40 2 6" xfId="15567"/>
    <cellStyle name="Normal 2 40 3" xfId="15568"/>
    <cellStyle name="Normal 2 40 4" xfId="15569"/>
    <cellStyle name="Normal 2 41" xfId="15570"/>
    <cellStyle name="Normal 2 41 2" xfId="15571"/>
    <cellStyle name="Normal 2 41 2 2" xfId="15572"/>
    <cellStyle name="Normal 2 41 2 3" xfId="15573"/>
    <cellStyle name="Normal 2 41 2 4" xfId="15574"/>
    <cellStyle name="Normal 2 41 2 5" xfId="15575"/>
    <cellStyle name="Normal 2 41 2 6" xfId="15576"/>
    <cellStyle name="Normal 2 41 3" xfId="15577"/>
    <cellStyle name="Normal 2 41 4" xfId="15578"/>
    <cellStyle name="Normal 2 42" xfId="15579"/>
    <cellStyle name="Normal 2 42 2" xfId="15580"/>
    <cellStyle name="Normal 2 42 2 2" xfId="15581"/>
    <cellStyle name="Normal 2 42 2 3" xfId="15582"/>
    <cellStyle name="Normal 2 42 2 4" xfId="15583"/>
    <cellStyle name="Normal 2 42 2 5" xfId="15584"/>
    <cellStyle name="Normal 2 42 2 6" xfId="15585"/>
    <cellStyle name="Normal 2 42 3" xfId="15586"/>
    <cellStyle name="Normal 2 42 4" xfId="15587"/>
    <cellStyle name="Normal 2 43" xfId="15588"/>
    <cellStyle name="Normal 2 43 2" xfId="15589"/>
    <cellStyle name="Normal 2 43 2 2" xfId="15590"/>
    <cellStyle name="Normal 2 43 2 3" xfId="15591"/>
    <cellStyle name="Normal 2 43 2 4" xfId="15592"/>
    <cellStyle name="Normal 2 43 2 5" xfId="15593"/>
    <cellStyle name="Normal 2 43 2 6" xfId="15594"/>
    <cellStyle name="Normal 2 43 3" xfId="15595"/>
    <cellStyle name="Normal 2 43 4" xfId="15596"/>
    <cellStyle name="Normal 2 44" xfId="15597"/>
    <cellStyle name="Normal 2 44 2" xfId="15598"/>
    <cellStyle name="Normal 2 44 2 2" xfId="15599"/>
    <cellStyle name="Normal 2 44 2 3" xfId="15600"/>
    <cellStyle name="Normal 2 44 2 4" xfId="15601"/>
    <cellStyle name="Normal 2 44 2 5" xfId="15602"/>
    <cellStyle name="Normal 2 44 2 6" xfId="15603"/>
    <cellStyle name="Normal 2 44 3" xfId="15604"/>
    <cellStyle name="Normal 2 44 4" xfId="15605"/>
    <cellStyle name="Normal 2 45" xfId="15606"/>
    <cellStyle name="Normal 2 45 2" xfId="15607"/>
    <cellStyle name="Normal 2 45 2 2" xfId="15608"/>
    <cellStyle name="Normal 2 45 2 3" xfId="15609"/>
    <cellStyle name="Normal 2 45 2 4" xfId="15610"/>
    <cellStyle name="Normal 2 45 2 5" xfId="15611"/>
    <cellStyle name="Normal 2 45 2 6" xfId="15612"/>
    <cellStyle name="Normal 2 45 3" xfId="15613"/>
    <cellStyle name="Normal 2 45 4" xfId="15614"/>
    <cellStyle name="Normal 2 46" xfId="15615"/>
    <cellStyle name="Normal 2 46 2" xfId="15616"/>
    <cellStyle name="Normal 2 46 2 2" xfId="15617"/>
    <cellStyle name="Normal 2 46 2 3" xfId="15618"/>
    <cellStyle name="Normal 2 46 2 4" xfId="15619"/>
    <cellStyle name="Normal 2 46 2 5" xfId="15620"/>
    <cellStyle name="Normal 2 46 2 6" xfId="15621"/>
    <cellStyle name="Normal 2 46 3" xfId="15622"/>
    <cellStyle name="Normal 2 46 4" xfId="15623"/>
    <cellStyle name="Normal 2 47" xfId="15624"/>
    <cellStyle name="Normal 2 47 2" xfId="15625"/>
    <cellStyle name="Normal 2 47 2 2" xfId="15626"/>
    <cellStyle name="Normal 2 47 2 3" xfId="15627"/>
    <cellStyle name="Normal 2 47 2 4" xfId="15628"/>
    <cellStyle name="Normal 2 47 2 5" xfId="15629"/>
    <cellStyle name="Normal 2 47 2 6" xfId="15630"/>
    <cellStyle name="Normal 2 47 3" xfId="15631"/>
    <cellStyle name="Normal 2 47 4" xfId="15632"/>
    <cellStyle name="Normal 2 48" xfId="15633"/>
    <cellStyle name="Normal 2 48 2" xfId="15634"/>
    <cellStyle name="Normal 2 48 2 2" xfId="15635"/>
    <cellStyle name="Normal 2 48 2 3" xfId="15636"/>
    <cellStyle name="Normal 2 48 2 4" xfId="15637"/>
    <cellStyle name="Normal 2 48 2 5" xfId="15638"/>
    <cellStyle name="Normal 2 48 2 6" xfId="15639"/>
    <cellStyle name="Normal 2 48 3" xfId="15640"/>
    <cellStyle name="Normal 2 48 4" xfId="15641"/>
    <cellStyle name="Normal 2 49" xfId="15642"/>
    <cellStyle name="Normal 2 49 2" xfId="15643"/>
    <cellStyle name="Normal 2 49 2 2" xfId="15644"/>
    <cellStyle name="Normal 2 49 2 3" xfId="15645"/>
    <cellStyle name="Normal 2 49 2 4" xfId="15646"/>
    <cellStyle name="Normal 2 49 2 5" xfId="15647"/>
    <cellStyle name="Normal 2 49 2 6" xfId="15648"/>
    <cellStyle name="Normal 2 49 3" xfId="15649"/>
    <cellStyle name="Normal 2 49 4" xfId="15650"/>
    <cellStyle name="Normal 2 5" xfId="15651"/>
    <cellStyle name="Normal 2 5 10" xfId="15652"/>
    <cellStyle name="Normal 2 5 10 2" xfId="15653"/>
    <cellStyle name="Normal 2 5 10 3" xfId="15654"/>
    <cellStyle name="Normal 2 5 10 4" xfId="15655"/>
    <cellStyle name="Normal 2 5 11" xfId="15656"/>
    <cellStyle name="Normal 2 5 12" xfId="15657"/>
    <cellStyle name="Normal 2 5 13" xfId="15658"/>
    <cellStyle name="Normal 2 5 2" xfId="15659"/>
    <cellStyle name="Normal 2 5 2 2" xfId="15660"/>
    <cellStyle name="Normal 2 5 2 3" xfId="15661"/>
    <cellStyle name="Normal 2 5 2 4" xfId="15662"/>
    <cellStyle name="Normal 2 5 3" xfId="15663"/>
    <cellStyle name="Normal 2 5 3 2" xfId="15664"/>
    <cellStyle name="Normal 2 5 3 3" xfId="15665"/>
    <cellStyle name="Normal 2 5 3 4" xfId="15666"/>
    <cellStyle name="Normal 2 5 4" xfId="15667"/>
    <cellStyle name="Normal 2 5 4 2" xfId="15668"/>
    <cellStyle name="Normal 2 5 4 3" xfId="15669"/>
    <cellStyle name="Normal 2 5 4 4" xfId="15670"/>
    <cellStyle name="Normal 2 5 5" xfId="15671"/>
    <cellStyle name="Normal 2 5 5 2" xfId="15672"/>
    <cellStyle name="Normal 2 5 5 3" xfId="15673"/>
    <cellStyle name="Normal 2 5 5 4" xfId="15674"/>
    <cellStyle name="Normal 2 5 6" xfId="15675"/>
    <cellStyle name="Normal 2 5 6 2" xfId="15676"/>
    <cellStyle name="Normal 2 5 6 3" xfId="15677"/>
    <cellStyle name="Normal 2 5 6 4" xfId="15678"/>
    <cellStyle name="Normal 2 5 7" xfId="15679"/>
    <cellStyle name="Normal 2 5 7 2" xfId="15680"/>
    <cellStyle name="Normal 2 5 7 3" xfId="15681"/>
    <cellStyle name="Normal 2 5 7 4" xfId="15682"/>
    <cellStyle name="Normal 2 5 8" xfId="15683"/>
    <cellStyle name="Normal 2 5 8 2" xfId="15684"/>
    <cellStyle name="Normal 2 5 8 3" xfId="15685"/>
    <cellStyle name="Normal 2 5 8 4" xfId="15686"/>
    <cellStyle name="Normal 2 5 9" xfId="15687"/>
    <cellStyle name="Normal 2 5 9 2" xfId="15688"/>
    <cellStyle name="Normal 2 5 9 3" xfId="15689"/>
    <cellStyle name="Normal 2 5 9 4" xfId="15690"/>
    <cellStyle name="Normal 2 50" xfId="15691"/>
    <cellStyle name="Normal 2 50 2" xfId="15692"/>
    <cellStyle name="Normal 2 50 2 2" xfId="15693"/>
    <cellStyle name="Normal 2 50 2 3" xfId="15694"/>
    <cellStyle name="Normal 2 50 2 4" xfId="15695"/>
    <cellStyle name="Normal 2 50 2 5" xfId="15696"/>
    <cellStyle name="Normal 2 50 2 6" xfId="15697"/>
    <cellStyle name="Normal 2 50 3" xfId="15698"/>
    <cellStyle name="Normal 2 50 4" xfId="15699"/>
    <cellStyle name="Normal 2 51" xfId="15700"/>
    <cellStyle name="Normal 2 51 2" xfId="15701"/>
    <cellStyle name="Normal 2 51 2 2" xfId="15702"/>
    <cellStyle name="Normal 2 51 2 3" xfId="15703"/>
    <cellStyle name="Normal 2 51 2 4" xfId="15704"/>
    <cellStyle name="Normal 2 51 2 5" xfId="15705"/>
    <cellStyle name="Normal 2 51 2 6" xfId="15706"/>
    <cellStyle name="Normal 2 51 3" xfId="15707"/>
    <cellStyle name="Normal 2 51 4" xfId="15708"/>
    <cellStyle name="Normal 2 52" xfId="15709"/>
    <cellStyle name="Normal 2 52 2" xfId="15710"/>
    <cellStyle name="Normal 2 52 2 2" xfId="15711"/>
    <cellStyle name="Normal 2 52 2 3" xfId="15712"/>
    <cellStyle name="Normal 2 52 2 4" xfId="15713"/>
    <cellStyle name="Normal 2 52 2 5" xfId="15714"/>
    <cellStyle name="Normal 2 52 2 6" xfId="15715"/>
    <cellStyle name="Normal 2 52 3" xfId="15716"/>
    <cellStyle name="Normal 2 52 4" xfId="15717"/>
    <cellStyle name="Normal 2 53" xfId="15718"/>
    <cellStyle name="Normal 2 53 2" xfId="15719"/>
    <cellStyle name="Normal 2 53 2 2" xfId="15720"/>
    <cellStyle name="Normal 2 53 2 3" xfId="15721"/>
    <cellStyle name="Normal 2 53 2 4" xfId="15722"/>
    <cellStyle name="Normal 2 53 2 5" xfId="15723"/>
    <cellStyle name="Normal 2 53 2 6" xfId="15724"/>
    <cellStyle name="Normal 2 53 3" xfId="15725"/>
    <cellStyle name="Normal 2 53 4" xfId="15726"/>
    <cellStyle name="Normal 2 54" xfId="15727"/>
    <cellStyle name="Normal 2 54 2" xfId="15728"/>
    <cellStyle name="Normal 2 54 2 2" xfId="15729"/>
    <cellStyle name="Normal 2 54 2 3" xfId="15730"/>
    <cellStyle name="Normal 2 54 2 4" xfId="15731"/>
    <cellStyle name="Normal 2 54 2 5" xfId="15732"/>
    <cellStyle name="Normal 2 54 2 6" xfId="15733"/>
    <cellStyle name="Normal 2 54 3" xfId="15734"/>
    <cellStyle name="Normal 2 54 4" xfId="15735"/>
    <cellStyle name="Normal 2 55" xfId="15736"/>
    <cellStyle name="Normal 2 55 2" xfId="15737"/>
    <cellStyle name="Normal 2 55 2 10" xfId="15738"/>
    <cellStyle name="Normal 2 55 2 11" xfId="15739"/>
    <cellStyle name="Normal 2 55 2 12" xfId="15740"/>
    <cellStyle name="Normal 2 55 2 2" xfId="15741"/>
    <cellStyle name="Normal 2 55 2 2 2" xfId="15742"/>
    <cellStyle name="Normal 2 55 2 2 2 2" xfId="15743"/>
    <cellStyle name="Normal 2 55 2 2 2 3" xfId="15744"/>
    <cellStyle name="Normal 2 55 2 2 2 4" xfId="15745"/>
    <cellStyle name="Normal 2 55 2 2 2 5" xfId="15746"/>
    <cellStyle name="Normal 2 55 2 2 2 6" xfId="15747"/>
    <cellStyle name="Normal 2 55 2 2 3" xfId="15748"/>
    <cellStyle name="Normal 2 55 2 2 4" xfId="15749"/>
    <cellStyle name="Normal 2 55 2 3" xfId="15750"/>
    <cellStyle name="Normal 2 55 2 3 10" xfId="15751"/>
    <cellStyle name="Normal 2 55 2 3 2" xfId="15752"/>
    <cellStyle name="Normal 2 55 2 3 3" xfId="15753"/>
    <cellStyle name="Normal 2 55 2 3 3 2" xfId="15754"/>
    <cellStyle name="Normal 2 55 2 3 3 3" xfId="15755"/>
    <cellStyle name="Normal 2 55 2 3 3 4" xfId="15756"/>
    <cellStyle name="Normal 2 55 2 3 3 5" xfId="15757"/>
    <cellStyle name="Normal 2 55 2 3 3 6" xfId="15758"/>
    <cellStyle name="Normal 2 55 2 3 4" xfId="15759"/>
    <cellStyle name="Normal 2 55 2 3 5" xfId="15760"/>
    <cellStyle name="Normal 2 55 2 3 6" xfId="15761"/>
    <cellStyle name="Normal 2 55 2 3 7" xfId="15762"/>
    <cellStyle name="Normal 2 55 2 3 8" xfId="15763"/>
    <cellStyle name="Normal 2 55 2 3 9" xfId="15764"/>
    <cellStyle name="Normal 2 55 2 4" xfId="15765"/>
    <cellStyle name="Normal 2 55 2 5" xfId="15766"/>
    <cellStyle name="Normal 2 55 2 5 2" xfId="15767"/>
    <cellStyle name="Normal 2 55 2 5 3" xfId="15768"/>
    <cellStyle name="Normal 2 55 2 5 4" xfId="15769"/>
    <cellStyle name="Normal 2 55 2 5 5" xfId="15770"/>
    <cellStyle name="Normal 2 55 2 5 6" xfId="15771"/>
    <cellStyle name="Normal 2 55 2 6" xfId="15772"/>
    <cellStyle name="Normal 2 55 2 7" xfId="15773"/>
    <cellStyle name="Normal 2 55 2 8" xfId="15774"/>
    <cellStyle name="Normal 2 55 2 9" xfId="15775"/>
    <cellStyle name="Normal 2 55 3" xfId="15776"/>
    <cellStyle name="Normal 2 55 3 2" xfId="15777"/>
    <cellStyle name="Normal 2 55 3 2 2" xfId="15778"/>
    <cellStyle name="Normal 2 55 3 2 3" xfId="15779"/>
    <cellStyle name="Normal 2 55 3 2 4" xfId="15780"/>
    <cellStyle name="Normal 2 55 3 2 5" xfId="15781"/>
    <cellStyle name="Normal 2 55 3 2 6" xfId="15782"/>
    <cellStyle name="Normal 2 55 3 3" xfId="15783"/>
    <cellStyle name="Normal 2 55 3 4" xfId="15784"/>
    <cellStyle name="Normal 2 55 4" xfId="15785"/>
    <cellStyle name="Normal 2 55 4 2" xfId="15786"/>
    <cellStyle name="Normal 2 55 4 2 2" xfId="15787"/>
    <cellStyle name="Normal 2 55 4 2 3" xfId="15788"/>
    <cellStyle name="Normal 2 55 4 2 4" xfId="15789"/>
    <cellStyle name="Normal 2 55 4 2 5" xfId="15790"/>
    <cellStyle name="Normal 2 55 4 2 6" xfId="15791"/>
    <cellStyle name="Normal 2 55 4 3" xfId="15792"/>
    <cellStyle name="Normal 2 55 4 4" xfId="15793"/>
    <cellStyle name="Normal 2 55 5" xfId="15794"/>
    <cellStyle name="Normal 2 55 5 2" xfId="15795"/>
    <cellStyle name="Normal 2 55 5 3" xfId="15796"/>
    <cellStyle name="Normal 2 55 5 4" xfId="15797"/>
    <cellStyle name="Normal 2 55 5 5" xfId="15798"/>
    <cellStyle name="Normal 2 55 5 6" xfId="15799"/>
    <cellStyle name="Normal 2 55 6" xfId="15800"/>
    <cellStyle name="Normal 2 55 7" xfId="15801"/>
    <cellStyle name="Normal 2 56" xfId="15802"/>
    <cellStyle name="Normal 2 56 2" xfId="15803"/>
    <cellStyle name="Normal 2 56 2 2" xfId="15804"/>
    <cellStyle name="Normal 2 56 2 3" xfId="15805"/>
    <cellStyle name="Normal 2 56 2 4" xfId="15806"/>
    <cellStyle name="Normal 2 56 2 5" xfId="15807"/>
    <cellStyle name="Normal 2 56 2 6" xfId="15808"/>
    <cellStyle name="Normal 2 56 3" xfId="15809"/>
    <cellStyle name="Normal 2 56 4" xfId="15810"/>
    <cellStyle name="Normal 2 57" xfId="15811"/>
    <cellStyle name="Normal 2 57 2" xfId="15812"/>
    <cellStyle name="Normal 2 57 2 2" xfId="15813"/>
    <cellStyle name="Normal 2 57 2 3" xfId="15814"/>
    <cellStyle name="Normal 2 57 2 4" xfId="15815"/>
    <cellStyle name="Normal 2 57 2 5" xfId="15816"/>
    <cellStyle name="Normal 2 57 2 6" xfId="15817"/>
    <cellStyle name="Normal 2 57 3" xfId="15818"/>
    <cellStyle name="Normal 2 57 4" xfId="15819"/>
    <cellStyle name="Normal 2 58" xfId="15820"/>
    <cellStyle name="Normal 2 58 2" xfId="15821"/>
    <cellStyle name="Normal 2 58 2 2" xfId="15822"/>
    <cellStyle name="Normal 2 58 2 3" xfId="15823"/>
    <cellStyle name="Normal 2 58 2 4" xfId="15824"/>
    <cellStyle name="Normal 2 58 2 5" xfId="15825"/>
    <cellStyle name="Normal 2 58 2 6" xfId="15826"/>
    <cellStyle name="Normal 2 58 3" xfId="15827"/>
    <cellStyle name="Normal 2 58 4" xfId="15828"/>
    <cellStyle name="Normal 2 59" xfId="15829"/>
    <cellStyle name="Normal 2 59 2" xfId="15830"/>
    <cellStyle name="Normal 2 59 2 2" xfId="15831"/>
    <cellStyle name="Normal 2 59 2 3" xfId="15832"/>
    <cellStyle name="Normal 2 59 2 4" xfId="15833"/>
    <cellStyle name="Normal 2 59 2 5" xfId="15834"/>
    <cellStyle name="Normal 2 59 2 6" xfId="15835"/>
    <cellStyle name="Normal 2 59 3" xfId="15836"/>
    <cellStyle name="Normal 2 59 4" xfId="15837"/>
    <cellStyle name="Normal 2 6" xfId="15838"/>
    <cellStyle name="Normal 2 6 2" xfId="15839"/>
    <cellStyle name="Normal 2 6 3" xfId="15840"/>
    <cellStyle name="Normal 2 6 4" xfId="15841"/>
    <cellStyle name="Normal 2 60" xfId="15842"/>
    <cellStyle name="Normal 2 60 2" xfId="15843"/>
    <cellStyle name="Normal 2 60 2 2" xfId="15844"/>
    <cellStyle name="Normal 2 60 2 3" xfId="15845"/>
    <cellStyle name="Normal 2 60 2 4" xfId="15846"/>
    <cellStyle name="Normal 2 60 2 5" xfId="15847"/>
    <cellStyle name="Normal 2 60 2 6" xfId="15848"/>
    <cellStyle name="Normal 2 60 3" xfId="15849"/>
    <cellStyle name="Normal 2 60 4" xfId="15850"/>
    <cellStyle name="Normal 2 61" xfId="15851"/>
    <cellStyle name="Normal 2 61 2" xfId="15852"/>
    <cellStyle name="Normal 2 61 2 2" xfId="15853"/>
    <cellStyle name="Normal 2 61 2 3" xfId="15854"/>
    <cellStyle name="Normal 2 61 2 4" xfId="15855"/>
    <cellStyle name="Normal 2 61 2 5" xfId="15856"/>
    <cellStyle name="Normal 2 61 2 6" xfId="15857"/>
    <cellStyle name="Normal 2 61 3" xfId="15858"/>
    <cellStyle name="Normal 2 61 4" xfId="15859"/>
    <cellStyle name="Normal 2 62" xfId="15860"/>
    <cellStyle name="Normal 2 62 2" xfId="15861"/>
    <cellStyle name="Normal 2 62 2 2" xfId="15862"/>
    <cellStyle name="Normal 2 62 2 3" xfId="15863"/>
    <cellStyle name="Normal 2 62 2 4" xfId="15864"/>
    <cellStyle name="Normal 2 62 2 5" xfId="15865"/>
    <cellStyle name="Normal 2 62 2 6" xfId="15866"/>
    <cellStyle name="Normal 2 62 3" xfId="15867"/>
    <cellStyle name="Normal 2 62 4" xfId="15868"/>
    <cellStyle name="Normal 2 63" xfId="15869"/>
    <cellStyle name="Normal 2 63 2" xfId="15870"/>
    <cellStyle name="Normal 2 63 2 2" xfId="15871"/>
    <cellStyle name="Normal 2 63 2 3" xfId="15872"/>
    <cellStyle name="Normal 2 63 2 4" xfId="15873"/>
    <cellStyle name="Normal 2 63 2 5" xfId="15874"/>
    <cellStyle name="Normal 2 63 2 6" xfId="15875"/>
    <cellStyle name="Normal 2 63 3" xfId="15876"/>
    <cellStyle name="Normal 2 63 4" xfId="15877"/>
    <cellStyle name="Normal 2 64" xfId="15878"/>
    <cellStyle name="Normal 2 64 2" xfId="15879"/>
    <cellStyle name="Normal 2 64 2 10" xfId="15880"/>
    <cellStyle name="Normal 2 64 2 11" xfId="15881"/>
    <cellStyle name="Normal 2 64 2 2" xfId="15882"/>
    <cellStyle name="Normal 2 64 2 2 10" xfId="15883"/>
    <cellStyle name="Normal 2 64 2 2 2" xfId="15884"/>
    <cellStyle name="Normal 2 64 2 2 3" xfId="15885"/>
    <cellStyle name="Normal 2 64 2 2 3 2" xfId="15886"/>
    <cellStyle name="Normal 2 64 2 2 3 3" xfId="15887"/>
    <cellStyle name="Normal 2 64 2 2 3 4" xfId="15888"/>
    <cellStyle name="Normal 2 64 2 2 3 5" xfId="15889"/>
    <cellStyle name="Normal 2 64 2 2 3 6" xfId="15890"/>
    <cellStyle name="Normal 2 64 2 2 4" xfId="15891"/>
    <cellStyle name="Normal 2 64 2 2 5" xfId="15892"/>
    <cellStyle name="Normal 2 64 2 2 6" xfId="15893"/>
    <cellStyle name="Normal 2 64 2 2 7" xfId="15894"/>
    <cellStyle name="Normal 2 64 2 2 8" xfId="15895"/>
    <cellStyle name="Normal 2 64 2 2 9" xfId="15896"/>
    <cellStyle name="Normal 2 64 2 3" xfId="15897"/>
    <cellStyle name="Normal 2 64 2 4" xfId="15898"/>
    <cellStyle name="Normal 2 64 2 4 2" xfId="15899"/>
    <cellStyle name="Normal 2 64 2 4 3" xfId="15900"/>
    <cellStyle name="Normal 2 64 2 4 4" xfId="15901"/>
    <cellStyle name="Normal 2 64 2 4 5" xfId="15902"/>
    <cellStyle name="Normal 2 64 2 4 6" xfId="15903"/>
    <cellStyle name="Normal 2 64 2 5" xfId="15904"/>
    <cellStyle name="Normal 2 64 2 6" xfId="15905"/>
    <cellStyle name="Normal 2 64 2 7" xfId="15906"/>
    <cellStyle name="Normal 2 64 2 8" xfId="15907"/>
    <cellStyle name="Normal 2 64 2 9" xfId="15908"/>
    <cellStyle name="Normal 2 64 3" xfId="15909"/>
    <cellStyle name="Normal 2 64 3 2" xfId="15910"/>
    <cellStyle name="Normal 2 64 3 3" xfId="15911"/>
    <cellStyle name="Normal 2 64 3 4" xfId="15912"/>
    <cellStyle name="Normal 2 64 3 5" xfId="15913"/>
    <cellStyle name="Normal 2 64 3 6" xfId="15914"/>
    <cellStyle name="Normal 2 64 4" xfId="15915"/>
    <cellStyle name="Normal 2 64 5" xfId="15916"/>
    <cellStyle name="Normal 2 65" xfId="15917"/>
    <cellStyle name="Normal 2 65 10" xfId="15918"/>
    <cellStyle name="Normal 2 65 11" xfId="15919"/>
    <cellStyle name="Normal 2 65 2" xfId="15920"/>
    <cellStyle name="Normal 2 65 2 10" xfId="15921"/>
    <cellStyle name="Normal 2 65 2 2" xfId="15922"/>
    <cellStyle name="Normal 2 65 2 3" xfId="15923"/>
    <cellStyle name="Normal 2 65 2 3 2" xfId="15924"/>
    <cellStyle name="Normal 2 65 2 3 3" xfId="15925"/>
    <cellStyle name="Normal 2 65 2 3 4" xfId="15926"/>
    <cellStyle name="Normal 2 65 2 3 5" xfId="15927"/>
    <cellStyle name="Normal 2 65 2 3 6" xfId="15928"/>
    <cellStyle name="Normal 2 65 2 4" xfId="15929"/>
    <cellStyle name="Normal 2 65 2 5" xfId="15930"/>
    <cellStyle name="Normal 2 65 2 6" xfId="15931"/>
    <cellStyle name="Normal 2 65 2 7" xfId="15932"/>
    <cellStyle name="Normal 2 65 2 8" xfId="15933"/>
    <cellStyle name="Normal 2 65 2 9" xfId="15934"/>
    <cellStyle name="Normal 2 65 3" xfId="15935"/>
    <cellStyle name="Normal 2 65 4" xfId="15936"/>
    <cellStyle name="Normal 2 65 4 2" xfId="15937"/>
    <cellStyle name="Normal 2 65 4 3" xfId="15938"/>
    <cellStyle name="Normal 2 65 4 4" xfId="15939"/>
    <cellStyle name="Normal 2 65 4 5" xfId="15940"/>
    <cellStyle name="Normal 2 65 4 6" xfId="15941"/>
    <cellStyle name="Normal 2 65 5" xfId="15942"/>
    <cellStyle name="Normal 2 65 6" xfId="15943"/>
    <cellStyle name="Normal 2 65 7" xfId="15944"/>
    <cellStyle name="Normal 2 65 8" xfId="15945"/>
    <cellStyle name="Normal 2 65 9" xfId="15946"/>
    <cellStyle name="Normal 2 66" xfId="15947"/>
    <cellStyle name="Normal 2 66 10" xfId="15948"/>
    <cellStyle name="Normal 2 66 2" xfId="15949"/>
    <cellStyle name="Normal 2 66 3" xfId="15950"/>
    <cellStyle name="Normal 2 66 3 2" xfId="15951"/>
    <cellStyle name="Normal 2 66 3 3" xfId="15952"/>
    <cellStyle name="Normal 2 66 3 4" xfId="15953"/>
    <cellStyle name="Normal 2 66 3 5" xfId="15954"/>
    <cellStyle name="Normal 2 66 3 6" xfId="15955"/>
    <cellStyle name="Normal 2 66 4" xfId="15956"/>
    <cellStyle name="Normal 2 66 5" xfId="15957"/>
    <cellStyle name="Normal 2 66 6" xfId="15958"/>
    <cellStyle name="Normal 2 66 7" xfId="15959"/>
    <cellStyle name="Normal 2 66 8" xfId="15960"/>
    <cellStyle name="Normal 2 66 9" xfId="15961"/>
    <cellStyle name="Normal 2 67" xfId="15962"/>
    <cellStyle name="Normal 2 67 10" xfId="15963"/>
    <cellStyle name="Normal 2 67 2" xfId="15964"/>
    <cellStyle name="Normal 2 67 3" xfId="15965"/>
    <cellStyle name="Normal 2 67 3 2" xfId="15966"/>
    <cellStyle name="Normal 2 67 3 3" xfId="15967"/>
    <cellStyle name="Normal 2 67 3 4" xfId="15968"/>
    <cellStyle name="Normal 2 67 3 5" xfId="15969"/>
    <cellStyle name="Normal 2 67 3 6" xfId="15970"/>
    <cellStyle name="Normal 2 67 4" xfId="15971"/>
    <cellStyle name="Normal 2 67 5" xfId="15972"/>
    <cellStyle name="Normal 2 67 6" xfId="15973"/>
    <cellStyle name="Normal 2 67 7" xfId="15974"/>
    <cellStyle name="Normal 2 67 8" xfId="15975"/>
    <cellStyle name="Normal 2 67 9" xfId="15976"/>
    <cellStyle name="Normal 2 68" xfId="15977"/>
    <cellStyle name="Normal 2 68 10" xfId="15978"/>
    <cellStyle name="Normal 2 68 2" xfId="15979"/>
    <cellStyle name="Normal 2 68 3" xfId="15980"/>
    <cellStyle name="Normal 2 68 3 2" xfId="15981"/>
    <cellStyle name="Normal 2 68 3 3" xfId="15982"/>
    <cellStyle name="Normal 2 68 3 4" xfId="15983"/>
    <cellStyle name="Normal 2 68 3 5" xfId="15984"/>
    <cellStyle name="Normal 2 68 3 6" xfId="15985"/>
    <cellStyle name="Normal 2 68 4" xfId="15986"/>
    <cellStyle name="Normal 2 68 5" xfId="15987"/>
    <cellStyle name="Normal 2 68 6" xfId="15988"/>
    <cellStyle name="Normal 2 68 7" xfId="15989"/>
    <cellStyle name="Normal 2 68 8" xfId="15990"/>
    <cellStyle name="Normal 2 68 9" xfId="15991"/>
    <cellStyle name="Normal 2 69" xfId="15992"/>
    <cellStyle name="Normal 2 69 10" xfId="15993"/>
    <cellStyle name="Normal 2 69 2" xfId="15994"/>
    <cellStyle name="Normal 2 69 3" xfId="15995"/>
    <cellStyle name="Normal 2 69 3 2" xfId="15996"/>
    <cellStyle name="Normal 2 69 3 3" xfId="15997"/>
    <cellStyle name="Normal 2 69 3 4" xfId="15998"/>
    <cellStyle name="Normal 2 69 3 5" xfId="15999"/>
    <cellStyle name="Normal 2 69 3 6" xfId="16000"/>
    <cellStyle name="Normal 2 69 4" xfId="16001"/>
    <cellStyle name="Normal 2 69 5" xfId="16002"/>
    <cellStyle name="Normal 2 69 6" xfId="16003"/>
    <cellStyle name="Normal 2 69 7" xfId="16004"/>
    <cellStyle name="Normal 2 69 8" xfId="16005"/>
    <cellStyle name="Normal 2 69 9" xfId="16006"/>
    <cellStyle name="Normal 2 7" xfId="16007"/>
    <cellStyle name="Normal 2 7 2" xfId="16008"/>
    <cellStyle name="Normal 2 7 3" xfId="16009"/>
    <cellStyle name="Normal 2 7 4" xfId="16010"/>
    <cellStyle name="Normal 2 70" xfId="16011"/>
    <cellStyle name="Normal 2 70 10" xfId="16012"/>
    <cellStyle name="Normal 2 70 2" xfId="16013"/>
    <cellStyle name="Normal 2 70 3" xfId="16014"/>
    <cellStyle name="Normal 2 70 3 2" xfId="16015"/>
    <cellStyle name="Normal 2 70 3 3" xfId="16016"/>
    <cellStyle name="Normal 2 70 3 4" xfId="16017"/>
    <cellStyle name="Normal 2 70 3 5" xfId="16018"/>
    <cellStyle name="Normal 2 70 3 6" xfId="16019"/>
    <cellStyle name="Normal 2 70 4" xfId="16020"/>
    <cellStyle name="Normal 2 70 5" xfId="16021"/>
    <cellStyle name="Normal 2 70 6" xfId="16022"/>
    <cellStyle name="Normal 2 70 7" xfId="16023"/>
    <cellStyle name="Normal 2 70 8" xfId="16024"/>
    <cellStyle name="Normal 2 70 9" xfId="16025"/>
    <cellStyle name="Normal 2 71" xfId="16026"/>
    <cellStyle name="Normal 2 71 10" xfId="16027"/>
    <cellStyle name="Normal 2 71 2" xfId="16028"/>
    <cellStyle name="Normal 2 71 3" xfId="16029"/>
    <cellStyle name="Normal 2 71 3 2" xfId="16030"/>
    <cellStyle name="Normal 2 71 3 3" xfId="16031"/>
    <cellStyle name="Normal 2 71 3 4" xfId="16032"/>
    <cellStyle name="Normal 2 71 3 5" xfId="16033"/>
    <cellStyle name="Normal 2 71 3 6" xfId="16034"/>
    <cellStyle name="Normal 2 71 4" xfId="16035"/>
    <cellStyle name="Normal 2 71 5" xfId="16036"/>
    <cellStyle name="Normal 2 71 6" xfId="16037"/>
    <cellStyle name="Normal 2 71 7" xfId="16038"/>
    <cellStyle name="Normal 2 71 8" xfId="16039"/>
    <cellStyle name="Normal 2 71 9" xfId="16040"/>
    <cellStyle name="Normal 2 72" xfId="16041"/>
    <cellStyle name="Normal 2 72 10" xfId="16042"/>
    <cellStyle name="Normal 2 72 2" xfId="16043"/>
    <cellStyle name="Normal 2 72 3" xfId="16044"/>
    <cellStyle name="Normal 2 72 3 2" xfId="16045"/>
    <cellStyle name="Normal 2 72 3 3" xfId="16046"/>
    <cellStyle name="Normal 2 72 3 4" xfId="16047"/>
    <cellStyle name="Normal 2 72 3 5" xfId="16048"/>
    <cellStyle name="Normal 2 72 3 6" xfId="16049"/>
    <cellStyle name="Normal 2 72 4" xfId="16050"/>
    <cellStyle name="Normal 2 72 5" xfId="16051"/>
    <cellStyle name="Normal 2 72 6" xfId="16052"/>
    <cellStyle name="Normal 2 72 7" xfId="16053"/>
    <cellStyle name="Normal 2 72 8" xfId="16054"/>
    <cellStyle name="Normal 2 72 9" xfId="16055"/>
    <cellStyle name="Normal 2 73" xfId="16056"/>
    <cellStyle name="Normal 2 73 10" xfId="16057"/>
    <cellStyle name="Normal 2 73 2" xfId="16058"/>
    <cellStyle name="Normal 2 73 3" xfId="16059"/>
    <cellStyle name="Normal 2 73 3 2" xfId="16060"/>
    <cellStyle name="Normal 2 73 3 3" xfId="16061"/>
    <cellStyle name="Normal 2 73 3 4" xfId="16062"/>
    <cellStyle name="Normal 2 73 3 5" xfId="16063"/>
    <cellStyle name="Normal 2 73 3 6" xfId="16064"/>
    <cellStyle name="Normal 2 73 4" xfId="16065"/>
    <cellStyle name="Normal 2 73 5" xfId="16066"/>
    <cellStyle name="Normal 2 73 6" xfId="16067"/>
    <cellStyle name="Normal 2 73 7" xfId="16068"/>
    <cellStyle name="Normal 2 73 8" xfId="16069"/>
    <cellStyle name="Normal 2 73 9" xfId="16070"/>
    <cellStyle name="Normal 2 74" xfId="16071"/>
    <cellStyle name="Normal 2 74 10" xfId="16072"/>
    <cellStyle name="Normal 2 74 2" xfId="16073"/>
    <cellStyle name="Normal 2 74 3" xfId="16074"/>
    <cellStyle name="Normal 2 74 3 2" xfId="16075"/>
    <cellStyle name="Normal 2 74 3 3" xfId="16076"/>
    <cellStyle name="Normal 2 74 3 4" xfId="16077"/>
    <cellStyle name="Normal 2 74 3 5" xfId="16078"/>
    <cellStyle name="Normal 2 74 3 6" xfId="16079"/>
    <cellStyle name="Normal 2 74 4" xfId="16080"/>
    <cellStyle name="Normal 2 74 5" xfId="16081"/>
    <cellStyle name="Normal 2 74 6" xfId="16082"/>
    <cellStyle name="Normal 2 74 7" xfId="16083"/>
    <cellStyle name="Normal 2 74 8" xfId="16084"/>
    <cellStyle name="Normal 2 74 9" xfId="16085"/>
    <cellStyle name="Normal 2 75" xfId="16086"/>
    <cellStyle name="Normal 2 75 10" xfId="16087"/>
    <cellStyle name="Normal 2 75 2" xfId="16088"/>
    <cellStyle name="Normal 2 75 3" xfId="16089"/>
    <cellStyle name="Normal 2 75 3 2" xfId="16090"/>
    <cellStyle name="Normal 2 75 3 3" xfId="16091"/>
    <cellStyle name="Normal 2 75 3 4" xfId="16092"/>
    <cellStyle name="Normal 2 75 3 5" xfId="16093"/>
    <cellStyle name="Normal 2 75 3 6" xfId="16094"/>
    <cellStyle name="Normal 2 75 4" xfId="16095"/>
    <cellStyle name="Normal 2 75 5" xfId="16096"/>
    <cellStyle name="Normal 2 75 6" xfId="16097"/>
    <cellStyle name="Normal 2 75 7" xfId="16098"/>
    <cellStyle name="Normal 2 75 8" xfId="16099"/>
    <cellStyle name="Normal 2 75 9" xfId="16100"/>
    <cellStyle name="Normal 2 76" xfId="16101"/>
    <cellStyle name="Normal 2 76 10" xfId="16102"/>
    <cellStyle name="Normal 2 76 2" xfId="16103"/>
    <cellStyle name="Normal 2 76 3" xfId="16104"/>
    <cellStyle name="Normal 2 76 3 2" xfId="16105"/>
    <cellStyle name="Normal 2 76 3 3" xfId="16106"/>
    <cellStyle name="Normal 2 76 3 4" xfId="16107"/>
    <cellStyle name="Normal 2 76 3 5" xfId="16108"/>
    <cellStyle name="Normal 2 76 3 6" xfId="16109"/>
    <cellStyle name="Normal 2 76 4" xfId="16110"/>
    <cellStyle name="Normal 2 76 5" xfId="16111"/>
    <cellStyle name="Normal 2 76 6" xfId="16112"/>
    <cellStyle name="Normal 2 76 7" xfId="16113"/>
    <cellStyle name="Normal 2 76 8" xfId="16114"/>
    <cellStyle name="Normal 2 76 9" xfId="16115"/>
    <cellStyle name="Normal 2 77" xfId="16116"/>
    <cellStyle name="Normal 2 77 10" xfId="16117"/>
    <cellStyle name="Normal 2 77 2" xfId="16118"/>
    <cellStyle name="Normal 2 77 3" xfId="16119"/>
    <cellStyle name="Normal 2 77 3 2" xfId="16120"/>
    <cellStyle name="Normal 2 77 3 3" xfId="16121"/>
    <cellStyle name="Normal 2 77 3 4" xfId="16122"/>
    <cellStyle name="Normal 2 77 3 5" xfId="16123"/>
    <cellStyle name="Normal 2 77 3 6" xfId="16124"/>
    <cellStyle name="Normal 2 77 4" xfId="16125"/>
    <cellStyle name="Normal 2 77 5" xfId="16126"/>
    <cellStyle name="Normal 2 77 6" xfId="16127"/>
    <cellStyle name="Normal 2 77 7" xfId="16128"/>
    <cellStyle name="Normal 2 77 8" xfId="16129"/>
    <cellStyle name="Normal 2 77 9" xfId="16130"/>
    <cellStyle name="Normal 2 78" xfId="16131"/>
    <cellStyle name="Normal 2 78 10" xfId="16132"/>
    <cellStyle name="Normal 2 78 2" xfId="16133"/>
    <cellStyle name="Normal 2 78 3" xfId="16134"/>
    <cellStyle name="Normal 2 78 3 2" xfId="16135"/>
    <cellStyle name="Normal 2 78 3 3" xfId="16136"/>
    <cellStyle name="Normal 2 78 3 4" xfId="16137"/>
    <cellStyle name="Normal 2 78 3 5" xfId="16138"/>
    <cellStyle name="Normal 2 78 3 6" xfId="16139"/>
    <cellStyle name="Normal 2 78 4" xfId="16140"/>
    <cellStyle name="Normal 2 78 5" xfId="16141"/>
    <cellStyle name="Normal 2 78 6" xfId="16142"/>
    <cellStyle name="Normal 2 78 7" xfId="16143"/>
    <cellStyle name="Normal 2 78 8" xfId="16144"/>
    <cellStyle name="Normal 2 78 9" xfId="16145"/>
    <cellStyle name="Normal 2 79" xfId="16146"/>
    <cellStyle name="Normal 2 79 10" xfId="16147"/>
    <cellStyle name="Normal 2 79 2" xfId="16148"/>
    <cellStyle name="Normal 2 79 3" xfId="16149"/>
    <cellStyle name="Normal 2 79 3 2" xfId="16150"/>
    <cellStyle name="Normal 2 79 3 3" xfId="16151"/>
    <cellStyle name="Normal 2 79 3 4" xfId="16152"/>
    <cellStyle name="Normal 2 79 3 5" xfId="16153"/>
    <cellStyle name="Normal 2 79 3 6" xfId="16154"/>
    <cellStyle name="Normal 2 79 4" xfId="16155"/>
    <cellStyle name="Normal 2 79 5" xfId="16156"/>
    <cellStyle name="Normal 2 79 6" xfId="16157"/>
    <cellStyle name="Normal 2 79 7" xfId="16158"/>
    <cellStyle name="Normal 2 79 8" xfId="16159"/>
    <cellStyle name="Normal 2 79 9" xfId="16160"/>
    <cellStyle name="Normal 2 8" xfId="16161"/>
    <cellStyle name="Normal 2 8 2" xfId="16162"/>
    <cellStyle name="Normal 2 8 3" xfId="16163"/>
    <cellStyle name="Normal 2 8 4" xfId="16164"/>
    <cellStyle name="Normal 2 80" xfId="16165"/>
    <cellStyle name="Normal 2 80 2" xfId="16166"/>
    <cellStyle name="Normal 2 80 2 2" xfId="16167"/>
    <cellStyle name="Normal 2 80 2 3" xfId="16168"/>
    <cellStyle name="Normal 2 80 2 4" xfId="16169"/>
    <cellStyle name="Normal 2 80 2 5" xfId="16170"/>
    <cellStyle name="Normal 2 80 2 6" xfId="16171"/>
    <cellStyle name="Normal 2 80 3" xfId="16172"/>
    <cellStyle name="Normal 2 80 4" xfId="16173"/>
    <cellStyle name="Normal 2 81" xfId="16174"/>
    <cellStyle name="Normal 2 81 2" xfId="16175"/>
    <cellStyle name="Normal 2 81 3" xfId="16176"/>
    <cellStyle name="Normal 2 81 4" xfId="16177"/>
    <cellStyle name="Normal 2 81 5" xfId="16178"/>
    <cellStyle name="Normal 2 81 6" xfId="16179"/>
    <cellStyle name="Normal 2 81 7" xfId="16180"/>
    <cellStyle name="Normal 2 81 8" xfId="16181"/>
    <cellStyle name="Normal 2 82" xfId="16182"/>
    <cellStyle name="Normal 2 82 2" xfId="16183"/>
    <cellStyle name="Normal 2 82 3" xfId="16184"/>
    <cellStyle name="Normal 2 82 4" xfId="16185"/>
    <cellStyle name="Normal 2 82 5" xfId="16186"/>
    <cellStyle name="Normal 2 82 6" xfId="16187"/>
    <cellStyle name="Normal 2 82 7" xfId="16188"/>
    <cellStyle name="Normal 2 82 8" xfId="16189"/>
    <cellStyle name="Normal 2 83" xfId="16190"/>
    <cellStyle name="Normal 2 83 2" xfId="16191"/>
    <cellStyle name="Normal 2 83 3" xfId="16192"/>
    <cellStyle name="Normal 2 83 4" xfId="16193"/>
    <cellStyle name="Normal 2 83 5" xfId="16194"/>
    <cellStyle name="Normal 2 83 6" xfId="16195"/>
    <cellStyle name="Normal 2 83 7" xfId="16196"/>
    <cellStyle name="Normal 2 83 8" xfId="16197"/>
    <cellStyle name="Normal 2 84" xfId="16198"/>
    <cellStyle name="Normal 2 84 2" xfId="16199"/>
    <cellStyle name="Normal 2 84 3" xfId="16200"/>
    <cellStyle name="Normal 2 84 4" xfId="16201"/>
    <cellStyle name="Normal 2 84 5" xfId="16202"/>
    <cellStyle name="Normal 2 84 6" xfId="16203"/>
    <cellStyle name="Normal 2 84 7" xfId="16204"/>
    <cellStyle name="Normal 2 84 8" xfId="16205"/>
    <cellStyle name="Normal 2 85" xfId="16206"/>
    <cellStyle name="Normal 2 85 2" xfId="16207"/>
    <cellStyle name="Normal 2 85 3" xfId="16208"/>
    <cellStyle name="Normal 2 85 4" xfId="16209"/>
    <cellStyle name="Normal 2 85 5" xfId="16210"/>
    <cellStyle name="Normal 2 85 6" xfId="16211"/>
    <cellStyle name="Normal 2 85 7" xfId="16212"/>
    <cellStyle name="Normal 2 85 8" xfId="16213"/>
    <cellStyle name="Normal 2 86" xfId="16214"/>
    <cellStyle name="Normal 2 86 2" xfId="16215"/>
    <cellStyle name="Normal 2 86 3" xfId="16216"/>
    <cellStyle name="Normal 2 86 4" xfId="16217"/>
    <cellStyle name="Normal 2 86 5" xfId="16218"/>
    <cellStyle name="Normal 2 86 6" xfId="16219"/>
    <cellStyle name="Normal 2 86 7" xfId="16220"/>
    <cellStyle name="Normal 2 86 8" xfId="16221"/>
    <cellStyle name="Normal 2 87" xfId="16222"/>
    <cellStyle name="Normal 2 87 2" xfId="16223"/>
    <cellStyle name="Normal 2 87 3" xfId="16224"/>
    <cellStyle name="Normal 2 87 4" xfId="16225"/>
    <cellStyle name="Normal 2 87 5" xfId="16226"/>
    <cellStyle name="Normal 2 87 6" xfId="16227"/>
    <cellStyle name="Normal 2 87 7" xfId="16228"/>
    <cellStyle name="Normal 2 87 8" xfId="16229"/>
    <cellStyle name="Normal 2 88" xfId="16230"/>
    <cellStyle name="Normal 2 88 2" xfId="16231"/>
    <cellStyle name="Normal 2 88 3" xfId="16232"/>
    <cellStyle name="Normal 2 88 4" xfId="16233"/>
    <cellStyle name="Normal 2 88 5" xfId="16234"/>
    <cellStyle name="Normal 2 88 6" xfId="16235"/>
    <cellStyle name="Normal 2 88 7" xfId="16236"/>
    <cellStyle name="Normal 2 88 8" xfId="16237"/>
    <cellStyle name="Normal 2 89" xfId="16238"/>
    <cellStyle name="Normal 2 89 2" xfId="16239"/>
    <cellStyle name="Normal 2 89 3" xfId="16240"/>
    <cellStyle name="Normal 2 89 4" xfId="16241"/>
    <cellStyle name="Normal 2 89 5" xfId="16242"/>
    <cellStyle name="Normal 2 89 6" xfId="16243"/>
    <cellStyle name="Normal 2 89 7" xfId="16244"/>
    <cellStyle name="Normal 2 89 8" xfId="16245"/>
    <cellStyle name="Normal 2 9" xfId="16246"/>
    <cellStyle name="Normal 2 9 2" xfId="16247"/>
    <cellStyle name="Normal 2 9 2 2" xfId="16248"/>
    <cellStyle name="Normal 2 9 2 3" xfId="16249"/>
    <cellStyle name="Normal 2 9 2 3 2" xfId="16250"/>
    <cellStyle name="Normal 2 9 2 3 3" xfId="16251"/>
    <cellStyle name="Normal 2 9 2 3 4" xfId="16252"/>
    <cellStyle name="Normal 2 9 2 3 5" xfId="16253"/>
    <cellStyle name="Normal 2 9 2 3 6" xfId="16254"/>
    <cellStyle name="Normal 2 9 2 4" xfId="16255"/>
    <cellStyle name="Normal 2 9 2 4 2" xfId="16256"/>
    <cellStyle name="Normal 2 9 2 4 3" xfId="16257"/>
    <cellStyle name="Normal 2 9 2 4 4" xfId="16258"/>
    <cellStyle name="Normal 2 9 2 4 5" xfId="16259"/>
    <cellStyle name="Normal 2 9 2 4 6" xfId="16260"/>
    <cellStyle name="Normal 2 9 3" xfId="16261"/>
    <cellStyle name="Normal 2 9 4" xfId="16262"/>
    <cellStyle name="Normal 2 9 5" xfId="16263"/>
    <cellStyle name="Normal 2 90" xfId="16264"/>
    <cellStyle name="Normal 2 90 2" xfId="16265"/>
    <cellStyle name="Normal 2 90 3" xfId="16266"/>
    <cellStyle name="Normal 2 90 4" xfId="16267"/>
    <cellStyle name="Normal 2 90 5" xfId="16268"/>
    <cellStyle name="Normal 2 90 6" xfId="16269"/>
    <cellStyle name="Normal 2 90 7" xfId="16270"/>
    <cellStyle name="Normal 2 90 8" xfId="16271"/>
    <cellStyle name="Normal 2 91" xfId="16272"/>
    <cellStyle name="Normal 2 91 2" xfId="16273"/>
    <cellStyle name="Normal 2 91 3" xfId="16274"/>
    <cellStyle name="Normal 2 91 4" xfId="16275"/>
    <cellStyle name="Normal 2 91 5" xfId="16276"/>
    <cellStyle name="Normal 2 91 6" xfId="16277"/>
    <cellStyle name="Normal 2 91 7" xfId="16278"/>
    <cellStyle name="Normal 2 91 8" xfId="16279"/>
    <cellStyle name="Normal 2 92" xfId="16280"/>
    <cellStyle name="Normal 2 92 2" xfId="16281"/>
    <cellStyle name="Normal 2 92 3" xfId="16282"/>
    <cellStyle name="Normal 2 92 4" xfId="16283"/>
    <cellStyle name="Normal 2 92 5" xfId="16284"/>
    <cellStyle name="Normal 2 92 6" xfId="16285"/>
    <cellStyle name="Normal 2 92 7" xfId="16286"/>
    <cellStyle name="Normal 2 92 8" xfId="16287"/>
    <cellStyle name="Normal 2 93" xfId="16288"/>
    <cellStyle name="Normal 2 93 2" xfId="16289"/>
    <cellStyle name="Normal 2 93 3" xfId="16290"/>
    <cellStyle name="Normal 2 93 4" xfId="16291"/>
    <cellStyle name="Normal 2 93 5" xfId="16292"/>
    <cellStyle name="Normal 2 93 6" xfId="16293"/>
    <cellStyle name="Normal 2 93 7" xfId="16294"/>
    <cellStyle name="Normal 2 93 8" xfId="16295"/>
    <cellStyle name="Normal 2 94" xfId="16296"/>
    <cellStyle name="Normal 2 94 2" xfId="16297"/>
    <cellStyle name="Normal 2 94 3" xfId="16298"/>
    <cellStyle name="Normal 2 94 4" xfId="16299"/>
    <cellStyle name="Normal 2 94 5" xfId="16300"/>
    <cellStyle name="Normal 2 94 6" xfId="16301"/>
    <cellStyle name="Normal 2 94 7" xfId="16302"/>
    <cellStyle name="Normal 2 94 8" xfId="16303"/>
    <cellStyle name="Normal 2 95" xfId="16304"/>
    <cellStyle name="Normal 2 95 2" xfId="16305"/>
    <cellStyle name="Normal 2 95 3" xfId="16306"/>
    <cellStyle name="Normal 2 95 4" xfId="16307"/>
    <cellStyle name="Normal 2 95 5" xfId="16308"/>
    <cellStyle name="Normal 2 95 6" xfId="16309"/>
    <cellStyle name="Normal 2 95 7" xfId="16310"/>
    <cellStyle name="Normal 2 95 8" xfId="16311"/>
    <cellStyle name="Normal 2 96" xfId="16312"/>
    <cellStyle name="Normal 2 96 2" xfId="16313"/>
    <cellStyle name="Normal 2 96 3" xfId="16314"/>
    <cellStyle name="Normal 2 96 4" xfId="16315"/>
    <cellStyle name="Normal 2 96 5" xfId="16316"/>
    <cellStyle name="Normal 2 96 6" xfId="16317"/>
    <cellStyle name="Normal 2 96 7" xfId="16318"/>
    <cellStyle name="Normal 2 96 8" xfId="16319"/>
    <cellStyle name="Normal 2 97" xfId="16320"/>
    <cellStyle name="Normal 2 97 2" xfId="16321"/>
    <cellStyle name="Normal 2 97 3" xfId="16322"/>
    <cellStyle name="Normal 2 97 4" xfId="16323"/>
    <cellStyle name="Normal 2 97 5" xfId="16324"/>
    <cellStyle name="Normal 2 97 6" xfId="16325"/>
    <cellStyle name="Normal 2 97 7" xfId="16326"/>
    <cellStyle name="Normal 2 97 8" xfId="16327"/>
    <cellStyle name="Normal 2 98" xfId="16328"/>
    <cellStyle name="Normal 2 98 2" xfId="16329"/>
    <cellStyle name="Normal 2 98 3" xfId="16330"/>
    <cellStyle name="Normal 2 98 4" xfId="16331"/>
    <cellStyle name="Normal 2 98 5" xfId="16332"/>
    <cellStyle name="Normal 2 98 6" xfId="16333"/>
    <cellStyle name="Normal 2 98 7" xfId="16334"/>
    <cellStyle name="Normal 2 98 8" xfId="16335"/>
    <cellStyle name="Normal 2 99" xfId="16336"/>
    <cellStyle name="Normal 2 99 2" xfId="16337"/>
    <cellStyle name="Normal 2 99 3" xfId="16338"/>
    <cellStyle name="Normal 2 99 4" xfId="16339"/>
    <cellStyle name="Normal 2 99 5" xfId="16340"/>
    <cellStyle name="Normal 2 99 6" xfId="16341"/>
    <cellStyle name="Normal 2 99 7" xfId="16342"/>
    <cellStyle name="Normal 2 99 8" xfId="16343"/>
    <cellStyle name="Normal 20" xfId="16344"/>
    <cellStyle name="Normal 20 10" xfId="16345"/>
    <cellStyle name="Normal 20 10 10" xfId="16346"/>
    <cellStyle name="Normal 20 10 11" xfId="16347"/>
    <cellStyle name="Normal 20 10 2" xfId="16348"/>
    <cellStyle name="Normal 20 10 2 10" xfId="16349"/>
    <cellStyle name="Normal 20 10 2 2" xfId="16350"/>
    <cellStyle name="Normal 20 10 2 3" xfId="16351"/>
    <cellStyle name="Normal 20 10 2 3 2" xfId="16352"/>
    <cellStyle name="Normal 20 10 2 3 3" xfId="16353"/>
    <cellStyle name="Normal 20 10 2 3 4" xfId="16354"/>
    <cellStyle name="Normal 20 10 2 3 5" xfId="16355"/>
    <cellStyle name="Normal 20 10 2 3 6" xfId="16356"/>
    <cellStyle name="Normal 20 10 2 4" xfId="16357"/>
    <cellStyle name="Normal 20 10 2 5" xfId="16358"/>
    <cellStyle name="Normal 20 10 2 6" xfId="16359"/>
    <cellStyle name="Normal 20 10 2 7" xfId="16360"/>
    <cellStyle name="Normal 20 10 2 8" xfId="16361"/>
    <cellStyle name="Normal 20 10 2 9" xfId="16362"/>
    <cellStyle name="Normal 20 10 3" xfId="16363"/>
    <cellStyle name="Normal 20 10 4" xfId="16364"/>
    <cellStyle name="Normal 20 10 4 2" xfId="16365"/>
    <cellStyle name="Normal 20 10 4 3" xfId="16366"/>
    <cellStyle name="Normal 20 10 4 4" xfId="16367"/>
    <cellStyle name="Normal 20 10 4 5" xfId="16368"/>
    <cellStyle name="Normal 20 10 4 6" xfId="16369"/>
    <cellStyle name="Normal 20 10 5" xfId="16370"/>
    <cellStyle name="Normal 20 10 6" xfId="16371"/>
    <cellStyle name="Normal 20 10 7" xfId="16372"/>
    <cellStyle name="Normal 20 10 8" xfId="16373"/>
    <cellStyle name="Normal 20 10 9" xfId="16374"/>
    <cellStyle name="Normal 20 11" xfId="16375"/>
    <cellStyle name="Normal 20 11 10" xfId="16376"/>
    <cellStyle name="Normal 20 11 2" xfId="16377"/>
    <cellStyle name="Normal 20 11 3" xfId="16378"/>
    <cellStyle name="Normal 20 11 3 2" xfId="16379"/>
    <cellStyle name="Normal 20 11 3 3" xfId="16380"/>
    <cellStyle name="Normal 20 11 3 4" xfId="16381"/>
    <cellStyle name="Normal 20 11 3 5" xfId="16382"/>
    <cellStyle name="Normal 20 11 3 6" xfId="16383"/>
    <cellStyle name="Normal 20 11 4" xfId="16384"/>
    <cellStyle name="Normal 20 11 5" xfId="16385"/>
    <cellStyle name="Normal 20 11 6" xfId="16386"/>
    <cellStyle name="Normal 20 11 7" xfId="16387"/>
    <cellStyle name="Normal 20 11 8" xfId="16388"/>
    <cellStyle name="Normal 20 11 9" xfId="16389"/>
    <cellStyle name="Normal 20 12" xfId="16390"/>
    <cellStyle name="Normal 20 13" xfId="16391"/>
    <cellStyle name="Normal 20 13 2" xfId="16392"/>
    <cellStyle name="Normal 20 13 3" xfId="16393"/>
    <cellStyle name="Normal 20 13 4" xfId="16394"/>
    <cellStyle name="Normal 20 13 5" xfId="16395"/>
    <cellStyle name="Normal 20 13 6" xfId="16396"/>
    <cellStyle name="Normal 20 14" xfId="16397"/>
    <cellStyle name="Normal 20 15" xfId="16398"/>
    <cellStyle name="Normal 20 16" xfId="16399"/>
    <cellStyle name="Normal 20 17" xfId="16400"/>
    <cellStyle name="Normal 20 18" xfId="16401"/>
    <cellStyle name="Normal 20 19" xfId="16402"/>
    <cellStyle name="Normal 20 2" xfId="16403"/>
    <cellStyle name="Normal 20 2 10" xfId="16404"/>
    <cellStyle name="Normal 20 2 11" xfId="16405"/>
    <cellStyle name="Normal 20 2 2" xfId="16406"/>
    <cellStyle name="Normal 20 2 2 10" xfId="16407"/>
    <cellStyle name="Normal 20 2 2 2" xfId="16408"/>
    <cellStyle name="Normal 20 2 2 3" xfId="16409"/>
    <cellStyle name="Normal 20 2 2 3 2" xfId="16410"/>
    <cellStyle name="Normal 20 2 2 3 3" xfId="16411"/>
    <cellStyle name="Normal 20 2 2 3 4" xfId="16412"/>
    <cellStyle name="Normal 20 2 2 3 5" xfId="16413"/>
    <cellStyle name="Normal 20 2 2 3 6" xfId="16414"/>
    <cellStyle name="Normal 20 2 2 4" xfId="16415"/>
    <cellStyle name="Normal 20 2 2 5" xfId="16416"/>
    <cellStyle name="Normal 20 2 2 6" xfId="16417"/>
    <cellStyle name="Normal 20 2 2 7" xfId="16418"/>
    <cellStyle name="Normal 20 2 2 8" xfId="16419"/>
    <cellStyle name="Normal 20 2 2 9" xfId="16420"/>
    <cellStyle name="Normal 20 2 3" xfId="16421"/>
    <cellStyle name="Normal 20 2 4" xfId="16422"/>
    <cellStyle name="Normal 20 2 4 2" xfId="16423"/>
    <cellStyle name="Normal 20 2 4 3" xfId="16424"/>
    <cellStyle name="Normal 20 2 4 4" xfId="16425"/>
    <cellStyle name="Normal 20 2 4 5" xfId="16426"/>
    <cellStyle name="Normal 20 2 4 6" xfId="16427"/>
    <cellStyle name="Normal 20 2 5" xfId="16428"/>
    <cellStyle name="Normal 20 2 6" xfId="16429"/>
    <cellStyle name="Normal 20 2 7" xfId="16430"/>
    <cellStyle name="Normal 20 2 8" xfId="16431"/>
    <cellStyle name="Normal 20 2 9" xfId="16432"/>
    <cellStyle name="Normal 20 20" xfId="16433"/>
    <cellStyle name="Normal 20 3" xfId="16434"/>
    <cellStyle name="Normal 20 3 10" xfId="16435"/>
    <cellStyle name="Normal 20 3 11" xfId="16436"/>
    <cellStyle name="Normal 20 3 2" xfId="16437"/>
    <cellStyle name="Normal 20 3 2 10" xfId="16438"/>
    <cellStyle name="Normal 20 3 2 2" xfId="16439"/>
    <cellStyle name="Normal 20 3 2 3" xfId="16440"/>
    <cellStyle name="Normal 20 3 2 3 2" xfId="16441"/>
    <cellStyle name="Normal 20 3 2 3 3" xfId="16442"/>
    <cellStyle name="Normal 20 3 2 3 4" xfId="16443"/>
    <cellStyle name="Normal 20 3 2 3 5" xfId="16444"/>
    <cellStyle name="Normal 20 3 2 3 6" xfId="16445"/>
    <cellStyle name="Normal 20 3 2 4" xfId="16446"/>
    <cellStyle name="Normal 20 3 2 5" xfId="16447"/>
    <cellStyle name="Normal 20 3 2 6" xfId="16448"/>
    <cellStyle name="Normal 20 3 2 7" xfId="16449"/>
    <cellStyle name="Normal 20 3 2 8" xfId="16450"/>
    <cellStyle name="Normal 20 3 2 9" xfId="16451"/>
    <cellStyle name="Normal 20 3 3" xfId="16452"/>
    <cellStyle name="Normal 20 3 4" xfId="16453"/>
    <cellStyle name="Normal 20 3 4 2" xfId="16454"/>
    <cellStyle name="Normal 20 3 4 3" xfId="16455"/>
    <cellStyle name="Normal 20 3 4 4" xfId="16456"/>
    <cellStyle name="Normal 20 3 4 5" xfId="16457"/>
    <cellStyle name="Normal 20 3 4 6" xfId="16458"/>
    <cellStyle name="Normal 20 3 5" xfId="16459"/>
    <cellStyle name="Normal 20 3 6" xfId="16460"/>
    <cellStyle name="Normal 20 3 7" xfId="16461"/>
    <cellStyle name="Normal 20 3 8" xfId="16462"/>
    <cellStyle name="Normal 20 3 9" xfId="16463"/>
    <cellStyle name="Normal 20 4" xfId="16464"/>
    <cellStyle name="Normal 20 4 10" xfId="16465"/>
    <cellStyle name="Normal 20 4 11" xfId="16466"/>
    <cellStyle name="Normal 20 4 2" xfId="16467"/>
    <cellStyle name="Normal 20 4 2 10" xfId="16468"/>
    <cellStyle name="Normal 20 4 2 2" xfId="16469"/>
    <cellStyle name="Normal 20 4 2 3" xfId="16470"/>
    <cellStyle name="Normal 20 4 2 3 2" xfId="16471"/>
    <cellStyle name="Normal 20 4 2 3 3" xfId="16472"/>
    <cellStyle name="Normal 20 4 2 3 4" xfId="16473"/>
    <cellStyle name="Normal 20 4 2 3 5" xfId="16474"/>
    <cellStyle name="Normal 20 4 2 3 6" xfId="16475"/>
    <cellStyle name="Normal 20 4 2 4" xfId="16476"/>
    <cellStyle name="Normal 20 4 2 5" xfId="16477"/>
    <cellStyle name="Normal 20 4 2 6" xfId="16478"/>
    <cellStyle name="Normal 20 4 2 7" xfId="16479"/>
    <cellStyle name="Normal 20 4 2 8" xfId="16480"/>
    <cellStyle name="Normal 20 4 2 9" xfId="16481"/>
    <cellStyle name="Normal 20 4 3" xfId="16482"/>
    <cellStyle name="Normal 20 4 4" xfId="16483"/>
    <cellStyle name="Normal 20 4 4 2" xfId="16484"/>
    <cellStyle name="Normal 20 4 4 3" xfId="16485"/>
    <cellStyle name="Normal 20 4 4 4" xfId="16486"/>
    <cellStyle name="Normal 20 4 4 5" xfId="16487"/>
    <cellStyle name="Normal 20 4 4 6" xfId="16488"/>
    <cellStyle name="Normal 20 4 5" xfId="16489"/>
    <cellStyle name="Normal 20 4 6" xfId="16490"/>
    <cellStyle name="Normal 20 4 7" xfId="16491"/>
    <cellStyle name="Normal 20 4 8" xfId="16492"/>
    <cellStyle name="Normal 20 4 9" xfId="16493"/>
    <cellStyle name="Normal 20 5" xfId="16494"/>
    <cellStyle name="Normal 20 5 10" xfId="16495"/>
    <cellStyle name="Normal 20 5 11" xfId="16496"/>
    <cellStyle name="Normal 20 5 2" xfId="16497"/>
    <cellStyle name="Normal 20 5 2 10" xfId="16498"/>
    <cellStyle name="Normal 20 5 2 2" xfId="16499"/>
    <cellStyle name="Normal 20 5 2 3" xfId="16500"/>
    <cellStyle name="Normal 20 5 2 3 2" xfId="16501"/>
    <cellStyle name="Normal 20 5 2 3 3" xfId="16502"/>
    <cellStyle name="Normal 20 5 2 3 4" xfId="16503"/>
    <cellStyle name="Normal 20 5 2 3 5" xfId="16504"/>
    <cellStyle name="Normal 20 5 2 3 6" xfId="16505"/>
    <cellStyle name="Normal 20 5 2 4" xfId="16506"/>
    <cellStyle name="Normal 20 5 2 5" xfId="16507"/>
    <cellStyle name="Normal 20 5 2 6" xfId="16508"/>
    <cellStyle name="Normal 20 5 2 7" xfId="16509"/>
    <cellStyle name="Normal 20 5 2 8" xfId="16510"/>
    <cellStyle name="Normal 20 5 2 9" xfId="16511"/>
    <cellStyle name="Normal 20 5 3" xfId="16512"/>
    <cellStyle name="Normal 20 5 4" xfId="16513"/>
    <cellStyle name="Normal 20 5 4 2" xfId="16514"/>
    <cellStyle name="Normal 20 5 4 3" xfId="16515"/>
    <cellStyle name="Normal 20 5 4 4" xfId="16516"/>
    <cellStyle name="Normal 20 5 4 5" xfId="16517"/>
    <cellStyle name="Normal 20 5 4 6" xfId="16518"/>
    <cellStyle name="Normal 20 5 5" xfId="16519"/>
    <cellStyle name="Normal 20 5 6" xfId="16520"/>
    <cellStyle name="Normal 20 5 7" xfId="16521"/>
    <cellStyle name="Normal 20 5 8" xfId="16522"/>
    <cellStyle name="Normal 20 5 9" xfId="16523"/>
    <cellStyle name="Normal 20 6" xfId="16524"/>
    <cellStyle name="Normal 20 6 10" xfId="16525"/>
    <cellStyle name="Normal 20 6 11" xfId="16526"/>
    <cellStyle name="Normal 20 6 2" xfId="16527"/>
    <cellStyle name="Normal 20 6 2 10" xfId="16528"/>
    <cellStyle name="Normal 20 6 2 2" xfId="16529"/>
    <cellStyle name="Normal 20 6 2 3" xfId="16530"/>
    <cellStyle name="Normal 20 6 2 3 2" xfId="16531"/>
    <cellStyle name="Normal 20 6 2 3 3" xfId="16532"/>
    <cellStyle name="Normal 20 6 2 3 4" xfId="16533"/>
    <cellStyle name="Normal 20 6 2 3 5" xfId="16534"/>
    <cellStyle name="Normal 20 6 2 3 6" xfId="16535"/>
    <cellStyle name="Normal 20 6 2 4" xfId="16536"/>
    <cellStyle name="Normal 20 6 2 5" xfId="16537"/>
    <cellStyle name="Normal 20 6 2 6" xfId="16538"/>
    <cellStyle name="Normal 20 6 2 7" xfId="16539"/>
    <cellStyle name="Normal 20 6 2 8" xfId="16540"/>
    <cellStyle name="Normal 20 6 2 9" xfId="16541"/>
    <cellStyle name="Normal 20 6 3" xfId="16542"/>
    <cellStyle name="Normal 20 6 4" xfId="16543"/>
    <cellStyle name="Normal 20 6 4 2" xfId="16544"/>
    <cellStyle name="Normal 20 6 4 3" xfId="16545"/>
    <cellStyle name="Normal 20 6 4 4" xfId="16546"/>
    <cellStyle name="Normal 20 6 4 5" xfId="16547"/>
    <cellStyle name="Normal 20 6 4 6" xfId="16548"/>
    <cellStyle name="Normal 20 6 5" xfId="16549"/>
    <cellStyle name="Normal 20 6 6" xfId="16550"/>
    <cellStyle name="Normal 20 6 7" xfId="16551"/>
    <cellStyle name="Normal 20 6 8" xfId="16552"/>
    <cellStyle name="Normal 20 6 9" xfId="16553"/>
    <cellStyle name="Normal 20 7" xfId="16554"/>
    <cellStyle name="Normal 20 7 10" xfId="16555"/>
    <cellStyle name="Normal 20 7 11" xfId="16556"/>
    <cellStyle name="Normal 20 7 2" xfId="16557"/>
    <cellStyle name="Normal 20 7 2 10" xfId="16558"/>
    <cellStyle name="Normal 20 7 2 2" xfId="16559"/>
    <cellStyle name="Normal 20 7 2 3" xfId="16560"/>
    <cellStyle name="Normal 20 7 2 3 2" xfId="16561"/>
    <cellStyle name="Normal 20 7 2 3 3" xfId="16562"/>
    <cellStyle name="Normal 20 7 2 3 4" xfId="16563"/>
    <cellStyle name="Normal 20 7 2 3 5" xfId="16564"/>
    <cellStyle name="Normal 20 7 2 3 6" xfId="16565"/>
    <cellStyle name="Normal 20 7 2 4" xfId="16566"/>
    <cellStyle name="Normal 20 7 2 5" xfId="16567"/>
    <cellStyle name="Normal 20 7 2 6" xfId="16568"/>
    <cellStyle name="Normal 20 7 2 7" xfId="16569"/>
    <cellStyle name="Normal 20 7 2 8" xfId="16570"/>
    <cellStyle name="Normal 20 7 2 9" xfId="16571"/>
    <cellStyle name="Normal 20 7 3" xfId="16572"/>
    <cellStyle name="Normal 20 7 4" xfId="16573"/>
    <cellStyle name="Normal 20 7 4 2" xfId="16574"/>
    <cellStyle name="Normal 20 7 4 3" xfId="16575"/>
    <cellStyle name="Normal 20 7 4 4" xfId="16576"/>
    <cellStyle name="Normal 20 7 4 5" xfId="16577"/>
    <cellStyle name="Normal 20 7 4 6" xfId="16578"/>
    <cellStyle name="Normal 20 7 5" xfId="16579"/>
    <cellStyle name="Normal 20 7 6" xfId="16580"/>
    <cellStyle name="Normal 20 7 7" xfId="16581"/>
    <cellStyle name="Normal 20 7 8" xfId="16582"/>
    <cellStyle name="Normal 20 7 9" xfId="16583"/>
    <cellStyle name="Normal 20 8" xfId="16584"/>
    <cellStyle name="Normal 20 8 10" xfId="16585"/>
    <cellStyle name="Normal 20 8 11" xfId="16586"/>
    <cellStyle name="Normal 20 8 2" xfId="16587"/>
    <cellStyle name="Normal 20 8 2 10" xfId="16588"/>
    <cellStyle name="Normal 20 8 2 2" xfId="16589"/>
    <cellStyle name="Normal 20 8 2 3" xfId="16590"/>
    <cellStyle name="Normal 20 8 2 3 2" xfId="16591"/>
    <cellStyle name="Normal 20 8 2 3 3" xfId="16592"/>
    <cellStyle name="Normal 20 8 2 3 4" xfId="16593"/>
    <cellStyle name="Normal 20 8 2 3 5" xfId="16594"/>
    <cellStyle name="Normal 20 8 2 3 6" xfId="16595"/>
    <cellStyle name="Normal 20 8 2 4" xfId="16596"/>
    <cellStyle name="Normal 20 8 2 5" xfId="16597"/>
    <cellStyle name="Normal 20 8 2 6" xfId="16598"/>
    <cellStyle name="Normal 20 8 2 7" xfId="16599"/>
    <cellStyle name="Normal 20 8 2 8" xfId="16600"/>
    <cellStyle name="Normal 20 8 2 9" xfId="16601"/>
    <cellStyle name="Normal 20 8 3" xfId="16602"/>
    <cellStyle name="Normal 20 8 4" xfId="16603"/>
    <cellStyle name="Normal 20 8 4 2" xfId="16604"/>
    <cellStyle name="Normal 20 8 4 3" xfId="16605"/>
    <cellStyle name="Normal 20 8 4 4" xfId="16606"/>
    <cellStyle name="Normal 20 8 4 5" xfId="16607"/>
    <cellStyle name="Normal 20 8 4 6" xfId="16608"/>
    <cellStyle name="Normal 20 8 5" xfId="16609"/>
    <cellStyle name="Normal 20 8 6" xfId="16610"/>
    <cellStyle name="Normal 20 8 7" xfId="16611"/>
    <cellStyle name="Normal 20 8 8" xfId="16612"/>
    <cellStyle name="Normal 20 8 9" xfId="16613"/>
    <cellStyle name="Normal 20 9" xfId="16614"/>
    <cellStyle name="Normal 20 9 10" xfId="16615"/>
    <cellStyle name="Normal 20 9 11" xfId="16616"/>
    <cellStyle name="Normal 20 9 2" xfId="16617"/>
    <cellStyle name="Normal 20 9 2 10" xfId="16618"/>
    <cellStyle name="Normal 20 9 2 2" xfId="16619"/>
    <cellStyle name="Normal 20 9 2 3" xfId="16620"/>
    <cellStyle name="Normal 20 9 2 3 2" xfId="16621"/>
    <cellStyle name="Normal 20 9 2 3 3" xfId="16622"/>
    <cellStyle name="Normal 20 9 2 3 4" xfId="16623"/>
    <cellStyle name="Normal 20 9 2 3 5" xfId="16624"/>
    <cellStyle name="Normal 20 9 2 3 6" xfId="16625"/>
    <cellStyle name="Normal 20 9 2 4" xfId="16626"/>
    <cellStyle name="Normal 20 9 2 5" xfId="16627"/>
    <cellStyle name="Normal 20 9 2 6" xfId="16628"/>
    <cellStyle name="Normal 20 9 2 7" xfId="16629"/>
    <cellStyle name="Normal 20 9 2 8" xfId="16630"/>
    <cellStyle name="Normal 20 9 2 9" xfId="16631"/>
    <cellStyle name="Normal 20 9 3" xfId="16632"/>
    <cellStyle name="Normal 20 9 4" xfId="16633"/>
    <cellStyle name="Normal 20 9 4 2" xfId="16634"/>
    <cellStyle name="Normal 20 9 4 3" xfId="16635"/>
    <cellStyle name="Normal 20 9 4 4" xfId="16636"/>
    <cellStyle name="Normal 20 9 4 5" xfId="16637"/>
    <cellStyle name="Normal 20 9 4 6" xfId="16638"/>
    <cellStyle name="Normal 20 9 5" xfId="16639"/>
    <cellStyle name="Normal 20 9 6" xfId="16640"/>
    <cellStyle name="Normal 20 9 7" xfId="16641"/>
    <cellStyle name="Normal 20 9 8" xfId="16642"/>
    <cellStyle name="Normal 20 9 9" xfId="16643"/>
    <cellStyle name="Normal 21" xfId="16644"/>
    <cellStyle name="Normal 21 10" xfId="16645"/>
    <cellStyle name="Normal 21 10 10" xfId="16646"/>
    <cellStyle name="Normal 21 10 11" xfId="16647"/>
    <cellStyle name="Normal 21 10 2" xfId="16648"/>
    <cellStyle name="Normal 21 10 2 10" xfId="16649"/>
    <cellStyle name="Normal 21 10 2 2" xfId="16650"/>
    <cellStyle name="Normal 21 10 2 3" xfId="16651"/>
    <cellStyle name="Normal 21 10 2 3 2" xfId="16652"/>
    <cellStyle name="Normal 21 10 2 3 3" xfId="16653"/>
    <cellStyle name="Normal 21 10 2 3 4" xfId="16654"/>
    <cellStyle name="Normal 21 10 2 3 5" xfId="16655"/>
    <cellStyle name="Normal 21 10 2 3 6" xfId="16656"/>
    <cellStyle name="Normal 21 10 2 4" xfId="16657"/>
    <cellStyle name="Normal 21 10 2 5" xfId="16658"/>
    <cellStyle name="Normal 21 10 2 6" xfId="16659"/>
    <cellStyle name="Normal 21 10 2 7" xfId="16660"/>
    <cellStyle name="Normal 21 10 2 8" xfId="16661"/>
    <cellStyle name="Normal 21 10 2 9" xfId="16662"/>
    <cellStyle name="Normal 21 10 3" xfId="16663"/>
    <cellStyle name="Normal 21 10 4" xfId="16664"/>
    <cellStyle name="Normal 21 10 4 2" xfId="16665"/>
    <cellStyle name="Normal 21 10 4 3" xfId="16666"/>
    <cellStyle name="Normal 21 10 4 4" xfId="16667"/>
    <cellStyle name="Normal 21 10 4 5" xfId="16668"/>
    <cellStyle name="Normal 21 10 4 6" xfId="16669"/>
    <cellStyle name="Normal 21 10 5" xfId="16670"/>
    <cellStyle name="Normal 21 10 6" xfId="16671"/>
    <cellStyle name="Normal 21 10 7" xfId="16672"/>
    <cellStyle name="Normal 21 10 8" xfId="16673"/>
    <cellStyle name="Normal 21 10 9" xfId="16674"/>
    <cellStyle name="Normal 21 11" xfId="16675"/>
    <cellStyle name="Normal 21 11 10" xfId="16676"/>
    <cellStyle name="Normal 21 11 2" xfId="16677"/>
    <cellStyle name="Normal 21 11 3" xfId="16678"/>
    <cellStyle name="Normal 21 11 3 2" xfId="16679"/>
    <cellStyle name="Normal 21 11 3 3" xfId="16680"/>
    <cellStyle name="Normal 21 11 3 4" xfId="16681"/>
    <cellStyle name="Normal 21 11 3 5" xfId="16682"/>
    <cellStyle name="Normal 21 11 3 6" xfId="16683"/>
    <cellStyle name="Normal 21 11 4" xfId="16684"/>
    <cellStyle name="Normal 21 11 5" xfId="16685"/>
    <cellStyle name="Normal 21 11 6" xfId="16686"/>
    <cellStyle name="Normal 21 11 7" xfId="16687"/>
    <cellStyle name="Normal 21 11 8" xfId="16688"/>
    <cellStyle name="Normal 21 11 9" xfId="16689"/>
    <cellStyle name="Normal 21 12" xfId="16690"/>
    <cellStyle name="Normal 21 13" xfId="16691"/>
    <cellStyle name="Normal 21 13 2" xfId="16692"/>
    <cellStyle name="Normal 21 13 3" xfId="16693"/>
    <cellStyle name="Normal 21 13 4" xfId="16694"/>
    <cellStyle name="Normal 21 13 5" xfId="16695"/>
    <cellStyle name="Normal 21 13 6" xfId="16696"/>
    <cellStyle name="Normal 21 14" xfId="16697"/>
    <cellStyle name="Normal 21 15" xfId="16698"/>
    <cellStyle name="Normal 21 16" xfId="16699"/>
    <cellStyle name="Normal 21 17" xfId="16700"/>
    <cellStyle name="Normal 21 18" xfId="16701"/>
    <cellStyle name="Normal 21 19" xfId="16702"/>
    <cellStyle name="Normal 21 2" xfId="16703"/>
    <cellStyle name="Normal 21 2 10" xfId="16704"/>
    <cellStyle name="Normal 21 2 11" xfId="16705"/>
    <cellStyle name="Normal 21 2 2" xfId="16706"/>
    <cellStyle name="Normal 21 2 2 10" xfId="16707"/>
    <cellStyle name="Normal 21 2 2 2" xfId="16708"/>
    <cellStyle name="Normal 21 2 2 3" xfId="16709"/>
    <cellStyle name="Normal 21 2 2 3 2" xfId="16710"/>
    <cellStyle name="Normal 21 2 2 3 3" xfId="16711"/>
    <cellStyle name="Normal 21 2 2 3 4" xfId="16712"/>
    <cellStyle name="Normal 21 2 2 3 5" xfId="16713"/>
    <cellStyle name="Normal 21 2 2 3 6" xfId="16714"/>
    <cellStyle name="Normal 21 2 2 4" xfId="16715"/>
    <cellStyle name="Normal 21 2 2 5" xfId="16716"/>
    <cellStyle name="Normal 21 2 2 6" xfId="16717"/>
    <cellStyle name="Normal 21 2 2 7" xfId="16718"/>
    <cellStyle name="Normal 21 2 2 8" xfId="16719"/>
    <cellStyle name="Normal 21 2 2 9" xfId="16720"/>
    <cellStyle name="Normal 21 2 3" xfId="16721"/>
    <cellStyle name="Normal 21 2 4" xfId="16722"/>
    <cellStyle name="Normal 21 2 4 2" xfId="16723"/>
    <cellStyle name="Normal 21 2 4 3" xfId="16724"/>
    <cellStyle name="Normal 21 2 4 4" xfId="16725"/>
    <cellStyle name="Normal 21 2 4 5" xfId="16726"/>
    <cellStyle name="Normal 21 2 4 6" xfId="16727"/>
    <cellStyle name="Normal 21 2 5" xfId="16728"/>
    <cellStyle name="Normal 21 2 6" xfId="16729"/>
    <cellStyle name="Normal 21 2 7" xfId="16730"/>
    <cellStyle name="Normal 21 2 8" xfId="16731"/>
    <cellStyle name="Normal 21 2 9" xfId="16732"/>
    <cellStyle name="Normal 21 20" xfId="16733"/>
    <cellStyle name="Normal 21 3" xfId="16734"/>
    <cellStyle name="Normal 21 3 10" xfId="16735"/>
    <cellStyle name="Normal 21 3 11" xfId="16736"/>
    <cellStyle name="Normal 21 3 2" xfId="16737"/>
    <cellStyle name="Normal 21 3 2 10" xfId="16738"/>
    <cellStyle name="Normal 21 3 2 2" xfId="16739"/>
    <cellStyle name="Normal 21 3 2 3" xfId="16740"/>
    <cellStyle name="Normal 21 3 2 3 2" xfId="16741"/>
    <cellStyle name="Normal 21 3 2 3 3" xfId="16742"/>
    <cellStyle name="Normal 21 3 2 3 4" xfId="16743"/>
    <cellStyle name="Normal 21 3 2 3 5" xfId="16744"/>
    <cellStyle name="Normal 21 3 2 3 6" xfId="16745"/>
    <cellStyle name="Normal 21 3 2 4" xfId="16746"/>
    <cellStyle name="Normal 21 3 2 5" xfId="16747"/>
    <cellStyle name="Normal 21 3 2 6" xfId="16748"/>
    <cellStyle name="Normal 21 3 2 7" xfId="16749"/>
    <cellStyle name="Normal 21 3 2 8" xfId="16750"/>
    <cellStyle name="Normal 21 3 2 9" xfId="16751"/>
    <cellStyle name="Normal 21 3 3" xfId="16752"/>
    <cellStyle name="Normal 21 3 4" xfId="16753"/>
    <cellStyle name="Normal 21 3 4 2" xfId="16754"/>
    <cellStyle name="Normal 21 3 4 3" xfId="16755"/>
    <cellStyle name="Normal 21 3 4 4" xfId="16756"/>
    <cellStyle name="Normal 21 3 4 5" xfId="16757"/>
    <cellStyle name="Normal 21 3 4 6" xfId="16758"/>
    <cellStyle name="Normal 21 3 5" xfId="16759"/>
    <cellStyle name="Normal 21 3 6" xfId="16760"/>
    <cellStyle name="Normal 21 3 7" xfId="16761"/>
    <cellStyle name="Normal 21 3 8" xfId="16762"/>
    <cellStyle name="Normal 21 3 9" xfId="16763"/>
    <cellStyle name="Normal 21 4" xfId="16764"/>
    <cellStyle name="Normal 21 4 10" xfId="16765"/>
    <cellStyle name="Normal 21 4 11" xfId="16766"/>
    <cellStyle name="Normal 21 4 2" xfId="16767"/>
    <cellStyle name="Normal 21 4 2 10" xfId="16768"/>
    <cellStyle name="Normal 21 4 2 2" xfId="16769"/>
    <cellStyle name="Normal 21 4 2 3" xfId="16770"/>
    <cellStyle name="Normal 21 4 2 3 2" xfId="16771"/>
    <cellStyle name="Normal 21 4 2 3 3" xfId="16772"/>
    <cellStyle name="Normal 21 4 2 3 4" xfId="16773"/>
    <cellStyle name="Normal 21 4 2 3 5" xfId="16774"/>
    <cellStyle name="Normal 21 4 2 3 6" xfId="16775"/>
    <cellStyle name="Normal 21 4 2 4" xfId="16776"/>
    <cellStyle name="Normal 21 4 2 5" xfId="16777"/>
    <cellStyle name="Normal 21 4 2 6" xfId="16778"/>
    <cellStyle name="Normal 21 4 2 7" xfId="16779"/>
    <cellStyle name="Normal 21 4 2 8" xfId="16780"/>
    <cellStyle name="Normal 21 4 2 9" xfId="16781"/>
    <cellStyle name="Normal 21 4 3" xfId="16782"/>
    <cellStyle name="Normal 21 4 4" xfId="16783"/>
    <cellStyle name="Normal 21 4 4 2" xfId="16784"/>
    <cellStyle name="Normal 21 4 4 3" xfId="16785"/>
    <cellStyle name="Normal 21 4 4 4" xfId="16786"/>
    <cellStyle name="Normal 21 4 4 5" xfId="16787"/>
    <cellStyle name="Normal 21 4 4 6" xfId="16788"/>
    <cellStyle name="Normal 21 4 5" xfId="16789"/>
    <cellStyle name="Normal 21 4 6" xfId="16790"/>
    <cellStyle name="Normal 21 4 7" xfId="16791"/>
    <cellStyle name="Normal 21 4 8" xfId="16792"/>
    <cellStyle name="Normal 21 4 9" xfId="16793"/>
    <cellStyle name="Normal 21 5" xfId="16794"/>
    <cellStyle name="Normal 21 5 10" xfId="16795"/>
    <cellStyle name="Normal 21 5 11" xfId="16796"/>
    <cellStyle name="Normal 21 5 2" xfId="16797"/>
    <cellStyle name="Normal 21 5 2 10" xfId="16798"/>
    <cellStyle name="Normal 21 5 2 2" xfId="16799"/>
    <cellStyle name="Normal 21 5 2 3" xfId="16800"/>
    <cellStyle name="Normal 21 5 2 3 2" xfId="16801"/>
    <cellStyle name="Normal 21 5 2 3 3" xfId="16802"/>
    <cellStyle name="Normal 21 5 2 3 4" xfId="16803"/>
    <cellStyle name="Normal 21 5 2 3 5" xfId="16804"/>
    <cellStyle name="Normal 21 5 2 3 6" xfId="16805"/>
    <cellStyle name="Normal 21 5 2 4" xfId="16806"/>
    <cellStyle name="Normal 21 5 2 5" xfId="16807"/>
    <cellStyle name="Normal 21 5 2 6" xfId="16808"/>
    <cellStyle name="Normal 21 5 2 7" xfId="16809"/>
    <cellStyle name="Normal 21 5 2 8" xfId="16810"/>
    <cellStyle name="Normal 21 5 2 9" xfId="16811"/>
    <cellStyle name="Normal 21 5 3" xfId="16812"/>
    <cellStyle name="Normal 21 5 4" xfId="16813"/>
    <cellStyle name="Normal 21 5 4 2" xfId="16814"/>
    <cellStyle name="Normal 21 5 4 3" xfId="16815"/>
    <cellStyle name="Normal 21 5 4 4" xfId="16816"/>
    <cellStyle name="Normal 21 5 4 5" xfId="16817"/>
    <cellStyle name="Normal 21 5 4 6" xfId="16818"/>
    <cellStyle name="Normal 21 5 5" xfId="16819"/>
    <cellStyle name="Normal 21 5 6" xfId="16820"/>
    <cellStyle name="Normal 21 5 7" xfId="16821"/>
    <cellStyle name="Normal 21 5 8" xfId="16822"/>
    <cellStyle name="Normal 21 5 9" xfId="16823"/>
    <cellStyle name="Normal 21 6" xfId="16824"/>
    <cellStyle name="Normal 21 6 10" xfId="16825"/>
    <cellStyle name="Normal 21 6 11" xfId="16826"/>
    <cellStyle name="Normal 21 6 2" xfId="16827"/>
    <cellStyle name="Normal 21 6 2 10" xfId="16828"/>
    <cellStyle name="Normal 21 6 2 2" xfId="16829"/>
    <cellStyle name="Normal 21 6 2 3" xfId="16830"/>
    <cellStyle name="Normal 21 6 2 3 2" xfId="16831"/>
    <cellStyle name="Normal 21 6 2 3 3" xfId="16832"/>
    <cellStyle name="Normal 21 6 2 3 4" xfId="16833"/>
    <cellStyle name="Normal 21 6 2 3 5" xfId="16834"/>
    <cellStyle name="Normal 21 6 2 3 6" xfId="16835"/>
    <cellStyle name="Normal 21 6 2 4" xfId="16836"/>
    <cellStyle name="Normal 21 6 2 5" xfId="16837"/>
    <cellStyle name="Normal 21 6 2 6" xfId="16838"/>
    <cellStyle name="Normal 21 6 2 7" xfId="16839"/>
    <cellStyle name="Normal 21 6 2 8" xfId="16840"/>
    <cellStyle name="Normal 21 6 2 9" xfId="16841"/>
    <cellStyle name="Normal 21 6 3" xfId="16842"/>
    <cellStyle name="Normal 21 6 4" xfId="16843"/>
    <cellStyle name="Normal 21 6 4 2" xfId="16844"/>
    <cellStyle name="Normal 21 6 4 3" xfId="16845"/>
    <cellStyle name="Normal 21 6 4 4" xfId="16846"/>
    <cellStyle name="Normal 21 6 4 5" xfId="16847"/>
    <cellStyle name="Normal 21 6 4 6" xfId="16848"/>
    <cellStyle name="Normal 21 6 5" xfId="16849"/>
    <cellStyle name="Normal 21 6 6" xfId="16850"/>
    <cellStyle name="Normal 21 6 7" xfId="16851"/>
    <cellStyle name="Normal 21 6 8" xfId="16852"/>
    <cellStyle name="Normal 21 6 9" xfId="16853"/>
    <cellStyle name="Normal 21 7" xfId="16854"/>
    <cellStyle name="Normal 21 7 10" xfId="16855"/>
    <cellStyle name="Normal 21 7 11" xfId="16856"/>
    <cellStyle name="Normal 21 7 2" xfId="16857"/>
    <cellStyle name="Normal 21 7 2 10" xfId="16858"/>
    <cellStyle name="Normal 21 7 2 2" xfId="16859"/>
    <cellStyle name="Normal 21 7 2 3" xfId="16860"/>
    <cellStyle name="Normal 21 7 2 3 2" xfId="16861"/>
    <cellStyle name="Normal 21 7 2 3 3" xfId="16862"/>
    <cellStyle name="Normal 21 7 2 3 4" xfId="16863"/>
    <cellStyle name="Normal 21 7 2 3 5" xfId="16864"/>
    <cellStyle name="Normal 21 7 2 3 6" xfId="16865"/>
    <cellStyle name="Normal 21 7 2 4" xfId="16866"/>
    <cellStyle name="Normal 21 7 2 5" xfId="16867"/>
    <cellStyle name="Normal 21 7 2 6" xfId="16868"/>
    <cellStyle name="Normal 21 7 2 7" xfId="16869"/>
    <cellStyle name="Normal 21 7 2 8" xfId="16870"/>
    <cellStyle name="Normal 21 7 2 9" xfId="16871"/>
    <cellStyle name="Normal 21 7 3" xfId="16872"/>
    <cellStyle name="Normal 21 7 4" xfId="16873"/>
    <cellStyle name="Normal 21 7 4 2" xfId="16874"/>
    <cellStyle name="Normal 21 7 4 3" xfId="16875"/>
    <cellStyle name="Normal 21 7 4 4" xfId="16876"/>
    <cellStyle name="Normal 21 7 4 5" xfId="16877"/>
    <cellStyle name="Normal 21 7 4 6" xfId="16878"/>
    <cellStyle name="Normal 21 7 5" xfId="16879"/>
    <cellStyle name="Normal 21 7 6" xfId="16880"/>
    <cellStyle name="Normal 21 7 7" xfId="16881"/>
    <cellStyle name="Normal 21 7 8" xfId="16882"/>
    <cellStyle name="Normal 21 7 9" xfId="16883"/>
    <cellStyle name="Normal 21 8" xfId="16884"/>
    <cellStyle name="Normal 21 8 10" xfId="16885"/>
    <cellStyle name="Normal 21 8 11" xfId="16886"/>
    <cellStyle name="Normal 21 8 2" xfId="16887"/>
    <cellStyle name="Normal 21 8 2 10" xfId="16888"/>
    <cellStyle name="Normal 21 8 2 2" xfId="16889"/>
    <cellStyle name="Normal 21 8 2 3" xfId="16890"/>
    <cellStyle name="Normal 21 8 2 3 2" xfId="16891"/>
    <cellStyle name="Normal 21 8 2 3 3" xfId="16892"/>
    <cellStyle name="Normal 21 8 2 3 4" xfId="16893"/>
    <cellStyle name="Normal 21 8 2 3 5" xfId="16894"/>
    <cellStyle name="Normal 21 8 2 3 6" xfId="16895"/>
    <cellStyle name="Normal 21 8 2 4" xfId="16896"/>
    <cellStyle name="Normal 21 8 2 5" xfId="16897"/>
    <cellStyle name="Normal 21 8 2 6" xfId="16898"/>
    <cellStyle name="Normal 21 8 2 7" xfId="16899"/>
    <cellStyle name="Normal 21 8 2 8" xfId="16900"/>
    <cellStyle name="Normal 21 8 2 9" xfId="16901"/>
    <cellStyle name="Normal 21 8 3" xfId="16902"/>
    <cellStyle name="Normal 21 8 4" xfId="16903"/>
    <cellStyle name="Normal 21 8 4 2" xfId="16904"/>
    <cellStyle name="Normal 21 8 4 3" xfId="16905"/>
    <cellStyle name="Normal 21 8 4 4" xfId="16906"/>
    <cellStyle name="Normal 21 8 4 5" xfId="16907"/>
    <cellStyle name="Normal 21 8 4 6" xfId="16908"/>
    <cellStyle name="Normal 21 8 5" xfId="16909"/>
    <cellStyle name="Normal 21 8 6" xfId="16910"/>
    <cellStyle name="Normal 21 8 7" xfId="16911"/>
    <cellStyle name="Normal 21 8 8" xfId="16912"/>
    <cellStyle name="Normal 21 8 9" xfId="16913"/>
    <cellStyle name="Normal 21 9" xfId="16914"/>
    <cellStyle name="Normal 21 9 10" xfId="16915"/>
    <cellStyle name="Normal 21 9 11" xfId="16916"/>
    <cellStyle name="Normal 21 9 2" xfId="16917"/>
    <cellStyle name="Normal 21 9 2 10" xfId="16918"/>
    <cellStyle name="Normal 21 9 2 2" xfId="16919"/>
    <cellStyle name="Normal 21 9 2 3" xfId="16920"/>
    <cellStyle name="Normal 21 9 2 3 2" xfId="16921"/>
    <cellStyle name="Normal 21 9 2 3 3" xfId="16922"/>
    <cellStyle name="Normal 21 9 2 3 4" xfId="16923"/>
    <cellStyle name="Normal 21 9 2 3 5" xfId="16924"/>
    <cellStyle name="Normal 21 9 2 3 6" xfId="16925"/>
    <cellStyle name="Normal 21 9 2 4" xfId="16926"/>
    <cellStyle name="Normal 21 9 2 5" xfId="16927"/>
    <cellStyle name="Normal 21 9 2 6" xfId="16928"/>
    <cellStyle name="Normal 21 9 2 7" xfId="16929"/>
    <cellStyle name="Normal 21 9 2 8" xfId="16930"/>
    <cellStyle name="Normal 21 9 2 9" xfId="16931"/>
    <cellStyle name="Normal 21 9 3" xfId="16932"/>
    <cellStyle name="Normal 21 9 4" xfId="16933"/>
    <cellStyle name="Normal 21 9 4 2" xfId="16934"/>
    <cellStyle name="Normal 21 9 4 3" xfId="16935"/>
    <cellStyle name="Normal 21 9 4 4" xfId="16936"/>
    <cellStyle name="Normal 21 9 4 5" xfId="16937"/>
    <cellStyle name="Normal 21 9 4 6" xfId="16938"/>
    <cellStyle name="Normal 21 9 5" xfId="16939"/>
    <cellStyle name="Normal 21 9 6" xfId="16940"/>
    <cellStyle name="Normal 21 9 7" xfId="16941"/>
    <cellStyle name="Normal 21 9 8" xfId="16942"/>
    <cellStyle name="Normal 21 9 9" xfId="16943"/>
    <cellStyle name="Normal 22" xfId="16944"/>
    <cellStyle name="Normal 22 10" xfId="16945"/>
    <cellStyle name="Normal 22 11" xfId="16946"/>
    <cellStyle name="Normal 22 11 2" xfId="16947"/>
    <cellStyle name="Normal 22 11 3" xfId="16948"/>
    <cellStyle name="Normal 22 11 4" xfId="16949"/>
    <cellStyle name="Normal 22 11 5" xfId="16950"/>
    <cellStyle name="Normal 22 11 6" xfId="16951"/>
    <cellStyle name="Normal 22 12" xfId="16952"/>
    <cellStyle name="Normal 22 13" xfId="16953"/>
    <cellStyle name="Normal 22 14" xfId="16954"/>
    <cellStyle name="Normal 22 15" xfId="16955"/>
    <cellStyle name="Normal 22 16" xfId="16956"/>
    <cellStyle name="Normal 22 17" xfId="16957"/>
    <cellStyle name="Normal 22 18" xfId="16958"/>
    <cellStyle name="Normal 22 2" xfId="16959"/>
    <cellStyle name="Normal 22 2 10" xfId="16960"/>
    <cellStyle name="Normal 22 2 11" xfId="16961"/>
    <cellStyle name="Normal 22 2 2" xfId="16962"/>
    <cellStyle name="Normal 22 2 2 10" xfId="16963"/>
    <cellStyle name="Normal 22 2 2 2" xfId="16964"/>
    <cellStyle name="Normal 22 2 2 3" xfId="16965"/>
    <cellStyle name="Normal 22 2 2 3 2" xfId="16966"/>
    <cellStyle name="Normal 22 2 2 3 3" xfId="16967"/>
    <cellStyle name="Normal 22 2 2 3 4" xfId="16968"/>
    <cellStyle name="Normal 22 2 2 3 5" xfId="16969"/>
    <cellStyle name="Normal 22 2 2 3 6" xfId="16970"/>
    <cellStyle name="Normal 22 2 2 4" xfId="16971"/>
    <cellStyle name="Normal 22 2 2 5" xfId="16972"/>
    <cellStyle name="Normal 22 2 2 6" xfId="16973"/>
    <cellStyle name="Normal 22 2 2 7" xfId="16974"/>
    <cellStyle name="Normal 22 2 2 8" xfId="16975"/>
    <cellStyle name="Normal 22 2 2 9" xfId="16976"/>
    <cellStyle name="Normal 22 2 3" xfId="16977"/>
    <cellStyle name="Normal 22 2 4" xfId="16978"/>
    <cellStyle name="Normal 22 2 4 2" xfId="16979"/>
    <cellStyle name="Normal 22 2 4 3" xfId="16980"/>
    <cellStyle name="Normal 22 2 4 4" xfId="16981"/>
    <cellStyle name="Normal 22 2 4 5" xfId="16982"/>
    <cellStyle name="Normal 22 2 4 6" xfId="16983"/>
    <cellStyle name="Normal 22 2 5" xfId="16984"/>
    <cellStyle name="Normal 22 2 6" xfId="16985"/>
    <cellStyle name="Normal 22 2 7" xfId="16986"/>
    <cellStyle name="Normal 22 2 8" xfId="16987"/>
    <cellStyle name="Normal 22 2 9" xfId="16988"/>
    <cellStyle name="Normal 22 3" xfId="16989"/>
    <cellStyle name="Normal 22 3 10" xfId="16990"/>
    <cellStyle name="Normal 22 3 11" xfId="16991"/>
    <cellStyle name="Normal 22 3 2" xfId="16992"/>
    <cellStyle name="Normal 22 3 2 10" xfId="16993"/>
    <cellStyle name="Normal 22 3 2 2" xfId="16994"/>
    <cellStyle name="Normal 22 3 2 3" xfId="16995"/>
    <cellStyle name="Normal 22 3 2 3 2" xfId="16996"/>
    <cellStyle name="Normal 22 3 2 3 3" xfId="16997"/>
    <cellStyle name="Normal 22 3 2 3 4" xfId="16998"/>
    <cellStyle name="Normal 22 3 2 3 5" xfId="16999"/>
    <cellStyle name="Normal 22 3 2 3 6" xfId="17000"/>
    <cellStyle name="Normal 22 3 2 4" xfId="17001"/>
    <cellStyle name="Normal 22 3 2 5" xfId="17002"/>
    <cellStyle name="Normal 22 3 2 6" xfId="17003"/>
    <cellStyle name="Normal 22 3 2 7" xfId="17004"/>
    <cellStyle name="Normal 22 3 2 8" xfId="17005"/>
    <cellStyle name="Normal 22 3 2 9" xfId="17006"/>
    <cellStyle name="Normal 22 3 3" xfId="17007"/>
    <cellStyle name="Normal 22 3 4" xfId="17008"/>
    <cellStyle name="Normal 22 3 4 2" xfId="17009"/>
    <cellStyle name="Normal 22 3 4 3" xfId="17010"/>
    <cellStyle name="Normal 22 3 4 4" xfId="17011"/>
    <cellStyle name="Normal 22 3 4 5" xfId="17012"/>
    <cellStyle name="Normal 22 3 4 6" xfId="17013"/>
    <cellStyle name="Normal 22 3 5" xfId="17014"/>
    <cellStyle name="Normal 22 3 6" xfId="17015"/>
    <cellStyle name="Normal 22 3 7" xfId="17016"/>
    <cellStyle name="Normal 22 3 8" xfId="17017"/>
    <cellStyle name="Normal 22 3 9" xfId="17018"/>
    <cellStyle name="Normal 22 4" xfId="17019"/>
    <cellStyle name="Normal 22 4 10" xfId="17020"/>
    <cellStyle name="Normal 22 4 11" xfId="17021"/>
    <cellStyle name="Normal 22 4 2" xfId="17022"/>
    <cellStyle name="Normal 22 4 2 10" xfId="17023"/>
    <cellStyle name="Normal 22 4 2 2" xfId="17024"/>
    <cellStyle name="Normal 22 4 2 3" xfId="17025"/>
    <cellStyle name="Normal 22 4 2 3 2" xfId="17026"/>
    <cellStyle name="Normal 22 4 2 3 3" xfId="17027"/>
    <cellStyle name="Normal 22 4 2 3 4" xfId="17028"/>
    <cellStyle name="Normal 22 4 2 3 5" xfId="17029"/>
    <cellStyle name="Normal 22 4 2 3 6" xfId="17030"/>
    <cellStyle name="Normal 22 4 2 4" xfId="17031"/>
    <cellStyle name="Normal 22 4 2 5" xfId="17032"/>
    <cellStyle name="Normal 22 4 2 6" xfId="17033"/>
    <cellStyle name="Normal 22 4 2 7" xfId="17034"/>
    <cellStyle name="Normal 22 4 2 8" xfId="17035"/>
    <cellStyle name="Normal 22 4 2 9" xfId="17036"/>
    <cellStyle name="Normal 22 4 3" xfId="17037"/>
    <cellStyle name="Normal 22 4 4" xfId="17038"/>
    <cellStyle name="Normal 22 4 4 2" xfId="17039"/>
    <cellStyle name="Normal 22 4 4 3" xfId="17040"/>
    <cellStyle name="Normal 22 4 4 4" xfId="17041"/>
    <cellStyle name="Normal 22 4 4 5" xfId="17042"/>
    <cellStyle name="Normal 22 4 4 6" xfId="17043"/>
    <cellStyle name="Normal 22 4 5" xfId="17044"/>
    <cellStyle name="Normal 22 4 6" xfId="17045"/>
    <cellStyle name="Normal 22 4 7" xfId="17046"/>
    <cellStyle name="Normal 22 4 8" xfId="17047"/>
    <cellStyle name="Normal 22 4 9" xfId="17048"/>
    <cellStyle name="Normal 22 5" xfId="17049"/>
    <cellStyle name="Normal 22 5 10" xfId="17050"/>
    <cellStyle name="Normal 22 5 11" xfId="17051"/>
    <cellStyle name="Normal 22 5 2" xfId="17052"/>
    <cellStyle name="Normal 22 5 2 10" xfId="17053"/>
    <cellStyle name="Normal 22 5 2 2" xfId="17054"/>
    <cellStyle name="Normal 22 5 2 3" xfId="17055"/>
    <cellStyle name="Normal 22 5 2 3 2" xfId="17056"/>
    <cellStyle name="Normal 22 5 2 3 3" xfId="17057"/>
    <cellStyle name="Normal 22 5 2 3 4" xfId="17058"/>
    <cellStyle name="Normal 22 5 2 3 5" xfId="17059"/>
    <cellStyle name="Normal 22 5 2 3 6" xfId="17060"/>
    <cellStyle name="Normal 22 5 2 4" xfId="17061"/>
    <cellStyle name="Normal 22 5 2 5" xfId="17062"/>
    <cellStyle name="Normal 22 5 2 6" xfId="17063"/>
    <cellStyle name="Normal 22 5 2 7" xfId="17064"/>
    <cellStyle name="Normal 22 5 2 8" xfId="17065"/>
    <cellStyle name="Normal 22 5 2 9" xfId="17066"/>
    <cellStyle name="Normal 22 5 3" xfId="17067"/>
    <cellStyle name="Normal 22 5 4" xfId="17068"/>
    <cellStyle name="Normal 22 5 4 2" xfId="17069"/>
    <cellStyle name="Normal 22 5 4 3" xfId="17070"/>
    <cellStyle name="Normal 22 5 4 4" xfId="17071"/>
    <cellStyle name="Normal 22 5 4 5" xfId="17072"/>
    <cellStyle name="Normal 22 5 4 6" xfId="17073"/>
    <cellStyle name="Normal 22 5 5" xfId="17074"/>
    <cellStyle name="Normal 22 5 6" xfId="17075"/>
    <cellStyle name="Normal 22 5 7" xfId="17076"/>
    <cellStyle name="Normal 22 5 8" xfId="17077"/>
    <cellStyle name="Normal 22 5 9" xfId="17078"/>
    <cellStyle name="Normal 22 6" xfId="17079"/>
    <cellStyle name="Normal 22 6 10" xfId="17080"/>
    <cellStyle name="Normal 22 6 11" xfId="17081"/>
    <cellStyle name="Normal 22 6 2" xfId="17082"/>
    <cellStyle name="Normal 22 6 2 10" xfId="17083"/>
    <cellStyle name="Normal 22 6 2 2" xfId="17084"/>
    <cellStyle name="Normal 22 6 2 3" xfId="17085"/>
    <cellStyle name="Normal 22 6 2 3 2" xfId="17086"/>
    <cellStyle name="Normal 22 6 2 3 3" xfId="17087"/>
    <cellStyle name="Normal 22 6 2 3 4" xfId="17088"/>
    <cellStyle name="Normal 22 6 2 3 5" xfId="17089"/>
    <cellStyle name="Normal 22 6 2 3 6" xfId="17090"/>
    <cellStyle name="Normal 22 6 2 4" xfId="17091"/>
    <cellStyle name="Normal 22 6 2 5" xfId="17092"/>
    <cellStyle name="Normal 22 6 2 6" xfId="17093"/>
    <cellStyle name="Normal 22 6 2 7" xfId="17094"/>
    <cellStyle name="Normal 22 6 2 8" xfId="17095"/>
    <cellStyle name="Normal 22 6 2 9" xfId="17096"/>
    <cellStyle name="Normal 22 6 3" xfId="17097"/>
    <cellStyle name="Normal 22 6 4" xfId="17098"/>
    <cellStyle name="Normal 22 6 4 2" xfId="17099"/>
    <cellStyle name="Normal 22 6 4 3" xfId="17100"/>
    <cellStyle name="Normal 22 6 4 4" xfId="17101"/>
    <cellStyle name="Normal 22 6 4 5" xfId="17102"/>
    <cellStyle name="Normal 22 6 4 6" xfId="17103"/>
    <cellStyle name="Normal 22 6 5" xfId="17104"/>
    <cellStyle name="Normal 22 6 6" xfId="17105"/>
    <cellStyle name="Normal 22 6 7" xfId="17106"/>
    <cellStyle name="Normal 22 6 8" xfId="17107"/>
    <cellStyle name="Normal 22 6 9" xfId="17108"/>
    <cellStyle name="Normal 22 7" xfId="17109"/>
    <cellStyle name="Normal 22 7 10" xfId="17110"/>
    <cellStyle name="Normal 22 7 11" xfId="17111"/>
    <cellStyle name="Normal 22 7 2" xfId="17112"/>
    <cellStyle name="Normal 22 7 2 10" xfId="17113"/>
    <cellStyle name="Normal 22 7 2 2" xfId="17114"/>
    <cellStyle name="Normal 22 7 2 3" xfId="17115"/>
    <cellStyle name="Normal 22 7 2 3 2" xfId="17116"/>
    <cellStyle name="Normal 22 7 2 3 3" xfId="17117"/>
    <cellStyle name="Normal 22 7 2 3 4" xfId="17118"/>
    <cellStyle name="Normal 22 7 2 3 5" xfId="17119"/>
    <cellStyle name="Normal 22 7 2 3 6" xfId="17120"/>
    <cellStyle name="Normal 22 7 2 4" xfId="17121"/>
    <cellStyle name="Normal 22 7 2 5" xfId="17122"/>
    <cellStyle name="Normal 22 7 2 6" xfId="17123"/>
    <cellStyle name="Normal 22 7 2 7" xfId="17124"/>
    <cellStyle name="Normal 22 7 2 8" xfId="17125"/>
    <cellStyle name="Normal 22 7 2 9" xfId="17126"/>
    <cellStyle name="Normal 22 7 3" xfId="17127"/>
    <cellStyle name="Normal 22 7 4" xfId="17128"/>
    <cellStyle name="Normal 22 7 4 2" xfId="17129"/>
    <cellStyle name="Normal 22 7 4 3" xfId="17130"/>
    <cellStyle name="Normal 22 7 4 4" xfId="17131"/>
    <cellStyle name="Normal 22 7 4 5" xfId="17132"/>
    <cellStyle name="Normal 22 7 4 6" xfId="17133"/>
    <cellStyle name="Normal 22 7 5" xfId="17134"/>
    <cellStyle name="Normal 22 7 6" xfId="17135"/>
    <cellStyle name="Normal 22 7 7" xfId="17136"/>
    <cellStyle name="Normal 22 7 8" xfId="17137"/>
    <cellStyle name="Normal 22 7 9" xfId="17138"/>
    <cellStyle name="Normal 22 8" xfId="17139"/>
    <cellStyle name="Normal 22 8 10" xfId="17140"/>
    <cellStyle name="Normal 22 8 11" xfId="17141"/>
    <cellStyle name="Normal 22 8 2" xfId="17142"/>
    <cellStyle name="Normal 22 8 2 10" xfId="17143"/>
    <cellStyle name="Normal 22 8 2 2" xfId="17144"/>
    <cellStyle name="Normal 22 8 2 3" xfId="17145"/>
    <cellStyle name="Normal 22 8 2 3 2" xfId="17146"/>
    <cellStyle name="Normal 22 8 2 3 3" xfId="17147"/>
    <cellStyle name="Normal 22 8 2 3 4" xfId="17148"/>
    <cellStyle name="Normal 22 8 2 3 5" xfId="17149"/>
    <cellStyle name="Normal 22 8 2 3 6" xfId="17150"/>
    <cellStyle name="Normal 22 8 2 4" xfId="17151"/>
    <cellStyle name="Normal 22 8 2 5" xfId="17152"/>
    <cellStyle name="Normal 22 8 2 6" xfId="17153"/>
    <cellStyle name="Normal 22 8 2 7" xfId="17154"/>
    <cellStyle name="Normal 22 8 2 8" xfId="17155"/>
    <cellStyle name="Normal 22 8 2 9" xfId="17156"/>
    <cellStyle name="Normal 22 8 3" xfId="17157"/>
    <cellStyle name="Normal 22 8 4" xfId="17158"/>
    <cellStyle name="Normal 22 8 4 2" xfId="17159"/>
    <cellStyle name="Normal 22 8 4 3" xfId="17160"/>
    <cellStyle name="Normal 22 8 4 4" xfId="17161"/>
    <cellStyle name="Normal 22 8 4 5" xfId="17162"/>
    <cellStyle name="Normal 22 8 4 6" xfId="17163"/>
    <cellStyle name="Normal 22 8 5" xfId="17164"/>
    <cellStyle name="Normal 22 8 6" xfId="17165"/>
    <cellStyle name="Normal 22 8 7" xfId="17166"/>
    <cellStyle name="Normal 22 8 8" xfId="17167"/>
    <cellStyle name="Normal 22 8 9" xfId="17168"/>
    <cellStyle name="Normal 22 9" xfId="17169"/>
    <cellStyle name="Normal 22 9 10" xfId="17170"/>
    <cellStyle name="Normal 22 9 2" xfId="17171"/>
    <cellStyle name="Normal 22 9 3" xfId="17172"/>
    <cellStyle name="Normal 22 9 3 2" xfId="17173"/>
    <cellStyle name="Normal 22 9 3 3" xfId="17174"/>
    <cellStyle name="Normal 22 9 3 4" xfId="17175"/>
    <cellStyle name="Normal 22 9 3 5" xfId="17176"/>
    <cellStyle name="Normal 22 9 3 6" xfId="17177"/>
    <cellStyle name="Normal 22 9 4" xfId="17178"/>
    <cellStyle name="Normal 22 9 5" xfId="17179"/>
    <cellStyle name="Normal 22 9 6" xfId="17180"/>
    <cellStyle name="Normal 22 9 7" xfId="17181"/>
    <cellStyle name="Normal 22 9 8" xfId="17182"/>
    <cellStyle name="Normal 22 9 9" xfId="17183"/>
    <cellStyle name="Normal 23" xfId="17184"/>
    <cellStyle name="Normal 23 10" xfId="17185"/>
    <cellStyle name="Normal 23 10 10" xfId="17186"/>
    <cellStyle name="Normal 23 10 11" xfId="17187"/>
    <cellStyle name="Normal 23 10 2" xfId="17188"/>
    <cellStyle name="Normal 23 10 2 10" xfId="17189"/>
    <cellStyle name="Normal 23 10 2 2" xfId="17190"/>
    <cellStyle name="Normal 23 10 2 3" xfId="17191"/>
    <cellStyle name="Normal 23 10 2 3 2" xfId="17192"/>
    <cellStyle name="Normal 23 10 2 3 3" xfId="17193"/>
    <cellStyle name="Normal 23 10 2 3 4" xfId="17194"/>
    <cellStyle name="Normal 23 10 2 3 5" xfId="17195"/>
    <cellStyle name="Normal 23 10 2 3 6" xfId="17196"/>
    <cellStyle name="Normal 23 10 2 4" xfId="17197"/>
    <cellStyle name="Normal 23 10 2 5" xfId="17198"/>
    <cellStyle name="Normal 23 10 2 6" xfId="17199"/>
    <cellStyle name="Normal 23 10 2 7" xfId="17200"/>
    <cellStyle name="Normal 23 10 2 8" xfId="17201"/>
    <cellStyle name="Normal 23 10 2 9" xfId="17202"/>
    <cellStyle name="Normal 23 10 3" xfId="17203"/>
    <cellStyle name="Normal 23 10 4" xfId="17204"/>
    <cellStyle name="Normal 23 10 4 2" xfId="17205"/>
    <cellStyle name="Normal 23 10 4 3" xfId="17206"/>
    <cellStyle name="Normal 23 10 4 4" xfId="17207"/>
    <cellStyle name="Normal 23 10 4 5" xfId="17208"/>
    <cellStyle name="Normal 23 10 4 6" xfId="17209"/>
    <cellStyle name="Normal 23 10 5" xfId="17210"/>
    <cellStyle name="Normal 23 10 6" xfId="17211"/>
    <cellStyle name="Normal 23 10 7" xfId="17212"/>
    <cellStyle name="Normal 23 10 8" xfId="17213"/>
    <cellStyle name="Normal 23 10 9" xfId="17214"/>
    <cellStyle name="Normal 23 11" xfId="17215"/>
    <cellStyle name="Normal 23 11 10" xfId="17216"/>
    <cellStyle name="Normal 23 11 2" xfId="17217"/>
    <cellStyle name="Normal 23 11 3" xfId="17218"/>
    <cellStyle name="Normal 23 11 3 2" xfId="17219"/>
    <cellStyle name="Normal 23 11 3 3" xfId="17220"/>
    <cellStyle name="Normal 23 11 3 4" xfId="17221"/>
    <cellStyle name="Normal 23 11 3 5" xfId="17222"/>
    <cellStyle name="Normal 23 11 3 6" xfId="17223"/>
    <cellStyle name="Normal 23 11 4" xfId="17224"/>
    <cellStyle name="Normal 23 11 5" xfId="17225"/>
    <cellStyle name="Normal 23 11 6" xfId="17226"/>
    <cellStyle name="Normal 23 11 7" xfId="17227"/>
    <cellStyle name="Normal 23 11 8" xfId="17228"/>
    <cellStyle name="Normal 23 11 9" xfId="17229"/>
    <cellStyle name="Normal 23 12" xfId="17230"/>
    <cellStyle name="Normal 23 13" xfId="17231"/>
    <cellStyle name="Normal 23 13 2" xfId="17232"/>
    <cellStyle name="Normal 23 13 3" xfId="17233"/>
    <cellStyle name="Normal 23 13 4" xfId="17234"/>
    <cellStyle name="Normal 23 13 5" xfId="17235"/>
    <cellStyle name="Normal 23 13 6" xfId="17236"/>
    <cellStyle name="Normal 23 14" xfId="17237"/>
    <cellStyle name="Normal 23 15" xfId="17238"/>
    <cellStyle name="Normal 23 16" xfId="17239"/>
    <cellStyle name="Normal 23 17" xfId="17240"/>
    <cellStyle name="Normal 23 18" xfId="17241"/>
    <cellStyle name="Normal 23 19" xfId="17242"/>
    <cellStyle name="Normal 23 2" xfId="17243"/>
    <cellStyle name="Normal 23 2 10" xfId="17244"/>
    <cellStyle name="Normal 23 2 11" xfId="17245"/>
    <cellStyle name="Normal 23 2 2" xfId="17246"/>
    <cellStyle name="Normal 23 2 2 10" xfId="17247"/>
    <cellStyle name="Normal 23 2 2 2" xfId="17248"/>
    <cellStyle name="Normal 23 2 2 3" xfId="17249"/>
    <cellStyle name="Normal 23 2 2 3 2" xfId="17250"/>
    <cellStyle name="Normal 23 2 2 3 3" xfId="17251"/>
    <cellStyle name="Normal 23 2 2 3 4" xfId="17252"/>
    <cellStyle name="Normal 23 2 2 3 5" xfId="17253"/>
    <cellStyle name="Normal 23 2 2 3 6" xfId="17254"/>
    <cellStyle name="Normal 23 2 2 4" xfId="17255"/>
    <cellStyle name="Normal 23 2 2 5" xfId="17256"/>
    <cellStyle name="Normal 23 2 2 6" xfId="17257"/>
    <cellStyle name="Normal 23 2 2 7" xfId="17258"/>
    <cellStyle name="Normal 23 2 2 8" xfId="17259"/>
    <cellStyle name="Normal 23 2 2 9" xfId="17260"/>
    <cellStyle name="Normal 23 2 3" xfId="17261"/>
    <cellStyle name="Normal 23 2 4" xfId="17262"/>
    <cellStyle name="Normal 23 2 4 2" xfId="17263"/>
    <cellStyle name="Normal 23 2 4 3" xfId="17264"/>
    <cellStyle name="Normal 23 2 4 4" xfId="17265"/>
    <cellStyle name="Normal 23 2 4 5" xfId="17266"/>
    <cellStyle name="Normal 23 2 4 6" xfId="17267"/>
    <cellStyle name="Normal 23 2 5" xfId="17268"/>
    <cellStyle name="Normal 23 2 6" xfId="17269"/>
    <cellStyle name="Normal 23 2 7" xfId="17270"/>
    <cellStyle name="Normal 23 2 8" xfId="17271"/>
    <cellStyle name="Normal 23 2 9" xfId="17272"/>
    <cellStyle name="Normal 23 20" xfId="17273"/>
    <cellStyle name="Normal 23 3" xfId="17274"/>
    <cellStyle name="Normal 23 3 10" xfId="17275"/>
    <cellStyle name="Normal 23 3 11" xfId="17276"/>
    <cellStyle name="Normal 23 3 2" xfId="17277"/>
    <cellStyle name="Normal 23 3 2 10" xfId="17278"/>
    <cellStyle name="Normal 23 3 2 2" xfId="17279"/>
    <cellStyle name="Normal 23 3 2 3" xfId="17280"/>
    <cellStyle name="Normal 23 3 2 3 2" xfId="17281"/>
    <cellStyle name="Normal 23 3 2 3 3" xfId="17282"/>
    <cellStyle name="Normal 23 3 2 3 4" xfId="17283"/>
    <cellStyle name="Normal 23 3 2 3 5" xfId="17284"/>
    <cellStyle name="Normal 23 3 2 3 6" xfId="17285"/>
    <cellStyle name="Normal 23 3 2 4" xfId="17286"/>
    <cellStyle name="Normal 23 3 2 5" xfId="17287"/>
    <cellStyle name="Normal 23 3 2 6" xfId="17288"/>
    <cellStyle name="Normal 23 3 2 7" xfId="17289"/>
    <cellStyle name="Normal 23 3 2 8" xfId="17290"/>
    <cellStyle name="Normal 23 3 2 9" xfId="17291"/>
    <cellStyle name="Normal 23 3 3" xfId="17292"/>
    <cellStyle name="Normal 23 3 4" xfId="17293"/>
    <cellStyle name="Normal 23 3 4 2" xfId="17294"/>
    <cellStyle name="Normal 23 3 4 3" xfId="17295"/>
    <cellStyle name="Normal 23 3 4 4" xfId="17296"/>
    <cellStyle name="Normal 23 3 4 5" xfId="17297"/>
    <cellStyle name="Normal 23 3 4 6" xfId="17298"/>
    <cellStyle name="Normal 23 3 5" xfId="17299"/>
    <cellStyle name="Normal 23 3 6" xfId="17300"/>
    <cellStyle name="Normal 23 3 7" xfId="17301"/>
    <cellStyle name="Normal 23 3 8" xfId="17302"/>
    <cellStyle name="Normal 23 3 9" xfId="17303"/>
    <cellStyle name="Normal 23 4" xfId="17304"/>
    <cellStyle name="Normal 23 4 10" xfId="17305"/>
    <cellStyle name="Normal 23 4 11" xfId="17306"/>
    <cellStyle name="Normal 23 4 2" xfId="17307"/>
    <cellStyle name="Normal 23 4 2 10" xfId="17308"/>
    <cellStyle name="Normal 23 4 2 2" xfId="17309"/>
    <cellStyle name="Normal 23 4 2 3" xfId="17310"/>
    <cellStyle name="Normal 23 4 2 3 2" xfId="17311"/>
    <cellStyle name="Normal 23 4 2 3 3" xfId="17312"/>
    <cellStyle name="Normal 23 4 2 3 4" xfId="17313"/>
    <cellStyle name="Normal 23 4 2 3 5" xfId="17314"/>
    <cellStyle name="Normal 23 4 2 3 6" xfId="17315"/>
    <cellStyle name="Normal 23 4 2 4" xfId="17316"/>
    <cellStyle name="Normal 23 4 2 5" xfId="17317"/>
    <cellStyle name="Normal 23 4 2 6" xfId="17318"/>
    <cellStyle name="Normal 23 4 2 7" xfId="17319"/>
    <cellStyle name="Normal 23 4 2 8" xfId="17320"/>
    <cellStyle name="Normal 23 4 2 9" xfId="17321"/>
    <cellStyle name="Normal 23 4 3" xfId="17322"/>
    <cellStyle name="Normal 23 4 4" xfId="17323"/>
    <cellStyle name="Normal 23 4 4 2" xfId="17324"/>
    <cellStyle name="Normal 23 4 4 3" xfId="17325"/>
    <cellStyle name="Normal 23 4 4 4" xfId="17326"/>
    <cellStyle name="Normal 23 4 4 5" xfId="17327"/>
    <cellStyle name="Normal 23 4 4 6" xfId="17328"/>
    <cellStyle name="Normal 23 4 5" xfId="17329"/>
    <cellStyle name="Normal 23 4 6" xfId="17330"/>
    <cellStyle name="Normal 23 4 7" xfId="17331"/>
    <cellStyle name="Normal 23 4 8" xfId="17332"/>
    <cellStyle name="Normal 23 4 9" xfId="17333"/>
    <cellStyle name="Normal 23 5" xfId="17334"/>
    <cellStyle name="Normal 23 5 10" xfId="17335"/>
    <cellStyle name="Normal 23 5 11" xfId="17336"/>
    <cellStyle name="Normal 23 5 2" xfId="17337"/>
    <cellStyle name="Normal 23 5 2 10" xfId="17338"/>
    <cellStyle name="Normal 23 5 2 2" xfId="17339"/>
    <cellStyle name="Normal 23 5 2 3" xfId="17340"/>
    <cellStyle name="Normal 23 5 2 3 2" xfId="17341"/>
    <cellStyle name="Normal 23 5 2 3 3" xfId="17342"/>
    <cellStyle name="Normal 23 5 2 3 4" xfId="17343"/>
    <cellStyle name="Normal 23 5 2 3 5" xfId="17344"/>
    <cellStyle name="Normal 23 5 2 3 6" xfId="17345"/>
    <cellStyle name="Normal 23 5 2 4" xfId="17346"/>
    <cellStyle name="Normal 23 5 2 5" xfId="17347"/>
    <cellStyle name="Normal 23 5 2 6" xfId="17348"/>
    <cellStyle name="Normal 23 5 2 7" xfId="17349"/>
    <cellStyle name="Normal 23 5 2 8" xfId="17350"/>
    <cellStyle name="Normal 23 5 2 9" xfId="17351"/>
    <cellStyle name="Normal 23 5 3" xfId="17352"/>
    <cellStyle name="Normal 23 5 4" xfId="17353"/>
    <cellStyle name="Normal 23 5 4 2" xfId="17354"/>
    <cellStyle name="Normal 23 5 4 3" xfId="17355"/>
    <cellStyle name="Normal 23 5 4 4" xfId="17356"/>
    <cellStyle name="Normal 23 5 4 5" xfId="17357"/>
    <cellStyle name="Normal 23 5 4 6" xfId="17358"/>
    <cellStyle name="Normal 23 5 5" xfId="17359"/>
    <cellStyle name="Normal 23 5 6" xfId="17360"/>
    <cellStyle name="Normal 23 5 7" xfId="17361"/>
    <cellStyle name="Normal 23 5 8" xfId="17362"/>
    <cellStyle name="Normal 23 5 9" xfId="17363"/>
    <cellStyle name="Normal 23 6" xfId="17364"/>
    <cellStyle name="Normal 23 6 10" xfId="17365"/>
    <cellStyle name="Normal 23 6 11" xfId="17366"/>
    <cellStyle name="Normal 23 6 2" xfId="17367"/>
    <cellStyle name="Normal 23 6 2 10" xfId="17368"/>
    <cellStyle name="Normal 23 6 2 2" xfId="17369"/>
    <cellStyle name="Normal 23 6 2 3" xfId="17370"/>
    <cellStyle name="Normal 23 6 2 3 2" xfId="17371"/>
    <cellStyle name="Normal 23 6 2 3 3" xfId="17372"/>
    <cellStyle name="Normal 23 6 2 3 4" xfId="17373"/>
    <cellStyle name="Normal 23 6 2 3 5" xfId="17374"/>
    <cellStyle name="Normal 23 6 2 3 6" xfId="17375"/>
    <cellStyle name="Normal 23 6 2 4" xfId="17376"/>
    <cellStyle name="Normal 23 6 2 5" xfId="17377"/>
    <cellStyle name="Normal 23 6 2 6" xfId="17378"/>
    <cellStyle name="Normal 23 6 2 7" xfId="17379"/>
    <cellStyle name="Normal 23 6 2 8" xfId="17380"/>
    <cellStyle name="Normal 23 6 2 9" xfId="17381"/>
    <cellStyle name="Normal 23 6 3" xfId="17382"/>
    <cellStyle name="Normal 23 6 4" xfId="17383"/>
    <cellStyle name="Normal 23 6 4 2" xfId="17384"/>
    <cellStyle name="Normal 23 6 4 3" xfId="17385"/>
    <cellStyle name="Normal 23 6 4 4" xfId="17386"/>
    <cellStyle name="Normal 23 6 4 5" xfId="17387"/>
    <cellStyle name="Normal 23 6 4 6" xfId="17388"/>
    <cellStyle name="Normal 23 6 5" xfId="17389"/>
    <cellStyle name="Normal 23 6 6" xfId="17390"/>
    <cellStyle name="Normal 23 6 7" xfId="17391"/>
    <cellStyle name="Normal 23 6 8" xfId="17392"/>
    <cellStyle name="Normal 23 6 9" xfId="17393"/>
    <cellStyle name="Normal 23 7" xfId="17394"/>
    <cellStyle name="Normal 23 7 10" xfId="17395"/>
    <cellStyle name="Normal 23 7 11" xfId="17396"/>
    <cellStyle name="Normal 23 7 2" xfId="17397"/>
    <cellStyle name="Normal 23 7 2 10" xfId="17398"/>
    <cellStyle name="Normal 23 7 2 2" xfId="17399"/>
    <cellStyle name="Normal 23 7 2 3" xfId="17400"/>
    <cellStyle name="Normal 23 7 2 3 2" xfId="17401"/>
    <cellStyle name="Normal 23 7 2 3 3" xfId="17402"/>
    <cellStyle name="Normal 23 7 2 3 4" xfId="17403"/>
    <cellStyle name="Normal 23 7 2 3 5" xfId="17404"/>
    <cellStyle name="Normal 23 7 2 3 6" xfId="17405"/>
    <cellStyle name="Normal 23 7 2 4" xfId="17406"/>
    <cellStyle name="Normal 23 7 2 5" xfId="17407"/>
    <cellStyle name="Normal 23 7 2 6" xfId="17408"/>
    <cellStyle name="Normal 23 7 2 7" xfId="17409"/>
    <cellStyle name="Normal 23 7 2 8" xfId="17410"/>
    <cellStyle name="Normal 23 7 2 9" xfId="17411"/>
    <cellStyle name="Normal 23 7 3" xfId="17412"/>
    <cellStyle name="Normal 23 7 4" xfId="17413"/>
    <cellStyle name="Normal 23 7 4 2" xfId="17414"/>
    <cellStyle name="Normal 23 7 4 3" xfId="17415"/>
    <cellStyle name="Normal 23 7 4 4" xfId="17416"/>
    <cellStyle name="Normal 23 7 4 5" xfId="17417"/>
    <cellStyle name="Normal 23 7 4 6" xfId="17418"/>
    <cellStyle name="Normal 23 7 5" xfId="17419"/>
    <cellStyle name="Normal 23 7 6" xfId="17420"/>
    <cellStyle name="Normal 23 7 7" xfId="17421"/>
    <cellStyle name="Normal 23 7 8" xfId="17422"/>
    <cellStyle name="Normal 23 7 9" xfId="17423"/>
    <cellStyle name="Normal 23 8" xfId="17424"/>
    <cellStyle name="Normal 23 8 10" xfId="17425"/>
    <cellStyle name="Normal 23 8 11" xfId="17426"/>
    <cellStyle name="Normal 23 8 2" xfId="17427"/>
    <cellStyle name="Normal 23 8 2 10" xfId="17428"/>
    <cellStyle name="Normal 23 8 2 2" xfId="17429"/>
    <cellStyle name="Normal 23 8 2 3" xfId="17430"/>
    <cellStyle name="Normal 23 8 2 3 2" xfId="17431"/>
    <cellStyle name="Normal 23 8 2 3 3" xfId="17432"/>
    <cellStyle name="Normal 23 8 2 3 4" xfId="17433"/>
    <cellStyle name="Normal 23 8 2 3 5" xfId="17434"/>
    <cellStyle name="Normal 23 8 2 3 6" xfId="17435"/>
    <cellStyle name="Normal 23 8 2 4" xfId="17436"/>
    <cellStyle name="Normal 23 8 2 5" xfId="17437"/>
    <cellStyle name="Normal 23 8 2 6" xfId="17438"/>
    <cellStyle name="Normal 23 8 2 7" xfId="17439"/>
    <cellStyle name="Normal 23 8 2 8" xfId="17440"/>
    <cellStyle name="Normal 23 8 2 9" xfId="17441"/>
    <cellStyle name="Normal 23 8 3" xfId="17442"/>
    <cellStyle name="Normal 23 8 4" xfId="17443"/>
    <cellStyle name="Normal 23 8 4 2" xfId="17444"/>
    <cellStyle name="Normal 23 8 4 3" xfId="17445"/>
    <cellStyle name="Normal 23 8 4 4" xfId="17446"/>
    <cellStyle name="Normal 23 8 4 5" xfId="17447"/>
    <cellStyle name="Normal 23 8 4 6" xfId="17448"/>
    <cellStyle name="Normal 23 8 5" xfId="17449"/>
    <cellStyle name="Normal 23 8 6" xfId="17450"/>
    <cellStyle name="Normal 23 8 7" xfId="17451"/>
    <cellStyle name="Normal 23 8 8" xfId="17452"/>
    <cellStyle name="Normal 23 8 9" xfId="17453"/>
    <cellStyle name="Normal 23 9" xfId="17454"/>
    <cellStyle name="Normal 23 9 10" xfId="17455"/>
    <cellStyle name="Normal 23 9 11" xfId="17456"/>
    <cellStyle name="Normal 23 9 2" xfId="17457"/>
    <cellStyle name="Normal 23 9 2 10" xfId="17458"/>
    <cellStyle name="Normal 23 9 2 2" xfId="17459"/>
    <cellStyle name="Normal 23 9 2 3" xfId="17460"/>
    <cellStyle name="Normal 23 9 2 3 2" xfId="17461"/>
    <cellStyle name="Normal 23 9 2 3 3" xfId="17462"/>
    <cellStyle name="Normal 23 9 2 3 4" xfId="17463"/>
    <cellStyle name="Normal 23 9 2 3 5" xfId="17464"/>
    <cellStyle name="Normal 23 9 2 3 6" xfId="17465"/>
    <cellStyle name="Normal 23 9 2 4" xfId="17466"/>
    <cellStyle name="Normal 23 9 2 5" xfId="17467"/>
    <cellStyle name="Normal 23 9 2 6" xfId="17468"/>
    <cellStyle name="Normal 23 9 2 7" xfId="17469"/>
    <cellStyle name="Normal 23 9 2 8" xfId="17470"/>
    <cellStyle name="Normal 23 9 2 9" xfId="17471"/>
    <cellStyle name="Normal 23 9 3" xfId="17472"/>
    <cellStyle name="Normal 23 9 4" xfId="17473"/>
    <cellStyle name="Normal 23 9 4 2" xfId="17474"/>
    <cellStyle name="Normal 23 9 4 3" xfId="17475"/>
    <cellStyle name="Normal 23 9 4 4" xfId="17476"/>
    <cellStyle name="Normal 23 9 4 5" xfId="17477"/>
    <cellStyle name="Normal 23 9 4 6" xfId="17478"/>
    <cellStyle name="Normal 23 9 5" xfId="17479"/>
    <cellStyle name="Normal 23 9 6" xfId="17480"/>
    <cellStyle name="Normal 23 9 7" xfId="17481"/>
    <cellStyle name="Normal 23 9 8" xfId="17482"/>
    <cellStyle name="Normal 23 9 9" xfId="17483"/>
    <cellStyle name="Normal 24" xfId="17484"/>
    <cellStyle name="Normal 24 10" xfId="17485"/>
    <cellStyle name="Normal 24 10 10" xfId="17486"/>
    <cellStyle name="Normal 24 10 11" xfId="17487"/>
    <cellStyle name="Normal 24 10 2" xfId="17488"/>
    <cellStyle name="Normal 24 10 2 10" xfId="17489"/>
    <cellStyle name="Normal 24 10 2 2" xfId="17490"/>
    <cellStyle name="Normal 24 10 2 3" xfId="17491"/>
    <cellStyle name="Normal 24 10 2 3 2" xfId="17492"/>
    <cellStyle name="Normal 24 10 2 3 3" xfId="17493"/>
    <cellStyle name="Normal 24 10 2 3 4" xfId="17494"/>
    <cellStyle name="Normal 24 10 2 3 5" xfId="17495"/>
    <cellStyle name="Normal 24 10 2 3 6" xfId="17496"/>
    <cellStyle name="Normal 24 10 2 4" xfId="17497"/>
    <cellStyle name="Normal 24 10 2 5" xfId="17498"/>
    <cellStyle name="Normal 24 10 2 6" xfId="17499"/>
    <cellStyle name="Normal 24 10 2 7" xfId="17500"/>
    <cellStyle name="Normal 24 10 2 8" xfId="17501"/>
    <cellStyle name="Normal 24 10 2 9" xfId="17502"/>
    <cellStyle name="Normal 24 10 3" xfId="17503"/>
    <cellStyle name="Normal 24 10 4" xfId="17504"/>
    <cellStyle name="Normal 24 10 4 2" xfId="17505"/>
    <cellStyle name="Normal 24 10 4 3" xfId="17506"/>
    <cellStyle name="Normal 24 10 4 4" xfId="17507"/>
    <cellStyle name="Normal 24 10 4 5" xfId="17508"/>
    <cellStyle name="Normal 24 10 4 6" xfId="17509"/>
    <cellStyle name="Normal 24 10 5" xfId="17510"/>
    <cellStyle name="Normal 24 10 6" xfId="17511"/>
    <cellStyle name="Normal 24 10 7" xfId="17512"/>
    <cellStyle name="Normal 24 10 8" xfId="17513"/>
    <cellStyle name="Normal 24 10 9" xfId="17514"/>
    <cellStyle name="Normal 24 11" xfId="17515"/>
    <cellStyle name="Normal 24 11 10" xfId="17516"/>
    <cellStyle name="Normal 24 11 2" xfId="17517"/>
    <cellStyle name="Normal 24 11 3" xfId="17518"/>
    <cellStyle name="Normal 24 11 3 2" xfId="17519"/>
    <cellStyle name="Normal 24 11 3 3" xfId="17520"/>
    <cellStyle name="Normal 24 11 3 4" xfId="17521"/>
    <cellStyle name="Normal 24 11 3 5" xfId="17522"/>
    <cellStyle name="Normal 24 11 3 6" xfId="17523"/>
    <cellStyle name="Normal 24 11 4" xfId="17524"/>
    <cellStyle name="Normal 24 11 5" xfId="17525"/>
    <cellStyle name="Normal 24 11 6" xfId="17526"/>
    <cellStyle name="Normal 24 11 7" xfId="17527"/>
    <cellStyle name="Normal 24 11 8" xfId="17528"/>
    <cellStyle name="Normal 24 11 9" xfId="17529"/>
    <cellStyle name="Normal 24 12" xfId="17530"/>
    <cellStyle name="Normal 24 13" xfId="17531"/>
    <cellStyle name="Normal 24 13 2" xfId="17532"/>
    <cellStyle name="Normal 24 13 3" xfId="17533"/>
    <cellStyle name="Normal 24 13 4" xfId="17534"/>
    <cellStyle name="Normal 24 13 5" xfId="17535"/>
    <cellStyle name="Normal 24 13 6" xfId="17536"/>
    <cellStyle name="Normal 24 14" xfId="17537"/>
    <cellStyle name="Normal 24 15" xfId="17538"/>
    <cellStyle name="Normal 24 16" xfId="17539"/>
    <cellStyle name="Normal 24 17" xfId="17540"/>
    <cellStyle name="Normal 24 18" xfId="17541"/>
    <cellStyle name="Normal 24 19" xfId="17542"/>
    <cellStyle name="Normal 24 2" xfId="17543"/>
    <cellStyle name="Normal 24 2 10" xfId="17544"/>
    <cellStyle name="Normal 24 2 11" xfId="17545"/>
    <cellStyle name="Normal 24 2 2" xfId="17546"/>
    <cellStyle name="Normal 24 2 2 10" xfId="17547"/>
    <cellStyle name="Normal 24 2 2 2" xfId="17548"/>
    <cellStyle name="Normal 24 2 2 3" xfId="17549"/>
    <cellStyle name="Normal 24 2 2 3 2" xfId="17550"/>
    <cellStyle name="Normal 24 2 2 3 3" xfId="17551"/>
    <cellStyle name="Normal 24 2 2 3 4" xfId="17552"/>
    <cellStyle name="Normal 24 2 2 3 5" xfId="17553"/>
    <cellStyle name="Normal 24 2 2 3 6" xfId="17554"/>
    <cellStyle name="Normal 24 2 2 4" xfId="17555"/>
    <cellStyle name="Normal 24 2 2 5" xfId="17556"/>
    <cellStyle name="Normal 24 2 2 6" xfId="17557"/>
    <cellStyle name="Normal 24 2 2 7" xfId="17558"/>
    <cellStyle name="Normal 24 2 2 8" xfId="17559"/>
    <cellStyle name="Normal 24 2 2 9" xfId="17560"/>
    <cellStyle name="Normal 24 2 3" xfId="17561"/>
    <cellStyle name="Normal 24 2 4" xfId="17562"/>
    <cellStyle name="Normal 24 2 4 2" xfId="17563"/>
    <cellStyle name="Normal 24 2 4 3" xfId="17564"/>
    <cellStyle name="Normal 24 2 4 4" xfId="17565"/>
    <cellStyle name="Normal 24 2 4 5" xfId="17566"/>
    <cellStyle name="Normal 24 2 4 6" xfId="17567"/>
    <cellStyle name="Normal 24 2 5" xfId="17568"/>
    <cellStyle name="Normal 24 2 6" xfId="17569"/>
    <cellStyle name="Normal 24 2 7" xfId="17570"/>
    <cellStyle name="Normal 24 2 8" xfId="17571"/>
    <cellStyle name="Normal 24 2 9" xfId="17572"/>
    <cellStyle name="Normal 24 20" xfId="17573"/>
    <cellStyle name="Normal 24 3" xfId="17574"/>
    <cellStyle name="Normal 24 3 10" xfId="17575"/>
    <cellStyle name="Normal 24 3 11" xfId="17576"/>
    <cellStyle name="Normal 24 3 2" xfId="17577"/>
    <cellStyle name="Normal 24 3 2 10" xfId="17578"/>
    <cellStyle name="Normal 24 3 2 2" xfId="17579"/>
    <cellStyle name="Normal 24 3 2 3" xfId="17580"/>
    <cellStyle name="Normal 24 3 2 3 2" xfId="17581"/>
    <cellStyle name="Normal 24 3 2 3 3" xfId="17582"/>
    <cellStyle name="Normal 24 3 2 3 4" xfId="17583"/>
    <cellStyle name="Normal 24 3 2 3 5" xfId="17584"/>
    <cellStyle name="Normal 24 3 2 3 6" xfId="17585"/>
    <cellStyle name="Normal 24 3 2 4" xfId="17586"/>
    <cellStyle name="Normal 24 3 2 5" xfId="17587"/>
    <cellStyle name="Normal 24 3 2 6" xfId="17588"/>
    <cellStyle name="Normal 24 3 2 7" xfId="17589"/>
    <cellStyle name="Normal 24 3 2 8" xfId="17590"/>
    <cellStyle name="Normal 24 3 2 9" xfId="17591"/>
    <cellStyle name="Normal 24 3 3" xfId="17592"/>
    <cellStyle name="Normal 24 3 4" xfId="17593"/>
    <cellStyle name="Normal 24 3 4 2" xfId="17594"/>
    <cellStyle name="Normal 24 3 4 3" xfId="17595"/>
    <cellStyle name="Normal 24 3 4 4" xfId="17596"/>
    <cellStyle name="Normal 24 3 4 5" xfId="17597"/>
    <cellStyle name="Normal 24 3 4 6" xfId="17598"/>
    <cellStyle name="Normal 24 3 5" xfId="17599"/>
    <cellStyle name="Normal 24 3 6" xfId="17600"/>
    <cellStyle name="Normal 24 3 7" xfId="17601"/>
    <cellStyle name="Normal 24 3 8" xfId="17602"/>
    <cellStyle name="Normal 24 3 9" xfId="17603"/>
    <cellStyle name="Normal 24 4" xfId="17604"/>
    <cellStyle name="Normal 24 4 10" xfId="17605"/>
    <cellStyle name="Normal 24 4 11" xfId="17606"/>
    <cellStyle name="Normal 24 4 2" xfId="17607"/>
    <cellStyle name="Normal 24 4 2 10" xfId="17608"/>
    <cellStyle name="Normal 24 4 2 2" xfId="17609"/>
    <cellStyle name="Normal 24 4 2 3" xfId="17610"/>
    <cellStyle name="Normal 24 4 2 3 2" xfId="17611"/>
    <cellStyle name="Normal 24 4 2 3 3" xfId="17612"/>
    <cellStyle name="Normal 24 4 2 3 4" xfId="17613"/>
    <cellStyle name="Normal 24 4 2 3 5" xfId="17614"/>
    <cellStyle name="Normal 24 4 2 3 6" xfId="17615"/>
    <cellStyle name="Normal 24 4 2 4" xfId="17616"/>
    <cellStyle name="Normal 24 4 2 5" xfId="17617"/>
    <cellStyle name="Normal 24 4 2 6" xfId="17618"/>
    <cellStyle name="Normal 24 4 2 7" xfId="17619"/>
    <cellStyle name="Normal 24 4 2 8" xfId="17620"/>
    <cellStyle name="Normal 24 4 2 9" xfId="17621"/>
    <cellStyle name="Normal 24 4 3" xfId="17622"/>
    <cellStyle name="Normal 24 4 4" xfId="17623"/>
    <cellStyle name="Normal 24 4 4 2" xfId="17624"/>
    <cellStyle name="Normal 24 4 4 3" xfId="17625"/>
    <cellStyle name="Normal 24 4 4 4" xfId="17626"/>
    <cellStyle name="Normal 24 4 4 5" xfId="17627"/>
    <cellStyle name="Normal 24 4 4 6" xfId="17628"/>
    <cellStyle name="Normal 24 4 5" xfId="17629"/>
    <cellStyle name="Normal 24 4 6" xfId="17630"/>
    <cellStyle name="Normal 24 4 7" xfId="17631"/>
    <cellStyle name="Normal 24 4 8" xfId="17632"/>
    <cellStyle name="Normal 24 4 9" xfId="17633"/>
    <cellStyle name="Normal 24 5" xfId="17634"/>
    <cellStyle name="Normal 24 5 10" xfId="17635"/>
    <cellStyle name="Normal 24 5 11" xfId="17636"/>
    <cellStyle name="Normal 24 5 2" xfId="17637"/>
    <cellStyle name="Normal 24 5 2 10" xfId="17638"/>
    <cellStyle name="Normal 24 5 2 2" xfId="17639"/>
    <cellStyle name="Normal 24 5 2 3" xfId="17640"/>
    <cellStyle name="Normal 24 5 2 3 2" xfId="17641"/>
    <cellStyle name="Normal 24 5 2 3 3" xfId="17642"/>
    <cellStyle name="Normal 24 5 2 3 4" xfId="17643"/>
    <cellStyle name="Normal 24 5 2 3 5" xfId="17644"/>
    <cellStyle name="Normal 24 5 2 3 6" xfId="17645"/>
    <cellStyle name="Normal 24 5 2 4" xfId="17646"/>
    <cellStyle name="Normal 24 5 2 5" xfId="17647"/>
    <cellStyle name="Normal 24 5 2 6" xfId="17648"/>
    <cellStyle name="Normal 24 5 2 7" xfId="17649"/>
    <cellStyle name="Normal 24 5 2 8" xfId="17650"/>
    <cellStyle name="Normal 24 5 2 9" xfId="17651"/>
    <cellStyle name="Normal 24 5 3" xfId="17652"/>
    <cellStyle name="Normal 24 5 4" xfId="17653"/>
    <cellStyle name="Normal 24 5 4 2" xfId="17654"/>
    <cellStyle name="Normal 24 5 4 3" xfId="17655"/>
    <cellStyle name="Normal 24 5 4 4" xfId="17656"/>
    <cellStyle name="Normal 24 5 4 5" xfId="17657"/>
    <cellStyle name="Normal 24 5 4 6" xfId="17658"/>
    <cellStyle name="Normal 24 5 5" xfId="17659"/>
    <cellStyle name="Normal 24 5 6" xfId="17660"/>
    <cellStyle name="Normal 24 5 7" xfId="17661"/>
    <cellStyle name="Normal 24 5 8" xfId="17662"/>
    <cellStyle name="Normal 24 5 9" xfId="17663"/>
    <cellStyle name="Normal 24 6" xfId="17664"/>
    <cellStyle name="Normal 24 6 10" xfId="17665"/>
    <cellStyle name="Normal 24 6 11" xfId="17666"/>
    <cellStyle name="Normal 24 6 2" xfId="17667"/>
    <cellStyle name="Normal 24 6 2 10" xfId="17668"/>
    <cellStyle name="Normal 24 6 2 2" xfId="17669"/>
    <cellStyle name="Normal 24 6 2 3" xfId="17670"/>
    <cellStyle name="Normal 24 6 2 3 2" xfId="17671"/>
    <cellStyle name="Normal 24 6 2 3 3" xfId="17672"/>
    <cellStyle name="Normal 24 6 2 3 4" xfId="17673"/>
    <cellStyle name="Normal 24 6 2 3 5" xfId="17674"/>
    <cellStyle name="Normal 24 6 2 3 6" xfId="17675"/>
    <cellStyle name="Normal 24 6 2 4" xfId="17676"/>
    <cellStyle name="Normal 24 6 2 5" xfId="17677"/>
    <cellStyle name="Normal 24 6 2 6" xfId="17678"/>
    <cellStyle name="Normal 24 6 2 7" xfId="17679"/>
    <cellStyle name="Normal 24 6 2 8" xfId="17680"/>
    <cellStyle name="Normal 24 6 2 9" xfId="17681"/>
    <cellStyle name="Normal 24 6 3" xfId="17682"/>
    <cellStyle name="Normal 24 6 4" xfId="17683"/>
    <cellStyle name="Normal 24 6 4 2" xfId="17684"/>
    <cellStyle name="Normal 24 6 4 3" xfId="17685"/>
    <cellStyle name="Normal 24 6 4 4" xfId="17686"/>
    <cellStyle name="Normal 24 6 4 5" xfId="17687"/>
    <cellStyle name="Normal 24 6 4 6" xfId="17688"/>
    <cellStyle name="Normal 24 6 5" xfId="17689"/>
    <cellStyle name="Normal 24 6 6" xfId="17690"/>
    <cellStyle name="Normal 24 6 7" xfId="17691"/>
    <cellStyle name="Normal 24 6 8" xfId="17692"/>
    <cellStyle name="Normal 24 6 9" xfId="17693"/>
    <cellStyle name="Normal 24 7" xfId="17694"/>
    <cellStyle name="Normal 24 7 10" xfId="17695"/>
    <cellStyle name="Normal 24 7 11" xfId="17696"/>
    <cellStyle name="Normal 24 7 2" xfId="17697"/>
    <cellStyle name="Normal 24 7 2 10" xfId="17698"/>
    <cellStyle name="Normal 24 7 2 2" xfId="17699"/>
    <cellStyle name="Normal 24 7 2 3" xfId="17700"/>
    <cellStyle name="Normal 24 7 2 3 2" xfId="17701"/>
    <cellStyle name="Normal 24 7 2 3 3" xfId="17702"/>
    <cellStyle name="Normal 24 7 2 3 4" xfId="17703"/>
    <cellStyle name="Normal 24 7 2 3 5" xfId="17704"/>
    <cellStyle name="Normal 24 7 2 3 6" xfId="17705"/>
    <cellStyle name="Normal 24 7 2 4" xfId="17706"/>
    <cellStyle name="Normal 24 7 2 5" xfId="17707"/>
    <cellStyle name="Normal 24 7 2 6" xfId="17708"/>
    <cellStyle name="Normal 24 7 2 7" xfId="17709"/>
    <cellStyle name="Normal 24 7 2 8" xfId="17710"/>
    <cellStyle name="Normal 24 7 2 9" xfId="17711"/>
    <cellStyle name="Normal 24 7 3" xfId="17712"/>
    <cellStyle name="Normal 24 7 4" xfId="17713"/>
    <cellStyle name="Normal 24 7 4 2" xfId="17714"/>
    <cellStyle name="Normal 24 7 4 3" xfId="17715"/>
    <cellStyle name="Normal 24 7 4 4" xfId="17716"/>
    <cellStyle name="Normal 24 7 4 5" xfId="17717"/>
    <cellStyle name="Normal 24 7 4 6" xfId="17718"/>
    <cellStyle name="Normal 24 7 5" xfId="17719"/>
    <cellStyle name="Normal 24 7 6" xfId="17720"/>
    <cellStyle name="Normal 24 7 7" xfId="17721"/>
    <cellStyle name="Normal 24 7 8" xfId="17722"/>
    <cellStyle name="Normal 24 7 9" xfId="17723"/>
    <cellStyle name="Normal 24 8" xfId="17724"/>
    <cellStyle name="Normal 24 8 10" xfId="17725"/>
    <cellStyle name="Normal 24 8 11" xfId="17726"/>
    <cellStyle name="Normal 24 8 2" xfId="17727"/>
    <cellStyle name="Normal 24 8 2 10" xfId="17728"/>
    <cellStyle name="Normal 24 8 2 2" xfId="17729"/>
    <cellStyle name="Normal 24 8 2 3" xfId="17730"/>
    <cellStyle name="Normal 24 8 2 3 2" xfId="17731"/>
    <cellStyle name="Normal 24 8 2 3 3" xfId="17732"/>
    <cellStyle name="Normal 24 8 2 3 4" xfId="17733"/>
    <cellStyle name="Normal 24 8 2 3 5" xfId="17734"/>
    <cellStyle name="Normal 24 8 2 3 6" xfId="17735"/>
    <cellStyle name="Normal 24 8 2 4" xfId="17736"/>
    <cellStyle name="Normal 24 8 2 5" xfId="17737"/>
    <cellStyle name="Normal 24 8 2 6" xfId="17738"/>
    <cellStyle name="Normal 24 8 2 7" xfId="17739"/>
    <cellStyle name="Normal 24 8 2 8" xfId="17740"/>
    <cellStyle name="Normal 24 8 2 9" xfId="17741"/>
    <cellStyle name="Normal 24 8 3" xfId="17742"/>
    <cellStyle name="Normal 24 8 4" xfId="17743"/>
    <cellStyle name="Normal 24 8 4 2" xfId="17744"/>
    <cellStyle name="Normal 24 8 4 3" xfId="17745"/>
    <cellStyle name="Normal 24 8 4 4" xfId="17746"/>
    <cellStyle name="Normal 24 8 4 5" xfId="17747"/>
    <cellStyle name="Normal 24 8 4 6" xfId="17748"/>
    <cellStyle name="Normal 24 8 5" xfId="17749"/>
    <cellStyle name="Normal 24 8 6" xfId="17750"/>
    <cellStyle name="Normal 24 8 7" xfId="17751"/>
    <cellStyle name="Normal 24 8 8" xfId="17752"/>
    <cellStyle name="Normal 24 8 9" xfId="17753"/>
    <cellStyle name="Normal 24 9" xfId="17754"/>
    <cellStyle name="Normal 24 9 10" xfId="17755"/>
    <cellStyle name="Normal 24 9 11" xfId="17756"/>
    <cellStyle name="Normal 24 9 2" xfId="17757"/>
    <cellStyle name="Normal 24 9 2 10" xfId="17758"/>
    <cellStyle name="Normal 24 9 2 2" xfId="17759"/>
    <cellStyle name="Normal 24 9 2 3" xfId="17760"/>
    <cellStyle name="Normal 24 9 2 3 2" xfId="17761"/>
    <cellStyle name="Normal 24 9 2 3 3" xfId="17762"/>
    <cellStyle name="Normal 24 9 2 3 4" xfId="17763"/>
    <cellStyle name="Normal 24 9 2 3 5" xfId="17764"/>
    <cellStyle name="Normal 24 9 2 3 6" xfId="17765"/>
    <cellStyle name="Normal 24 9 2 4" xfId="17766"/>
    <cellStyle name="Normal 24 9 2 5" xfId="17767"/>
    <cellStyle name="Normal 24 9 2 6" xfId="17768"/>
    <cellStyle name="Normal 24 9 2 7" xfId="17769"/>
    <cellStyle name="Normal 24 9 2 8" xfId="17770"/>
    <cellStyle name="Normal 24 9 2 9" xfId="17771"/>
    <cellStyle name="Normal 24 9 3" xfId="17772"/>
    <cellStyle name="Normal 24 9 4" xfId="17773"/>
    <cellStyle name="Normal 24 9 4 2" xfId="17774"/>
    <cellStyle name="Normal 24 9 4 3" xfId="17775"/>
    <cellStyle name="Normal 24 9 4 4" xfId="17776"/>
    <cellStyle name="Normal 24 9 4 5" xfId="17777"/>
    <cellStyle name="Normal 24 9 4 6" xfId="17778"/>
    <cellStyle name="Normal 24 9 5" xfId="17779"/>
    <cellStyle name="Normal 24 9 6" xfId="17780"/>
    <cellStyle name="Normal 24 9 7" xfId="17781"/>
    <cellStyle name="Normal 24 9 8" xfId="17782"/>
    <cellStyle name="Normal 24 9 9" xfId="17783"/>
    <cellStyle name="Normal 25" xfId="17784"/>
    <cellStyle name="Normal 25 10" xfId="17785"/>
    <cellStyle name="Normal 25 11" xfId="17786"/>
    <cellStyle name="Normal 25 12" xfId="17787"/>
    <cellStyle name="Normal 25 13" xfId="17788"/>
    <cellStyle name="Normal 25 14" xfId="17789"/>
    <cellStyle name="Normal 25 15" xfId="17790"/>
    <cellStyle name="Normal 25 16" xfId="17791"/>
    <cellStyle name="Normal 25 2" xfId="17792"/>
    <cellStyle name="Normal 25 2 10" xfId="17793"/>
    <cellStyle name="Normal 25 2 11" xfId="17794"/>
    <cellStyle name="Normal 25 2 2" xfId="17795"/>
    <cellStyle name="Normal 25 2 2 10" xfId="17796"/>
    <cellStyle name="Normal 25 2 2 2" xfId="17797"/>
    <cellStyle name="Normal 25 2 2 3" xfId="17798"/>
    <cellStyle name="Normal 25 2 2 3 2" xfId="17799"/>
    <cellStyle name="Normal 25 2 2 3 3" xfId="17800"/>
    <cellStyle name="Normal 25 2 2 3 4" xfId="17801"/>
    <cellStyle name="Normal 25 2 2 3 5" xfId="17802"/>
    <cellStyle name="Normal 25 2 2 3 6" xfId="17803"/>
    <cellStyle name="Normal 25 2 2 4" xfId="17804"/>
    <cellStyle name="Normal 25 2 2 5" xfId="17805"/>
    <cellStyle name="Normal 25 2 2 6" xfId="17806"/>
    <cellStyle name="Normal 25 2 2 7" xfId="17807"/>
    <cellStyle name="Normal 25 2 2 8" xfId="17808"/>
    <cellStyle name="Normal 25 2 2 9" xfId="17809"/>
    <cellStyle name="Normal 25 2 3" xfId="17810"/>
    <cellStyle name="Normal 25 2 4" xfId="17811"/>
    <cellStyle name="Normal 25 2 4 2" xfId="17812"/>
    <cellStyle name="Normal 25 2 4 3" xfId="17813"/>
    <cellStyle name="Normal 25 2 4 4" xfId="17814"/>
    <cellStyle name="Normal 25 2 4 5" xfId="17815"/>
    <cellStyle name="Normal 25 2 4 6" xfId="17816"/>
    <cellStyle name="Normal 25 2 5" xfId="17817"/>
    <cellStyle name="Normal 25 2 6" xfId="17818"/>
    <cellStyle name="Normal 25 2 7" xfId="17819"/>
    <cellStyle name="Normal 25 2 8" xfId="17820"/>
    <cellStyle name="Normal 25 2 9" xfId="17821"/>
    <cellStyle name="Normal 25 3" xfId="17822"/>
    <cellStyle name="Normal 25 3 10" xfId="17823"/>
    <cellStyle name="Normal 25 3 11" xfId="17824"/>
    <cellStyle name="Normal 25 3 2" xfId="17825"/>
    <cellStyle name="Normal 25 3 2 10" xfId="17826"/>
    <cellStyle name="Normal 25 3 2 2" xfId="17827"/>
    <cellStyle name="Normal 25 3 2 3" xfId="17828"/>
    <cellStyle name="Normal 25 3 2 3 2" xfId="17829"/>
    <cellStyle name="Normal 25 3 2 3 3" xfId="17830"/>
    <cellStyle name="Normal 25 3 2 3 4" xfId="17831"/>
    <cellStyle name="Normal 25 3 2 3 5" xfId="17832"/>
    <cellStyle name="Normal 25 3 2 3 6" xfId="17833"/>
    <cellStyle name="Normal 25 3 2 4" xfId="17834"/>
    <cellStyle name="Normal 25 3 2 5" xfId="17835"/>
    <cellStyle name="Normal 25 3 2 6" xfId="17836"/>
    <cellStyle name="Normal 25 3 2 7" xfId="17837"/>
    <cellStyle name="Normal 25 3 2 8" xfId="17838"/>
    <cellStyle name="Normal 25 3 2 9" xfId="17839"/>
    <cellStyle name="Normal 25 3 3" xfId="17840"/>
    <cellStyle name="Normal 25 3 4" xfId="17841"/>
    <cellStyle name="Normal 25 3 4 2" xfId="17842"/>
    <cellStyle name="Normal 25 3 4 3" xfId="17843"/>
    <cellStyle name="Normal 25 3 4 4" xfId="17844"/>
    <cellStyle name="Normal 25 3 4 5" xfId="17845"/>
    <cellStyle name="Normal 25 3 4 6" xfId="17846"/>
    <cellStyle name="Normal 25 3 5" xfId="17847"/>
    <cellStyle name="Normal 25 3 6" xfId="17848"/>
    <cellStyle name="Normal 25 3 7" xfId="17849"/>
    <cellStyle name="Normal 25 3 8" xfId="17850"/>
    <cellStyle name="Normal 25 3 9" xfId="17851"/>
    <cellStyle name="Normal 25 4" xfId="17852"/>
    <cellStyle name="Normal 25 4 10" xfId="17853"/>
    <cellStyle name="Normal 25 4 11" xfId="17854"/>
    <cellStyle name="Normal 25 4 2" xfId="17855"/>
    <cellStyle name="Normal 25 4 2 10" xfId="17856"/>
    <cellStyle name="Normal 25 4 2 2" xfId="17857"/>
    <cellStyle name="Normal 25 4 2 3" xfId="17858"/>
    <cellStyle name="Normal 25 4 2 3 2" xfId="17859"/>
    <cellStyle name="Normal 25 4 2 3 3" xfId="17860"/>
    <cellStyle name="Normal 25 4 2 3 4" xfId="17861"/>
    <cellStyle name="Normal 25 4 2 3 5" xfId="17862"/>
    <cellStyle name="Normal 25 4 2 3 6" xfId="17863"/>
    <cellStyle name="Normal 25 4 2 4" xfId="17864"/>
    <cellStyle name="Normal 25 4 2 5" xfId="17865"/>
    <cellStyle name="Normal 25 4 2 6" xfId="17866"/>
    <cellStyle name="Normal 25 4 2 7" xfId="17867"/>
    <cellStyle name="Normal 25 4 2 8" xfId="17868"/>
    <cellStyle name="Normal 25 4 2 9" xfId="17869"/>
    <cellStyle name="Normal 25 4 3" xfId="17870"/>
    <cellStyle name="Normal 25 4 4" xfId="17871"/>
    <cellStyle name="Normal 25 4 4 2" xfId="17872"/>
    <cellStyle name="Normal 25 4 4 3" xfId="17873"/>
    <cellStyle name="Normal 25 4 4 4" xfId="17874"/>
    <cellStyle name="Normal 25 4 4 5" xfId="17875"/>
    <cellStyle name="Normal 25 4 4 6" xfId="17876"/>
    <cellStyle name="Normal 25 4 5" xfId="17877"/>
    <cellStyle name="Normal 25 4 6" xfId="17878"/>
    <cellStyle name="Normal 25 4 7" xfId="17879"/>
    <cellStyle name="Normal 25 4 8" xfId="17880"/>
    <cellStyle name="Normal 25 4 9" xfId="17881"/>
    <cellStyle name="Normal 25 5" xfId="17882"/>
    <cellStyle name="Normal 25 5 10" xfId="17883"/>
    <cellStyle name="Normal 25 5 11" xfId="17884"/>
    <cellStyle name="Normal 25 5 2" xfId="17885"/>
    <cellStyle name="Normal 25 5 2 10" xfId="17886"/>
    <cellStyle name="Normal 25 5 2 2" xfId="17887"/>
    <cellStyle name="Normal 25 5 2 3" xfId="17888"/>
    <cellStyle name="Normal 25 5 2 3 2" xfId="17889"/>
    <cellStyle name="Normal 25 5 2 3 3" xfId="17890"/>
    <cellStyle name="Normal 25 5 2 3 4" xfId="17891"/>
    <cellStyle name="Normal 25 5 2 3 5" xfId="17892"/>
    <cellStyle name="Normal 25 5 2 3 6" xfId="17893"/>
    <cellStyle name="Normal 25 5 2 4" xfId="17894"/>
    <cellStyle name="Normal 25 5 2 5" xfId="17895"/>
    <cellStyle name="Normal 25 5 2 6" xfId="17896"/>
    <cellStyle name="Normal 25 5 2 7" xfId="17897"/>
    <cellStyle name="Normal 25 5 2 8" xfId="17898"/>
    <cellStyle name="Normal 25 5 2 9" xfId="17899"/>
    <cellStyle name="Normal 25 5 3" xfId="17900"/>
    <cellStyle name="Normal 25 5 4" xfId="17901"/>
    <cellStyle name="Normal 25 5 4 2" xfId="17902"/>
    <cellStyle name="Normal 25 5 4 3" xfId="17903"/>
    <cellStyle name="Normal 25 5 4 4" xfId="17904"/>
    <cellStyle name="Normal 25 5 4 5" xfId="17905"/>
    <cellStyle name="Normal 25 5 4 6" xfId="17906"/>
    <cellStyle name="Normal 25 5 5" xfId="17907"/>
    <cellStyle name="Normal 25 5 6" xfId="17908"/>
    <cellStyle name="Normal 25 5 7" xfId="17909"/>
    <cellStyle name="Normal 25 5 8" xfId="17910"/>
    <cellStyle name="Normal 25 5 9" xfId="17911"/>
    <cellStyle name="Normal 25 6" xfId="17912"/>
    <cellStyle name="Normal 25 6 10" xfId="17913"/>
    <cellStyle name="Normal 25 6 11" xfId="17914"/>
    <cellStyle name="Normal 25 6 2" xfId="17915"/>
    <cellStyle name="Normal 25 6 2 10" xfId="17916"/>
    <cellStyle name="Normal 25 6 2 2" xfId="17917"/>
    <cellStyle name="Normal 25 6 2 3" xfId="17918"/>
    <cellStyle name="Normal 25 6 2 3 2" xfId="17919"/>
    <cellStyle name="Normal 25 6 2 3 3" xfId="17920"/>
    <cellStyle name="Normal 25 6 2 3 4" xfId="17921"/>
    <cellStyle name="Normal 25 6 2 3 5" xfId="17922"/>
    <cellStyle name="Normal 25 6 2 3 6" xfId="17923"/>
    <cellStyle name="Normal 25 6 2 4" xfId="17924"/>
    <cellStyle name="Normal 25 6 2 5" xfId="17925"/>
    <cellStyle name="Normal 25 6 2 6" xfId="17926"/>
    <cellStyle name="Normal 25 6 2 7" xfId="17927"/>
    <cellStyle name="Normal 25 6 2 8" xfId="17928"/>
    <cellStyle name="Normal 25 6 2 9" xfId="17929"/>
    <cellStyle name="Normal 25 6 3" xfId="17930"/>
    <cellStyle name="Normal 25 6 4" xfId="17931"/>
    <cellStyle name="Normal 25 6 4 2" xfId="17932"/>
    <cellStyle name="Normal 25 6 4 3" xfId="17933"/>
    <cellStyle name="Normal 25 6 4 4" xfId="17934"/>
    <cellStyle name="Normal 25 6 4 5" xfId="17935"/>
    <cellStyle name="Normal 25 6 4 6" xfId="17936"/>
    <cellStyle name="Normal 25 6 5" xfId="17937"/>
    <cellStyle name="Normal 25 6 6" xfId="17938"/>
    <cellStyle name="Normal 25 6 7" xfId="17939"/>
    <cellStyle name="Normal 25 6 8" xfId="17940"/>
    <cellStyle name="Normal 25 6 9" xfId="17941"/>
    <cellStyle name="Normal 25 7" xfId="17942"/>
    <cellStyle name="Normal 25 7 10" xfId="17943"/>
    <cellStyle name="Normal 25 7 2" xfId="17944"/>
    <cellStyle name="Normal 25 7 3" xfId="17945"/>
    <cellStyle name="Normal 25 7 3 2" xfId="17946"/>
    <cellStyle name="Normal 25 7 3 3" xfId="17947"/>
    <cellStyle name="Normal 25 7 3 4" xfId="17948"/>
    <cellStyle name="Normal 25 7 3 5" xfId="17949"/>
    <cellStyle name="Normal 25 7 3 6" xfId="17950"/>
    <cellStyle name="Normal 25 7 4" xfId="17951"/>
    <cellStyle name="Normal 25 7 5" xfId="17952"/>
    <cellStyle name="Normal 25 7 6" xfId="17953"/>
    <cellStyle name="Normal 25 7 7" xfId="17954"/>
    <cellStyle name="Normal 25 7 8" xfId="17955"/>
    <cellStyle name="Normal 25 7 9" xfId="17956"/>
    <cellStyle name="Normal 25 8" xfId="17957"/>
    <cellStyle name="Normal 25 9" xfId="17958"/>
    <cellStyle name="Normal 25 9 2" xfId="17959"/>
    <cellStyle name="Normal 25 9 3" xfId="17960"/>
    <cellStyle name="Normal 25 9 4" xfId="17961"/>
    <cellStyle name="Normal 25 9 5" xfId="17962"/>
    <cellStyle name="Normal 25 9 6" xfId="17963"/>
    <cellStyle name="Normal 26" xfId="17964"/>
    <cellStyle name="Normal 26 10" xfId="17965"/>
    <cellStyle name="Normal 26 11" xfId="17966"/>
    <cellStyle name="Normal 26 12" xfId="17967"/>
    <cellStyle name="Normal 26 13" xfId="17968"/>
    <cellStyle name="Normal 26 14" xfId="17969"/>
    <cellStyle name="Normal 26 15" xfId="17970"/>
    <cellStyle name="Normal 26 16" xfId="17971"/>
    <cellStyle name="Normal 26 2" xfId="17972"/>
    <cellStyle name="Normal 26 2 10" xfId="17973"/>
    <cellStyle name="Normal 26 2 11" xfId="17974"/>
    <cellStyle name="Normal 26 2 2" xfId="17975"/>
    <cellStyle name="Normal 26 2 2 10" xfId="17976"/>
    <cellStyle name="Normal 26 2 2 2" xfId="17977"/>
    <cellStyle name="Normal 26 2 2 3" xfId="17978"/>
    <cellStyle name="Normal 26 2 2 3 2" xfId="17979"/>
    <cellStyle name="Normal 26 2 2 3 3" xfId="17980"/>
    <cellStyle name="Normal 26 2 2 3 4" xfId="17981"/>
    <cellStyle name="Normal 26 2 2 3 5" xfId="17982"/>
    <cellStyle name="Normal 26 2 2 3 6" xfId="17983"/>
    <cellStyle name="Normal 26 2 2 4" xfId="17984"/>
    <cellStyle name="Normal 26 2 2 5" xfId="17985"/>
    <cellStyle name="Normal 26 2 2 6" xfId="17986"/>
    <cellStyle name="Normal 26 2 2 7" xfId="17987"/>
    <cellStyle name="Normal 26 2 2 8" xfId="17988"/>
    <cellStyle name="Normal 26 2 2 9" xfId="17989"/>
    <cellStyle name="Normal 26 2 3" xfId="17990"/>
    <cellStyle name="Normal 26 2 4" xfId="17991"/>
    <cellStyle name="Normal 26 2 4 2" xfId="17992"/>
    <cellStyle name="Normal 26 2 4 3" xfId="17993"/>
    <cellStyle name="Normal 26 2 4 4" xfId="17994"/>
    <cellStyle name="Normal 26 2 4 5" xfId="17995"/>
    <cellStyle name="Normal 26 2 4 6" xfId="17996"/>
    <cellStyle name="Normal 26 2 5" xfId="17997"/>
    <cellStyle name="Normal 26 2 6" xfId="17998"/>
    <cellStyle name="Normal 26 2 7" xfId="17999"/>
    <cellStyle name="Normal 26 2 8" xfId="18000"/>
    <cellStyle name="Normal 26 2 9" xfId="18001"/>
    <cellStyle name="Normal 26 3" xfId="18002"/>
    <cellStyle name="Normal 26 3 10" xfId="18003"/>
    <cellStyle name="Normal 26 3 11" xfId="18004"/>
    <cellStyle name="Normal 26 3 2" xfId="18005"/>
    <cellStyle name="Normal 26 3 2 10" xfId="18006"/>
    <cellStyle name="Normal 26 3 2 2" xfId="18007"/>
    <cellStyle name="Normal 26 3 2 3" xfId="18008"/>
    <cellStyle name="Normal 26 3 2 3 2" xfId="18009"/>
    <cellStyle name="Normal 26 3 2 3 3" xfId="18010"/>
    <cellStyle name="Normal 26 3 2 3 4" xfId="18011"/>
    <cellStyle name="Normal 26 3 2 3 5" xfId="18012"/>
    <cellStyle name="Normal 26 3 2 3 6" xfId="18013"/>
    <cellStyle name="Normal 26 3 2 4" xfId="18014"/>
    <cellStyle name="Normal 26 3 2 5" xfId="18015"/>
    <cellStyle name="Normal 26 3 2 6" xfId="18016"/>
    <cellStyle name="Normal 26 3 2 7" xfId="18017"/>
    <cellStyle name="Normal 26 3 2 8" xfId="18018"/>
    <cellStyle name="Normal 26 3 2 9" xfId="18019"/>
    <cellStyle name="Normal 26 3 3" xfId="18020"/>
    <cellStyle name="Normal 26 3 4" xfId="18021"/>
    <cellStyle name="Normal 26 3 4 2" xfId="18022"/>
    <cellStyle name="Normal 26 3 4 3" xfId="18023"/>
    <cellStyle name="Normal 26 3 4 4" xfId="18024"/>
    <cellStyle name="Normal 26 3 4 5" xfId="18025"/>
    <cellStyle name="Normal 26 3 4 6" xfId="18026"/>
    <cellStyle name="Normal 26 3 5" xfId="18027"/>
    <cellStyle name="Normal 26 3 6" xfId="18028"/>
    <cellStyle name="Normal 26 3 7" xfId="18029"/>
    <cellStyle name="Normal 26 3 8" xfId="18030"/>
    <cellStyle name="Normal 26 3 9" xfId="18031"/>
    <cellStyle name="Normal 26 4" xfId="18032"/>
    <cellStyle name="Normal 26 4 10" xfId="18033"/>
    <cellStyle name="Normal 26 4 11" xfId="18034"/>
    <cellStyle name="Normal 26 4 2" xfId="18035"/>
    <cellStyle name="Normal 26 4 2 10" xfId="18036"/>
    <cellStyle name="Normal 26 4 2 2" xfId="18037"/>
    <cellStyle name="Normal 26 4 2 3" xfId="18038"/>
    <cellStyle name="Normal 26 4 2 3 2" xfId="18039"/>
    <cellStyle name="Normal 26 4 2 3 3" xfId="18040"/>
    <cellStyle name="Normal 26 4 2 3 4" xfId="18041"/>
    <cellStyle name="Normal 26 4 2 3 5" xfId="18042"/>
    <cellStyle name="Normal 26 4 2 3 6" xfId="18043"/>
    <cellStyle name="Normal 26 4 2 4" xfId="18044"/>
    <cellStyle name="Normal 26 4 2 5" xfId="18045"/>
    <cellStyle name="Normal 26 4 2 6" xfId="18046"/>
    <cellStyle name="Normal 26 4 2 7" xfId="18047"/>
    <cellStyle name="Normal 26 4 2 8" xfId="18048"/>
    <cellStyle name="Normal 26 4 2 9" xfId="18049"/>
    <cellStyle name="Normal 26 4 3" xfId="18050"/>
    <cellStyle name="Normal 26 4 4" xfId="18051"/>
    <cellStyle name="Normal 26 4 4 2" xfId="18052"/>
    <cellStyle name="Normal 26 4 4 3" xfId="18053"/>
    <cellStyle name="Normal 26 4 4 4" xfId="18054"/>
    <cellStyle name="Normal 26 4 4 5" xfId="18055"/>
    <cellStyle name="Normal 26 4 4 6" xfId="18056"/>
    <cellStyle name="Normal 26 4 5" xfId="18057"/>
    <cellStyle name="Normal 26 4 6" xfId="18058"/>
    <cellStyle name="Normal 26 4 7" xfId="18059"/>
    <cellStyle name="Normal 26 4 8" xfId="18060"/>
    <cellStyle name="Normal 26 4 9" xfId="18061"/>
    <cellStyle name="Normal 26 5" xfId="18062"/>
    <cellStyle name="Normal 26 5 10" xfId="18063"/>
    <cellStyle name="Normal 26 5 11" xfId="18064"/>
    <cellStyle name="Normal 26 5 2" xfId="18065"/>
    <cellStyle name="Normal 26 5 2 10" xfId="18066"/>
    <cellStyle name="Normal 26 5 2 2" xfId="18067"/>
    <cellStyle name="Normal 26 5 2 3" xfId="18068"/>
    <cellStyle name="Normal 26 5 2 3 2" xfId="18069"/>
    <cellStyle name="Normal 26 5 2 3 3" xfId="18070"/>
    <cellStyle name="Normal 26 5 2 3 4" xfId="18071"/>
    <cellStyle name="Normal 26 5 2 3 5" xfId="18072"/>
    <cellStyle name="Normal 26 5 2 3 6" xfId="18073"/>
    <cellStyle name="Normal 26 5 2 4" xfId="18074"/>
    <cellStyle name="Normal 26 5 2 5" xfId="18075"/>
    <cellStyle name="Normal 26 5 2 6" xfId="18076"/>
    <cellStyle name="Normal 26 5 2 7" xfId="18077"/>
    <cellStyle name="Normal 26 5 2 8" xfId="18078"/>
    <cellStyle name="Normal 26 5 2 9" xfId="18079"/>
    <cellStyle name="Normal 26 5 3" xfId="18080"/>
    <cellStyle name="Normal 26 5 4" xfId="18081"/>
    <cellStyle name="Normal 26 5 4 2" xfId="18082"/>
    <cellStyle name="Normal 26 5 4 3" xfId="18083"/>
    <cellStyle name="Normal 26 5 4 4" xfId="18084"/>
    <cellStyle name="Normal 26 5 4 5" xfId="18085"/>
    <cellStyle name="Normal 26 5 4 6" xfId="18086"/>
    <cellStyle name="Normal 26 5 5" xfId="18087"/>
    <cellStyle name="Normal 26 5 6" xfId="18088"/>
    <cellStyle name="Normal 26 5 7" xfId="18089"/>
    <cellStyle name="Normal 26 5 8" xfId="18090"/>
    <cellStyle name="Normal 26 5 9" xfId="18091"/>
    <cellStyle name="Normal 26 6" xfId="18092"/>
    <cellStyle name="Normal 26 6 10" xfId="18093"/>
    <cellStyle name="Normal 26 6 11" xfId="18094"/>
    <cellStyle name="Normal 26 6 2" xfId="18095"/>
    <cellStyle name="Normal 26 6 2 10" xfId="18096"/>
    <cellStyle name="Normal 26 6 2 2" xfId="18097"/>
    <cellStyle name="Normal 26 6 2 3" xfId="18098"/>
    <cellStyle name="Normal 26 6 2 3 2" xfId="18099"/>
    <cellStyle name="Normal 26 6 2 3 3" xfId="18100"/>
    <cellStyle name="Normal 26 6 2 3 4" xfId="18101"/>
    <cellStyle name="Normal 26 6 2 3 5" xfId="18102"/>
    <cellStyle name="Normal 26 6 2 3 6" xfId="18103"/>
    <cellStyle name="Normal 26 6 2 4" xfId="18104"/>
    <cellStyle name="Normal 26 6 2 5" xfId="18105"/>
    <cellStyle name="Normal 26 6 2 6" xfId="18106"/>
    <cellStyle name="Normal 26 6 2 7" xfId="18107"/>
    <cellStyle name="Normal 26 6 2 8" xfId="18108"/>
    <cellStyle name="Normal 26 6 2 9" xfId="18109"/>
    <cellStyle name="Normal 26 6 3" xfId="18110"/>
    <cellStyle name="Normal 26 6 4" xfId="18111"/>
    <cellStyle name="Normal 26 6 4 2" xfId="18112"/>
    <cellStyle name="Normal 26 6 4 3" xfId="18113"/>
    <cellStyle name="Normal 26 6 4 4" xfId="18114"/>
    <cellStyle name="Normal 26 6 4 5" xfId="18115"/>
    <cellStyle name="Normal 26 6 4 6" xfId="18116"/>
    <cellStyle name="Normal 26 6 5" xfId="18117"/>
    <cellStyle name="Normal 26 6 6" xfId="18118"/>
    <cellStyle name="Normal 26 6 7" xfId="18119"/>
    <cellStyle name="Normal 26 6 8" xfId="18120"/>
    <cellStyle name="Normal 26 6 9" xfId="18121"/>
    <cellStyle name="Normal 26 7" xfId="18122"/>
    <cellStyle name="Normal 26 7 10" xfId="18123"/>
    <cellStyle name="Normal 26 7 2" xfId="18124"/>
    <cellStyle name="Normal 26 7 3" xfId="18125"/>
    <cellStyle name="Normal 26 7 3 2" xfId="18126"/>
    <cellStyle name="Normal 26 7 3 3" xfId="18127"/>
    <cellStyle name="Normal 26 7 3 4" xfId="18128"/>
    <cellStyle name="Normal 26 7 3 5" xfId="18129"/>
    <cellStyle name="Normal 26 7 3 6" xfId="18130"/>
    <cellStyle name="Normal 26 7 4" xfId="18131"/>
    <cellStyle name="Normal 26 7 5" xfId="18132"/>
    <cellStyle name="Normal 26 7 6" xfId="18133"/>
    <cellStyle name="Normal 26 7 7" xfId="18134"/>
    <cellStyle name="Normal 26 7 8" xfId="18135"/>
    <cellStyle name="Normal 26 7 9" xfId="18136"/>
    <cellStyle name="Normal 26 8" xfId="18137"/>
    <cellStyle name="Normal 26 9" xfId="18138"/>
    <cellStyle name="Normal 26 9 2" xfId="18139"/>
    <cellStyle name="Normal 26 9 3" xfId="18140"/>
    <cellStyle name="Normal 26 9 4" xfId="18141"/>
    <cellStyle name="Normal 26 9 5" xfId="18142"/>
    <cellStyle name="Normal 26 9 6" xfId="18143"/>
    <cellStyle name="Normal 27" xfId="18144"/>
    <cellStyle name="Normal 27 10" xfId="18145"/>
    <cellStyle name="Normal 27 10 10" xfId="18146"/>
    <cellStyle name="Normal 27 10 11" xfId="18147"/>
    <cellStyle name="Normal 27 10 2" xfId="18148"/>
    <cellStyle name="Normal 27 10 2 10" xfId="18149"/>
    <cellStyle name="Normal 27 10 2 2" xfId="18150"/>
    <cellStyle name="Normal 27 10 2 3" xfId="18151"/>
    <cellStyle name="Normal 27 10 2 3 2" xfId="18152"/>
    <cellStyle name="Normal 27 10 2 3 3" xfId="18153"/>
    <cellStyle name="Normal 27 10 2 3 4" xfId="18154"/>
    <cellStyle name="Normal 27 10 2 3 5" xfId="18155"/>
    <cellStyle name="Normal 27 10 2 3 6" xfId="18156"/>
    <cellStyle name="Normal 27 10 2 4" xfId="18157"/>
    <cellStyle name="Normal 27 10 2 5" xfId="18158"/>
    <cellStyle name="Normal 27 10 2 6" xfId="18159"/>
    <cellStyle name="Normal 27 10 2 7" xfId="18160"/>
    <cellStyle name="Normal 27 10 2 8" xfId="18161"/>
    <cellStyle name="Normal 27 10 2 9" xfId="18162"/>
    <cellStyle name="Normal 27 10 3" xfId="18163"/>
    <cellStyle name="Normal 27 10 4" xfId="18164"/>
    <cellStyle name="Normal 27 10 4 2" xfId="18165"/>
    <cellStyle name="Normal 27 10 4 3" xfId="18166"/>
    <cellStyle name="Normal 27 10 4 4" xfId="18167"/>
    <cellStyle name="Normal 27 10 4 5" xfId="18168"/>
    <cellStyle name="Normal 27 10 4 6" xfId="18169"/>
    <cellStyle name="Normal 27 10 5" xfId="18170"/>
    <cellStyle name="Normal 27 10 6" xfId="18171"/>
    <cellStyle name="Normal 27 10 7" xfId="18172"/>
    <cellStyle name="Normal 27 10 8" xfId="18173"/>
    <cellStyle name="Normal 27 10 9" xfId="18174"/>
    <cellStyle name="Normal 27 11" xfId="18175"/>
    <cellStyle name="Normal 27 11 10" xfId="18176"/>
    <cellStyle name="Normal 27 11 2" xfId="18177"/>
    <cellStyle name="Normal 27 11 3" xfId="18178"/>
    <cellStyle name="Normal 27 11 3 2" xfId="18179"/>
    <cellStyle name="Normal 27 11 3 3" xfId="18180"/>
    <cellStyle name="Normal 27 11 3 4" xfId="18181"/>
    <cellStyle name="Normal 27 11 3 5" xfId="18182"/>
    <cellStyle name="Normal 27 11 3 6" xfId="18183"/>
    <cellStyle name="Normal 27 11 4" xfId="18184"/>
    <cellStyle name="Normal 27 11 5" xfId="18185"/>
    <cellStyle name="Normal 27 11 6" xfId="18186"/>
    <cellStyle name="Normal 27 11 7" xfId="18187"/>
    <cellStyle name="Normal 27 11 8" xfId="18188"/>
    <cellStyle name="Normal 27 11 9" xfId="18189"/>
    <cellStyle name="Normal 27 12" xfId="18190"/>
    <cellStyle name="Normal 27 13" xfId="18191"/>
    <cellStyle name="Normal 27 13 2" xfId="18192"/>
    <cellStyle name="Normal 27 13 3" xfId="18193"/>
    <cellStyle name="Normal 27 13 4" xfId="18194"/>
    <cellStyle name="Normal 27 13 5" xfId="18195"/>
    <cellStyle name="Normal 27 13 6" xfId="18196"/>
    <cellStyle name="Normal 27 14" xfId="18197"/>
    <cellStyle name="Normal 27 15" xfId="18198"/>
    <cellStyle name="Normal 27 16" xfId="18199"/>
    <cellStyle name="Normal 27 17" xfId="18200"/>
    <cellStyle name="Normal 27 18" xfId="18201"/>
    <cellStyle name="Normal 27 19" xfId="18202"/>
    <cellStyle name="Normal 27 2" xfId="18203"/>
    <cellStyle name="Normal 27 2 10" xfId="18204"/>
    <cellStyle name="Normal 27 2 11" xfId="18205"/>
    <cellStyle name="Normal 27 2 2" xfId="18206"/>
    <cellStyle name="Normal 27 2 2 10" xfId="18207"/>
    <cellStyle name="Normal 27 2 2 2" xfId="18208"/>
    <cellStyle name="Normal 27 2 2 3" xfId="18209"/>
    <cellStyle name="Normal 27 2 2 3 2" xfId="18210"/>
    <cellStyle name="Normal 27 2 2 3 3" xfId="18211"/>
    <cellStyle name="Normal 27 2 2 3 4" xfId="18212"/>
    <cellStyle name="Normal 27 2 2 3 5" xfId="18213"/>
    <cellStyle name="Normal 27 2 2 3 6" xfId="18214"/>
    <cellStyle name="Normal 27 2 2 4" xfId="18215"/>
    <cellStyle name="Normal 27 2 2 5" xfId="18216"/>
    <cellStyle name="Normal 27 2 2 6" xfId="18217"/>
    <cellStyle name="Normal 27 2 2 7" xfId="18218"/>
    <cellStyle name="Normal 27 2 2 8" xfId="18219"/>
    <cellStyle name="Normal 27 2 2 9" xfId="18220"/>
    <cellStyle name="Normal 27 2 3" xfId="18221"/>
    <cellStyle name="Normal 27 2 4" xfId="18222"/>
    <cellStyle name="Normal 27 2 4 2" xfId="18223"/>
    <cellStyle name="Normal 27 2 4 3" xfId="18224"/>
    <cellStyle name="Normal 27 2 4 4" xfId="18225"/>
    <cellStyle name="Normal 27 2 4 5" xfId="18226"/>
    <cellStyle name="Normal 27 2 4 6" xfId="18227"/>
    <cellStyle name="Normal 27 2 5" xfId="18228"/>
    <cellStyle name="Normal 27 2 6" xfId="18229"/>
    <cellStyle name="Normal 27 2 7" xfId="18230"/>
    <cellStyle name="Normal 27 2 8" xfId="18231"/>
    <cellStyle name="Normal 27 2 9" xfId="18232"/>
    <cellStyle name="Normal 27 20" xfId="18233"/>
    <cellStyle name="Normal 27 3" xfId="18234"/>
    <cellStyle name="Normal 27 3 10" xfId="18235"/>
    <cellStyle name="Normal 27 3 11" xfId="18236"/>
    <cellStyle name="Normal 27 3 2" xfId="18237"/>
    <cellStyle name="Normal 27 3 2 10" xfId="18238"/>
    <cellStyle name="Normal 27 3 2 2" xfId="18239"/>
    <cellStyle name="Normal 27 3 2 3" xfId="18240"/>
    <cellStyle name="Normal 27 3 2 3 2" xfId="18241"/>
    <cellStyle name="Normal 27 3 2 3 3" xfId="18242"/>
    <cellStyle name="Normal 27 3 2 3 4" xfId="18243"/>
    <cellStyle name="Normal 27 3 2 3 5" xfId="18244"/>
    <cellStyle name="Normal 27 3 2 3 6" xfId="18245"/>
    <cellStyle name="Normal 27 3 2 4" xfId="18246"/>
    <cellStyle name="Normal 27 3 2 5" xfId="18247"/>
    <cellStyle name="Normal 27 3 2 6" xfId="18248"/>
    <cellStyle name="Normal 27 3 2 7" xfId="18249"/>
    <cellStyle name="Normal 27 3 2 8" xfId="18250"/>
    <cellStyle name="Normal 27 3 2 9" xfId="18251"/>
    <cellStyle name="Normal 27 3 3" xfId="18252"/>
    <cellStyle name="Normal 27 3 4" xfId="18253"/>
    <cellStyle name="Normal 27 3 4 2" xfId="18254"/>
    <cellStyle name="Normal 27 3 4 3" xfId="18255"/>
    <cellStyle name="Normal 27 3 4 4" xfId="18256"/>
    <cellStyle name="Normal 27 3 4 5" xfId="18257"/>
    <cellStyle name="Normal 27 3 4 6" xfId="18258"/>
    <cellStyle name="Normal 27 3 5" xfId="18259"/>
    <cellStyle name="Normal 27 3 6" xfId="18260"/>
    <cellStyle name="Normal 27 3 7" xfId="18261"/>
    <cellStyle name="Normal 27 3 8" xfId="18262"/>
    <cellStyle name="Normal 27 3 9" xfId="18263"/>
    <cellStyle name="Normal 27 4" xfId="18264"/>
    <cellStyle name="Normal 27 4 10" xfId="18265"/>
    <cellStyle name="Normal 27 4 11" xfId="18266"/>
    <cellStyle name="Normal 27 4 2" xfId="18267"/>
    <cellStyle name="Normal 27 4 2 10" xfId="18268"/>
    <cellStyle name="Normal 27 4 2 2" xfId="18269"/>
    <cellStyle name="Normal 27 4 2 3" xfId="18270"/>
    <cellStyle name="Normal 27 4 2 3 2" xfId="18271"/>
    <cellStyle name="Normal 27 4 2 3 3" xfId="18272"/>
    <cellStyle name="Normal 27 4 2 3 4" xfId="18273"/>
    <cellStyle name="Normal 27 4 2 3 5" xfId="18274"/>
    <cellStyle name="Normal 27 4 2 3 6" xfId="18275"/>
    <cellStyle name="Normal 27 4 2 4" xfId="18276"/>
    <cellStyle name="Normal 27 4 2 5" xfId="18277"/>
    <cellStyle name="Normal 27 4 2 6" xfId="18278"/>
    <cellStyle name="Normal 27 4 2 7" xfId="18279"/>
    <cellStyle name="Normal 27 4 2 8" xfId="18280"/>
    <cellStyle name="Normal 27 4 2 9" xfId="18281"/>
    <cellStyle name="Normal 27 4 3" xfId="18282"/>
    <cellStyle name="Normal 27 4 4" xfId="18283"/>
    <cellStyle name="Normal 27 4 4 2" xfId="18284"/>
    <cellStyle name="Normal 27 4 4 3" xfId="18285"/>
    <cellStyle name="Normal 27 4 4 4" xfId="18286"/>
    <cellStyle name="Normal 27 4 4 5" xfId="18287"/>
    <cellStyle name="Normal 27 4 4 6" xfId="18288"/>
    <cellStyle name="Normal 27 4 5" xfId="18289"/>
    <cellStyle name="Normal 27 4 6" xfId="18290"/>
    <cellStyle name="Normal 27 4 7" xfId="18291"/>
    <cellStyle name="Normal 27 4 8" xfId="18292"/>
    <cellStyle name="Normal 27 4 9" xfId="18293"/>
    <cellStyle name="Normal 27 5" xfId="18294"/>
    <cellStyle name="Normal 27 5 10" xfId="18295"/>
    <cellStyle name="Normal 27 5 11" xfId="18296"/>
    <cellStyle name="Normal 27 5 2" xfId="18297"/>
    <cellStyle name="Normal 27 5 2 10" xfId="18298"/>
    <cellStyle name="Normal 27 5 2 2" xfId="18299"/>
    <cellStyle name="Normal 27 5 2 3" xfId="18300"/>
    <cellStyle name="Normal 27 5 2 3 2" xfId="18301"/>
    <cellStyle name="Normal 27 5 2 3 3" xfId="18302"/>
    <cellStyle name="Normal 27 5 2 3 4" xfId="18303"/>
    <cellStyle name="Normal 27 5 2 3 5" xfId="18304"/>
    <cellStyle name="Normal 27 5 2 3 6" xfId="18305"/>
    <cellStyle name="Normal 27 5 2 4" xfId="18306"/>
    <cellStyle name="Normal 27 5 2 5" xfId="18307"/>
    <cellStyle name="Normal 27 5 2 6" xfId="18308"/>
    <cellStyle name="Normal 27 5 2 7" xfId="18309"/>
    <cellStyle name="Normal 27 5 2 8" xfId="18310"/>
    <cellStyle name="Normal 27 5 2 9" xfId="18311"/>
    <cellStyle name="Normal 27 5 3" xfId="18312"/>
    <cellStyle name="Normal 27 5 4" xfId="18313"/>
    <cellStyle name="Normal 27 5 4 2" xfId="18314"/>
    <cellStyle name="Normal 27 5 4 3" xfId="18315"/>
    <cellStyle name="Normal 27 5 4 4" xfId="18316"/>
    <cellStyle name="Normal 27 5 4 5" xfId="18317"/>
    <cellStyle name="Normal 27 5 4 6" xfId="18318"/>
    <cellStyle name="Normal 27 5 5" xfId="18319"/>
    <cellStyle name="Normal 27 5 6" xfId="18320"/>
    <cellStyle name="Normal 27 5 7" xfId="18321"/>
    <cellStyle name="Normal 27 5 8" xfId="18322"/>
    <cellStyle name="Normal 27 5 9" xfId="18323"/>
    <cellStyle name="Normal 27 6" xfId="18324"/>
    <cellStyle name="Normal 27 6 10" xfId="18325"/>
    <cellStyle name="Normal 27 6 11" xfId="18326"/>
    <cellStyle name="Normal 27 6 2" xfId="18327"/>
    <cellStyle name="Normal 27 6 2 10" xfId="18328"/>
    <cellStyle name="Normal 27 6 2 2" xfId="18329"/>
    <cellStyle name="Normal 27 6 2 3" xfId="18330"/>
    <cellStyle name="Normal 27 6 2 3 2" xfId="18331"/>
    <cellStyle name="Normal 27 6 2 3 3" xfId="18332"/>
    <cellStyle name="Normal 27 6 2 3 4" xfId="18333"/>
    <cellStyle name="Normal 27 6 2 3 5" xfId="18334"/>
    <cellStyle name="Normal 27 6 2 3 6" xfId="18335"/>
    <cellStyle name="Normal 27 6 2 4" xfId="18336"/>
    <cellStyle name="Normal 27 6 2 5" xfId="18337"/>
    <cellStyle name="Normal 27 6 2 6" xfId="18338"/>
    <cellStyle name="Normal 27 6 2 7" xfId="18339"/>
    <cellStyle name="Normal 27 6 2 8" xfId="18340"/>
    <cellStyle name="Normal 27 6 2 9" xfId="18341"/>
    <cellStyle name="Normal 27 6 3" xfId="18342"/>
    <cellStyle name="Normal 27 6 4" xfId="18343"/>
    <cellStyle name="Normal 27 6 4 2" xfId="18344"/>
    <cellStyle name="Normal 27 6 4 3" xfId="18345"/>
    <cellStyle name="Normal 27 6 4 4" xfId="18346"/>
    <cellStyle name="Normal 27 6 4 5" xfId="18347"/>
    <cellStyle name="Normal 27 6 4 6" xfId="18348"/>
    <cellStyle name="Normal 27 6 5" xfId="18349"/>
    <cellStyle name="Normal 27 6 6" xfId="18350"/>
    <cellStyle name="Normal 27 6 7" xfId="18351"/>
    <cellStyle name="Normal 27 6 8" xfId="18352"/>
    <cellStyle name="Normal 27 6 9" xfId="18353"/>
    <cellStyle name="Normal 27 7" xfId="18354"/>
    <cellStyle name="Normal 27 7 10" xfId="18355"/>
    <cellStyle name="Normal 27 7 11" xfId="18356"/>
    <cellStyle name="Normal 27 7 2" xfId="18357"/>
    <cellStyle name="Normal 27 7 2 10" xfId="18358"/>
    <cellStyle name="Normal 27 7 2 2" xfId="18359"/>
    <cellStyle name="Normal 27 7 2 3" xfId="18360"/>
    <cellStyle name="Normal 27 7 2 3 2" xfId="18361"/>
    <cellStyle name="Normal 27 7 2 3 3" xfId="18362"/>
    <cellStyle name="Normal 27 7 2 3 4" xfId="18363"/>
    <cellStyle name="Normal 27 7 2 3 5" xfId="18364"/>
    <cellStyle name="Normal 27 7 2 3 6" xfId="18365"/>
    <cellStyle name="Normal 27 7 2 4" xfId="18366"/>
    <cellStyle name="Normal 27 7 2 5" xfId="18367"/>
    <cellStyle name="Normal 27 7 2 6" xfId="18368"/>
    <cellStyle name="Normal 27 7 2 7" xfId="18369"/>
    <cellStyle name="Normal 27 7 2 8" xfId="18370"/>
    <cellStyle name="Normal 27 7 2 9" xfId="18371"/>
    <cellStyle name="Normal 27 7 3" xfId="18372"/>
    <cellStyle name="Normal 27 7 4" xfId="18373"/>
    <cellStyle name="Normal 27 7 4 2" xfId="18374"/>
    <cellStyle name="Normal 27 7 4 3" xfId="18375"/>
    <cellStyle name="Normal 27 7 4 4" xfId="18376"/>
    <cellStyle name="Normal 27 7 4 5" xfId="18377"/>
    <cellStyle name="Normal 27 7 4 6" xfId="18378"/>
    <cellStyle name="Normal 27 7 5" xfId="18379"/>
    <cellStyle name="Normal 27 7 6" xfId="18380"/>
    <cellStyle name="Normal 27 7 7" xfId="18381"/>
    <cellStyle name="Normal 27 7 8" xfId="18382"/>
    <cellStyle name="Normal 27 7 9" xfId="18383"/>
    <cellStyle name="Normal 27 8" xfId="18384"/>
    <cellStyle name="Normal 27 8 10" xfId="18385"/>
    <cellStyle name="Normal 27 8 11" xfId="18386"/>
    <cellStyle name="Normal 27 8 2" xfId="18387"/>
    <cellStyle name="Normal 27 8 2 10" xfId="18388"/>
    <cellStyle name="Normal 27 8 2 2" xfId="18389"/>
    <cellStyle name="Normal 27 8 2 3" xfId="18390"/>
    <cellStyle name="Normal 27 8 2 3 2" xfId="18391"/>
    <cellStyle name="Normal 27 8 2 3 3" xfId="18392"/>
    <cellStyle name="Normal 27 8 2 3 4" xfId="18393"/>
    <cellStyle name="Normal 27 8 2 3 5" xfId="18394"/>
    <cellStyle name="Normal 27 8 2 3 6" xfId="18395"/>
    <cellStyle name="Normal 27 8 2 4" xfId="18396"/>
    <cellStyle name="Normal 27 8 2 5" xfId="18397"/>
    <cellStyle name="Normal 27 8 2 6" xfId="18398"/>
    <cellStyle name="Normal 27 8 2 7" xfId="18399"/>
    <cellStyle name="Normal 27 8 2 8" xfId="18400"/>
    <cellStyle name="Normal 27 8 2 9" xfId="18401"/>
    <cellStyle name="Normal 27 8 3" xfId="18402"/>
    <cellStyle name="Normal 27 8 4" xfId="18403"/>
    <cellStyle name="Normal 27 8 4 2" xfId="18404"/>
    <cellStyle name="Normal 27 8 4 3" xfId="18405"/>
    <cellStyle name="Normal 27 8 4 4" xfId="18406"/>
    <cellStyle name="Normal 27 8 4 5" xfId="18407"/>
    <cellStyle name="Normal 27 8 4 6" xfId="18408"/>
    <cellStyle name="Normal 27 8 5" xfId="18409"/>
    <cellStyle name="Normal 27 8 6" xfId="18410"/>
    <cellStyle name="Normal 27 8 7" xfId="18411"/>
    <cellStyle name="Normal 27 8 8" xfId="18412"/>
    <cellStyle name="Normal 27 8 9" xfId="18413"/>
    <cellStyle name="Normal 27 9" xfId="18414"/>
    <cellStyle name="Normal 27 9 10" xfId="18415"/>
    <cellStyle name="Normal 27 9 11" xfId="18416"/>
    <cellStyle name="Normal 27 9 2" xfId="18417"/>
    <cellStyle name="Normal 27 9 2 10" xfId="18418"/>
    <cellStyle name="Normal 27 9 2 2" xfId="18419"/>
    <cellStyle name="Normal 27 9 2 3" xfId="18420"/>
    <cellStyle name="Normal 27 9 2 3 2" xfId="18421"/>
    <cellStyle name="Normal 27 9 2 3 3" xfId="18422"/>
    <cellStyle name="Normal 27 9 2 3 4" xfId="18423"/>
    <cellStyle name="Normal 27 9 2 3 5" xfId="18424"/>
    <cellStyle name="Normal 27 9 2 3 6" xfId="18425"/>
    <cellStyle name="Normal 27 9 2 4" xfId="18426"/>
    <cellStyle name="Normal 27 9 2 5" xfId="18427"/>
    <cellStyle name="Normal 27 9 2 6" xfId="18428"/>
    <cellStyle name="Normal 27 9 2 7" xfId="18429"/>
    <cellStyle name="Normal 27 9 2 8" xfId="18430"/>
    <cellStyle name="Normal 27 9 2 9" xfId="18431"/>
    <cellStyle name="Normal 27 9 3" xfId="18432"/>
    <cellStyle name="Normal 27 9 4" xfId="18433"/>
    <cellStyle name="Normal 27 9 4 2" xfId="18434"/>
    <cellStyle name="Normal 27 9 4 3" xfId="18435"/>
    <cellStyle name="Normal 27 9 4 4" xfId="18436"/>
    <cellStyle name="Normal 27 9 4 5" xfId="18437"/>
    <cellStyle name="Normal 27 9 4 6" xfId="18438"/>
    <cellStyle name="Normal 27 9 5" xfId="18439"/>
    <cellStyle name="Normal 27 9 6" xfId="18440"/>
    <cellStyle name="Normal 27 9 7" xfId="18441"/>
    <cellStyle name="Normal 27 9 8" xfId="18442"/>
    <cellStyle name="Normal 27 9 9" xfId="18443"/>
    <cellStyle name="Normal 28" xfId="18444"/>
    <cellStyle name="Normal 28 10" xfId="18445"/>
    <cellStyle name="Normal 28 11" xfId="18446"/>
    <cellStyle name="Normal 28 12" xfId="18447"/>
    <cellStyle name="Normal 28 13" xfId="18448"/>
    <cellStyle name="Normal 28 14" xfId="18449"/>
    <cellStyle name="Normal 28 15" xfId="18450"/>
    <cellStyle name="Normal 28 16" xfId="18451"/>
    <cellStyle name="Normal 28 2" xfId="18452"/>
    <cellStyle name="Normal 28 2 10" xfId="18453"/>
    <cellStyle name="Normal 28 2 11" xfId="18454"/>
    <cellStyle name="Normal 28 2 2" xfId="18455"/>
    <cellStyle name="Normal 28 2 2 10" xfId="18456"/>
    <cellStyle name="Normal 28 2 2 2" xfId="18457"/>
    <cellStyle name="Normal 28 2 2 3" xfId="18458"/>
    <cellStyle name="Normal 28 2 2 3 2" xfId="18459"/>
    <cellStyle name="Normal 28 2 2 3 3" xfId="18460"/>
    <cellStyle name="Normal 28 2 2 3 4" xfId="18461"/>
    <cellStyle name="Normal 28 2 2 3 5" xfId="18462"/>
    <cellStyle name="Normal 28 2 2 3 6" xfId="18463"/>
    <cellStyle name="Normal 28 2 2 4" xfId="18464"/>
    <cellStyle name="Normal 28 2 2 5" xfId="18465"/>
    <cellStyle name="Normal 28 2 2 6" xfId="18466"/>
    <cellStyle name="Normal 28 2 2 7" xfId="18467"/>
    <cellStyle name="Normal 28 2 2 8" xfId="18468"/>
    <cellStyle name="Normal 28 2 2 9" xfId="18469"/>
    <cellStyle name="Normal 28 2 3" xfId="18470"/>
    <cellStyle name="Normal 28 2 4" xfId="18471"/>
    <cellStyle name="Normal 28 2 4 2" xfId="18472"/>
    <cellStyle name="Normal 28 2 4 3" xfId="18473"/>
    <cellStyle name="Normal 28 2 4 4" xfId="18474"/>
    <cellStyle name="Normal 28 2 4 5" xfId="18475"/>
    <cellStyle name="Normal 28 2 4 6" xfId="18476"/>
    <cellStyle name="Normal 28 2 5" xfId="18477"/>
    <cellStyle name="Normal 28 2 6" xfId="18478"/>
    <cellStyle name="Normal 28 2 7" xfId="18479"/>
    <cellStyle name="Normal 28 2 8" xfId="18480"/>
    <cellStyle name="Normal 28 2 9" xfId="18481"/>
    <cellStyle name="Normal 28 3" xfId="18482"/>
    <cellStyle name="Normal 28 3 10" xfId="18483"/>
    <cellStyle name="Normal 28 3 11" xfId="18484"/>
    <cellStyle name="Normal 28 3 2" xfId="18485"/>
    <cellStyle name="Normal 28 3 2 10" xfId="18486"/>
    <cellStyle name="Normal 28 3 2 2" xfId="18487"/>
    <cellStyle name="Normal 28 3 2 3" xfId="18488"/>
    <cellStyle name="Normal 28 3 2 3 2" xfId="18489"/>
    <cellStyle name="Normal 28 3 2 3 3" xfId="18490"/>
    <cellStyle name="Normal 28 3 2 3 4" xfId="18491"/>
    <cellStyle name="Normal 28 3 2 3 5" xfId="18492"/>
    <cellStyle name="Normal 28 3 2 3 6" xfId="18493"/>
    <cellStyle name="Normal 28 3 2 4" xfId="18494"/>
    <cellStyle name="Normal 28 3 2 5" xfId="18495"/>
    <cellStyle name="Normal 28 3 2 6" xfId="18496"/>
    <cellStyle name="Normal 28 3 2 7" xfId="18497"/>
    <cellStyle name="Normal 28 3 2 8" xfId="18498"/>
    <cellStyle name="Normal 28 3 2 9" xfId="18499"/>
    <cellStyle name="Normal 28 3 3" xfId="18500"/>
    <cellStyle name="Normal 28 3 4" xfId="18501"/>
    <cellStyle name="Normal 28 3 4 2" xfId="18502"/>
    <cellStyle name="Normal 28 3 4 3" xfId="18503"/>
    <cellStyle name="Normal 28 3 4 4" xfId="18504"/>
    <cellStyle name="Normal 28 3 4 5" xfId="18505"/>
    <cellStyle name="Normal 28 3 4 6" xfId="18506"/>
    <cellStyle name="Normal 28 3 5" xfId="18507"/>
    <cellStyle name="Normal 28 3 6" xfId="18508"/>
    <cellStyle name="Normal 28 3 7" xfId="18509"/>
    <cellStyle name="Normal 28 3 8" xfId="18510"/>
    <cellStyle name="Normal 28 3 9" xfId="18511"/>
    <cellStyle name="Normal 28 4" xfId="18512"/>
    <cellStyle name="Normal 28 4 10" xfId="18513"/>
    <cellStyle name="Normal 28 4 11" xfId="18514"/>
    <cellStyle name="Normal 28 4 2" xfId="18515"/>
    <cellStyle name="Normal 28 4 2 10" xfId="18516"/>
    <cellStyle name="Normal 28 4 2 2" xfId="18517"/>
    <cellStyle name="Normal 28 4 2 3" xfId="18518"/>
    <cellStyle name="Normal 28 4 2 3 2" xfId="18519"/>
    <cellStyle name="Normal 28 4 2 3 3" xfId="18520"/>
    <cellStyle name="Normal 28 4 2 3 4" xfId="18521"/>
    <cellStyle name="Normal 28 4 2 3 5" xfId="18522"/>
    <cellStyle name="Normal 28 4 2 3 6" xfId="18523"/>
    <cellStyle name="Normal 28 4 2 4" xfId="18524"/>
    <cellStyle name="Normal 28 4 2 5" xfId="18525"/>
    <cellStyle name="Normal 28 4 2 6" xfId="18526"/>
    <cellStyle name="Normal 28 4 2 7" xfId="18527"/>
    <cellStyle name="Normal 28 4 2 8" xfId="18528"/>
    <cellStyle name="Normal 28 4 2 9" xfId="18529"/>
    <cellStyle name="Normal 28 4 3" xfId="18530"/>
    <cellStyle name="Normal 28 4 4" xfId="18531"/>
    <cellStyle name="Normal 28 4 4 2" xfId="18532"/>
    <cellStyle name="Normal 28 4 4 3" xfId="18533"/>
    <cellStyle name="Normal 28 4 4 4" xfId="18534"/>
    <cellStyle name="Normal 28 4 4 5" xfId="18535"/>
    <cellStyle name="Normal 28 4 4 6" xfId="18536"/>
    <cellStyle name="Normal 28 4 5" xfId="18537"/>
    <cellStyle name="Normal 28 4 6" xfId="18538"/>
    <cellStyle name="Normal 28 4 7" xfId="18539"/>
    <cellStyle name="Normal 28 4 8" xfId="18540"/>
    <cellStyle name="Normal 28 4 9" xfId="18541"/>
    <cellStyle name="Normal 28 5" xfId="18542"/>
    <cellStyle name="Normal 28 5 10" xfId="18543"/>
    <cellStyle name="Normal 28 5 11" xfId="18544"/>
    <cellStyle name="Normal 28 5 2" xfId="18545"/>
    <cellStyle name="Normal 28 5 2 10" xfId="18546"/>
    <cellStyle name="Normal 28 5 2 2" xfId="18547"/>
    <cellStyle name="Normal 28 5 2 3" xfId="18548"/>
    <cellStyle name="Normal 28 5 2 3 2" xfId="18549"/>
    <cellStyle name="Normal 28 5 2 3 3" xfId="18550"/>
    <cellStyle name="Normal 28 5 2 3 4" xfId="18551"/>
    <cellStyle name="Normal 28 5 2 3 5" xfId="18552"/>
    <cellStyle name="Normal 28 5 2 3 6" xfId="18553"/>
    <cellStyle name="Normal 28 5 2 4" xfId="18554"/>
    <cellStyle name="Normal 28 5 2 5" xfId="18555"/>
    <cellStyle name="Normal 28 5 2 6" xfId="18556"/>
    <cellStyle name="Normal 28 5 2 7" xfId="18557"/>
    <cellStyle name="Normal 28 5 2 8" xfId="18558"/>
    <cellStyle name="Normal 28 5 2 9" xfId="18559"/>
    <cellStyle name="Normal 28 5 3" xfId="18560"/>
    <cellStyle name="Normal 28 5 4" xfId="18561"/>
    <cellStyle name="Normal 28 5 4 2" xfId="18562"/>
    <cellStyle name="Normal 28 5 4 3" xfId="18563"/>
    <cellStyle name="Normal 28 5 4 4" xfId="18564"/>
    <cellStyle name="Normal 28 5 4 5" xfId="18565"/>
    <cellStyle name="Normal 28 5 4 6" xfId="18566"/>
    <cellStyle name="Normal 28 5 5" xfId="18567"/>
    <cellStyle name="Normal 28 5 6" xfId="18568"/>
    <cellStyle name="Normal 28 5 7" xfId="18569"/>
    <cellStyle name="Normal 28 5 8" xfId="18570"/>
    <cellStyle name="Normal 28 5 9" xfId="18571"/>
    <cellStyle name="Normal 28 6" xfId="18572"/>
    <cellStyle name="Normal 28 6 10" xfId="18573"/>
    <cellStyle name="Normal 28 6 11" xfId="18574"/>
    <cellStyle name="Normal 28 6 2" xfId="18575"/>
    <cellStyle name="Normal 28 6 2 10" xfId="18576"/>
    <cellStyle name="Normal 28 6 2 2" xfId="18577"/>
    <cellStyle name="Normal 28 6 2 3" xfId="18578"/>
    <cellStyle name="Normal 28 6 2 3 2" xfId="18579"/>
    <cellStyle name="Normal 28 6 2 3 3" xfId="18580"/>
    <cellStyle name="Normal 28 6 2 3 4" xfId="18581"/>
    <cellStyle name="Normal 28 6 2 3 5" xfId="18582"/>
    <cellStyle name="Normal 28 6 2 3 6" xfId="18583"/>
    <cellStyle name="Normal 28 6 2 4" xfId="18584"/>
    <cellStyle name="Normal 28 6 2 5" xfId="18585"/>
    <cellStyle name="Normal 28 6 2 6" xfId="18586"/>
    <cellStyle name="Normal 28 6 2 7" xfId="18587"/>
    <cellStyle name="Normal 28 6 2 8" xfId="18588"/>
    <cellStyle name="Normal 28 6 2 9" xfId="18589"/>
    <cellStyle name="Normal 28 6 3" xfId="18590"/>
    <cellStyle name="Normal 28 6 4" xfId="18591"/>
    <cellStyle name="Normal 28 6 4 2" xfId="18592"/>
    <cellStyle name="Normal 28 6 4 3" xfId="18593"/>
    <cellStyle name="Normal 28 6 4 4" xfId="18594"/>
    <cellStyle name="Normal 28 6 4 5" xfId="18595"/>
    <cellStyle name="Normal 28 6 4 6" xfId="18596"/>
    <cellStyle name="Normal 28 6 5" xfId="18597"/>
    <cellStyle name="Normal 28 6 6" xfId="18598"/>
    <cellStyle name="Normal 28 6 7" xfId="18599"/>
    <cellStyle name="Normal 28 6 8" xfId="18600"/>
    <cellStyle name="Normal 28 6 9" xfId="18601"/>
    <cellStyle name="Normal 28 7" xfId="18602"/>
    <cellStyle name="Normal 28 7 10" xfId="18603"/>
    <cellStyle name="Normal 28 7 2" xfId="18604"/>
    <cellStyle name="Normal 28 7 3" xfId="18605"/>
    <cellStyle name="Normal 28 7 3 2" xfId="18606"/>
    <cellStyle name="Normal 28 7 3 3" xfId="18607"/>
    <cellStyle name="Normal 28 7 3 4" xfId="18608"/>
    <cellStyle name="Normal 28 7 3 5" xfId="18609"/>
    <cellStyle name="Normal 28 7 3 6" xfId="18610"/>
    <cellStyle name="Normal 28 7 4" xfId="18611"/>
    <cellStyle name="Normal 28 7 5" xfId="18612"/>
    <cellStyle name="Normal 28 7 6" xfId="18613"/>
    <cellStyle name="Normal 28 7 7" xfId="18614"/>
    <cellStyle name="Normal 28 7 8" xfId="18615"/>
    <cellStyle name="Normal 28 7 9" xfId="18616"/>
    <cellStyle name="Normal 28 8" xfId="18617"/>
    <cellStyle name="Normal 28 9" xfId="18618"/>
    <cellStyle name="Normal 28 9 2" xfId="18619"/>
    <cellStyle name="Normal 28 9 3" xfId="18620"/>
    <cellStyle name="Normal 28 9 4" xfId="18621"/>
    <cellStyle name="Normal 28 9 5" xfId="18622"/>
    <cellStyle name="Normal 28 9 6" xfId="18623"/>
    <cellStyle name="Normal 29" xfId="18624"/>
    <cellStyle name="Normal 29 2" xfId="18625"/>
    <cellStyle name="Normal 29 2 2" xfId="18626"/>
    <cellStyle name="Normal 29 2 3" xfId="18627"/>
    <cellStyle name="Normal 29 2 3 2" xfId="18628"/>
    <cellStyle name="Normal 29 2 3 3" xfId="18629"/>
    <cellStyle name="Normal 29 2 3 4" xfId="18630"/>
    <cellStyle name="Normal 29 2 3 5" xfId="18631"/>
    <cellStyle name="Normal 29 2 3 6" xfId="18632"/>
    <cellStyle name="Normal 29 2 4" xfId="18633"/>
    <cellStyle name="Normal 29 2 4 2" xfId="18634"/>
    <cellStyle name="Normal 29 2 4 3" xfId="18635"/>
    <cellStyle name="Normal 29 2 4 4" xfId="18636"/>
    <cellStyle name="Normal 29 2 4 5" xfId="18637"/>
    <cellStyle name="Normal 29 2 4 6" xfId="18638"/>
    <cellStyle name="Normal 29 3" xfId="18639"/>
    <cellStyle name="Normal 29 3 2" xfId="18640"/>
    <cellStyle name="Normal 29 3 3" xfId="18641"/>
    <cellStyle name="Normal 29 3 3 2" xfId="18642"/>
    <cellStyle name="Normal 29 3 3 3" xfId="18643"/>
    <cellStyle name="Normal 29 3 3 4" xfId="18644"/>
    <cellStyle name="Normal 29 3 3 5" xfId="18645"/>
    <cellStyle name="Normal 29 3 3 6" xfId="18646"/>
    <cellStyle name="Normal 29 3 4" xfId="18647"/>
    <cellStyle name="Normal 29 3 4 2" xfId="18648"/>
    <cellStyle name="Normal 29 3 4 3" xfId="18649"/>
    <cellStyle name="Normal 29 3 4 4" xfId="18650"/>
    <cellStyle name="Normal 29 3 4 5" xfId="18651"/>
    <cellStyle name="Normal 29 3 4 6" xfId="18652"/>
    <cellStyle name="Normal 29 4" xfId="18653"/>
    <cellStyle name="Normal 29 4 2" xfId="18654"/>
    <cellStyle name="Normal 29 4 3" xfId="18655"/>
    <cellStyle name="Normal 29 4 3 2" xfId="18656"/>
    <cellStyle name="Normal 29 4 3 3" xfId="18657"/>
    <cellStyle name="Normal 29 4 3 4" xfId="18658"/>
    <cellStyle name="Normal 29 4 3 5" xfId="18659"/>
    <cellStyle name="Normal 29 4 3 6" xfId="18660"/>
    <cellStyle name="Normal 29 4 4" xfId="18661"/>
    <cellStyle name="Normal 29 4 4 2" xfId="18662"/>
    <cellStyle name="Normal 29 4 4 3" xfId="18663"/>
    <cellStyle name="Normal 29 4 4 4" xfId="18664"/>
    <cellStyle name="Normal 29 4 4 5" xfId="18665"/>
    <cellStyle name="Normal 29 4 4 6" xfId="18666"/>
    <cellStyle name="Normal 29 5" xfId="18667"/>
    <cellStyle name="Normal 29 5 2" xfId="18668"/>
    <cellStyle name="Normal 29 5 3" xfId="18669"/>
    <cellStyle name="Normal 29 5 3 2" xfId="18670"/>
    <cellStyle name="Normal 29 5 3 3" xfId="18671"/>
    <cellStyle name="Normal 29 5 3 4" xfId="18672"/>
    <cellStyle name="Normal 29 5 3 5" xfId="18673"/>
    <cellStyle name="Normal 29 5 3 6" xfId="18674"/>
    <cellStyle name="Normal 29 5 4" xfId="18675"/>
    <cellStyle name="Normal 29 5 4 2" xfId="18676"/>
    <cellStyle name="Normal 29 5 4 3" xfId="18677"/>
    <cellStyle name="Normal 29 5 4 4" xfId="18678"/>
    <cellStyle name="Normal 29 5 4 5" xfId="18679"/>
    <cellStyle name="Normal 29 5 4 6" xfId="18680"/>
    <cellStyle name="Normal 29 6" xfId="18681"/>
    <cellStyle name="Normal 29 6 2" xfId="18682"/>
    <cellStyle name="Normal 29 6 3" xfId="18683"/>
    <cellStyle name="Normal 29 6 3 2" xfId="18684"/>
    <cellStyle name="Normal 29 6 3 3" xfId="18685"/>
    <cellStyle name="Normal 29 6 3 4" xfId="18686"/>
    <cellStyle name="Normal 29 6 3 5" xfId="18687"/>
    <cellStyle name="Normal 29 6 3 6" xfId="18688"/>
    <cellStyle name="Normal 29 6 4" xfId="18689"/>
    <cellStyle name="Normal 29 6 4 2" xfId="18690"/>
    <cellStyle name="Normal 29 6 4 3" xfId="18691"/>
    <cellStyle name="Normal 29 6 4 4" xfId="18692"/>
    <cellStyle name="Normal 29 6 4 5" xfId="18693"/>
    <cellStyle name="Normal 29 6 4 6" xfId="18694"/>
    <cellStyle name="Normal 29 7" xfId="18695"/>
    <cellStyle name="Normal 29 8" xfId="18696"/>
    <cellStyle name="Normal 29 8 2" xfId="18697"/>
    <cellStyle name="Normal 29 8 3" xfId="18698"/>
    <cellStyle name="Normal 29 8 4" xfId="18699"/>
    <cellStyle name="Normal 29 8 5" xfId="18700"/>
    <cellStyle name="Normal 29 8 6" xfId="18701"/>
    <cellStyle name="Normal 29 9" xfId="18702"/>
    <cellStyle name="Normal 29 9 2" xfId="18703"/>
    <cellStyle name="Normal 29 9 3" xfId="18704"/>
    <cellStyle name="Normal 29 9 4" xfId="18705"/>
    <cellStyle name="Normal 29 9 5" xfId="18706"/>
    <cellStyle name="Normal 29 9 6" xfId="18707"/>
    <cellStyle name="Normal 3" xfId="7"/>
    <cellStyle name="Normal 3 10" xfId="18708"/>
    <cellStyle name="Normal 3 10 2" xfId="18709"/>
    <cellStyle name="Normal 3 10 2 2" xfId="18710"/>
    <cellStyle name="Normal 3 10 2 3" xfId="18711"/>
    <cellStyle name="Normal 3 10 2 4" xfId="18712"/>
    <cellStyle name="Normal 3 10 2 5" xfId="18713"/>
    <cellStyle name="Normal 3 10 2 6" xfId="18714"/>
    <cellStyle name="Normal 3 10 3" xfId="18715"/>
    <cellStyle name="Normal 3 10 4" xfId="18716"/>
    <cellStyle name="Normal 3 100" xfId="18717"/>
    <cellStyle name="Normal 3 100 2" xfId="18718"/>
    <cellStyle name="Normal 3 100 3" xfId="18719"/>
    <cellStyle name="Normal 3 100 4" xfId="18720"/>
    <cellStyle name="Normal 3 100 5" xfId="18721"/>
    <cellStyle name="Normal 3 100 6" xfId="18722"/>
    <cellStyle name="Normal 3 100 7" xfId="18723"/>
    <cellStyle name="Normal 3 100 8" xfId="18724"/>
    <cellStyle name="Normal 3 101" xfId="18725"/>
    <cellStyle name="Normal 3 101 2" xfId="18726"/>
    <cellStyle name="Normal 3 101 3" xfId="18727"/>
    <cellStyle name="Normal 3 101 4" xfId="18728"/>
    <cellStyle name="Normal 3 101 5" xfId="18729"/>
    <cellStyle name="Normal 3 101 6" xfId="18730"/>
    <cellStyle name="Normal 3 101 7" xfId="18731"/>
    <cellStyle name="Normal 3 101 8" xfId="18732"/>
    <cellStyle name="Normal 3 102" xfId="18733"/>
    <cellStyle name="Normal 3 102 2" xfId="18734"/>
    <cellStyle name="Normal 3 102 3" xfId="18735"/>
    <cellStyle name="Normal 3 102 4" xfId="18736"/>
    <cellStyle name="Normal 3 102 5" xfId="18737"/>
    <cellStyle name="Normal 3 102 6" xfId="18738"/>
    <cellStyle name="Normal 3 102 7" xfId="18739"/>
    <cellStyle name="Normal 3 102 8" xfId="18740"/>
    <cellStyle name="Normal 3 103" xfId="18741"/>
    <cellStyle name="Normal 3 103 2" xfId="18742"/>
    <cellStyle name="Normal 3 103 3" xfId="18743"/>
    <cellStyle name="Normal 3 103 4" xfId="18744"/>
    <cellStyle name="Normal 3 103 5" xfId="18745"/>
    <cellStyle name="Normal 3 103 6" xfId="18746"/>
    <cellStyle name="Normal 3 103 7" xfId="18747"/>
    <cellStyle name="Normal 3 103 8" xfId="18748"/>
    <cellStyle name="Normal 3 104" xfId="18749"/>
    <cellStyle name="Normal 3 104 2" xfId="18750"/>
    <cellStyle name="Normal 3 104 3" xfId="18751"/>
    <cellStyle name="Normal 3 104 4" xfId="18752"/>
    <cellStyle name="Normal 3 104 5" xfId="18753"/>
    <cellStyle name="Normal 3 104 6" xfId="18754"/>
    <cellStyle name="Normal 3 104 7" xfId="18755"/>
    <cellStyle name="Normal 3 104 8" xfId="18756"/>
    <cellStyle name="Normal 3 105" xfId="18757"/>
    <cellStyle name="Normal 3 105 2" xfId="18758"/>
    <cellStyle name="Normal 3 105 3" xfId="18759"/>
    <cellStyle name="Normal 3 105 4" xfId="18760"/>
    <cellStyle name="Normal 3 105 5" xfId="18761"/>
    <cellStyle name="Normal 3 105 6" xfId="18762"/>
    <cellStyle name="Normal 3 105 7" xfId="18763"/>
    <cellStyle name="Normal 3 105 8" xfId="18764"/>
    <cellStyle name="Normal 3 106" xfId="18765"/>
    <cellStyle name="Normal 3 106 2" xfId="18766"/>
    <cellStyle name="Normal 3 106 3" xfId="18767"/>
    <cellStyle name="Normal 3 106 4" xfId="18768"/>
    <cellStyle name="Normal 3 106 5" xfId="18769"/>
    <cellStyle name="Normal 3 106 6" xfId="18770"/>
    <cellStyle name="Normal 3 106 7" xfId="18771"/>
    <cellStyle name="Normal 3 106 8" xfId="18772"/>
    <cellStyle name="Normal 3 107" xfId="18773"/>
    <cellStyle name="Normal 3 107 2" xfId="18774"/>
    <cellStyle name="Normal 3 107 3" xfId="18775"/>
    <cellStyle name="Normal 3 107 4" xfId="18776"/>
    <cellStyle name="Normal 3 107 5" xfId="18777"/>
    <cellStyle name="Normal 3 107 6" xfId="18778"/>
    <cellStyle name="Normal 3 107 7" xfId="18779"/>
    <cellStyle name="Normal 3 107 8" xfId="18780"/>
    <cellStyle name="Normal 3 108" xfId="18781"/>
    <cellStyle name="Normal 3 108 2" xfId="18782"/>
    <cellStyle name="Normal 3 108 3" xfId="18783"/>
    <cellStyle name="Normal 3 108 4" xfId="18784"/>
    <cellStyle name="Normal 3 108 5" xfId="18785"/>
    <cellStyle name="Normal 3 108 6" xfId="18786"/>
    <cellStyle name="Normal 3 108 7" xfId="18787"/>
    <cellStyle name="Normal 3 108 8" xfId="18788"/>
    <cellStyle name="Normal 3 109" xfId="18789"/>
    <cellStyle name="Normal 3 109 2" xfId="18790"/>
    <cellStyle name="Normal 3 109 3" xfId="18791"/>
    <cellStyle name="Normal 3 109 4" xfId="18792"/>
    <cellStyle name="Normal 3 109 5" xfId="18793"/>
    <cellStyle name="Normal 3 109 6" xfId="18794"/>
    <cellStyle name="Normal 3 109 7" xfId="18795"/>
    <cellStyle name="Normal 3 109 8" xfId="18796"/>
    <cellStyle name="Normal 3 11" xfId="18797"/>
    <cellStyle name="Normal 3 11 2" xfId="18798"/>
    <cellStyle name="Normal 3 11 2 2" xfId="18799"/>
    <cellStyle name="Normal 3 11 2 3" xfId="18800"/>
    <cellStyle name="Normal 3 11 2 4" xfId="18801"/>
    <cellStyle name="Normal 3 11 2 5" xfId="18802"/>
    <cellStyle name="Normal 3 11 2 6" xfId="18803"/>
    <cellStyle name="Normal 3 11 3" xfId="18804"/>
    <cellStyle name="Normal 3 11 4" xfId="18805"/>
    <cellStyle name="Normal 3 110" xfId="18806"/>
    <cellStyle name="Normal 3 110 2" xfId="18807"/>
    <cellStyle name="Normal 3 110 3" xfId="18808"/>
    <cellStyle name="Normal 3 110 4" xfId="18809"/>
    <cellStyle name="Normal 3 110 5" xfId="18810"/>
    <cellStyle name="Normal 3 110 6" xfId="18811"/>
    <cellStyle name="Normal 3 110 7" xfId="18812"/>
    <cellStyle name="Normal 3 110 8" xfId="18813"/>
    <cellStyle name="Normal 3 111" xfId="18814"/>
    <cellStyle name="Normal 3 111 2" xfId="18815"/>
    <cellStyle name="Normal 3 111 3" xfId="18816"/>
    <cellStyle name="Normal 3 111 4" xfId="18817"/>
    <cellStyle name="Normal 3 111 5" xfId="18818"/>
    <cellStyle name="Normal 3 111 6" xfId="18819"/>
    <cellStyle name="Normal 3 111 7" xfId="18820"/>
    <cellStyle name="Normal 3 111 8" xfId="18821"/>
    <cellStyle name="Normal 3 112" xfId="18822"/>
    <cellStyle name="Normal 3 112 2" xfId="18823"/>
    <cellStyle name="Normal 3 112 3" xfId="18824"/>
    <cellStyle name="Normal 3 112 4" xfId="18825"/>
    <cellStyle name="Normal 3 112 5" xfId="18826"/>
    <cellStyle name="Normal 3 112 6" xfId="18827"/>
    <cellStyle name="Normal 3 112 7" xfId="18828"/>
    <cellStyle name="Normal 3 112 8" xfId="18829"/>
    <cellStyle name="Normal 3 113" xfId="18830"/>
    <cellStyle name="Normal 3 113 2" xfId="18831"/>
    <cellStyle name="Normal 3 113 3" xfId="18832"/>
    <cellStyle name="Normal 3 113 4" xfId="18833"/>
    <cellStyle name="Normal 3 113 5" xfId="18834"/>
    <cellStyle name="Normal 3 113 6" xfId="18835"/>
    <cellStyle name="Normal 3 113 7" xfId="18836"/>
    <cellStyle name="Normal 3 113 8" xfId="18837"/>
    <cellStyle name="Normal 3 114" xfId="18838"/>
    <cellStyle name="Normal 3 114 2" xfId="18839"/>
    <cellStyle name="Normal 3 114 3" xfId="18840"/>
    <cellStyle name="Normal 3 114 4" xfId="18841"/>
    <cellStyle name="Normal 3 114 5" xfId="18842"/>
    <cellStyle name="Normal 3 114 6" xfId="18843"/>
    <cellStyle name="Normal 3 114 7" xfId="18844"/>
    <cellStyle name="Normal 3 114 8" xfId="18845"/>
    <cellStyle name="Normal 3 115" xfId="18846"/>
    <cellStyle name="Normal 3 115 2" xfId="18847"/>
    <cellStyle name="Normal 3 115 3" xfId="18848"/>
    <cellStyle name="Normal 3 115 4" xfId="18849"/>
    <cellStyle name="Normal 3 115 5" xfId="18850"/>
    <cellStyle name="Normal 3 115 6" xfId="18851"/>
    <cellStyle name="Normal 3 115 7" xfId="18852"/>
    <cellStyle name="Normal 3 115 8" xfId="18853"/>
    <cellStyle name="Normal 3 116" xfId="18854"/>
    <cellStyle name="Normal 3 116 2" xfId="18855"/>
    <cellStyle name="Normal 3 116 3" xfId="18856"/>
    <cellStyle name="Normal 3 116 4" xfId="18857"/>
    <cellStyle name="Normal 3 116 5" xfId="18858"/>
    <cellStyle name="Normal 3 116 6" xfId="18859"/>
    <cellStyle name="Normal 3 116 7" xfId="18860"/>
    <cellStyle name="Normal 3 116 8" xfId="18861"/>
    <cellStyle name="Normal 3 117" xfId="18862"/>
    <cellStyle name="Normal 3 117 2" xfId="18863"/>
    <cellStyle name="Normal 3 117 3" xfId="18864"/>
    <cellStyle name="Normal 3 117 4" xfId="18865"/>
    <cellStyle name="Normal 3 117 5" xfId="18866"/>
    <cellStyle name="Normal 3 117 6" xfId="18867"/>
    <cellStyle name="Normal 3 117 7" xfId="18868"/>
    <cellStyle name="Normal 3 117 8" xfId="18869"/>
    <cellStyle name="Normal 3 118" xfId="18870"/>
    <cellStyle name="Normal 3 118 2" xfId="18871"/>
    <cellStyle name="Normal 3 118 3" xfId="18872"/>
    <cellStyle name="Normal 3 118 4" xfId="18873"/>
    <cellStyle name="Normal 3 118 5" xfId="18874"/>
    <cellStyle name="Normal 3 118 6" xfId="18875"/>
    <cellStyle name="Normal 3 118 7" xfId="18876"/>
    <cellStyle name="Normal 3 118 8" xfId="18877"/>
    <cellStyle name="Normal 3 119" xfId="18878"/>
    <cellStyle name="Normal 3 119 2" xfId="18879"/>
    <cellStyle name="Normal 3 119 3" xfId="18880"/>
    <cellStyle name="Normal 3 119 4" xfId="18881"/>
    <cellStyle name="Normal 3 119 5" xfId="18882"/>
    <cellStyle name="Normal 3 119 6" xfId="18883"/>
    <cellStyle name="Normal 3 119 7" xfId="18884"/>
    <cellStyle name="Normal 3 119 8" xfId="18885"/>
    <cellStyle name="Normal 3 12" xfId="18886"/>
    <cellStyle name="Normal 3 12 2" xfId="18887"/>
    <cellStyle name="Normal 3 12 2 2" xfId="18888"/>
    <cellStyle name="Normal 3 12 2 3" xfId="18889"/>
    <cellStyle name="Normal 3 12 2 4" xfId="18890"/>
    <cellStyle name="Normal 3 12 2 5" xfId="18891"/>
    <cellStyle name="Normal 3 12 2 6" xfId="18892"/>
    <cellStyle name="Normal 3 12 3" xfId="18893"/>
    <cellStyle name="Normal 3 12 4" xfId="18894"/>
    <cellStyle name="Normal 3 120" xfId="18895"/>
    <cellStyle name="Normal 3 120 2" xfId="18896"/>
    <cellStyle name="Normal 3 120 3" xfId="18897"/>
    <cellStyle name="Normal 3 120 4" xfId="18898"/>
    <cellStyle name="Normal 3 120 5" xfId="18899"/>
    <cellStyle name="Normal 3 120 6" xfId="18900"/>
    <cellStyle name="Normal 3 120 7" xfId="18901"/>
    <cellStyle name="Normal 3 120 8" xfId="18902"/>
    <cellStyle name="Normal 3 121" xfId="18903"/>
    <cellStyle name="Normal 3 121 2" xfId="18904"/>
    <cellStyle name="Normal 3 121 3" xfId="18905"/>
    <cellStyle name="Normal 3 121 4" xfId="18906"/>
    <cellStyle name="Normal 3 121 5" xfId="18907"/>
    <cellStyle name="Normal 3 121 6" xfId="18908"/>
    <cellStyle name="Normal 3 121 7" xfId="18909"/>
    <cellStyle name="Normal 3 121 8" xfId="18910"/>
    <cellStyle name="Normal 3 122" xfId="18911"/>
    <cellStyle name="Normal 3 122 2" xfId="18912"/>
    <cellStyle name="Normal 3 122 3" xfId="18913"/>
    <cellStyle name="Normal 3 122 4" xfId="18914"/>
    <cellStyle name="Normal 3 122 5" xfId="18915"/>
    <cellStyle name="Normal 3 122 6" xfId="18916"/>
    <cellStyle name="Normal 3 122 7" xfId="18917"/>
    <cellStyle name="Normal 3 122 8" xfId="18918"/>
    <cellStyle name="Normal 3 123" xfId="18919"/>
    <cellStyle name="Normal 3 123 2" xfId="18920"/>
    <cellStyle name="Normal 3 123 3" xfId="18921"/>
    <cellStyle name="Normal 3 123 4" xfId="18922"/>
    <cellStyle name="Normal 3 123 5" xfId="18923"/>
    <cellStyle name="Normal 3 123 6" xfId="18924"/>
    <cellStyle name="Normal 3 123 7" xfId="18925"/>
    <cellStyle name="Normal 3 123 8" xfId="18926"/>
    <cellStyle name="Normal 3 124" xfId="18927"/>
    <cellStyle name="Normal 3 124 2" xfId="18928"/>
    <cellStyle name="Normal 3 124 3" xfId="18929"/>
    <cellStyle name="Normal 3 124 4" xfId="18930"/>
    <cellStyle name="Normal 3 124 5" xfId="18931"/>
    <cellStyle name="Normal 3 124 6" xfId="18932"/>
    <cellStyle name="Normal 3 124 7" xfId="18933"/>
    <cellStyle name="Normal 3 124 8" xfId="18934"/>
    <cellStyle name="Normal 3 125" xfId="18935"/>
    <cellStyle name="Normal 3 125 2" xfId="18936"/>
    <cellStyle name="Normal 3 125 3" xfId="18937"/>
    <cellStyle name="Normal 3 125 4" xfId="18938"/>
    <cellStyle name="Normal 3 125 5" xfId="18939"/>
    <cellStyle name="Normal 3 125 6" xfId="18940"/>
    <cellStyle name="Normal 3 125 7" xfId="18941"/>
    <cellStyle name="Normal 3 125 8" xfId="18942"/>
    <cellStyle name="Normal 3 126" xfId="18943"/>
    <cellStyle name="Normal 3 126 2" xfId="18944"/>
    <cellStyle name="Normal 3 126 3" xfId="18945"/>
    <cellStyle name="Normal 3 126 4" xfId="18946"/>
    <cellStyle name="Normal 3 126 5" xfId="18947"/>
    <cellStyle name="Normal 3 126 6" xfId="18948"/>
    <cellStyle name="Normal 3 126 7" xfId="18949"/>
    <cellStyle name="Normal 3 126 8" xfId="18950"/>
    <cellStyle name="Normal 3 127" xfId="18951"/>
    <cellStyle name="Normal 3 127 2" xfId="18952"/>
    <cellStyle name="Normal 3 127 3" xfId="18953"/>
    <cellStyle name="Normal 3 127 4" xfId="18954"/>
    <cellStyle name="Normal 3 127 5" xfId="18955"/>
    <cellStyle name="Normal 3 127 6" xfId="18956"/>
    <cellStyle name="Normal 3 127 7" xfId="18957"/>
    <cellStyle name="Normal 3 127 8" xfId="18958"/>
    <cellStyle name="Normal 3 128" xfId="18959"/>
    <cellStyle name="Normal 3 128 2" xfId="18960"/>
    <cellStyle name="Normal 3 128 3" xfId="18961"/>
    <cellStyle name="Normal 3 128 4" xfId="18962"/>
    <cellStyle name="Normal 3 128 5" xfId="18963"/>
    <cellStyle name="Normal 3 128 6" xfId="18964"/>
    <cellStyle name="Normal 3 128 7" xfId="18965"/>
    <cellStyle name="Normal 3 128 8" xfId="18966"/>
    <cellStyle name="Normal 3 129" xfId="18967"/>
    <cellStyle name="Normal 3 129 2" xfId="18968"/>
    <cellStyle name="Normal 3 129 3" xfId="18969"/>
    <cellStyle name="Normal 3 129 4" xfId="18970"/>
    <cellStyle name="Normal 3 129 5" xfId="18971"/>
    <cellStyle name="Normal 3 129 6" xfId="18972"/>
    <cellStyle name="Normal 3 129 7" xfId="18973"/>
    <cellStyle name="Normal 3 129 8" xfId="18974"/>
    <cellStyle name="Normal 3 13" xfId="18975"/>
    <cellStyle name="Normal 3 13 2" xfId="18976"/>
    <cellStyle name="Normal 3 13 2 2" xfId="18977"/>
    <cellStyle name="Normal 3 13 2 3" xfId="18978"/>
    <cellStyle name="Normal 3 13 2 4" xfId="18979"/>
    <cellStyle name="Normal 3 13 2 5" xfId="18980"/>
    <cellStyle name="Normal 3 13 2 6" xfId="18981"/>
    <cellStyle name="Normal 3 13 3" xfId="18982"/>
    <cellStyle name="Normal 3 13 4" xfId="18983"/>
    <cellStyle name="Normal 3 130" xfId="18984"/>
    <cellStyle name="Normal 3 130 2" xfId="18985"/>
    <cellStyle name="Normal 3 130 3" xfId="18986"/>
    <cellStyle name="Normal 3 130 4" xfId="18987"/>
    <cellStyle name="Normal 3 130 5" xfId="18988"/>
    <cellStyle name="Normal 3 130 6" xfId="18989"/>
    <cellStyle name="Normal 3 130 7" xfId="18990"/>
    <cellStyle name="Normal 3 130 8" xfId="18991"/>
    <cellStyle name="Normal 3 131" xfId="18992"/>
    <cellStyle name="Normal 3 131 2" xfId="18993"/>
    <cellStyle name="Normal 3 131 3" xfId="18994"/>
    <cellStyle name="Normal 3 131 4" xfId="18995"/>
    <cellStyle name="Normal 3 131 5" xfId="18996"/>
    <cellStyle name="Normal 3 131 6" xfId="18997"/>
    <cellStyle name="Normal 3 131 7" xfId="18998"/>
    <cellStyle name="Normal 3 131 8" xfId="18999"/>
    <cellStyle name="Normal 3 132" xfId="19000"/>
    <cellStyle name="Normal 3 132 2" xfId="19001"/>
    <cellStyle name="Normal 3 132 3" xfId="19002"/>
    <cellStyle name="Normal 3 132 4" xfId="19003"/>
    <cellStyle name="Normal 3 132 5" xfId="19004"/>
    <cellStyle name="Normal 3 132 6" xfId="19005"/>
    <cellStyle name="Normal 3 132 7" xfId="19006"/>
    <cellStyle name="Normal 3 132 8" xfId="19007"/>
    <cellStyle name="Normal 3 133" xfId="19008"/>
    <cellStyle name="Normal 3 133 2" xfId="19009"/>
    <cellStyle name="Normal 3 133 3" xfId="19010"/>
    <cellStyle name="Normal 3 133 4" xfId="19011"/>
    <cellStyle name="Normal 3 133 5" xfId="19012"/>
    <cellStyle name="Normal 3 133 6" xfId="19013"/>
    <cellStyle name="Normal 3 133 7" xfId="19014"/>
    <cellStyle name="Normal 3 133 8" xfId="19015"/>
    <cellStyle name="Normal 3 134" xfId="19016"/>
    <cellStyle name="Normal 3 134 2" xfId="19017"/>
    <cellStyle name="Normal 3 134 3" xfId="19018"/>
    <cellStyle name="Normal 3 134 4" xfId="19019"/>
    <cellStyle name="Normal 3 134 5" xfId="19020"/>
    <cellStyle name="Normal 3 134 6" xfId="19021"/>
    <cellStyle name="Normal 3 134 7" xfId="19022"/>
    <cellStyle name="Normal 3 134 8" xfId="19023"/>
    <cellStyle name="Normal 3 135" xfId="19024"/>
    <cellStyle name="Normal 3 135 2" xfId="19025"/>
    <cellStyle name="Normal 3 135 3" xfId="19026"/>
    <cellStyle name="Normal 3 135 4" xfId="19027"/>
    <cellStyle name="Normal 3 135 5" xfId="19028"/>
    <cellStyle name="Normal 3 135 6" xfId="19029"/>
    <cellStyle name="Normal 3 135 7" xfId="19030"/>
    <cellStyle name="Normal 3 135 8" xfId="19031"/>
    <cellStyle name="Normal 3 136" xfId="19032"/>
    <cellStyle name="Normal 3 136 2" xfId="19033"/>
    <cellStyle name="Normal 3 136 3" xfId="19034"/>
    <cellStyle name="Normal 3 136 4" xfId="19035"/>
    <cellStyle name="Normal 3 136 5" xfId="19036"/>
    <cellStyle name="Normal 3 136 6" xfId="19037"/>
    <cellStyle name="Normal 3 136 7" xfId="19038"/>
    <cellStyle name="Normal 3 136 8" xfId="19039"/>
    <cellStyle name="Normal 3 137" xfId="19040"/>
    <cellStyle name="Normal 3 137 2" xfId="19041"/>
    <cellStyle name="Normal 3 137 3" xfId="19042"/>
    <cellStyle name="Normal 3 137 4" xfId="19043"/>
    <cellStyle name="Normal 3 137 5" xfId="19044"/>
    <cellStyle name="Normal 3 137 6" xfId="19045"/>
    <cellStyle name="Normal 3 137 7" xfId="19046"/>
    <cellStyle name="Normal 3 137 8" xfId="19047"/>
    <cellStyle name="Normal 3 138" xfId="19048"/>
    <cellStyle name="Normal 3 138 2" xfId="19049"/>
    <cellStyle name="Normal 3 138 3" xfId="19050"/>
    <cellStyle name="Normal 3 138 4" xfId="19051"/>
    <cellStyle name="Normal 3 138 5" xfId="19052"/>
    <cellStyle name="Normal 3 138 6" xfId="19053"/>
    <cellStyle name="Normal 3 138 7" xfId="19054"/>
    <cellStyle name="Normal 3 138 8" xfId="19055"/>
    <cellStyle name="Normal 3 139" xfId="19056"/>
    <cellStyle name="Normal 3 139 2" xfId="19057"/>
    <cellStyle name="Normal 3 139 3" xfId="19058"/>
    <cellStyle name="Normal 3 139 4" xfId="19059"/>
    <cellStyle name="Normal 3 139 5" xfId="19060"/>
    <cellStyle name="Normal 3 139 6" xfId="19061"/>
    <cellStyle name="Normal 3 139 7" xfId="19062"/>
    <cellStyle name="Normal 3 139 8" xfId="19063"/>
    <cellStyle name="Normal 3 14" xfId="19064"/>
    <cellStyle name="Normal 3 14 2" xfId="19065"/>
    <cellStyle name="Normal 3 14 2 2" xfId="19066"/>
    <cellStyle name="Normal 3 14 2 3" xfId="19067"/>
    <cellStyle name="Normal 3 14 2 4" xfId="19068"/>
    <cellStyle name="Normal 3 14 2 5" xfId="19069"/>
    <cellStyle name="Normal 3 14 2 6" xfId="19070"/>
    <cellStyle name="Normal 3 14 3" xfId="19071"/>
    <cellStyle name="Normal 3 14 4" xfId="19072"/>
    <cellStyle name="Normal 3 140" xfId="19073"/>
    <cellStyle name="Normal 3 140 2" xfId="19074"/>
    <cellStyle name="Normal 3 140 3" xfId="19075"/>
    <cellStyle name="Normal 3 140 4" xfId="19076"/>
    <cellStyle name="Normal 3 140 5" xfId="19077"/>
    <cellStyle name="Normal 3 140 6" xfId="19078"/>
    <cellStyle name="Normal 3 140 7" xfId="19079"/>
    <cellStyle name="Normal 3 140 8" xfId="19080"/>
    <cellStyle name="Normal 3 141" xfId="19081"/>
    <cellStyle name="Normal 3 141 2" xfId="19082"/>
    <cellStyle name="Normal 3 141 3" xfId="19083"/>
    <cellStyle name="Normal 3 141 4" xfId="19084"/>
    <cellStyle name="Normal 3 141 5" xfId="19085"/>
    <cellStyle name="Normal 3 141 6" xfId="19086"/>
    <cellStyle name="Normal 3 141 7" xfId="19087"/>
    <cellStyle name="Normal 3 141 8" xfId="19088"/>
    <cellStyle name="Normal 3 142" xfId="19089"/>
    <cellStyle name="Normal 3 142 2" xfId="19090"/>
    <cellStyle name="Normal 3 142 3" xfId="19091"/>
    <cellStyle name="Normal 3 142 4" xfId="19092"/>
    <cellStyle name="Normal 3 142 5" xfId="19093"/>
    <cellStyle name="Normal 3 142 6" xfId="19094"/>
    <cellStyle name="Normal 3 142 7" xfId="19095"/>
    <cellStyle name="Normal 3 142 8" xfId="19096"/>
    <cellStyle name="Normal 3 143" xfId="19097"/>
    <cellStyle name="Normal 3 143 2" xfId="19098"/>
    <cellStyle name="Normal 3 143 3" xfId="19099"/>
    <cellStyle name="Normal 3 143 4" xfId="19100"/>
    <cellStyle name="Normal 3 143 5" xfId="19101"/>
    <cellStyle name="Normal 3 143 6" xfId="19102"/>
    <cellStyle name="Normal 3 143 7" xfId="19103"/>
    <cellStyle name="Normal 3 143 8" xfId="19104"/>
    <cellStyle name="Normal 3 144" xfId="19105"/>
    <cellStyle name="Normal 3 144 2" xfId="19106"/>
    <cellStyle name="Normal 3 144 3" xfId="19107"/>
    <cellStyle name="Normal 3 144 4" xfId="19108"/>
    <cellStyle name="Normal 3 144 5" xfId="19109"/>
    <cellStyle name="Normal 3 144 6" xfId="19110"/>
    <cellStyle name="Normal 3 144 7" xfId="19111"/>
    <cellStyle name="Normal 3 144 8" xfId="19112"/>
    <cellStyle name="Normal 3 145" xfId="19113"/>
    <cellStyle name="Normal 3 145 2" xfId="19114"/>
    <cellStyle name="Normal 3 145 3" xfId="19115"/>
    <cellStyle name="Normal 3 145 4" xfId="19116"/>
    <cellStyle name="Normal 3 145 5" xfId="19117"/>
    <cellStyle name="Normal 3 145 6" xfId="19118"/>
    <cellStyle name="Normal 3 145 7" xfId="19119"/>
    <cellStyle name="Normal 3 145 8" xfId="19120"/>
    <cellStyle name="Normal 3 146" xfId="19121"/>
    <cellStyle name="Normal 3 146 2" xfId="19122"/>
    <cellStyle name="Normal 3 146 3" xfId="19123"/>
    <cellStyle name="Normal 3 146 4" xfId="19124"/>
    <cellStyle name="Normal 3 146 5" xfId="19125"/>
    <cellStyle name="Normal 3 146 6" xfId="19126"/>
    <cellStyle name="Normal 3 146 7" xfId="19127"/>
    <cellStyle name="Normal 3 146 8" xfId="19128"/>
    <cellStyle name="Normal 3 147" xfId="19129"/>
    <cellStyle name="Normal 3 147 2" xfId="19130"/>
    <cellStyle name="Normal 3 147 3" xfId="19131"/>
    <cellStyle name="Normal 3 147 4" xfId="19132"/>
    <cellStyle name="Normal 3 147 5" xfId="19133"/>
    <cellStyle name="Normal 3 147 6" xfId="19134"/>
    <cellStyle name="Normal 3 147 7" xfId="19135"/>
    <cellStyle name="Normal 3 147 8" xfId="19136"/>
    <cellStyle name="Normal 3 15" xfId="19137"/>
    <cellStyle name="Normal 3 15 2" xfId="19138"/>
    <cellStyle name="Normal 3 15 2 2" xfId="19139"/>
    <cellStyle name="Normal 3 15 2 3" xfId="19140"/>
    <cellStyle name="Normal 3 15 2 4" xfId="19141"/>
    <cellStyle name="Normal 3 15 2 5" xfId="19142"/>
    <cellStyle name="Normal 3 15 2 6" xfId="19143"/>
    <cellStyle name="Normal 3 15 3" xfId="19144"/>
    <cellStyle name="Normal 3 15 4" xfId="19145"/>
    <cellStyle name="Normal 3 16" xfId="19146"/>
    <cellStyle name="Normal 3 16 2" xfId="19147"/>
    <cellStyle name="Normal 3 16 2 2" xfId="19148"/>
    <cellStyle name="Normal 3 16 2 3" xfId="19149"/>
    <cellStyle name="Normal 3 16 2 4" xfId="19150"/>
    <cellStyle name="Normal 3 16 2 5" xfId="19151"/>
    <cellStyle name="Normal 3 16 2 6" xfId="19152"/>
    <cellStyle name="Normal 3 16 3" xfId="19153"/>
    <cellStyle name="Normal 3 16 4" xfId="19154"/>
    <cellStyle name="Normal 3 17" xfId="19155"/>
    <cellStyle name="Normal 3 17 2" xfId="19156"/>
    <cellStyle name="Normal 3 17 2 2" xfId="19157"/>
    <cellStyle name="Normal 3 17 2 3" xfId="19158"/>
    <cellStyle name="Normal 3 17 2 4" xfId="19159"/>
    <cellStyle name="Normal 3 17 2 5" xfId="19160"/>
    <cellStyle name="Normal 3 17 2 6" xfId="19161"/>
    <cellStyle name="Normal 3 17 3" xfId="19162"/>
    <cellStyle name="Normal 3 17 4" xfId="19163"/>
    <cellStyle name="Normal 3 18" xfId="19164"/>
    <cellStyle name="Normal 3 18 2" xfId="19165"/>
    <cellStyle name="Normal 3 18 2 2" xfId="19166"/>
    <cellStyle name="Normal 3 18 2 3" xfId="19167"/>
    <cellStyle name="Normal 3 18 2 4" xfId="19168"/>
    <cellStyle name="Normal 3 18 2 5" xfId="19169"/>
    <cellStyle name="Normal 3 18 2 6" xfId="19170"/>
    <cellStyle name="Normal 3 18 3" xfId="19171"/>
    <cellStyle name="Normal 3 18 4" xfId="19172"/>
    <cellStyle name="Normal 3 19" xfId="19173"/>
    <cellStyle name="Normal 3 19 2" xfId="19174"/>
    <cellStyle name="Normal 3 19 2 2" xfId="19175"/>
    <cellStyle name="Normal 3 19 2 3" xfId="19176"/>
    <cellStyle name="Normal 3 19 2 4" xfId="19177"/>
    <cellStyle name="Normal 3 19 2 5" xfId="19178"/>
    <cellStyle name="Normal 3 19 2 6" xfId="19179"/>
    <cellStyle name="Normal 3 19 3" xfId="19180"/>
    <cellStyle name="Normal 3 19 4" xfId="19181"/>
    <cellStyle name="Normal 3 2" xfId="19182"/>
    <cellStyle name="Normal 3 2 10" xfId="19183"/>
    <cellStyle name="Normal 3 2 10 2" xfId="19184"/>
    <cellStyle name="Normal 3 2 10 2 2" xfId="19185"/>
    <cellStyle name="Normal 3 2 10 2 3" xfId="19186"/>
    <cellStyle name="Normal 3 2 10 2 4" xfId="19187"/>
    <cellStyle name="Normal 3 2 10 2 5" xfId="19188"/>
    <cellStyle name="Normal 3 2 10 2 6" xfId="19189"/>
    <cellStyle name="Normal 3 2 10 3" xfId="19190"/>
    <cellStyle name="Normal 3 2 10 4" xfId="19191"/>
    <cellStyle name="Normal 3 2 100" xfId="19192"/>
    <cellStyle name="Normal 3 2 100 2" xfId="19193"/>
    <cellStyle name="Normal 3 2 100 3" xfId="19194"/>
    <cellStyle name="Normal 3 2 101" xfId="19195"/>
    <cellStyle name="Normal 3 2 101 2" xfId="19196"/>
    <cellStyle name="Normal 3 2 101 3" xfId="19197"/>
    <cellStyle name="Normal 3 2 102" xfId="19198"/>
    <cellStyle name="Normal 3 2 102 2" xfId="19199"/>
    <cellStyle name="Normal 3 2 102 3" xfId="19200"/>
    <cellStyle name="Normal 3 2 103" xfId="19201"/>
    <cellStyle name="Normal 3 2 103 2" xfId="19202"/>
    <cellStyle name="Normal 3 2 103 3" xfId="19203"/>
    <cellStyle name="Normal 3 2 104" xfId="19204"/>
    <cellStyle name="Normal 3 2 104 2" xfId="19205"/>
    <cellStyle name="Normal 3 2 104 3" xfId="19206"/>
    <cellStyle name="Normal 3 2 105" xfId="19207"/>
    <cellStyle name="Normal 3 2 105 2" xfId="19208"/>
    <cellStyle name="Normal 3 2 105 3" xfId="19209"/>
    <cellStyle name="Normal 3 2 106" xfId="19210"/>
    <cellStyle name="Normal 3 2 106 2" xfId="19211"/>
    <cellStyle name="Normal 3 2 106 3" xfId="19212"/>
    <cellStyle name="Normal 3 2 107" xfId="19213"/>
    <cellStyle name="Normal 3 2 107 2" xfId="19214"/>
    <cellStyle name="Normal 3 2 107 3" xfId="19215"/>
    <cellStyle name="Normal 3 2 108" xfId="19216"/>
    <cellStyle name="Normal 3 2 108 2" xfId="19217"/>
    <cellStyle name="Normal 3 2 108 3" xfId="19218"/>
    <cellStyle name="Normal 3 2 109" xfId="19219"/>
    <cellStyle name="Normal 3 2 109 2" xfId="19220"/>
    <cellStyle name="Normal 3 2 109 3" xfId="19221"/>
    <cellStyle name="Normal 3 2 11" xfId="19222"/>
    <cellStyle name="Normal 3 2 11 2" xfId="19223"/>
    <cellStyle name="Normal 3 2 11 2 2" xfId="19224"/>
    <cellStyle name="Normal 3 2 11 2 3" xfId="19225"/>
    <cellStyle name="Normal 3 2 11 2 4" xfId="19226"/>
    <cellStyle name="Normal 3 2 11 2 5" xfId="19227"/>
    <cellStyle name="Normal 3 2 11 2 6" xfId="19228"/>
    <cellStyle name="Normal 3 2 11 3" xfId="19229"/>
    <cellStyle name="Normal 3 2 11 4" xfId="19230"/>
    <cellStyle name="Normal 3 2 110" xfId="19231"/>
    <cellStyle name="Normal 3 2 110 2" xfId="19232"/>
    <cellStyle name="Normal 3 2 110 3" xfId="19233"/>
    <cellStyle name="Normal 3 2 111" xfId="19234"/>
    <cellStyle name="Normal 3 2 111 2" xfId="19235"/>
    <cellStyle name="Normal 3 2 111 3" xfId="19236"/>
    <cellStyle name="Normal 3 2 112" xfId="19237"/>
    <cellStyle name="Normal 3 2 112 2" xfId="19238"/>
    <cellStyle name="Normal 3 2 112 3" xfId="19239"/>
    <cellStyle name="Normal 3 2 113" xfId="19240"/>
    <cellStyle name="Normal 3 2 113 2" xfId="19241"/>
    <cellStyle name="Normal 3 2 113 3" xfId="19242"/>
    <cellStyle name="Normal 3 2 114" xfId="19243"/>
    <cellStyle name="Normal 3 2 114 2" xfId="19244"/>
    <cellStyle name="Normal 3 2 114 3" xfId="19245"/>
    <cellStyle name="Normal 3 2 115" xfId="19246"/>
    <cellStyle name="Normal 3 2 115 2" xfId="19247"/>
    <cellStyle name="Normal 3 2 115 3" xfId="19248"/>
    <cellStyle name="Normal 3 2 116" xfId="19249"/>
    <cellStyle name="Normal 3 2 116 2" xfId="19250"/>
    <cellStyle name="Normal 3 2 116 3" xfId="19251"/>
    <cellStyle name="Normal 3 2 117" xfId="19252"/>
    <cellStyle name="Normal 3 2 117 2" xfId="19253"/>
    <cellStyle name="Normal 3 2 117 3" xfId="19254"/>
    <cellStyle name="Normal 3 2 118" xfId="19255"/>
    <cellStyle name="Normal 3 2 118 2" xfId="19256"/>
    <cellStyle name="Normal 3 2 118 3" xfId="19257"/>
    <cellStyle name="Normal 3 2 119" xfId="19258"/>
    <cellStyle name="Normal 3 2 119 2" xfId="19259"/>
    <cellStyle name="Normal 3 2 119 3" xfId="19260"/>
    <cellStyle name="Normal 3 2 12" xfId="19261"/>
    <cellStyle name="Normal 3 2 12 2" xfId="19262"/>
    <cellStyle name="Normal 3 2 12 2 2" xfId="19263"/>
    <cellStyle name="Normal 3 2 12 2 3" xfId="19264"/>
    <cellStyle name="Normal 3 2 12 2 4" xfId="19265"/>
    <cellStyle name="Normal 3 2 12 2 5" xfId="19266"/>
    <cellStyle name="Normal 3 2 12 2 6" xfId="19267"/>
    <cellStyle name="Normal 3 2 12 3" xfId="19268"/>
    <cellStyle name="Normal 3 2 12 4" xfId="19269"/>
    <cellStyle name="Normal 3 2 120" xfId="19270"/>
    <cellStyle name="Normal 3 2 120 2" xfId="19271"/>
    <cellStyle name="Normal 3 2 120 3" xfId="19272"/>
    <cellStyle name="Normal 3 2 121" xfId="19273"/>
    <cellStyle name="Normal 3 2 121 2" xfId="19274"/>
    <cellStyle name="Normal 3 2 121 3" xfId="19275"/>
    <cellStyle name="Normal 3 2 122" xfId="19276"/>
    <cellStyle name="Normal 3 2 122 2" xfId="19277"/>
    <cellStyle name="Normal 3 2 122 3" xfId="19278"/>
    <cellStyle name="Normal 3 2 123" xfId="19279"/>
    <cellStyle name="Normal 3 2 123 2" xfId="19280"/>
    <cellStyle name="Normal 3 2 123 3" xfId="19281"/>
    <cellStyle name="Normal 3 2 124" xfId="19282"/>
    <cellStyle name="Normal 3 2 124 2" xfId="19283"/>
    <cellStyle name="Normal 3 2 124 3" xfId="19284"/>
    <cellStyle name="Normal 3 2 125" xfId="19285"/>
    <cellStyle name="Normal 3 2 125 2" xfId="19286"/>
    <cellStyle name="Normal 3 2 125 3" xfId="19287"/>
    <cellStyle name="Normal 3 2 126" xfId="19288"/>
    <cellStyle name="Normal 3 2 126 2" xfId="19289"/>
    <cellStyle name="Normal 3 2 126 3" xfId="19290"/>
    <cellStyle name="Normal 3 2 127" xfId="19291"/>
    <cellStyle name="Normal 3 2 127 2" xfId="19292"/>
    <cellStyle name="Normal 3 2 127 3" xfId="19293"/>
    <cellStyle name="Normal 3 2 128" xfId="19294"/>
    <cellStyle name="Normal 3 2 128 2" xfId="19295"/>
    <cellStyle name="Normal 3 2 128 3" xfId="19296"/>
    <cellStyle name="Normal 3 2 129" xfId="19297"/>
    <cellStyle name="Normal 3 2 129 2" xfId="19298"/>
    <cellStyle name="Normal 3 2 129 3" xfId="19299"/>
    <cellStyle name="Normal 3 2 13" xfId="19300"/>
    <cellStyle name="Normal 3 2 13 2" xfId="19301"/>
    <cellStyle name="Normal 3 2 13 2 2" xfId="19302"/>
    <cellStyle name="Normal 3 2 13 2 3" xfId="19303"/>
    <cellStyle name="Normal 3 2 13 2 4" xfId="19304"/>
    <cellStyle name="Normal 3 2 13 2 5" xfId="19305"/>
    <cellStyle name="Normal 3 2 13 2 6" xfId="19306"/>
    <cellStyle name="Normal 3 2 13 3" xfId="19307"/>
    <cellStyle name="Normal 3 2 13 4" xfId="19308"/>
    <cellStyle name="Normal 3 2 130" xfId="19309"/>
    <cellStyle name="Normal 3 2 130 2" xfId="19310"/>
    <cellStyle name="Normal 3 2 130 3" xfId="19311"/>
    <cellStyle name="Normal 3 2 131" xfId="19312"/>
    <cellStyle name="Normal 3 2 131 2" xfId="19313"/>
    <cellStyle name="Normal 3 2 131 3" xfId="19314"/>
    <cellStyle name="Normal 3 2 132" xfId="19315"/>
    <cellStyle name="Normal 3 2 132 2" xfId="19316"/>
    <cellStyle name="Normal 3 2 132 3" xfId="19317"/>
    <cellStyle name="Normal 3 2 133" xfId="19318"/>
    <cellStyle name="Normal 3 2 133 2" xfId="19319"/>
    <cellStyle name="Normal 3 2 133 3" xfId="19320"/>
    <cellStyle name="Normal 3 2 134" xfId="19321"/>
    <cellStyle name="Normal 3 2 134 2" xfId="19322"/>
    <cellStyle name="Normal 3 2 134 3" xfId="19323"/>
    <cellStyle name="Normal 3 2 135" xfId="19324"/>
    <cellStyle name="Normal 3 2 135 2" xfId="19325"/>
    <cellStyle name="Normal 3 2 135 3" xfId="19326"/>
    <cellStyle name="Normal 3 2 136" xfId="19327"/>
    <cellStyle name="Normal 3 2 136 2" xfId="19328"/>
    <cellStyle name="Normal 3 2 136 3" xfId="19329"/>
    <cellStyle name="Normal 3 2 137" xfId="19330"/>
    <cellStyle name="Normal 3 2 137 2" xfId="19331"/>
    <cellStyle name="Normal 3 2 137 3" xfId="19332"/>
    <cellStyle name="Normal 3 2 138" xfId="19333"/>
    <cellStyle name="Normal 3 2 138 2" xfId="19334"/>
    <cellStyle name="Normal 3 2 138 3" xfId="19335"/>
    <cellStyle name="Normal 3 2 139" xfId="19336"/>
    <cellStyle name="Normal 3 2 139 2" xfId="19337"/>
    <cellStyle name="Normal 3 2 139 3" xfId="19338"/>
    <cellStyle name="Normal 3 2 14" xfId="19339"/>
    <cellStyle name="Normal 3 2 14 2" xfId="19340"/>
    <cellStyle name="Normal 3 2 14 2 2" xfId="19341"/>
    <cellStyle name="Normal 3 2 14 2 3" xfId="19342"/>
    <cellStyle name="Normal 3 2 14 2 4" xfId="19343"/>
    <cellStyle name="Normal 3 2 14 2 5" xfId="19344"/>
    <cellStyle name="Normal 3 2 14 2 6" xfId="19345"/>
    <cellStyle name="Normal 3 2 14 3" xfId="19346"/>
    <cellStyle name="Normal 3 2 14 4" xfId="19347"/>
    <cellStyle name="Normal 3 2 140" xfId="19348"/>
    <cellStyle name="Normal 3 2 140 2" xfId="19349"/>
    <cellStyle name="Normal 3 2 140 3" xfId="19350"/>
    <cellStyle name="Normal 3 2 141" xfId="19351"/>
    <cellStyle name="Normal 3 2 141 2" xfId="19352"/>
    <cellStyle name="Normal 3 2 141 3" xfId="19353"/>
    <cellStyle name="Normal 3 2 142" xfId="19354"/>
    <cellStyle name="Normal 3 2 142 2" xfId="19355"/>
    <cellStyle name="Normal 3 2 142 3" xfId="19356"/>
    <cellStyle name="Normal 3 2 143" xfId="19357"/>
    <cellStyle name="Normal 3 2 143 2" xfId="19358"/>
    <cellStyle name="Normal 3 2 143 3" xfId="19359"/>
    <cellStyle name="Normal 3 2 144" xfId="19360"/>
    <cellStyle name="Normal 3 2 144 2" xfId="19361"/>
    <cellStyle name="Normal 3 2 144 3" xfId="19362"/>
    <cellStyle name="Normal 3 2 145" xfId="19363"/>
    <cellStyle name="Normal 3 2 145 2" xfId="19364"/>
    <cellStyle name="Normal 3 2 145 3" xfId="19365"/>
    <cellStyle name="Normal 3 2 146" xfId="19366"/>
    <cellStyle name="Normal 3 2 146 2" xfId="19367"/>
    <cellStyle name="Normal 3 2 146 3" xfId="19368"/>
    <cellStyle name="Normal 3 2 147" xfId="19369"/>
    <cellStyle name="Normal 3 2 147 2" xfId="19370"/>
    <cellStyle name="Normal 3 2 147 3" xfId="19371"/>
    <cellStyle name="Normal 3 2 148" xfId="19372"/>
    <cellStyle name="Normal 3 2 148 2" xfId="19373"/>
    <cellStyle name="Normal 3 2 148 3" xfId="19374"/>
    <cellStyle name="Normal 3 2 149" xfId="19375"/>
    <cellStyle name="Normal 3 2 149 2" xfId="19376"/>
    <cellStyle name="Normal 3 2 149 3" xfId="19377"/>
    <cellStyle name="Normal 3 2 15" xfId="19378"/>
    <cellStyle name="Normal 3 2 15 2" xfId="19379"/>
    <cellStyle name="Normal 3 2 15 2 2" xfId="19380"/>
    <cellStyle name="Normal 3 2 15 2 3" xfId="19381"/>
    <cellStyle name="Normal 3 2 15 2 4" xfId="19382"/>
    <cellStyle name="Normal 3 2 15 2 5" xfId="19383"/>
    <cellStyle name="Normal 3 2 15 2 6" xfId="19384"/>
    <cellStyle name="Normal 3 2 15 3" xfId="19385"/>
    <cellStyle name="Normal 3 2 15 4" xfId="19386"/>
    <cellStyle name="Normal 3 2 150" xfId="19387"/>
    <cellStyle name="Normal 3 2 150 2" xfId="19388"/>
    <cellStyle name="Normal 3 2 150 3" xfId="19389"/>
    <cellStyle name="Normal 3 2 151" xfId="19390"/>
    <cellStyle name="Normal 3 2 151 2" xfId="19391"/>
    <cellStyle name="Normal 3 2 151 3" xfId="19392"/>
    <cellStyle name="Normal 3 2 152" xfId="19393"/>
    <cellStyle name="Normal 3 2 152 2" xfId="19394"/>
    <cellStyle name="Normal 3 2 152 3" xfId="19395"/>
    <cellStyle name="Normal 3 2 153" xfId="19396"/>
    <cellStyle name="Normal 3 2 153 2" xfId="19397"/>
    <cellStyle name="Normal 3 2 153 3" xfId="19398"/>
    <cellStyle name="Normal 3 2 154" xfId="19399"/>
    <cellStyle name="Normal 3 2 154 2" xfId="19400"/>
    <cellStyle name="Normal 3 2 154 3" xfId="19401"/>
    <cellStyle name="Normal 3 2 155" xfId="19402"/>
    <cellStyle name="Normal 3 2 155 2" xfId="19403"/>
    <cellStyle name="Normal 3 2 155 3" xfId="19404"/>
    <cellStyle name="Normal 3 2 156" xfId="19405"/>
    <cellStyle name="Normal 3 2 156 2" xfId="19406"/>
    <cellStyle name="Normal 3 2 156 3" xfId="19407"/>
    <cellStyle name="Normal 3 2 157" xfId="19408"/>
    <cellStyle name="Normal 3 2 157 2" xfId="19409"/>
    <cellStyle name="Normal 3 2 157 3" xfId="19410"/>
    <cellStyle name="Normal 3 2 158" xfId="19411"/>
    <cellStyle name="Normal 3 2 158 2" xfId="19412"/>
    <cellStyle name="Normal 3 2 158 3" xfId="19413"/>
    <cellStyle name="Normal 3 2 159" xfId="19414"/>
    <cellStyle name="Normal 3 2 159 2" xfId="19415"/>
    <cellStyle name="Normal 3 2 159 3" xfId="19416"/>
    <cellStyle name="Normal 3 2 159 4" xfId="19417"/>
    <cellStyle name="Normal 3 2 159 5" xfId="19418"/>
    <cellStyle name="Normal 3 2 159 6" xfId="19419"/>
    <cellStyle name="Normal 3 2 16" xfId="19420"/>
    <cellStyle name="Normal 3 2 16 2" xfId="19421"/>
    <cellStyle name="Normal 3 2 16 2 2" xfId="19422"/>
    <cellStyle name="Normal 3 2 16 2 3" xfId="19423"/>
    <cellStyle name="Normal 3 2 16 2 4" xfId="19424"/>
    <cellStyle name="Normal 3 2 16 2 5" xfId="19425"/>
    <cellStyle name="Normal 3 2 16 2 6" xfId="19426"/>
    <cellStyle name="Normal 3 2 16 3" xfId="19427"/>
    <cellStyle name="Normal 3 2 16 4" xfId="19428"/>
    <cellStyle name="Normal 3 2 160" xfId="19429"/>
    <cellStyle name="Normal 3 2 161" xfId="19430"/>
    <cellStyle name="Normal 3 2 162" xfId="19431"/>
    <cellStyle name="Normal 3 2 163" xfId="19432"/>
    <cellStyle name="Normal 3 2 164" xfId="19433"/>
    <cellStyle name="Normal 3 2 165" xfId="19434"/>
    <cellStyle name="Normal 3 2 166" xfId="19435"/>
    <cellStyle name="Normal 3 2 17" xfId="19436"/>
    <cellStyle name="Normal 3 2 17 2" xfId="19437"/>
    <cellStyle name="Normal 3 2 17 2 2" xfId="19438"/>
    <cellStyle name="Normal 3 2 17 2 3" xfId="19439"/>
    <cellStyle name="Normal 3 2 17 2 4" xfId="19440"/>
    <cellStyle name="Normal 3 2 17 2 5" xfId="19441"/>
    <cellStyle name="Normal 3 2 17 2 6" xfId="19442"/>
    <cellStyle name="Normal 3 2 17 3" xfId="19443"/>
    <cellStyle name="Normal 3 2 17 4" xfId="19444"/>
    <cellStyle name="Normal 3 2 18" xfId="19445"/>
    <cellStyle name="Normal 3 2 18 2" xfId="19446"/>
    <cellStyle name="Normal 3 2 18 2 2" xfId="19447"/>
    <cellStyle name="Normal 3 2 18 2 3" xfId="19448"/>
    <cellStyle name="Normal 3 2 18 2 4" xfId="19449"/>
    <cellStyle name="Normal 3 2 18 2 5" xfId="19450"/>
    <cellStyle name="Normal 3 2 18 2 6" xfId="19451"/>
    <cellStyle name="Normal 3 2 18 3" xfId="19452"/>
    <cellStyle name="Normal 3 2 18 4" xfId="19453"/>
    <cellStyle name="Normal 3 2 19" xfId="19454"/>
    <cellStyle name="Normal 3 2 19 2" xfId="19455"/>
    <cellStyle name="Normal 3 2 19 2 2" xfId="19456"/>
    <cellStyle name="Normal 3 2 19 2 3" xfId="19457"/>
    <cellStyle name="Normal 3 2 19 2 4" xfId="19458"/>
    <cellStyle name="Normal 3 2 19 2 5" xfId="19459"/>
    <cellStyle name="Normal 3 2 19 2 6" xfId="19460"/>
    <cellStyle name="Normal 3 2 19 3" xfId="19461"/>
    <cellStyle name="Normal 3 2 19 4" xfId="19462"/>
    <cellStyle name="Normal 3 2 2" xfId="19463"/>
    <cellStyle name="Normal 3 2 2 10" xfId="19464"/>
    <cellStyle name="Normal 3 2 2 10 2" xfId="19465"/>
    <cellStyle name="Normal 3 2 2 10 3" xfId="19466"/>
    <cellStyle name="Normal 3 2 2 10 4" xfId="19467"/>
    <cellStyle name="Normal 3 2 2 10 5" xfId="19468"/>
    <cellStyle name="Normal 3 2 2 10 6" xfId="19469"/>
    <cellStyle name="Normal 3 2 2 10 7" xfId="19470"/>
    <cellStyle name="Normal 3 2 2 10 8" xfId="19471"/>
    <cellStyle name="Normal 3 2 2 100" xfId="19472"/>
    <cellStyle name="Normal 3 2 2 100 2" xfId="19473"/>
    <cellStyle name="Normal 3 2 2 100 3" xfId="19474"/>
    <cellStyle name="Normal 3 2 2 100 4" xfId="19475"/>
    <cellStyle name="Normal 3 2 2 100 5" xfId="19476"/>
    <cellStyle name="Normal 3 2 2 100 6" xfId="19477"/>
    <cellStyle name="Normal 3 2 2 100 7" xfId="19478"/>
    <cellStyle name="Normal 3 2 2 100 8" xfId="19479"/>
    <cellStyle name="Normal 3 2 2 101" xfId="19480"/>
    <cellStyle name="Normal 3 2 2 101 2" xfId="19481"/>
    <cellStyle name="Normal 3 2 2 101 3" xfId="19482"/>
    <cellStyle name="Normal 3 2 2 101 4" xfId="19483"/>
    <cellStyle name="Normal 3 2 2 101 5" xfId="19484"/>
    <cellStyle name="Normal 3 2 2 101 6" xfId="19485"/>
    <cellStyle name="Normal 3 2 2 101 7" xfId="19486"/>
    <cellStyle name="Normal 3 2 2 101 8" xfId="19487"/>
    <cellStyle name="Normal 3 2 2 102" xfId="19488"/>
    <cellStyle name="Normal 3 2 2 102 2" xfId="19489"/>
    <cellStyle name="Normal 3 2 2 102 3" xfId="19490"/>
    <cellStyle name="Normal 3 2 2 102 4" xfId="19491"/>
    <cellStyle name="Normal 3 2 2 102 5" xfId="19492"/>
    <cellStyle name="Normal 3 2 2 102 6" xfId="19493"/>
    <cellStyle name="Normal 3 2 2 102 7" xfId="19494"/>
    <cellStyle name="Normal 3 2 2 102 8" xfId="19495"/>
    <cellStyle name="Normal 3 2 2 103" xfId="19496"/>
    <cellStyle name="Normal 3 2 2 103 2" xfId="19497"/>
    <cellStyle name="Normal 3 2 2 103 3" xfId="19498"/>
    <cellStyle name="Normal 3 2 2 103 4" xfId="19499"/>
    <cellStyle name="Normal 3 2 2 103 5" xfId="19500"/>
    <cellStyle name="Normal 3 2 2 103 6" xfId="19501"/>
    <cellStyle name="Normal 3 2 2 103 7" xfId="19502"/>
    <cellStyle name="Normal 3 2 2 103 8" xfId="19503"/>
    <cellStyle name="Normal 3 2 2 104" xfId="19504"/>
    <cellStyle name="Normal 3 2 2 104 2" xfId="19505"/>
    <cellStyle name="Normal 3 2 2 104 3" xfId="19506"/>
    <cellStyle name="Normal 3 2 2 104 4" xfId="19507"/>
    <cellStyle name="Normal 3 2 2 104 5" xfId="19508"/>
    <cellStyle name="Normal 3 2 2 104 6" xfId="19509"/>
    <cellStyle name="Normal 3 2 2 104 7" xfId="19510"/>
    <cellStyle name="Normal 3 2 2 104 8" xfId="19511"/>
    <cellStyle name="Normal 3 2 2 105" xfId="19512"/>
    <cellStyle name="Normal 3 2 2 105 2" xfId="19513"/>
    <cellStyle name="Normal 3 2 2 105 3" xfId="19514"/>
    <cellStyle name="Normal 3 2 2 105 4" xfId="19515"/>
    <cellStyle name="Normal 3 2 2 105 5" xfId="19516"/>
    <cellStyle name="Normal 3 2 2 105 6" xfId="19517"/>
    <cellStyle name="Normal 3 2 2 105 7" xfId="19518"/>
    <cellStyle name="Normal 3 2 2 105 8" xfId="19519"/>
    <cellStyle name="Normal 3 2 2 106" xfId="19520"/>
    <cellStyle name="Normal 3 2 2 106 2" xfId="19521"/>
    <cellStyle name="Normal 3 2 2 106 3" xfId="19522"/>
    <cellStyle name="Normal 3 2 2 106 4" xfId="19523"/>
    <cellStyle name="Normal 3 2 2 106 5" xfId="19524"/>
    <cellStyle name="Normal 3 2 2 106 6" xfId="19525"/>
    <cellStyle name="Normal 3 2 2 106 7" xfId="19526"/>
    <cellStyle name="Normal 3 2 2 106 8" xfId="19527"/>
    <cellStyle name="Normal 3 2 2 107" xfId="19528"/>
    <cellStyle name="Normal 3 2 2 107 2" xfId="19529"/>
    <cellStyle name="Normal 3 2 2 107 3" xfId="19530"/>
    <cellStyle name="Normal 3 2 2 107 4" xfId="19531"/>
    <cellStyle name="Normal 3 2 2 107 5" xfId="19532"/>
    <cellStyle name="Normal 3 2 2 107 6" xfId="19533"/>
    <cellStyle name="Normal 3 2 2 107 7" xfId="19534"/>
    <cellStyle name="Normal 3 2 2 107 8" xfId="19535"/>
    <cellStyle name="Normal 3 2 2 108" xfId="19536"/>
    <cellStyle name="Normal 3 2 2 108 2" xfId="19537"/>
    <cellStyle name="Normal 3 2 2 108 3" xfId="19538"/>
    <cellStyle name="Normal 3 2 2 108 4" xfId="19539"/>
    <cellStyle name="Normal 3 2 2 108 5" xfId="19540"/>
    <cellStyle name="Normal 3 2 2 108 6" xfId="19541"/>
    <cellStyle name="Normal 3 2 2 108 7" xfId="19542"/>
    <cellStyle name="Normal 3 2 2 108 8" xfId="19543"/>
    <cellStyle name="Normal 3 2 2 109" xfId="19544"/>
    <cellStyle name="Normal 3 2 2 109 2" xfId="19545"/>
    <cellStyle name="Normal 3 2 2 109 3" xfId="19546"/>
    <cellStyle name="Normal 3 2 2 109 4" xfId="19547"/>
    <cellStyle name="Normal 3 2 2 109 5" xfId="19548"/>
    <cellStyle name="Normal 3 2 2 109 6" xfId="19549"/>
    <cellStyle name="Normal 3 2 2 109 7" xfId="19550"/>
    <cellStyle name="Normal 3 2 2 109 8" xfId="19551"/>
    <cellStyle name="Normal 3 2 2 11" xfId="19552"/>
    <cellStyle name="Normal 3 2 2 11 2" xfId="19553"/>
    <cellStyle name="Normal 3 2 2 11 3" xfId="19554"/>
    <cellStyle name="Normal 3 2 2 11 4" xfId="19555"/>
    <cellStyle name="Normal 3 2 2 11 5" xfId="19556"/>
    <cellStyle name="Normal 3 2 2 11 6" xfId="19557"/>
    <cellStyle name="Normal 3 2 2 11 7" xfId="19558"/>
    <cellStyle name="Normal 3 2 2 11 8" xfId="19559"/>
    <cellStyle name="Normal 3 2 2 110" xfId="19560"/>
    <cellStyle name="Normal 3 2 2 110 2" xfId="19561"/>
    <cellStyle name="Normal 3 2 2 110 3" xfId="19562"/>
    <cellStyle name="Normal 3 2 2 110 4" xfId="19563"/>
    <cellStyle name="Normal 3 2 2 110 5" xfId="19564"/>
    <cellStyle name="Normal 3 2 2 110 6" xfId="19565"/>
    <cellStyle name="Normal 3 2 2 110 7" xfId="19566"/>
    <cellStyle name="Normal 3 2 2 110 8" xfId="19567"/>
    <cellStyle name="Normal 3 2 2 111" xfId="19568"/>
    <cellStyle name="Normal 3 2 2 111 2" xfId="19569"/>
    <cellStyle name="Normal 3 2 2 111 3" xfId="19570"/>
    <cellStyle name="Normal 3 2 2 111 4" xfId="19571"/>
    <cellStyle name="Normal 3 2 2 111 5" xfId="19572"/>
    <cellStyle name="Normal 3 2 2 111 6" xfId="19573"/>
    <cellStyle name="Normal 3 2 2 111 7" xfId="19574"/>
    <cellStyle name="Normal 3 2 2 111 8" xfId="19575"/>
    <cellStyle name="Normal 3 2 2 112" xfId="19576"/>
    <cellStyle name="Normal 3 2 2 112 2" xfId="19577"/>
    <cellStyle name="Normal 3 2 2 112 3" xfId="19578"/>
    <cellStyle name="Normal 3 2 2 112 4" xfId="19579"/>
    <cellStyle name="Normal 3 2 2 112 5" xfId="19580"/>
    <cellStyle name="Normal 3 2 2 112 6" xfId="19581"/>
    <cellStyle name="Normal 3 2 2 112 7" xfId="19582"/>
    <cellStyle name="Normal 3 2 2 112 8" xfId="19583"/>
    <cellStyle name="Normal 3 2 2 113" xfId="19584"/>
    <cellStyle name="Normal 3 2 2 113 2" xfId="19585"/>
    <cellStyle name="Normal 3 2 2 113 3" xfId="19586"/>
    <cellStyle name="Normal 3 2 2 113 4" xfId="19587"/>
    <cellStyle name="Normal 3 2 2 113 5" xfId="19588"/>
    <cellStyle name="Normal 3 2 2 113 6" xfId="19589"/>
    <cellStyle name="Normal 3 2 2 113 7" xfId="19590"/>
    <cellStyle name="Normal 3 2 2 113 8" xfId="19591"/>
    <cellStyle name="Normal 3 2 2 114" xfId="19592"/>
    <cellStyle name="Normal 3 2 2 114 2" xfId="19593"/>
    <cellStyle name="Normal 3 2 2 114 3" xfId="19594"/>
    <cellStyle name="Normal 3 2 2 114 4" xfId="19595"/>
    <cellStyle name="Normal 3 2 2 114 5" xfId="19596"/>
    <cellStyle name="Normal 3 2 2 114 6" xfId="19597"/>
    <cellStyle name="Normal 3 2 2 114 7" xfId="19598"/>
    <cellStyle name="Normal 3 2 2 114 8" xfId="19599"/>
    <cellStyle name="Normal 3 2 2 115" xfId="19600"/>
    <cellStyle name="Normal 3 2 2 115 2" xfId="19601"/>
    <cellStyle name="Normal 3 2 2 115 3" xfId="19602"/>
    <cellStyle name="Normal 3 2 2 115 4" xfId="19603"/>
    <cellStyle name="Normal 3 2 2 115 5" xfId="19604"/>
    <cellStyle name="Normal 3 2 2 115 6" xfId="19605"/>
    <cellStyle name="Normal 3 2 2 115 7" xfId="19606"/>
    <cellStyle name="Normal 3 2 2 115 8" xfId="19607"/>
    <cellStyle name="Normal 3 2 2 116" xfId="19608"/>
    <cellStyle name="Normal 3 2 2 116 2" xfId="19609"/>
    <cellStyle name="Normal 3 2 2 116 3" xfId="19610"/>
    <cellStyle name="Normal 3 2 2 116 4" xfId="19611"/>
    <cellStyle name="Normal 3 2 2 116 5" xfId="19612"/>
    <cellStyle name="Normal 3 2 2 116 6" xfId="19613"/>
    <cellStyle name="Normal 3 2 2 116 7" xfId="19614"/>
    <cellStyle name="Normal 3 2 2 116 8" xfId="19615"/>
    <cellStyle name="Normal 3 2 2 117" xfId="19616"/>
    <cellStyle name="Normal 3 2 2 117 2" xfId="19617"/>
    <cellStyle name="Normal 3 2 2 117 3" xfId="19618"/>
    <cellStyle name="Normal 3 2 2 117 4" xfId="19619"/>
    <cellStyle name="Normal 3 2 2 117 5" xfId="19620"/>
    <cellStyle name="Normal 3 2 2 117 6" xfId="19621"/>
    <cellStyle name="Normal 3 2 2 117 7" xfId="19622"/>
    <cellStyle name="Normal 3 2 2 117 8" xfId="19623"/>
    <cellStyle name="Normal 3 2 2 118" xfId="19624"/>
    <cellStyle name="Normal 3 2 2 118 2" xfId="19625"/>
    <cellStyle name="Normal 3 2 2 118 3" xfId="19626"/>
    <cellStyle name="Normal 3 2 2 118 4" xfId="19627"/>
    <cellStyle name="Normal 3 2 2 118 5" xfId="19628"/>
    <cellStyle name="Normal 3 2 2 118 6" xfId="19629"/>
    <cellStyle name="Normal 3 2 2 118 7" xfId="19630"/>
    <cellStyle name="Normal 3 2 2 118 8" xfId="19631"/>
    <cellStyle name="Normal 3 2 2 119" xfId="19632"/>
    <cellStyle name="Normal 3 2 2 119 2" xfId="19633"/>
    <cellStyle name="Normal 3 2 2 119 3" xfId="19634"/>
    <cellStyle name="Normal 3 2 2 119 4" xfId="19635"/>
    <cellStyle name="Normal 3 2 2 119 5" xfId="19636"/>
    <cellStyle name="Normal 3 2 2 119 6" xfId="19637"/>
    <cellStyle name="Normal 3 2 2 119 7" xfId="19638"/>
    <cellStyle name="Normal 3 2 2 119 8" xfId="19639"/>
    <cellStyle name="Normal 3 2 2 12" xfId="19640"/>
    <cellStyle name="Normal 3 2 2 12 2" xfId="19641"/>
    <cellStyle name="Normal 3 2 2 12 3" xfId="19642"/>
    <cellStyle name="Normal 3 2 2 12 4" xfId="19643"/>
    <cellStyle name="Normal 3 2 2 12 5" xfId="19644"/>
    <cellStyle name="Normal 3 2 2 12 6" xfId="19645"/>
    <cellStyle name="Normal 3 2 2 12 7" xfId="19646"/>
    <cellStyle name="Normal 3 2 2 12 8" xfId="19647"/>
    <cellStyle name="Normal 3 2 2 120" xfId="19648"/>
    <cellStyle name="Normal 3 2 2 120 2" xfId="19649"/>
    <cellStyle name="Normal 3 2 2 120 3" xfId="19650"/>
    <cellStyle name="Normal 3 2 2 120 4" xfId="19651"/>
    <cellStyle name="Normal 3 2 2 120 5" xfId="19652"/>
    <cellStyle name="Normal 3 2 2 120 6" xfId="19653"/>
    <cellStyle name="Normal 3 2 2 120 7" xfId="19654"/>
    <cellStyle name="Normal 3 2 2 120 8" xfId="19655"/>
    <cellStyle name="Normal 3 2 2 121" xfId="19656"/>
    <cellStyle name="Normal 3 2 2 121 2" xfId="19657"/>
    <cellStyle name="Normal 3 2 2 121 3" xfId="19658"/>
    <cellStyle name="Normal 3 2 2 121 4" xfId="19659"/>
    <cellStyle name="Normal 3 2 2 121 5" xfId="19660"/>
    <cellStyle name="Normal 3 2 2 121 6" xfId="19661"/>
    <cellStyle name="Normal 3 2 2 121 7" xfId="19662"/>
    <cellStyle name="Normal 3 2 2 121 8" xfId="19663"/>
    <cellStyle name="Normal 3 2 2 122" xfId="19664"/>
    <cellStyle name="Normal 3 2 2 123" xfId="19665"/>
    <cellStyle name="Normal 3 2 2 13" xfId="19666"/>
    <cellStyle name="Normal 3 2 2 13 2" xfId="19667"/>
    <cellStyle name="Normal 3 2 2 13 3" xfId="19668"/>
    <cellStyle name="Normal 3 2 2 13 4" xfId="19669"/>
    <cellStyle name="Normal 3 2 2 13 5" xfId="19670"/>
    <cellStyle name="Normal 3 2 2 13 6" xfId="19671"/>
    <cellStyle name="Normal 3 2 2 13 7" xfId="19672"/>
    <cellStyle name="Normal 3 2 2 13 8" xfId="19673"/>
    <cellStyle name="Normal 3 2 2 14" xfId="19674"/>
    <cellStyle name="Normal 3 2 2 14 2" xfId="19675"/>
    <cellStyle name="Normal 3 2 2 14 3" xfId="19676"/>
    <cellStyle name="Normal 3 2 2 14 4" xfId="19677"/>
    <cellStyle name="Normal 3 2 2 14 5" xfId="19678"/>
    <cellStyle name="Normal 3 2 2 14 6" xfId="19679"/>
    <cellStyle name="Normal 3 2 2 14 7" xfId="19680"/>
    <cellStyle name="Normal 3 2 2 14 8" xfId="19681"/>
    <cellStyle name="Normal 3 2 2 15" xfId="19682"/>
    <cellStyle name="Normal 3 2 2 15 2" xfId="19683"/>
    <cellStyle name="Normal 3 2 2 15 3" xfId="19684"/>
    <cellStyle name="Normal 3 2 2 15 4" xfId="19685"/>
    <cellStyle name="Normal 3 2 2 15 5" xfId="19686"/>
    <cellStyle name="Normal 3 2 2 15 6" xfId="19687"/>
    <cellStyle name="Normal 3 2 2 15 7" xfId="19688"/>
    <cellStyle name="Normal 3 2 2 15 8" xfId="19689"/>
    <cellStyle name="Normal 3 2 2 16" xfId="19690"/>
    <cellStyle name="Normal 3 2 2 16 2" xfId="19691"/>
    <cellStyle name="Normal 3 2 2 16 3" xfId="19692"/>
    <cellStyle name="Normal 3 2 2 16 4" xfId="19693"/>
    <cellStyle name="Normal 3 2 2 16 5" xfId="19694"/>
    <cellStyle name="Normal 3 2 2 16 6" xfId="19695"/>
    <cellStyle name="Normal 3 2 2 16 7" xfId="19696"/>
    <cellStyle name="Normal 3 2 2 16 8" xfId="19697"/>
    <cellStyle name="Normal 3 2 2 17" xfId="19698"/>
    <cellStyle name="Normal 3 2 2 17 2" xfId="19699"/>
    <cellStyle name="Normal 3 2 2 17 3" xfId="19700"/>
    <cellStyle name="Normal 3 2 2 17 4" xfId="19701"/>
    <cellStyle name="Normal 3 2 2 17 5" xfId="19702"/>
    <cellStyle name="Normal 3 2 2 17 6" xfId="19703"/>
    <cellStyle name="Normal 3 2 2 17 7" xfId="19704"/>
    <cellStyle name="Normal 3 2 2 17 8" xfId="19705"/>
    <cellStyle name="Normal 3 2 2 18" xfId="19706"/>
    <cellStyle name="Normal 3 2 2 18 2" xfId="19707"/>
    <cellStyle name="Normal 3 2 2 18 3" xfId="19708"/>
    <cellStyle name="Normal 3 2 2 18 4" xfId="19709"/>
    <cellStyle name="Normal 3 2 2 18 5" xfId="19710"/>
    <cellStyle name="Normal 3 2 2 18 6" xfId="19711"/>
    <cellStyle name="Normal 3 2 2 18 7" xfId="19712"/>
    <cellStyle name="Normal 3 2 2 18 8" xfId="19713"/>
    <cellStyle name="Normal 3 2 2 19" xfId="19714"/>
    <cellStyle name="Normal 3 2 2 19 2" xfId="19715"/>
    <cellStyle name="Normal 3 2 2 19 3" xfId="19716"/>
    <cellStyle name="Normal 3 2 2 19 4" xfId="19717"/>
    <cellStyle name="Normal 3 2 2 19 5" xfId="19718"/>
    <cellStyle name="Normal 3 2 2 19 6" xfId="19719"/>
    <cellStyle name="Normal 3 2 2 19 7" xfId="19720"/>
    <cellStyle name="Normal 3 2 2 19 8" xfId="19721"/>
    <cellStyle name="Normal 3 2 2 2" xfId="19722"/>
    <cellStyle name="Normal 3 2 2 2 2" xfId="19723"/>
    <cellStyle name="Normal 3 2 2 2 2 2" xfId="19724"/>
    <cellStyle name="Normal 3 2 2 2 2 3" xfId="19725"/>
    <cellStyle name="Normal 3 2 2 2 2 4" xfId="19726"/>
    <cellStyle name="Normal 3 2 2 2 2 5" xfId="19727"/>
    <cellStyle name="Normal 3 2 2 2 2 6" xfId="19728"/>
    <cellStyle name="Normal 3 2 2 2 3" xfId="19729"/>
    <cellStyle name="Normal 3 2 2 2 4" xfId="19730"/>
    <cellStyle name="Normal 3 2 2 20" xfId="19731"/>
    <cellStyle name="Normal 3 2 2 20 2" xfId="19732"/>
    <cellStyle name="Normal 3 2 2 20 3" xfId="19733"/>
    <cellStyle name="Normal 3 2 2 20 4" xfId="19734"/>
    <cellStyle name="Normal 3 2 2 20 5" xfId="19735"/>
    <cellStyle name="Normal 3 2 2 20 6" xfId="19736"/>
    <cellStyle name="Normal 3 2 2 20 7" xfId="19737"/>
    <cellStyle name="Normal 3 2 2 20 8" xfId="19738"/>
    <cellStyle name="Normal 3 2 2 21" xfId="19739"/>
    <cellStyle name="Normal 3 2 2 21 2" xfId="19740"/>
    <cellStyle name="Normal 3 2 2 21 3" xfId="19741"/>
    <cellStyle name="Normal 3 2 2 21 4" xfId="19742"/>
    <cellStyle name="Normal 3 2 2 21 5" xfId="19743"/>
    <cellStyle name="Normal 3 2 2 21 6" xfId="19744"/>
    <cellStyle name="Normal 3 2 2 21 7" xfId="19745"/>
    <cellStyle name="Normal 3 2 2 21 8" xfId="19746"/>
    <cellStyle name="Normal 3 2 2 22" xfId="19747"/>
    <cellStyle name="Normal 3 2 2 22 2" xfId="19748"/>
    <cellStyle name="Normal 3 2 2 22 3" xfId="19749"/>
    <cellStyle name="Normal 3 2 2 22 4" xfId="19750"/>
    <cellStyle name="Normal 3 2 2 22 5" xfId="19751"/>
    <cellStyle name="Normal 3 2 2 22 6" xfId="19752"/>
    <cellStyle name="Normal 3 2 2 22 7" xfId="19753"/>
    <cellStyle name="Normal 3 2 2 22 8" xfId="19754"/>
    <cellStyle name="Normal 3 2 2 23" xfId="19755"/>
    <cellStyle name="Normal 3 2 2 23 2" xfId="19756"/>
    <cellStyle name="Normal 3 2 2 23 3" xfId="19757"/>
    <cellStyle name="Normal 3 2 2 23 4" xfId="19758"/>
    <cellStyle name="Normal 3 2 2 23 5" xfId="19759"/>
    <cellStyle name="Normal 3 2 2 23 6" xfId="19760"/>
    <cellStyle name="Normal 3 2 2 23 7" xfId="19761"/>
    <cellStyle name="Normal 3 2 2 23 8" xfId="19762"/>
    <cellStyle name="Normal 3 2 2 24" xfId="19763"/>
    <cellStyle name="Normal 3 2 2 24 2" xfId="19764"/>
    <cellStyle name="Normal 3 2 2 24 3" xfId="19765"/>
    <cellStyle name="Normal 3 2 2 24 4" xfId="19766"/>
    <cellStyle name="Normal 3 2 2 24 5" xfId="19767"/>
    <cellStyle name="Normal 3 2 2 24 6" xfId="19768"/>
    <cellStyle name="Normal 3 2 2 24 7" xfId="19769"/>
    <cellStyle name="Normal 3 2 2 24 8" xfId="19770"/>
    <cellStyle name="Normal 3 2 2 25" xfId="19771"/>
    <cellStyle name="Normal 3 2 2 25 2" xfId="19772"/>
    <cellStyle name="Normal 3 2 2 25 3" xfId="19773"/>
    <cellStyle name="Normal 3 2 2 25 4" xfId="19774"/>
    <cellStyle name="Normal 3 2 2 25 5" xfId="19775"/>
    <cellStyle name="Normal 3 2 2 25 6" xfId="19776"/>
    <cellStyle name="Normal 3 2 2 25 7" xfId="19777"/>
    <cellStyle name="Normal 3 2 2 25 8" xfId="19778"/>
    <cellStyle name="Normal 3 2 2 26" xfId="19779"/>
    <cellStyle name="Normal 3 2 2 26 2" xfId="19780"/>
    <cellStyle name="Normal 3 2 2 26 3" xfId="19781"/>
    <cellStyle name="Normal 3 2 2 26 4" xfId="19782"/>
    <cellStyle name="Normal 3 2 2 26 5" xfId="19783"/>
    <cellStyle name="Normal 3 2 2 26 6" xfId="19784"/>
    <cellStyle name="Normal 3 2 2 26 7" xfId="19785"/>
    <cellStyle name="Normal 3 2 2 26 8" xfId="19786"/>
    <cellStyle name="Normal 3 2 2 27" xfId="19787"/>
    <cellStyle name="Normal 3 2 2 27 2" xfId="19788"/>
    <cellStyle name="Normal 3 2 2 27 3" xfId="19789"/>
    <cellStyle name="Normal 3 2 2 27 4" xfId="19790"/>
    <cellStyle name="Normal 3 2 2 27 5" xfId="19791"/>
    <cellStyle name="Normal 3 2 2 27 6" xfId="19792"/>
    <cellStyle name="Normal 3 2 2 27 7" xfId="19793"/>
    <cellStyle name="Normal 3 2 2 27 8" xfId="19794"/>
    <cellStyle name="Normal 3 2 2 28" xfId="19795"/>
    <cellStyle name="Normal 3 2 2 28 2" xfId="19796"/>
    <cellStyle name="Normal 3 2 2 28 3" xfId="19797"/>
    <cellStyle name="Normal 3 2 2 28 4" xfId="19798"/>
    <cellStyle name="Normal 3 2 2 28 5" xfId="19799"/>
    <cellStyle name="Normal 3 2 2 28 6" xfId="19800"/>
    <cellStyle name="Normal 3 2 2 28 7" xfId="19801"/>
    <cellStyle name="Normal 3 2 2 28 8" xfId="19802"/>
    <cellStyle name="Normal 3 2 2 29" xfId="19803"/>
    <cellStyle name="Normal 3 2 2 29 2" xfId="19804"/>
    <cellStyle name="Normal 3 2 2 29 3" xfId="19805"/>
    <cellStyle name="Normal 3 2 2 29 4" xfId="19806"/>
    <cellStyle name="Normal 3 2 2 29 5" xfId="19807"/>
    <cellStyle name="Normal 3 2 2 29 6" xfId="19808"/>
    <cellStyle name="Normal 3 2 2 29 7" xfId="19809"/>
    <cellStyle name="Normal 3 2 2 29 8" xfId="19810"/>
    <cellStyle name="Normal 3 2 2 3" xfId="19811"/>
    <cellStyle name="Normal 3 2 2 3 2" xfId="19812"/>
    <cellStyle name="Normal 3 2 2 3 3" xfId="19813"/>
    <cellStyle name="Normal 3 2 2 3 4" xfId="19814"/>
    <cellStyle name="Normal 3 2 2 3 5" xfId="19815"/>
    <cellStyle name="Normal 3 2 2 3 6" xfId="19816"/>
    <cellStyle name="Normal 3 2 2 3 7" xfId="19817"/>
    <cellStyle name="Normal 3 2 2 3 8" xfId="19818"/>
    <cellStyle name="Normal 3 2 2 30" xfId="19819"/>
    <cellStyle name="Normal 3 2 2 30 2" xfId="19820"/>
    <cellStyle name="Normal 3 2 2 30 3" xfId="19821"/>
    <cellStyle name="Normal 3 2 2 30 4" xfId="19822"/>
    <cellStyle name="Normal 3 2 2 30 5" xfId="19823"/>
    <cellStyle name="Normal 3 2 2 30 6" xfId="19824"/>
    <cellStyle name="Normal 3 2 2 30 7" xfId="19825"/>
    <cellStyle name="Normal 3 2 2 30 8" xfId="19826"/>
    <cellStyle name="Normal 3 2 2 31" xfId="19827"/>
    <cellStyle name="Normal 3 2 2 31 2" xfId="19828"/>
    <cellStyle name="Normal 3 2 2 31 3" xfId="19829"/>
    <cellStyle name="Normal 3 2 2 31 4" xfId="19830"/>
    <cellStyle name="Normal 3 2 2 31 5" xfId="19831"/>
    <cellStyle name="Normal 3 2 2 31 6" xfId="19832"/>
    <cellStyle name="Normal 3 2 2 31 7" xfId="19833"/>
    <cellStyle name="Normal 3 2 2 31 8" xfId="19834"/>
    <cellStyle name="Normal 3 2 2 32" xfId="19835"/>
    <cellStyle name="Normal 3 2 2 32 2" xfId="19836"/>
    <cellStyle name="Normal 3 2 2 32 3" xfId="19837"/>
    <cellStyle name="Normal 3 2 2 32 4" xfId="19838"/>
    <cellStyle name="Normal 3 2 2 32 5" xfId="19839"/>
    <cellStyle name="Normal 3 2 2 32 6" xfId="19840"/>
    <cellStyle name="Normal 3 2 2 32 7" xfId="19841"/>
    <cellStyle name="Normal 3 2 2 32 8" xfId="19842"/>
    <cellStyle name="Normal 3 2 2 33" xfId="19843"/>
    <cellStyle name="Normal 3 2 2 33 2" xfId="19844"/>
    <cellStyle name="Normal 3 2 2 33 3" xfId="19845"/>
    <cellStyle name="Normal 3 2 2 33 4" xfId="19846"/>
    <cellStyle name="Normal 3 2 2 33 5" xfId="19847"/>
    <cellStyle name="Normal 3 2 2 33 6" xfId="19848"/>
    <cellStyle name="Normal 3 2 2 33 7" xfId="19849"/>
    <cellStyle name="Normal 3 2 2 33 8" xfId="19850"/>
    <cellStyle name="Normal 3 2 2 34" xfId="19851"/>
    <cellStyle name="Normal 3 2 2 34 2" xfId="19852"/>
    <cellStyle name="Normal 3 2 2 34 3" xfId="19853"/>
    <cellStyle name="Normal 3 2 2 34 4" xfId="19854"/>
    <cellStyle name="Normal 3 2 2 34 5" xfId="19855"/>
    <cellStyle name="Normal 3 2 2 34 6" xfId="19856"/>
    <cellStyle name="Normal 3 2 2 34 7" xfId="19857"/>
    <cellStyle name="Normal 3 2 2 34 8" xfId="19858"/>
    <cellStyle name="Normal 3 2 2 35" xfId="19859"/>
    <cellStyle name="Normal 3 2 2 35 2" xfId="19860"/>
    <cellStyle name="Normal 3 2 2 35 3" xfId="19861"/>
    <cellStyle name="Normal 3 2 2 35 4" xfId="19862"/>
    <cellStyle name="Normal 3 2 2 35 5" xfId="19863"/>
    <cellStyle name="Normal 3 2 2 35 6" xfId="19864"/>
    <cellStyle name="Normal 3 2 2 35 7" xfId="19865"/>
    <cellStyle name="Normal 3 2 2 35 8" xfId="19866"/>
    <cellStyle name="Normal 3 2 2 36" xfId="19867"/>
    <cellStyle name="Normal 3 2 2 36 2" xfId="19868"/>
    <cellStyle name="Normal 3 2 2 36 3" xfId="19869"/>
    <cellStyle name="Normal 3 2 2 36 4" xfId="19870"/>
    <cellStyle name="Normal 3 2 2 36 5" xfId="19871"/>
    <cellStyle name="Normal 3 2 2 36 6" xfId="19872"/>
    <cellStyle name="Normal 3 2 2 36 7" xfId="19873"/>
    <cellStyle name="Normal 3 2 2 36 8" xfId="19874"/>
    <cellStyle name="Normal 3 2 2 37" xfId="19875"/>
    <cellStyle name="Normal 3 2 2 37 2" xfId="19876"/>
    <cellStyle name="Normal 3 2 2 37 3" xfId="19877"/>
    <cellStyle name="Normal 3 2 2 37 4" xfId="19878"/>
    <cellStyle name="Normal 3 2 2 37 5" xfId="19879"/>
    <cellStyle name="Normal 3 2 2 37 6" xfId="19880"/>
    <cellStyle name="Normal 3 2 2 37 7" xfId="19881"/>
    <cellStyle name="Normal 3 2 2 37 8" xfId="19882"/>
    <cellStyle name="Normal 3 2 2 38" xfId="19883"/>
    <cellStyle name="Normal 3 2 2 38 2" xfId="19884"/>
    <cellStyle name="Normal 3 2 2 38 3" xfId="19885"/>
    <cellStyle name="Normal 3 2 2 38 4" xfId="19886"/>
    <cellStyle name="Normal 3 2 2 38 5" xfId="19887"/>
    <cellStyle name="Normal 3 2 2 38 6" xfId="19888"/>
    <cellStyle name="Normal 3 2 2 38 7" xfId="19889"/>
    <cellStyle name="Normal 3 2 2 38 8" xfId="19890"/>
    <cellStyle name="Normal 3 2 2 39" xfId="19891"/>
    <cellStyle name="Normal 3 2 2 39 2" xfId="19892"/>
    <cellStyle name="Normal 3 2 2 39 3" xfId="19893"/>
    <cellStyle name="Normal 3 2 2 39 4" xfId="19894"/>
    <cellStyle name="Normal 3 2 2 39 5" xfId="19895"/>
    <cellStyle name="Normal 3 2 2 39 6" xfId="19896"/>
    <cellStyle name="Normal 3 2 2 39 7" xfId="19897"/>
    <cellStyle name="Normal 3 2 2 39 8" xfId="19898"/>
    <cellStyle name="Normal 3 2 2 4" xfId="19899"/>
    <cellStyle name="Normal 3 2 2 4 2" xfId="19900"/>
    <cellStyle name="Normal 3 2 2 4 3" xfId="19901"/>
    <cellStyle name="Normal 3 2 2 4 4" xfId="19902"/>
    <cellStyle name="Normal 3 2 2 4 5" xfId="19903"/>
    <cellStyle name="Normal 3 2 2 4 6" xfId="19904"/>
    <cellStyle name="Normal 3 2 2 4 7" xfId="19905"/>
    <cellStyle name="Normal 3 2 2 4 8" xfId="19906"/>
    <cellStyle name="Normal 3 2 2 40" xfId="19907"/>
    <cellStyle name="Normal 3 2 2 40 2" xfId="19908"/>
    <cellStyle name="Normal 3 2 2 40 3" xfId="19909"/>
    <cellStyle name="Normal 3 2 2 40 4" xfId="19910"/>
    <cellStyle name="Normal 3 2 2 40 5" xfId="19911"/>
    <cellStyle name="Normal 3 2 2 40 6" xfId="19912"/>
    <cellStyle name="Normal 3 2 2 40 7" xfId="19913"/>
    <cellStyle name="Normal 3 2 2 40 8" xfId="19914"/>
    <cellStyle name="Normal 3 2 2 41" xfId="19915"/>
    <cellStyle name="Normal 3 2 2 41 2" xfId="19916"/>
    <cellStyle name="Normal 3 2 2 41 3" xfId="19917"/>
    <cellStyle name="Normal 3 2 2 41 4" xfId="19918"/>
    <cellStyle name="Normal 3 2 2 41 5" xfId="19919"/>
    <cellStyle name="Normal 3 2 2 41 6" xfId="19920"/>
    <cellStyle name="Normal 3 2 2 41 7" xfId="19921"/>
    <cellStyle name="Normal 3 2 2 41 8" xfId="19922"/>
    <cellStyle name="Normal 3 2 2 42" xfId="19923"/>
    <cellStyle name="Normal 3 2 2 42 2" xfId="19924"/>
    <cellStyle name="Normal 3 2 2 42 3" xfId="19925"/>
    <cellStyle name="Normal 3 2 2 42 4" xfId="19926"/>
    <cellStyle name="Normal 3 2 2 42 5" xfId="19927"/>
    <cellStyle name="Normal 3 2 2 42 6" xfId="19928"/>
    <cellStyle name="Normal 3 2 2 42 7" xfId="19929"/>
    <cellStyle name="Normal 3 2 2 42 8" xfId="19930"/>
    <cellStyle name="Normal 3 2 2 43" xfId="19931"/>
    <cellStyle name="Normal 3 2 2 43 2" xfId="19932"/>
    <cellStyle name="Normal 3 2 2 43 3" xfId="19933"/>
    <cellStyle name="Normal 3 2 2 43 4" xfId="19934"/>
    <cellStyle name="Normal 3 2 2 43 5" xfId="19935"/>
    <cellStyle name="Normal 3 2 2 43 6" xfId="19936"/>
    <cellStyle name="Normal 3 2 2 43 7" xfId="19937"/>
    <cellStyle name="Normal 3 2 2 43 8" xfId="19938"/>
    <cellStyle name="Normal 3 2 2 44" xfId="19939"/>
    <cellStyle name="Normal 3 2 2 44 2" xfId="19940"/>
    <cellStyle name="Normal 3 2 2 44 3" xfId="19941"/>
    <cellStyle name="Normal 3 2 2 44 4" xfId="19942"/>
    <cellStyle name="Normal 3 2 2 44 5" xfId="19943"/>
    <cellStyle name="Normal 3 2 2 44 6" xfId="19944"/>
    <cellStyle name="Normal 3 2 2 44 7" xfId="19945"/>
    <cellStyle name="Normal 3 2 2 44 8" xfId="19946"/>
    <cellStyle name="Normal 3 2 2 45" xfId="19947"/>
    <cellStyle name="Normal 3 2 2 45 2" xfId="19948"/>
    <cellStyle name="Normal 3 2 2 45 3" xfId="19949"/>
    <cellStyle name="Normal 3 2 2 45 4" xfId="19950"/>
    <cellStyle name="Normal 3 2 2 45 5" xfId="19951"/>
    <cellStyle name="Normal 3 2 2 45 6" xfId="19952"/>
    <cellStyle name="Normal 3 2 2 45 7" xfId="19953"/>
    <cellStyle name="Normal 3 2 2 45 8" xfId="19954"/>
    <cellStyle name="Normal 3 2 2 46" xfId="19955"/>
    <cellStyle name="Normal 3 2 2 46 2" xfId="19956"/>
    <cellStyle name="Normal 3 2 2 46 3" xfId="19957"/>
    <cellStyle name="Normal 3 2 2 46 4" xfId="19958"/>
    <cellStyle name="Normal 3 2 2 46 5" xfId="19959"/>
    <cellStyle name="Normal 3 2 2 46 6" xfId="19960"/>
    <cellStyle name="Normal 3 2 2 46 7" xfId="19961"/>
    <cellStyle name="Normal 3 2 2 46 8" xfId="19962"/>
    <cellStyle name="Normal 3 2 2 47" xfId="19963"/>
    <cellStyle name="Normal 3 2 2 47 2" xfId="19964"/>
    <cellStyle name="Normal 3 2 2 47 3" xfId="19965"/>
    <cellStyle name="Normal 3 2 2 47 4" xfId="19966"/>
    <cellStyle name="Normal 3 2 2 47 5" xfId="19967"/>
    <cellStyle name="Normal 3 2 2 47 6" xfId="19968"/>
    <cellStyle name="Normal 3 2 2 47 7" xfId="19969"/>
    <cellStyle name="Normal 3 2 2 47 8" xfId="19970"/>
    <cellStyle name="Normal 3 2 2 48" xfId="19971"/>
    <cellStyle name="Normal 3 2 2 48 2" xfId="19972"/>
    <cellStyle name="Normal 3 2 2 48 3" xfId="19973"/>
    <cellStyle name="Normal 3 2 2 48 4" xfId="19974"/>
    <cellStyle name="Normal 3 2 2 48 5" xfId="19975"/>
    <cellStyle name="Normal 3 2 2 48 6" xfId="19976"/>
    <cellStyle name="Normal 3 2 2 48 7" xfId="19977"/>
    <cellStyle name="Normal 3 2 2 48 8" xfId="19978"/>
    <cellStyle name="Normal 3 2 2 49" xfId="19979"/>
    <cellStyle name="Normal 3 2 2 49 2" xfId="19980"/>
    <cellStyle name="Normal 3 2 2 49 3" xfId="19981"/>
    <cellStyle name="Normal 3 2 2 49 4" xfId="19982"/>
    <cellStyle name="Normal 3 2 2 49 5" xfId="19983"/>
    <cellStyle name="Normal 3 2 2 49 6" xfId="19984"/>
    <cellStyle name="Normal 3 2 2 49 7" xfId="19985"/>
    <cellStyle name="Normal 3 2 2 49 8" xfId="19986"/>
    <cellStyle name="Normal 3 2 2 5" xfId="19987"/>
    <cellStyle name="Normal 3 2 2 5 2" xfId="19988"/>
    <cellStyle name="Normal 3 2 2 5 3" xfId="19989"/>
    <cellStyle name="Normal 3 2 2 5 4" xfId="19990"/>
    <cellStyle name="Normal 3 2 2 5 5" xfId="19991"/>
    <cellStyle name="Normal 3 2 2 5 6" xfId="19992"/>
    <cellStyle name="Normal 3 2 2 5 7" xfId="19993"/>
    <cellStyle name="Normal 3 2 2 5 8" xfId="19994"/>
    <cellStyle name="Normal 3 2 2 50" xfId="19995"/>
    <cellStyle name="Normal 3 2 2 50 2" xfId="19996"/>
    <cellStyle name="Normal 3 2 2 50 3" xfId="19997"/>
    <cellStyle name="Normal 3 2 2 50 4" xfId="19998"/>
    <cellStyle name="Normal 3 2 2 50 5" xfId="19999"/>
    <cellStyle name="Normal 3 2 2 50 6" xfId="20000"/>
    <cellStyle name="Normal 3 2 2 50 7" xfId="20001"/>
    <cellStyle name="Normal 3 2 2 50 8" xfId="20002"/>
    <cellStyle name="Normal 3 2 2 51" xfId="20003"/>
    <cellStyle name="Normal 3 2 2 51 2" xfId="20004"/>
    <cellStyle name="Normal 3 2 2 51 3" xfId="20005"/>
    <cellStyle name="Normal 3 2 2 51 4" xfId="20006"/>
    <cellStyle name="Normal 3 2 2 51 5" xfId="20007"/>
    <cellStyle name="Normal 3 2 2 51 6" xfId="20008"/>
    <cellStyle name="Normal 3 2 2 51 7" xfId="20009"/>
    <cellStyle name="Normal 3 2 2 51 8" xfId="20010"/>
    <cellStyle name="Normal 3 2 2 52" xfId="20011"/>
    <cellStyle name="Normal 3 2 2 52 2" xfId="20012"/>
    <cellStyle name="Normal 3 2 2 52 3" xfId="20013"/>
    <cellStyle name="Normal 3 2 2 52 4" xfId="20014"/>
    <cellStyle name="Normal 3 2 2 52 5" xfId="20015"/>
    <cellStyle name="Normal 3 2 2 52 6" xfId="20016"/>
    <cellStyle name="Normal 3 2 2 52 7" xfId="20017"/>
    <cellStyle name="Normal 3 2 2 52 8" xfId="20018"/>
    <cellStyle name="Normal 3 2 2 53" xfId="20019"/>
    <cellStyle name="Normal 3 2 2 53 2" xfId="20020"/>
    <cellStyle name="Normal 3 2 2 53 3" xfId="20021"/>
    <cellStyle name="Normal 3 2 2 53 4" xfId="20022"/>
    <cellStyle name="Normal 3 2 2 53 5" xfId="20023"/>
    <cellStyle name="Normal 3 2 2 53 6" xfId="20024"/>
    <cellStyle name="Normal 3 2 2 53 7" xfId="20025"/>
    <cellStyle name="Normal 3 2 2 53 8" xfId="20026"/>
    <cellStyle name="Normal 3 2 2 54" xfId="20027"/>
    <cellStyle name="Normal 3 2 2 54 2" xfId="20028"/>
    <cellStyle name="Normal 3 2 2 54 3" xfId="20029"/>
    <cellStyle name="Normal 3 2 2 54 4" xfId="20030"/>
    <cellStyle name="Normal 3 2 2 54 5" xfId="20031"/>
    <cellStyle name="Normal 3 2 2 54 6" xfId="20032"/>
    <cellStyle name="Normal 3 2 2 54 7" xfId="20033"/>
    <cellStyle name="Normal 3 2 2 54 8" xfId="20034"/>
    <cellStyle name="Normal 3 2 2 55" xfId="20035"/>
    <cellStyle name="Normal 3 2 2 55 2" xfId="20036"/>
    <cellStyle name="Normal 3 2 2 55 3" xfId="20037"/>
    <cellStyle name="Normal 3 2 2 55 4" xfId="20038"/>
    <cellStyle name="Normal 3 2 2 55 5" xfId="20039"/>
    <cellStyle name="Normal 3 2 2 55 6" xfId="20040"/>
    <cellStyle name="Normal 3 2 2 55 7" xfId="20041"/>
    <cellStyle name="Normal 3 2 2 55 8" xfId="20042"/>
    <cellStyle name="Normal 3 2 2 56" xfId="20043"/>
    <cellStyle name="Normal 3 2 2 56 2" xfId="20044"/>
    <cellStyle name="Normal 3 2 2 56 3" xfId="20045"/>
    <cellStyle name="Normal 3 2 2 56 4" xfId="20046"/>
    <cellStyle name="Normal 3 2 2 56 5" xfId="20047"/>
    <cellStyle name="Normal 3 2 2 56 6" xfId="20048"/>
    <cellStyle name="Normal 3 2 2 56 7" xfId="20049"/>
    <cellStyle name="Normal 3 2 2 56 8" xfId="20050"/>
    <cellStyle name="Normal 3 2 2 57" xfId="20051"/>
    <cellStyle name="Normal 3 2 2 57 2" xfId="20052"/>
    <cellStyle name="Normal 3 2 2 57 3" xfId="20053"/>
    <cellStyle name="Normal 3 2 2 57 4" xfId="20054"/>
    <cellStyle name="Normal 3 2 2 57 5" xfId="20055"/>
    <cellStyle name="Normal 3 2 2 57 6" xfId="20056"/>
    <cellStyle name="Normal 3 2 2 57 7" xfId="20057"/>
    <cellStyle name="Normal 3 2 2 57 8" xfId="20058"/>
    <cellStyle name="Normal 3 2 2 58" xfId="20059"/>
    <cellStyle name="Normal 3 2 2 58 2" xfId="20060"/>
    <cellStyle name="Normal 3 2 2 58 3" xfId="20061"/>
    <cellStyle name="Normal 3 2 2 58 4" xfId="20062"/>
    <cellStyle name="Normal 3 2 2 58 5" xfId="20063"/>
    <cellStyle name="Normal 3 2 2 58 6" xfId="20064"/>
    <cellStyle name="Normal 3 2 2 58 7" xfId="20065"/>
    <cellStyle name="Normal 3 2 2 58 8" xfId="20066"/>
    <cellStyle name="Normal 3 2 2 59" xfId="20067"/>
    <cellStyle name="Normal 3 2 2 59 2" xfId="20068"/>
    <cellStyle name="Normal 3 2 2 59 3" xfId="20069"/>
    <cellStyle name="Normal 3 2 2 59 4" xfId="20070"/>
    <cellStyle name="Normal 3 2 2 59 5" xfId="20071"/>
    <cellStyle name="Normal 3 2 2 59 6" xfId="20072"/>
    <cellStyle name="Normal 3 2 2 59 7" xfId="20073"/>
    <cellStyle name="Normal 3 2 2 59 8" xfId="20074"/>
    <cellStyle name="Normal 3 2 2 6" xfId="20075"/>
    <cellStyle name="Normal 3 2 2 6 2" xfId="20076"/>
    <cellStyle name="Normal 3 2 2 6 3" xfId="20077"/>
    <cellStyle name="Normal 3 2 2 6 4" xfId="20078"/>
    <cellStyle name="Normal 3 2 2 6 5" xfId="20079"/>
    <cellStyle name="Normal 3 2 2 6 6" xfId="20080"/>
    <cellStyle name="Normal 3 2 2 6 7" xfId="20081"/>
    <cellStyle name="Normal 3 2 2 6 8" xfId="20082"/>
    <cellStyle name="Normal 3 2 2 60" xfId="20083"/>
    <cellStyle name="Normal 3 2 2 60 2" xfId="20084"/>
    <cellStyle name="Normal 3 2 2 60 3" xfId="20085"/>
    <cellStyle name="Normal 3 2 2 60 4" xfId="20086"/>
    <cellStyle name="Normal 3 2 2 60 5" xfId="20087"/>
    <cellStyle name="Normal 3 2 2 60 6" xfId="20088"/>
    <cellStyle name="Normal 3 2 2 60 7" xfId="20089"/>
    <cellStyle name="Normal 3 2 2 60 8" xfId="20090"/>
    <cellStyle name="Normal 3 2 2 61" xfId="20091"/>
    <cellStyle name="Normal 3 2 2 61 2" xfId="20092"/>
    <cellStyle name="Normal 3 2 2 61 3" xfId="20093"/>
    <cellStyle name="Normal 3 2 2 61 4" xfId="20094"/>
    <cellStyle name="Normal 3 2 2 61 5" xfId="20095"/>
    <cellStyle name="Normal 3 2 2 61 6" xfId="20096"/>
    <cellStyle name="Normal 3 2 2 61 7" xfId="20097"/>
    <cellStyle name="Normal 3 2 2 61 8" xfId="20098"/>
    <cellStyle name="Normal 3 2 2 62" xfId="20099"/>
    <cellStyle name="Normal 3 2 2 62 2" xfId="20100"/>
    <cellStyle name="Normal 3 2 2 62 3" xfId="20101"/>
    <cellStyle name="Normal 3 2 2 62 4" xfId="20102"/>
    <cellStyle name="Normal 3 2 2 62 5" xfId="20103"/>
    <cellStyle name="Normal 3 2 2 62 6" xfId="20104"/>
    <cellStyle name="Normal 3 2 2 62 7" xfId="20105"/>
    <cellStyle name="Normal 3 2 2 62 8" xfId="20106"/>
    <cellStyle name="Normal 3 2 2 63" xfId="20107"/>
    <cellStyle name="Normal 3 2 2 63 2" xfId="20108"/>
    <cellStyle name="Normal 3 2 2 63 3" xfId="20109"/>
    <cellStyle name="Normal 3 2 2 63 4" xfId="20110"/>
    <cellStyle name="Normal 3 2 2 63 5" xfId="20111"/>
    <cellStyle name="Normal 3 2 2 63 6" xfId="20112"/>
    <cellStyle name="Normal 3 2 2 63 7" xfId="20113"/>
    <cellStyle name="Normal 3 2 2 63 8" xfId="20114"/>
    <cellStyle name="Normal 3 2 2 64" xfId="20115"/>
    <cellStyle name="Normal 3 2 2 64 2" xfId="20116"/>
    <cellStyle name="Normal 3 2 2 64 3" xfId="20117"/>
    <cellStyle name="Normal 3 2 2 64 4" xfId="20118"/>
    <cellStyle name="Normal 3 2 2 64 5" xfId="20119"/>
    <cellStyle name="Normal 3 2 2 64 6" xfId="20120"/>
    <cellStyle name="Normal 3 2 2 64 7" xfId="20121"/>
    <cellStyle name="Normal 3 2 2 64 8" xfId="20122"/>
    <cellStyle name="Normal 3 2 2 65" xfId="20123"/>
    <cellStyle name="Normal 3 2 2 65 2" xfId="20124"/>
    <cellStyle name="Normal 3 2 2 65 3" xfId="20125"/>
    <cellStyle name="Normal 3 2 2 65 4" xfId="20126"/>
    <cellStyle name="Normal 3 2 2 65 5" xfId="20127"/>
    <cellStyle name="Normal 3 2 2 65 6" xfId="20128"/>
    <cellStyle name="Normal 3 2 2 65 7" xfId="20129"/>
    <cellStyle name="Normal 3 2 2 65 8" xfId="20130"/>
    <cellStyle name="Normal 3 2 2 66" xfId="20131"/>
    <cellStyle name="Normal 3 2 2 66 2" xfId="20132"/>
    <cellStyle name="Normal 3 2 2 66 3" xfId="20133"/>
    <cellStyle name="Normal 3 2 2 66 4" xfId="20134"/>
    <cellStyle name="Normal 3 2 2 66 5" xfId="20135"/>
    <cellStyle name="Normal 3 2 2 66 6" xfId="20136"/>
    <cellStyle name="Normal 3 2 2 66 7" xfId="20137"/>
    <cellStyle name="Normal 3 2 2 66 8" xfId="20138"/>
    <cellStyle name="Normal 3 2 2 67" xfId="20139"/>
    <cellStyle name="Normal 3 2 2 67 2" xfId="20140"/>
    <cellStyle name="Normal 3 2 2 67 3" xfId="20141"/>
    <cellStyle name="Normal 3 2 2 67 4" xfId="20142"/>
    <cellStyle name="Normal 3 2 2 67 5" xfId="20143"/>
    <cellStyle name="Normal 3 2 2 67 6" xfId="20144"/>
    <cellStyle name="Normal 3 2 2 67 7" xfId="20145"/>
    <cellStyle name="Normal 3 2 2 67 8" xfId="20146"/>
    <cellStyle name="Normal 3 2 2 68" xfId="20147"/>
    <cellStyle name="Normal 3 2 2 68 2" xfId="20148"/>
    <cellStyle name="Normal 3 2 2 68 3" xfId="20149"/>
    <cellStyle name="Normal 3 2 2 68 4" xfId="20150"/>
    <cellStyle name="Normal 3 2 2 68 5" xfId="20151"/>
    <cellStyle name="Normal 3 2 2 68 6" xfId="20152"/>
    <cellStyle name="Normal 3 2 2 68 7" xfId="20153"/>
    <cellStyle name="Normal 3 2 2 68 8" xfId="20154"/>
    <cellStyle name="Normal 3 2 2 69" xfId="20155"/>
    <cellStyle name="Normal 3 2 2 69 2" xfId="20156"/>
    <cellStyle name="Normal 3 2 2 69 3" xfId="20157"/>
    <cellStyle name="Normal 3 2 2 69 4" xfId="20158"/>
    <cellStyle name="Normal 3 2 2 69 5" xfId="20159"/>
    <cellStyle name="Normal 3 2 2 69 6" xfId="20160"/>
    <cellStyle name="Normal 3 2 2 69 7" xfId="20161"/>
    <cellStyle name="Normal 3 2 2 69 8" xfId="20162"/>
    <cellStyle name="Normal 3 2 2 7" xfId="20163"/>
    <cellStyle name="Normal 3 2 2 7 2" xfId="20164"/>
    <cellStyle name="Normal 3 2 2 7 3" xfId="20165"/>
    <cellStyle name="Normal 3 2 2 7 4" xfId="20166"/>
    <cellStyle name="Normal 3 2 2 7 5" xfId="20167"/>
    <cellStyle name="Normal 3 2 2 7 6" xfId="20168"/>
    <cellStyle name="Normal 3 2 2 7 7" xfId="20169"/>
    <cellStyle name="Normal 3 2 2 7 8" xfId="20170"/>
    <cellStyle name="Normal 3 2 2 70" xfId="20171"/>
    <cellStyle name="Normal 3 2 2 70 2" xfId="20172"/>
    <cellStyle name="Normal 3 2 2 70 3" xfId="20173"/>
    <cellStyle name="Normal 3 2 2 70 4" xfId="20174"/>
    <cellStyle name="Normal 3 2 2 70 5" xfId="20175"/>
    <cellStyle name="Normal 3 2 2 70 6" xfId="20176"/>
    <cellStyle name="Normal 3 2 2 70 7" xfId="20177"/>
    <cellStyle name="Normal 3 2 2 70 8" xfId="20178"/>
    <cellStyle name="Normal 3 2 2 71" xfId="20179"/>
    <cellStyle name="Normal 3 2 2 71 2" xfId="20180"/>
    <cellStyle name="Normal 3 2 2 71 3" xfId="20181"/>
    <cellStyle name="Normal 3 2 2 71 4" xfId="20182"/>
    <cellStyle name="Normal 3 2 2 71 5" xfId="20183"/>
    <cellStyle name="Normal 3 2 2 71 6" xfId="20184"/>
    <cellStyle name="Normal 3 2 2 71 7" xfId="20185"/>
    <cellStyle name="Normal 3 2 2 71 8" xfId="20186"/>
    <cellStyle name="Normal 3 2 2 72" xfId="20187"/>
    <cellStyle name="Normal 3 2 2 72 2" xfId="20188"/>
    <cellStyle name="Normal 3 2 2 72 3" xfId="20189"/>
    <cellStyle name="Normal 3 2 2 72 4" xfId="20190"/>
    <cellStyle name="Normal 3 2 2 72 5" xfId="20191"/>
    <cellStyle name="Normal 3 2 2 72 6" xfId="20192"/>
    <cellStyle name="Normal 3 2 2 72 7" xfId="20193"/>
    <cellStyle name="Normal 3 2 2 72 8" xfId="20194"/>
    <cellStyle name="Normal 3 2 2 73" xfId="20195"/>
    <cellStyle name="Normal 3 2 2 73 2" xfId="20196"/>
    <cellStyle name="Normal 3 2 2 73 3" xfId="20197"/>
    <cellStyle name="Normal 3 2 2 73 4" xfId="20198"/>
    <cellStyle name="Normal 3 2 2 73 5" xfId="20199"/>
    <cellStyle name="Normal 3 2 2 73 6" xfId="20200"/>
    <cellStyle name="Normal 3 2 2 73 7" xfId="20201"/>
    <cellStyle name="Normal 3 2 2 73 8" xfId="20202"/>
    <cellStyle name="Normal 3 2 2 74" xfId="20203"/>
    <cellStyle name="Normal 3 2 2 74 2" xfId="20204"/>
    <cellStyle name="Normal 3 2 2 74 3" xfId="20205"/>
    <cellStyle name="Normal 3 2 2 74 4" xfId="20206"/>
    <cellStyle name="Normal 3 2 2 74 5" xfId="20207"/>
    <cellStyle name="Normal 3 2 2 74 6" xfId="20208"/>
    <cellStyle name="Normal 3 2 2 74 7" xfId="20209"/>
    <cellStyle name="Normal 3 2 2 74 8" xfId="20210"/>
    <cellStyle name="Normal 3 2 2 75" xfId="20211"/>
    <cellStyle name="Normal 3 2 2 75 2" xfId="20212"/>
    <cellStyle name="Normal 3 2 2 75 3" xfId="20213"/>
    <cellStyle name="Normal 3 2 2 75 4" xfId="20214"/>
    <cellStyle name="Normal 3 2 2 75 5" xfId="20215"/>
    <cellStyle name="Normal 3 2 2 75 6" xfId="20216"/>
    <cellStyle name="Normal 3 2 2 75 7" xfId="20217"/>
    <cellStyle name="Normal 3 2 2 75 8" xfId="20218"/>
    <cellStyle name="Normal 3 2 2 76" xfId="20219"/>
    <cellStyle name="Normal 3 2 2 76 2" xfId="20220"/>
    <cellStyle name="Normal 3 2 2 76 3" xfId="20221"/>
    <cellStyle name="Normal 3 2 2 76 4" xfId="20222"/>
    <cellStyle name="Normal 3 2 2 76 5" xfId="20223"/>
    <cellStyle name="Normal 3 2 2 76 6" xfId="20224"/>
    <cellStyle name="Normal 3 2 2 76 7" xfId="20225"/>
    <cellStyle name="Normal 3 2 2 76 8" xfId="20226"/>
    <cellStyle name="Normal 3 2 2 77" xfId="20227"/>
    <cellStyle name="Normal 3 2 2 77 2" xfId="20228"/>
    <cellStyle name="Normal 3 2 2 77 3" xfId="20229"/>
    <cellStyle name="Normal 3 2 2 77 4" xfId="20230"/>
    <cellStyle name="Normal 3 2 2 77 5" xfId="20231"/>
    <cellStyle name="Normal 3 2 2 77 6" xfId="20232"/>
    <cellStyle name="Normal 3 2 2 77 7" xfId="20233"/>
    <cellStyle name="Normal 3 2 2 77 8" xfId="20234"/>
    <cellStyle name="Normal 3 2 2 78" xfId="20235"/>
    <cellStyle name="Normal 3 2 2 78 2" xfId="20236"/>
    <cellStyle name="Normal 3 2 2 78 3" xfId="20237"/>
    <cellStyle name="Normal 3 2 2 78 4" xfId="20238"/>
    <cellStyle name="Normal 3 2 2 78 5" xfId="20239"/>
    <cellStyle name="Normal 3 2 2 78 6" xfId="20240"/>
    <cellStyle name="Normal 3 2 2 78 7" xfId="20241"/>
    <cellStyle name="Normal 3 2 2 78 8" xfId="20242"/>
    <cellStyle name="Normal 3 2 2 79" xfId="20243"/>
    <cellStyle name="Normal 3 2 2 79 2" xfId="20244"/>
    <cellStyle name="Normal 3 2 2 79 3" xfId="20245"/>
    <cellStyle name="Normal 3 2 2 79 4" xfId="20246"/>
    <cellStyle name="Normal 3 2 2 79 5" xfId="20247"/>
    <cellStyle name="Normal 3 2 2 79 6" xfId="20248"/>
    <cellStyle name="Normal 3 2 2 79 7" xfId="20249"/>
    <cellStyle name="Normal 3 2 2 79 8" xfId="20250"/>
    <cellStyle name="Normal 3 2 2 8" xfId="20251"/>
    <cellStyle name="Normal 3 2 2 8 2" xfId="20252"/>
    <cellStyle name="Normal 3 2 2 8 3" xfId="20253"/>
    <cellStyle name="Normal 3 2 2 8 4" xfId="20254"/>
    <cellStyle name="Normal 3 2 2 8 5" xfId="20255"/>
    <cellStyle name="Normal 3 2 2 8 6" xfId="20256"/>
    <cellStyle name="Normal 3 2 2 8 7" xfId="20257"/>
    <cellStyle name="Normal 3 2 2 8 8" xfId="20258"/>
    <cellStyle name="Normal 3 2 2 80" xfId="20259"/>
    <cellStyle name="Normal 3 2 2 80 2" xfId="20260"/>
    <cellStyle name="Normal 3 2 2 80 3" xfId="20261"/>
    <cellStyle name="Normal 3 2 2 80 4" xfId="20262"/>
    <cellStyle name="Normal 3 2 2 80 5" xfId="20263"/>
    <cellStyle name="Normal 3 2 2 80 6" xfId="20264"/>
    <cellStyle name="Normal 3 2 2 80 7" xfId="20265"/>
    <cellStyle name="Normal 3 2 2 80 8" xfId="20266"/>
    <cellStyle name="Normal 3 2 2 81" xfId="20267"/>
    <cellStyle name="Normal 3 2 2 81 2" xfId="20268"/>
    <cellStyle name="Normal 3 2 2 81 3" xfId="20269"/>
    <cellStyle name="Normal 3 2 2 81 4" xfId="20270"/>
    <cellStyle name="Normal 3 2 2 81 5" xfId="20271"/>
    <cellStyle name="Normal 3 2 2 81 6" xfId="20272"/>
    <cellStyle name="Normal 3 2 2 81 7" xfId="20273"/>
    <cellStyle name="Normal 3 2 2 81 8" xfId="20274"/>
    <cellStyle name="Normal 3 2 2 82" xfId="20275"/>
    <cellStyle name="Normal 3 2 2 82 2" xfId="20276"/>
    <cellStyle name="Normal 3 2 2 82 3" xfId="20277"/>
    <cellStyle name="Normal 3 2 2 82 4" xfId="20278"/>
    <cellStyle name="Normal 3 2 2 82 5" xfId="20279"/>
    <cellStyle name="Normal 3 2 2 82 6" xfId="20280"/>
    <cellStyle name="Normal 3 2 2 82 7" xfId="20281"/>
    <cellStyle name="Normal 3 2 2 82 8" xfId="20282"/>
    <cellStyle name="Normal 3 2 2 83" xfId="20283"/>
    <cellStyle name="Normal 3 2 2 83 2" xfId="20284"/>
    <cellStyle name="Normal 3 2 2 83 3" xfId="20285"/>
    <cellStyle name="Normal 3 2 2 83 4" xfId="20286"/>
    <cellStyle name="Normal 3 2 2 83 5" xfId="20287"/>
    <cellStyle name="Normal 3 2 2 83 6" xfId="20288"/>
    <cellStyle name="Normal 3 2 2 83 7" xfId="20289"/>
    <cellStyle name="Normal 3 2 2 83 8" xfId="20290"/>
    <cellStyle name="Normal 3 2 2 84" xfId="20291"/>
    <cellStyle name="Normal 3 2 2 84 2" xfId="20292"/>
    <cellStyle name="Normal 3 2 2 84 3" xfId="20293"/>
    <cellStyle name="Normal 3 2 2 84 4" xfId="20294"/>
    <cellStyle name="Normal 3 2 2 84 5" xfId="20295"/>
    <cellStyle name="Normal 3 2 2 84 6" xfId="20296"/>
    <cellStyle name="Normal 3 2 2 84 7" xfId="20297"/>
    <cellStyle name="Normal 3 2 2 84 8" xfId="20298"/>
    <cellStyle name="Normal 3 2 2 85" xfId="20299"/>
    <cellStyle name="Normal 3 2 2 85 2" xfId="20300"/>
    <cellStyle name="Normal 3 2 2 85 3" xfId="20301"/>
    <cellStyle name="Normal 3 2 2 85 4" xfId="20302"/>
    <cellStyle name="Normal 3 2 2 85 5" xfId="20303"/>
    <cellStyle name="Normal 3 2 2 85 6" xfId="20304"/>
    <cellStyle name="Normal 3 2 2 85 7" xfId="20305"/>
    <cellStyle name="Normal 3 2 2 85 8" xfId="20306"/>
    <cellStyle name="Normal 3 2 2 86" xfId="20307"/>
    <cellStyle name="Normal 3 2 2 86 2" xfId="20308"/>
    <cellStyle name="Normal 3 2 2 86 3" xfId="20309"/>
    <cellStyle name="Normal 3 2 2 86 4" xfId="20310"/>
    <cellStyle name="Normal 3 2 2 86 5" xfId="20311"/>
    <cellStyle name="Normal 3 2 2 86 6" xfId="20312"/>
    <cellStyle name="Normal 3 2 2 86 7" xfId="20313"/>
    <cellStyle name="Normal 3 2 2 86 8" xfId="20314"/>
    <cellStyle name="Normal 3 2 2 87" xfId="20315"/>
    <cellStyle name="Normal 3 2 2 87 2" xfId="20316"/>
    <cellStyle name="Normal 3 2 2 87 3" xfId="20317"/>
    <cellStyle name="Normal 3 2 2 87 4" xfId="20318"/>
    <cellStyle name="Normal 3 2 2 87 5" xfId="20319"/>
    <cellStyle name="Normal 3 2 2 87 6" xfId="20320"/>
    <cellStyle name="Normal 3 2 2 87 7" xfId="20321"/>
    <cellStyle name="Normal 3 2 2 87 8" xfId="20322"/>
    <cellStyle name="Normal 3 2 2 88" xfId="20323"/>
    <cellStyle name="Normal 3 2 2 88 2" xfId="20324"/>
    <cellStyle name="Normal 3 2 2 88 3" xfId="20325"/>
    <cellStyle name="Normal 3 2 2 88 4" xfId="20326"/>
    <cellStyle name="Normal 3 2 2 88 5" xfId="20327"/>
    <cellStyle name="Normal 3 2 2 88 6" xfId="20328"/>
    <cellStyle name="Normal 3 2 2 88 7" xfId="20329"/>
    <cellStyle name="Normal 3 2 2 88 8" xfId="20330"/>
    <cellStyle name="Normal 3 2 2 89" xfId="20331"/>
    <cellStyle name="Normal 3 2 2 89 2" xfId="20332"/>
    <cellStyle name="Normal 3 2 2 89 3" xfId="20333"/>
    <cellStyle name="Normal 3 2 2 89 4" xfId="20334"/>
    <cellStyle name="Normal 3 2 2 89 5" xfId="20335"/>
    <cellStyle name="Normal 3 2 2 89 6" xfId="20336"/>
    <cellStyle name="Normal 3 2 2 89 7" xfId="20337"/>
    <cellStyle name="Normal 3 2 2 89 8" xfId="20338"/>
    <cellStyle name="Normal 3 2 2 9" xfId="20339"/>
    <cellStyle name="Normal 3 2 2 9 2" xfId="20340"/>
    <cellStyle name="Normal 3 2 2 9 3" xfId="20341"/>
    <cellStyle name="Normal 3 2 2 9 4" xfId="20342"/>
    <cellStyle name="Normal 3 2 2 9 5" xfId="20343"/>
    <cellStyle name="Normal 3 2 2 9 6" xfId="20344"/>
    <cellStyle name="Normal 3 2 2 9 7" xfId="20345"/>
    <cellStyle name="Normal 3 2 2 9 8" xfId="20346"/>
    <cellStyle name="Normal 3 2 2 90" xfId="20347"/>
    <cellStyle name="Normal 3 2 2 90 2" xfId="20348"/>
    <cellStyle name="Normal 3 2 2 90 3" xfId="20349"/>
    <cellStyle name="Normal 3 2 2 90 4" xfId="20350"/>
    <cellStyle name="Normal 3 2 2 90 5" xfId="20351"/>
    <cellStyle name="Normal 3 2 2 90 6" xfId="20352"/>
    <cellStyle name="Normal 3 2 2 90 7" xfId="20353"/>
    <cellStyle name="Normal 3 2 2 90 8" xfId="20354"/>
    <cellStyle name="Normal 3 2 2 91" xfId="20355"/>
    <cellStyle name="Normal 3 2 2 91 2" xfId="20356"/>
    <cellStyle name="Normal 3 2 2 91 3" xfId="20357"/>
    <cellStyle name="Normal 3 2 2 91 4" xfId="20358"/>
    <cellStyle name="Normal 3 2 2 91 5" xfId="20359"/>
    <cellStyle name="Normal 3 2 2 91 6" xfId="20360"/>
    <cellStyle name="Normal 3 2 2 91 7" xfId="20361"/>
    <cellStyle name="Normal 3 2 2 91 8" xfId="20362"/>
    <cellStyle name="Normal 3 2 2 92" xfId="20363"/>
    <cellStyle name="Normal 3 2 2 92 2" xfId="20364"/>
    <cellStyle name="Normal 3 2 2 92 3" xfId="20365"/>
    <cellStyle name="Normal 3 2 2 92 4" xfId="20366"/>
    <cellStyle name="Normal 3 2 2 92 5" xfId="20367"/>
    <cellStyle name="Normal 3 2 2 92 6" xfId="20368"/>
    <cellStyle name="Normal 3 2 2 92 7" xfId="20369"/>
    <cellStyle name="Normal 3 2 2 92 8" xfId="20370"/>
    <cellStyle name="Normal 3 2 2 93" xfId="20371"/>
    <cellStyle name="Normal 3 2 2 93 2" xfId="20372"/>
    <cellStyle name="Normal 3 2 2 93 3" xfId="20373"/>
    <cellStyle name="Normal 3 2 2 93 4" xfId="20374"/>
    <cellStyle name="Normal 3 2 2 93 5" xfId="20375"/>
    <cellStyle name="Normal 3 2 2 93 6" xfId="20376"/>
    <cellStyle name="Normal 3 2 2 93 7" xfId="20377"/>
    <cellStyle name="Normal 3 2 2 93 8" xfId="20378"/>
    <cellStyle name="Normal 3 2 2 94" xfId="20379"/>
    <cellStyle name="Normal 3 2 2 94 2" xfId="20380"/>
    <cellStyle name="Normal 3 2 2 94 3" xfId="20381"/>
    <cellStyle name="Normal 3 2 2 94 4" xfId="20382"/>
    <cellStyle name="Normal 3 2 2 94 5" xfId="20383"/>
    <cellStyle name="Normal 3 2 2 94 6" xfId="20384"/>
    <cellStyle name="Normal 3 2 2 94 7" xfId="20385"/>
    <cellStyle name="Normal 3 2 2 94 8" xfId="20386"/>
    <cellStyle name="Normal 3 2 2 95" xfId="20387"/>
    <cellStyle name="Normal 3 2 2 95 2" xfId="20388"/>
    <cellStyle name="Normal 3 2 2 95 3" xfId="20389"/>
    <cellStyle name="Normal 3 2 2 95 4" xfId="20390"/>
    <cellStyle name="Normal 3 2 2 95 5" xfId="20391"/>
    <cellStyle name="Normal 3 2 2 95 6" xfId="20392"/>
    <cellStyle name="Normal 3 2 2 95 7" xfId="20393"/>
    <cellStyle name="Normal 3 2 2 95 8" xfId="20394"/>
    <cellStyle name="Normal 3 2 2 96" xfId="20395"/>
    <cellStyle name="Normal 3 2 2 96 2" xfId="20396"/>
    <cellStyle name="Normal 3 2 2 96 3" xfId="20397"/>
    <cellStyle name="Normal 3 2 2 96 4" xfId="20398"/>
    <cellStyle name="Normal 3 2 2 96 5" xfId="20399"/>
    <cellStyle name="Normal 3 2 2 96 6" xfId="20400"/>
    <cellStyle name="Normal 3 2 2 96 7" xfId="20401"/>
    <cellStyle name="Normal 3 2 2 96 8" xfId="20402"/>
    <cellStyle name="Normal 3 2 2 97" xfId="20403"/>
    <cellStyle name="Normal 3 2 2 97 2" xfId="20404"/>
    <cellStyle name="Normal 3 2 2 97 3" xfId="20405"/>
    <cellStyle name="Normal 3 2 2 97 4" xfId="20406"/>
    <cellStyle name="Normal 3 2 2 97 5" xfId="20407"/>
    <cellStyle name="Normal 3 2 2 97 6" xfId="20408"/>
    <cellStyle name="Normal 3 2 2 97 7" xfId="20409"/>
    <cellStyle name="Normal 3 2 2 97 8" xfId="20410"/>
    <cellStyle name="Normal 3 2 2 98" xfId="20411"/>
    <cellStyle name="Normal 3 2 2 98 2" xfId="20412"/>
    <cellStyle name="Normal 3 2 2 98 3" xfId="20413"/>
    <cellStyle name="Normal 3 2 2 98 4" xfId="20414"/>
    <cellStyle name="Normal 3 2 2 98 5" xfId="20415"/>
    <cellStyle name="Normal 3 2 2 98 6" xfId="20416"/>
    <cellStyle name="Normal 3 2 2 98 7" xfId="20417"/>
    <cellStyle name="Normal 3 2 2 98 8" xfId="20418"/>
    <cellStyle name="Normal 3 2 2 99" xfId="20419"/>
    <cellStyle name="Normal 3 2 2 99 2" xfId="20420"/>
    <cellStyle name="Normal 3 2 2 99 3" xfId="20421"/>
    <cellStyle name="Normal 3 2 2 99 4" xfId="20422"/>
    <cellStyle name="Normal 3 2 2 99 5" xfId="20423"/>
    <cellStyle name="Normal 3 2 2 99 6" xfId="20424"/>
    <cellStyle name="Normal 3 2 2 99 7" xfId="20425"/>
    <cellStyle name="Normal 3 2 2 99 8" xfId="20426"/>
    <cellStyle name="Normal 3 2 20" xfId="20427"/>
    <cellStyle name="Normal 3 2 20 2" xfId="20428"/>
    <cellStyle name="Normal 3 2 20 2 2" xfId="20429"/>
    <cellStyle name="Normal 3 2 20 2 3" xfId="20430"/>
    <cellStyle name="Normal 3 2 20 2 4" xfId="20431"/>
    <cellStyle name="Normal 3 2 20 2 5" xfId="20432"/>
    <cellStyle name="Normal 3 2 20 2 6" xfId="20433"/>
    <cellStyle name="Normal 3 2 20 3" xfId="20434"/>
    <cellStyle name="Normal 3 2 20 4" xfId="20435"/>
    <cellStyle name="Normal 3 2 21" xfId="20436"/>
    <cellStyle name="Normal 3 2 21 2" xfId="20437"/>
    <cellStyle name="Normal 3 2 21 2 2" xfId="20438"/>
    <cellStyle name="Normal 3 2 21 2 3" xfId="20439"/>
    <cellStyle name="Normal 3 2 21 2 4" xfId="20440"/>
    <cellStyle name="Normal 3 2 21 2 5" xfId="20441"/>
    <cellStyle name="Normal 3 2 21 2 6" xfId="20442"/>
    <cellStyle name="Normal 3 2 21 3" xfId="20443"/>
    <cellStyle name="Normal 3 2 21 4" xfId="20444"/>
    <cellStyle name="Normal 3 2 22" xfId="20445"/>
    <cellStyle name="Normal 3 2 22 2" xfId="20446"/>
    <cellStyle name="Normal 3 2 22 2 2" xfId="20447"/>
    <cellStyle name="Normal 3 2 22 2 3" xfId="20448"/>
    <cellStyle name="Normal 3 2 22 2 4" xfId="20449"/>
    <cellStyle name="Normal 3 2 22 2 5" xfId="20450"/>
    <cellStyle name="Normal 3 2 22 2 6" xfId="20451"/>
    <cellStyle name="Normal 3 2 22 3" xfId="20452"/>
    <cellStyle name="Normal 3 2 22 4" xfId="20453"/>
    <cellStyle name="Normal 3 2 23" xfId="20454"/>
    <cellStyle name="Normal 3 2 23 2" xfId="20455"/>
    <cellStyle name="Normal 3 2 23 2 2" xfId="20456"/>
    <cellStyle name="Normal 3 2 23 2 3" xfId="20457"/>
    <cellStyle name="Normal 3 2 23 2 4" xfId="20458"/>
    <cellStyle name="Normal 3 2 23 2 5" xfId="20459"/>
    <cellStyle name="Normal 3 2 23 2 6" xfId="20460"/>
    <cellStyle name="Normal 3 2 23 3" xfId="20461"/>
    <cellStyle name="Normal 3 2 23 4" xfId="20462"/>
    <cellStyle name="Normal 3 2 24" xfId="20463"/>
    <cellStyle name="Normal 3 2 24 2" xfId="20464"/>
    <cellStyle name="Normal 3 2 24 2 2" xfId="20465"/>
    <cellStyle name="Normal 3 2 24 2 3" xfId="20466"/>
    <cellStyle name="Normal 3 2 24 2 4" xfId="20467"/>
    <cellStyle name="Normal 3 2 24 2 5" xfId="20468"/>
    <cellStyle name="Normal 3 2 24 2 6" xfId="20469"/>
    <cellStyle name="Normal 3 2 24 3" xfId="20470"/>
    <cellStyle name="Normal 3 2 24 4" xfId="20471"/>
    <cellStyle name="Normal 3 2 25" xfId="20472"/>
    <cellStyle name="Normal 3 2 25 2" xfId="20473"/>
    <cellStyle name="Normal 3 2 25 2 2" xfId="20474"/>
    <cellStyle name="Normal 3 2 25 2 3" xfId="20475"/>
    <cellStyle name="Normal 3 2 25 2 4" xfId="20476"/>
    <cellStyle name="Normal 3 2 25 2 5" xfId="20477"/>
    <cellStyle name="Normal 3 2 25 2 6" xfId="20478"/>
    <cellStyle name="Normal 3 2 25 3" xfId="20479"/>
    <cellStyle name="Normal 3 2 25 4" xfId="20480"/>
    <cellStyle name="Normal 3 2 26" xfId="20481"/>
    <cellStyle name="Normal 3 2 26 2" xfId="20482"/>
    <cellStyle name="Normal 3 2 26 2 2" xfId="20483"/>
    <cellStyle name="Normal 3 2 26 2 3" xfId="20484"/>
    <cellStyle name="Normal 3 2 26 2 4" xfId="20485"/>
    <cellStyle name="Normal 3 2 26 2 5" xfId="20486"/>
    <cellStyle name="Normal 3 2 26 2 6" xfId="20487"/>
    <cellStyle name="Normal 3 2 26 3" xfId="20488"/>
    <cellStyle name="Normal 3 2 26 4" xfId="20489"/>
    <cellStyle name="Normal 3 2 27" xfId="20490"/>
    <cellStyle name="Normal 3 2 27 2" xfId="20491"/>
    <cellStyle name="Normal 3 2 27 2 2" xfId="20492"/>
    <cellStyle name="Normal 3 2 27 2 3" xfId="20493"/>
    <cellStyle name="Normal 3 2 27 2 4" xfId="20494"/>
    <cellStyle name="Normal 3 2 27 2 5" xfId="20495"/>
    <cellStyle name="Normal 3 2 27 2 6" xfId="20496"/>
    <cellStyle name="Normal 3 2 27 3" xfId="20497"/>
    <cellStyle name="Normal 3 2 27 4" xfId="20498"/>
    <cellStyle name="Normal 3 2 28" xfId="20499"/>
    <cellStyle name="Normal 3 2 28 2" xfId="20500"/>
    <cellStyle name="Normal 3 2 28 2 2" xfId="20501"/>
    <cellStyle name="Normal 3 2 28 2 3" xfId="20502"/>
    <cellStyle name="Normal 3 2 28 2 4" xfId="20503"/>
    <cellStyle name="Normal 3 2 28 2 5" xfId="20504"/>
    <cellStyle name="Normal 3 2 28 2 6" xfId="20505"/>
    <cellStyle name="Normal 3 2 28 3" xfId="20506"/>
    <cellStyle name="Normal 3 2 28 4" xfId="20507"/>
    <cellStyle name="Normal 3 2 29" xfId="20508"/>
    <cellStyle name="Normal 3 2 29 2" xfId="20509"/>
    <cellStyle name="Normal 3 2 29 2 2" xfId="20510"/>
    <cellStyle name="Normal 3 2 29 2 3" xfId="20511"/>
    <cellStyle name="Normal 3 2 29 2 4" xfId="20512"/>
    <cellStyle name="Normal 3 2 29 2 5" xfId="20513"/>
    <cellStyle name="Normal 3 2 29 2 6" xfId="20514"/>
    <cellStyle name="Normal 3 2 29 3" xfId="20515"/>
    <cellStyle name="Normal 3 2 29 4" xfId="20516"/>
    <cellStyle name="Normal 3 2 3" xfId="20517"/>
    <cellStyle name="Normal 3 2 3 2" xfId="20518"/>
    <cellStyle name="Normal 3 2 3 2 2" xfId="20519"/>
    <cellStyle name="Normal 3 2 3 2 3" xfId="20520"/>
    <cellStyle name="Normal 3 2 3 2 4" xfId="20521"/>
    <cellStyle name="Normal 3 2 3 2 5" xfId="20522"/>
    <cellStyle name="Normal 3 2 3 2 6" xfId="20523"/>
    <cellStyle name="Normal 3 2 3 3" xfId="20524"/>
    <cellStyle name="Normal 3 2 3 4" xfId="20525"/>
    <cellStyle name="Normal 3 2 30" xfId="20526"/>
    <cellStyle name="Normal 3 2 30 2" xfId="20527"/>
    <cellStyle name="Normal 3 2 30 2 2" xfId="20528"/>
    <cellStyle name="Normal 3 2 30 2 3" xfId="20529"/>
    <cellStyle name="Normal 3 2 30 2 4" xfId="20530"/>
    <cellStyle name="Normal 3 2 30 2 5" xfId="20531"/>
    <cellStyle name="Normal 3 2 30 2 6" xfId="20532"/>
    <cellStyle name="Normal 3 2 30 3" xfId="20533"/>
    <cellStyle name="Normal 3 2 30 4" xfId="20534"/>
    <cellStyle name="Normal 3 2 31" xfId="20535"/>
    <cellStyle name="Normal 3 2 31 2" xfId="20536"/>
    <cellStyle name="Normal 3 2 31 2 2" xfId="20537"/>
    <cellStyle name="Normal 3 2 31 2 3" xfId="20538"/>
    <cellStyle name="Normal 3 2 31 2 4" xfId="20539"/>
    <cellStyle name="Normal 3 2 31 2 5" xfId="20540"/>
    <cellStyle name="Normal 3 2 31 2 6" xfId="20541"/>
    <cellStyle name="Normal 3 2 31 3" xfId="20542"/>
    <cellStyle name="Normal 3 2 31 4" xfId="20543"/>
    <cellStyle name="Normal 3 2 32" xfId="20544"/>
    <cellStyle name="Normal 3 2 32 2" xfId="20545"/>
    <cellStyle name="Normal 3 2 32 2 2" xfId="20546"/>
    <cellStyle name="Normal 3 2 32 2 3" xfId="20547"/>
    <cellStyle name="Normal 3 2 32 2 4" xfId="20548"/>
    <cellStyle name="Normal 3 2 32 2 5" xfId="20549"/>
    <cellStyle name="Normal 3 2 32 2 6" xfId="20550"/>
    <cellStyle name="Normal 3 2 32 3" xfId="20551"/>
    <cellStyle name="Normal 3 2 32 4" xfId="20552"/>
    <cellStyle name="Normal 3 2 33" xfId="20553"/>
    <cellStyle name="Normal 3 2 33 2" xfId="20554"/>
    <cellStyle name="Normal 3 2 33 2 2" xfId="20555"/>
    <cellStyle name="Normal 3 2 33 2 3" xfId="20556"/>
    <cellStyle name="Normal 3 2 33 2 4" xfId="20557"/>
    <cellStyle name="Normal 3 2 33 2 5" xfId="20558"/>
    <cellStyle name="Normal 3 2 33 2 6" xfId="20559"/>
    <cellStyle name="Normal 3 2 33 3" xfId="20560"/>
    <cellStyle name="Normal 3 2 33 4" xfId="20561"/>
    <cellStyle name="Normal 3 2 34" xfId="20562"/>
    <cellStyle name="Normal 3 2 34 2" xfId="20563"/>
    <cellStyle name="Normal 3 2 34 2 2" xfId="20564"/>
    <cellStyle name="Normal 3 2 34 2 3" xfId="20565"/>
    <cellStyle name="Normal 3 2 34 2 4" xfId="20566"/>
    <cellStyle name="Normal 3 2 34 2 5" xfId="20567"/>
    <cellStyle name="Normal 3 2 34 2 6" xfId="20568"/>
    <cellStyle name="Normal 3 2 34 3" xfId="20569"/>
    <cellStyle name="Normal 3 2 34 4" xfId="20570"/>
    <cellStyle name="Normal 3 2 35" xfId="20571"/>
    <cellStyle name="Normal 3 2 35 2" xfId="20572"/>
    <cellStyle name="Normal 3 2 35 2 2" xfId="20573"/>
    <cellStyle name="Normal 3 2 35 2 3" xfId="20574"/>
    <cellStyle name="Normal 3 2 35 2 4" xfId="20575"/>
    <cellStyle name="Normal 3 2 35 2 5" xfId="20576"/>
    <cellStyle name="Normal 3 2 35 2 6" xfId="20577"/>
    <cellStyle name="Normal 3 2 35 3" xfId="20578"/>
    <cellStyle name="Normal 3 2 35 4" xfId="20579"/>
    <cellStyle name="Normal 3 2 36" xfId="20580"/>
    <cellStyle name="Normal 3 2 36 2" xfId="20581"/>
    <cellStyle name="Normal 3 2 36 2 2" xfId="20582"/>
    <cellStyle name="Normal 3 2 36 2 3" xfId="20583"/>
    <cellStyle name="Normal 3 2 36 2 4" xfId="20584"/>
    <cellStyle name="Normal 3 2 36 2 5" xfId="20585"/>
    <cellStyle name="Normal 3 2 36 2 6" xfId="20586"/>
    <cellStyle name="Normal 3 2 36 3" xfId="20587"/>
    <cellStyle name="Normal 3 2 36 4" xfId="20588"/>
    <cellStyle name="Normal 3 2 37" xfId="20589"/>
    <cellStyle name="Normal 3 2 37 2" xfId="20590"/>
    <cellStyle name="Normal 3 2 37 2 2" xfId="20591"/>
    <cellStyle name="Normal 3 2 37 2 3" xfId="20592"/>
    <cellStyle name="Normal 3 2 37 2 4" xfId="20593"/>
    <cellStyle name="Normal 3 2 37 2 5" xfId="20594"/>
    <cellStyle name="Normal 3 2 37 2 6" xfId="20595"/>
    <cellStyle name="Normal 3 2 37 3" xfId="20596"/>
    <cellStyle name="Normal 3 2 37 4" xfId="20597"/>
    <cellStyle name="Normal 3 2 38" xfId="20598"/>
    <cellStyle name="Normal 3 2 38 2" xfId="20599"/>
    <cellStyle name="Normal 3 2 38 2 2" xfId="20600"/>
    <cellStyle name="Normal 3 2 38 2 3" xfId="20601"/>
    <cellStyle name="Normal 3 2 38 2 4" xfId="20602"/>
    <cellStyle name="Normal 3 2 38 2 5" xfId="20603"/>
    <cellStyle name="Normal 3 2 38 2 6" xfId="20604"/>
    <cellStyle name="Normal 3 2 38 3" xfId="20605"/>
    <cellStyle name="Normal 3 2 38 4" xfId="20606"/>
    <cellStyle name="Normal 3 2 39" xfId="20607"/>
    <cellStyle name="Normal 3 2 39 10" xfId="20608"/>
    <cellStyle name="Normal 3 2 39 2" xfId="20609"/>
    <cellStyle name="Normal 3 2 39 3" xfId="20610"/>
    <cellStyle name="Normal 3 2 39 3 2" xfId="20611"/>
    <cellStyle name="Normal 3 2 39 3 3" xfId="20612"/>
    <cellStyle name="Normal 3 2 39 3 4" xfId="20613"/>
    <cellStyle name="Normal 3 2 39 3 5" xfId="20614"/>
    <cellStyle name="Normal 3 2 39 3 6" xfId="20615"/>
    <cellStyle name="Normal 3 2 39 4" xfId="20616"/>
    <cellStyle name="Normal 3 2 39 5" xfId="20617"/>
    <cellStyle name="Normal 3 2 39 6" xfId="20618"/>
    <cellStyle name="Normal 3 2 39 7" xfId="20619"/>
    <cellStyle name="Normal 3 2 39 8" xfId="20620"/>
    <cellStyle name="Normal 3 2 39 9" xfId="20621"/>
    <cellStyle name="Normal 3 2 4" xfId="20622"/>
    <cellStyle name="Normal 3 2 4 2" xfId="20623"/>
    <cellStyle name="Normal 3 2 4 2 2" xfId="20624"/>
    <cellStyle name="Normal 3 2 4 2 3" xfId="20625"/>
    <cellStyle name="Normal 3 2 4 2 4" xfId="20626"/>
    <cellStyle name="Normal 3 2 4 2 5" xfId="20627"/>
    <cellStyle name="Normal 3 2 4 2 6" xfId="20628"/>
    <cellStyle name="Normal 3 2 4 3" xfId="20629"/>
    <cellStyle name="Normal 3 2 4 4" xfId="20630"/>
    <cellStyle name="Normal 3 2 40" xfId="20631"/>
    <cellStyle name="Normal 3 2 40 2" xfId="20632"/>
    <cellStyle name="Normal 3 2 40 3" xfId="20633"/>
    <cellStyle name="Normal 3 2 40 4" xfId="20634"/>
    <cellStyle name="Normal 3 2 40 5" xfId="20635"/>
    <cellStyle name="Normal 3 2 40 6" xfId="20636"/>
    <cellStyle name="Normal 3 2 40 7" xfId="20637"/>
    <cellStyle name="Normal 3 2 40 8" xfId="20638"/>
    <cellStyle name="Normal 3 2 40 9" xfId="20639"/>
    <cellStyle name="Normal 3 2 41" xfId="20640"/>
    <cellStyle name="Normal 3 2 41 2" xfId="20641"/>
    <cellStyle name="Normal 3 2 41 3" xfId="20642"/>
    <cellStyle name="Normal 3 2 42" xfId="20643"/>
    <cellStyle name="Normal 3 2 42 2" xfId="20644"/>
    <cellStyle name="Normal 3 2 42 3" xfId="20645"/>
    <cellStyle name="Normal 3 2 43" xfId="20646"/>
    <cellStyle name="Normal 3 2 43 2" xfId="20647"/>
    <cellStyle name="Normal 3 2 43 3" xfId="20648"/>
    <cellStyle name="Normal 3 2 44" xfId="20649"/>
    <cellStyle name="Normal 3 2 44 2" xfId="20650"/>
    <cellStyle name="Normal 3 2 44 3" xfId="20651"/>
    <cellStyle name="Normal 3 2 45" xfId="20652"/>
    <cellStyle name="Normal 3 2 45 2" xfId="20653"/>
    <cellStyle name="Normal 3 2 45 3" xfId="20654"/>
    <cellStyle name="Normal 3 2 46" xfId="20655"/>
    <cellStyle name="Normal 3 2 46 2" xfId="20656"/>
    <cellStyle name="Normal 3 2 46 3" xfId="20657"/>
    <cellStyle name="Normal 3 2 47" xfId="20658"/>
    <cellStyle name="Normal 3 2 47 2" xfId="20659"/>
    <cellStyle name="Normal 3 2 47 3" xfId="20660"/>
    <cellStyle name="Normal 3 2 48" xfId="20661"/>
    <cellStyle name="Normal 3 2 48 2" xfId="20662"/>
    <cellStyle name="Normal 3 2 48 3" xfId="20663"/>
    <cellStyle name="Normal 3 2 49" xfId="20664"/>
    <cellStyle name="Normal 3 2 49 2" xfId="20665"/>
    <cellStyle name="Normal 3 2 49 3" xfId="20666"/>
    <cellStyle name="Normal 3 2 5" xfId="20667"/>
    <cellStyle name="Normal 3 2 5 2" xfId="20668"/>
    <cellStyle name="Normal 3 2 5 2 2" xfId="20669"/>
    <cellStyle name="Normal 3 2 5 2 3" xfId="20670"/>
    <cellStyle name="Normal 3 2 5 2 4" xfId="20671"/>
    <cellStyle name="Normal 3 2 5 2 5" xfId="20672"/>
    <cellStyle name="Normal 3 2 5 2 6" xfId="20673"/>
    <cellStyle name="Normal 3 2 5 3" xfId="20674"/>
    <cellStyle name="Normal 3 2 5 4" xfId="20675"/>
    <cellStyle name="Normal 3 2 50" xfId="20676"/>
    <cellStyle name="Normal 3 2 50 2" xfId="20677"/>
    <cellStyle name="Normal 3 2 50 3" xfId="20678"/>
    <cellStyle name="Normal 3 2 51" xfId="20679"/>
    <cellStyle name="Normal 3 2 51 2" xfId="20680"/>
    <cellStyle name="Normal 3 2 51 3" xfId="20681"/>
    <cellStyle name="Normal 3 2 52" xfId="20682"/>
    <cellStyle name="Normal 3 2 52 2" xfId="20683"/>
    <cellStyle name="Normal 3 2 52 3" xfId="20684"/>
    <cellStyle name="Normal 3 2 53" xfId="20685"/>
    <cellStyle name="Normal 3 2 53 2" xfId="20686"/>
    <cellStyle name="Normal 3 2 53 3" xfId="20687"/>
    <cellStyle name="Normal 3 2 54" xfId="20688"/>
    <cellStyle name="Normal 3 2 54 2" xfId="20689"/>
    <cellStyle name="Normal 3 2 54 3" xfId="20690"/>
    <cellStyle name="Normal 3 2 55" xfId="20691"/>
    <cellStyle name="Normal 3 2 55 2" xfId="20692"/>
    <cellStyle name="Normal 3 2 55 3" xfId="20693"/>
    <cellStyle name="Normal 3 2 56" xfId="20694"/>
    <cellStyle name="Normal 3 2 56 2" xfId="20695"/>
    <cellStyle name="Normal 3 2 56 3" xfId="20696"/>
    <cellStyle name="Normal 3 2 57" xfId="20697"/>
    <cellStyle name="Normal 3 2 57 2" xfId="20698"/>
    <cellStyle name="Normal 3 2 57 3" xfId="20699"/>
    <cellStyle name="Normal 3 2 58" xfId="20700"/>
    <cellStyle name="Normal 3 2 58 2" xfId="20701"/>
    <cellStyle name="Normal 3 2 58 3" xfId="20702"/>
    <cellStyle name="Normal 3 2 59" xfId="20703"/>
    <cellStyle name="Normal 3 2 59 2" xfId="20704"/>
    <cellStyle name="Normal 3 2 59 3" xfId="20705"/>
    <cellStyle name="Normal 3 2 6" xfId="20706"/>
    <cellStyle name="Normal 3 2 6 2" xfId="20707"/>
    <cellStyle name="Normal 3 2 6 2 2" xfId="20708"/>
    <cellStyle name="Normal 3 2 6 2 3" xfId="20709"/>
    <cellStyle name="Normal 3 2 6 2 4" xfId="20710"/>
    <cellStyle name="Normal 3 2 6 2 5" xfId="20711"/>
    <cellStyle name="Normal 3 2 6 2 6" xfId="20712"/>
    <cellStyle name="Normal 3 2 6 3" xfId="20713"/>
    <cellStyle name="Normal 3 2 6 4" xfId="20714"/>
    <cellStyle name="Normal 3 2 60" xfId="20715"/>
    <cellStyle name="Normal 3 2 60 2" xfId="20716"/>
    <cellStyle name="Normal 3 2 60 3" xfId="20717"/>
    <cellStyle name="Normal 3 2 61" xfId="20718"/>
    <cellStyle name="Normal 3 2 61 2" xfId="20719"/>
    <cellStyle name="Normal 3 2 61 3" xfId="20720"/>
    <cellStyle name="Normal 3 2 62" xfId="20721"/>
    <cellStyle name="Normal 3 2 62 2" xfId="20722"/>
    <cellStyle name="Normal 3 2 62 3" xfId="20723"/>
    <cellStyle name="Normal 3 2 63" xfId="20724"/>
    <cellStyle name="Normal 3 2 63 2" xfId="20725"/>
    <cellStyle name="Normal 3 2 63 3" xfId="20726"/>
    <cellStyle name="Normal 3 2 64" xfId="20727"/>
    <cellStyle name="Normal 3 2 64 2" xfId="20728"/>
    <cellStyle name="Normal 3 2 64 3" xfId="20729"/>
    <cellStyle name="Normal 3 2 65" xfId="20730"/>
    <cellStyle name="Normal 3 2 65 2" xfId="20731"/>
    <cellStyle name="Normal 3 2 65 3" xfId="20732"/>
    <cellStyle name="Normal 3 2 66" xfId="20733"/>
    <cellStyle name="Normal 3 2 66 2" xfId="20734"/>
    <cellStyle name="Normal 3 2 66 3" xfId="20735"/>
    <cellStyle name="Normal 3 2 67" xfId="20736"/>
    <cellStyle name="Normal 3 2 67 2" xfId="20737"/>
    <cellStyle name="Normal 3 2 67 3" xfId="20738"/>
    <cellStyle name="Normal 3 2 68" xfId="20739"/>
    <cellStyle name="Normal 3 2 68 2" xfId="20740"/>
    <cellStyle name="Normal 3 2 68 3" xfId="20741"/>
    <cellStyle name="Normal 3 2 69" xfId="20742"/>
    <cellStyle name="Normal 3 2 69 2" xfId="20743"/>
    <cellStyle name="Normal 3 2 69 3" xfId="20744"/>
    <cellStyle name="Normal 3 2 7" xfId="20745"/>
    <cellStyle name="Normal 3 2 7 2" xfId="20746"/>
    <cellStyle name="Normal 3 2 7 2 2" xfId="20747"/>
    <cellStyle name="Normal 3 2 7 2 3" xfId="20748"/>
    <cellStyle name="Normal 3 2 7 2 4" xfId="20749"/>
    <cellStyle name="Normal 3 2 7 2 5" xfId="20750"/>
    <cellStyle name="Normal 3 2 7 2 6" xfId="20751"/>
    <cellStyle name="Normal 3 2 7 3" xfId="20752"/>
    <cellStyle name="Normal 3 2 7 4" xfId="20753"/>
    <cellStyle name="Normal 3 2 70" xfId="20754"/>
    <cellStyle name="Normal 3 2 70 2" xfId="20755"/>
    <cellStyle name="Normal 3 2 70 3" xfId="20756"/>
    <cellStyle name="Normal 3 2 71" xfId="20757"/>
    <cellStyle name="Normal 3 2 71 2" xfId="20758"/>
    <cellStyle name="Normal 3 2 71 3" xfId="20759"/>
    <cellStyle name="Normal 3 2 72" xfId="20760"/>
    <cellStyle name="Normal 3 2 72 2" xfId="20761"/>
    <cellStyle name="Normal 3 2 72 3" xfId="20762"/>
    <cellStyle name="Normal 3 2 73" xfId="20763"/>
    <cellStyle name="Normal 3 2 73 2" xfId="20764"/>
    <cellStyle name="Normal 3 2 73 3" xfId="20765"/>
    <cellStyle name="Normal 3 2 74" xfId="20766"/>
    <cellStyle name="Normal 3 2 74 2" xfId="20767"/>
    <cellStyle name="Normal 3 2 74 3" xfId="20768"/>
    <cellStyle name="Normal 3 2 75" xfId="20769"/>
    <cellStyle name="Normal 3 2 75 2" xfId="20770"/>
    <cellStyle name="Normal 3 2 75 3" xfId="20771"/>
    <cellStyle name="Normal 3 2 76" xfId="20772"/>
    <cellStyle name="Normal 3 2 76 2" xfId="20773"/>
    <cellStyle name="Normal 3 2 76 3" xfId="20774"/>
    <cellStyle name="Normal 3 2 77" xfId="20775"/>
    <cellStyle name="Normal 3 2 77 2" xfId="20776"/>
    <cellStyle name="Normal 3 2 77 3" xfId="20777"/>
    <cellStyle name="Normal 3 2 78" xfId="20778"/>
    <cellStyle name="Normal 3 2 78 2" xfId="20779"/>
    <cellStyle name="Normal 3 2 78 3" xfId="20780"/>
    <cellStyle name="Normal 3 2 79" xfId="20781"/>
    <cellStyle name="Normal 3 2 79 2" xfId="20782"/>
    <cellStyle name="Normal 3 2 79 3" xfId="20783"/>
    <cellStyle name="Normal 3 2 8" xfId="20784"/>
    <cellStyle name="Normal 3 2 8 2" xfId="20785"/>
    <cellStyle name="Normal 3 2 8 2 2" xfId="20786"/>
    <cellStyle name="Normal 3 2 8 2 3" xfId="20787"/>
    <cellStyle name="Normal 3 2 8 2 4" xfId="20788"/>
    <cellStyle name="Normal 3 2 8 2 5" xfId="20789"/>
    <cellStyle name="Normal 3 2 8 2 6" xfId="20790"/>
    <cellStyle name="Normal 3 2 8 3" xfId="20791"/>
    <cellStyle name="Normal 3 2 8 4" xfId="20792"/>
    <cellStyle name="Normal 3 2 80" xfId="20793"/>
    <cellStyle name="Normal 3 2 80 2" xfId="20794"/>
    <cellStyle name="Normal 3 2 80 3" xfId="20795"/>
    <cellStyle name="Normal 3 2 81" xfId="20796"/>
    <cellStyle name="Normal 3 2 81 2" xfId="20797"/>
    <cellStyle name="Normal 3 2 81 3" xfId="20798"/>
    <cellStyle name="Normal 3 2 82" xfId="20799"/>
    <cellStyle name="Normal 3 2 82 2" xfId="20800"/>
    <cellStyle name="Normal 3 2 82 3" xfId="20801"/>
    <cellStyle name="Normal 3 2 83" xfId="20802"/>
    <cellStyle name="Normal 3 2 83 2" xfId="20803"/>
    <cellStyle name="Normal 3 2 83 3" xfId="20804"/>
    <cellStyle name="Normal 3 2 84" xfId="20805"/>
    <cellStyle name="Normal 3 2 84 2" xfId="20806"/>
    <cellStyle name="Normal 3 2 84 3" xfId="20807"/>
    <cellStyle name="Normal 3 2 85" xfId="20808"/>
    <cellStyle name="Normal 3 2 85 2" xfId="20809"/>
    <cellStyle name="Normal 3 2 85 3" xfId="20810"/>
    <cellStyle name="Normal 3 2 86" xfId="20811"/>
    <cellStyle name="Normal 3 2 86 2" xfId="20812"/>
    <cellStyle name="Normal 3 2 86 3" xfId="20813"/>
    <cellStyle name="Normal 3 2 87" xfId="20814"/>
    <cellStyle name="Normal 3 2 87 2" xfId="20815"/>
    <cellStyle name="Normal 3 2 87 3" xfId="20816"/>
    <cellStyle name="Normal 3 2 88" xfId="20817"/>
    <cellStyle name="Normal 3 2 88 2" xfId="20818"/>
    <cellStyle name="Normal 3 2 88 3" xfId="20819"/>
    <cellStyle name="Normal 3 2 89" xfId="20820"/>
    <cellStyle name="Normal 3 2 89 2" xfId="20821"/>
    <cellStyle name="Normal 3 2 89 3" xfId="20822"/>
    <cellStyle name="Normal 3 2 9" xfId="20823"/>
    <cellStyle name="Normal 3 2 9 2" xfId="20824"/>
    <cellStyle name="Normal 3 2 9 2 2" xfId="20825"/>
    <cellStyle name="Normal 3 2 9 2 3" xfId="20826"/>
    <cellStyle name="Normal 3 2 9 2 4" xfId="20827"/>
    <cellStyle name="Normal 3 2 9 2 5" xfId="20828"/>
    <cellStyle name="Normal 3 2 9 2 6" xfId="20829"/>
    <cellStyle name="Normal 3 2 9 3" xfId="20830"/>
    <cellStyle name="Normal 3 2 9 4" xfId="20831"/>
    <cellStyle name="Normal 3 2 90" xfId="20832"/>
    <cellStyle name="Normal 3 2 90 2" xfId="20833"/>
    <cellStyle name="Normal 3 2 90 3" xfId="20834"/>
    <cellStyle name="Normal 3 2 91" xfId="20835"/>
    <cellStyle name="Normal 3 2 91 2" xfId="20836"/>
    <cellStyle name="Normal 3 2 91 3" xfId="20837"/>
    <cellStyle name="Normal 3 2 92" xfId="20838"/>
    <cellStyle name="Normal 3 2 92 2" xfId="20839"/>
    <cellStyle name="Normal 3 2 92 3" xfId="20840"/>
    <cellStyle name="Normal 3 2 93" xfId="20841"/>
    <cellStyle name="Normal 3 2 93 2" xfId="20842"/>
    <cellStyle name="Normal 3 2 93 3" xfId="20843"/>
    <cellStyle name="Normal 3 2 94" xfId="20844"/>
    <cellStyle name="Normal 3 2 94 2" xfId="20845"/>
    <cellStyle name="Normal 3 2 94 3" xfId="20846"/>
    <cellStyle name="Normal 3 2 95" xfId="20847"/>
    <cellStyle name="Normal 3 2 95 2" xfId="20848"/>
    <cellStyle name="Normal 3 2 95 3" xfId="20849"/>
    <cellStyle name="Normal 3 2 96" xfId="20850"/>
    <cellStyle name="Normal 3 2 96 2" xfId="20851"/>
    <cellStyle name="Normal 3 2 96 3" xfId="20852"/>
    <cellStyle name="Normal 3 2 97" xfId="20853"/>
    <cellStyle name="Normal 3 2 97 2" xfId="20854"/>
    <cellStyle name="Normal 3 2 97 3" xfId="20855"/>
    <cellStyle name="Normal 3 2 98" xfId="20856"/>
    <cellStyle name="Normal 3 2 98 2" xfId="20857"/>
    <cellStyle name="Normal 3 2 98 3" xfId="20858"/>
    <cellStyle name="Normal 3 2 99" xfId="20859"/>
    <cellStyle name="Normal 3 2 99 2" xfId="20860"/>
    <cellStyle name="Normal 3 2 99 3" xfId="20861"/>
    <cellStyle name="Normal 3 20" xfId="20862"/>
    <cellStyle name="Normal 3 20 2" xfId="20863"/>
    <cellStyle name="Normal 3 20 2 2" xfId="20864"/>
    <cellStyle name="Normal 3 20 2 3" xfId="20865"/>
    <cellStyle name="Normal 3 20 2 4" xfId="20866"/>
    <cellStyle name="Normal 3 20 2 5" xfId="20867"/>
    <cellStyle name="Normal 3 20 2 6" xfId="20868"/>
    <cellStyle name="Normal 3 20 3" xfId="20869"/>
    <cellStyle name="Normal 3 20 4" xfId="20870"/>
    <cellStyle name="Normal 3 21" xfId="20871"/>
    <cellStyle name="Normal 3 21 2" xfId="20872"/>
    <cellStyle name="Normal 3 21 2 2" xfId="20873"/>
    <cellStyle name="Normal 3 21 2 3" xfId="20874"/>
    <cellStyle name="Normal 3 21 2 4" xfId="20875"/>
    <cellStyle name="Normal 3 21 2 5" xfId="20876"/>
    <cellStyle name="Normal 3 21 2 6" xfId="20877"/>
    <cellStyle name="Normal 3 21 3" xfId="20878"/>
    <cellStyle name="Normal 3 21 4" xfId="20879"/>
    <cellStyle name="Normal 3 22" xfId="20880"/>
    <cellStyle name="Normal 3 22 2" xfId="20881"/>
    <cellStyle name="Normal 3 22 2 2" xfId="20882"/>
    <cellStyle name="Normal 3 22 2 3" xfId="20883"/>
    <cellStyle name="Normal 3 22 2 4" xfId="20884"/>
    <cellStyle name="Normal 3 22 2 5" xfId="20885"/>
    <cellStyle name="Normal 3 22 2 6" xfId="20886"/>
    <cellStyle name="Normal 3 22 3" xfId="20887"/>
    <cellStyle name="Normal 3 22 4" xfId="20888"/>
    <cellStyle name="Normal 3 23" xfId="20889"/>
    <cellStyle name="Normal 3 23 2" xfId="20890"/>
    <cellStyle name="Normal 3 23 2 2" xfId="20891"/>
    <cellStyle name="Normal 3 23 2 3" xfId="20892"/>
    <cellStyle name="Normal 3 23 2 4" xfId="20893"/>
    <cellStyle name="Normal 3 23 2 5" xfId="20894"/>
    <cellStyle name="Normal 3 23 2 6" xfId="20895"/>
    <cellStyle name="Normal 3 23 3" xfId="20896"/>
    <cellStyle name="Normal 3 23 4" xfId="20897"/>
    <cellStyle name="Normal 3 24" xfId="20898"/>
    <cellStyle name="Normal 3 24 2" xfId="20899"/>
    <cellStyle name="Normal 3 24 2 2" xfId="20900"/>
    <cellStyle name="Normal 3 24 2 3" xfId="20901"/>
    <cellStyle name="Normal 3 24 2 4" xfId="20902"/>
    <cellStyle name="Normal 3 24 2 5" xfId="20903"/>
    <cellStyle name="Normal 3 24 2 6" xfId="20904"/>
    <cellStyle name="Normal 3 24 3" xfId="20905"/>
    <cellStyle name="Normal 3 24 4" xfId="20906"/>
    <cellStyle name="Normal 3 25" xfId="20907"/>
    <cellStyle name="Normal 3 25 2" xfId="20908"/>
    <cellStyle name="Normal 3 25 2 2" xfId="20909"/>
    <cellStyle name="Normal 3 25 2 3" xfId="20910"/>
    <cellStyle name="Normal 3 25 2 4" xfId="20911"/>
    <cellStyle name="Normal 3 25 2 5" xfId="20912"/>
    <cellStyle name="Normal 3 25 2 6" xfId="20913"/>
    <cellStyle name="Normal 3 25 3" xfId="20914"/>
    <cellStyle name="Normal 3 25 4" xfId="20915"/>
    <cellStyle name="Normal 3 26" xfId="20916"/>
    <cellStyle name="Normal 3 26 2" xfId="20917"/>
    <cellStyle name="Normal 3 26 2 2" xfId="20918"/>
    <cellStyle name="Normal 3 26 2 3" xfId="20919"/>
    <cellStyle name="Normal 3 26 2 4" xfId="20920"/>
    <cellStyle name="Normal 3 26 2 5" xfId="20921"/>
    <cellStyle name="Normal 3 26 2 6" xfId="20922"/>
    <cellStyle name="Normal 3 26 3" xfId="20923"/>
    <cellStyle name="Normal 3 26 4" xfId="20924"/>
    <cellStyle name="Normal 3 27" xfId="20925"/>
    <cellStyle name="Normal 3 27 2" xfId="20926"/>
    <cellStyle name="Normal 3 27 2 2" xfId="20927"/>
    <cellStyle name="Normal 3 27 2 3" xfId="20928"/>
    <cellStyle name="Normal 3 27 2 4" xfId="20929"/>
    <cellStyle name="Normal 3 27 2 5" xfId="20930"/>
    <cellStyle name="Normal 3 27 2 6" xfId="20931"/>
    <cellStyle name="Normal 3 27 3" xfId="20932"/>
    <cellStyle name="Normal 3 27 4" xfId="20933"/>
    <cellStyle name="Normal 3 28" xfId="20934"/>
    <cellStyle name="Normal 3 28 2" xfId="20935"/>
    <cellStyle name="Normal 3 28 2 2" xfId="20936"/>
    <cellStyle name="Normal 3 28 2 3" xfId="20937"/>
    <cellStyle name="Normal 3 28 2 4" xfId="20938"/>
    <cellStyle name="Normal 3 28 2 5" xfId="20939"/>
    <cellStyle name="Normal 3 28 2 6" xfId="20940"/>
    <cellStyle name="Normal 3 28 3" xfId="20941"/>
    <cellStyle name="Normal 3 28 4" xfId="20942"/>
    <cellStyle name="Normal 3 29" xfId="20943"/>
    <cellStyle name="Normal 3 29 2" xfId="20944"/>
    <cellStyle name="Normal 3 29 3" xfId="20945"/>
    <cellStyle name="Normal 3 29 4" xfId="20946"/>
    <cellStyle name="Normal 3 29 5" xfId="20947"/>
    <cellStyle name="Normal 3 29 6" xfId="20948"/>
    <cellStyle name="Normal 3 29 7" xfId="20949"/>
    <cellStyle name="Normal 3 29 8" xfId="20950"/>
    <cellStyle name="Normal 3 3" xfId="20951"/>
    <cellStyle name="Normal 3 3 10" xfId="20952"/>
    <cellStyle name="Normal 3 3 10 2" xfId="20953"/>
    <cellStyle name="Normal 3 3 10 3" xfId="20954"/>
    <cellStyle name="Normal 3 3 10 4" xfId="20955"/>
    <cellStyle name="Normal 3 3 11" xfId="20956"/>
    <cellStyle name="Normal 3 3 11 2" xfId="20957"/>
    <cellStyle name="Normal 3 3 11 3" xfId="20958"/>
    <cellStyle name="Normal 3 3 11 4" xfId="20959"/>
    <cellStyle name="Normal 3 3 12" xfId="20960"/>
    <cellStyle name="Normal 3 3 12 2" xfId="20961"/>
    <cellStyle name="Normal 3 3 12 3" xfId="20962"/>
    <cellStyle name="Normal 3 3 12 4" xfId="20963"/>
    <cellStyle name="Normal 3 3 13" xfId="20964"/>
    <cellStyle name="Normal 3 3 13 2" xfId="20965"/>
    <cellStyle name="Normal 3 3 13 3" xfId="20966"/>
    <cellStyle name="Normal 3 3 13 4" xfId="20967"/>
    <cellStyle name="Normal 3 3 14" xfId="20968"/>
    <cellStyle name="Normal 3 3 14 2" xfId="20969"/>
    <cellStyle name="Normal 3 3 14 3" xfId="20970"/>
    <cellStyle name="Normal 3 3 14 4" xfId="20971"/>
    <cellStyle name="Normal 3 3 15" xfId="20972"/>
    <cellStyle name="Normal 3 3 15 2" xfId="20973"/>
    <cellStyle name="Normal 3 3 15 3" xfId="20974"/>
    <cellStyle name="Normal 3 3 15 4" xfId="20975"/>
    <cellStyle name="Normal 3 3 16" xfId="20976"/>
    <cellStyle name="Normal 3 3 16 2" xfId="20977"/>
    <cellStyle name="Normal 3 3 16 3" xfId="20978"/>
    <cellStyle name="Normal 3 3 16 4" xfId="20979"/>
    <cellStyle name="Normal 3 3 17" xfId="20980"/>
    <cellStyle name="Normal 3 3 17 2" xfId="20981"/>
    <cellStyle name="Normal 3 3 17 3" xfId="20982"/>
    <cellStyle name="Normal 3 3 17 4" xfId="20983"/>
    <cellStyle name="Normal 3 3 18" xfId="20984"/>
    <cellStyle name="Normal 3 3 18 2" xfId="20985"/>
    <cellStyle name="Normal 3 3 18 3" xfId="20986"/>
    <cellStyle name="Normal 3 3 18 4" xfId="20987"/>
    <cellStyle name="Normal 3 3 19" xfId="20988"/>
    <cellStyle name="Normal 3 3 19 2" xfId="20989"/>
    <cellStyle name="Normal 3 3 19 3" xfId="20990"/>
    <cellStyle name="Normal 3 3 19 4" xfId="20991"/>
    <cellStyle name="Normal 3 3 2" xfId="20992"/>
    <cellStyle name="Normal 3 3 2 2" xfId="20993"/>
    <cellStyle name="Normal 3 3 2 2 2" xfId="20994"/>
    <cellStyle name="Normal 3 3 2 2 3" xfId="20995"/>
    <cellStyle name="Normal 3 3 2 2 4" xfId="20996"/>
    <cellStyle name="Normal 3 3 2 3" xfId="20997"/>
    <cellStyle name="Normal 3 3 2 3 2" xfId="20998"/>
    <cellStyle name="Normal 3 3 2 3 3" xfId="20999"/>
    <cellStyle name="Normal 3 3 2 3 4" xfId="21000"/>
    <cellStyle name="Normal 3 3 2 4" xfId="21001"/>
    <cellStyle name="Normal 3 3 2 4 2" xfId="21002"/>
    <cellStyle name="Normal 3 3 2 4 3" xfId="21003"/>
    <cellStyle name="Normal 3 3 2 4 4" xfId="21004"/>
    <cellStyle name="Normal 3 3 2 4 5" xfId="21005"/>
    <cellStyle name="Normal 3 3 2 4 6" xfId="21006"/>
    <cellStyle name="Normal 3 3 2 5" xfId="21007"/>
    <cellStyle name="Normal 3 3 2 6" xfId="21008"/>
    <cellStyle name="Normal 3 3 20" xfId="21009"/>
    <cellStyle name="Normal 3 3 20 2" xfId="21010"/>
    <cellStyle name="Normal 3 3 20 3" xfId="21011"/>
    <cellStyle name="Normal 3 3 20 4" xfId="21012"/>
    <cellStyle name="Normal 3 3 21" xfId="21013"/>
    <cellStyle name="Normal 3 3 21 2" xfId="21014"/>
    <cellStyle name="Normal 3 3 21 3" xfId="21015"/>
    <cellStyle name="Normal 3 3 21 4" xfId="21016"/>
    <cellStyle name="Normal 3 3 22" xfId="21017"/>
    <cellStyle name="Normal 3 3 22 2" xfId="21018"/>
    <cellStyle name="Normal 3 3 22 3" xfId="21019"/>
    <cellStyle name="Normal 3 3 22 4" xfId="21020"/>
    <cellStyle name="Normal 3 3 23" xfId="21021"/>
    <cellStyle name="Normal 3 3 23 2" xfId="21022"/>
    <cellStyle name="Normal 3 3 23 3" xfId="21023"/>
    <cellStyle name="Normal 3 3 23 4" xfId="21024"/>
    <cellStyle name="Normal 3 3 24" xfId="21025"/>
    <cellStyle name="Normal 3 3 24 2" xfId="21026"/>
    <cellStyle name="Normal 3 3 24 3" xfId="21027"/>
    <cellStyle name="Normal 3 3 24 4" xfId="21028"/>
    <cellStyle name="Normal 3 3 25" xfId="21029"/>
    <cellStyle name="Normal 3 3 25 2" xfId="21030"/>
    <cellStyle name="Normal 3 3 25 3" xfId="21031"/>
    <cellStyle name="Normal 3 3 25 4" xfId="21032"/>
    <cellStyle name="Normal 3 3 26" xfId="21033"/>
    <cellStyle name="Normal 3 3 26 2" xfId="21034"/>
    <cellStyle name="Normal 3 3 26 2 2" xfId="21035"/>
    <cellStyle name="Normal 3 3 26 2 3" xfId="21036"/>
    <cellStyle name="Normal 3 3 26 2 4" xfId="21037"/>
    <cellStyle name="Normal 3 3 26 2 5" xfId="21038"/>
    <cellStyle name="Normal 3 3 26 2 6" xfId="21039"/>
    <cellStyle name="Normal 3 3 26 3" xfId="21040"/>
    <cellStyle name="Normal 3 3 26 4" xfId="21041"/>
    <cellStyle name="Normal 3 3 27" xfId="21042"/>
    <cellStyle name="Normal 3 3 28" xfId="21043"/>
    <cellStyle name="Normal 3 3 29" xfId="21044"/>
    <cellStyle name="Normal 3 3 3" xfId="21045"/>
    <cellStyle name="Normal 3 3 3 2" xfId="21046"/>
    <cellStyle name="Normal 3 3 3 3" xfId="21047"/>
    <cellStyle name="Normal 3 3 3 4" xfId="21048"/>
    <cellStyle name="Normal 3 3 4" xfId="21049"/>
    <cellStyle name="Normal 3 3 4 2" xfId="21050"/>
    <cellStyle name="Normal 3 3 4 3" xfId="21051"/>
    <cellStyle name="Normal 3 3 4 4" xfId="21052"/>
    <cellStyle name="Normal 3 3 5" xfId="21053"/>
    <cellStyle name="Normal 3 3 5 2" xfId="21054"/>
    <cellStyle name="Normal 3 3 5 3" xfId="21055"/>
    <cellStyle name="Normal 3 3 5 4" xfId="21056"/>
    <cellStyle name="Normal 3 3 6" xfId="21057"/>
    <cellStyle name="Normal 3 3 6 2" xfId="21058"/>
    <cellStyle name="Normal 3 3 6 3" xfId="21059"/>
    <cellStyle name="Normal 3 3 6 4" xfId="21060"/>
    <cellStyle name="Normal 3 3 7" xfId="21061"/>
    <cellStyle name="Normal 3 3 7 2" xfId="21062"/>
    <cellStyle name="Normal 3 3 7 3" xfId="21063"/>
    <cellStyle name="Normal 3 3 7 4" xfId="21064"/>
    <cellStyle name="Normal 3 3 8" xfId="21065"/>
    <cellStyle name="Normal 3 3 8 2" xfId="21066"/>
    <cellStyle name="Normal 3 3 8 3" xfId="21067"/>
    <cellStyle name="Normal 3 3 8 4" xfId="21068"/>
    <cellStyle name="Normal 3 3 9" xfId="21069"/>
    <cellStyle name="Normal 3 3 9 2" xfId="21070"/>
    <cellStyle name="Normal 3 3 9 3" xfId="21071"/>
    <cellStyle name="Normal 3 3 9 4" xfId="21072"/>
    <cellStyle name="Normal 3 30" xfId="21073"/>
    <cellStyle name="Normal 3 30 2" xfId="21074"/>
    <cellStyle name="Normal 3 30 3" xfId="21075"/>
    <cellStyle name="Normal 3 30 4" xfId="21076"/>
    <cellStyle name="Normal 3 30 5" xfId="21077"/>
    <cellStyle name="Normal 3 30 6" xfId="21078"/>
    <cellStyle name="Normal 3 30 7" xfId="21079"/>
    <cellStyle name="Normal 3 30 8" xfId="21080"/>
    <cellStyle name="Normal 3 31" xfId="21081"/>
    <cellStyle name="Normal 3 31 2" xfId="21082"/>
    <cellStyle name="Normal 3 31 3" xfId="21083"/>
    <cellStyle name="Normal 3 31 4" xfId="21084"/>
    <cellStyle name="Normal 3 31 5" xfId="21085"/>
    <cellStyle name="Normal 3 31 6" xfId="21086"/>
    <cellStyle name="Normal 3 31 7" xfId="21087"/>
    <cellStyle name="Normal 3 31 8" xfId="21088"/>
    <cellStyle name="Normal 3 32" xfId="21089"/>
    <cellStyle name="Normal 3 32 2" xfId="21090"/>
    <cellStyle name="Normal 3 32 3" xfId="21091"/>
    <cellStyle name="Normal 3 32 4" xfId="21092"/>
    <cellStyle name="Normal 3 32 5" xfId="21093"/>
    <cellStyle name="Normal 3 32 6" xfId="21094"/>
    <cellStyle name="Normal 3 32 7" xfId="21095"/>
    <cellStyle name="Normal 3 32 8" xfId="21096"/>
    <cellStyle name="Normal 3 33" xfId="21097"/>
    <cellStyle name="Normal 3 33 2" xfId="21098"/>
    <cellStyle name="Normal 3 33 3" xfId="21099"/>
    <cellStyle name="Normal 3 33 4" xfId="21100"/>
    <cellStyle name="Normal 3 33 5" xfId="21101"/>
    <cellStyle name="Normal 3 33 6" xfId="21102"/>
    <cellStyle name="Normal 3 33 7" xfId="21103"/>
    <cellStyle name="Normal 3 33 8" xfId="21104"/>
    <cellStyle name="Normal 3 34" xfId="21105"/>
    <cellStyle name="Normal 3 34 2" xfId="21106"/>
    <cellStyle name="Normal 3 34 3" xfId="21107"/>
    <cellStyle name="Normal 3 34 4" xfId="21108"/>
    <cellStyle name="Normal 3 34 5" xfId="21109"/>
    <cellStyle name="Normal 3 34 6" xfId="21110"/>
    <cellStyle name="Normal 3 34 7" xfId="21111"/>
    <cellStyle name="Normal 3 34 8" xfId="21112"/>
    <cellStyle name="Normal 3 35" xfId="21113"/>
    <cellStyle name="Normal 3 35 2" xfId="21114"/>
    <cellStyle name="Normal 3 35 3" xfId="21115"/>
    <cellStyle name="Normal 3 35 4" xfId="21116"/>
    <cellStyle name="Normal 3 35 5" xfId="21117"/>
    <cellStyle name="Normal 3 35 6" xfId="21118"/>
    <cellStyle name="Normal 3 35 7" xfId="21119"/>
    <cellStyle name="Normal 3 35 8" xfId="21120"/>
    <cellStyle name="Normal 3 36" xfId="21121"/>
    <cellStyle name="Normal 3 36 2" xfId="21122"/>
    <cellStyle name="Normal 3 36 3" xfId="21123"/>
    <cellStyle name="Normal 3 36 4" xfId="21124"/>
    <cellStyle name="Normal 3 36 5" xfId="21125"/>
    <cellStyle name="Normal 3 36 6" xfId="21126"/>
    <cellStyle name="Normal 3 36 7" xfId="21127"/>
    <cellStyle name="Normal 3 36 8" xfId="21128"/>
    <cellStyle name="Normal 3 37" xfId="21129"/>
    <cellStyle name="Normal 3 37 2" xfId="21130"/>
    <cellStyle name="Normal 3 37 3" xfId="21131"/>
    <cellStyle name="Normal 3 37 4" xfId="21132"/>
    <cellStyle name="Normal 3 37 5" xfId="21133"/>
    <cellStyle name="Normal 3 37 6" xfId="21134"/>
    <cellStyle name="Normal 3 37 7" xfId="21135"/>
    <cellStyle name="Normal 3 37 8" xfId="21136"/>
    <cellStyle name="Normal 3 38" xfId="21137"/>
    <cellStyle name="Normal 3 38 2" xfId="21138"/>
    <cellStyle name="Normal 3 38 3" xfId="21139"/>
    <cellStyle name="Normal 3 38 4" xfId="21140"/>
    <cellStyle name="Normal 3 38 5" xfId="21141"/>
    <cellStyle name="Normal 3 38 6" xfId="21142"/>
    <cellStyle name="Normal 3 38 7" xfId="21143"/>
    <cellStyle name="Normal 3 38 8" xfId="21144"/>
    <cellStyle name="Normal 3 39" xfId="21145"/>
    <cellStyle name="Normal 3 39 2" xfId="21146"/>
    <cellStyle name="Normal 3 39 3" xfId="21147"/>
    <cellStyle name="Normal 3 39 4" xfId="21148"/>
    <cellStyle name="Normal 3 39 5" xfId="21149"/>
    <cellStyle name="Normal 3 39 6" xfId="21150"/>
    <cellStyle name="Normal 3 39 7" xfId="21151"/>
    <cellStyle name="Normal 3 39 8" xfId="21152"/>
    <cellStyle name="Normal 3 4" xfId="21153"/>
    <cellStyle name="Normal 3 4 2" xfId="21154"/>
    <cellStyle name="Normal 3 4 2 2" xfId="21155"/>
    <cellStyle name="Normal 3 4 2 3" xfId="21156"/>
    <cellStyle name="Normal 3 4 2 4" xfId="21157"/>
    <cellStyle name="Normal 3 4 2 5" xfId="21158"/>
    <cellStyle name="Normal 3 4 2 6" xfId="21159"/>
    <cellStyle name="Normal 3 4 3" xfId="21160"/>
    <cellStyle name="Normal 3 4 4" xfId="21161"/>
    <cellStyle name="Normal 3 40" xfId="21162"/>
    <cellStyle name="Normal 3 40 2" xfId="21163"/>
    <cellStyle name="Normal 3 40 3" xfId="21164"/>
    <cellStyle name="Normal 3 40 4" xfId="21165"/>
    <cellStyle name="Normal 3 40 5" xfId="21166"/>
    <cellStyle name="Normal 3 40 6" xfId="21167"/>
    <cellStyle name="Normal 3 40 7" xfId="21168"/>
    <cellStyle name="Normal 3 40 8" xfId="21169"/>
    <cellStyle name="Normal 3 41" xfId="21170"/>
    <cellStyle name="Normal 3 41 2" xfId="21171"/>
    <cellStyle name="Normal 3 41 3" xfId="21172"/>
    <cellStyle name="Normal 3 41 4" xfId="21173"/>
    <cellStyle name="Normal 3 41 5" xfId="21174"/>
    <cellStyle name="Normal 3 41 6" xfId="21175"/>
    <cellStyle name="Normal 3 41 7" xfId="21176"/>
    <cellStyle name="Normal 3 41 8" xfId="21177"/>
    <cellStyle name="Normal 3 42" xfId="21178"/>
    <cellStyle name="Normal 3 42 2" xfId="21179"/>
    <cellStyle name="Normal 3 42 3" xfId="21180"/>
    <cellStyle name="Normal 3 42 4" xfId="21181"/>
    <cellStyle name="Normal 3 42 5" xfId="21182"/>
    <cellStyle name="Normal 3 42 6" xfId="21183"/>
    <cellStyle name="Normal 3 42 7" xfId="21184"/>
    <cellStyle name="Normal 3 42 8" xfId="21185"/>
    <cellStyle name="Normal 3 43" xfId="21186"/>
    <cellStyle name="Normal 3 43 2" xfId="21187"/>
    <cellStyle name="Normal 3 43 3" xfId="21188"/>
    <cellStyle name="Normal 3 43 4" xfId="21189"/>
    <cellStyle name="Normal 3 43 5" xfId="21190"/>
    <cellStyle name="Normal 3 43 6" xfId="21191"/>
    <cellStyle name="Normal 3 43 7" xfId="21192"/>
    <cellStyle name="Normal 3 43 8" xfId="21193"/>
    <cellStyle name="Normal 3 44" xfId="21194"/>
    <cellStyle name="Normal 3 44 2" xfId="21195"/>
    <cellStyle name="Normal 3 44 3" xfId="21196"/>
    <cellStyle name="Normal 3 44 4" xfId="21197"/>
    <cellStyle name="Normal 3 44 5" xfId="21198"/>
    <cellStyle name="Normal 3 44 6" xfId="21199"/>
    <cellStyle name="Normal 3 44 7" xfId="21200"/>
    <cellStyle name="Normal 3 44 8" xfId="21201"/>
    <cellStyle name="Normal 3 45" xfId="21202"/>
    <cellStyle name="Normal 3 45 2" xfId="21203"/>
    <cellStyle name="Normal 3 45 3" xfId="21204"/>
    <cellStyle name="Normal 3 45 4" xfId="21205"/>
    <cellStyle name="Normal 3 45 5" xfId="21206"/>
    <cellStyle name="Normal 3 45 6" xfId="21207"/>
    <cellStyle name="Normal 3 45 7" xfId="21208"/>
    <cellStyle name="Normal 3 45 8" xfId="21209"/>
    <cellStyle name="Normal 3 46" xfId="21210"/>
    <cellStyle name="Normal 3 46 2" xfId="21211"/>
    <cellStyle name="Normal 3 46 3" xfId="21212"/>
    <cellStyle name="Normal 3 46 4" xfId="21213"/>
    <cellStyle name="Normal 3 46 5" xfId="21214"/>
    <cellStyle name="Normal 3 46 6" xfId="21215"/>
    <cellStyle name="Normal 3 46 7" xfId="21216"/>
    <cellStyle name="Normal 3 46 8" xfId="21217"/>
    <cellStyle name="Normal 3 47" xfId="21218"/>
    <cellStyle name="Normal 3 47 2" xfId="21219"/>
    <cellStyle name="Normal 3 47 3" xfId="21220"/>
    <cellStyle name="Normal 3 47 4" xfId="21221"/>
    <cellStyle name="Normal 3 47 5" xfId="21222"/>
    <cellStyle name="Normal 3 47 6" xfId="21223"/>
    <cellStyle name="Normal 3 47 7" xfId="21224"/>
    <cellStyle name="Normal 3 47 8" xfId="21225"/>
    <cellStyle name="Normal 3 48" xfId="21226"/>
    <cellStyle name="Normal 3 48 2" xfId="21227"/>
    <cellStyle name="Normal 3 48 3" xfId="21228"/>
    <cellStyle name="Normal 3 48 4" xfId="21229"/>
    <cellStyle name="Normal 3 48 5" xfId="21230"/>
    <cellStyle name="Normal 3 48 6" xfId="21231"/>
    <cellStyle name="Normal 3 48 7" xfId="21232"/>
    <cellStyle name="Normal 3 48 8" xfId="21233"/>
    <cellStyle name="Normal 3 49" xfId="21234"/>
    <cellStyle name="Normal 3 49 2" xfId="21235"/>
    <cellStyle name="Normal 3 49 3" xfId="21236"/>
    <cellStyle name="Normal 3 49 4" xfId="21237"/>
    <cellStyle name="Normal 3 49 5" xfId="21238"/>
    <cellStyle name="Normal 3 49 6" xfId="21239"/>
    <cellStyle name="Normal 3 49 7" xfId="21240"/>
    <cellStyle name="Normal 3 49 8" xfId="21241"/>
    <cellStyle name="Normal 3 5" xfId="21242"/>
    <cellStyle name="Normal 3 5 2" xfId="21243"/>
    <cellStyle name="Normal 3 5 2 2" xfId="21244"/>
    <cellStyle name="Normal 3 5 2 3" xfId="21245"/>
    <cellStyle name="Normal 3 5 2 4" xfId="21246"/>
    <cellStyle name="Normal 3 5 2 5" xfId="21247"/>
    <cellStyle name="Normal 3 5 2 6" xfId="21248"/>
    <cellStyle name="Normal 3 5 3" xfId="21249"/>
    <cellStyle name="Normal 3 5 4" xfId="21250"/>
    <cellStyle name="Normal 3 50" xfId="21251"/>
    <cellStyle name="Normal 3 50 2" xfId="21252"/>
    <cellStyle name="Normal 3 50 3" xfId="21253"/>
    <cellStyle name="Normal 3 50 4" xfId="21254"/>
    <cellStyle name="Normal 3 50 5" xfId="21255"/>
    <cellStyle name="Normal 3 50 6" xfId="21256"/>
    <cellStyle name="Normal 3 50 7" xfId="21257"/>
    <cellStyle name="Normal 3 50 8" xfId="21258"/>
    <cellStyle name="Normal 3 51" xfId="21259"/>
    <cellStyle name="Normal 3 51 2" xfId="21260"/>
    <cellStyle name="Normal 3 51 3" xfId="21261"/>
    <cellStyle name="Normal 3 51 4" xfId="21262"/>
    <cellStyle name="Normal 3 51 5" xfId="21263"/>
    <cellStyle name="Normal 3 51 6" xfId="21264"/>
    <cellStyle name="Normal 3 51 7" xfId="21265"/>
    <cellStyle name="Normal 3 51 8" xfId="21266"/>
    <cellStyle name="Normal 3 52" xfId="21267"/>
    <cellStyle name="Normal 3 52 2" xfId="21268"/>
    <cellStyle name="Normal 3 52 3" xfId="21269"/>
    <cellStyle name="Normal 3 52 4" xfId="21270"/>
    <cellStyle name="Normal 3 52 5" xfId="21271"/>
    <cellStyle name="Normal 3 52 6" xfId="21272"/>
    <cellStyle name="Normal 3 52 7" xfId="21273"/>
    <cellStyle name="Normal 3 52 8" xfId="21274"/>
    <cellStyle name="Normal 3 53" xfId="21275"/>
    <cellStyle name="Normal 3 53 2" xfId="21276"/>
    <cellStyle name="Normal 3 53 3" xfId="21277"/>
    <cellStyle name="Normal 3 53 4" xfId="21278"/>
    <cellStyle name="Normal 3 53 5" xfId="21279"/>
    <cellStyle name="Normal 3 53 6" xfId="21280"/>
    <cellStyle name="Normal 3 53 7" xfId="21281"/>
    <cellStyle name="Normal 3 53 8" xfId="21282"/>
    <cellStyle name="Normal 3 54" xfId="21283"/>
    <cellStyle name="Normal 3 54 2" xfId="21284"/>
    <cellStyle name="Normal 3 54 3" xfId="21285"/>
    <cellStyle name="Normal 3 54 4" xfId="21286"/>
    <cellStyle name="Normal 3 54 5" xfId="21287"/>
    <cellStyle name="Normal 3 54 6" xfId="21288"/>
    <cellStyle name="Normal 3 54 7" xfId="21289"/>
    <cellStyle name="Normal 3 54 8" xfId="21290"/>
    <cellStyle name="Normal 3 55" xfId="21291"/>
    <cellStyle name="Normal 3 55 2" xfId="21292"/>
    <cellStyle name="Normal 3 55 3" xfId="21293"/>
    <cellStyle name="Normal 3 55 4" xfId="21294"/>
    <cellStyle name="Normal 3 55 5" xfId="21295"/>
    <cellStyle name="Normal 3 55 6" xfId="21296"/>
    <cellStyle name="Normal 3 55 7" xfId="21297"/>
    <cellStyle name="Normal 3 55 8" xfId="21298"/>
    <cellStyle name="Normal 3 56" xfId="21299"/>
    <cellStyle name="Normal 3 56 2" xfId="21300"/>
    <cellStyle name="Normal 3 56 3" xfId="21301"/>
    <cellStyle name="Normal 3 56 4" xfId="21302"/>
    <cellStyle name="Normal 3 56 5" xfId="21303"/>
    <cellStyle name="Normal 3 56 6" xfId="21304"/>
    <cellStyle name="Normal 3 56 7" xfId="21305"/>
    <cellStyle name="Normal 3 56 8" xfId="21306"/>
    <cellStyle name="Normal 3 57" xfId="21307"/>
    <cellStyle name="Normal 3 57 2" xfId="21308"/>
    <cellStyle name="Normal 3 57 3" xfId="21309"/>
    <cellStyle name="Normal 3 57 4" xfId="21310"/>
    <cellStyle name="Normal 3 57 5" xfId="21311"/>
    <cellStyle name="Normal 3 57 6" xfId="21312"/>
    <cellStyle name="Normal 3 57 7" xfId="21313"/>
    <cellStyle name="Normal 3 57 8" xfId="21314"/>
    <cellStyle name="Normal 3 58" xfId="21315"/>
    <cellStyle name="Normal 3 58 2" xfId="21316"/>
    <cellStyle name="Normal 3 58 3" xfId="21317"/>
    <cellStyle name="Normal 3 58 4" xfId="21318"/>
    <cellStyle name="Normal 3 58 5" xfId="21319"/>
    <cellStyle name="Normal 3 58 6" xfId="21320"/>
    <cellStyle name="Normal 3 58 7" xfId="21321"/>
    <cellStyle name="Normal 3 58 8" xfId="21322"/>
    <cellStyle name="Normal 3 59" xfId="21323"/>
    <cellStyle name="Normal 3 59 2" xfId="21324"/>
    <cellStyle name="Normal 3 59 3" xfId="21325"/>
    <cellStyle name="Normal 3 59 4" xfId="21326"/>
    <cellStyle name="Normal 3 59 5" xfId="21327"/>
    <cellStyle name="Normal 3 59 6" xfId="21328"/>
    <cellStyle name="Normal 3 59 7" xfId="21329"/>
    <cellStyle name="Normal 3 59 8" xfId="21330"/>
    <cellStyle name="Normal 3 6" xfId="21331"/>
    <cellStyle name="Normal 3 6 2" xfId="21332"/>
    <cellStyle name="Normal 3 6 2 2" xfId="21333"/>
    <cellStyle name="Normal 3 6 2 3" xfId="21334"/>
    <cellStyle name="Normal 3 6 2 4" xfId="21335"/>
    <cellStyle name="Normal 3 6 2 5" xfId="21336"/>
    <cellStyle name="Normal 3 6 2 6" xfId="21337"/>
    <cellStyle name="Normal 3 6 3" xfId="21338"/>
    <cellStyle name="Normal 3 6 4" xfId="21339"/>
    <cellStyle name="Normal 3 60" xfId="21340"/>
    <cellStyle name="Normal 3 60 2" xfId="21341"/>
    <cellStyle name="Normal 3 60 3" xfId="21342"/>
    <cellStyle name="Normal 3 60 4" xfId="21343"/>
    <cellStyle name="Normal 3 60 5" xfId="21344"/>
    <cellStyle name="Normal 3 60 6" xfId="21345"/>
    <cellStyle name="Normal 3 60 7" xfId="21346"/>
    <cellStyle name="Normal 3 60 8" xfId="21347"/>
    <cellStyle name="Normal 3 61" xfId="21348"/>
    <cellStyle name="Normal 3 61 2" xfId="21349"/>
    <cellStyle name="Normal 3 61 3" xfId="21350"/>
    <cellStyle name="Normal 3 61 4" xfId="21351"/>
    <cellStyle name="Normal 3 61 5" xfId="21352"/>
    <cellStyle name="Normal 3 61 6" xfId="21353"/>
    <cellStyle name="Normal 3 61 7" xfId="21354"/>
    <cellStyle name="Normal 3 61 8" xfId="21355"/>
    <cellStyle name="Normal 3 62" xfId="21356"/>
    <cellStyle name="Normal 3 62 2" xfId="21357"/>
    <cellStyle name="Normal 3 62 3" xfId="21358"/>
    <cellStyle name="Normal 3 62 4" xfId="21359"/>
    <cellStyle name="Normal 3 62 5" xfId="21360"/>
    <cellStyle name="Normal 3 62 6" xfId="21361"/>
    <cellStyle name="Normal 3 62 7" xfId="21362"/>
    <cellStyle name="Normal 3 62 8" xfId="21363"/>
    <cellStyle name="Normal 3 63" xfId="21364"/>
    <cellStyle name="Normal 3 63 2" xfId="21365"/>
    <cellStyle name="Normal 3 63 3" xfId="21366"/>
    <cellStyle name="Normal 3 63 4" xfId="21367"/>
    <cellStyle name="Normal 3 63 5" xfId="21368"/>
    <cellStyle name="Normal 3 63 6" xfId="21369"/>
    <cellStyle name="Normal 3 63 7" xfId="21370"/>
    <cellStyle name="Normal 3 63 8" xfId="21371"/>
    <cellStyle name="Normal 3 64" xfId="21372"/>
    <cellStyle name="Normal 3 64 2" xfId="21373"/>
    <cellStyle name="Normal 3 64 3" xfId="21374"/>
    <cellStyle name="Normal 3 64 4" xfId="21375"/>
    <cellStyle name="Normal 3 64 5" xfId="21376"/>
    <cellStyle name="Normal 3 64 6" xfId="21377"/>
    <cellStyle name="Normal 3 64 7" xfId="21378"/>
    <cellStyle name="Normal 3 64 8" xfId="21379"/>
    <cellStyle name="Normal 3 65" xfId="21380"/>
    <cellStyle name="Normal 3 65 2" xfId="21381"/>
    <cellStyle name="Normal 3 65 3" xfId="21382"/>
    <cellStyle name="Normal 3 65 4" xfId="21383"/>
    <cellStyle name="Normal 3 65 5" xfId="21384"/>
    <cellStyle name="Normal 3 65 6" xfId="21385"/>
    <cellStyle name="Normal 3 65 7" xfId="21386"/>
    <cellStyle name="Normal 3 65 8" xfId="21387"/>
    <cellStyle name="Normal 3 66" xfId="21388"/>
    <cellStyle name="Normal 3 66 2" xfId="21389"/>
    <cellStyle name="Normal 3 66 3" xfId="21390"/>
    <cellStyle name="Normal 3 66 4" xfId="21391"/>
    <cellStyle name="Normal 3 66 5" xfId="21392"/>
    <cellStyle name="Normal 3 66 6" xfId="21393"/>
    <cellStyle name="Normal 3 66 7" xfId="21394"/>
    <cellStyle name="Normal 3 66 8" xfId="21395"/>
    <cellStyle name="Normal 3 67" xfId="21396"/>
    <cellStyle name="Normal 3 67 2" xfId="21397"/>
    <cellStyle name="Normal 3 67 3" xfId="21398"/>
    <cellStyle name="Normal 3 67 4" xfId="21399"/>
    <cellStyle name="Normal 3 67 5" xfId="21400"/>
    <cellStyle name="Normal 3 67 6" xfId="21401"/>
    <cellStyle name="Normal 3 67 7" xfId="21402"/>
    <cellStyle name="Normal 3 67 8" xfId="21403"/>
    <cellStyle name="Normal 3 68" xfId="21404"/>
    <cellStyle name="Normal 3 68 2" xfId="21405"/>
    <cellStyle name="Normal 3 68 3" xfId="21406"/>
    <cellStyle name="Normal 3 68 4" xfId="21407"/>
    <cellStyle name="Normal 3 68 5" xfId="21408"/>
    <cellStyle name="Normal 3 68 6" xfId="21409"/>
    <cellStyle name="Normal 3 68 7" xfId="21410"/>
    <cellStyle name="Normal 3 68 8" xfId="21411"/>
    <cellStyle name="Normal 3 69" xfId="21412"/>
    <cellStyle name="Normal 3 69 2" xfId="21413"/>
    <cellStyle name="Normal 3 69 3" xfId="21414"/>
    <cellStyle name="Normal 3 69 4" xfId="21415"/>
    <cellStyle name="Normal 3 69 5" xfId="21416"/>
    <cellStyle name="Normal 3 69 6" xfId="21417"/>
    <cellStyle name="Normal 3 69 7" xfId="21418"/>
    <cellStyle name="Normal 3 69 8" xfId="21419"/>
    <cellStyle name="Normal 3 7" xfId="21420"/>
    <cellStyle name="Normal 3 7 2" xfId="21421"/>
    <cellStyle name="Normal 3 7 2 2" xfId="21422"/>
    <cellStyle name="Normal 3 7 2 3" xfId="21423"/>
    <cellStyle name="Normal 3 7 2 4" xfId="21424"/>
    <cellStyle name="Normal 3 7 2 5" xfId="21425"/>
    <cellStyle name="Normal 3 7 2 6" xfId="21426"/>
    <cellStyle name="Normal 3 7 3" xfId="21427"/>
    <cellStyle name="Normal 3 7 4" xfId="21428"/>
    <cellStyle name="Normal 3 70" xfId="21429"/>
    <cellStyle name="Normal 3 70 2" xfId="21430"/>
    <cellStyle name="Normal 3 70 3" xfId="21431"/>
    <cellStyle name="Normal 3 70 4" xfId="21432"/>
    <cellStyle name="Normal 3 70 5" xfId="21433"/>
    <cellStyle name="Normal 3 70 6" xfId="21434"/>
    <cellStyle name="Normal 3 70 7" xfId="21435"/>
    <cellStyle name="Normal 3 70 8" xfId="21436"/>
    <cellStyle name="Normal 3 71" xfId="21437"/>
    <cellStyle name="Normal 3 71 2" xfId="21438"/>
    <cellStyle name="Normal 3 71 3" xfId="21439"/>
    <cellStyle name="Normal 3 71 4" xfId="21440"/>
    <cellStyle name="Normal 3 71 5" xfId="21441"/>
    <cellStyle name="Normal 3 71 6" xfId="21442"/>
    <cellStyle name="Normal 3 71 7" xfId="21443"/>
    <cellStyle name="Normal 3 71 8" xfId="21444"/>
    <cellStyle name="Normal 3 72" xfId="21445"/>
    <cellStyle name="Normal 3 72 2" xfId="21446"/>
    <cellStyle name="Normal 3 72 3" xfId="21447"/>
    <cellStyle name="Normal 3 72 4" xfId="21448"/>
    <cellStyle name="Normal 3 72 5" xfId="21449"/>
    <cellStyle name="Normal 3 72 6" xfId="21450"/>
    <cellStyle name="Normal 3 72 7" xfId="21451"/>
    <cellStyle name="Normal 3 72 8" xfId="21452"/>
    <cellStyle name="Normal 3 73" xfId="21453"/>
    <cellStyle name="Normal 3 73 2" xfId="21454"/>
    <cellStyle name="Normal 3 73 3" xfId="21455"/>
    <cellStyle name="Normal 3 73 4" xfId="21456"/>
    <cellStyle name="Normal 3 73 5" xfId="21457"/>
    <cellStyle name="Normal 3 73 6" xfId="21458"/>
    <cellStyle name="Normal 3 73 7" xfId="21459"/>
    <cellStyle name="Normal 3 73 8" xfId="21460"/>
    <cellStyle name="Normal 3 74" xfId="21461"/>
    <cellStyle name="Normal 3 74 2" xfId="21462"/>
    <cellStyle name="Normal 3 74 3" xfId="21463"/>
    <cellStyle name="Normal 3 74 4" xfId="21464"/>
    <cellStyle name="Normal 3 74 5" xfId="21465"/>
    <cellStyle name="Normal 3 74 6" xfId="21466"/>
    <cellStyle name="Normal 3 74 7" xfId="21467"/>
    <cellStyle name="Normal 3 74 8" xfId="21468"/>
    <cellStyle name="Normal 3 75" xfId="21469"/>
    <cellStyle name="Normal 3 75 2" xfId="21470"/>
    <cellStyle name="Normal 3 75 3" xfId="21471"/>
    <cellStyle name="Normal 3 75 4" xfId="21472"/>
    <cellStyle name="Normal 3 75 5" xfId="21473"/>
    <cellStyle name="Normal 3 75 6" xfId="21474"/>
    <cellStyle name="Normal 3 75 7" xfId="21475"/>
    <cellStyle name="Normal 3 75 8" xfId="21476"/>
    <cellStyle name="Normal 3 76" xfId="21477"/>
    <cellStyle name="Normal 3 76 2" xfId="21478"/>
    <cellStyle name="Normal 3 76 3" xfId="21479"/>
    <cellStyle name="Normal 3 76 4" xfId="21480"/>
    <cellStyle name="Normal 3 76 5" xfId="21481"/>
    <cellStyle name="Normal 3 76 6" xfId="21482"/>
    <cellStyle name="Normal 3 76 7" xfId="21483"/>
    <cellStyle name="Normal 3 76 8" xfId="21484"/>
    <cellStyle name="Normal 3 77" xfId="21485"/>
    <cellStyle name="Normal 3 77 2" xfId="21486"/>
    <cellStyle name="Normal 3 77 3" xfId="21487"/>
    <cellStyle name="Normal 3 77 4" xfId="21488"/>
    <cellStyle name="Normal 3 77 5" xfId="21489"/>
    <cellStyle name="Normal 3 77 6" xfId="21490"/>
    <cellStyle name="Normal 3 77 7" xfId="21491"/>
    <cellStyle name="Normal 3 77 8" xfId="21492"/>
    <cellStyle name="Normal 3 78" xfId="21493"/>
    <cellStyle name="Normal 3 78 2" xfId="21494"/>
    <cellStyle name="Normal 3 78 3" xfId="21495"/>
    <cellStyle name="Normal 3 78 4" xfId="21496"/>
    <cellStyle name="Normal 3 78 5" xfId="21497"/>
    <cellStyle name="Normal 3 78 6" xfId="21498"/>
    <cellStyle name="Normal 3 78 7" xfId="21499"/>
    <cellStyle name="Normal 3 78 8" xfId="21500"/>
    <cellStyle name="Normal 3 79" xfId="21501"/>
    <cellStyle name="Normal 3 79 2" xfId="21502"/>
    <cellStyle name="Normal 3 79 3" xfId="21503"/>
    <cellStyle name="Normal 3 79 4" xfId="21504"/>
    <cellStyle name="Normal 3 79 5" xfId="21505"/>
    <cellStyle name="Normal 3 79 6" xfId="21506"/>
    <cellStyle name="Normal 3 79 7" xfId="21507"/>
    <cellStyle name="Normal 3 79 8" xfId="21508"/>
    <cellStyle name="Normal 3 8" xfId="21509"/>
    <cellStyle name="Normal 3 8 2" xfId="21510"/>
    <cellStyle name="Normal 3 8 2 2" xfId="21511"/>
    <cellStyle name="Normal 3 8 2 3" xfId="21512"/>
    <cellStyle name="Normal 3 8 2 4" xfId="21513"/>
    <cellStyle name="Normal 3 8 2 5" xfId="21514"/>
    <cellStyle name="Normal 3 8 2 6" xfId="21515"/>
    <cellStyle name="Normal 3 8 3" xfId="21516"/>
    <cellStyle name="Normal 3 8 4" xfId="21517"/>
    <cellStyle name="Normal 3 80" xfId="21518"/>
    <cellStyle name="Normal 3 80 2" xfId="21519"/>
    <cellStyle name="Normal 3 80 3" xfId="21520"/>
    <cellStyle name="Normal 3 80 4" xfId="21521"/>
    <cellStyle name="Normal 3 80 5" xfId="21522"/>
    <cellStyle name="Normal 3 80 6" xfId="21523"/>
    <cellStyle name="Normal 3 80 7" xfId="21524"/>
    <cellStyle name="Normal 3 80 8" xfId="21525"/>
    <cellStyle name="Normal 3 81" xfId="21526"/>
    <cellStyle name="Normal 3 81 2" xfId="21527"/>
    <cellStyle name="Normal 3 81 3" xfId="21528"/>
    <cellStyle name="Normal 3 81 4" xfId="21529"/>
    <cellStyle name="Normal 3 81 5" xfId="21530"/>
    <cellStyle name="Normal 3 81 6" xfId="21531"/>
    <cellStyle name="Normal 3 81 7" xfId="21532"/>
    <cellStyle name="Normal 3 81 8" xfId="21533"/>
    <cellStyle name="Normal 3 82" xfId="21534"/>
    <cellStyle name="Normal 3 82 2" xfId="21535"/>
    <cellStyle name="Normal 3 82 3" xfId="21536"/>
    <cellStyle name="Normal 3 82 4" xfId="21537"/>
    <cellStyle name="Normal 3 82 5" xfId="21538"/>
    <cellStyle name="Normal 3 82 6" xfId="21539"/>
    <cellStyle name="Normal 3 82 7" xfId="21540"/>
    <cellStyle name="Normal 3 82 8" xfId="21541"/>
    <cellStyle name="Normal 3 83" xfId="21542"/>
    <cellStyle name="Normal 3 83 2" xfId="21543"/>
    <cellStyle name="Normal 3 83 3" xfId="21544"/>
    <cellStyle name="Normal 3 83 4" xfId="21545"/>
    <cellStyle name="Normal 3 83 5" xfId="21546"/>
    <cellStyle name="Normal 3 83 6" xfId="21547"/>
    <cellStyle name="Normal 3 83 7" xfId="21548"/>
    <cellStyle name="Normal 3 83 8" xfId="21549"/>
    <cellStyle name="Normal 3 84" xfId="21550"/>
    <cellStyle name="Normal 3 84 2" xfId="21551"/>
    <cellStyle name="Normal 3 84 3" xfId="21552"/>
    <cellStyle name="Normal 3 84 4" xfId="21553"/>
    <cellStyle name="Normal 3 84 5" xfId="21554"/>
    <cellStyle name="Normal 3 84 6" xfId="21555"/>
    <cellStyle name="Normal 3 84 7" xfId="21556"/>
    <cellStyle name="Normal 3 84 8" xfId="21557"/>
    <cellStyle name="Normal 3 85" xfId="21558"/>
    <cellStyle name="Normal 3 85 2" xfId="21559"/>
    <cellStyle name="Normal 3 85 3" xfId="21560"/>
    <cellStyle name="Normal 3 85 4" xfId="21561"/>
    <cellStyle name="Normal 3 85 5" xfId="21562"/>
    <cellStyle name="Normal 3 85 6" xfId="21563"/>
    <cellStyle name="Normal 3 85 7" xfId="21564"/>
    <cellStyle name="Normal 3 85 8" xfId="21565"/>
    <cellStyle name="Normal 3 86" xfId="21566"/>
    <cellStyle name="Normal 3 86 2" xfId="21567"/>
    <cellStyle name="Normal 3 86 3" xfId="21568"/>
    <cellStyle name="Normal 3 86 4" xfId="21569"/>
    <cellStyle name="Normal 3 86 5" xfId="21570"/>
    <cellStyle name="Normal 3 86 6" xfId="21571"/>
    <cellStyle name="Normal 3 86 7" xfId="21572"/>
    <cellStyle name="Normal 3 86 8" xfId="21573"/>
    <cellStyle name="Normal 3 87" xfId="21574"/>
    <cellStyle name="Normal 3 87 2" xfId="21575"/>
    <cellStyle name="Normal 3 87 3" xfId="21576"/>
    <cellStyle name="Normal 3 87 4" xfId="21577"/>
    <cellStyle name="Normal 3 87 5" xfId="21578"/>
    <cellStyle name="Normal 3 87 6" xfId="21579"/>
    <cellStyle name="Normal 3 87 7" xfId="21580"/>
    <cellStyle name="Normal 3 87 8" xfId="21581"/>
    <cellStyle name="Normal 3 88" xfId="21582"/>
    <cellStyle name="Normal 3 88 2" xfId="21583"/>
    <cellStyle name="Normal 3 88 3" xfId="21584"/>
    <cellStyle name="Normal 3 88 4" xfId="21585"/>
    <cellStyle name="Normal 3 88 5" xfId="21586"/>
    <cellStyle name="Normal 3 88 6" xfId="21587"/>
    <cellStyle name="Normal 3 88 7" xfId="21588"/>
    <cellStyle name="Normal 3 88 8" xfId="21589"/>
    <cellStyle name="Normal 3 89" xfId="21590"/>
    <cellStyle name="Normal 3 89 2" xfId="21591"/>
    <cellStyle name="Normal 3 89 3" xfId="21592"/>
    <cellStyle name="Normal 3 89 4" xfId="21593"/>
    <cellStyle name="Normal 3 89 5" xfId="21594"/>
    <cellStyle name="Normal 3 89 6" xfId="21595"/>
    <cellStyle name="Normal 3 89 7" xfId="21596"/>
    <cellStyle name="Normal 3 89 8" xfId="21597"/>
    <cellStyle name="Normal 3 9" xfId="21598"/>
    <cellStyle name="Normal 3 9 2" xfId="21599"/>
    <cellStyle name="Normal 3 9 2 2" xfId="21600"/>
    <cellStyle name="Normal 3 9 2 3" xfId="21601"/>
    <cellStyle name="Normal 3 9 2 4" xfId="21602"/>
    <cellStyle name="Normal 3 9 2 5" xfId="21603"/>
    <cellStyle name="Normal 3 9 2 6" xfId="21604"/>
    <cellStyle name="Normal 3 9 3" xfId="21605"/>
    <cellStyle name="Normal 3 9 4" xfId="21606"/>
    <cellStyle name="Normal 3 90" xfId="21607"/>
    <cellStyle name="Normal 3 90 2" xfId="21608"/>
    <cellStyle name="Normal 3 90 3" xfId="21609"/>
    <cellStyle name="Normal 3 90 4" xfId="21610"/>
    <cellStyle name="Normal 3 90 5" xfId="21611"/>
    <cellStyle name="Normal 3 90 6" xfId="21612"/>
    <cellStyle name="Normal 3 90 7" xfId="21613"/>
    <cellStyle name="Normal 3 90 8" xfId="21614"/>
    <cellStyle name="Normal 3 91" xfId="21615"/>
    <cellStyle name="Normal 3 91 2" xfId="21616"/>
    <cellStyle name="Normal 3 91 3" xfId="21617"/>
    <cellStyle name="Normal 3 91 4" xfId="21618"/>
    <cellStyle name="Normal 3 91 5" xfId="21619"/>
    <cellStyle name="Normal 3 91 6" xfId="21620"/>
    <cellStyle name="Normal 3 91 7" xfId="21621"/>
    <cellStyle name="Normal 3 91 8" xfId="21622"/>
    <cellStyle name="Normal 3 92" xfId="21623"/>
    <cellStyle name="Normal 3 92 2" xfId="21624"/>
    <cellStyle name="Normal 3 92 3" xfId="21625"/>
    <cellStyle name="Normal 3 92 4" xfId="21626"/>
    <cellStyle name="Normal 3 92 5" xfId="21627"/>
    <cellStyle name="Normal 3 92 6" xfId="21628"/>
    <cellStyle name="Normal 3 92 7" xfId="21629"/>
    <cellStyle name="Normal 3 92 8" xfId="21630"/>
    <cellStyle name="Normal 3 93" xfId="21631"/>
    <cellStyle name="Normal 3 93 2" xfId="21632"/>
    <cellStyle name="Normal 3 93 3" xfId="21633"/>
    <cellStyle name="Normal 3 93 4" xfId="21634"/>
    <cellStyle name="Normal 3 93 5" xfId="21635"/>
    <cellStyle name="Normal 3 93 6" xfId="21636"/>
    <cellStyle name="Normal 3 93 7" xfId="21637"/>
    <cellStyle name="Normal 3 93 8" xfId="21638"/>
    <cellStyle name="Normal 3 94" xfId="21639"/>
    <cellStyle name="Normal 3 94 2" xfId="21640"/>
    <cellStyle name="Normal 3 94 3" xfId="21641"/>
    <cellStyle name="Normal 3 94 4" xfId="21642"/>
    <cellStyle name="Normal 3 94 5" xfId="21643"/>
    <cellStyle name="Normal 3 94 6" xfId="21644"/>
    <cellStyle name="Normal 3 94 7" xfId="21645"/>
    <cellStyle name="Normal 3 94 8" xfId="21646"/>
    <cellStyle name="Normal 3 95" xfId="21647"/>
    <cellStyle name="Normal 3 95 2" xfId="21648"/>
    <cellStyle name="Normal 3 95 3" xfId="21649"/>
    <cellStyle name="Normal 3 95 4" xfId="21650"/>
    <cellStyle name="Normal 3 95 5" xfId="21651"/>
    <cellStyle name="Normal 3 95 6" xfId="21652"/>
    <cellStyle name="Normal 3 95 7" xfId="21653"/>
    <cellStyle name="Normal 3 95 8" xfId="21654"/>
    <cellStyle name="Normal 3 96" xfId="21655"/>
    <cellStyle name="Normal 3 96 2" xfId="21656"/>
    <cellStyle name="Normal 3 96 3" xfId="21657"/>
    <cellStyle name="Normal 3 96 4" xfId="21658"/>
    <cellStyle name="Normal 3 96 5" xfId="21659"/>
    <cellStyle name="Normal 3 96 6" xfId="21660"/>
    <cellStyle name="Normal 3 96 7" xfId="21661"/>
    <cellStyle name="Normal 3 96 8" xfId="21662"/>
    <cellStyle name="Normal 3 97" xfId="21663"/>
    <cellStyle name="Normal 3 97 2" xfId="21664"/>
    <cellStyle name="Normal 3 97 3" xfId="21665"/>
    <cellStyle name="Normal 3 97 4" xfId="21666"/>
    <cellStyle name="Normal 3 97 5" xfId="21667"/>
    <cellStyle name="Normal 3 97 6" xfId="21668"/>
    <cellStyle name="Normal 3 97 7" xfId="21669"/>
    <cellStyle name="Normal 3 97 8" xfId="21670"/>
    <cellStyle name="Normal 3 98" xfId="21671"/>
    <cellStyle name="Normal 3 98 2" xfId="21672"/>
    <cellStyle name="Normal 3 98 3" xfId="21673"/>
    <cellStyle name="Normal 3 98 4" xfId="21674"/>
    <cellStyle name="Normal 3 98 5" xfId="21675"/>
    <cellStyle name="Normal 3 98 6" xfId="21676"/>
    <cellStyle name="Normal 3 98 7" xfId="21677"/>
    <cellStyle name="Normal 3 98 8" xfId="21678"/>
    <cellStyle name="Normal 3 99" xfId="21679"/>
    <cellStyle name="Normal 3 99 2" xfId="21680"/>
    <cellStyle name="Normal 3 99 3" xfId="21681"/>
    <cellStyle name="Normal 3 99 4" xfId="21682"/>
    <cellStyle name="Normal 3 99 5" xfId="21683"/>
    <cellStyle name="Normal 3 99 6" xfId="21684"/>
    <cellStyle name="Normal 3 99 7" xfId="21685"/>
    <cellStyle name="Normal 3 99 8" xfId="21686"/>
    <cellStyle name="Normal 30" xfId="21687"/>
    <cellStyle name="Normal 30 10" xfId="21688"/>
    <cellStyle name="Normal 30 10 10" xfId="21689"/>
    <cellStyle name="Normal 30 10 11" xfId="21690"/>
    <cellStyle name="Normal 30 10 2" xfId="21691"/>
    <cellStyle name="Normal 30 10 2 10" xfId="21692"/>
    <cellStyle name="Normal 30 10 2 2" xfId="21693"/>
    <cellStyle name="Normal 30 10 2 3" xfId="21694"/>
    <cellStyle name="Normal 30 10 2 3 2" xfId="21695"/>
    <cellStyle name="Normal 30 10 2 3 3" xfId="21696"/>
    <cellStyle name="Normal 30 10 2 3 4" xfId="21697"/>
    <cellStyle name="Normal 30 10 2 3 5" xfId="21698"/>
    <cellStyle name="Normal 30 10 2 3 6" xfId="21699"/>
    <cellStyle name="Normal 30 10 2 4" xfId="21700"/>
    <cellStyle name="Normal 30 10 2 5" xfId="21701"/>
    <cellStyle name="Normal 30 10 2 6" xfId="21702"/>
    <cellStyle name="Normal 30 10 2 7" xfId="21703"/>
    <cellStyle name="Normal 30 10 2 8" xfId="21704"/>
    <cellStyle name="Normal 30 10 2 9" xfId="21705"/>
    <cellStyle name="Normal 30 10 3" xfId="21706"/>
    <cellStyle name="Normal 30 10 4" xfId="21707"/>
    <cellStyle name="Normal 30 10 4 2" xfId="21708"/>
    <cellStyle name="Normal 30 10 4 3" xfId="21709"/>
    <cellStyle name="Normal 30 10 4 4" xfId="21710"/>
    <cellStyle name="Normal 30 10 4 5" xfId="21711"/>
    <cellStyle name="Normal 30 10 4 6" xfId="21712"/>
    <cellStyle name="Normal 30 10 5" xfId="21713"/>
    <cellStyle name="Normal 30 10 6" xfId="21714"/>
    <cellStyle name="Normal 30 10 7" xfId="21715"/>
    <cellStyle name="Normal 30 10 8" xfId="21716"/>
    <cellStyle name="Normal 30 10 9" xfId="21717"/>
    <cellStyle name="Normal 30 11" xfId="21718"/>
    <cellStyle name="Normal 30 11 10" xfId="21719"/>
    <cellStyle name="Normal 30 11 2" xfId="21720"/>
    <cellStyle name="Normal 30 11 3" xfId="21721"/>
    <cellStyle name="Normal 30 11 3 2" xfId="21722"/>
    <cellStyle name="Normal 30 11 3 3" xfId="21723"/>
    <cellStyle name="Normal 30 11 3 4" xfId="21724"/>
    <cellStyle name="Normal 30 11 3 5" xfId="21725"/>
    <cellStyle name="Normal 30 11 3 6" xfId="21726"/>
    <cellStyle name="Normal 30 11 4" xfId="21727"/>
    <cellStyle name="Normal 30 11 5" xfId="21728"/>
    <cellStyle name="Normal 30 11 6" xfId="21729"/>
    <cellStyle name="Normal 30 11 7" xfId="21730"/>
    <cellStyle name="Normal 30 11 8" xfId="21731"/>
    <cellStyle name="Normal 30 11 9" xfId="21732"/>
    <cellStyle name="Normal 30 12" xfId="21733"/>
    <cellStyle name="Normal 30 13" xfId="21734"/>
    <cellStyle name="Normal 30 13 2" xfId="21735"/>
    <cellStyle name="Normal 30 13 3" xfId="21736"/>
    <cellStyle name="Normal 30 13 4" xfId="21737"/>
    <cellStyle name="Normal 30 13 5" xfId="21738"/>
    <cellStyle name="Normal 30 13 6" xfId="21739"/>
    <cellStyle name="Normal 30 14" xfId="21740"/>
    <cellStyle name="Normal 30 15" xfId="21741"/>
    <cellStyle name="Normal 30 16" xfId="21742"/>
    <cellStyle name="Normal 30 17" xfId="21743"/>
    <cellStyle name="Normal 30 18" xfId="21744"/>
    <cellStyle name="Normal 30 19" xfId="21745"/>
    <cellStyle name="Normal 30 2" xfId="21746"/>
    <cellStyle name="Normal 30 2 10" xfId="21747"/>
    <cellStyle name="Normal 30 2 11" xfId="21748"/>
    <cellStyle name="Normal 30 2 2" xfId="21749"/>
    <cellStyle name="Normal 30 2 2 10" xfId="21750"/>
    <cellStyle name="Normal 30 2 2 2" xfId="21751"/>
    <cellStyle name="Normal 30 2 2 3" xfId="21752"/>
    <cellStyle name="Normal 30 2 2 3 2" xfId="21753"/>
    <cellStyle name="Normal 30 2 2 3 3" xfId="21754"/>
    <cellStyle name="Normal 30 2 2 3 4" xfId="21755"/>
    <cellStyle name="Normal 30 2 2 3 5" xfId="21756"/>
    <cellStyle name="Normal 30 2 2 3 6" xfId="21757"/>
    <cellStyle name="Normal 30 2 2 4" xfId="21758"/>
    <cellStyle name="Normal 30 2 2 5" xfId="21759"/>
    <cellStyle name="Normal 30 2 2 6" xfId="21760"/>
    <cellStyle name="Normal 30 2 2 7" xfId="21761"/>
    <cellStyle name="Normal 30 2 2 8" xfId="21762"/>
    <cellStyle name="Normal 30 2 2 9" xfId="21763"/>
    <cellStyle name="Normal 30 2 3" xfId="21764"/>
    <cellStyle name="Normal 30 2 4" xfId="21765"/>
    <cellStyle name="Normal 30 2 4 2" xfId="21766"/>
    <cellStyle name="Normal 30 2 4 3" xfId="21767"/>
    <cellStyle name="Normal 30 2 4 4" xfId="21768"/>
    <cellStyle name="Normal 30 2 4 5" xfId="21769"/>
    <cellStyle name="Normal 30 2 4 6" xfId="21770"/>
    <cellStyle name="Normal 30 2 5" xfId="21771"/>
    <cellStyle name="Normal 30 2 6" xfId="21772"/>
    <cellStyle name="Normal 30 2 7" xfId="21773"/>
    <cellStyle name="Normal 30 2 8" xfId="21774"/>
    <cellStyle name="Normal 30 2 9" xfId="21775"/>
    <cellStyle name="Normal 30 20" xfId="21776"/>
    <cellStyle name="Normal 30 3" xfId="21777"/>
    <cellStyle name="Normal 30 3 10" xfId="21778"/>
    <cellStyle name="Normal 30 3 11" xfId="21779"/>
    <cellStyle name="Normal 30 3 2" xfId="21780"/>
    <cellStyle name="Normal 30 3 2 10" xfId="21781"/>
    <cellStyle name="Normal 30 3 2 2" xfId="21782"/>
    <cellStyle name="Normal 30 3 2 3" xfId="21783"/>
    <cellStyle name="Normal 30 3 2 3 2" xfId="21784"/>
    <cellStyle name="Normal 30 3 2 3 3" xfId="21785"/>
    <cellStyle name="Normal 30 3 2 3 4" xfId="21786"/>
    <cellStyle name="Normal 30 3 2 3 5" xfId="21787"/>
    <cellStyle name="Normal 30 3 2 3 6" xfId="21788"/>
    <cellStyle name="Normal 30 3 2 4" xfId="21789"/>
    <cellStyle name="Normal 30 3 2 5" xfId="21790"/>
    <cellStyle name="Normal 30 3 2 6" xfId="21791"/>
    <cellStyle name="Normal 30 3 2 7" xfId="21792"/>
    <cellStyle name="Normal 30 3 2 8" xfId="21793"/>
    <cellStyle name="Normal 30 3 2 9" xfId="21794"/>
    <cellStyle name="Normal 30 3 3" xfId="21795"/>
    <cellStyle name="Normal 30 3 4" xfId="21796"/>
    <cellStyle name="Normal 30 3 4 2" xfId="21797"/>
    <cellStyle name="Normal 30 3 4 3" xfId="21798"/>
    <cellStyle name="Normal 30 3 4 4" xfId="21799"/>
    <cellStyle name="Normal 30 3 4 5" xfId="21800"/>
    <cellStyle name="Normal 30 3 4 6" xfId="21801"/>
    <cellStyle name="Normal 30 3 5" xfId="21802"/>
    <cellStyle name="Normal 30 3 6" xfId="21803"/>
    <cellStyle name="Normal 30 3 7" xfId="21804"/>
    <cellStyle name="Normal 30 3 8" xfId="21805"/>
    <cellStyle name="Normal 30 3 9" xfId="21806"/>
    <cellStyle name="Normal 30 4" xfId="21807"/>
    <cellStyle name="Normal 30 4 10" xfId="21808"/>
    <cellStyle name="Normal 30 4 11" xfId="21809"/>
    <cellStyle name="Normal 30 4 2" xfId="21810"/>
    <cellStyle name="Normal 30 4 2 10" xfId="21811"/>
    <cellStyle name="Normal 30 4 2 2" xfId="21812"/>
    <cellStyle name="Normal 30 4 2 3" xfId="21813"/>
    <cellStyle name="Normal 30 4 2 3 2" xfId="21814"/>
    <cellStyle name="Normal 30 4 2 3 3" xfId="21815"/>
    <cellStyle name="Normal 30 4 2 3 4" xfId="21816"/>
    <cellStyle name="Normal 30 4 2 3 5" xfId="21817"/>
    <cellStyle name="Normal 30 4 2 3 6" xfId="21818"/>
    <cellStyle name="Normal 30 4 2 4" xfId="21819"/>
    <cellStyle name="Normal 30 4 2 5" xfId="21820"/>
    <cellStyle name="Normal 30 4 2 6" xfId="21821"/>
    <cellStyle name="Normal 30 4 2 7" xfId="21822"/>
    <cellStyle name="Normal 30 4 2 8" xfId="21823"/>
    <cellStyle name="Normal 30 4 2 9" xfId="21824"/>
    <cellStyle name="Normal 30 4 3" xfId="21825"/>
    <cellStyle name="Normal 30 4 4" xfId="21826"/>
    <cellStyle name="Normal 30 4 4 2" xfId="21827"/>
    <cellStyle name="Normal 30 4 4 3" xfId="21828"/>
    <cellStyle name="Normal 30 4 4 4" xfId="21829"/>
    <cellStyle name="Normal 30 4 4 5" xfId="21830"/>
    <cellStyle name="Normal 30 4 4 6" xfId="21831"/>
    <cellStyle name="Normal 30 4 5" xfId="21832"/>
    <cellStyle name="Normal 30 4 6" xfId="21833"/>
    <cellStyle name="Normal 30 4 7" xfId="21834"/>
    <cellStyle name="Normal 30 4 8" xfId="21835"/>
    <cellStyle name="Normal 30 4 9" xfId="21836"/>
    <cellStyle name="Normal 30 5" xfId="21837"/>
    <cellStyle name="Normal 30 5 10" xfId="21838"/>
    <cellStyle name="Normal 30 5 11" xfId="21839"/>
    <cellStyle name="Normal 30 5 2" xfId="21840"/>
    <cellStyle name="Normal 30 5 2 10" xfId="21841"/>
    <cellStyle name="Normal 30 5 2 2" xfId="21842"/>
    <cellStyle name="Normal 30 5 2 3" xfId="21843"/>
    <cellStyle name="Normal 30 5 2 3 2" xfId="21844"/>
    <cellStyle name="Normal 30 5 2 3 3" xfId="21845"/>
    <cellStyle name="Normal 30 5 2 3 4" xfId="21846"/>
    <cellStyle name="Normal 30 5 2 3 5" xfId="21847"/>
    <cellStyle name="Normal 30 5 2 3 6" xfId="21848"/>
    <cellStyle name="Normal 30 5 2 4" xfId="21849"/>
    <cellStyle name="Normal 30 5 2 5" xfId="21850"/>
    <cellStyle name="Normal 30 5 2 6" xfId="21851"/>
    <cellStyle name="Normal 30 5 2 7" xfId="21852"/>
    <cellStyle name="Normal 30 5 2 8" xfId="21853"/>
    <cellStyle name="Normal 30 5 2 9" xfId="21854"/>
    <cellStyle name="Normal 30 5 3" xfId="21855"/>
    <cellStyle name="Normal 30 5 4" xfId="21856"/>
    <cellStyle name="Normal 30 5 4 2" xfId="21857"/>
    <cellStyle name="Normal 30 5 4 3" xfId="21858"/>
    <cellStyle name="Normal 30 5 4 4" xfId="21859"/>
    <cellStyle name="Normal 30 5 4 5" xfId="21860"/>
    <cellStyle name="Normal 30 5 4 6" xfId="21861"/>
    <cellStyle name="Normal 30 5 5" xfId="21862"/>
    <cellStyle name="Normal 30 5 6" xfId="21863"/>
    <cellStyle name="Normal 30 5 7" xfId="21864"/>
    <cellStyle name="Normal 30 5 8" xfId="21865"/>
    <cellStyle name="Normal 30 5 9" xfId="21866"/>
    <cellStyle name="Normal 30 6" xfId="21867"/>
    <cellStyle name="Normal 30 6 10" xfId="21868"/>
    <cellStyle name="Normal 30 6 11" xfId="21869"/>
    <cellStyle name="Normal 30 6 2" xfId="21870"/>
    <cellStyle name="Normal 30 6 2 10" xfId="21871"/>
    <cellStyle name="Normal 30 6 2 2" xfId="21872"/>
    <cellStyle name="Normal 30 6 2 3" xfId="21873"/>
    <cellStyle name="Normal 30 6 2 3 2" xfId="21874"/>
    <cellStyle name="Normal 30 6 2 3 3" xfId="21875"/>
    <cellStyle name="Normal 30 6 2 3 4" xfId="21876"/>
    <cellStyle name="Normal 30 6 2 3 5" xfId="21877"/>
    <cellStyle name="Normal 30 6 2 3 6" xfId="21878"/>
    <cellStyle name="Normal 30 6 2 4" xfId="21879"/>
    <cellStyle name="Normal 30 6 2 5" xfId="21880"/>
    <cellStyle name="Normal 30 6 2 6" xfId="21881"/>
    <cellStyle name="Normal 30 6 2 7" xfId="21882"/>
    <cellStyle name="Normal 30 6 2 8" xfId="21883"/>
    <cellStyle name="Normal 30 6 2 9" xfId="21884"/>
    <cellStyle name="Normal 30 6 3" xfId="21885"/>
    <cellStyle name="Normal 30 6 4" xfId="21886"/>
    <cellStyle name="Normal 30 6 4 2" xfId="21887"/>
    <cellStyle name="Normal 30 6 4 3" xfId="21888"/>
    <cellStyle name="Normal 30 6 4 4" xfId="21889"/>
    <cellStyle name="Normal 30 6 4 5" xfId="21890"/>
    <cellStyle name="Normal 30 6 4 6" xfId="21891"/>
    <cellStyle name="Normal 30 6 5" xfId="21892"/>
    <cellStyle name="Normal 30 6 6" xfId="21893"/>
    <cellStyle name="Normal 30 6 7" xfId="21894"/>
    <cellStyle name="Normal 30 6 8" xfId="21895"/>
    <cellStyle name="Normal 30 6 9" xfId="21896"/>
    <cellStyle name="Normal 30 7" xfId="21897"/>
    <cellStyle name="Normal 30 7 10" xfId="21898"/>
    <cellStyle name="Normal 30 7 11" xfId="21899"/>
    <cellStyle name="Normal 30 7 2" xfId="21900"/>
    <cellStyle name="Normal 30 7 2 10" xfId="21901"/>
    <cellStyle name="Normal 30 7 2 2" xfId="21902"/>
    <cellStyle name="Normal 30 7 2 3" xfId="21903"/>
    <cellStyle name="Normal 30 7 2 3 2" xfId="21904"/>
    <cellStyle name="Normal 30 7 2 3 3" xfId="21905"/>
    <cellStyle name="Normal 30 7 2 3 4" xfId="21906"/>
    <cellStyle name="Normal 30 7 2 3 5" xfId="21907"/>
    <cellStyle name="Normal 30 7 2 3 6" xfId="21908"/>
    <cellStyle name="Normal 30 7 2 4" xfId="21909"/>
    <cellStyle name="Normal 30 7 2 5" xfId="21910"/>
    <cellStyle name="Normal 30 7 2 6" xfId="21911"/>
    <cellStyle name="Normal 30 7 2 7" xfId="21912"/>
    <cellStyle name="Normal 30 7 2 8" xfId="21913"/>
    <cellStyle name="Normal 30 7 2 9" xfId="21914"/>
    <cellStyle name="Normal 30 7 3" xfId="21915"/>
    <cellStyle name="Normal 30 7 4" xfId="21916"/>
    <cellStyle name="Normal 30 7 4 2" xfId="21917"/>
    <cellStyle name="Normal 30 7 4 3" xfId="21918"/>
    <cellStyle name="Normal 30 7 4 4" xfId="21919"/>
    <cellStyle name="Normal 30 7 4 5" xfId="21920"/>
    <cellStyle name="Normal 30 7 4 6" xfId="21921"/>
    <cellStyle name="Normal 30 7 5" xfId="21922"/>
    <cellStyle name="Normal 30 7 6" xfId="21923"/>
    <cellStyle name="Normal 30 7 7" xfId="21924"/>
    <cellStyle name="Normal 30 7 8" xfId="21925"/>
    <cellStyle name="Normal 30 7 9" xfId="21926"/>
    <cellStyle name="Normal 30 8" xfId="21927"/>
    <cellStyle name="Normal 30 8 10" xfId="21928"/>
    <cellStyle name="Normal 30 8 11" xfId="21929"/>
    <cellStyle name="Normal 30 8 2" xfId="21930"/>
    <cellStyle name="Normal 30 8 2 10" xfId="21931"/>
    <cellStyle name="Normal 30 8 2 2" xfId="21932"/>
    <cellStyle name="Normal 30 8 2 3" xfId="21933"/>
    <cellStyle name="Normal 30 8 2 3 2" xfId="21934"/>
    <cellStyle name="Normal 30 8 2 3 3" xfId="21935"/>
    <cellStyle name="Normal 30 8 2 3 4" xfId="21936"/>
    <cellStyle name="Normal 30 8 2 3 5" xfId="21937"/>
    <cellStyle name="Normal 30 8 2 3 6" xfId="21938"/>
    <cellStyle name="Normal 30 8 2 4" xfId="21939"/>
    <cellStyle name="Normal 30 8 2 5" xfId="21940"/>
    <cellStyle name="Normal 30 8 2 6" xfId="21941"/>
    <cellStyle name="Normal 30 8 2 7" xfId="21942"/>
    <cellStyle name="Normal 30 8 2 8" xfId="21943"/>
    <cellStyle name="Normal 30 8 2 9" xfId="21944"/>
    <cellStyle name="Normal 30 8 3" xfId="21945"/>
    <cellStyle name="Normal 30 8 4" xfId="21946"/>
    <cellStyle name="Normal 30 8 4 2" xfId="21947"/>
    <cellStyle name="Normal 30 8 4 3" xfId="21948"/>
    <cellStyle name="Normal 30 8 4 4" xfId="21949"/>
    <cellStyle name="Normal 30 8 4 5" xfId="21950"/>
    <cellStyle name="Normal 30 8 4 6" xfId="21951"/>
    <cellStyle name="Normal 30 8 5" xfId="21952"/>
    <cellStyle name="Normal 30 8 6" xfId="21953"/>
    <cellStyle name="Normal 30 8 7" xfId="21954"/>
    <cellStyle name="Normal 30 8 8" xfId="21955"/>
    <cellStyle name="Normal 30 8 9" xfId="21956"/>
    <cellStyle name="Normal 30 9" xfId="21957"/>
    <cellStyle name="Normal 30 9 10" xfId="21958"/>
    <cellStyle name="Normal 30 9 11" xfId="21959"/>
    <cellStyle name="Normal 30 9 2" xfId="21960"/>
    <cellStyle name="Normal 30 9 2 10" xfId="21961"/>
    <cellStyle name="Normal 30 9 2 2" xfId="21962"/>
    <cellStyle name="Normal 30 9 2 3" xfId="21963"/>
    <cellStyle name="Normal 30 9 2 3 2" xfId="21964"/>
    <cellStyle name="Normal 30 9 2 3 3" xfId="21965"/>
    <cellStyle name="Normal 30 9 2 3 4" xfId="21966"/>
    <cellStyle name="Normal 30 9 2 3 5" xfId="21967"/>
    <cellStyle name="Normal 30 9 2 3 6" xfId="21968"/>
    <cellStyle name="Normal 30 9 2 4" xfId="21969"/>
    <cellStyle name="Normal 30 9 2 5" xfId="21970"/>
    <cellStyle name="Normal 30 9 2 6" xfId="21971"/>
    <cellStyle name="Normal 30 9 2 7" xfId="21972"/>
    <cellStyle name="Normal 30 9 2 8" xfId="21973"/>
    <cellStyle name="Normal 30 9 2 9" xfId="21974"/>
    <cellStyle name="Normal 30 9 3" xfId="21975"/>
    <cellStyle name="Normal 30 9 4" xfId="21976"/>
    <cellStyle name="Normal 30 9 4 2" xfId="21977"/>
    <cellStyle name="Normal 30 9 4 3" xfId="21978"/>
    <cellStyle name="Normal 30 9 4 4" xfId="21979"/>
    <cellStyle name="Normal 30 9 4 5" xfId="21980"/>
    <cellStyle name="Normal 30 9 4 6" xfId="21981"/>
    <cellStyle name="Normal 30 9 5" xfId="21982"/>
    <cellStyle name="Normal 30 9 6" xfId="21983"/>
    <cellStyle name="Normal 30 9 7" xfId="21984"/>
    <cellStyle name="Normal 30 9 8" xfId="21985"/>
    <cellStyle name="Normal 30 9 9" xfId="21986"/>
    <cellStyle name="Normal 31" xfId="21987"/>
    <cellStyle name="Normal 31 10" xfId="21988"/>
    <cellStyle name="Normal 31 10 10" xfId="21989"/>
    <cellStyle name="Normal 31 10 11" xfId="21990"/>
    <cellStyle name="Normal 31 10 2" xfId="21991"/>
    <cellStyle name="Normal 31 10 2 10" xfId="21992"/>
    <cellStyle name="Normal 31 10 2 2" xfId="21993"/>
    <cellStyle name="Normal 31 10 2 3" xfId="21994"/>
    <cellStyle name="Normal 31 10 2 3 2" xfId="21995"/>
    <cellStyle name="Normal 31 10 2 3 3" xfId="21996"/>
    <cellStyle name="Normal 31 10 2 3 4" xfId="21997"/>
    <cellStyle name="Normal 31 10 2 3 5" xfId="21998"/>
    <cellStyle name="Normal 31 10 2 3 6" xfId="21999"/>
    <cellStyle name="Normal 31 10 2 4" xfId="22000"/>
    <cellStyle name="Normal 31 10 2 5" xfId="22001"/>
    <cellStyle name="Normal 31 10 2 6" xfId="22002"/>
    <cellStyle name="Normal 31 10 2 7" xfId="22003"/>
    <cellStyle name="Normal 31 10 2 8" xfId="22004"/>
    <cellStyle name="Normal 31 10 2 9" xfId="22005"/>
    <cellStyle name="Normal 31 10 3" xfId="22006"/>
    <cellStyle name="Normal 31 10 4" xfId="22007"/>
    <cellStyle name="Normal 31 10 4 2" xfId="22008"/>
    <cellStyle name="Normal 31 10 4 3" xfId="22009"/>
    <cellStyle name="Normal 31 10 4 4" xfId="22010"/>
    <cellStyle name="Normal 31 10 4 5" xfId="22011"/>
    <cellStyle name="Normal 31 10 4 6" xfId="22012"/>
    <cellStyle name="Normal 31 10 5" xfId="22013"/>
    <cellStyle name="Normal 31 10 6" xfId="22014"/>
    <cellStyle name="Normal 31 10 7" xfId="22015"/>
    <cellStyle name="Normal 31 10 8" xfId="22016"/>
    <cellStyle name="Normal 31 10 9" xfId="22017"/>
    <cellStyle name="Normal 31 11" xfId="22018"/>
    <cellStyle name="Normal 31 11 10" xfId="22019"/>
    <cellStyle name="Normal 31 11 2" xfId="22020"/>
    <cellStyle name="Normal 31 11 3" xfId="22021"/>
    <cellStyle name="Normal 31 11 3 2" xfId="22022"/>
    <cellStyle name="Normal 31 11 3 3" xfId="22023"/>
    <cellStyle name="Normal 31 11 3 4" xfId="22024"/>
    <cellStyle name="Normal 31 11 3 5" xfId="22025"/>
    <cellStyle name="Normal 31 11 3 6" xfId="22026"/>
    <cellStyle name="Normal 31 11 4" xfId="22027"/>
    <cellStyle name="Normal 31 11 5" xfId="22028"/>
    <cellStyle name="Normal 31 11 6" xfId="22029"/>
    <cellStyle name="Normal 31 11 7" xfId="22030"/>
    <cellStyle name="Normal 31 11 8" xfId="22031"/>
    <cellStyle name="Normal 31 11 9" xfId="22032"/>
    <cellStyle name="Normal 31 12" xfId="22033"/>
    <cellStyle name="Normal 31 13" xfId="22034"/>
    <cellStyle name="Normal 31 13 2" xfId="22035"/>
    <cellStyle name="Normal 31 13 3" xfId="22036"/>
    <cellStyle name="Normal 31 13 4" xfId="22037"/>
    <cellStyle name="Normal 31 13 5" xfId="22038"/>
    <cellStyle name="Normal 31 13 6" xfId="22039"/>
    <cellStyle name="Normal 31 14" xfId="22040"/>
    <cellStyle name="Normal 31 15" xfId="22041"/>
    <cellStyle name="Normal 31 16" xfId="22042"/>
    <cellStyle name="Normal 31 17" xfId="22043"/>
    <cellStyle name="Normal 31 18" xfId="22044"/>
    <cellStyle name="Normal 31 19" xfId="22045"/>
    <cellStyle name="Normal 31 2" xfId="22046"/>
    <cellStyle name="Normal 31 2 10" xfId="22047"/>
    <cellStyle name="Normal 31 2 11" xfId="22048"/>
    <cellStyle name="Normal 31 2 2" xfId="22049"/>
    <cellStyle name="Normal 31 2 2 10" xfId="22050"/>
    <cellStyle name="Normal 31 2 2 2" xfId="22051"/>
    <cellStyle name="Normal 31 2 2 3" xfId="22052"/>
    <cellStyle name="Normal 31 2 2 3 2" xfId="22053"/>
    <cellStyle name="Normal 31 2 2 3 3" xfId="22054"/>
    <cellStyle name="Normal 31 2 2 3 4" xfId="22055"/>
    <cellStyle name="Normal 31 2 2 3 5" xfId="22056"/>
    <cellStyle name="Normal 31 2 2 3 6" xfId="22057"/>
    <cellStyle name="Normal 31 2 2 4" xfId="22058"/>
    <cellStyle name="Normal 31 2 2 5" xfId="22059"/>
    <cellStyle name="Normal 31 2 2 6" xfId="22060"/>
    <cellStyle name="Normal 31 2 2 7" xfId="22061"/>
    <cellStyle name="Normal 31 2 2 8" xfId="22062"/>
    <cellStyle name="Normal 31 2 2 9" xfId="22063"/>
    <cellStyle name="Normal 31 2 3" xfId="22064"/>
    <cellStyle name="Normal 31 2 4" xfId="22065"/>
    <cellStyle name="Normal 31 2 4 2" xfId="22066"/>
    <cellStyle name="Normal 31 2 4 3" xfId="22067"/>
    <cellStyle name="Normal 31 2 4 4" xfId="22068"/>
    <cellStyle name="Normal 31 2 4 5" xfId="22069"/>
    <cellStyle name="Normal 31 2 4 6" xfId="22070"/>
    <cellStyle name="Normal 31 2 5" xfId="22071"/>
    <cellStyle name="Normal 31 2 6" xfId="22072"/>
    <cellStyle name="Normal 31 2 7" xfId="22073"/>
    <cellStyle name="Normal 31 2 8" xfId="22074"/>
    <cellStyle name="Normal 31 2 9" xfId="22075"/>
    <cellStyle name="Normal 31 20" xfId="22076"/>
    <cellStyle name="Normal 31 3" xfId="22077"/>
    <cellStyle name="Normal 31 3 10" xfId="22078"/>
    <cellStyle name="Normal 31 3 11" xfId="22079"/>
    <cellStyle name="Normal 31 3 2" xfId="22080"/>
    <cellStyle name="Normal 31 3 2 10" xfId="22081"/>
    <cellStyle name="Normal 31 3 2 2" xfId="22082"/>
    <cellStyle name="Normal 31 3 2 3" xfId="22083"/>
    <cellStyle name="Normal 31 3 2 3 2" xfId="22084"/>
    <cellStyle name="Normal 31 3 2 3 3" xfId="22085"/>
    <cellStyle name="Normal 31 3 2 3 4" xfId="22086"/>
    <cellStyle name="Normal 31 3 2 3 5" xfId="22087"/>
    <cellStyle name="Normal 31 3 2 3 6" xfId="22088"/>
    <cellStyle name="Normal 31 3 2 4" xfId="22089"/>
    <cellStyle name="Normal 31 3 2 5" xfId="22090"/>
    <cellStyle name="Normal 31 3 2 6" xfId="22091"/>
    <cellStyle name="Normal 31 3 2 7" xfId="22092"/>
    <cellStyle name="Normal 31 3 2 8" xfId="22093"/>
    <cellStyle name="Normal 31 3 2 9" xfId="22094"/>
    <cellStyle name="Normal 31 3 3" xfId="22095"/>
    <cellStyle name="Normal 31 3 4" xfId="22096"/>
    <cellStyle name="Normal 31 3 4 2" xfId="22097"/>
    <cellStyle name="Normal 31 3 4 3" xfId="22098"/>
    <cellStyle name="Normal 31 3 4 4" xfId="22099"/>
    <cellStyle name="Normal 31 3 4 5" xfId="22100"/>
    <cellStyle name="Normal 31 3 4 6" xfId="22101"/>
    <cellStyle name="Normal 31 3 5" xfId="22102"/>
    <cellStyle name="Normal 31 3 6" xfId="22103"/>
    <cellStyle name="Normal 31 3 7" xfId="22104"/>
    <cellStyle name="Normal 31 3 8" xfId="22105"/>
    <cellStyle name="Normal 31 3 9" xfId="22106"/>
    <cellStyle name="Normal 31 4" xfId="22107"/>
    <cellStyle name="Normal 31 4 10" xfId="22108"/>
    <cellStyle name="Normal 31 4 11" xfId="22109"/>
    <cellStyle name="Normal 31 4 2" xfId="22110"/>
    <cellStyle name="Normal 31 4 2 10" xfId="22111"/>
    <cellStyle name="Normal 31 4 2 2" xfId="22112"/>
    <cellStyle name="Normal 31 4 2 3" xfId="22113"/>
    <cellStyle name="Normal 31 4 2 3 2" xfId="22114"/>
    <cellStyle name="Normal 31 4 2 3 3" xfId="22115"/>
    <cellStyle name="Normal 31 4 2 3 4" xfId="22116"/>
    <cellStyle name="Normal 31 4 2 3 5" xfId="22117"/>
    <cellStyle name="Normal 31 4 2 3 6" xfId="22118"/>
    <cellStyle name="Normal 31 4 2 4" xfId="22119"/>
    <cellStyle name="Normal 31 4 2 5" xfId="22120"/>
    <cellStyle name="Normal 31 4 2 6" xfId="22121"/>
    <cellStyle name="Normal 31 4 2 7" xfId="22122"/>
    <cellStyle name="Normal 31 4 2 8" xfId="22123"/>
    <cellStyle name="Normal 31 4 2 9" xfId="22124"/>
    <cellStyle name="Normal 31 4 3" xfId="22125"/>
    <cellStyle name="Normal 31 4 4" xfId="22126"/>
    <cellStyle name="Normal 31 4 4 2" xfId="22127"/>
    <cellStyle name="Normal 31 4 4 3" xfId="22128"/>
    <cellStyle name="Normal 31 4 4 4" xfId="22129"/>
    <cellStyle name="Normal 31 4 4 5" xfId="22130"/>
    <cellStyle name="Normal 31 4 4 6" xfId="22131"/>
    <cellStyle name="Normal 31 4 5" xfId="22132"/>
    <cellStyle name="Normal 31 4 6" xfId="22133"/>
    <cellStyle name="Normal 31 4 7" xfId="22134"/>
    <cellStyle name="Normal 31 4 8" xfId="22135"/>
    <cellStyle name="Normal 31 4 9" xfId="22136"/>
    <cellStyle name="Normal 31 5" xfId="22137"/>
    <cellStyle name="Normal 31 5 10" xfId="22138"/>
    <cellStyle name="Normal 31 5 11" xfId="22139"/>
    <cellStyle name="Normal 31 5 2" xfId="22140"/>
    <cellStyle name="Normal 31 5 2 10" xfId="22141"/>
    <cellStyle name="Normal 31 5 2 2" xfId="22142"/>
    <cellStyle name="Normal 31 5 2 3" xfId="22143"/>
    <cellStyle name="Normal 31 5 2 3 2" xfId="22144"/>
    <cellStyle name="Normal 31 5 2 3 3" xfId="22145"/>
    <cellStyle name="Normal 31 5 2 3 4" xfId="22146"/>
    <cellStyle name="Normal 31 5 2 3 5" xfId="22147"/>
    <cellStyle name="Normal 31 5 2 3 6" xfId="22148"/>
    <cellStyle name="Normal 31 5 2 4" xfId="22149"/>
    <cellStyle name="Normal 31 5 2 5" xfId="22150"/>
    <cellStyle name="Normal 31 5 2 6" xfId="22151"/>
    <cellStyle name="Normal 31 5 2 7" xfId="22152"/>
    <cellStyle name="Normal 31 5 2 8" xfId="22153"/>
    <cellStyle name="Normal 31 5 2 9" xfId="22154"/>
    <cellStyle name="Normal 31 5 3" xfId="22155"/>
    <cellStyle name="Normal 31 5 4" xfId="22156"/>
    <cellStyle name="Normal 31 5 4 2" xfId="22157"/>
    <cellStyle name="Normal 31 5 4 3" xfId="22158"/>
    <cellStyle name="Normal 31 5 4 4" xfId="22159"/>
    <cellStyle name="Normal 31 5 4 5" xfId="22160"/>
    <cellStyle name="Normal 31 5 4 6" xfId="22161"/>
    <cellStyle name="Normal 31 5 5" xfId="22162"/>
    <cellStyle name="Normal 31 5 6" xfId="22163"/>
    <cellStyle name="Normal 31 5 7" xfId="22164"/>
    <cellStyle name="Normal 31 5 8" xfId="22165"/>
    <cellStyle name="Normal 31 5 9" xfId="22166"/>
    <cellStyle name="Normal 31 6" xfId="22167"/>
    <cellStyle name="Normal 31 6 10" xfId="22168"/>
    <cellStyle name="Normal 31 6 11" xfId="22169"/>
    <cellStyle name="Normal 31 6 2" xfId="22170"/>
    <cellStyle name="Normal 31 6 2 10" xfId="22171"/>
    <cellStyle name="Normal 31 6 2 2" xfId="22172"/>
    <cellStyle name="Normal 31 6 2 3" xfId="22173"/>
    <cellStyle name="Normal 31 6 2 3 2" xfId="22174"/>
    <cellStyle name="Normal 31 6 2 3 3" xfId="22175"/>
    <cellStyle name="Normal 31 6 2 3 4" xfId="22176"/>
    <cellStyle name="Normal 31 6 2 3 5" xfId="22177"/>
    <cellStyle name="Normal 31 6 2 3 6" xfId="22178"/>
    <cellStyle name="Normal 31 6 2 4" xfId="22179"/>
    <cellStyle name="Normal 31 6 2 5" xfId="22180"/>
    <cellStyle name="Normal 31 6 2 6" xfId="22181"/>
    <cellStyle name="Normal 31 6 2 7" xfId="22182"/>
    <cellStyle name="Normal 31 6 2 8" xfId="22183"/>
    <cellStyle name="Normal 31 6 2 9" xfId="22184"/>
    <cellStyle name="Normal 31 6 3" xfId="22185"/>
    <cellStyle name="Normal 31 6 4" xfId="22186"/>
    <cellStyle name="Normal 31 6 4 2" xfId="22187"/>
    <cellStyle name="Normal 31 6 4 3" xfId="22188"/>
    <cellStyle name="Normal 31 6 4 4" xfId="22189"/>
    <cellStyle name="Normal 31 6 4 5" xfId="22190"/>
    <cellStyle name="Normal 31 6 4 6" xfId="22191"/>
    <cellStyle name="Normal 31 6 5" xfId="22192"/>
    <cellStyle name="Normal 31 6 6" xfId="22193"/>
    <cellStyle name="Normal 31 6 7" xfId="22194"/>
    <cellStyle name="Normal 31 6 8" xfId="22195"/>
    <cellStyle name="Normal 31 6 9" xfId="22196"/>
    <cellStyle name="Normal 31 7" xfId="22197"/>
    <cellStyle name="Normal 31 7 10" xfId="22198"/>
    <cellStyle name="Normal 31 7 11" xfId="22199"/>
    <cellStyle name="Normal 31 7 2" xfId="22200"/>
    <cellStyle name="Normal 31 7 2 10" xfId="22201"/>
    <cellStyle name="Normal 31 7 2 2" xfId="22202"/>
    <cellStyle name="Normal 31 7 2 3" xfId="22203"/>
    <cellStyle name="Normal 31 7 2 3 2" xfId="22204"/>
    <cellStyle name="Normal 31 7 2 3 3" xfId="22205"/>
    <cellStyle name="Normal 31 7 2 3 4" xfId="22206"/>
    <cellStyle name="Normal 31 7 2 3 5" xfId="22207"/>
    <cellStyle name="Normal 31 7 2 3 6" xfId="22208"/>
    <cellStyle name="Normal 31 7 2 4" xfId="22209"/>
    <cellStyle name="Normal 31 7 2 5" xfId="22210"/>
    <cellStyle name="Normal 31 7 2 6" xfId="22211"/>
    <cellStyle name="Normal 31 7 2 7" xfId="22212"/>
    <cellStyle name="Normal 31 7 2 8" xfId="22213"/>
    <cellStyle name="Normal 31 7 2 9" xfId="22214"/>
    <cellStyle name="Normal 31 7 3" xfId="22215"/>
    <cellStyle name="Normal 31 7 4" xfId="22216"/>
    <cellStyle name="Normal 31 7 4 2" xfId="22217"/>
    <cellStyle name="Normal 31 7 4 3" xfId="22218"/>
    <cellStyle name="Normal 31 7 4 4" xfId="22219"/>
    <cellStyle name="Normal 31 7 4 5" xfId="22220"/>
    <cellStyle name="Normal 31 7 4 6" xfId="22221"/>
    <cellStyle name="Normal 31 7 5" xfId="22222"/>
    <cellStyle name="Normal 31 7 6" xfId="22223"/>
    <cellStyle name="Normal 31 7 7" xfId="22224"/>
    <cellStyle name="Normal 31 7 8" xfId="22225"/>
    <cellStyle name="Normal 31 7 9" xfId="22226"/>
    <cellStyle name="Normal 31 8" xfId="22227"/>
    <cellStyle name="Normal 31 8 10" xfId="22228"/>
    <cellStyle name="Normal 31 8 11" xfId="22229"/>
    <cellStyle name="Normal 31 8 2" xfId="22230"/>
    <cellStyle name="Normal 31 8 2 10" xfId="22231"/>
    <cellStyle name="Normal 31 8 2 2" xfId="22232"/>
    <cellStyle name="Normal 31 8 2 3" xfId="22233"/>
    <cellStyle name="Normal 31 8 2 3 2" xfId="22234"/>
    <cellStyle name="Normal 31 8 2 3 3" xfId="22235"/>
    <cellStyle name="Normal 31 8 2 3 4" xfId="22236"/>
    <cellStyle name="Normal 31 8 2 3 5" xfId="22237"/>
    <cellStyle name="Normal 31 8 2 3 6" xfId="22238"/>
    <cellStyle name="Normal 31 8 2 4" xfId="22239"/>
    <cellStyle name="Normal 31 8 2 5" xfId="22240"/>
    <cellStyle name="Normal 31 8 2 6" xfId="22241"/>
    <cellStyle name="Normal 31 8 2 7" xfId="22242"/>
    <cellStyle name="Normal 31 8 2 8" xfId="22243"/>
    <cellStyle name="Normal 31 8 2 9" xfId="22244"/>
    <cellStyle name="Normal 31 8 3" xfId="22245"/>
    <cellStyle name="Normal 31 8 4" xfId="22246"/>
    <cellStyle name="Normal 31 8 4 2" xfId="22247"/>
    <cellStyle name="Normal 31 8 4 3" xfId="22248"/>
    <cellStyle name="Normal 31 8 4 4" xfId="22249"/>
    <cellStyle name="Normal 31 8 4 5" xfId="22250"/>
    <cellStyle name="Normal 31 8 4 6" xfId="22251"/>
    <cellStyle name="Normal 31 8 5" xfId="22252"/>
    <cellStyle name="Normal 31 8 6" xfId="22253"/>
    <cellStyle name="Normal 31 8 7" xfId="22254"/>
    <cellStyle name="Normal 31 8 8" xfId="22255"/>
    <cellStyle name="Normal 31 8 9" xfId="22256"/>
    <cellStyle name="Normal 31 9" xfId="22257"/>
    <cellStyle name="Normal 31 9 10" xfId="22258"/>
    <cellStyle name="Normal 31 9 11" xfId="22259"/>
    <cellStyle name="Normal 31 9 2" xfId="22260"/>
    <cellStyle name="Normal 31 9 2 10" xfId="22261"/>
    <cellStyle name="Normal 31 9 2 2" xfId="22262"/>
    <cellStyle name="Normal 31 9 2 3" xfId="22263"/>
    <cellStyle name="Normal 31 9 2 3 2" xfId="22264"/>
    <cellStyle name="Normal 31 9 2 3 3" xfId="22265"/>
    <cellStyle name="Normal 31 9 2 3 4" xfId="22266"/>
    <cellStyle name="Normal 31 9 2 3 5" xfId="22267"/>
    <cellStyle name="Normal 31 9 2 3 6" xfId="22268"/>
    <cellStyle name="Normal 31 9 2 4" xfId="22269"/>
    <cellStyle name="Normal 31 9 2 5" xfId="22270"/>
    <cellStyle name="Normal 31 9 2 6" xfId="22271"/>
    <cellStyle name="Normal 31 9 2 7" xfId="22272"/>
    <cellStyle name="Normal 31 9 2 8" xfId="22273"/>
    <cellStyle name="Normal 31 9 2 9" xfId="22274"/>
    <cellStyle name="Normal 31 9 3" xfId="22275"/>
    <cellStyle name="Normal 31 9 4" xfId="22276"/>
    <cellStyle name="Normal 31 9 4 2" xfId="22277"/>
    <cellStyle name="Normal 31 9 4 3" xfId="22278"/>
    <cellStyle name="Normal 31 9 4 4" xfId="22279"/>
    <cellStyle name="Normal 31 9 4 5" xfId="22280"/>
    <cellStyle name="Normal 31 9 4 6" xfId="22281"/>
    <cellStyle name="Normal 31 9 5" xfId="22282"/>
    <cellStyle name="Normal 31 9 6" xfId="22283"/>
    <cellStyle name="Normal 31 9 7" xfId="22284"/>
    <cellStyle name="Normal 31 9 8" xfId="22285"/>
    <cellStyle name="Normal 31 9 9" xfId="22286"/>
    <cellStyle name="Normal 32" xfId="22287"/>
    <cellStyle name="Normal 32 2" xfId="22288"/>
    <cellStyle name="Normal 32 2 2" xfId="22289"/>
    <cellStyle name="Normal 32 2 3" xfId="22290"/>
    <cellStyle name="Normal 32 2 3 2" xfId="22291"/>
    <cellStyle name="Normal 32 2 3 3" xfId="22292"/>
    <cellStyle name="Normal 32 2 3 4" xfId="22293"/>
    <cellStyle name="Normal 32 2 3 5" xfId="22294"/>
    <cellStyle name="Normal 32 2 3 6" xfId="22295"/>
    <cellStyle name="Normal 32 2 4" xfId="22296"/>
    <cellStyle name="Normal 32 2 4 2" xfId="22297"/>
    <cellStyle name="Normal 32 2 4 3" xfId="22298"/>
    <cellStyle name="Normal 32 2 4 4" xfId="22299"/>
    <cellStyle name="Normal 32 2 4 5" xfId="22300"/>
    <cellStyle name="Normal 32 2 4 6" xfId="22301"/>
    <cellStyle name="Normal 32 3" xfId="22302"/>
    <cellStyle name="Normal 32 3 2" xfId="22303"/>
    <cellStyle name="Normal 32 3 3" xfId="22304"/>
    <cellStyle name="Normal 32 3 3 2" xfId="22305"/>
    <cellStyle name="Normal 32 3 3 3" xfId="22306"/>
    <cellStyle name="Normal 32 3 3 4" xfId="22307"/>
    <cellStyle name="Normal 32 3 3 5" xfId="22308"/>
    <cellStyle name="Normal 32 3 3 6" xfId="22309"/>
    <cellStyle name="Normal 32 3 4" xfId="22310"/>
    <cellStyle name="Normal 32 3 4 2" xfId="22311"/>
    <cellStyle name="Normal 32 3 4 3" xfId="22312"/>
    <cellStyle name="Normal 32 3 4 4" xfId="22313"/>
    <cellStyle name="Normal 32 3 4 5" xfId="22314"/>
    <cellStyle name="Normal 32 3 4 6" xfId="22315"/>
    <cellStyle name="Normal 32 4" xfId="22316"/>
    <cellStyle name="Normal 32 4 2" xfId="22317"/>
    <cellStyle name="Normal 32 4 3" xfId="22318"/>
    <cellStyle name="Normal 32 4 3 2" xfId="22319"/>
    <cellStyle name="Normal 32 4 3 3" xfId="22320"/>
    <cellStyle name="Normal 32 4 3 4" xfId="22321"/>
    <cellStyle name="Normal 32 4 3 5" xfId="22322"/>
    <cellStyle name="Normal 32 4 3 6" xfId="22323"/>
    <cellStyle name="Normal 32 4 4" xfId="22324"/>
    <cellStyle name="Normal 32 4 4 2" xfId="22325"/>
    <cellStyle name="Normal 32 4 4 3" xfId="22326"/>
    <cellStyle name="Normal 32 4 4 4" xfId="22327"/>
    <cellStyle name="Normal 32 4 4 5" xfId="22328"/>
    <cellStyle name="Normal 32 4 4 6" xfId="22329"/>
    <cellStyle name="Normal 32 5" xfId="22330"/>
    <cellStyle name="Normal 32 5 2" xfId="22331"/>
    <cellStyle name="Normal 32 5 3" xfId="22332"/>
    <cellStyle name="Normal 32 5 3 2" xfId="22333"/>
    <cellStyle name="Normal 32 5 3 3" xfId="22334"/>
    <cellStyle name="Normal 32 5 3 4" xfId="22335"/>
    <cellStyle name="Normal 32 5 3 5" xfId="22336"/>
    <cellStyle name="Normal 32 5 3 6" xfId="22337"/>
    <cellStyle name="Normal 32 5 4" xfId="22338"/>
    <cellStyle name="Normal 32 5 4 2" xfId="22339"/>
    <cellStyle name="Normal 32 5 4 3" xfId="22340"/>
    <cellStyle name="Normal 32 5 4 4" xfId="22341"/>
    <cellStyle name="Normal 32 5 4 5" xfId="22342"/>
    <cellStyle name="Normal 32 5 4 6" xfId="22343"/>
    <cellStyle name="Normal 32 6" xfId="22344"/>
    <cellStyle name="Normal 32 6 2" xfId="22345"/>
    <cellStyle name="Normal 32 6 3" xfId="22346"/>
    <cellStyle name="Normal 32 6 3 2" xfId="22347"/>
    <cellStyle name="Normal 32 6 3 3" xfId="22348"/>
    <cellStyle name="Normal 32 6 3 4" xfId="22349"/>
    <cellStyle name="Normal 32 6 3 5" xfId="22350"/>
    <cellStyle name="Normal 32 6 3 6" xfId="22351"/>
    <cellStyle name="Normal 32 6 4" xfId="22352"/>
    <cellStyle name="Normal 32 6 4 2" xfId="22353"/>
    <cellStyle name="Normal 32 6 4 3" xfId="22354"/>
    <cellStyle name="Normal 32 6 4 4" xfId="22355"/>
    <cellStyle name="Normal 32 6 4 5" xfId="22356"/>
    <cellStyle name="Normal 32 6 4 6" xfId="22357"/>
    <cellStyle name="Normal 32 7" xfId="22358"/>
    <cellStyle name="Normal 32 8" xfId="22359"/>
    <cellStyle name="Normal 32 8 2" xfId="22360"/>
    <cellStyle name="Normal 32 8 3" xfId="22361"/>
    <cellStyle name="Normal 32 8 4" xfId="22362"/>
    <cellStyle name="Normal 32 8 5" xfId="22363"/>
    <cellStyle name="Normal 32 8 6" xfId="22364"/>
    <cellStyle name="Normal 32 9" xfId="22365"/>
    <cellStyle name="Normal 32 9 2" xfId="22366"/>
    <cellStyle name="Normal 32 9 3" xfId="22367"/>
    <cellStyle name="Normal 32 9 4" xfId="22368"/>
    <cellStyle name="Normal 32 9 5" xfId="22369"/>
    <cellStyle name="Normal 32 9 6" xfId="22370"/>
    <cellStyle name="Normal 33" xfId="22371"/>
    <cellStyle name="Normal 33 2" xfId="22372"/>
    <cellStyle name="Normal 33 2 2" xfId="22373"/>
    <cellStyle name="Normal 33 2 3" xfId="22374"/>
    <cellStyle name="Normal 33 2 3 2" xfId="22375"/>
    <cellStyle name="Normal 33 2 3 3" xfId="22376"/>
    <cellStyle name="Normal 33 2 3 4" xfId="22377"/>
    <cellStyle name="Normal 33 2 3 5" xfId="22378"/>
    <cellStyle name="Normal 33 2 3 6" xfId="22379"/>
    <cellStyle name="Normal 33 2 4" xfId="22380"/>
    <cellStyle name="Normal 33 2 4 2" xfId="22381"/>
    <cellStyle name="Normal 33 2 4 3" xfId="22382"/>
    <cellStyle name="Normal 33 2 4 4" xfId="22383"/>
    <cellStyle name="Normal 33 2 4 5" xfId="22384"/>
    <cellStyle name="Normal 33 2 4 6" xfId="22385"/>
    <cellStyle name="Normal 33 3" xfId="22386"/>
    <cellStyle name="Normal 33 3 2" xfId="22387"/>
    <cellStyle name="Normal 33 3 3" xfId="22388"/>
    <cellStyle name="Normal 33 3 3 2" xfId="22389"/>
    <cellStyle name="Normal 33 3 3 3" xfId="22390"/>
    <cellStyle name="Normal 33 3 3 4" xfId="22391"/>
    <cellStyle name="Normal 33 3 3 5" xfId="22392"/>
    <cellStyle name="Normal 33 3 3 6" xfId="22393"/>
    <cellStyle name="Normal 33 3 4" xfId="22394"/>
    <cellStyle name="Normal 33 3 4 2" xfId="22395"/>
    <cellStyle name="Normal 33 3 4 3" xfId="22396"/>
    <cellStyle name="Normal 33 3 4 4" xfId="22397"/>
    <cellStyle name="Normal 33 3 4 5" xfId="22398"/>
    <cellStyle name="Normal 33 3 4 6" xfId="22399"/>
    <cellStyle name="Normal 33 4" xfId="22400"/>
    <cellStyle name="Normal 33 4 2" xfId="22401"/>
    <cellStyle name="Normal 33 4 3" xfId="22402"/>
    <cellStyle name="Normal 33 4 3 2" xfId="22403"/>
    <cellStyle name="Normal 33 4 3 3" xfId="22404"/>
    <cellStyle name="Normal 33 4 3 4" xfId="22405"/>
    <cellStyle name="Normal 33 4 3 5" xfId="22406"/>
    <cellStyle name="Normal 33 4 3 6" xfId="22407"/>
    <cellStyle name="Normal 33 4 4" xfId="22408"/>
    <cellStyle name="Normal 33 4 4 2" xfId="22409"/>
    <cellStyle name="Normal 33 4 4 3" xfId="22410"/>
    <cellStyle name="Normal 33 4 4 4" xfId="22411"/>
    <cellStyle name="Normal 33 4 4 5" xfId="22412"/>
    <cellStyle name="Normal 33 4 4 6" xfId="22413"/>
    <cellStyle name="Normal 33 5" xfId="22414"/>
    <cellStyle name="Normal 33 5 2" xfId="22415"/>
    <cellStyle name="Normal 33 5 3" xfId="22416"/>
    <cellStyle name="Normal 33 5 3 2" xfId="22417"/>
    <cellStyle name="Normal 33 5 3 3" xfId="22418"/>
    <cellStyle name="Normal 33 5 3 4" xfId="22419"/>
    <cellStyle name="Normal 33 5 3 5" xfId="22420"/>
    <cellStyle name="Normal 33 5 3 6" xfId="22421"/>
    <cellStyle name="Normal 33 5 4" xfId="22422"/>
    <cellStyle name="Normal 33 5 4 2" xfId="22423"/>
    <cellStyle name="Normal 33 5 4 3" xfId="22424"/>
    <cellStyle name="Normal 33 5 4 4" xfId="22425"/>
    <cellStyle name="Normal 33 5 4 5" xfId="22426"/>
    <cellStyle name="Normal 33 5 4 6" xfId="22427"/>
    <cellStyle name="Normal 33 6" xfId="22428"/>
    <cellStyle name="Normal 33 6 2" xfId="22429"/>
    <cellStyle name="Normal 33 6 3" xfId="22430"/>
    <cellStyle name="Normal 33 6 3 2" xfId="22431"/>
    <cellStyle name="Normal 33 6 3 3" xfId="22432"/>
    <cellStyle name="Normal 33 6 3 4" xfId="22433"/>
    <cellStyle name="Normal 33 6 3 5" xfId="22434"/>
    <cellStyle name="Normal 33 6 3 6" xfId="22435"/>
    <cellStyle name="Normal 33 6 4" xfId="22436"/>
    <cellStyle name="Normal 33 6 4 2" xfId="22437"/>
    <cellStyle name="Normal 33 6 4 3" xfId="22438"/>
    <cellStyle name="Normal 33 6 4 4" xfId="22439"/>
    <cellStyle name="Normal 33 6 4 5" xfId="22440"/>
    <cellStyle name="Normal 33 6 4 6" xfId="22441"/>
    <cellStyle name="Normal 33 7" xfId="22442"/>
    <cellStyle name="Normal 33 8" xfId="22443"/>
    <cellStyle name="Normal 33 8 2" xfId="22444"/>
    <cellStyle name="Normal 33 8 3" xfId="22445"/>
    <cellStyle name="Normal 33 8 4" xfId="22446"/>
    <cellStyle name="Normal 33 8 5" xfId="22447"/>
    <cellStyle name="Normal 33 8 6" xfId="22448"/>
    <cellStyle name="Normal 33 9" xfId="22449"/>
    <cellStyle name="Normal 33 9 2" xfId="22450"/>
    <cellStyle name="Normal 33 9 3" xfId="22451"/>
    <cellStyle name="Normal 33 9 4" xfId="22452"/>
    <cellStyle name="Normal 33 9 5" xfId="22453"/>
    <cellStyle name="Normal 33 9 6" xfId="22454"/>
    <cellStyle name="Normal 34" xfId="22455"/>
    <cellStyle name="Normal 34 2" xfId="22456"/>
    <cellStyle name="Normal 34 2 2" xfId="22457"/>
    <cellStyle name="Normal 34 2 3" xfId="22458"/>
    <cellStyle name="Normal 34 2 3 2" xfId="22459"/>
    <cellStyle name="Normal 34 2 3 3" xfId="22460"/>
    <cellStyle name="Normal 34 2 3 4" xfId="22461"/>
    <cellStyle name="Normal 34 2 3 5" xfId="22462"/>
    <cellStyle name="Normal 34 2 3 6" xfId="22463"/>
    <cellStyle name="Normal 34 2 4" xfId="22464"/>
    <cellStyle name="Normal 34 2 4 2" xfId="22465"/>
    <cellStyle name="Normal 34 2 4 3" xfId="22466"/>
    <cellStyle name="Normal 34 2 4 4" xfId="22467"/>
    <cellStyle name="Normal 34 2 4 5" xfId="22468"/>
    <cellStyle name="Normal 34 2 4 6" xfId="22469"/>
    <cellStyle name="Normal 34 3" xfId="22470"/>
    <cellStyle name="Normal 34 3 2" xfId="22471"/>
    <cellStyle name="Normal 34 3 3" xfId="22472"/>
    <cellStyle name="Normal 34 3 3 2" xfId="22473"/>
    <cellStyle name="Normal 34 3 3 3" xfId="22474"/>
    <cellStyle name="Normal 34 3 3 4" xfId="22475"/>
    <cellStyle name="Normal 34 3 3 5" xfId="22476"/>
    <cellStyle name="Normal 34 3 3 6" xfId="22477"/>
    <cellStyle name="Normal 34 3 4" xfId="22478"/>
    <cellStyle name="Normal 34 3 4 2" xfId="22479"/>
    <cellStyle name="Normal 34 3 4 3" xfId="22480"/>
    <cellStyle name="Normal 34 3 4 4" xfId="22481"/>
    <cellStyle name="Normal 34 3 4 5" xfId="22482"/>
    <cellStyle name="Normal 34 3 4 6" xfId="22483"/>
    <cellStyle name="Normal 34 4" xfId="22484"/>
    <cellStyle name="Normal 34 4 2" xfId="22485"/>
    <cellStyle name="Normal 34 4 3" xfId="22486"/>
    <cellStyle name="Normal 34 4 3 2" xfId="22487"/>
    <cellStyle name="Normal 34 4 3 3" xfId="22488"/>
    <cellStyle name="Normal 34 4 3 4" xfId="22489"/>
    <cellStyle name="Normal 34 4 3 5" xfId="22490"/>
    <cellStyle name="Normal 34 4 3 6" xfId="22491"/>
    <cellStyle name="Normal 34 4 4" xfId="22492"/>
    <cellStyle name="Normal 34 4 4 2" xfId="22493"/>
    <cellStyle name="Normal 34 4 4 3" xfId="22494"/>
    <cellStyle name="Normal 34 4 4 4" xfId="22495"/>
    <cellStyle name="Normal 34 4 4 5" xfId="22496"/>
    <cellStyle name="Normal 34 4 4 6" xfId="22497"/>
    <cellStyle name="Normal 34 5" xfId="22498"/>
    <cellStyle name="Normal 34 5 2" xfId="22499"/>
    <cellStyle name="Normal 34 5 3" xfId="22500"/>
    <cellStyle name="Normal 34 5 3 2" xfId="22501"/>
    <cellStyle name="Normal 34 5 3 3" xfId="22502"/>
    <cellStyle name="Normal 34 5 3 4" xfId="22503"/>
    <cellStyle name="Normal 34 5 3 5" xfId="22504"/>
    <cellStyle name="Normal 34 5 3 6" xfId="22505"/>
    <cellStyle name="Normal 34 5 4" xfId="22506"/>
    <cellStyle name="Normal 34 5 4 2" xfId="22507"/>
    <cellStyle name="Normal 34 5 4 3" xfId="22508"/>
    <cellStyle name="Normal 34 5 4 4" xfId="22509"/>
    <cellStyle name="Normal 34 5 4 5" xfId="22510"/>
    <cellStyle name="Normal 34 5 4 6" xfId="22511"/>
    <cellStyle name="Normal 34 6" xfId="22512"/>
    <cellStyle name="Normal 34 6 2" xfId="22513"/>
    <cellStyle name="Normal 34 6 3" xfId="22514"/>
    <cellStyle name="Normal 34 6 3 2" xfId="22515"/>
    <cellStyle name="Normal 34 6 3 3" xfId="22516"/>
    <cellStyle name="Normal 34 6 3 4" xfId="22517"/>
    <cellStyle name="Normal 34 6 3 5" xfId="22518"/>
    <cellStyle name="Normal 34 6 3 6" xfId="22519"/>
    <cellStyle name="Normal 34 6 4" xfId="22520"/>
    <cellStyle name="Normal 34 6 4 2" xfId="22521"/>
    <cellStyle name="Normal 34 6 4 3" xfId="22522"/>
    <cellStyle name="Normal 34 6 4 4" xfId="22523"/>
    <cellStyle name="Normal 34 6 4 5" xfId="22524"/>
    <cellStyle name="Normal 34 6 4 6" xfId="22525"/>
    <cellStyle name="Normal 34 7" xfId="22526"/>
    <cellStyle name="Normal 34 8" xfId="22527"/>
    <cellStyle name="Normal 34 8 2" xfId="22528"/>
    <cellStyle name="Normal 34 8 3" xfId="22529"/>
    <cellStyle name="Normal 34 8 4" xfId="22530"/>
    <cellStyle name="Normal 34 8 5" xfId="22531"/>
    <cellStyle name="Normal 34 8 6" xfId="22532"/>
    <cellStyle name="Normal 34 9" xfId="22533"/>
    <cellStyle name="Normal 34 9 2" xfId="22534"/>
    <cellStyle name="Normal 34 9 3" xfId="22535"/>
    <cellStyle name="Normal 34 9 4" xfId="22536"/>
    <cellStyle name="Normal 34 9 5" xfId="22537"/>
    <cellStyle name="Normal 34 9 6" xfId="22538"/>
    <cellStyle name="Normal 35" xfId="22539"/>
    <cellStyle name="Normal 35 10" xfId="22540"/>
    <cellStyle name="Normal 35 10 10" xfId="22541"/>
    <cellStyle name="Normal 35 10 11" xfId="22542"/>
    <cellStyle name="Normal 35 10 2" xfId="22543"/>
    <cellStyle name="Normal 35 10 2 10" xfId="22544"/>
    <cellStyle name="Normal 35 10 2 2" xfId="22545"/>
    <cellStyle name="Normal 35 10 2 3" xfId="22546"/>
    <cellStyle name="Normal 35 10 2 3 2" xfId="22547"/>
    <cellStyle name="Normal 35 10 2 3 3" xfId="22548"/>
    <cellStyle name="Normal 35 10 2 3 4" xfId="22549"/>
    <cellStyle name="Normal 35 10 2 3 5" xfId="22550"/>
    <cellStyle name="Normal 35 10 2 3 6" xfId="22551"/>
    <cellStyle name="Normal 35 10 2 4" xfId="22552"/>
    <cellStyle name="Normal 35 10 2 5" xfId="22553"/>
    <cellStyle name="Normal 35 10 2 6" xfId="22554"/>
    <cellStyle name="Normal 35 10 2 7" xfId="22555"/>
    <cellStyle name="Normal 35 10 2 8" xfId="22556"/>
    <cellStyle name="Normal 35 10 2 9" xfId="22557"/>
    <cellStyle name="Normal 35 10 3" xfId="22558"/>
    <cellStyle name="Normal 35 10 4" xfId="22559"/>
    <cellStyle name="Normal 35 10 4 2" xfId="22560"/>
    <cellStyle name="Normal 35 10 4 3" xfId="22561"/>
    <cellStyle name="Normal 35 10 4 4" xfId="22562"/>
    <cellStyle name="Normal 35 10 4 5" xfId="22563"/>
    <cellStyle name="Normal 35 10 4 6" xfId="22564"/>
    <cellStyle name="Normal 35 10 5" xfId="22565"/>
    <cellStyle name="Normal 35 10 6" xfId="22566"/>
    <cellStyle name="Normal 35 10 7" xfId="22567"/>
    <cellStyle name="Normal 35 10 8" xfId="22568"/>
    <cellStyle name="Normal 35 10 9" xfId="22569"/>
    <cellStyle name="Normal 35 11" xfId="22570"/>
    <cellStyle name="Normal 35 11 10" xfId="22571"/>
    <cellStyle name="Normal 35 11 2" xfId="22572"/>
    <cellStyle name="Normal 35 11 3" xfId="22573"/>
    <cellStyle name="Normal 35 11 3 2" xfId="22574"/>
    <cellStyle name="Normal 35 11 3 3" xfId="22575"/>
    <cellStyle name="Normal 35 11 3 4" xfId="22576"/>
    <cellStyle name="Normal 35 11 3 5" xfId="22577"/>
    <cellStyle name="Normal 35 11 3 6" xfId="22578"/>
    <cellStyle name="Normal 35 11 4" xfId="22579"/>
    <cellStyle name="Normal 35 11 5" xfId="22580"/>
    <cellStyle name="Normal 35 11 6" xfId="22581"/>
    <cellStyle name="Normal 35 11 7" xfId="22582"/>
    <cellStyle name="Normal 35 11 8" xfId="22583"/>
    <cellStyle name="Normal 35 11 9" xfId="22584"/>
    <cellStyle name="Normal 35 12" xfId="22585"/>
    <cellStyle name="Normal 35 13" xfId="22586"/>
    <cellStyle name="Normal 35 13 2" xfId="22587"/>
    <cellStyle name="Normal 35 13 3" xfId="22588"/>
    <cellStyle name="Normal 35 13 4" xfId="22589"/>
    <cellStyle name="Normal 35 13 5" xfId="22590"/>
    <cellStyle name="Normal 35 13 6" xfId="22591"/>
    <cellStyle name="Normal 35 14" xfId="22592"/>
    <cellStyle name="Normal 35 15" xfId="22593"/>
    <cellStyle name="Normal 35 16" xfId="22594"/>
    <cellStyle name="Normal 35 17" xfId="22595"/>
    <cellStyle name="Normal 35 18" xfId="22596"/>
    <cellStyle name="Normal 35 19" xfId="22597"/>
    <cellStyle name="Normal 35 2" xfId="22598"/>
    <cellStyle name="Normal 35 2 10" xfId="22599"/>
    <cellStyle name="Normal 35 2 11" xfId="22600"/>
    <cellStyle name="Normal 35 2 2" xfId="22601"/>
    <cellStyle name="Normal 35 2 2 10" xfId="22602"/>
    <cellStyle name="Normal 35 2 2 2" xfId="22603"/>
    <cellStyle name="Normal 35 2 2 3" xfId="22604"/>
    <cellStyle name="Normal 35 2 2 3 2" xfId="22605"/>
    <cellStyle name="Normal 35 2 2 3 3" xfId="22606"/>
    <cellStyle name="Normal 35 2 2 3 4" xfId="22607"/>
    <cellStyle name="Normal 35 2 2 3 5" xfId="22608"/>
    <cellStyle name="Normal 35 2 2 3 6" xfId="22609"/>
    <cellStyle name="Normal 35 2 2 4" xfId="22610"/>
    <cellStyle name="Normal 35 2 2 5" xfId="22611"/>
    <cellStyle name="Normal 35 2 2 6" xfId="22612"/>
    <cellStyle name="Normal 35 2 2 7" xfId="22613"/>
    <cellStyle name="Normal 35 2 2 8" xfId="22614"/>
    <cellStyle name="Normal 35 2 2 9" xfId="22615"/>
    <cellStyle name="Normal 35 2 3" xfId="22616"/>
    <cellStyle name="Normal 35 2 4" xfId="22617"/>
    <cellStyle name="Normal 35 2 4 2" xfId="22618"/>
    <cellStyle name="Normal 35 2 4 3" xfId="22619"/>
    <cellStyle name="Normal 35 2 4 4" xfId="22620"/>
    <cellStyle name="Normal 35 2 4 5" xfId="22621"/>
    <cellStyle name="Normal 35 2 4 6" xfId="22622"/>
    <cellStyle name="Normal 35 2 5" xfId="22623"/>
    <cellStyle name="Normal 35 2 6" xfId="22624"/>
    <cellStyle name="Normal 35 2 7" xfId="22625"/>
    <cellStyle name="Normal 35 2 8" xfId="22626"/>
    <cellStyle name="Normal 35 2 9" xfId="22627"/>
    <cellStyle name="Normal 35 20" xfId="22628"/>
    <cellStyle name="Normal 35 3" xfId="22629"/>
    <cellStyle name="Normal 35 3 10" xfId="22630"/>
    <cellStyle name="Normal 35 3 11" xfId="22631"/>
    <cellStyle name="Normal 35 3 2" xfId="22632"/>
    <cellStyle name="Normal 35 3 2 10" xfId="22633"/>
    <cellStyle name="Normal 35 3 2 2" xfId="22634"/>
    <cellStyle name="Normal 35 3 2 3" xfId="22635"/>
    <cellStyle name="Normal 35 3 2 3 2" xfId="22636"/>
    <cellStyle name="Normal 35 3 2 3 3" xfId="22637"/>
    <cellStyle name="Normal 35 3 2 3 4" xfId="22638"/>
    <cellStyle name="Normal 35 3 2 3 5" xfId="22639"/>
    <cellStyle name="Normal 35 3 2 3 6" xfId="22640"/>
    <cellStyle name="Normal 35 3 2 4" xfId="22641"/>
    <cellStyle name="Normal 35 3 2 5" xfId="22642"/>
    <cellStyle name="Normal 35 3 2 6" xfId="22643"/>
    <cellStyle name="Normal 35 3 2 7" xfId="22644"/>
    <cellStyle name="Normal 35 3 2 8" xfId="22645"/>
    <cellStyle name="Normal 35 3 2 9" xfId="22646"/>
    <cellStyle name="Normal 35 3 3" xfId="22647"/>
    <cellStyle name="Normal 35 3 4" xfId="22648"/>
    <cellStyle name="Normal 35 3 4 2" xfId="22649"/>
    <cellStyle name="Normal 35 3 4 3" xfId="22650"/>
    <cellStyle name="Normal 35 3 4 4" xfId="22651"/>
    <cellStyle name="Normal 35 3 4 5" xfId="22652"/>
    <cellStyle name="Normal 35 3 4 6" xfId="22653"/>
    <cellStyle name="Normal 35 3 5" xfId="22654"/>
    <cellStyle name="Normal 35 3 6" xfId="22655"/>
    <cellStyle name="Normal 35 3 7" xfId="22656"/>
    <cellStyle name="Normal 35 3 8" xfId="22657"/>
    <cellStyle name="Normal 35 3 9" xfId="22658"/>
    <cellStyle name="Normal 35 4" xfId="22659"/>
    <cellStyle name="Normal 35 4 10" xfId="22660"/>
    <cellStyle name="Normal 35 4 11" xfId="22661"/>
    <cellStyle name="Normal 35 4 2" xfId="22662"/>
    <cellStyle name="Normal 35 4 2 10" xfId="22663"/>
    <cellStyle name="Normal 35 4 2 2" xfId="22664"/>
    <cellStyle name="Normal 35 4 2 3" xfId="22665"/>
    <cellStyle name="Normal 35 4 2 3 2" xfId="22666"/>
    <cellStyle name="Normal 35 4 2 3 3" xfId="22667"/>
    <cellStyle name="Normal 35 4 2 3 4" xfId="22668"/>
    <cellStyle name="Normal 35 4 2 3 5" xfId="22669"/>
    <cellStyle name="Normal 35 4 2 3 6" xfId="22670"/>
    <cellStyle name="Normal 35 4 2 4" xfId="22671"/>
    <cellStyle name="Normal 35 4 2 5" xfId="22672"/>
    <cellStyle name="Normal 35 4 2 6" xfId="22673"/>
    <cellStyle name="Normal 35 4 2 7" xfId="22674"/>
    <cellStyle name="Normal 35 4 2 8" xfId="22675"/>
    <cellStyle name="Normal 35 4 2 9" xfId="22676"/>
    <cellStyle name="Normal 35 4 3" xfId="22677"/>
    <cellStyle name="Normal 35 4 4" xfId="22678"/>
    <cellStyle name="Normal 35 4 4 2" xfId="22679"/>
    <cellStyle name="Normal 35 4 4 3" xfId="22680"/>
    <cellStyle name="Normal 35 4 4 4" xfId="22681"/>
    <cellStyle name="Normal 35 4 4 5" xfId="22682"/>
    <cellStyle name="Normal 35 4 4 6" xfId="22683"/>
    <cellStyle name="Normal 35 4 5" xfId="22684"/>
    <cellStyle name="Normal 35 4 6" xfId="22685"/>
    <cellStyle name="Normal 35 4 7" xfId="22686"/>
    <cellStyle name="Normal 35 4 8" xfId="22687"/>
    <cellStyle name="Normal 35 4 9" xfId="22688"/>
    <cellStyle name="Normal 35 5" xfId="22689"/>
    <cellStyle name="Normal 35 5 10" xfId="22690"/>
    <cellStyle name="Normal 35 5 11" xfId="22691"/>
    <cellStyle name="Normal 35 5 2" xfId="22692"/>
    <cellStyle name="Normal 35 5 2 10" xfId="22693"/>
    <cellStyle name="Normal 35 5 2 2" xfId="22694"/>
    <cellStyle name="Normal 35 5 2 3" xfId="22695"/>
    <cellStyle name="Normal 35 5 2 3 2" xfId="22696"/>
    <cellStyle name="Normal 35 5 2 3 3" xfId="22697"/>
    <cellStyle name="Normal 35 5 2 3 4" xfId="22698"/>
    <cellStyle name="Normal 35 5 2 3 5" xfId="22699"/>
    <cellStyle name="Normal 35 5 2 3 6" xfId="22700"/>
    <cellStyle name="Normal 35 5 2 4" xfId="22701"/>
    <cellStyle name="Normal 35 5 2 5" xfId="22702"/>
    <cellStyle name="Normal 35 5 2 6" xfId="22703"/>
    <cellStyle name="Normal 35 5 2 7" xfId="22704"/>
    <cellStyle name="Normal 35 5 2 8" xfId="22705"/>
    <cellStyle name="Normal 35 5 2 9" xfId="22706"/>
    <cellStyle name="Normal 35 5 3" xfId="22707"/>
    <cellStyle name="Normal 35 5 4" xfId="22708"/>
    <cellStyle name="Normal 35 5 4 2" xfId="22709"/>
    <cellStyle name="Normal 35 5 4 3" xfId="22710"/>
    <cellStyle name="Normal 35 5 4 4" xfId="22711"/>
    <cellStyle name="Normal 35 5 4 5" xfId="22712"/>
    <cellStyle name="Normal 35 5 4 6" xfId="22713"/>
    <cellStyle name="Normal 35 5 5" xfId="22714"/>
    <cellStyle name="Normal 35 5 6" xfId="22715"/>
    <cellStyle name="Normal 35 5 7" xfId="22716"/>
    <cellStyle name="Normal 35 5 8" xfId="22717"/>
    <cellStyle name="Normal 35 5 9" xfId="22718"/>
    <cellStyle name="Normal 35 6" xfId="22719"/>
    <cellStyle name="Normal 35 6 10" xfId="22720"/>
    <cellStyle name="Normal 35 6 11" xfId="22721"/>
    <cellStyle name="Normal 35 6 2" xfId="22722"/>
    <cellStyle name="Normal 35 6 2 10" xfId="22723"/>
    <cellStyle name="Normal 35 6 2 2" xfId="22724"/>
    <cellStyle name="Normal 35 6 2 3" xfId="22725"/>
    <cellStyle name="Normal 35 6 2 3 2" xfId="22726"/>
    <cellStyle name="Normal 35 6 2 3 3" xfId="22727"/>
    <cellStyle name="Normal 35 6 2 3 4" xfId="22728"/>
    <cellStyle name="Normal 35 6 2 3 5" xfId="22729"/>
    <cellStyle name="Normal 35 6 2 3 6" xfId="22730"/>
    <cellStyle name="Normal 35 6 2 4" xfId="22731"/>
    <cellStyle name="Normal 35 6 2 5" xfId="22732"/>
    <cellStyle name="Normal 35 6 2 6" xfId="22733"/>
    <cellStyle name="Normal 35 6 2 7" xfId="22734"/>
    <cellStyle name="Normal 35 6 2 8" xfId="22735"/>
    <cellStyle name="Normal 35 6 2 9" xfId="22736"/>
    <cellStyle name="Normal 35 6 3" xfId="22737"/>
    <cellStyle name="Normal 35 6 4" xfId="22738"/>
    <cellStyle name="Normal 35 6 4 2" xfId="22739"/>
    <cellStyle name="Normal 35 6 4 3" xfId="22740"/>
    <cellStyle name="Normal 35 6 4 4" xfId="22741"/>
    <cellStyle name="Normal 35 6 4 5" xfId="22742"/>
    <cellStyle name="Normal 35 6 4 6" xfId="22743"/>
    <cellStyle name="Normal 35 6 5" xfId="22744"/>
    <cellStyle name="Normal 35 6 6" xfId="22745"/>
    <cellStyle name="Normal 35 6 7" xfId="22746"/>
    <cellStyle name="Normal 35 6 8" xfId="22747"/>
    <cellStyle name="Normal 35 6 9" xfId="22748"/>
    <cellStyle name="Normal 35 7" xfId="22749"/>
    <cellStyle name="Normal 35 7 10" xfId="22750"/>
    <cellStyle name="Normal 35 7 11" xfId="22751"/>
    <cellStyle name="Normal 35 7 2" xfId="22752"/>
    <cellStyle name="Normal 35 7 2 10" xfId="22753"/>
    <cellStyle name="Normal 35 7 2 2" xfId="22754"/>
    <cellStyle name="Normal 35 7 2 3" xfId="22755"/>
    <cellStyle name="Normal 35 7 2 3 2" xfId="22756"/>
    <cellStyle name="Normal 35 7 2 3 3" xfId="22757"/>
    <cellStyle name="Normal 35 7 2 3 4" xfId="22758"/>
    <cellStyle name="Normal 35 7 2 3 5" xfId="22759"/>
    <cellStyle name="Normal 35 7 2 3 6" xfId="22760"/>
    <cellStyle name="Normal 35 7 2 4" xfId="22761"/>
    <cellStyle name="Normal 35 7 2 5" xfId="22762"/>
    <cellStyle name="Normal 35 7 2 6" xfId="22763"/>
    <cellStyle name="Normal 35 7 2 7" xfId="22764"/>
    <cellStyle name="Normal 35 7 2 8" xfId="22765"/>
    <cellStyle name="Normal 35 7 2 9" xfId="22766"/>
    <cellStyle name="Normal 35 7 3" xfId="22767"/>
    <cellStyle name="Normal 35 7 4" xfId="22768"/>
    <cellStyle name="Normal 35 7 4 2" xfId="22769"/>
    <cellStyle name="Normal 35 7 4 3" xfId="22770"/>
    <cellStyle name="Normal 35 7 4 4" xfId="22771"/>
    <cellStyle name="Normal 35 7 4 5" xfId="22772"/>
    <cellStyle name="Normal 35 7 4 6" xfId="22773"/>
    <cellStyle name="Normal 35 7 5" xfId="22774"/>
    <cellStyle name="Normal 35 7 6" xfId="22775"/>
    <cellStyle name="Normal 35 7 7" xfId="22776"/>
    <cellStyle name="Normal 35 7 8" xfId="22777"/>
    <cellStyle name="Normal 35 7 9" xfId="22778"/>
    <cellStyle name="Normal 35 8" xfId="22779"/>
    <cellStyle name="Normal 35 8 10" xfId="22780"/>
    <cellStyle name="Normal 35 8 11" xfId="22781"/>
    <cellStyle name="Normal 35 8 2" xfId="22782"/>
    <cellStyle name="Normal 35 8 2 10" xfId="22783"/>
    <cellStyle name="Normal 35 8 2 2" xfId="22784"/>
    <cellStyle name="Normal 35 8 2 3" xfId="22785"/>
    <cellStyle name="Normal 35 8 2 3 2" xfId="22786"/>
    <cellStyle name="Normal 35 8 2 3 3" xfId="22787"/>
    <cellStyle name="Normal 35 8 2 3 4" xfId="22788"/>
    <cellStyle name="Normal 35 8 2 3 5" xfId="22789"/>
    <cellStyle name="Normal 35 8 2 3 6" xfId="22790"/>
    <cellStyle name="Normal 35 8 2 4" xfId="22791"/>
    <cellStyle name="Normal 35 8 2 5" xfId="22792"/>
    <cellStyle name="Normal 35 8 2 6" xfId="22793"/>
    <cellStyle name="Normal 35 8 2 7" xfId="22794"/>
    <cellStyle name="Normal 35 8 2 8" xfId="22795"/>
    <cellStyle name="Normal 35 8 2 9" xfId="22796"/>
    <cellStyle name="Normal 35 8 3" xfId="22797"/>
    <cellStyle name="Normal 35 8 4" xfId="22798"/>
    <cellStyle name="Normal 35 8 4 2" xfId="22799"/>
    <cellStyle name="Normal 35 8 4 3" xfId="22800"/>
    <cellStyle name="Normal 35 8 4 4" xfId="22801"/>
    <cellStyle name="Normal 35 8 4 5" xfId="22802"/>
    <cellStyle name="Normal 35 8 4 6" xfId="22803"/>
    <cellStyle name="Normal 35 8 5" xfId="22804"/>
    <cellStyle name="Normal 35 8 6" xfId="22805"/>
    <cellStyle name="Normal 35 8 7" xfId="22806"/>
    <cellStyle name="Normal 35 8 8" xfId="22807"/>
    <cellStyle name="Normal 35 8 9" xfId="22808"/>
    <cellStyle name="Normal 35 9" xfId="22809"/>
    <cellStyle name="Normal 35 9 10" xfId="22810"/>
    <cellStyle name="Normal 35 9 11" xfId="22811"/>
    <cellStyle name="Normal 35 9 2" xfId="22812"/>
    <cellStyle name="Normal 35 9 2 10" xfId="22813"/>
    <cellStyle name="Normal 35 9 2 2" xfId="22814"/>
    <cellStyle name="Normal 35 9 2 3" xfId="22815"/>
    <cellStyle name="Normal 35 9 2 3 2" xfId="22816"/>
    <cellStyle name="Normal 35 9 2 3 3" xfId="22817"/>
    <cellStyle name="Normal 35 9 2 3 4" xfId="22818"/>
    <cellStyle name="Normal 35 9 2 3 5" xfId="22819"/>
    <cellStyle name="Normal 35 9 2 3 6" xfId="22820"/>
    <cellStyle name="Normal 35 9 2 4" xfId="22821"/>
    <cellStyle name="Normal 35 9 2 5" xfId="22822"/>
    <cellStyle name="Normal 35 9 2 6" xfId="22823"/>
    <cellStyle name="Normal 35 9 2 7" xfId="22824"/>
    <cellStyle name="Normal 35 9 2 8" xfId="22825"/>
    <cellStyle name="Normal 35 9 2 9" xfId="22826"/>
    <cellStyle name="Normal 35 9 3" xfId="22827"/>
    <cellStyle name="Normal 35 9 4" xfId="22828"/>
    <cellStyle name="Normal 35 9 4 2" xfId="22829"/>
    <cellStyle name="Normal 35 9 4 3" xfId="22830"/>
    <cellStyle name="Normal 35 9 4 4" xfId="22831"/>
    <cellStyle name="Normal 35 9 4 5" xfId="22832"/>
    <cellStyle name="Normal 35 9 4 6" xfId="22833"/>
    <cellStyle name="Normal 35 9 5" xfId="22834"/>
    <cellStyle name="Normal 35 9 6" xfId="22835"/>
    <cellStyle name="Normal 35 9 7" xfId="22836"/>
    <cellStyle name="Normal 35 9 8" xfId="22837"/>
    <cellStyle name="Normal 35 9 9" xfId="22838"/>
    <cellStyle name="Normal 36" xfId="22839"/>
    <cellStyle name="Normal 36 10" xfId="22840"/>
    <cellStyle name="Normal 36 10 2" xfId="22841"/>
    <cellStyle name="Normal 36 10 3" xfId="22842"/>
    <cellStyle name="Normal 36 10 3 2" xfId="22843"/>
    <cellStyle name="Normal 36 10 3 3" xfId="22844"/>
    <cellStyle name="Normal 36 10 3 4" xfId="22845"/>
    <cellStyle name="Normal 36 10 3 5" xfId="22846"/>
    <cellStyle name="Normal 36 10 3 6" xfId="22847"/>
    <cellStyle name="Normal 36 10 4" xfId="22848"/>
    <cellStyle name="Normal 36 10 4 2" xfId="22849"/>
    <cellStyle name="Normal 36 10 4 3" xfId="22850"/>
    <cellStyle name="Normal 36 10 4 4" xfId="22851"/>
    <cellStyle name="Normal 36 10 4 5" xfId="22852"/>
    <cellStyle name="Normal 36 10 4 6" xfId="22853"/>
    <cellStyle name="Normal 36 11" xfId="22854"/>
    <cellStyle name="Normal 36 11 2" xfId="22855"/>
    <cellStyle name="Normal 36 11 3" xfId="22856"/>
    <cellStyle name="Normal 36 11 3 2" xfId="22857"/>
    <cellStyle name="Normal 36 11 3 3" xfId="22858"/>
    <cellStyle name="Normal 36 11 3 4" xfId="22859"/>
    <cellStyle name="Normal 36 11 3 5" xfId="22860"/>
    <cellStyle name="Normal 36 11 3 6" xfId="22861"/>
    <cellStyle name="Normal 36 11 4" xfId="22862"/>
    <cellStyle name="Normal 36 11 4 2" xfId="22863"/>
    <cellStyle name="Normal 36 11 4 3" xfId="22864"/>
    <cellStyle name="Normal 36 11 4 4" xfId="22865"/>
    <cellStyle name="Normal 36 11 4 5" xfId="22866"/>
    <cellStyle name="Normal 36 11 4 6" xfId="22867"/>
    <cellStyle name="Normal 36 12" xfId="22868"/>
    <cellStyle name="Normal 36 12 2" xfId="22869"/>
    <cellStyle name="Normal 36 12 3" xfId="22870"/>
    <cellStyle name="Normal 36 12 3 2" xfId="22871"/>
    <cellStyle name="Normal 36 12 3 3" xfId="22872"/>
    <cellStyle name="Normal 36 12 3 4" xfId="22873"/>
    <cellStyle name="Normal 36 12 3 5" xfId="22874"/>
    <cellStyle name="Normal 36 12 3 6" xfId="22875"/>
    <cellStyle name="Normal 36 12 4" xfId="22876"/>
    <cellStyle name="Normal 36 12 4 2" xfId="22877"/>
    <cellStyle name="Normal 36 12 4 3" xfId="22878"/>
    <cellStyle name="Normal 36 12 4 4" xfId="22879"/>
    <cellStyle name="Normal 36 12 4 5" xfId="22880"/>
    <cellStyle name="Normal 36 12 4 6" xfId="22881"/>
    <cellStyle name="Normal 36 13" xfId="22882"/>
    <cellStyle name="Normal 36 13 2" xfId="22883"/>
    <cellStyle name="Normal 36 13 3" xfId="22884"/>
    <cellStyle name="Normal 36 13 3 2" xfId="22885"/>
    <cellStyle name="Normal 36 13 3 3" xfId="22886"/>
    <cellStyle name="Normal 36 13 3 4" xfId="22887"/>
    <cellStyle name="Normal 36 13 3 5" xfId="22888"/>
    <cellStyle name="Normal 36 13 3 6" xfId="22889"/>
    <cellStyle name="Normal 36 13 4" xfId="22890"/>
    <cellStyle name="Normal 36 13 4 2" xfId="22891"/>
    <cellStyle name="Normal 36 13 4 3" xfId="22892"/>
    <cellStyle name="Normal 36 13 4 4" xfId="22893"/>
    <cellStyle name="Normal 36 13 4 5" xfId="22894"/>
    <cellStyle name="Normal 36 13 4 6" xfId="22895"/>
    <cellStyle name="Normal 36 14" xfId="22896"/>
    <cellStyle name="Normal 36 14 2" xfId="22897"/>
    <cellStyle name="Normal 36 14 3" xfId="22898"/>
    <cellStyle name="Normal 36 14 3 2" xfId="22899"/>
    <cellStyle name="Normal 36 14 3 3" xfId="22900"/>
    <cellStyle name="Normal 36 14 3 4" xfId="22901"/>
    <cellStyle name="Normal 36 14 3 5" xfId="22902"/>
    <cellStyle name="Normal 36 14 3 6" xfId="22903"/>
    <cellStyle name="Normal 36 14 4" xfId="22904"/>
    <cellStyle name="Normal 36 14 4 2" xfId="22905"/>
    <cellStyle name="Normal 36 14 4 3" xfId="22906"/>
    <cellStyle name="Normal 36 14 4 4" xfId="22907"/>
    <cellStyle name="Normal 36 14 4 5" xfId="22908"/>
    <cellStyle name="Normal 36 14 4 6" xfId="22909"/>
    <cellStyle name="Normal 36 15" xfId="22910"/>
    <cellStyle name="Normal 36 15 2" xfId="22911"/>
    <cellStyle name="Normal 36 15 3" xfId="22912"/>
    <cellStyle name="Normal 36 15 4" xfId="22913"/>
    <cellStyle name="Normal 36 15 5" xfId="22914"/>
    <cellStyle name="Normal 36 15 6" xfId="22915"/>
    <cellStyle name="Normal 36 16" xfId="22916"/>
    <cellStyle name="Normal 36 17" xfId="22917"/>
    <cellStyle name="Normal 36 2" xfId="22918"/>
    <cellStyle name="Normal 36 2 10" xfId="22919"/>
    <cellStyle name="Normal 36 2 11" xfId="22920"/>
    <cellStyle name="Normal 36 2 2" xfId="22921"/>
    <cellStyle name="Normal 36 2 2 10" xfId="22922"/>
    <cellStyle name="Normal 36 2 2 2" xfId="22923"/>
    <cellStyle name="Normal 36 2 2 3" xfId="22924"/>
    <cellStyle name="Normal 36 2 2 3 2" xfId="22925"/>
    <cellStyle name="Normal 36 2 2 3 3" xfId="22926"/>
    <cellStyle name="Normal 36 2 2 3 4" xfId="22927"/>
    <cellStyle name="Normal 36 2 2 3 5" xfId="22928"/>
    <cellStyle name="Normal 36 2 2 3 6" xfId="22929"/>
    <cellStyle name="Normal 36 2 2 4" xfId="22930"/>
    <cellStyle name="Normal 36 2 2 5" xfId="22931"/>
    <cellStyle name="Normal 36 2 2 6" xfId="22932"/>
    <cellStyle name="Normal 36 2 2 7" xfId="22933"/>
    <cellStyle name="Normal 36 2 2 8" xfId="22934"/>
    <cellStyle name="Normal 36 2 2 9" xfId="22935"/>
    <cellStyle name="Normal 36 2 3" xfId="22936"/>
    <cellStyle name="Normal 36 2 4" xfId="22937"/>
    <cellStyle name="Normal 36 2 4 2" xfId="22938"/>
    <cellStyle name="Normal 36 2 4 3" xfId="22939"/>
    <cellStyle name="Normal 36 2 4 4" xfId="22940"/>
    <cellStyle name="Normal 36 2 4 5" xfId="22941"/>
    <cellStyle name="Normal 36 2 4 6" xfId="22942"/>
    <cellStyle name="Normal 36 2 5" xfId="22943"/>
    <cellStyle name="Normal 36 2 6" xfId="22944"/>
    <cellStyle name="Normal 36 2 7" xfId="22945"/>
    <cellStyle name="Normal 36 2 8" xfId="22946"/>
    <cellStyle name="Normal 36 2 9" xfId="22947"/>
    <cellStyle name="Normal 36 3" xfId="22948"/>
    <cellStyle name="Normal 36 3 10" xfId="22949"/>
    <cellStyle name="Normal 36 3 11" xfId="22950"/>
    <cellStyle name="Normal 36 3 2" xfId="22951"/>
    <cellStyle name="Normal 36 3 2 10" xfId="22952"/>
    <cellStyle name="Normal 36 3 2 2" xfId="22953"/>
    <cellStyle name="Normal 36 3 2 3" xfId="22954"/>
    <cellStyle name="Normal 36 3 2 3 2" xfId="22955"/>
    <cellStyle name="Normal 36 3 2 3 3" xfId="22956"/>
    <cellStyle name="Normal 36 3 2 3 4" xfId="22957"/>
    <cellStyle name="Normal 36 3 2 3 5" xfId="22958"/>
    <cellStyle name="Normal 36 3 2 3 6" xfId="22959"/>
    <cellStyle name="Normal 36 3 2 4" xfId="22960"/>
    <cellStyle name="Normal 36 3 2 5" xfId="22961"/>
    <cellStyle name="Normal 36 3 2 6" xfId="22962"/>
    <cellStyle name="Normal 36 3 2 7" xfId="22963"/>
    <cellStyle name="Normal 36 3 2 8" xfId="22964"/>
    <cellStyle name="Normal 36 3 2 9" xfId="22965"/>
    <cellStyle name="Normal 36 3 3" xfId="22966"/>
    <cellStyle name="Normal 36 3 4" xfId="22967"/>
    <cellStyle name="Normal 36 3 4 2" xfId="22968"/>
    <cellStyle name="Normal 36 3 4 3" xfId="22969"/>
    <cellStyle name="Normal 36 3 4 4" xfId="22970"/>
    <cellStyle name="Normal 36 3 4 5" xfId="22971"/>
    <cellStyle name="Normal 36 3 4 6" xfId="22972"/>
    <cellStyle name="Normal 36 3 5" xfId="22973"/>
    <cellStyle name="Normal 36 3 6" xfId="22974"/>
    <cellStyle name="Normal 36 3 7" xfId="22975"/>
    <cellStyle name="Normal 36 3 8" xfId="22976"/>
    <cellStyle name="Normal 36 3 9" xfId="22977"/>
    <cellStyle name="Normal 36 4" xfId="22978"/>
    <cellStyle name="Normal 36 4 10" xfId="22979"/>
    <cellStyle name="Normal 36 4 10 2" xfId="22980"/>
    <cellStyle name="Normal 36 4 10 3" xfId="22981"/>
    <cellStyle name="Normal 36 4 10 3 2" xfId="22982"/>
    <cellStyle name="Normal 36 4 10 3 3" xfId="22983"/>
    <cellStyle name="Normal 36 4 10 3 4" xfId="22984"/>
    <cellStyle name="Normal 36 4 10 3 5" xfId="22985"/>
    <cellStyle name="Normal 36 4 10 3 6" xfId="22986"/>
    <cellStyle name="Normal 36 4 10 4" xfId="22987"/>
    <cellStyle name="Normal 36 4 10 4 2" xfId="22988"/>
    <cellStyle name="Normal 36 4 10 4 3" xfId="22989"/>
    <cellStyle name="Normal 36 4 10 4 4" xfId="22990"/>
    <cellStyle name="Normal 36 4 10 4 5" xfId="22991"/>
    <cellStyle name="Normal 36 4 10 4 6" xfId="22992"/>
    <cellStyle name="Normal 36 4 11" xfId="22993"/>
    <cellStyle name="Normal 36 4 11 2" xfId="22994"/>
    <cellStyle name="Normal 36 4 11 3" xfId="22995"/>
    <cellStyle name="Normal 36 4 11 3 2" xfId="22996"/>
    <cellStyle name="Normal 36 4 11 3 3" xfId="22997"/>
    <cellStyle name="Normal 36 4 11 3 4" xfId="22998"/>
    <cellStyle name="Normal 36 4 11 3 5" xfId="22999"/>
    <cellStyle name="Normal 36 4 11 3 6" xfId="23000"/>
    <cellStyle name="Normal 36 4 11 4" xfId="23001"/>
    <cellStyle name="Normal 36 4 11 4 2" xfId="23002"/>
    <cellStyle name="Normal 36 4 11 4 3" xfId="23003"/>
    <cellStyle name="Normal 36 4 11 4 4" xfId="23004"/>
    <cellStyle name="Normal 36 4 11 4 5" xfId="23005"/>
    <cellStyle name="Normal 36 4 11 4 6" xfId="23006"/>
    <cellStyle name="Normal 36 4 12" xfId="23007"/>
    <cellStyle name="Normal 36 4 12 2" xfId="23008"/>
    <cellStyle name="Normal 36 4 12 3" xfId="23009"/>
    <cellStyle name="Normal 36 4 12 3 2" xfId="23010"/>
    <cellStyle name="Normal 36 4 12 3 3" xfId="23011"/>
    <cellStyle name="Normal 36 4 12 3 4" xfId="23012"/>
    <cellStyle name="Normal 36 4 12 3 5" xfId="23013"/>
    <cellStyle name="Normal 36 4 12 3 6" xfId="23014"/>
    <cellStyle name="Normal 36 4 12 4" xfId="23015"/>
    <cellStyle name="Normal 36 4 12 4 2" xfId="23016"/>
    <cellStyle name="Normal 36 4 12 4 3" xfId="23017"/>
    <cellStyle name="Normal 36 4 12 4 4" xfId="23018"/>
    <cellStyle name="Normal 36 4 12 4 5" xfId="23019"/>
    <cellStyle name="Normal 36 4 12 4 6" xfId="23020"/>
    <cellStyle name="Normal 36 4 13" xfId="23021"/>
    <cellStyle name="Normal 36 4 13 2" xfId="23022"/>
    <cellStyle name="Normal 36 4 13 3" xfId="23023"/>
    <cellStyle name="Normal 36 4 13 3 2" xfId="23024"/>
    <cellStyle name="Normal 36 4 13 3 3" xfId="23025"/>
    <cellStyle name="Normal 36 4 13 3 4" xfId="23026"/>
    <cellStyle name="Normal 36 4 13 3 5" xfId="23027"/>
    <cellStyle name="Normal 36 4 13 3 6" xfId="23028"/>
    <cellStyle name="Normal 36 4 13 4" xfId="23029"/>
    <cellStyle name="Normal 36 4 13 4 2" xfId="23030"/>
    <cellStyle name="Normal 36 4 13 4 3" xfId="23031"/>
    <cellStyle name="Normal 36 4 13 4 4" xfId="23032"/>
    <cellStyle name="Normal 36 4 13 4 5" xfId="23033"/>
    <cellStyle name="Normal 36 4 13 4 6" xfId="23034"/>
    <cellStyle name="Normal 36 4 14" xfId="23035"/>
    <cellStyle name="Normal 36 4 14 2" xfId="23036"/>
    <cellStyle name="Normal 36 4 14 3" xfId="23037"/>
    <cellStyle name="Normal 36 4 14 3 2" xfId="23038"/>
    <cellStyle name="Normal 36 4 14 3 3" xfId="23039"/>
    <cellStyle name="Normal 36 4 14 3 4" xfId="23040"/>
    <cellStyle name="Normal 36 4 14 3 5" xfId="23041"/>
    <cellStyle name="Normal 36 4 14 3 6" xfId="23042"/>
    <cellStyle name="Normal 36 4 14 4" xfId="23043"/>
    <cellStyle name="Normal 36 4 14 4 2" xfId="23044"/>
    <cellStyle name="Normal 36 4 14 4 3" xfId="23045"/>
    <cellStyle name="Normal 36 4 14 4 4" xfId="23046"/>
    <cellStyle name="Normal 36 4 14 4 5" xfId="23047"/>
    <cellStyle name="Normal 36 4 14 4 6" xfId="23048"/>
    <cellStyle name="Normal 36 4 15" xfId="23049"/>
    <cellStyle name="Normal 36 4 15 2" xfId="23050"/>
    <cellStyle name="Normal 36 4 15 3" xfId="23051"/>
    <cellStyle name="Normal 36 4 15 3 2" xfId="23052"/>
    <cellStyle name="Normal 36 4 15 3 3" xfId="23053"/>
    <cellStyle name="Normal 36 4 15 3 4" xfId="23054"/>
    <cellStyle name="Normal 36 4 15 3 5" xfId="23055"/>
    <cellStyle name="Normal 36 4 15 3 6" xfId="23056"/>
    <cellStyle name="Normal 36 4 15 4" xfId="23057"/>
    <cellStyle name="Normal 36 4 15 4 2" xfId="23058"/>
    <cellStyle name="Normal 36 4 15 4 3" xfId="23059"/>
    <cellStyle name="Normal 36 4 15 4 4" xfId="23060"/>
    <cellStyle name="Normal 36 4 15 4 5" xfId="23061"/>
    <cellStyle name="Normal 36 4 15 4 6" xfId="23062"/>
    <cellStyle name="Normal 36 4 16" xfId="23063"/>
    <cellStyle name="Normal 36 4 16 2" xfId="23064"/>
    <cellStyle name="Normal 36 4 16 3" xfId="23065"/>
    <cellStyle name="Normal 36 4 16 3 2" xfId="23066"/>
    <cellStyle name="Normal 36 4 16 3 3" xfId="23067"/>
    <cellStyle name="Normal 36 4 16 3 4" xfId="23068"/>
    <cellStyle name="Normal 36 4 16 3 5" xfId="23069"/>
    <cellStyle name="Normal 36 4 16 3 6" xfId="23070"/>
    <cellStyle name="Normal 36 4 16 4" xfId="23071"/>
    <cellStyle name="Normal 36 4 16 4 2" xfId="23072"/>
    <cellStyle name="Normal 36 4 16 4 3" xfId="23073"/>
    <cellStyle name="Normal 36 4 16 4 4" xfId="23074"/>
    <cellStyle name="Normal 36 4 16 4 5" xfId="23075"/>
    <cellStyle name="Normal 36 4 16 4 6" xfId="23076"/>
    <cellStyle name="Normal 36 4 17" xfId="23077"/>
    <cellStyle name="Normal 36 4 17 2" xfId="23078"/>
    <cellStyle name="Normal 36 4 17 3" xfId="23079"/>
    <cellStyle name="Normal 36 4 17 3 2" xfId="23080"/>
    <cellStyle name="Normal 36 4 17 3 3" xfId="23081"/>
    <cellStyle name="Normal 36 4 17 3 4" xfId="23082"/>
    <cellStyle name="Normal 36 4 17 3 5" xfId="23083"/>
    <cellStyle name="Normal 36 4 17 3 6" xfId="23084"/>
    <cellStyle name="Normal 36 4 17 4" xfId="23085"/>
    <cellStyle name="Normal 36 4 17 4 2" xfId="23086"/>
    <cellStyle name="Normal 36 4 17 4 3" xfId="23087"/>
    <cellStyle name="Normal 36 4 17 4 4" xfId="23088"/>
    <cellStyle name="Normal 36 4 17 4 5" xfId="23089"/>
    <cellStyle name="Normal 36 4 17 4 6" xfId="23090"/>
    <cellStyle name="Normal 36 4 18" xfId="23091"/>
    <cellStyle name="Normal 36 4 18 2" xfId="23092"/>
    <cellStyle name="Normal 36 4 18 3" xfId="23093"/>
    <cellStyle name="Normal 36 4 18 3 2" xfId="23094"/>
    <cellStyle name="Normal 36 4 18 3 3" xfId="23095"/>
    <cellStyle name="Normal 36 4 18 3 4" xfId="23096"/>
    <cellStyle name="Normal 36 4 18 3 5" xfId="23097"/>
    <cellStyle name="Normal 36 4 18 3 6" xfId="23098"/>
    <cellStyle name="Normal 36 4 18 4" xfId="23099"/>
    <cellStyle name="Normal 36 4 18 4 2" xfId="23100"/>
    <cellStyle name="Normal 36 4 18 4 3" xfId="23101"/>
    <cellStyle name="Normal 36 4 18 4 4" xfId="23102"/>
    <cellStyle name="Normal 36 4 18 4 5" xfId="23103"/>
    <cellStyle name="Normal 36 4 18 4 6" xfId="23104"/>
    <cellStyle name="Normal 36 4 19" xfId="23105"/>
    <cellStyle name="Normal 36 4 19 2" xfId="23106"/>
    <cellStyle name="Normal 36 4 19 3" xfId="23107"/>
    <cellStyle name="Normal 36 4 19 3 2" xfId="23108"/>
    <cellStyle name="Normal 36 4 19 3 3" xfId="23109"/>
    <cellStyle name="Normal 36 4 19 3 4" xfId="23110"/>
    <cellStyle name="Normal 36 4 19 3 5" xfId="23111"/>
    <cellStyle name="Normal 36 4 19 3 6" xfId="23112"/>
    <cellStyle name="Normal 36 4 19 4" xfId="23113"/>
    <cellStyle name="Normal 36 4 19 4 2" xfId="23114"/>
    <cellStyle name="Normal 36 4 19 4 3" xfId="23115"/>
    <cellStyle name="Normal 36 4 19 4 4" xfId="23116"/>
    <cellStyle name="Normal 36 4 19 4 5" xfId="23117"/>
    <cellStyle name="Normal 36 4 19 4 6" xfId="23118"/>
    <cellStyle name="Normal 36 4 2" xfId="23119"/>
    <cellStyle name="Normal 36 4 2 10" xfId="23120"/>
    <cellStyle name="Normal 36 4 2 10 10" xfId="23121"/>
    <cellStyle name="Normal 36 4 2 10 11" xfId="23122"/>
    <cellStyle name="Normal 36 4 2 10 2" xfId="23123"/>
    <cellStyle name="Normal 36 4 2 10 2 10" xfId="23124"/>
    <cellStyle name="Normal 36 4 2 10 2 2" xfId="23125"/>
    <cellStyle name="Normal 36 4 2 10 2 3" xfId="23126"/>
    <cellStyle name="Normal 36 4 2 10 2 3 2" xfId="23127"/>
    <cellStyle name="Normal 36 4 2 10 2 3 3" xfId="23128"/>
    <cellStyle name="Normal 36 4 2 10 2 3 4" xfId="23129"/>
    <cellStyle name="Normal 36 4 2 10 2 3 5" xfId="23130"/>
    <cellStyle name="Normal 36 4 2 10 2 3 6" xfId="23131"/>
    <cellStyle name="Normal 36 4 2 10 2 4" xfId="23132"/>
    <cellStyle name="Normal 36 4 2 10 2 5" xfId="23133"/>
    <cellStyle name="Normal 36 4 2 10 2 6" xfId="23134"/>
    <cellStyle name="Normal 36 4 2 10 2 7" xfId="23135"/>
    <cellStyle name="Normal 36 4 2 10 2 8" xfId="23136"/>
    <cellStyle name="Normal 36 4 2 10 2 9" xfId="23137"/>
    <cellStyle name="Normal 36 4 2 10 3" xfId="23138"/>
    <cellStyle name="Normal 36 4 2 10 4" xfId="23139"/>
    <cellStyle name="Normal 36 4 2 10 4 2" xfId="23140"/>
    <cellStyle name="Normal 36 4 2 10 4 3" xfId="23141"/>
    <cellStyle name="Normal 36 4 2 10 4 4" xfId="23142"/>
    <cellStyle name="Normal 36 4 2 10 4 5" xfId="23143"/>
    <cellStyle name="Normal 36 4 2 10 4 6" xfId="23144"/>
    <cellStyle name="Normal 36 4 2 10 5" xfId="23145"/>
    <cellStyle name="Normal 36 4 2 10 6" xfId="23146"/>
    <cellStyle name="Normal 36 4 2 10 7" xfId="23147"/>
    <cellStyle name="Normal 36 4 2 10 8" xfId="23148"/>
    <cellStyle name="Normal 36 4 2 10 9" xfId="23149"/>
    <cellStyle name="Normal 36 4 2 11" xfId="23150"/>
    <cellStyle name="Normal 36 4 2 11 10" xfId="23151"/>
    <cellStyle name="Normal 36 4 2 11 11" xfId="23152"/>
    <cellStyle name="Normal 36 4 2 11 2" xfId="23153"/>
    <cellStyle name="Normal 36 4 2 11 2 10" xfId="23154"/>
    <cellStyle name="Normal 36 4 2 11 2 2" xfId="23155"/>
    <cellStyle name="Normal 36 4 2 11 2 3" xfId="23156"/>
    <cellStyle name="Normal 36 4 2 11 2 3 2" xfId="23157"/>
    <cellStyle name="Normal 36 4 2 11 2 3 3" xfId="23158"/>
    <cellStyle name="Normal 36 4 2 11 2 3 4" xfId="23159"/>
    <cellStyle name="Normal 36 4 2 11 2 3 5" xfId="23160"/>
    <cellStyle name="Normal 36 4 2 11 2 3 6" xfId="23161"/>
    <cellStyle name="Normal 36 4 2 11 2 4" xfId="23162"/>
    <cellStyle name="Normal 36 4 2 11 2 5" xfId="23163"/>
    <cellStyle name="Normal 36 4 2 11 2 6" xfId="23164"/>
    <cellStyle name="Normal 36 4 2 11 2 7" xfId="23165"/>
    <cellStyle name="Normal 36 4 2 11 2 8" xfId="23166"/>
    <cellStyle name="Normal 36 4 2 11 2 9" xfId="23167"/>
    <cellStyle name="Normal 36 4 2 11 3" xfId="23168"/>
    <cellStyle name="Normal 36 4 2 11 4" xfId="23169"/>
    <cellStyle name="Normal 36 4 2 11 4 2" xfId="23170"/>
    <cellStyle name="Normal 36 4 2 11 4 3" xfId="23171"/>
    <cellStyle name="Normal 36 4 2 11 4 4" xfId="23172"/>
    <cellStyle name="Normal 36 4 2 11 4 5" xfId="23173"/>
    <cellStyle name="Normal 36 4 2 11 4 6" xfId="23174"/>
    <cellStyle name="Normal 36 4 2 11 5" xfId="23175"/>
    <cellStyle name="Normal 36 4 2 11 6" xfId="23176"/>
    <cellStyle name="Normal 36 4 2 11 7" xfId="23177"/>
    <cellStyle name="Normal 36 4 2 11 8" xfId="23178"/>
    <cellStyle name="Normal 36 4 2 11 9" xfId="23179"/>
    <cellStyle name="Normal 36 4 2 12" xfId="23180"/>
    <cellStyle name="Normal 36 4 2 12 10" xfId="23181"/>
    <cellStyle name="Normal 36 4 2 12 11" xfId="23182"/>
    <cellStyle name="Normal 36 4 2 12 2" xfId="23183"/>
    <cellStyle name="Normal 36 4 2 12 2 10" xfId="23184"/>
    <cellStyle name="Normal 36 4 2 12 2 2" xfId="23185"/>
    <cellStyle name="Normal 36 4 2 12 2 3" xfId="23186"/>
    <cellStyle name="Normal 36 4 2 12 2 3 2" xfId="23187"/>
    <cellStyle name="Normal 36 4 2 12 2 3 3" xfId="23188"/>
    <cellStyle name="Normal 36 4 2 12 2 3 4" xfId="23189"/>
    <cellStyle name="Normal 36 4 2 12 2 3 5" xfId="23190"/>
    <cellStyle name="Normal 36 4 2 12 2 3 6" xfId="23191"/>
    <cellStyle name="Normal 36 4 2 12 2 4" xfId="23192"/>
    <cellStyle name="Normal 36 4 2 12 2 5" xfId="23193"/>
    <cellStyle name="Normal 36 4 2 12 2 6" xfId="23194"/>
    <cellStyle name="Normal 36 4 2 12 2 7" xfId="23195"/>
    <cellStyle name="Normal 36 4 2 12 2 8" xfId="23196"/>
    <cellStyle name="Normal 36 4 2 12 2 9" xfId="23197"/>
    <cellStyle name="Normal 36 4 2 12 3" xfId="23198"/>
    <cellStyle name="Normal 36 4 2 12 4" xfId="23199"/>
    <cellStyle name="Normal 36 4 2 12 4 2" xfId="23200"/>
    <cellStyle name="Normal 36 4 2 12 4 3" xfId="23201"/>
    <cellStyle name="Normal 36 4 2 12 4 4" xfId="23202"/>
    <cellStyle name="Normal 36 4 2 12 4 5" xfId="23203"/>
    <cellStyle name="Normal 36 4 2 12 4 6" xfId="23204"/>
    <cellStyle name="Normal 36 4 2 12 5" xfId="23205"/>
    <cellStyle name="Normal 36 4 2 12 6" xfId="23206"/>
    <cellStyle name="Normal 36 4 2 12 7" xfId="23207"/>
    <cellStyle name="Normal 36 4 2 12 8" xfId="23208"/>
    <cellStyle name="Normal 36 4 2 12 9" xfId="23209"/>
    <cellStyle name="Normal 36 4 2 13" xfId="23210"/>
    <cellStyle name="Normal 36 4 2 13 10" xfId="23211"/>
    <cellStyle name="Normal 36 4 2 13 11" xfId="23212"/>
    <cellStyle name="Normal 36 4 2 13 2" xfId="23213"/>
    <cellStyle name="Normal 36 4 2 13 2 10" xfId="23214"/>
    <cellStyle name="Normal 36 4 2 13 2 2" xfId="23215"/>
    <cellStyle name="Normal 36 4 2 13 2 3" xfId="23216"/>
    <cellStyle name="Normal 36 4 2 13 2 3 2" xfId="23217"/>
    <cellStyle name="Normal 36 4 2 13 2 3 3" xfId="23218"/>
    <cellStyle name="Normal 36 4 2 13 2 3 4" xfId="23219"/>
    <cellStyle name="Normal 36 4 2 13 2 3 5" xfId="23220"/>
    <cellStyle name="Normal 36 4 2 13 2 3 6" xfId="23221"/>
    <cellStyle name="Normal 36 4 2 13 2 4" xfId="23222"/>
    <cellStyle name="Normal 36 4 2 13 2 5" xfId="23223"/>
    <cellStyle name="Normal 36 4 2 13 2 6" xfId="23224"/>
    <cellStyle name="Normal 36 4 2 13 2 7" xfId="23225"/>
    <cellStyle name="Normal 36 4 2 13 2 8" xfId="23226"/>
    <cellStyle name="Normal 36 4 2 13 2 9" xfId="23227"/>
    <cellStyle name="Normal 36 4 2 13 3" xfId="23228"/>
    <cellStyle name="Normal 36 4 2 13 4" xfId="23229"/>
    <cellStyle name="Normal 36 4 2 13 4 2" xfId="23230"/>
    <cellStyle name="Normal 36 4 2 13 4 3" xfId="23231"/>
    <cellStyle name="Normal 36 4 2 13 4 4" xfId="23232"/>
    <cellStyle name="Normal 36 4 2 13 4 5" xfId="23233"/>
    <cellStyle name="Normal 36 4 2 13 4 6" xfId="23234"/>
    <cellStyle name="Normal 36 4 2 13 5" xfId="23235"/>
    <cellStyle name="Normal 36 4 2 13 6" xfId="23236"/>
    <cellStyle name="Normal 36 4 2 13 7" xfId="23237"/>
    <cellStyle name="Normal 36 4 2 13 8" xfId="23238"/>
    <cellStyle name="Normal 36 4 2 13 9" xfId="23239"/>
    <cellStyle name="Normal 36 4 2 14" xfId="23240"/>
    <cellStyle name="Normal 36 4 2 14 10" xfId="23241"/>
    <cellStyle name="Normal 36 4 2 14 11" xfId="23242"/>
    <cellStyle name="Normal 36 4 2 14 2" xfId="23243"/>
    <cellStyle name="Normal 36 4 2 14 2 10" xfId="23244"/>
    <cellStyle name="Normal 36 4 2 14 2 2" xfId="23245"/>
    <cellStyle name="Normal 36 4 2 14 2 3" xfId="23246"/>
    <cellStyle name="Normal 36 4 2 14 2 3 2" xfId="23247"/>
    <cellStyle name="Normal 36 4 2 14 2 3 3" xfId="23248"/>
    <cellStyle name="Normal 36 4 2 14 2 3 4" xfId="23249"/>
    <cellStyle name="Normal 36 4 2 14 2 3 5" xfId="23250"/>
    <cellStyle name="Normal 36 4 2 14 2 3 6" xfId="23251"/>
    <cellStyle name="Normal 36 4 2 14 2 4" xfId="23252"/>
    <cellStyle name="Normal 36 4 2 14 2 5" xfId="23253"/>
    <cellStyle name="Normal 36 4 2 14 2 6" xfId="23254"/>
    <cellStyle name="Normal 36 4 2 14 2 7" xfId="23255"/>
    <cellStyle name="Normal 36 4 2 14 2 8" xfId="23256"/>
    <cellStyle name="Normal 36 4 2 14 2 9" xfId="23257"/>
    <cellStyle name="Normal 36 4 2 14 3" xfId="23258"/>
    <cellStyle name="Normal 36 4 2 14 4" xfId="23259"/>
    <cellStyle name="Normal 36 4 2 14 4 2" xfId="23260"/>
    <cellStyle name="Normal 36 4 2 14 4 3" xfId="23261"/>
    <cellStyle name="Normal 36 4 2 14 4 4" xfId="23262"/>
    <cellStyle name="Normal 36 4 2 14 4 5" xfId="23263"/>
    <cellStyle name="Normal 36 4 2 14 4 6" xfId="23264"/>
    <cellStyle name="Normal 36 4 2 14 5" xfId="23265"/>
    <cellStyle name="Normal 36 4 2 14 6" xfId="23266"/>
    <cellStyle name="Normal 36 4 2 14 7" xfId="23267"/>
    <cellStyle name="Normal 36 4 2 14 8" xfId="23268"/>
    <cellStyle name="Normal 36 4 2 14 9" xfId="23269"/>
    <cellStyle name="Normal 36 4 2 15" xfId="23270"/>
    <cellStyle name="Normal 36 4 2 15 10" xfId="23271"/>
    <cellStyle name="Normal 36 4 2 15 11" xfId="23272"/>
    <cellStyle name="Normal 36 4 2 15 2" xfId="23273"/>
    <cellStyle name="Normal 36 4 2 15 2 10" xfId="23274"/>
    <cellStyle name="Normal 36 4 2 15 2 2" xfId="23275"/>
    <cellStyle name="Normal 36 4 2 15 2 3" xfId="23276"/>
    <cellStyle name="Normal 36 4 2 15 2 3 2" xfId="23277"/>
    <cellStyle name="Normal 36 4 2 15 2 3 3" xfId="23278"/>
    <cellStyle name="Normal 36 4 2 15 2 3 4" xfId="23279"/>
    <cellStyle name="Normal 36 4 2 15 2 3 5" xfId="23280"/>
    <cellStyle name="Normal 36 4 2 15 2 3 6" xfId="23281"/>
    <cellStyle name="Normal 36 4 2 15 2 4" xfId="23282"/>
    <cellStyle name="Normal 36 4 2 15 2 5" xfId="23283"/>
    <cellStyle name="Normal 36 4 2 15 2 6" xfId="23284"/>
    <cellStyle name="Normal 36 4 2 15 2 7" xfId="23285"/>
    <cellStyle name="Normal 36 4 2 15 2 8" xfId="23286"/>
    <cellStyle name="Normal 36 4 2 15 2 9" xfId="23287"/>
    <cellStyle name="Normal 36 4 2 15 3" xfId="23288"/>
    <cellStyle name="Normal 36 4 2 15 4" xfId="23289"/>
    <cellStyle name="Normal 36 4 2 15 4 2" xfId="23290"/>
    <cellStyle name="Normal 36 4 2 15 4 3" xfId="23291"/>
    <cellStyle name="Normal 36 4 2 15 4 4" xfId="23292"/>
    <cellStyle name="Normal 36 4 2 15 4 5" xfId="23293"/>
    <cellStyle name="Normal 36 4 2 15 4 6" xfId="23294"/>
    <cellStyle name="Normal 36 4 2 15 5" xfId="23295"/>
    <cellStyle name="Normal 36 4 2 15 6" xfId="23296"/>
    <cellStyle name="Normal 36 4 2 15 7" xfId="23297"/>
    <cellStyle name="Normal 36 4 2 15 8" xfId="23298"/>
    <cellStyle name="Normal 36 4 2 15 9" xfId="23299"/>
    <cellStyle name="Normal 36 4 2 16" xfId="23300"/>
    <cellStyle name="Normal 36 4 2 16 10" xfId="23301"/>
    <cellStyle name="Normal 36 4 2 16 11" xfId="23302"/>
    <cellStyle name="Normal 36 4 2 16 2" xfId="23303"/>
    <cellStyle name="Normal 36 4 2 16 2 10" xfId="23304"/>
    <cellStyle name="Normal 36 4 2 16 2 2" xfId="23305"/>
    <cellStyle name="Normal 36 4 2 16 2 3" xfId="23306"/>
    <cellStyle name="Normal 36 4 2 16 2 3 2" xfId="23307"/>
    <cellStyle name="Normal 36 4 2 16 2 3 3" xfId="23308"/>
    <cellStyle name="Normal 36 4 2 16 2 3 4" xfId="23309"/>
    <cellStyle name="Normal 36 4 2 16 2 3 5" xfId="23310"/>
    <cellStyle name="Normal 36 4 2 16 2 3 6" xfId="23311"/>
    <cellStyle name="Normal 36 4 2 16 2 4" xfId="23312"/>
    <cellStyle name="Normal 36 4 2 16 2 5" xfId="23313"/>
    <cellStyle name="Normal 36 4 2 16 2 6" xfId="23314"/>
    <cellStyle name="Normal 36 4 2 16 2 7" xfId="23315"/>
    <cellStyle name="Normal 36 4 2 16 2 8" xfId="23316"/>
    <cellStyle name="Normal 36 4 2 16 2 9" xfId="23317"/>
    <cellStyle name="Normal 36 4 2 16 3" xfId="23318"/>
    <cellStyle name="Normal 36 4 2 16 4" xfId="23319"/>
    <cellStyle name="Normal 36 4 2 16 4 2" xfId="23320"/>
    <cellStyle name="Normal 36 4 2 16 4 3" xfId="23321"/>
    <cellStyle name="Normal 36 4 2 16 4 4" xfId="23322"/>
    <cellStyle name="Normal 36 4 2 16 4 5" xfId="23323"/>
    <cellStyle name="Normal 36 4 2 16 4 6" xfId="23324"/>
    <cellStyle name="Normal 36 4 2 16 5" xfId="23325"/>
    <cellStyle name="Normal 36 4 2 16 6" xfId="23326"/>
    <cellStyle name="Normal 36 4 2 16 7" xfId="23327"/>
    <cellStyle name="Normal 36 4 2 16 8" xfId="23328"/>
    <cellStyle name="Normal 36 4 2 16 9" xfId="23329"/>
    <cellStyle name="Normal 36 4 2 17" xfId="23330"/>
    <cellStyle name="Normal 36 4 2 18" xfId="23331"/>
    <cellStyle name="Normal 36 4 2 18 2" xfId="23332"/>
    <cellStyle name="Normal 36 4 2 18 3" xfId="23333"/>
    <cellStyle name="Normal 36 4 2 18 4" xfId="23334"/>
    <cellStyle name="Normal 36 4 2 18 5" xfId="23335"/>
    <cellStyle name="Normal 36 4 2 18 6" xfId="23336"/>
    <cellStyle name="Normal 36 4 2 19" xfId="23337"/>
    <cellStyle name="Normal 36 4 2 19 2" xfId="23338"/>
    <cellStyle name="Normal 36 4 2 19 3" xfId="23339"/>
    <cellStyle name="Normal 36 4 2 19 4" xfId="23340"/>
    <cellStyle name="Normal 36 4 2 19 5" xfId="23341"/>
    <cellStyle name="Normal 36 4 2 19 6" xfId="23342"/>
    <cellStyle name="Normal 36 4 2 2" xfId="23343"/>
    <cellStyle name="Normal 36 4 2 2 10" xfId="23344"/>
    <cellStyle name="Normal 36 4 2 2 11" xfId="23345"/>
    <cellStyle name="Normal 36 4 2 2 2" xfId="23346"/>
    <cellStyle name="Normal 36 4 2 2 2 10" xfId="23347"/>
    <cellStyle name="Normal 36 4 2 2 2 2" xfId="23348"/>
    <cellStyle name="Normal 36 4 2 2 2 3" xfId="23349"/>
    <cellStyle name="Normal 36 4 2 2 2 3 2" xfId="23350"/>
    <cellStyle name="Normal 36 4 2 2 2 3 3" xfId="23351"/>
    <cellStyle name="Normal 36 4 2 2 2 3 4" xfId="23352"/>
    <cellStyle name="Normal 36 4 2 2 2 3 5" xfId="23353"/>
    <cellStyle name="Normal 36 4 2 2 2 3 6" xfId="23354"/>
    <cellStyle name="Normal 36 4 2 2 2 4" xfId="23355"/>
    <cellStyle name="Normal 36 4 2 2 2 5" xfId="23356"/>
    <cellStyle name="Normal 36 4 2 2 2 6" xfId="23357"/>
    <cellStyle name="Normal 36 4 2 2 2 7" xfId="23358"/>
    <cellStyle name="Normal 36 4 2 2 2 8" xfId="23359"/>
    <cellStyle name="Normal 36 4 2 2 2 9" xfId="23360"/>
    <cellStyle name="Normal 36 4 2 2 3" xfId="23361"/>
    <cellStyle name="Normal 36 4 2 2 4" xfId="23362"/>
    <cellStyle name="Normal 36 4 2 2 4 2" xfId="23363"/>
    <cellStyle name="Normal 36 4 2 2 4 3" xfId="23364"/>
    <cellStyle name="Normal 36 4 2 2 4 4" xfId="23365"/>
    <cellStyle name="Normal 36 4 2 2 4 5" xfId="23366"/>
    <cellStyle name="Normal 36 4 2 2 4 6" xfId="23367"/>
    <cellStyle name="Normal 36 4 2 2 5" xfId="23368"/>
    <cellStyle name="Normal 36 4 2 2 6" xfId="23369"/>
    <cellStyle name="Normal 36 4 2 2 7" xfId="23370"/>
    <cellStyle name="Normal 36 4 2 2 8" xfId="23371"/>
    <cellStyle name="Normal 36 4 2 2 9" xfId="23372"/>
    <cellStyle name="Normal 36 4 2 3" xfId="23373"/>
    <cellStyle name="Normal 36 4 2 3 10" xfId="23374"/>
    <cellStyle name="Normal 36 4 2 3 11" xfId="23375"/>
    <cellStyle name="Normal 36 4 2 3 2" xfId="23376"/>
    <cellStyle name="Normal 36 4 2 3 2 10" xfId="23377"/>
    <cellStyle name="Normal 36 4 2 3 2 2" xfId="23378"/>
    <cellStyle name="Normal 36 4 2 3 2 3" xfId="23379"/>
    <cellStyle name="Normal 36 4 2 3 2 3 2" xfId="23380"/>
    <cellStyle name="Normal 36 4 2 3 2 3 3" xfId="23381"/>
    <cellStyle name="Normal 36 4 2 3 2 3 4" xfId="23382"/>
    <cellStyle name="Normal 36 4 2 3 2 3 5" xfId="23383"/>
    <cellStyle name="Normal 36 4 2 3 2 3 6" xfId="23384"/>
    <cellStyle name="Normal 36 4 2 3 2 4" xfId="23385"/>
    <cellStyle name="Normal 36 4 2 3 2 5" xfId="23386"/>
    <cellStyle name="Normal 36 4 2 3 2 6" xfId="23387"/>
    <cellStyle name="Normal 36 4 2 3 2 7" xfId="23388"/>
    <cellStyle name="Normal 36 4 2 3 2 8" xfId="23389"/>
    <cellStyle name="Normal 36 4 2 3 2 9" xfId="23390"/>
    <cellStyle name="Normal 36 4 2 3 3" xfId="23391"/>
    <cellStyle name="Normal 36 4 2 3 4" xfId="23392"/>
    <cellStyle name="Normal 36 4 2 3 4 2" xfId="23393"/>
    <cellStyle name="Normal 36 4 2 3 4 3" xfId="23394"/>
    <cellStyle name="Normal 36 4 2 3 4 4" xfId="23395"/>
    <cellStyle name="Normal 36 4 2 3 4 5" xfId="23396"/>
    <cellStyle name="Normal 36 4 2 3 4 6" xfId="23397"/>
    <cellStyle name="Normal 36 4 2 3 5" xfId="23398"/>
    <cellStyle name="Normal 36 4 2 3 6" xfId="23399"/>
    <cellStyle name="Normal 36 4 2 3 7" xfId="23400"/>
    <cellStyle name="Normal 36 4 2 3 8" xfId="23401"/>
    <cellStyle name="Normal 36 4 2 3 9" xfId="23402"/>
    <cellStyle name="Normal 36 4 2 4" xfId="23403"/>
    <cellStyle name="Normal 36 4 2 4 10" xfId="23404"/>
    <cellStyle name="Normal 36 4 2 4 11" xfId="23405"/>
    <cellStyle name="Normal 36 4 2 4 2" xfId="23406"/>
    <cellStyle name="Normal 36 4 2 4 2 10" xfId="23407"/>
    <cellStyle name="Normal 36 4 2 4 2 2" xfId="23408"/>
    <cellStyle name="Normal 36 4 2 4 2 3" xfId="23409"/>
    <cellStyle name="Normal 36 4 2 4 2 3 2" xfId="23410"/>
    <cellStyle name="Normal 36 4 2 4 2 3 3" xfId="23411"/>
    <cellStyle name="Normal 36 4 2 4 2 3 4" xfId="23412"/>
    <cellStyle name="Normal 36 4 2 4 2 3 5" xfId="23413"/>
    <cellStyle name="Normal 36 4 2 4 2 3 6" xfId="23414"/>
    <cellStyle name="Normal 36 4 2 4 2 4" xfId="23415"/>
    <cellStyle name="Normal 36 4 2 4 2 5" xfId="23416"/>
    <cellStyle name="Normal 36 4 2 4 2 6" xfId="23417"/>
    <cellStyle name="Normal 36 4 2 4 2 7" xfId="23418"/>
    <cellStyle name="Normal 36 4 2 4 2 8" xfId="23419"/>
    <cellStyle name="Normal 36 4 2 4 2 9" xfId="23420"/>
    <cellStyle name="Normal 36 4 2 4 3" xfId="23421"/>
    <cellStyle name="Normal 36 4 2 4 4" xfId="23422"/>
    <cellStyle name="Normal 36 4 2 4 4 2" xfId="23423"/>
    <cellStyle name="Normal 36 4 2 4 4 3" xfId="23424"/>
    <cellStyle name="Normal 36 4 2 4 4 4" xfId="23425"/>
    <cellStyle name="Normal 36 4 2 4 4 5" xfId="23426"/>
    <cellStyle name="Normal 36 4 2 4 4 6" xfId="23427"/>
    <cellStyle name="Normal 36 4 2 4 5" xfId="23428"/>
    <cellStyle name="Normal 36 4 2 4 6" xfId="23429"/>
    <cellStyle name="Normal 36 4 2 4 7" xfId="23430"/>
    <cellStyle name="Normal 36 4 2 4 8" xfId="23431"/>
    <cellStyle name="Normal 36 4 2 4 9" xfId="23432"/>
    <cellStyle name="Normal 36 4 2 5" xfId="23433"/>
    <cellStyle name="Normal 36 4 2 5 10" xfId="23434"/>
    <cellStyle name="Normal 36 4 2 5 11" xfId="23435"/>
    <cellStyle name="Normal 36 4 2 5 2" xfId="23436"/>
    <cellStyle name="Normal 36 4 2 5 2 10" xfId="23437"/>
    <cellStyle name="Normal 36 4 2 5 2 2" xfId="23438"/>
    <cellStyle name="Normal 36 4 2 5 2 3" xfId="23439"/>
    <cellStyle name="Normal 36 4 2 5 2 3 2" xfId="23440"/>
    <cellStyle name="Normal 36 4 2 5 2 3 3" xfId="23441"/>
    <cellStyle name="Normal 36 4 2 5 2 3 4" xfId="23442"/>
    <cellStyle name="Normal 36 4 2 5 2 3 5" xfId="23443"/>
    <cellStyle name="Normal 36 4 2 5 2 3 6" xfId="23444"/>
    <cellStyle name="Normal 36 4 2 5 2 4" xfId="23445"/>
    <cellStyle name="Normal 36 4 2 5 2 5" xfId="23446"/>
    <cellStyle name="Normal 36 4 2 5 2 6" xfId="23447"/>
    <cellStyle name="Normal 36 4 2 5 2 7" xfId="23448"/>
    <cellStyle name="Normal 36 4 2 5 2 8" xfId="23449"/>
    <cellStyle name="Normal 36 4 2 5 2 9" xfId="23450"/>
    <cellStyle name="Normal 36 4 2 5 3" xfId="23451"/>
    <cellStyle name="Normal 36 4 2 5 4" xfId="23452"/>
    <cellStyle name="Normal 36 4 2 5 4 2" xfId="23453"/>
    <cellStyle name="Normal 36 4 2 5 4 3" xfId="23454"/>
    <cellStyle name="Normal 36 4 2 5 4 4" xfId="23455"/>
    <cellStyle name="Normal 36 4 2 5 4 5" xfId="23456"/>
    <cellStyle name="Normal 36 4 2 5 4 6" xfId="23457"/>
    <cellStyle name="Normal 36 4 2 5 5" xfId="23458"/>
    <cellStyle name="Normal 36 4 2 5 6" xfId="23459"/>
    <cellStyle name="Normal 36 4 2 5 7" xfId="23460"/>
    <cellStyle name="Normal 36 4 2 5 8" xfId="23461"/>
    <cellStyle name="Normal 36 4 2 5 9" xfId="23462"/>
    <cellStyle name="Normal 36 4 2 6" xfId="23463"/>
    <cellStyle name="Normal 36 4 2 6 10" xfId="23464"/>
    <cellStyle name="Normal 36 4 2 6 11" xfId="23465"/>
    <cellStyle name="Normal 36 4 2 6 2" xfId="23466"/>
    <cellStyle name="Normal 36 4 2 6 2 10" xfId="23467"/>
    <cellStyle name="Normal 36 4 2 6 2 2" xfId="23468"/>
    <cellStyle name="Normal 36 4 2 6 2 3" xfId="23469"/>
    <cellStyle name="Normal 36 4 2 6 2 3 2" xfId="23470"/>
    <cellStyle name="Normal 36 4 2 6 2 3 3" xfId="23471"/>
    <cellStyle name="Normal 36 4 2 6 2 3 4" xfId="23472"/>
    <cellStyle name="Normal 36 4 2 6 2 3 5" xfId="23473"/>
    <cellStyle name="Normal 36 4 2 6 2 3 6" xfId="23474"/>
    <cellStyle name="Normal 36 4 2 6 2 4" xfId="23475"/>
    <cellStyle name="Normal 36 4 2 6 2 5" xfId="23476"/>
    <cellStyle name="Normal 36 4 2 6 2 6" xfId="23477"/>
    <cellStyle name="Normal 36 4 2 6 2 7" xfId="23478"/>
    <cellStyle name="Normal 36 4 2 6 2 8" xfId="23479"/>
    <cellStyle name="Normal 36 4 2 6 2 9" xfId="23480"/>
    <cellStyle name="Normal 36 4 2 6 3" xfId="23481"/>
    <cellStyle name="Normal 36 4 2 6 4" xfId="23482"/>
    <cellStyle name="Normal 36 4 2 6 4 2" xfId="23483"/>
    <cellStyle name="Normal 36 4 2 6 4 3" xfId="23484"/>
    <cellStyle name="Normal 36 4 2 6 4 4" xfId="23485"/>
    <cellStyle name="Normal 36 4 2 6 4 5" xfId="23486"/>
    <cellStyle name="Normal 36 4 2 6 4 6" xfId="23487"/>
    <cellStyle name="Normal 36 4 2 6 5" xfId="23488"/>
    <cellStyle name="Normal 36 4 2 6 6" xfId="23489"/>
    <cellStyle name="Normal 36 4 2 6 7" xfId="23490"/>
    <cellStyle name="Normal 36 4 2 6 8" xfId="23491"/>
    <cellStyle name="Normal 36 4 2 6 9" xfId="23492"/>
    <cellStyle name="Normal 36 4 2 7" xfId="23493"/>
    <cellStyle name="Normal 36 4 2 7 10" xfId="23494"/>
    <cellStyle name="Normal 36 4 2 7 11" xfId="23495"/>
    <cellStyle name="Normal 36 4 2 7 2" xfId="23496"/>
    <cellStyle name="Normal 36 4 2 7 2 10" xfId="23497"/>
    <cellStyle name="Normal 36 4 2 7 2 2" xfId="23498"/>
    <cellStyle name="Normal 36 4 2 7 2 3" xfId="23499"/>
    <cellStyle name="Normal 36 4 2 7 2 3 2" xfId="23500"/>
    <cellStyle name="Normal 36 4 2 7 2 3 3" xfId="23501"/>
    <cellStyle name="Normal 36 4 2 7 2 3 4" xfId="23502"/>
    <cellStyle name="Normal 36 4 2 7 2 3 5" xfId="23503"/>
    <cellStyle name="Normal 36 4 2 7 2 3 6" xfId="23504"/>
    <cellStyle name="Normal 36 4 2 7 2 4" xfId="23505"/>
    <cellStyle name="Normal 36 4 2 7 2 5" xfId="23506"/>
    <cellStyle name="Normal 36 4 2 7 2 6" xfId="23507"/>
    <cellStyle name="Normal 36 4 2 7 2 7" xfId="23508"/>
    <cellStyle name="Normal 36 4 2 7 2 8" xfId="23509"/>
    <cellStyle name="Normal 36 4 2 7 2 9" xfId="23510"/>
    <cellStyle name="Normal 36 4 2 7 3" xfId="23511"/>
    <cellStyle name="Normal 36 4 2 7 4" xfId="23512"/>
    <cellStyle name="Normal 36 4 2 7 4 2" xfId="23513"/>
    <cellStyle name="Normal 36 4 2 7 4 3" xfId="23514"/>
    <cellStyle name="Normal 36 4 2 7 4 4" xfId="23515"/>
    <cellStyle name="Normal 36 4 2 7 4 5" xfId="23516"/>
    <cellStyle name="Normal 36 4 2 7 4 6" xfId="23517"/>
    <cellStyle name="Normal 36 4 2 7 5" xfId="23518"/>
    <cellStyle name="Normal 36 4 2 7 6" xfId="23519"/>
    <cellStyle name="Normal 36 4 2 7 7" xfId="23520"/>
    <cellStyle name="Normal 36 4 2 7 8" xfId="23521"/>
    <cellStyle name="Normal 36 4 2 7 9" xfId="23522"/>
    <cellStyle name="Normal 36 4 2 8" xfId="23523"/>
    <cellStyle name="Normal 36 4 2 8 10" xfId="23524"/>
    <cellStyle name="Normal 36 4 2 8 11" xfId="23525"/>
    <cellStyle name="Normal 36 4 2 8 2" xfId="23526"/>
    <cellStyle name="Normal 36 4 2 8 2 10" xfId="23527"/>
    <cellStyle name="Normal 36 4 2 8 2 2" xfId="23528"/>
    <cellStyle name="Normal 36 4 2 8 2 3" xfId="23529"/>
    <cellStyle name="Normal 36 4 2 8 2 3 2" xfId="23530"/>
    <cellStyle name="Normal 36 4 2 8 2 3 3" xfId="23531"/>
    <cellStyle name="Normal 36 4 2 8 2 3 4" xfId="23532"/>
    <cellStyle name="Normal 36 4 2 8 2 3 5" xfId="23533"/>
    <cellStyle name="Normal 36 4 2 8 2 3 6" xfId="23534"/>
    <cellStyle name="Normal 36 4 2 8 2 4" xfId="23535"/>
    <cellStyle name="Normal 36 4 2 8 2 5" xfId="23536"/>
    <cellStyle name="Normal 36 4 2 8 2 6" xfId="23537"/>
    <cellStyle name="Normal 36 4 2 8 2 7" xfId="23538"/>
    <cellStyle name="Normal 36 4 2 8 2 8" xfId="23539"/>
    <cellStyle name="Normal 36 4 2 8 2 9" xfId="23540"/>
    <cellStyle name="Normal 36 4 2 8 3" xfId="23541"/>
    <cellStyle name="Normal 36 4 2 8 4" xfId="23542"/>
    <cellStyle name="Normal 36 4 2 8 4 2" xfId="23543"/>
    <cellStyle name="Normal 36 4 2 8 4 3" xfId="23544"/>
    <cellStyle name="Normal 36 4 2 8 4 4" xfId="23545"/>
    <cellStyle name="Normal 36 4 2 8 4 5" xfId="23546"/>
    <cellStyle name="Normal 36 4 2 8 4 6" xfId="23547"/>
    <cellStyle name="Normal 36 4 2 8 5" xfId="23548"/>
    <cellStyle name="Normal 36 4 2 8 6" xfId="23549"/>
    <cellStyle name="Normal 36 4 2 8 7" xfId="23550"/>
    <cellStyle name="Normal 36 4 2 8 8" xfId="23551"/>
    <cellStyle name="Normal 36 4 2 8 9" xfId="23552"/>
    <cellStyle name="Normal 36 4 2 9" xfId="23553"/>
    <cellStyle name="Normal 36 4 2 9 10" xfId="23554"/>
    <cellStyle name="Normal 36 4 2 9 11" xfId="23555"/>
    <cellStyle name="Normal 36 4 2 9 2" xfId="23556"/>
    <cellStyle name="Normal 36 4 2 9 2 10" xfId="23557"/>
    <cellStyle name="Normal 36 4 2 9 2 2" xfId="23558"/>
    <cellStyle name="Normal 36 4 2 9 2 3" xfId="23559"/>
    <cellStyle name="Normal 36 4 2 9 2 3 2" xfId="23560"/>
    <cellStyle name="Normal 36 4 2 9 2 3 3" xfId="23561"/>
    <cellStyle name="Normal 36 4 2 9 2 3 4" xfId="23562"/>
    <cellStyle name="Normal 36 4 2 9 2 3 5" xfId="23563"/>
    <cellStyle name="Normal 36 4 2 9 2 3 6" xfId="23564"/>
    <cellStyle name="Normal 36 4 2 9 2 4" xfId="23565"/>
    <cellStyle name="Normal 36 4 2 9 2 5" xfId="23566"/>
    <cellStyle name="Normal 36 4 2 9 2 6" xfId="23567"/>
    <cellStyle name="Normal 36 4 2 9 2 7" xfId="23568"/>
    <cellStyle name="Normal 36 4 2 9 2 8" xfId="23569"/>
    <cellStyle name="Normal 36 4 2 9 2 9" xfId="23570"/>
    <cellStyle name="Normal 36 4 2 9 3" xfId="23571"/>
    <cellStyle name="Normal 36 4 2 9 4" xfId="23572"/>
    <cellStyle name="Normal 36 4 2 9 4 2" xfId="23573"/>
    <cellStyle name="Normal 36 4 2 9 4 3" xfId="23574"/>
    <cellStyle name="Normal 36 4 2 9 4 4" xfId="23575"/>
    <cellStyle name="Normal 36 4 2 9 4 5" xfId="23576"/>
    <cellStyle name="Normal 36 4 2 9 4 6" xfId="23577"/>
    <cellStyle name="Normal 36 4 2 9 5" xfId="23578"/>
    <cellStyle name="Normal 36 4 2 9 6" xfId="23579"/>
    <cellStyle name="Normal 36 4 2 9 7" xfId="23580"/>
    <cellStyle name="Normal 36 4 2 9 8" xfId="23581"/>
    <cellStyle name="Normal 36 4 2 9 9" xfId="23582"/>
    <cellStyle name="Normal 36 4 20" xfId="23583"/>
    <cellStyle name="Normal 36 4 20 10" xfId="23584"/>
    <cellStyle name="Normal 36 4 20 2" xfId="23585"/>
    <cellStyle name="Normal 36 4 20 3" xfId="23586"/>
    <cellStyle name="Normal 36 4 20 3 2" xfId="23587"/>
    <cellStyle name="Normal 36 4 20 3 3" xfId="23588"/>
    <cellStyle name="Normal 36 4 20 3 4" xfId="23589"/>
    <cellStyle name="Normal 36 4 20 3 5" xfId="23590"/>
    <cellStyle name="Normal 36 4 20 3 6" xfId="23591"/>
    <cellStyle name="Normal 36 4 20 4" xfId="23592"/>
    <cellStyle name="Normal 36 4 20 5" xfId="23593"/>
    <cellStyle name="Normal 36 4 20 6" xfId="23594"/>
    <cellStyle name="Normal 36 4 20 7" xfId="23595"/>
    <cellStyle name="Normal 36 4 20 8" xfId="23596"/>
    <cellStyle name="Normal 36 4 20 9" xfId="23597"/>
    <cellStyle name="Normal 36 4 21" xfId="23598"/>
    <cellStyle name="Normal 36 4 22" xfId="23599"/>
    <cellStyle name="Normal 36 4 22 2" xfId="23600"/>
    <cellStyle name="Normal 36 4 22 3" xfId="23601"/>
    <cellStyle name="Normal 36 4 22 4" xfId="23602"/>
    <cellStyle name="Normal 36 4 22 5" xfId="23603"/>
    <cellStyle name="Normal 36 4 22 6" xfId="23604"/>
    <cellStyle name="Normal 36 4 23" xfId="23605"/>
    <cellStyle name="Normal 36 4 24" xfId="23606"/>
    <cellStyle name="Normal 36 4 25" xfId="23607"/>
    <cellStyle name="Normal 36 4 26" xfId="23608"/>
    <cellStyle name="Normal 36 4 27" xfId="23609"/>
    <cellStyle name="Normal 36 4 28" xfId="23610"/>
    <cellStyle name="Normal 36 4 29" xfId="23611"/>
    <cellStyle name="Normal 36 4 3" xfId="23612"/>
    <cellStyle name="Normal 36 4 3 10" xfId="23613"/>
    <cellStyle name="Normal 36 4 3 11" xfId="23614"/>
    <cellStyle name="Normal 36 4 3 2" xfId="23615"/>
    <cellStyle name="Normal 36 4 3 2 10" xfId="23616"/>
    <cellStyle name="Normal 36 4 3 2 2" xfId="23617"/>
    <cellStyle name="Normal 36 4 3 2 3" xfId="23618"/>
    <cellStyle name="Normal 36 4 3 2 3 2" xfId="23619"/>
    <cellStyle name="Normal 36 4 3 2 3 3" xfId="23620"/>
    <cellStyle name="Normal 36 4 3 2 3 4" xfId="23621"/>
    <cellStyle name="Normal 36 4 3 2 3 5" xfId="23622"/>
    <cellStyle name="Normal 36 4 3 2 3 6" xfId="23623"/>
    <cellStyle name="Normal 36 4 3 2 4" xfId="23624"/>
    <cellStyle name="Normal 36 4 3 2 5" xfId="23625"/>
    <cellStyle name="Normal 36 4 3 2 6" xfId="23626"/>
    <cellStyle name="Normal 36 4 3 2 7" xfId="23627"/>
    <cellStyle name="Normal 36 4 3 2 8" xfId="23628"/>
    <cellStyle name="Normal 36 4 3 2 9" xfId="23629"/>
    <cellStyle name="Normal 36 4 3 3" xfId="23630"/>
    <cellStyle name="Normal 36 4 3 4" xfId="23631"/>
    <cellStyle name="Normal 36 4 3 4 2" xfId="23632"/>
    <cellStyle name="Normal 36 4 3 4 3" xfId="23633"/>
    <cellStyle name="Normal 36 4 3 4 4" xfId="23634"/>
    <cellStyle name="Normal 36 4 3 4 5" xfId="23635"/>
    <cellStyle name="Normal 36 4 3 4 6" xfId="23636"/>
    <cellStyle name="Normal 36 4 3 5" xfId="23637"/>
    <cellStyle name="Normal 36 4 3 6" xfId="23638"/>
    <cellStyle name="Normal 36 4 3 7" xfId="23639"/>
    <cellStyle name="Normal 36 4 3 8" xfId="23640"/>
    <cellStyle name="Normal 36 4 3 9" xfId="23641"/>
    <cellStyle name="Normal 36 4 4" xfId="23642"/>
    <cellStyle name="Normal 36 4 4 10" xfId="23643"/>
    <cellStyle name="Normal 36 4 4 11" xfId="23644"/>
    <cellStyle name="Normal 36 4 4 2" xfId="23645"/>
    <cellStyle name="Normal 36 4 4 2 10" xfId="23646"/>
    <cellStyle name="Normal 36 4 4 2 2" xfId="23647"/>
    <cellStyle name="Normal 36 4 4 2 3" xfId="23648"/>
    <cellStyle name="Normal 36 4 4 2 3 2" xfId="23649"/>
    <cellStyle name="Normal 36 4 4 2 3 3" xfId="23650"/>
    <cellStyle name="Normal 36 4 4 2 3 4" xfId="23651"/>
    <cellStyle name="Normal 36 4 4 2 3 5" xfId="23652"/>
    <cellStyle name="Normal 36 4 4 2 3 6" xfId="23653"/>
    <cellStyle name="Normal 36 4 4 2 4" xfId="23654"/>
    <cellStyle name="Normal 36 4 4 2 5" xfId="23655"/>
    <cellStyle name="Normal 36 4 4 2 6" xfId="23656"/>
    <cellStyle name="Normal 36 4 4 2 7" xfId="23657"/>
    <cellStyle name="Normal 36 4 4 2 8" xfId="23658"/>
    <cellStyle name="Normal 36 4 4 2 9" xfId="23659"/>
    <cellStyle name="Normal 36 4 4 3" xfId="23660"/>
    <cellStyle name="Normal 36 4 4 4" xfId="23661"/>
    <cellStyle name="Normal 36 4 4 4 2" xfId="23662"/>
    <cellStyle name="Normal 36 4 4 4 3" xfId="23663"/>
    <cellStyle name="Normal 36 4 4 4 4" xfId="23664"/>
    <cellStyle name="Normal 36 4 4 4 5" xfId="23665"/>
    <cellStyle name="Normal 36 4 4 4 6" xfId="23666"/>
    <cellStyle name="Normal 36 4 4 5" xfId="23667"/>
    <cellStyle name="Normal 36 4 4 6" xfId="23668"/>
    <cellStyle name="Normal 36 4 4 7" xfId="23669"/>
    <cellStyle name="Normal 36 4 4 8" xfId="23670"/>
    <cellStyle name="Normal 36 4 4 9" xfId="23671"/>
    <cellStyle name="Normal 36 4 5" xfId="23672"/>
    <cellStyle name="Normal 36 4 5 10" xfId="23673"/>
    <cellStyle name="Normal 36 4 5 11" xfId="23674"/>
    <cellStyle name="Normal 36 4 5 2" xfId="23675"/>
    <cellStyle name="Normal 36 4 5 2 10" xfId="23676"/>
    <cellStyle name="Normal 36 4 5 2 2" xfId="23677"/>
    <cellStyle name="Normal 36 4 5 2 3" xfId="23678"/>
    <cellStyle name="Normal 36 4 5 2 3 2" xfId="23679"/>
    <cellStyle name="Normal 36 4 5 2 3 3" xfId="23680"/>
    <cellStyle name="Normal 36 4 5 2 3 4" xfId="23681"/>
    <cellStyle name="Normal 36 4 5 2 3 5" xfId="23682"/>
    <cellStyle name="Normal 36 4 5 2 3 6" xfId="23683"/>
    <cellStyle name="Normal 36 4 5 2 4" xfId="23684"/>
    <cellStyle name="Normal 36 4 5 2 5" xfId="23685"/>
    <cellStyle name="Normal 36 4 5 2 6" xfId="23686"/>
    <cellStyle name="Normal 36 4 5 2 7" xfId="23687"/>
    <cellStyle name="Normal 36 4 5 2 8" xfId="23688"/>
    <cellStyle name="Normal 36 4 5 2 9" xfId="23689"/>
    <cellStyle name="Normal 36 4 5 3" xfId="23690"/>
    <cellStyle name="Normal 36 4 5 4" xfId="23691"/>
    <cellStyle name="Normal 36 4 5 4 2" xfId="23692"/>
    <cellStyle name="Normal 36 4 5 4 3" xfId="23693"/>
    <cellStyle name="Normal 36 4 5 4 4" xfId="23694"/>
    <cellStyle name="Normal 36 4 5 4 5" xfId="23695"/>
    <cellStyle name="Normal 36 4 5 4 6" xfId="23696"/>
    <cellStyle name="Normal 36 4 5 5" xfId="23697"/>
    <cellStyle name="Normal 36 4 5 6" xfId="23698"/>
    <cellStyle name="Normal 36 4 5 7" xfId="23699"/>
    <cellStyle name="Normal 36 4 5 8" xfId="23700"/>
    <cellStyle name="Normal 36 4 5 9" xfId="23701"/>
    <cellStyle name="Normal 36 4 6" xfId="23702"/>
    <cellStyle name="Normal 36 4 6 2" xfId="23703"/>
    <cellStyle name="Normal 36 4 6 3" xfId="23704"/>
    <cellStyle name="Normal 36 4 6 3 2" xfId="23705"/>
    <cellStyle name="Normal 36 4 6 3 3" xfId="23706"/>
    <cellStyle name="Normal 36 4 6 3 4" xfId="23707"/>
    <cellStyle name="Normal 36 4 6 3 5" xfId="23708"/>
    <cellStyle name="Normal 36 4 6 3 6" xfId="23709"/>
    <cellStyle name="Normal 36 4 6 4" xfId="23710"/>
    <cellStyle name="Normal 36 4 6 4 2" xfId="23711"/>
    <cellStyle name="Normal 36 4 6 4 3" xfId="23712"/>
    <cellStyle name="Normal 36 4 6 4 4" xfId="23713"/>
    <cellStyle name="Normal 36 4 6 4 5" xfId="23714"/>
    <cellStyle name="Normal 36 4 6 4 6" xfId="23715"/>
    <cellStyle name="Normal 36 4 7" xfId="23716"/>
    <cellStyle name="Normal 36 4 7 2" xfId="23717"/>
    <cellStyle name="Normal 36 4 7 3" xfId="23718"/>
    <cellStyle name="Normal 36 4 7 3 2" xfId="23719"/>
    <cellStyle name="Normal 36 4 7 3 3" xfId="23720"/>
    <cellStyle name="Normal 36 4 7 3 4" xfId="23721"/>
    <cellStyle name="Normal 36 4 7 3 5" xfId="23722"/>
    <cellStyle name="Normal 36 4 7 3 6" xfId="23723"/>
    <cellStyle name="Normal 36 4 7 4" xfId="23724"/>
    <cellStyle name="Normal 36 4 7 4 2" xfId="23725"/>
    <cellStyle name="Normal 36 4 7 4 3" xfId="23726"/>
    <cellStyle name="Normal 36 4 7 4 4" xfId="23727"/>
    <cellStyle name="Normal 36 4 7 4 5" xfId="23728"/>
    <cellStyle name="Normal 36 4 7 4 6" xfId="23729"/>
    <cellStyle name="Normal 36 4 8" xfId="23730"/>
    <cellStyle name="Normal 36 4 8 2" xfId="23731"/>
    <cellStyle name="Normal 36 4 8 3" xfId="23732"/>
    <cellStyle name="Normal 36 4 8 3 2" xfId="23733"/>
    <cellStyle name="Normal 36 4 8 3 3" xfId="23734"/>
    <cellStyle name="Normal 36 4 8 3 4" xfId="23735"/>
    <cellStyle name="Normal 36 4 8 3 5" xfId="23736"/>
    <cellStyle name="Normal 36 4 8 3 6" xfId="23737"/>
    <cellStyle name="Normal 36 4 8 4" xfId="23738"/>
    <cellStyle name="Normal 36 4 8 4 2" xfId="23739"/>
    <cellStyle name="Normal 36 4 8 4 3" xfId="23740"/>
    <cellStyle name="Normal 36 4 8 4 4" xfId="23741"/>
    <cellStyle name="Normal 36 4 8 4 5" xfId="23742"/>
    <cellStyle name="Normal 36 4 8 4 6" xfId="23743"/>
    <cellStyle name="Normal 36 4 9" xfId="23744"/>
    <cellStyle name="Normal 36 4 9 2" xfId="23745"/>
    <cellStyle name="Normal 36 4 9 3" xfId="23746"/>
    <cellStyle name="Normal 36 4 9 3 2" xfId="23747"/>
    <cellStyle name="Normal 36 4 9 3 3" xfId="23748"/>
    <cellStyle name="Normal 36 4 9 3 4" xfId="23749"/>
    <cellStyle name="Normal 36 4 9 3 5" xfId="23750"/>
    <cellStyle name="Normal 36 4 9 3 6" xfId="23751"/>
    <cellStyle name="Normal 36 4 9 4" xfId="23752"/>
    <cellStyle name="Normal 36 4 9 4 2" xfId="23753"/>
    <cellStyle name="Normal 36 4 9 4 3" xfId="23754"/>
    <cellStyle name="Normal 36 4 9 4 4" xfId="23755"/>
    <cellStyle name="Normal 36 4 9 4 5" xfId="23756"/>
    <cellStyle name="Normal 36 4 9 4 6" xfId="23757"/>
    <cellStyle name="Normal 36 5" xfId="23758"/>
    <cellStyle name="Normal 36 5 10" xfId="23759"/>
    <cellStyle name="Normal 36 5 11" xfId="23760"/>
    <cellStyle name="Normal 36 5 2" xfId="23761"/>
    <cellStyle name="Normal 36 5 2 10" xfId="23762"/>
    <cellStyle name="Normal 36 5 2 2" xfId="23763"/>
    <cellStyle name="Normal 36 5 2 3" xfId="23764"/>
    <cellStyle name="Normal 36 5 2 3 2" xfId="23765"/>
    <cellStyle name="Normal 36 5 2 3 3" xfId="23766"/>
    <cellStyle name="Normal 36 5 2 3 4" xfId="23767"/>
    <cellStyle name="Normal 36 5 2 3 5" xfId="23768"/>
    <cellStyle name="Normal 36 5 2 3 6" xfId="23769"/>
    <cellStyle name="Normal 36 5 2 4" xfId="23770"/>
    <cellStyle name="Normal 36 5 2 5" xfId="23771"/>
    <cellStyle name="Normal 36 5 2 6" xfId="23772"/>
    <cellStyle name="Normal 36 5 2 7" xfId="23773"/>
    <cellStyle name="Normal 36 5 2 8" xfId="23774"/>
    <cellStyle name="Normal 36 5 2 9" xfId="23775"/>
    <cellStyle name="Normal 36 5 3" xfId="23776"/>
    <cellStyle name="Normal 36 5 4" xfId="23777"/>
    <cellStyle name="Normal 36 5 4 2" xfId="23778"/>
    <cellStyle name="Normal 36 5 4 3" xfId="23779"/>
    <cellStyle name="Normal 36 5 4 4" xfId="23780"/>
    <cellStyle name="Normal 36 5 4 5" xfId="23781"/>
    <cellStyle name="Normal 36 5 4 6" xfId="23782"/>
    <cellStyle name="Normal 36 5 5" xfId="23783"/>
    <cellStyle name="Normal 36 5 6" xfId="23784"/>
    <cellStyle name="Normal 36 5 7" xfId="23785"/>
    <cellStyle name="Normal 36 5 8" xfId="23786"/>
    <cellStyle name="Normal 36 5 9" xfId="23787"/>
    <cellStyle name="Normal 36 6" xfId="23788"/>
    <cellStyle name="Normal 36 6 10" xfId="23789"/>
    <cellStyle name="Normal 36 6 11" xfId="23790"/>
    <cellStyle name="Normal 36 6 2" xfId="23791"/>
    <cellStyle name="Normal 36 6 2 10" xfId="23792"/>
    <cellStyle name="Normal 36 6 2 2" xfId="23793"/>
    <cellStyle name="Normal 36 6 2 3" xfId="23794"/>
    <cellStyle name="Normal 36 6 2 3 2" xfId="23795"/>
    <cellStyle name="Normal 36 6 2 3 3" xfId="23796"/>
    <cellStyle name="Normal 36 6 2 3 4" xfId="23797"/>
    <cellStyle name="Normal 36 6 2 3 5" xfId="23798"/>
    <cellStyle name="Normal 36 6 2 3 6" xfId="23799"/>
    <cellStyle name="Normal 36 6 2 4" xfId="23800"/>
    <cellStyle name="Normal 36 6 2 5" xfId="23801"/>
    <cellStyle name="Normal 36 6 2 6" xfId="23802"/>
    <cellStyle name="Normal 36 6 2 7" xfId="23803"/>
    <cellStyle name="Normal 36 6 2 8" xfId="23804"/>
    <cellStyle name="Normal 36 6 2 9" xfId="23805"/>
    <cellStyle name="Normal 36 6 3" xfId="23806"/>
    <cellStyle name="Normal 36 6 4" xfId="23807"/>
    <cellStyle name="Normal 36 6 4 2" xfId="23808"/>
    <cellStyle name="Normal 36 6 4 3" xfId="23809"/>
    <cellStyle name="Normal 36 6 4 4" xfId="23810"/>
    <cellStyle name="Normal 36 6 4 5" xfId="23811"/>
    <cellStyle name="Normal 36 6 4 6" xfId="23812"/>
    <cellStyle name="Normal 36 6 5" xfId="23813"/>
    <cellStyle name="Normal 36 6 6" xfId="23814"/>
    <cellStyle name="Normal 36 6 7" xfId="23815"/>
    <cellStyle name="Normal 36 6 8" xfId="23816"/>
    <cellStyle name="Normal 36 6 9" xfId="23817"/>
    <cellStyle name="Normal 36 7" xfId="23818"/>
    <cellStyle name="Normal 36 7 10" xfId="23819"/>
    <cellStyle name="Normal 36 7 11" xfId="23820"/>
    <cellStyle name="Normal 36 7 2" xfId="23821"/>
    <cellStyle name="Normal 36 7 2 10" xfId="23822"/>
    <cellStyle name="Normal 36 7 2 2" xfId="23823"/>
    <cellStyle name="Normal 36 7 2 3" xfId="23824"/>
    <cellStyle name="Normal 36 7 2 3 2" xfId="23825"/>
    <cellStyle name="Normal 36 7 2 3 3" xfId="23826"/>
    <cellStyle name="Normal 36 7 2 3 4" xfId="23827"/>
    <cellStyle name="Normal 36 7 2 3 5" xfId="23828"/>
    <cellStyle name="Normal 36 7 2 3 6" xfId="23829"/>
    <cellStyle name="Normal 36 7 2 4" xfId="23830"/>
    <cellStyle name="Normal 36 7 2 5" xfId="23831"/>
    <cellStyle name="Normal 36 7 2 6" xfId="23832"/>
    <cellStyle name="Normal 36 7 2 7" xfId="23833"/>
    <cellStyle name="Normal 36 7 2 8" xfId="23834"/>
    <cellStyle name="Normal 36 7 2 9" xfId="23835"/>
    <cellStyle name="Normal 36 7 3" xfId="23836"/>
    <cellStyle name="Normal 36 7 4" xfId="23837"/>
    <cellStyle name="Normal 36 7 4 2" xfId="23838"/>
    <cellStyle name="Normal 36 7 4 3" xfId="23839"/>
    <cellStyle name="Normal 36 7 4 4" xfId="23840"/>
    <cellStyle name="Normal 36 7 4 5" xfId="23841"/>
    <cellStyle name="Normal 36 7 4 6" xfId="23842"/>
    <cellStyle name="Normal 36 7 5" xfId="23843"/>
    <cellStyle name="Normal 36 7 6" xfId="23844"/>
    <cellStyle name="Normal 36 7 7" xfId="23845"/>
    <cellStyle name="Normal 36 7 8" xfId="23846"/>
    <cellStyle name="Normal 36 7 9" xfId="23847"/>
    <cellStyle name="Normal 36 8" xfId="23848"/>
    <cellStyle name="Normal 36 8 2" xfId="23849"/>
    <cellStyle name="Normal 36 8 3" xfId="23850"/>
    <cellStyle name="Normal 36 8 3 2" xfId="23851"/>
    <cellStyle name="Normal 36 8 3 3" xfId="23852"/>
    <cellStyle name="Normal 36 8 3 4" xfId="23853"/>
    <cellStyle name="Normal 36 8 3 5" xfId="23854"/>
    <cellStyle name="Normal 36 8 3 6" xfId="23855"/>
    <cellStyle name="Normal 36 8 4" xfId="23856"/>
    <cellStyle name="Normal 36 8 4 2" xfId="23857"/>
    <cellStyle name="Normal 36 8 4 3" xfId="23858"/>
    <cellStyle name="Normal 36 8 4 4" xfId="23859"/>
    <cellStyle name="Normal 36 8 4 5" xfId="23860"/>
    <cellStyle name="Normal 36 8 4 6" xfId="23861"/>
    <cellStyle name="Normal 36 9" xfId="23862"/>
    <cellStyle name="Normal 36 9 2" xfId="23863"/>
    <cellStyle name="Normal 36 9 3" xfId="23864"/>
    <cellStyle name="Normal 36 9 3 2" xfId="23865"/>
    <cellStyle name="Normal 36 9 3 3" xfId="23866"/>
    <cellStyle name="Normal 36 9 3 4" xfId="23867"/>
    <cellStyle name="Normal 36 9 3 5" xfId="23868"/>
    <cellStyle name="Normal 36 9 3 6" xfId="23869"/>
    <cellStyle name="Normal 36 9 4" xfId="23870"/>
    <cellStyle name="Normal 36 9 4 2" xfId="23871"/>
    <cellStyle name="Normal 36 9 4 3" xfId="23872"/>
    <cellStyle name="Normal 36 9 4 4" xfId="23873"/>
    <cellStyle name="Normal 36 9 4 5" xfId="23874"/>
    <cellStyle name="Normal 36 9 4 6" xfId="23875"/>
    <cellStyle name="Normal 37" xfId="23876"/>
    <cellStyle name="Normal 37 2" xfId="23877"/>
    <cellStyle name="Normal 37 2 2" xfId="23878"/>
    <cellStyle name="Normal 37 2 3" xfId="23879"/>
    <cellStyle name="Normal 37 2 3 2" xfId="23880"/>
    <cellStyle name="Normal 37 2 3 3" xfId="23881"/>
    <cellStyle name="Normal 37 2 3 4" xfId="23882"/>
    <cellStyle name="Normal 37 2 3 5" xfId="23883"/>
    <cellStyle name="Normal 37 2 3 6" xfId="23884"/>
    <cellStyle name="Normal 37 2 4" xfId="23885"/>
    <cellStyle name="Normal 37 2 4 2" xfId="23886"/>
    <cellStyle name="Normal 37 2 4 3" xfId="23887"/>
    <cellStyle name="Normal 37 2 4 4" xfId="23888"/>
    <cellStyle name="Normal 37 2 4 5" xfId="23889"/>
    <cellStyle name="Normal 37 2 4 6" xfId="23890"/>
    <cellStyle name="Normal 37 3" xfId="23891"/>
    <cellStyle name="Normal 37 3 2" xfId="23892"/>
    <cellStyle name="Normal 37 3 3" xfId="23893"/>
    <cellStyle name="Normal 37 3 3 2" xfId="23894"/>
    <cellStyle name="Normal 37 3 3 3" xfId="23895"/>
    <cellStyle name="Normal 37 3 3 4" xfId="23896"/>
    <cellStyle name="Normal 37 3 3 5" xfId="23897"/>
    <cellStyle name="Normal 37 3 3 6" xfId="23898"/>
    <cellStyle name="Normal 37 3 4" xfId="23899"/>
    <cellStyle name="Normal 37 3 4 2" xfId="23900"/>
    <cellStyle name="Normal 37 3 4 3" xfId="23901"/>
    <cellStyle name="Normal 37 3 4 4" xfId="23902"/>
    <cellStyle name="Normal 37 3 4 5" xfId="23903"/>
    <cellStyle name="Normal 37 3 4 6" xfId="23904"/>
    <cellStyle name="Normal 37 4" xfId="23905"/>
    <cellStyle name="Normal 37 4 2" xfId="23906"/>
    <cellStyle name="Normal 37 4 3" xfId="23907"/>
    <cellStyle name="Normal 37 4 3 2" xfId="23908"/>
    <cellStyle name="Normal 37 4 3 3" xfId="23909"/>
    <cellStyle name="Normal 37 4 3 4" xfId="23910"/>
    <cellStyle name="Normal 37 4 3 5" xfId="23911"/>
    <cellStyle name="Normal 37 4 3 6" xfId="23912"/>
    <cellStyle name="Normal 37 4 4" xfId="23913"/>
    <cellStyle name="Normal 37 4 4 2" xfId="23914"/>
    <cellStyle name="Normal 37 4 4 3" xfId="23915"/>
    <cellStyle name="Normal 37 4 4 4" xfId="23916"/>
    <cellStyle name="Normal 37 4 4 5" xfId="23917"/>
    <cellStyle name="Normal 37 4 4 6" xfId="23918"/>
    <cellStyle name="Normal 37 5" xfId="23919"/>
    <cellStyle name="Normal 37 5 2" xfId="23920"/>
    <cellStyle name="Normal 37 5 3" xfId="23921"/>
    <cellStyle name="Normal 37 5 3 2" xfId="23922"/>
    <cellStyle name="Normal 37 5 3 3" xfId="23923"/>
    <cellStyle name="Normal 37 5 3 4" xfId="23924"/>
    <cellStyle name="Normal 37 5 3 5" xfId="23925"/>
    <cellStyle name="Normal 37 5 3 6" xfId="23926"/>
    <cellStyle name="Normal 37 5 4" xfId="23927"/>
    <cellStyle name="Normal 37 5 4 2" xfId="23928"/>
    <cellStyle name="Normal 37 5 4 3" xfId="23929"/>
    <cellStyle name="Normal 37 5 4 4" xfId="23930"/>
    <cellStyle name="Normal 37 5 4 5" xfId="23931"/>
    <cellStyle name="Normal 37 5 4 6" xfId="23932"/>
    <cellStyle name="Normal 37 6" xfId="23933"/>
    <cellStyle name="Normal 37 6 2" xfId="23934"/>
    <cellStyle name="Normal 37 6 3" xfId="23935"/>
    <cellStyle name="Normal 37 6 3 2" xfId="23936"/>
    <cellStyle name="Normal 37 6 3 3" xfId="23937"/>
    <cellStyle name="Normal 37 6 3 4" xfId="23938"/>
    <cellStyle name="Normal 37 6 3 5" xfId="23939"/>
    <cellStyle name="Normal 37 6 3 6" xfId="23940"/>
    <cellStyle name="Normal 37 6 4" xfId="23941"/>
    <cellStyle name="Normal 37 6 4 2" xfId="23942"/>
    <cellStyle name="Normal 37 6 4 3" xfId="23943"/>
    <cellStyle name="Normal 37 6 4 4" xfId="23944"/>
    <cellStyle name="Normal 37 6 4 5" xfId="23945"/>
    <cellStyle name="Normal 37 6 4 6" xfId="23946"/>
    <cellStyle name="Normal 37 7" xfId="23947"/>
    <cellStyle name="Normal 37 8" xfId="23948"/>
    <cellStyle name="Normal 37 8 2" xfId="23949"/>
    <cellStyle name="Normal 37 8 3" xfId="23950"/>
    <cellStyle name="Normal 37 8 4" xfId="23951"/>
    <cellStyle name="Normal 37 8 5" xfId="23952"/>
    <cellStyle name="Normal 37 8 6" xfId="23953"/>
    <cellStyle name="Normal 37 9" xfId="23954"/>
    <cellStyle name="Normal 37 9 2" xfId="23955"/>
    <cellStyle name="Normal 37 9 3" xfId="23956"/>
    <cellStyle name="Normal 37 9 4" xfId="23957"/>
    <cellStyle name="Normal 37 9 5" xfId="23958"/>
    <cellStyle name="Normal 37 9 6" xfId="23959"/>
    <cellStyle name="Normal 38" xfId="23960"/>
    <cellStyle name="Normal 38 10" xfId="23961"/>
    <cellStyle name="Normal 38 10 2" xfId="23962"/>
    <cellStyle name="Normal 38 10 2 2" xfId="23963"/>
    <cellStyle name="Normal 38 10 2 3" xfId="23964"/>
    <cellStyle name="Normal 38 10 2 4" xfId="23965"/>
    <cellStyle name="Normal 38 10 2 5" xfId="23966"/>
    <cellStyle name="Normal 38 10 2 6" xfId="23967"/>
    <cellStyle name="Normal 38 10 3" xfId="23968"/>
    <cellStyle name="Normal 38 10 4" xfId="23969"/>
    <cellStyle name="Normal 38 11" xfId="23970"/>
    <cellStyle name="Normal 38 11 2" xfId="23971"/>
    <cellStyle name="Normal 38 11 3" xfId="23972"/>
    <cellStyle name="Normal 38 11 4" xfId="23973"/>
    <cellStyle name="Normal 38 11 5" xfId="23974"/>
    <cellStyle name="Normal 38 11 6" xfId="23975"/>
    <cellStyle name="Normal 38 12" xfId="23976"/>
    <cellStyle name="Normal 38 13" xfId="23977"/>
    <cellStyle name="Normal 38 2" xfId="23978"/>
    <cellStyle name="Normal 38 2 2" xfId="23979"/>
    <cellStyle name="Normal 38 2 2 2" xfId="23980"/>
    <cellStyle name="Normal 38 2 2 3" xfId="23981"/>
    <cellStyle name="Normal 38 2 2 4" xfId="23982"/>
    <cellStyle name="Normal 38 2 2 5" xfId="23983"/>
    <cellStyle name="Normal 38 2 2 6" xfId="23984"/>
    <cellStyle name="Normal 38 2 3" xfId="23985"/>
    <cellStyle name="Normal 38 2 4" xfId="23986"/>
    <cellStyle name="Normal 38 3" xfId="23987"/>
    <cellStyle name="Normal 38 3 2" xfId="23988"/>
    <cellStyle name="Normal 38 3 2 2" xfId="23989"/>
    <cellStyle name="Normal 38 3 2 3" xfId="23990"/>
    <cellStyle name="Normal 38 3 2 4" xfId="23991"/>
    <cellStyle name="Normal 38 3 2 5" xfId="23992"/>
    <cellStyle name="Normal 38 3 2 6" xfId="23993"/>
    <cellStyle name="Normal 38 3 3" xfId="23994"/>
    <cellStyle name="Normal 38 3 4" xfId="23995"/>
    <cellStyle name="Normal 38 4" xfId="23996"/>
    <cellStyle name="Normal 38 4 2" xfId="23997"/>
    <cellStyle name="Normal 38 4 2 2" xfId="23998"/>
    <cellStyle name="Normal 38 4 2 3" xfId="23999"/>
    <cellStyle name="Normal 38 4 2 4" xfId="24000"/>
    <cellStyle name="Normal 38 4 2 5" xfId="24001"/>
    <cellStyle name="Normal 38 4 2 6" xfId="24002"/>
    <cellStyle name="Normal 38 4 3" xfId="24003"/>
    <cellStyle name="Normal 38 4 4" xfId="24004"/>
    <cellStyle name="Normal 38 5" xfId="24005"/>
    <cellStyle name="Normal 38 5 2" xfId="24006"/>
    <cellStyle name="Normal 38 5 2 2" xfId="24007"/>
    <cellStyle name="Normal 38 5 2 3" xfId="24008"/>
    <cellStyle name="Normal 38 5 2 4" xfId="24009"/>
    <cellStyle name="Normal 38 5 2 5" xfId="24010"/>
    <cellStyle name="Normal 38 5 2 6" xfId="24011"/>
    <cellStyle name="Normal 38 5 3" xfId="24012"/>
    <cellStyle name="Normal 38 5 4" xfId="24013"/>
    <cellStyle name="Normal 38 6" xfId="24014"/>
    <cellStyle name="Normal 38 6 2" xfId="24015"/>
    <cellStyle name="Normal 38 6 2 2" xfId="24016"/>
    <cellStyle name="Normal 38 6 2 3" xfId="24017"/>
    <cellStyle name="Normal 38 6 2 4" xfId="24018"/>
    <cellStyle name="Normal 38 6 2 5" xfId="24019"/>
    <cellStyle name="Normal 38 6 2 6" xfId="24020"/>
    <cellStyle name="Normal 38 6 3" xfId="24021"/>
    <cellStyle name="Normal 38 6 4" xfId="24022"/>
    <cellStyle name="Normal 38 7" xfId="24023"/>
    <cellStyle name="Normal 38 7 2" xfId="24024"/>
    <cellStyle name="Normal 38 7 2 2" xfId="24025"/>
    <cellStyle name="Normal 38 7 2 3" xfId="24026"/>
    <cellStyle name="Normal 38 7 2 4" xfId="24027"/>
    <cellStyle name="Normal 38 7 2 5" xfId="24028"/>
    <cellStyle name="Normal 38 7 2 6" xfId="24029"/>
    <cellStyle name="Normal 38 7 3" xfId="24030"/>
    <cellStyle name="Normal 38 7 4" xfId="24031"/>
    <cellStyle name="Normal 38 8" xfId="24032"/>
    <cellStyle name="Normal 38 8 2" xfId="24033"/>
    <cellStyle name="Normal 38 8 2 2" xfId="24034"/>
    <cellStyle name="Normal 38 8 2 3" xfId="24035"/>
    <cellStyle name="Normal 38 8 2 4" xfId="24036"/>
    <cellStyle name="Normal 38 8 2 5" xfId="24037"/>
    <cellStyle name="Normal 38 8 2 6" xfId="24038"/>
    <cellStyle name="Normal 38 8 3" xfId="24039"/>
    <cellStyle name="Normal 38 8 4" xfId="24040"/>
    <cellStyle name="Normal 38 9" xfId="24041"/>
    <cellStyle name="Normal 38 9 2" xfId="24042"/>
    <cellStyle name="Normal 38 9 2 2" xfId="24043"/>
    <cellStyle name="Normal 38 9 2 3" xfId="24044"/>
    <cellStyle name="Normal 38 9 2 4" xfId="24045"/>
    <cellStyle name="Normal 38 9 2 5" xfId="24046"/>
    <cellStyle name="Normal 38 9 2 6" xfId="24047"/>
    <cellStyle name="Normal 38 9 3" xfId="24048"/>
    <cellStyle name="Normal 38 9 4" xfId="24049"/>
    <cellStyle name="Normal 39" xfId="24050"/>
    <cellStyle name="Normal 39 10" xfId="24051"/>
    <cellStyle name="Normal 39 10 2" xfId="24052"/>
    <cellStyle name="Normal 39 10 2 2" xfId="24053"/>
    <cellStyle name="Normal 39 10 2 3" xfId="24054"/>
    <cellStyle name="Normal 39 10 2 4" xfId="24055"/>
    <cellStyle name="Normal 39 10 2 5" xfId="24056"/>
    <cellStyle name="Normal 39 10 2 6" xfId="24057"/>
    <cellStyle name="Normal 39 10 3" xfId="24058"/>
    <cellStyle name="Normal 39 10 4" xfId="24059"/>
    <cellStyle name="Normal 39 11" xfId="24060"/>
    <cellStyle name="Normal 39 11 2" xfId="24061"/>
    <cellStyle name="Normal 39 11 3" xfId="24062"/>
    <cellStyle name="Normal 39 11 4" xfId="24063"/>
    <cellStyle name="Normal 39 11 5" xfId="24064"/>
    <cellStyle name="Normal 39 11 6" xfId="24065"/>
    <cellStyle name="Normal 39 12" xfId="24066"/>
    <cellStyle name="Normal 39 13" xfId="24067"/>
    <cellStyle name="Normal 39 2" xfId="24068"/>
    <cellStyle name="Normal 39 2 2" xfId="24069"/>
    <cellStyle name="Normal 39 2 2 2" xfId="24070"/>
    <cellStyle name="Normal 39 2 2 3" xfId="24071"/>
    <cellStyle name="Normal 39 2 2 4" xfId="24072"/>
    <cellStyle name="Normal 39 2 2 5" xfId="24073"/>
    <cellStyle name="Normal 39 2 2 6" xfId="24074"/>
    <cellStyle name="Normal 39 2 3" xfId="24075"/>
    <cellStyle name="Normal 39 2 4" xfId="24076"/>
    <cellStyle name="Normal 39 3" xfId="24077"/>
    <cellStyle name="Normal 39 3 2" xfId="24078"/>
    <cellStyle name="Normal 39 3 2 2" xfId="24079"/>
    <cellStyle name="Normal 39 3 2 3" xfId="24080"/>
    <cellStyle name="Normal 39 3 2 4" xfId="24081"/>
    <cellStyle name="Normal 39 3 2 5" xfId="24082"/>
    <cellStyle name="Normal 39 3 2 6" xfId="24083"/>
    <cellStyle name="Normal 39 3 3" xfId="24084"/>
    <cellStyle name="Normal 39 3 4" xfId="24085"/>
    <cellStyle name="Normal 39 4" xfId="24086"/>
    <cellStyle name="Normal 39 4 2" xfId="24087"/>
    <cellStyle name="Normal 39 4 2 2" xfId="24088"/>
    <cellStyle name="Normal 39 4 2 3" xfId="24089"/>
    <cellStyle name="Normal 39 4 2 4" xfId="24090"/>
    <cellStyle name="Normal 39 4 2 5" xfId="24091"/>
    <cellStyle name="Normal 39 4 2 6" xfId="24092"/>
    <cellStyle name="Normal 39 4 3" xfId="24093"/>
    <cellStyle name="Normal 39 4 4" xfId="24094"/>
    <cellStyle name="Normal 39 5" xfId="24095"/>
    <cellStyle name="Normal 39 5 2" xfId="24096"/>
    <cellStyle name="Normal 39 5 2 2" xfId="24097"/>
    <cellStyle name="Normal 39 5 2 3" xfId="24098"/>
    <cellStyle name="Normal 39 5 2 4" xfId="24099"/>
    <cellStyle name="Normal 39 5 2 5" xfId="24100"/>
    <cellStyle name="Normal 39 5 2 6" xfId="24101"/>
    <cellStyle name="Normal 39 5 3" xfId="24102"/>
    <cellStyle name="Normal 39 5 4" xfId="24103"/>
    <cellStyle name="Normal 39 6" xfId="24104"/>
    <cellStyle name="Normal 39 6 2" xfId="24105"/>
    <cellStyle name="Normal 39 6 2 2" xfId="24106"/>
    <cellStyle name="Normal 39 6 2 3" xfId="24107"/>
    <cellStyle name="Normal 39 6 2 4" xfId="24108"/>
    <cellStyle name="Normal 39 6 2 5" xfId="24109"/>
    <cellStyle name="Normal 39 6 2 6" xfId="24110"/>
    <cellStyle name="Normal 39 6 3" xfId="24111"/>
    <cellStyle name="Normal 39 6 4" xfId="24112"/>
    <cellStyle name="Normal 39 7" xfId="24113"/>
    <cellStyle name="Normal 39 7 2" xfId="24114"/>
    <cellStyle name="Normal 39 7 2 2" xfId="24115"/>
    <cellStyle name="Normal 39 7 2 3" xfId="24116"/>
    <cellStyle name="Normal 39 7 2 4" xfId="24117"/>
    <cellStyle name="Normal 39 7 2 5" xfId="24118"/>
    <cellStyle name="Normal 39 7 2 6" xfId="24119"/>
    <cellStyle name="Normal 39 7 3" xfId="24120"/>
    <cellStyle name="Normal 39 7 4" xfId="24121"/>
    <cellStyle name="Normal 39 8" xfId="24122"/>
    <cellStyle name="Normal 39 8 2" xfId="24123"/>
    <cellStyle name="Normal 39 8 2 2" xfId="24124"/>
    <cellStyle name="Normal 39 8 2 3" xfId="24125"/>
    <cellStyle name="Normal 39 8 2 4" xfId="24126"/>
    <cellStyle name="Normal 39 8 2 5" xfId="24127"/>
    <cellStyle name="Normal 39 8 2 6" xfId="24128"/>
    <cellStyle name="Normal 39 8 3" xfId="24129"/>
    <cellStyle name="Normal 39 8 4" xfId="24130"/>
    <cellStyle name="Normal 39 9" xfId="24131"/>
    <cellStyle name="Normal 39 9 2" xfId="24132"/>
    <cellStyle name="Normal 39 9 2 2" xfId="24133"/>
    <cellStyle name="Normal 39 9 2 3" xfId="24134"/>
    <cellStyle name="Normal 39 9 2 4" xfId="24135"/>
    <cellStyle name="Normal 39 9 2 5" xfId="24136"/>
    <cellStyle name="Normal 39 9 2 6" xfId="24137"/>
    <cellStyle name="Normal 39 9 3" xfId="24138"/>
    <cellStyle name="Normal 39 9 4" xfId="24139"/>
    <cellStyle name="Normal 4" xfId="2"/>
    <cellStyle name="Normal 4 2" xfId="24140"/>
    <cellStyle name="Normal 4 2 2" xfId="24141"/>
    <cellStyle name="Normal 4 2 3" xfId="24142"/>
    <cellStyle name="Normal 4 2 4" xfId="24143"/>
    <cellStyle name="Normal 4 2 5" xfId="24144"/>
    <cellStyle name="Normal 4 2 6" xfId="24145"/>
    <cellStyle name="Normal 4 3" xfId="24146"/>
    <cellStyle name="Normal 4 4" xfId="24147"/>
    <cellStyle name="Normal 40" xfId="24148"/>
    <cellStyle name="Normal 40 10" xfId="24149"/>
    <cellStyle name="Normal 40 10 2" xfId="24150"/>
    <cellStyle name="Normal 40 10 2 2" xfId="24151"/>
    <cellStyle name="Normal 40 10 2 3" xfId="24152"/>
    <cellStyle name="Normal 40 10 2 4" xfId="24153"/>
    <cellStyle name="Normal 40 10 2 5" xfId="24154"/>
    <cellStyle name="Normal 40 10 2 6" xfId="24155"/>
    <cellStyle name="Normal 40 10 3" xfId="24156"/>
    <cellStyle name="Normal 40 10 4" xfId="24157"/>
    <cellStyle name="Normal 40 11" xfId="24158"/>
    <cellStyle name="Normal 40 11 2" xfId="24159"/>
    <cellStyle name="Normal 40 11 3" xfId="24160"/>
    <cellStyle name="Normal 40 11 4" xfId="24161"/>
    <cellStyle name="Normal 40 11 5" xfId="24162"/>
    <cellStyle name="Normal 40 11 6" xfId="24163"/>
    <cellStyle name="Normal 40 12" xfId="24164"/>
    <cellStyle name="Normal 40 13" xfId="24165"/>
    <cellStyle name="Normal 40 2" xfId="24166"/>
    <cellStyle name="Normal 40 2 2" xfId="24167"/>
    <cellStyle name="Normal 40 2 2 2" xfId="24168"/>
    <cellStyle name="Normal 40 2 2 3" xfId="24169"/>
    <cellStyle name="Normal 40 2 2 4" xfId="24170"/>
    <cellStyle name="Normal 40 2 2 5" xfId="24171"/>
    <cellStyle name="Normal 40 2 2 6" xfId="24172"/>
    <cellStyle name="Normal 40 2 3" xfId="24173"/>
    <cellStyle name="Normal 40 2 4" xfId="24174"/>
    <cellStyle name="Normal 40 3" xfId="24175"/>
    <cellStyle name="Normal 40 3 2" xfId="24176"/>
    <cellStyle name="Normal 40 3 2 2" xfId="24177"/>
    <cellStyle name="Normal 40 3 2 3" xfId="24178"/>
    <cellStyle name="Normal 40 3 2 4" xfId="24179"/>
    <cellStyle name="Normal 40 3 2 5" xfId="24180"/>
    <cellStyle name="Normal 40 3 2 6" xfId="24181"/>
    <cellStyle name="Normal 40 3 3" xfId="24182"/>
    <cellStyle name="Normal 40 3 4" xfId="24183"/>
    <cellStyle name="Normal 40 4" xfId="24184"/>
    <cellStyle name="Normal 40 4 2" xfId="24185"/>
    <cellStyle name="Normal 40 4 2 2" xfId="24186"/>
    <cellStyle name="Normal 40 4 2 3" xfId="24187"/>
    <cellStyle name="Normal 40 4 2 4" xfId="24188"/>
    <cellStyle name="Normal 40 4 2 5" xfId="24189"/>
    <cellStyle name="Normal 40 4 2 6" xfId="24190"/>
    <cellStyle name="Normal 40 4 3" xfId="24191"/>
    <cellStyle name="Normal 40 4 4" xfId="24192"/>
    <cellStyle name="Normal 40 5" xfId="24193"/>
    <cellStyle name="Normal 40 5 2" xfId="24194"/>
    <cellStyle name="Normal 40 5 2 2" xfId="24195"/>
    <cellStyle name="Normal 40 5 2 3" xfId="24196"/>
    <cellStyle name="Normal 40 5 2 4" xfId="24197"/>
    <cellStyle name="Normal 40 5 2 5" xfId="24198"/>
    <cellStyle name="Normal 40 5 2 6" xfId="24199"/>
    <cellStyle name="Normal 40 5 3" xfId="24200"/>
    <cellStyle name="Normal 40 5 4" xfId="24201"/>
    <cellStyle name="Normal 40 6" xfId="24202"/>
    <cellStyle name="Normal 40 6 2" xfId="24203"/>
    <cellStyle name="Normal 40 6 2 2" xfId="24204"/>
    <cellStyle name="Normal 40 6 2 3" xfId="24205"/>
    <cellStyle name="Normal 40 6 2 4" xfId="24206"/>
    <cellStyle name="Normal 40 6 2 5" xfId="24207"/>
    <cellStyle name="Normal 40 6 2 6" xfId="24208"/>
    <cellStyle name="Normal 40 6 3" xfId="24209"/>
    <cellStyle name="Normal 40 6 4" xfId="24210"/>
    <cellStyle name="Normal 40 7" xfId="24211"/>
    <cellStyle name="Normal 40 7 2" xfId="24212"/>
    <cellStyle name="Normal 40 7 2 2" xfId="24213"/>
    <cellStyle name="Normal 40 7 2 3" xfId="24214"/>
    <cellStyle name="Normal 40 7 2 4" xfId="24215"/>
    <cellStyle name="Normal 40 7 2 5" xfId="24216"/>
    <cellStyle name="Normal 40 7 2 6" xfId="24217"/>
    <cellStyle name="Normal 40 7 3" xfId="24218"/>
    <cellStyle name="Normal 40 7 4" xfId="24219"/>
    <cellStyle name="Normal 40 8" xfId="24220"/>
    <cellStyle name="Normal 40 8 2" xfId="24221"/>
    <cellStyle name="Normal 40 8 2 2" xfId="24222"/>
    <cellStyle name="Normal 40 8 2 3" xfId="24223"/>
    <cellStyle name="Normal 40 8 2 4" xfId="24224"/>
    <cellStyle name="Normal 40 8 2 5" xfId="24225"/>
    <cellStyle name="Normal 40 8 2 6" xfId="24226"/>
    <cellStyle name="Normal 40 8 3" xfId="24227"/>
    <cellStyle name="Normal 40 8 4" xfId="24228"/>
    <cellStyle name="Normal 40 9" xfId="24229"/>
    <cellStyle name="Normal 40 9 2" xfId="24230"/>
    <cellStyle name="Normal 40 9 2 2" xfId="24231"/>
    <cellStyle name="Normal 40 9 2 3" xfId="24232"/>
    <cellStyle name="Normal 40 9 2 4" xfId="24233"/>
    <cellStyle name="Normal 40 9 2 5" xfId="24234"/>
    <cellStyle name="Normal 40 9 2 6" xfId="24235"/>
    <cellStyle name="Normal 40 9 3" xfId="24236"/>
    <cellStyle name="Normal 40 9 4" xfId="24237"/>
    <cellStyle name="Normal 41" xfId="24238"/>
    <cellStyle name="Normal 41 10" xfId="24239"/>
    <cellStyle name="Normal 41 10 2" xfId="24240"/>
    <cellStyle name="Normal 41 10 2 2" xfId="24241"/>
    <cellStyle name="Normal 41 10 2 3" xfId="24242"/>
    <cellStyle name="Normal 41 10 2 4" xfId="24243"/>
    <cellStyle name="Normal 41 10 2 5" xfId="24244"/>
    <cellStyle name="Normal 41 10 2 6" xfId="24245"/>
    <cellStyle name="Normal 41 10 3" xfId="24246"/>
    <cellStyle name="Normal 41 10 4" xfId="24247"/>
    <cellStyle name="Normal 41 11" xfId="24248"/>
    <cellStyle name="Normal 41 11 2" xfId="24249"/>
    <cellStyle name="Normal 41 11 3" xfId="24250"/>
    <cellStyle name="Normal 41 11 4" xfId="24251"/>
    <cellStyle name="Normal 41 11 5" xfId="24252"/>
    <cellStyle name="Normal 41 11 6" xfId="24253"/>
    <cellStyle name="Normal 41 12" xfId="24254"/>
    <cellStyle name="Normal 41 13" xfId="24255"/>
    <cellStyle name="Normal 41 2" xfId="24256"/>
    <cellStyle name="Normal 41 2 2" xfId="24257"/>
    <cellStyle name="Normal 41 2 2 2" xfId="24258"/>
    <cellStyle name="Normal 41 2 2 3" xfId="24259"/>
    <cellStyle name="Normal 41 2 2 4" xfId="24260"/>
    <cellStyle name="Normal 41 2 2 5" xfId="24261"/>
    <cellStyle name="Normal 41 2 2 6" xfId="24262"/>
    <cellStyle name="Normal 41 2 3" xfId="24263"/>
    <cellStyle name="Normal 41 2 4" xfId="24264"/>
    <cellStyle name="Normal 41 3" xfId="24265"/>
    <cellStyle name="Normal 41 3 2" xfId="24266"/>
    <cellStyle name="Normal 41 3 2 2" xfId="24267"/>
    <cellStyle name="Normal 41 3 2 3" xfId="24268"/>
    <cellStyle name="Normal 41 3 2 4" xfId="24269"/>
    <cellStyle name="Normal 41 3 2 5" xfId="24270"/>
    <cellStyle name="Normal 41 3 2 6" xfId="24271"/>
    <cellStyle name="Normal 41 3 3" xfId="24272"/>
    <cellStyle name="Normal 41 3 4" xfId="24273"/>
    <cellStyle name="Normal 41 4" xfId="24274"/>
    <cellStyle name="Normal 41 4 2" xfId="24275"/>
    <cellStyle name="Normal 41 4 2 2" xfId="24276"/>
    <cellStyle name="Normal 41 4 2 3" xfId="24277"/>
    <cellStyle name="Normal 41 4 2 4" xfId="24278"/>
    <cellStyle name="Normal 41 4 2 5" xfId="24279"/>
    <cellStyle name="Normal 41 4 2 6" xfId="24280"/>
    <cellStyle name="Normal 41 4 3" xfId="24281"/>
    <cellStyle name="Normal 41 4 4" xfId="24282"/>
    <cellStyle name="Normal 41 5" xfId="24283"/>
    <cellStyle name="Normal 41 5 2" xfId="24284"/>
    <cellStyle name="Normal 41 5 2 2" xfId="24285"/>
    <cellStyle name="Normal 41 5 2 3" xfId="24286"/>
    <cellStyle name="Normal 41 5 2 4" xfId="24287"/>
    <cellStyle name="Normal 41 5 2 5" xfId="24288"/>
    <cellStyle name="Normal 41 5 2 6" xfId="24289"/>
    <cellStyle name="Normal 41 5 3" xfId="24290"/>
    <cellStyle name="Normal 41 5 4" xfId="24291"/>
    <cellStyle name="Normal 41 6" xfId="24292"/>
    <cellStyle name="Normal 41 6 2" xfId="24293"/>
    <cellStyle name="Normal 41 6 2 2" xfId="24294"/>
    <cellStyle name="Normal 41 6 2 3" xfId="24295"/>
    <cellStyle name="Normal 41 6 2 4" xfId="24296"/>
    <cellStyle name="Normal 41 6 2 5" xfId="24297"/>
    <cellStyle name="Normal 41 6 2 6" xfId="24298"/>
    <cellStyle name="Normal 41 6 3" xfId="24299"/>
    <cellStyle name="Normal 41 6 4" xfId="24300"/>
    <cellStyle name="Normal 41 7" xfId="24301"/>
    <cellStyle name="Normal 41 7 2" xfId="24302"/>
    <cellStyle name="Normal 41 7 2 2" xfId="24303"/>
    <cellStyle name="Normal 41 7 2 3" xfId="24304"/>
    <cellStyle name="Normal 41 7 2 4" xfId="24305"/>
    <cellStyle name="Normal 41 7 2 5" xfId="24306"/>
    <cellStyle name="Normal 41 7 2 6" xfId="24307"/>
    <cellStyle name="Normal 41 7 3" xfId="24308"/>
    <cellStyle name="Normal 41 7 4" xfId="24309"/>
    <cellStyle name="Normal 41 8" xfId="24310"/>
    <cellStyle name="Normal 41 8 2" xfId="24311"/>
    <cellStyle name="Normal 41 8 2 2" xfId="24312"/>
    <cellStyle name="Normal 41 8 2 3" xfId="24313"/>
    <cellStyle name="Normal 41 8 2 4" xfId="24314"/>
    <cellStyle name="Normal 41 8 2 5" xfId="24315"/>
    <cellStyle name="Normal 41 8 2 6" xfId="24316"/>
    <cellStyle name="Normal 41 8 3" xfId="24317"/>
    <cellStyle name="Normal 41 8 4" xfId="24318"/>
    <cellStyle name="Normal 41 9" xfId="24319"/>
    <cellStyle name="Normal 41 9 2" xfId="24320"/>
    <cellStyle name="Normal 41 9 2 2" xfId="24321"/>
    <cellStyle name="Normal 41 9 2 3" xfId="24322"/>
    <cellStyle name="Normal 41 9 2 4" xfId="24323"/>
    <cellStyle name="Normal 41 9 2 5" xfId="24324"/>
    <cellStyle name="Normal 41 9 2 6" xfId="24325"/>
    <cellStyle name="Normal 41 9 3" xfId="24326"/>
    <cellStyle name="Normal 41 9 4" xfId="24327"/>
    <cellStyle name="Normal 42" xfId="24328"/>
    <cellStyle name="Normal 42 10" xfId="24329"/>
    <cellStyle name="Normal 42 10 2" xfId="24330"/>
    <cellStyle name="Normal 42 10 2 2" xfId="24331"/>
    <cellStyle name="Normal 42 10 2 3" xfId="24332"/>
    <cellStyle name="Normal 42 10 2 4" xfId="24333"/>
    <cellStyle name="Normal 42 10 2 5" xfId="24334"/>
    <cellStyle name="Normal 42 10 2 6" xfId="24335"/>
    <cellStyle name="Normal 42 10 3" xfId="24336"/>
    <cellStyle name="Normal 42 10 4" xfId="24337"/>
    <cellStyle name="Normal 42 11" xfId="24338"/>
    <cellStyle name="Normal 42 11 2" xfId="24339"/>
    <cellStyle name="Normal 42 11 3" xfId="24340"/>
    <cellStyle name="Normal 42 11 4" xfId="24341"/>
    <cellStyle name="Normal 42 11 5" xfId="24342"/>
    <cellStyle name="Normal 42 11 6" xfId="24343"/>
    <cellStyle name="Normal 42 12" xfId="24344"/>
    <cellStyle name="Normal 42 13" xfId="24345"/>
    <cellStyle name="Normal 42 2" xfId="24346"/>
    <cellStyle name="Normal 42 2 2" xfId="24347"/>
    <cellStyle name="Normal 42 2 2 2" xfId="24348"/>
    <cellStyle name="Normal 42 2 2 3" xfId="24349"/>
    <cellStyle name="Normal 42 2 2 4" xfId="24350"/>
    <cellStyle name="Normal 42 2 2 5" xfId="24351"/>
    <cellStyle name="Normal 42 2 2 6" xfId="24352"/>
    <cellStyle name="Normal 42 2 3" xfId="24353"/>
    <cellStyle name="Normal 42 2 4" xfId="24354"/>
    <cellStyle name="Normal 42 3" xfId="24355"/>
    <cellStyle name="Normal 42 3 2" xfId="24356"/>
    <cellStyle name="Normal 42 3 2 2" xfId="24357"/>
    <cellStyle name="Normal 42 3 2 3" xfId="24358"/>
    <cellStyle name="Normal 42 3 2 4" xfId="24359"/>
    <cellStyle name="Normal 42 3 2 5" xfId="24360"/>
    <cellStyle name="Normal 42 3 2 6" xfId="24361"/>
    <cellStyle name="Normal 42 3 3" xfId="24362"/>
    <cellStyle name="Normal 42 3 4" xfId="24363"/>
    <cellStyle name="Normal 42 4" xfId="24364"/>
    <cellStyle name="Normal 42 4 2" xfId="24365"/>
    <cellStyle name="Normal 42 4 2 2" xfId="24366"/>
    <cellStyle name="Normal 42 4 2 3" xfId="24367"/>
    <cellStyle name="Normal 42 4 2 4" xfId="24368"/>
    <cellStyle name="Normal 42 4 2 5" xfId="24369"/>
    <cellStyle name="Normal 42 4 2 6" xfId="24370"/>
    <cellStyle name="Normal 42 4 3" xfId="24371"/>
    <cellStyle name="Normal 42 4 4" xfId="24372"/>
    <cellStyle name="Normal 42 5" xfId="24373"/>
    <cellStyle name="Normal 42 5 2" xfId="24374"/>
    <cellStyle name="Normal 42 5 2 2" xfId="24375"/>
    <cellStyle name="Normal 42 5 2 3" xfId="24376"/>
    <cellStyle name="Normal 42 5 2 4" xfId="24377"/>
    <cellStyle name="Normal 42 5 2 5" xfId="24378"/>
    <cellStyle name="Normal 42 5 2 6" xfId="24379"/>
    <cellStyle name="Normal 42 5 3" xfId="24380"/>
    <cellStyle name="Normal 42 5 4" xfId="24381"/>
    <cellStyle name="Normal 42 6" xfId="24382"/>
    <cellStyle name="Normal 42 6 2" xfId="24383"/>
    <cellStyle name="Normal 42 6 2 2" xfId="24384"/>
    <cellStyle name="Normal 42 6 2 3" xfId="24385"/>
    <cellStyle name="Normal 42 6 2 4" xfId="24386"/>
    <cellStyle name="Normal 42 6 2 5" xfId="24387"/>
    <cellStyle name="Normal 42 6 2 6" xfId="24388"/>
    <cellStyle name="Normal 42 6 3" xfId="24389"/>
    <cellStyle name="Normal 42 6 4" xfId="24390"/>
    <cellStyle name="Normal 42 7" xfId="24391"/>
    <cellStyle name="Normal 42 7 2" xfId="24392"/>
    <cellStyle name="Normal 42 7 2 2" xfId="24393"/>
    <cellStyle name="Normal 42 7 2 3" xfId="24394"/>
    <cellStyle name="Normal 42 7 2 4" xfId="24395"/>
    <cellStyle name="Normal 42 7 2 5" xfId="24396"/>
    <cellStyle name="Normal 42 7 2 6" xfId="24397"/>
    <cellStyle name="Normal 42 7 3" xfId="24398"/>
    <cellStyle name="Normal 42 7 4" xfId="24399"/>
    <cellStyle name="Normal 42 8" xfId="24400"/>
    <cellStyle name="Normal 42 8 2" xfId="24401"/>
    <cellStyle name="Normal 42 8 2 2" xfId="24402"/>
    <cellStyle name="Normal 42 8 2 3" xfId="24403"/>
    <cellStyle name="Normal 42 8 2 4" xfId="24404"/>
    <cellStyle name="Normal 42 8 2 5" xfId="24405"/>
    <cellStyle name="Normal 42 8 2 6" xfId="24406"/>
    <cellStyle name="Normal 42 8 3" xfId="24407"/>
    <cellStyle name="Normal 42 8 4" xfId="24408"/>
    <cellStyle name="Normal 42 9" xfId="24409"/>
    <cellStyle name="Normal 42 9 2" xfId="24410"/>
    <cellStyle name="Normal 42 9 2 2" xfId="24411"/>
    <cellStyle name="Normal 42 9 2 3" xfId="24412"/>
    <cellStyle name="Normal 42 9 2 4" xfId="24413"/>
    <cellStyle name="Normal 42 9 2 5" xfId="24414"/>
    <cellStyle name="Normal 42 9 2 6" xfId="24415"/>
    <cellStyle name="Normal 42 9 3" xfId="24416"/>
    <cellStyle name="Normal 42 9 4" xfId="24417"/>
    <cellStyle name="Normal 43" xfId="24418"/>
    <cellStyle name="Normal 43 10" xfId="24419"/>
    <cellStyle name="Normal 43 10 2" xfId="24420"/>
    <cellStyle name="Normal 43 10 2 2" xfId="24421"/>
    <cellStyle name="Normal 43 10 2 3" xfId="24422"/>
    <cellStyle name="Normal 43 10 2 4" xfId="24423"/>
    <cellStyle name="Normal 43 10 2 5" xfId="24424"/>
    <cellStyle name="Normal 43 10 2 6" xfId="24425"/>
    <cellStyle name="Normal 43 10 3" xfId="24426"/>
    <cellStyle name="Normal 43 10 4" xfId="24427"/>
    <cellStyle name="Normal 43 11" xfId="24428"/>
    <cellStyle name="Normal 43 11 2" xfId="24429"/>
    <cellStyle name="Normal 43 11 3" xfId="24430"/>
    <cellStyle name="Normal 43 11 4" xfId="24431"/>
    <cellStyle name="Normal 43 11 5" xfId="24432"/>
    <cellStyle name="Normal 43 11 6" xfId="24433"/>
    <cellStyle name="Normal 43 12" xfId="24434"/>
    <cellStyle name="Normal 43 13" xfId="24435"/>
    <cellStyle name="Normal 43 2" xfId="24436"/>
    <cellStyle name="Normal 43 2 2" xfId="24437"/>
    <cellStyle name="Normal 43 2 2 2" xfId="24438"/>
    <cellStyle name="Normal 43 2 2 3" xfId="24439"/>
    <cellStyle name="Normal 43 2 2 4" xfId="24440"/>
    <cellStyle name="Normal 43 2 2 5" xfId="24441"/>
    <cellStyle name="Normal 43 2 2 6" xfId="24442"/>
    <cellStyle name="Normal 43 2 3" xfId="24443"/>
    <cellStyle name="Normal 43 2 4" xfId="24444"/>
    <cellStyle name="Normal 43 3" xfId="24445"/>
    <cellStyle name="Normal 43 3 2" xfId="24446"/>
    <cellStyle name="Normal 43 3 2 2" xfId="24447"/>
    <cellStyle name="Normal 43 3 2 3" xfId="24448"/>
    <cellStyle name="Normal 43 3 2 4" xfId="24449"/>
    <cellStyle name="Normal 43 3 2 5" xfId="24450"/>
    <cellStyle name="Normal 43 3 2 6" xfId="24451"/>
    <cellStyle name="Normal 43 3 3" xfId="24452"/>
    <cellStyle name="Normal 43 3 4" xfId="24453"/>
    <cellStyle name="Normal 43 4" xfId="24454"/>
    <cellStyle name="Normal 43 4 2" xfId="24455"/>
    <cellStyle name="Normal 43 4 2 2" xfId="24456"/>
    <cellStyle name="Normal 43 4 2 3" xfId="24457"/>
    <cellStyle name="Normal 43 4 2 4" xfId="24458"/>
    <cellStyle name="Normal 43 4 2 5" xfId="24459"/>
    <cellStyle name="Normal 43 4 2 6" xfId="24460"/>
    <cellStyle name="Normal 43 4 3" xfId="24461"/>
    <cellStyle name="Normal 43 4 4" xfId="24462"/>
    <cellStyle name="Normal 43 5" xfId="24463"/>
    <cellStyle name="Normal 43 5 2" xfId="24464"/>
    <cellStyle name="Normal 43 5 2 2" xfId="24465"/>
    <cellStyle name="Normal 43 5 2 3" xfId="24466"/>
    <cellStyle name="Normal 43 5 2 4" xfId="24467"/>
    <cellStyle name="Normal 43 5 2 5" xfId="24468"/>
    <cellStyle name="Normal 43 5 2 6" xfId="24469"/>
    <cellStyle name="Normal 43 5 3" xfId="24470"/>
    <cellStyle name="Normal 43 5 4" xfId="24471"/>
    <cellStyle name="Normal 43 6" xfId="24472"/>
    <cellStyle name="Normal 43 6 2" xfId="24473"/>
    <cellStyle name="Normal 43 6 2 2" xfId="24474"/>
    <cellStyle name="Normal 43 6 2 3" xfId="24475"/>
    <cellStyle name="Normal 43 6 2 4" xfId="24476"/>
    <cellStyle name="Normal 43 6 2 5" xfId="24477"/>
    <cellStyle name="Normal 43 6 2 6" xfId="24478"/>
    <cellStyle name="Normal 43 6 3" xfId="24479"/>
    <cellStyle name="Normal 43 6 4" xfId="24480"/>
    <cellStyle name="Normal 43 7" xfId="24481"/>
    <cellStyle name="Normal 43 7 2" xfId="24482"/>
    <cellStyle name="Normal 43 7 2 2" xfId="24483"/>
    <cellStyle name="Normal 43 7 2 3" xfId="24484"/>
    <cellStyle name="Normal 43 7 2 4" xfId="24485"/>
    <cellStyle name="Normal 43 7 2 5" xfId="24486"/>
    <cellStyle name="Normal 43 7 2 6" xfId="24487"/>
    <cellStyle name="Normal 43 7 3" xfId="24488"/>
    <cellStyle name="Normal 43 7 4" xfId="24489"/>
    <cellStyle name="Normal 43 8" xfId="24490"/>
    <cellStyle name="Normal 43 8 2" xfId="24491"/>
    <cellStyle name="Normal 43 8 2 2" xfId="24492"/>
    <cellStyle name="Normal 43 8 2 3" xfId="24493"/>
    <cellStyle name="Normal 43 8 2 4" xfId="24494"/>
    <cellStyle name="Normal 43 8 2 5" xfId="24495"/>
    <cellStyle name="Normal 43 8 2 6" xfId="24496"/>
    <cellStyle name="Normal 43 8 3" xfId="24497"/>
    <cellStyle name="Normal 43 8 4" xfId="24498"/>
    <cellStyle name="Normal 43 9" xfId="24499"/>
    <cellStyle name="Normal 43 9 2" xfId="24500"/>
    <cellStyle name="Normal 43 9 2 2" xfId="24501"/>
    <cellStyle name="Normal 43 9 2 3" xfId="24502"/>
    <cellStyle name="Normal 43 9 2 4" xfId="24503"/>
    <cellStyle name="Normal 43 9 2 5" xfId="24504"/>
    <cellStyle name="Normal 43 9 2 6" xfId="24505"/>
    <cellStyle name="Normal 43 9 3" xfId="24506"/>
    <cellStyle name="Normal 43 9 4" xfId="24507"/>
    <cellStyle name="Normal 44" xfId="24508"/>
    <cellStyle name="Normal 44 10" xfId="24509"/>
    <cellStyle name="Normal 44 10 2" xfId="24510"/>
    <cellStyle name="Normal 44 10 2 2" xfId="24511"/>
    <cellStyle name="Normal 44 10 2 3" xfId="24512"/>
    <cellStyle name="Normal 44 10 2 4" xfId="24513"/>
    <cellStyle name="Normal 44 10 2 5" xfId="24514"/>
    <cellStyle name="Normal 44 10 2 6" xfId="24515"/>
    <cellStyle name="Normal 44 10 3" xfId="24516"/>
    <cellStyle name="Normal 44 10 4" xfId="24517"/>
    <cellStyle name="Normal 44 11" xfId="24518"/>
    <cellStyle name="Normal 44 11 2" xfId="24519"/>
    <cellStyle name="Normal 44 11 3" xfId="24520"/>
    <cellStyle name="Normal 44 11 4" xfId="24521"/>
    <cellStyle name="Normal 44 11 5" xfId="24522"/>
    <cellStyle name="Normal 44 11 6" xfId="24523"/>
    <cellStyle name="Normal 44 12" xfId="24524"/>
    <cellStyle name="Normal 44 13" xfId="24525"/>
    <cellStyle name="Normal 44 2" xfId="24526"/>
    <cellStyle name="Normal 44 2 2" xfId="24527"/>
    <cellStyle name="Normal 44 2 2 2" xfId="24528"/>
    <cellStyle name="Normal 44 2 2 3" xfId="24529"/>
    <cellStyle name="Normal 44 2 2 4" xfId="24530"/>
    <cellStyle name="Normal 44 2 2 5" xfId="24531"/>
    <cellStyle name="Normal 44 2 2 6" xfId="24532"/>
    <cellStyle name="Normal 44 2 3" xfId="24533"/>
    <cellStyle name="Normal 44 2 4" xfId="24534"/>
    <cellStyle name="Normal 44 3" xfId="24535"/>
    <cellStyle name="Normal 44 3 2" xfId="24536"/>
    <cellStyle name="Normal 44 3 2 2" xfId="24537"/>
    <cellStyle name="Normal 44 3 2 3" xfId="24538"/>
    <cellStyle name="Normal 44 3 2 4" xfId="24539"/>
    <cellStyle name="Normal 44 3 2 5" xfId="24540"/>
    <cellStyle name="Normal 44 3 2 6" xfId="24541"/>
    <cellStyle name="Normal 44 3 3" xfId="24542"/>
    <cellStyle name="Normal 44 3 4" xfId="24543"/>
    <cellStyle name="Normal 44 4" xfId="24544"/>
    <cellStyle name="Normal 44 4 2" xfId="24545"/>
    <cellStyle name="Normal 44 4 2 2" xfId="24546"/>
    <cellStyle name="Normal 44 4 2 3" xfId="24547"/>
    <cellStyle name="Normal 44 4 2 4" xfId="24548"/>
    <cellStyle name="Normal 44 4 2 5" xfId="24549"/>
    <cellStyle name="Normal 44 4 2 6" xfId="24550"/>
    <cellStyle name="Normal 44 4 3" xfId="24551"/>
    <cellStyle name="Normal 44 4 4" xfId="24552"/>
    <cellStyle name="Normal 44 5" xfId="24553"/>
    <cellStyle name="Normal 44 5 2" xfId="24554"/>
    <cellStyle name="Normal 44 5 2 2" xfId="24555"/>
    <cellStyle name="Normal 44 5 2 3" xfId="24556"/>
    <cellStyle name="Normal 44 5 2 4" xfId="24557"/>
    <cellStyle name="Normal 44 5 2 5" xfId="24558"/>
    <cellStyle name="Normal 44 5 2 6" xfId="24559"/>
    <cellStyle name="Normal 44 5 3" xfId="24560"/>
    <cellStyle name="Normal 44 5 4" xfId="24561"/>
    <cellStyle name="Normal 44 6" xfId="24562"/>
    <cellStyle name="Normal 44 6 2" xfId="24563"/>
    <cellStyle name="Normal 44 6 2 2" xfId="24564"/>
    <cellStyle name="Normal 44 6 2 3" xfId="24565"/>
    <cellStyle name="Normal 44 6 2 4" xfId="24566"/>
    <cellStyle name="Normal 44 6 2 5" xfId="24567"/>
    <cellStyle name="Normal 44 6 2 6" xfId="24568"/>
    <cellStyle name="Normal 44 6 3" xfId="24569"/>
    <cellStyle name="Normal 44 6 4" xfId="24570"/>
    <cellStyle name="Normal 44 7" xfId="24571"/>
    <cellStyle name="Normal 44 7 2" xfId="24572"/>
    <cellStyle name="Normal 44 7 2 2" xfId="24573"/>
    <cellStyle name="Normal 44 7 2 3" xfId="24574"/>
    <cellStyle name="Normal 44 7 2 4" xfId="24575"/>
    <cellStyle name="Normal 44 7 2 5" xfId="24576"/>
    <cellStyle name="Normal 44 7 2 6" xfId="24577"/>
    <cellStyle name="Normal 44 7 3" xfId="24578"/>
    <cellStyle name="Normal 44 7 4" xfId="24579"/>
    <cellStyle name="Normal 44 8" xfId="24580"/>
    <cellStyle name="Normal 44 8 2" xfId="24581"/>
    <cellStyle name="Normal 44 8 2 2" xfId="24582"/>
    <cellStyle name="Normal 44 8 2 3" xfId="24583"/>
    <cellStyle name="Normal 44 8 2 4" xfId="24584"/>
    <cellStyle name="Normal 44 8 2 5" xfId="24585"/>
    <cellStyle name="Normal 44 8 2 6" xfId="24586"/>
    <cellStyle name="Normal 44 8 3" xfId="24587"/>
    <cellStyle name="Normal 44 8 4" xfId="24588"/>
    <cellStyle name="Normal 44 9" xfId="24589"/>
    <cellStyle name="Normal 44 9 2" xfId="24590"/>
    <cellStyle name="Normal 44 9 2 2" xfId="24591"/>
    <cellStyle name="Normal 44 9 2 3" xfId="24592"/>
    <cellStyle name="Normal 44 9 2 4" xfId="24593"/>
    <cellStyle name="Normal 44 9 2 5" xfId="24594"/>
    <cellStyle name="Normal 44 9 2 6" xfId="24595"/>
    <cellStyle name="Normal 44 9 3" xfId="24596"/>
    <cellStyle name="Normal 44 9 4" xfId="24597"/>
    <cellStyle name="Normal 45" xfId="24598"/>
    <cellStyle name="Normal 45 10" xfId="24599"/>
    <cellStyle name="Normal 45 10 2" xfId="24600"/>
    <cellStyle name="Normal 45 10 2 2" xfId="24601"/>
    <cellStyle name="Normal 45 10 2 3" xfId="24602"/>
    <cellStyle name="Normal 45 10 2 4" xfId="24603"/>
    <cellStyle name="Normal 45 10 2 5" xfId="24604"/>
    <cellStyle name="Normal 45 10 2 6" xfId="24605"/>
    <cellStyle name="Normal 45 10 3" xfId="24606"/>
    <cellStyle name="Normal 45 10 4" xfId="24607"/>
    <cellStyle name="Normal 45 11" xfId="24608"/>
    <cellStyle name="Normal 45 11 2" xfId="24609"/>
    <cellStyle name="Normal 45 11 3" xfId="24610"/>
    <cellStyle name="Normal 45 11 4" xfId="24611"/>
    <cellStyle name="Normal 45 11 5" xfId="24612"/>
    <cellStyle name="Normal 45 11 6" xfId="24613"/>
    <cellStyle name="Normal 45 12" xfId="24614"/>
    <cellStyle name="Normal 45 13" xfId="24615"/>
    <cellStyle name="Normal 45 2" xfId="24616"/>
    <cellStyle name="Normal 45 2 2" xfId="24617"/>
    <cellStyle name="Normal 45 2 2 2" xfId="24618"/>
    <cellStyle name="Normal 45 2 2 3" xfId="24619"/>
    <cellStyle name="Normal 45 2 2 4" xfId="24620"/>
    <cellStyle name="Normal 45 2 2 5" xfId="24621"/>
    <cellStyle name="Normal 45 2 2 6" xfId="24622"/>
    <cellStyle name="Normal 45 2 3" xfId="24623"/>
    <cellStyle name="Normal 45 2 4" xfId="24624"/>
    <cellStyle name="Normal 45 3" xfId="24625"/>
    <cellStyle name="Normal 45 3 2" xfId="24626"/>
    <cellStyle name="Normal 45 3 2 2" xfId="24627"/>
    <cellStyle name="Normal 45 3 2 3" xfId="24628"/>
    <cellStyle name="Normal 45 3 2 4" xfId="24629"/>
    <cellStyle name="Normal 45 3 2 5" xfId="24630"/>
    <cellStyle name="Normal 45 3 2 6" xfId="24631"/>
    <cellStyle name="Normal 45 3 3" xfId="24632"/>
    <cellStyle name="Normal 45 3 4" xfId="24633"/>
    <cellStyle name="Normal 45 4" xfId="24634"/>
    <cellStyle name="Normal 45 4 2" xfId="24635"/>
    <cellStyle name="Normal 45 4 2 2" xfId="24636"/>
    <cellStyle name="Normal 45 4 2 3" xfId="24637"/>
    <cellStyle name="Normal 45 4 2 4" xfId="24638"/>
    <cellStyle name="Normal 45 4 2 5" xfId="24639"/>
    <cellStyle name="Normal 45 4 2 6" xfId="24640"/>
    <cellStyle name="Normal 45 4 3" xfId="24641"/>
    <cellStyle name="Normal 45 4 4" xfId="24642"/>
    <cellStyle name="Normal 45 5" xfId="24643"/>
    <cellStyle name="Normal 45 5 2" xfId="24644"/>
    <cellStyle name="Normal 45 5 2 2" xfId="24645"/>
    <cellStyle name="Normal 45 5 2 3" xfId="24646"/>
    <cellStyle name="Normal 45 5 2 4" xfId="24647"/>
    <cellStyle name="Normal 45 5 2 5" xfId="24648"/>
    <cellStyle name="Normal 45 5 2 6" xfId="24649"/>
    <cellStyle name="Normal 45 5 3" xfId="24650"/>
    <cellStyle name="Normal 45 5 4" xfId="24651"/>
    <cellStyle name="Normal 45 6" xfId="24652"/>
    <cellStyle name="Normal 45 6 2" xfId="24653"/>
    <cellStyle name="Normal 45 6 2 2" xfId="24654"/>
    <cellStyle name="Normal 45 6 2 3" xfId="24655"/>
    <cellStyle name="Normal 45 6 2 4" xfId="24656"/>
    <cellStyle name="Normal 45 6 2 5" xfId="24657"/>
    <cellStyle name="Normal 45 6 2 6" xfId="24658"/>
    <cellStyle name="Normal 45 6 3" xfId="24659"/>
    <cellStyle name="Normal 45 6 4" xfId="24660"/>
    <cellStyle name="Normal 45 7" xfId="24661"/>
    <cellStyle name="Normal 45 7 2" xfId="24662"/>
    <cellStyle name="Normal 45 7 2 2" xfId="24663"/>
    <cellStyle name="Normal 45 7 2 3" xfId="24664"/>
    <cellStyle name="Normal 45 7 2 4" xfId="24665"/>
    <cellStyle name="Normal 45 7 2 5" xfId="24666"/>
    <cellStyle name="Normal 45 7 2 6" xfId="24667"/>
    <cellStyle name="Normal 45 7 3" xfId="24668"/>
    <cellStyle name="Normal 45 7 4" xfId="24669"/>
    <cellStyle name="Normal 45 8" xfId="24670"/>
    <cellStyle name="Normal 45 8 2" xfId="24671"/>
    <cellStyle name="Normal 45 8 2 2" xfId="24672"/>
    <cellStyle name="Normal 45 8 2 3" xfId="24673"/>
    <cellStyle name="Normal 45 8 2 4" xfId="24674"/>
    <cellStyle name="Normal 45 8 2 5" xfId="24675"/>
    <cellStyle name="Normal 45 8 2 6" xfId="24676"/>
    <cellStyle name="Normal 45 8 3" xfId="24677"/>
    <cellStyle name="Normal 45 8 4" xfId="24678"/>
    <cellStyle name="Normal 45 9" xfId="24679"/>
    <cellStyle name="Normal 45 9 2" xfId="24680"/>
    <cellStyle name="Normal 45 9 2 2" xfId="24681"/>
    <cellStyle name="Normal 45 9 2 3" xfId="24682"/>
    <cellStyle name="Normal 45 9 2 4" xfId="24683"/>
    <cellStyle name="Normal 45 9 2 5" xfId="24684"/>
    <cellStyle name="Normal 45 9 2 6" xfId="24685"/>
    <cellStyle name="Normal 45 9 3" xfId="24686"/>
    <cellStyle name="Normal 45 9 4" xfId="24687"/>
    <cellStyle name="Normal 46" xfId="24688"/>
    <cellStyle name="Normal 46 10" xfId="24689"/>
    <cellStyle name="Normal 46 10 2" xfId="24690"/>
    <cellStyle name="Normal 46 10 3" xfId="24691"/>
    <cellStyle name="Normal 46 10 4" xfId="24692"/>
    <cellStyle name="Normal 46 10 5" xfId="24693"/>
    <cellStyle name="Normal 46 10 6" xfId="24694"/>
    <cellStyle name="Normal 46 11" xfId="24695"/>
    <cellStyle name="Normal 46 12" xfId="24696"/>
    <cellStyle name="Normal 46 2" xfId="24697"/>
    <cellStyle name="Normal 46 2 2" xfId="24698"/>
    <cellStyle name="Normal 46 2 2 2" xfId="24699"/>
    <cellStyle name="Normal 46 2 2 3" xfId="24700"/>
    <cellStyle name="Normal 46 2 2 4" xfId="24701"/>
    <cellStyle name="Normal 46 2 2 5" xfId="24702"/>
    <cellStyle name="Normal 46 2 2 6" xfId="24703"/>
    <cellStyle name="Normal 46 2 3" xfId="24704"/>
    <cellStyle name="Normal 46 2 4" xfId="24705"/>
    <cellStyle name="Normal 46 3" xfId="24706"/>
    <cellStyle name="Normal 46 3 2" xfId="24707"/>
    <cellStyle name="Normal 46 3 2 2" xfId="24708"/>
    <cellStyle name="Normal 46 3 2 3" xfId="24709"/>
    <cellStyle name="Normal 46 3 2 4" xfId="24710"/>
    <cellStyle name="Normal 46 3 2 5" xfId="24711"/>
    <cellStyle name="Normal 46 3 2 6" xfId="24712"/>
    <cellStyle name="Normal 46 3 3" xfId="24713"/>
    <cellStyle name="Normal 46 3 4" xfId="24714"/>
    <cellStyle name="Normal 46 4" xfId="24715"/>
    <cellStyle name="Normal 46 4 2" xfId="24716"/>
    <cellStyle name="Normal 46 4 2 2" xfId="24717"/>
    <cellStyle name="Normal 46 4 2 3" xfId="24718"/>
    <cellStyle name="Normal 46 4 2 4" xfId="24719"/>
    <cellStyle name="Normal 46 4 2 5" xfId="24720"/>
    <cellStyle name="Normal 46 4 2 6" xfId="24721"/>
    <cellStyle name="Normal 46 4 3" xfId="24722"/>
    <cellStyle name="Normal 46 4 4" xfId="24723"/>
    <cellStyle name="Normal 46 5" xfId="24724"/>
    <cellStyle name="Normal 46 5 2" xfId="24725"/>
    <cellStyle name="Normal 46 5 2 2" xfId="24726"/>
    <cellStyle name="Normal 46 5 2 3" xfId="24727"/>
    <cellStyle name="Normal 46 5 2 4" xfId="24728"/>
    <cellStyle name="Normal 46 5 2 5" xfId="24729"/>
    <cellStyle name="Normal 46 5 2 6" xfId="24730"/>
    <cellStyle name="Normal 46 5 3" xfId="24731"/>
    <cellStyle name="Normal 46 5 4" xfId="24732"/>
    <cellStyle name="Normal 46 6" xfId="24733"/>
    <cellStyle name="Normal 46 6 2" xfId="24734"/>
    <cellStyle name="Normal 46 6 2 2" xfId="24735"/>
    <cellStyle name="Normal 46 6 2 3" xfId="24736"/>
    <cellStyle name="Normal 46 6 2 4" xfId="24737"/>
    <cellStyle name="Normal 46 6 2 5" xfId="24738"/>
    <cellStyle name="Normal 46 6 2 6" xfId="24739"/>
    <cellStyle name="Normal 46 6 3" xfId="24740"/>
    <cellStyle name="Normal 46 6 4" xfId="24741"/>
    <cellStyle name="Normal 46 7" xfId="24742"/>
    <cellStyle name="Normal 46 7 2" xfId="24743"/>
    <cellStyle name="Normal 46 7 2 2" xfId="24744"/>
    <cellStyle name="Normal 46 7 2 3" xfId="24745"/>
    <cellStyle name="Normal 46 7 2 4" xfId="24746"/>
    <cellStyle name="Normal 46 7 2 5" xfId="24747"/>
    <cellStyle name="Normal 46 7 2 6" xfId="24748"/>
    <cellStyle name="Normal 46 7 3" xfId="24749"/>
    <cellStyle name="Normal 46 7 4" xfId="24750"/>
    <cellStyle name="Normal 46 8" xfId="24751"/>
    <cellStyle name="Normal 46 8 2" xfId="24752"/>
    <cellStyle name="Normal 46 8 2 2" xfId="24753"/>
    <cellStyle name="Normal 46 8 2 3" xfId="24754"/>
    <cellStyle name="Normal 46 8 2 4" xfId="24755"/>
    <cellStyle name="Normal 46 8 2 5" xfId="24756"/>
    <cellStyle name="Normal 46 8 2 6" xfId="24757"/>
    <cellStyle name="Normal 46 8 3" xfId="24758"/>
    <cellStyle name="Normal 46 8 4" xfId="24759"/>
    <cellStyle name="Normal 46 9" xfId="24760"/>
    <cellStyle name="Normal 46 9 2" xfId="24761"/>
    <cellStyle name="Normal 46 9 2 2" xfId="24762"/>
    <cellStyle name="Normal 46 9 2 3" xfId="24763"/>
    <cellStyle name="Normal 46 9 2 4" xfId="24764"/>
    <cellStyle name="Normal 46 9 2 5" xfId="24765"/>
    <cellStyle name="Normal 46 9 2 6" xfId="24766"/>
    <cellStyle name="Normal 46 9 3" xfId="24767"/>
    <cellStyle name="Normal 46 9 4" xfId="24768"/>
    <cellStyle name="Normal 47" xfId="24769"/>
    <cellStyle name="Normal 47 10" xfId="24770"/>
    <cellStyle name="Normal 47 10 2" xfId="24771"/>
    <cellStyle name="Normal 47 10 2 2" xfId="24772"/>
    <cellStyle name="Normal 47 10 2 3" xfId="24773"/>
    <cellStyle name="Normal 47 10 2 4" xfId="24774"/>
    <cellStyle name="Normal 47 10 2 5" xfId="24775"/>
    <cellStyle name="Normal 47 10 2 6" xfId="24776"/>
    <cellStyle name="Normal 47 10 3" xfId="24777"/>
    <cellStyle name="Normal 47 10 4" xfId="24778"/>
    <cellStyle name="Normal 47 11" xfId="24779"/>
    <cellStyle name="Normal 47 11 2" xfId="24780"/>
    <cellStyle name="Normal 47 11 3" xfId="24781"/>
    <cellStyle name="Normal 47 11 4" xfId="24782"/>
    <cellStyle name="Normal 47 11 5" xfId="24783"/>
    <cellStyle name="Normal 47 11 6" xfId="24784"/>
    <cellStyle name="Normal 47 12" xfId="24785"/>
    <cellStyle name="Normal 47 13" xfId="24786"/>
    <cellStyle name="Normal 47 2" xfId="24787"/>
    <cellStyle name="Normal 47 2 2" xfId="24788"/>
    <cellStyle name="Normal 47 2 2 2" xfId="24789"/>
    <cellStyle name="Normal 47 2 2 3" xfId="24790"/>
    <cellStyle name="Normal 47 2 2 4" xfId="24791"/>
    <cellStyle name="Normal 47 2 2 5" xfId="24792"/>
    <cellStyle name="Normal 47 2 2 6" xfId="24793"/>
    <cellStyle name="Normal 47 2 3" xfId="24794"/>
    <cellStyle name="Normal 47 2 4" xfId="24795"/>
    <cellStyle name="Normal 47 3" xfId="24796"/>
    <cellStyle name="Normal 47 3 2" xfId="24797"/>
    <cellStyle name="Normal 47 3 2 2" xfId="24798"/>
    <cellStyle name="Normal 47 3 2 3" xfId="24799"/>
    <cellStyle name="Normal 47 3 2 4" xfId="24800"/>
    <cellStyle name="Normal 47 3 2 5" xfId="24801"/>
    <cellStyle name="Normal 47 3 2 6" xfId="24802"/>
    <cellStyle name="Normal 47 3 3" xfId="24803"/>
    <cellStyle name="Normal 47 3 4" xfId="24804"/>
    <cellStyle name="Normal 47 4" xfId="24805"/>
    <cellStyle name="Normal 47 4 2" xfId="24806"/>
    <cellStyle name="Normal 47 4 2 2" xfId="24807"/>
    <cellStyle name="Normal 47 4 2 3" xfId="24808"/>
    <cellStyle name="Normal 47 4 2 4" xfId="24809"/>
    <cellStyle name="Normal 47 4 2 5" xfId="24810"/>
    <cellStyle name="Normal 47 4 2 6" xfId="24811"/>
    <cellStyle name="Normal 47 4 3" xfId="24812"/>
    <cellStyle name="Normal 47 4 4" xfId="24813"/>
    <cellStyle name="Normal 47 5" xfId="24814"/>
    <cellStyle name="Normal 47 5 2" xfId="24815"/>
    <cellStyle name="Normal 47 5 2 2" xfId="24816"/>
    <cellStyle name="Normal 47 5 2 3" xfId="24817"/>
    <cellStyle name="Normal 47 5 2 4" xfId="24818"/>
    <cellStyle name="Normal 47 5 2 5" xfId="24819"/>
    <cellStyle name="Normal 47 5 2 6" xfId="24820"/>
    <cellStyle name="Normal 47 5 3" xfId="24821"/>
    <cellStyle name="Normal 47 5 4" xfId="24822"/>
    <cellStyle name="Normal 47 6" xfId="24823"/>
    <cellStyle name="Normal 47 6 2" xfId="24824"/>
    <cellStyle name="Normal 47 6 2 2" xfId="24825"/>
    <cellStyle name="Normal 47 6 2 3" xfId="24826"/>
    <cellStyle name="Normal 47 6 2 4" xfId="24827"/>
    <cellStyle name="Normal 47 6 2 5" xfId="24828"/>
    <cellStyle name="Normal 47 6 2 6" xfId="24829"/>
    <cellStyle name="Normal 47 6 3" xfId="24830"/>
    <cellStyle name="Normal 47 6 4" xfId="24831"/>
    <cellStyle name="Normal 47 7" xfId="24832"/>
    <cellStyle name="Normal 47 7 2" xfId="24833"/>
    <cellStyle name="Normal 47 7 2 2" xfId="24834"/>
    <cellStyle name="Normal 47 7 2 3" xfId="24835"/>
    <cellStyle name="Normal 47 7 2 4" xfId="24836"/>
    <cellStyle name="Normal 47 7 2 5" xfId="24837"/>
    <cellStyle name="Normal 47 7 2 6" xfId="24838"/>
    <cellStyle name="Normal 47 7 3" xfId="24839"/>
    <cellStyle name="Normal 47 7 4" xfId="24840"/>
    <cellStyle name="Normal 47 8" xfId="24841"/>
    <cellStyle name="Normal 47 8 2" xfId="24842"/>
    <cellStyle name="Normal 47 8 2 2" xfId="24843"/>
    <cellStyle name="Normal 47 8 2 3" xfId="24844"/>
    <cellStyle name="Normal 47 8 2 4" xfId="24845"/>
    <cellStyle name="Normal 47 8 2 5" xfId="24846"/>
    <cellStyle name="Normal 47 8 2 6" xfId="24847"/>
    <cellStyle name="Normal 47 8 3" xfId="24848"/>
    <cellStyle name="Normal 47 8 4" xfId="24849"/>
    <cellStyle name="Normal 47 9" xfId="24850"/>
    <cellStyle name="Normal 47 9 2" xfId="24851"/>
    <cellStyle name="Normal 47 9 2 2" xfId="24852"/>
    <cellStyle name="Normal 47 9 2 3" xfId="24853"/>
    <cellStyle name="Normal 47 9 2 4" xfId="24854"/>
    <cellStyle name="Normal 47 9 2 5" xfId="24855"/>
    <cellStyle name="Normal 47 9 2 6" xfId="24856"/>
    <cellStyle name="Normal 47 9 3" xfId="24857"/>
    <cellStyle name="Normal 47 9 4" xfId="24858"/>
    <cellStyle name="Normal 48" xfId="24859"/>
    <cellStyle name="Normal 48 10" xfId="24860"/>
    <cellStyle name="Normal 48 10 2" xfId="24861"/>
    <cellStyle name="Normal 48 10 2 2" xfId="24862"/>
    <cellStyle name="Normal 48 10 2 3" xfId="24863"/>
    <cellStyle name="Normal 48 10 2 4" xfId="24864"/>
    <cellStyle name="Normal 48 10 2 5" xfId="24865"/>
    <cellStyle name="Normal 48 10 2 6" xfId="24866"/>
    <cellStyle name="Normal 48 10 3" xfId="24867"/>
    <cellStyle name="Normal 48 10 4" xfId="24868"/>
    <cellStyle name="Normal 48 11" xfId="24869"/>
    <cellStyle name="Normal 48 11 2" xfId="24870"/>
    <cellStyle name="Normal 48 11 3" xfId="24871"/>
    <cellStyle name="Normal 48 11 4" xfId="24872"/>
    <cellStyle name="Normal 48 11 5" xfId="24873"/>
    <cellStyle name="Normal 48 11 6" xfId="24874"/>
    <cellStyle name="Normal 48 12" xfId="24875"/>
    <cellStyle name="Normal 48 13" xfId="24876"/>
    <cellStyle name="Normal 48 2" xfId="24877"/>
    <cellStyle name="Normal 48 2 2" xfId="24878"/>
    <cellStyle name="Normal 48 2 2 2" xfId="24879"/>
    <cellStyle name="Normal 48 2 2 3" xfId="24880"/>
    <cellStyle name="Normal 48 2 2 4" xfId="24881"/>
    <cellStyle name="Normal 48 2 2 5" xfId="24882"/>
    <cellStyle name="Normal 48 2 2 6" xfId="24883"/>
    <cellStyle name="Normal 48 2 3" xfId="24884"/>
    <cellStyle name="Normal 48 2 4" xfId="24885"/>
    <cellStyle name="Normal 48 3" xfId="24886"/>
    <cellStyle name="Normal 48 3 2" xfId="24887"/>
    <cellStyle name="Normal 48 3 2 2" xfId="24888"/>
    <cellStyle name="Normal 48 3 2 3" xfId="24889"/>
    <cellStyle name="Normal 48 3 2 4" xfId="24890"/>
    <cellStyle name="Normal 48 3 2 5" xfId="24891"/>
    <cellStyle name="Normal 48 3 2 6" xfId="24892"/>
    <cellStyle name="Normal 48 3 3" xfId="24893"/>
    <cellStyle name="Normal 48 3 4" xfId="24894"/>
    <cellStyle name="Normal 48 4" xfId="24895"/>
    <cellStyle name="Normal 48 4 2" xfId="24896"/>
    <cellStyle name="Normal 48 4 2 2" xfId="24897"/>
    <cellStyle name="Normal 48 4 2 3" xfId="24898"/>
    <cellStyle name="Normal 48 4 2 4" xfId="24899"/>
    <cellStyle name="Normal 48 4 2 5" xfId="24900"/>
    <cellStyle name="Normal 48 4 2 6" xfId="24901"/>
    <cellStyle name="Normal 48 4 3" xfId="24902"/>
    <cellStyle name="Normal 48 4 4" xfId="24903"/>
    <cellStyle name="Normal 48 5" xfId="24904"/>
    <cellStyle name="Normal 48 5 2" xfId="24905"/>
    <cellStyle name="Normal 48 5 2 2" xfId="24906"/>
    <cellStyle name="Normal 48 5 2 3" xfId="24907"/>
    <cellStyle name="Normal 48 5 2 4" xfId="24908"/>
    <cellStyle name="Normal 48 5 2 5" xfId="24909"/>
    <cellStyle name="Normal 48 5 2 6" xfId="24910"/>
    <cellStyle name="Normal 48 5 3" xfId="24911"/>
    <cellStyle name="Normal 48 5 4" xfId="24912"/>
    <cellStyle name="Normal 48 6" xfId="24913"/>
    <cellStyle name="Normal 48 6 2" xfId="24914"/>
    <cellStyle name="Normal 48 6 2 2" xfId="24915"/>
    <cellStyle name="Normal 48 6 2 3" xfId="24916"/>
    <cellStyle name="Normal 48 6 2 4" xfId="24917"/>
    <cellStyle name="Normal 48 6 2 5" xfId="24918"/>
    <cellStyle name="Normal 48 6 2 6" xfId="24919"/>
    <cellStyle name="Normal 48 6 3" xfId="24920"/>
    <cellStyle name="Normal 48 6 4" xfId="24921"/>
    <cellStyle name="Normal 48 7" xfId="24922"/>
    <cellStyle name="Normal 48 7 2" xfId="24923"/>
    <cellStyle name="Normal 48 7 2 2" xfId="24924"/>
    <cellStyle name="Normal 48 7 2 3" xfId="24925"/>
    <cellStyle name="Normal 48 7 2 4" xfId="24926"/>
    <cellStyle name="Normal 48 7 2 5" xfId="24927"/>
    <cellStyle name="Normal 48 7 2 6" xfId="24928"/>
    <cellStyle name="Normal 48 7 3" xfId="24929"/>
    <cellStyle name="Normal 48 7 4" xfId="24930"/>
    <cellStyle name="Normal 48 8" xfId="24931"/>
    <cellStyle name="Normal 48 8 2" xfId="24932"/>
    <cellStyle name="Normal 48 8 2 2" xfId="24933"/>
    <cellStyle name="Normal 48 8 2 3" xfId="24934"/>
    <cellStyle name="Normal 48 8 2 4" xfId="24935"/>
    <cellStyle name="Normal 48 8 2 5" xfId="24936"/>
    <cellStyle name="Normal 48 8 2 6" xfId="24937"/>
    <cellStyle name="Normal 48 8 3" xfId="24938"/>
    <cellStyle name="Normal 48 8 4" xfId="24939"/>
    <cellStyle name="Normal 48 9" xfId="24940"/>
    <cellStyle name="Normal 48 9 2" xfId="24941"/>
    <cellStyle name="Normal 48 9 2 2" xfId="24942"/>
    <cellStyle name="Normal 48 9 2 3" xfId="24943"/>
    <cellStyle name="Normal 48 9 2 4" xfId="24944"/>
    <cellStyle name="Normal 48 9 2 5" xfId="24945"/>
    <cellStyle name="Normal 48 9 2 6" xfId="24946"/>
    <cellStyle name="Normal 48 9 3" xfId="24947"/>
    <cellStyle name="Normal 48 9 4" xfId="24948"/>
    <cellStyle name="Normal 49" xfId="24949"/>
    <cellStyle name="Normal 49 2" xfId="24950"/>
    <cellStyle name="Normal 49 2 2" xfId="24951"/>
    <cellStyle name="Normal 49 2 3" xfId="24952"/>
    <cellStyle name="Normal 49 2 3 2" xfId="24953"/>
    <cellStyle name="Normal 49 2 3 3" xfId="24954"/>
    <cellStyle name="Normal 49 2 3 4" xfId="24955"/>
    <cellStyle name="Normal 49 2 3 5" xfId="24956"/>
    <cellStyle name="Normal 49 2 3 6" xfId="24957"/>
    <cellStyle name="Normal 49 2 4" xfId="24958"/>
    <cellStyle name="Normal 49 2 4 2" xfId="24959"/>
    <cellStyle name="Normal 49 2 4 3" xfId="24960"/>
    <cellStyle name="Normal 49 2 4 4" xfId="24961"/>
    <cellStyle name="Normal 49 2 4 5" xfId="24962"/>
    <cellStyle name="Normal 49 2 4 6" xfId="24963"/>
    <cellStyle name="Normal 49 3" xfId="24964"/>
    <cellStyle name="Normal 49 3 2" xfId="24965"/>
    <cellStyle name="Normal 49 3 3" xfId="24966"/>
    <cellStyle name="Normal 49 3 3 2" xfId="24967"/>
    <cellStyle name="Normal 49 3 3 3" xfId="24968"/>
    <cellStyle name="Normal 49 3 3 4" xfId="24969"/>
    <cellStyle name="Normal 49 3 3 5" xfId="24970"/>
    <cellStyle name="Normal 49 3 3 6" xfId="24971"/>
    <cellStyle name="Normal 49 3 4" xfId="24972"/>
    <cellStyle name="Normal 49 3 4 2" xfId="24973"/>
    <cellStyle name="Normal 49 3 4 3" xfId="24974"/>
    <cellStyle name="Normal 49 3 4 4" xfId="24975"/>
    <cellStyle name="Normal 49 3 4 5" xfId="24976"/>
    <cellStyle name="Normal 49 3 4 6" xfId="24977"/>
    <cellStyle name="Normal 49 4" xfId="24978"/>
    <cellStyle name="Normal 49 4 2" xfId="24979"/>
    <cellStyle name="Normal 49 4 3" xfId="24980"/>
    <cellStyle name="Normal 49 4 3 2" xfId="24981"/>
    <cellStyle name="Normal 49 4 3 3" xfId="24982"/>
    <cellStyle name="Normal 49 4 3 4" xfId="24983"/>
    <cellStyle name="Normal 49 4 3 5" xfId="24984"/>
    <cellStyle name="Normal 49 4 3 6" xfId="24985"/>
    <cellStyle name="Normal 49 4 4" xfId="24986"/>
    <cellStyle name="Normal 49 4 4 2" xfId="24987"/>
    <cellStyle name="Normal 49 4 4 3" xfId="24988"/>
    <cellStyle name="Normal 49 4 4 4" xfId="24989"/>
    <cellStyle name="Normal 49 4 4 5" xfId="24990"/>
    <cellStyle name="Normal 49 4 4 6" xfId="24991"/>
    <cellStyle name="Normal 49 5" xfId="24992"/>
    <cellStyle name="Normal 49 5 2" xfId="24993"/>
    <cellStyle name="Normal 49 5 3" xfId="24994"/>
    <cellStyle name="Normal 49 5 3 2" xfId="24995"/>
    <cellStyle name="Normal 49 5 3 3" xfId="24996"/>
    <cellStyle name="Normal 49 5 3 4" xfId="24997"/>
    <cellStyle name="Normal 49 5 3 5" xfId="24998"/>
    <cellStyle name="Normal 49 5 3 6" xfId="24999"/>
    <cellStyle name="Normal 49 5 4" xfId="25000"/>
    <cellStyle name="Normal 49 5 4 2" xfId="25001"/>
    <cellStyle name="Normal 49 5 4 3" xfId="25002"/>
    <cellStyle name="Normal 49 5 4 4" xfId="25003"/>
    <cellStyle name="Normal 49 5 4 5" xfId="25004"/>
    <cellStyle name="Normal 49 5 4 6" xfId="25005"/>
    <cellStyle name="Normal 49 6" xfId="25006"/>
    <cellStyle name="Normal 49 6 2" xfId="25007"/>
    <cellStyle name="Normal 49 6 3" xfId="25008"/>
    <cellStyle name="Normal 49 6 3 2" xfId="25009"/>
    <cellStyle name="Normal 49 6 3 3" xfId="25010"/>
    <cellStyle name="Normal 49 6 3 4" xfId="25011"/>
    <cellStyle name="Normal 49 6 3 5" xfId="25012"/>
    <cellStyle name="Normal 49 6 3 6" xfId="25013"/>
    <cellStyle name="Normal 49 6 4" xfId="25014"/>
    <cellStyle name="Normal 49 6 4 2" xfId="25015"/>
    <cellStyle name="Normal 49 6 4 3" xfId="25016"/>
    <cellStyle name="Normal 49 6 4 4" xfId="25017"/>
    <cellStyle name="Normal 49 6 4 5" xfId="25018"/>
    <cellStyle name="Normal 49 6 4 6" xfId="25019"/>
    <cellStyle name="Normal 49 7" xfId="25020"/>
    <cellStyle name="Normal 49 8" xfId="25021"/>
    <cellStyle name="Normal 49 8 2" xfId="25022"/>
    <cellStyle name="Normal 49 8 3" xfId="25023"/>
    <cellStyle name="Normal 49 8 4" xfId="25024"/>
    <cellStyle name="Normal 49 8 5" xfId="25025"/>
    <cellStyle name="Normal 49 8 6" xfId="25026"/>
    <cellStyle name="Normal 49 9" xfId="25027"/>
    <cellStyle name="Normal 49 9 2" xfId="25028"/>
    <cellStyle name="Normal 49 9 3" xfId="25029"/>
    <cellStyle name="Normal 49 9 4" xfId="25030"/>
    <cellStyle name="Normal 49 9 5" xfId="25031"/>
    <cellStyle name="Normal 49 9 6" xfId="25032"/>
    <cellStyle name="Normal 5" xfId="8"/>
    <cellStyle name="Normal 5 10" xfId="25033"/>
    <cellStyle name="Normal 5 10 10" xfId="25034"/>
    <cellStyle name="Normal 5 10 10 2" xfId="25035"/>
    <cellStyle name="Normal 5 10 10 2 2" xfId="25036"/>
    <cellStyle name="Normal 5 10 10 2 3" xfId="25037"/>
    <cellStyle name="Normal 5 10 10 2 4" xfId="25038"/>
    <cellStyle name="Normal 5 10 10 2 5" xfId="25039"/>
    <cellStyle name="Normal 5 10 10 2 6" xfId="25040"/>
    <cellStyle name="Normal 5 10 10 3" xfId="25041"/>
    <cellStyle name="Normal 5 10 10 4" xfId="25042"/>
    <cellStyle name="Normal 5 10 11" xfId="25043"/>
    <cellStyle name="Normal 5 10 11 2" xfId="25044"/>
    <cellStyle name="Normal 5 10 11 3" xfId="25045"/>
    <cellStyle name="Normal 5 10 11 4" xfId="25046"/>
    <cellStyle name="Normal 5 10 11 5" xfId="25047"/>
    <cellStyle name="Normal 5 10 11 6" xfId="25048"/>
    <cellStyle name="Normal 5 10 12" xfId="25049"/>
    <cellStyle name="Normal 5 10 13" xfId="25050"/>
    <cellStyle name="Normal 5 10 2" xfId="25051"/>
    <cellStyle name="Normal 5 10 2 2" xfId="25052"/>
    <cellStyle name="Normal 5 10 2 2 2" xfId="25053"/>
    <cellStyle name="Normal 5 10 2 2 3" xfId="25054"/>
    <cellStyle name="Normal 5 10 2 2 4" xfId="25055"/>
    <cellStyle name="Normal 5 10 2 2 5" xfId="25056"/>
    <cellStyle name="Normal 5 10 2 2 6" xfId="25057"/>
    <cellStyle name="Normal 5 10 2 3" xfId="25058"/>
    <cellStyle name="Normal 5 10 2 4" xfId="25059"/>
    <cellStyle name="Normal 5 10 3" xfId="25060"/>
    <cellStyle name="Normal 5 10 3 2" xfId="25061"/>
    <cellStyle name="Normal 5 10 3 2 2" xfId="25062"/>
    <cellStyle name="Normal 5 10 3 2 3" xfId="25063"/>
    <cellStyle name="Normal 5 10 3 2 4" xfId="25064"/>
    <cellStyle name="Normal 5 10 3 2 5" xfId="25065"/>
    <cellStyle name="Normal 5 10 3 2 6" xfId="25066"/>
    <cellStyle name="Normal 5 10 3 3" xfId="25067"/>
    <cellStyle name="Normal 5 10 3 4" xfId="25068"/>
    <cellStyle name="Normal 5 10 4" xfId="25069"/>
    <cellStyle name="Normal 5 10 4 2" xfId="25070"/>
    <cellStyle name="Normal 5 10 4 2 2" xfId="25071"/>
    <cellStyle name="Normal 5 10 4 2 3" xfId="25072"/>
    <cellStyle name="Normal 5 10 4 2 4" xfId="25073"/>
    <cellStyle name="Normal 5 10 4 2 5" xfId="25074"/>
    <cellStyle name="Normal 5 10 4 2 6" xfId="25075"/>
    <cellStyle name="Normal 5 10 4 3" xfId="25076"/>
    <cellStyle name="Normal 5 10 4 4" xfId="25077"/>
    <cellStyle name="Normal 5 10 5" xfId="25078"/>
    <cellStyle name="Normal 5 10 5 2" xfId="25079"/>
    <cellStyle name="Normal 5 10 5 2 2" xfId="25080"/>
    <cellStyle name="Normal 5 10 5 2 3" xfId="25081"/>
    <cellStyle name="Normal 5 10 5 2 4" xfId="25082"/>
    <cellStyle name="Normal 5 10 5 2 5" xfId="25083"/>
    <cellStyle name="Normal 5 10 5 2 6" xfId="25084"/>
    <cellStyle name="Normal 5 10 5 3" xfId="25085"/>
    <cellStyle name="Normal 5 10 5 4" xfId="25086"/>
    <cellStyle name="Normal 5 10 6" xfId="25087"/>
    <cellStyle name="Normal 5 10 6 2" xfId="25088"/>
    <cellStyle name="Normal 5 10 6 2 2" xfId="25089"/>
    <cellStyle name="Normal 5 10 6 2 3" xfId="25090"/>
    <cellStyle name="Normal 5 10 6 2 4" xfId="25091"/>
    <cellStyle name="Normal 5 10 6 2 5" xfId="25092"/>
    <cellStyle name="Normal 5 10 6 2 6" xfId="25093"/>
    <cellStyle name="Normal 5 10 6 3" xfId="25094"/>
    <cellStyle name="Normal 5 10 6 4" xfId="25095"/>
    <cellStyle name="Normal 5 10 7" xfId="25096"/>
    <cellStyle name="Normal 5 10 7 2" xfId="25097"/>
    <cellStyle name="Normal 5 10 7 2 2" xfId="25098"/>
    <cellStyle name="Normal 5 10 7 2 3" xfId="25099"/>
    <cellStyle name="Normal 5 10 7 2 4" xfId="25100"/>
    <cellStyle name="Normal 5 10 7 2 5" xfId="25101"/>
    <cellStyle name="Normal 5 10 7 2 6" xfId="25102"/>
    <cellStyle name="Normal 5 10 7 3" xfId="25103"/>
    <cellStyle name="Normal 5 10 7 4" xfId="25104"/>
    <cellStyle name="Normal 5 10 8" xfId="25105"/>
    <cellStyle name="Normal 5 10 8 2" xfId="25106"/>
    <cellStyle name="Normal 5 10 8 2 2" xfId="25107"/>
    <cellStyle name="Normal 5 10 8 2 3" xfId="25108"/>
    <cellStyle name="Normal 5 10 8 2 4" xfId="25109"/>
    <cellStyle name="Normal 5 10 8 2 5" xfId="25110"/>
    <cellStyle name="Normal 5 10 8 2 6" xfId="25111"/>
    <cellStyle name="Normal 5 10 8 3" xfId="25112"/>
    <cellStyle name="Normal 5 10 8 4" xfId="25113"/>
    <cellStyle name="Normal 5 10 9" xfId="25114"/>
    <cellStyle name="Normal 5 10 9 2" xfId="25115"/>
    <cellStyle name="Normal 5 10 9 2 2" xfId="25116"/>
    <cellStyle name="Normal 5 10 9 2 3" xfId="25117"/>
    <cellStyle name="Normal 5 10 9 2 4" xfId="25118"/>
    <cellStyle name="Normal 5 10 9 2 5" xfId="25119"/>
    <cellStyle name="Normal 5 10 9 2 6" xfId="25120"/>
    <cellStyle name="Normal 5 10 9 3" xfId="25121"/>
    <cellStyle name="Normal 5 10 9 4" xfId="25122"/>
    <cellStyle name="Normal 5 11" xfId="25123"/>
    <cellStyle name="Normal 5 11 10" xfId="25124"/>
    <cellStyle name="Normal 5 11 10 2" xfId="25125"/>
    <cellStyle name="Normal 5 11 10 2 2" xfId="25126"/>
    <cellStyle name="Normal 5 11 10 2 3" xfId="25127"/>
    <cellStyle name="Normal 5 11 10 2 4" xfId="25128"/>
    <cellStyle name="Normal 5 11 10 2 5" xfId="25129"/>
    <cellStyle name="Normal 5 11 10 2 6" xfId="25130"/>
    <cellStyle name="Normal 5 11 10 3" xfId="25131"/>
    <cellStyle name="Normal 5 11 10 4" xfId="25132"/>
    <cellStyle name="Normal 5 11 11" xfId="25133"/>
    <cellStyle name="Normal 5 11 11 2" xfId="25134"/>
    <cellStyle name="Normal 5 11 11 3" xfId="25135"/>
    <cellStyle name="Normal 5 11 11 4" xfId="25136"/>
    <cellStyle name="Normal 5 11 11 5" xfId="25137"/>
    <cellStyle name="Normal 5 11 11 6" xfId="25138"/>
    <cellStyle name="Normal 5 11 12" xfId="25139"/>
    <cellStyle name="Normal 5 11 13" xfId="25140"/>
    <cellStyle name="Normal 5 11 2" xfId="25141"/>
    <cellStyle name="Normal 5 11 2 2" xfId="25142"/>
    <cellStyle name="Normal 5 11 2 2 2" xfId="25143"/>
    <cellStyle name="Normal 5 11 2 2 3" xfId="25144"/>
    <cellStyle name="Normal 5 11 2 2 4" xfId="25145"/>
    <cellStyle name="Normal 5 11 2 2 5" xfId="25146"/>
    <cellStyle name="Normal 5 11 2 2 6" xfId="25147"/>
    <cellStyle name="Normal 5 11 2 3" xfId="25148"/>
    <cellStyle name="Normal 5 11 2 4" xfId="25149"/>
    <cellStyle name="Normal 5 11 3" xfId="25150"/>
    <cellStyle name="Normal 5 11 3 2" xfId="25151"/>
    <cellStyle name="Normal 5 11 3 2 2" xfId="25152"/>
    <cellStyle name="Normal 5 11 3 2 3" xfId="25153"/>
    <cellStyle name="Normal 5 11 3 2 4" xfId="25154"/>
    <cellStyle name="Normal 5 11 3 2 5" xfId="25155"/>
    <cellStyle name="Normal 5 11 3 2 6" xfId="25156"/>
    <cellStyle name="Normal 5 11 3 3" xfId="25157"/>
    <cellStyle name="Normal 5 11 3 4" xfId="25158"/>
    <cellStyle name="Normal 5 11 4" xfId="25159"/>
    <cellStyle name="Normal 5 11 4 2" xfId="25160"/>
    <cellStyle name="Normal 5 11 4 2 2" xfId="25161"/>
    <cellStyle name="Normal 5 11 4 2 3" xfId="25162"/>
    <cellStyle name="Normal 5 11 4 2 4" xfId="25163"/>
    <cellStyle name="Normal 5 11 4 2 5" xfId="25164"/>
    <cellStyle name="Normal 5 11 4 2 6" xfId="25165"/>
    <cellStyle name="Normal 5 11 4 3" xfId="25166"/>
    <cellStyle name="Normal 5 11 4 4" xfId="25167"/>
    <cellStyle name="Normal 5 11 5" xfId="25168"/>
    <cellStyle name="Normal 5 11 5 2" xfId="25169"/>
    <cellStyle name="Normal 5 11 5 2 2" xfId="25170"/>
    <cellStyle name="Normal 5 11 5 2 3" xfId="25171"/>
    <cellStyle name="Normal 5 11 5 2 4" xfId="25172"/>
    <cellStyle name="Normal 5 11 5 2 5" xfId="25173"/>
    <cellStyle name="Normal 5 11 5 2 6" xfId="25174"/>
    <cellStyle name="Normal 5 11 5 3" xfId="25175"/>
    <cellStyle name="Normal 5 11 5 4" xfId="25176"/>
    <cellStyle name="Normal 5 11 6" xfId="25177"/>
    <cellStyle name="Normal 5 11 6 2" xfId="25178"/>
    <cellStyle name="Normal 5 11 6 2 2" xfId="25179"/>
    <cellStyle name="Normal 5 11 6 2 3" xfId="25180"/>
    <cellStyle name="Normal 5 11 6 2 4" xfId="25181"/>
    <cellStyle name="Normal 5 11 6 2 5" xfId="25182"/>
    <cellStyle name="Normal 5 11 6 2 6" xfId="25183"/>
    <cellStyle name="Normal 5 11 6 3" xfId="25184"/>
    <cellStyle name="Normal 5 11 6 4" xfId="25185"/>
    <cellStyle name="Normal 5 11 7" xfId="25186"/>
    <cellStyle name="Normal 5 11 7 2" xfId="25187"/>
    <cellStyle name="Normal 5 11 7 2 2" xfId="25188"/>
    <cellStyle name="Normal 5 11 7 2 3" xfId="25189"/>
    <cellStyle name="Normal 5 11 7 2 4" xfId="25190"/>
    <cellStyle name="Normal 5 11 7 2 5" xfId="25191"/>
    <cellStyle name="Normal 5 11 7 2 6" xfId="25192"/>
    <cellStyle name="Normal 5 11 7 3" xfId="25193"/>
    <cellStyle name="Normal 5 11 7 4" xfId="25194"/>
    <cellStyle name="Normal 5 11 8" xfId="25195"/>
    <cellStyle name="Normal 5 11 8 2" xfId="25196"/>
    <cellStyle name="Normal 5 11 8 2 2" xfId="25197"/>
    <cellStyle name="Normal 5 11 8 2 3" xfId="25198"/>
    <cellStyle name="Normal 5 11 8 2 4" xfId="25199"/>
    <cellStyle name="Normal 5 11 8 2 5" xfId="25200"/>
    <cellStyle name="Normal 5 11 8 2 6" xfId="25201"/>
    <cellStyle name="Normal 5 11 8 3" xfId="25202"/>
    <cellStyle name="Normal 5 11 8 4" xfId="25203"/>
    <cellStyle name="Normal 5 11 9" xfId="25204"/>
    <cellStyle name="Normal 5 11 9 2" xfId="25205"/>
    <cellStyle name="Normal 5 11 9 2 2" xfId="25206"/>
    <cellStyle name="Normal 5 11 9 2 3" xfId="25207"/>
    <cellStyle name="Normal 5 11 9 2 4" xfId="25208"/>
    <cellStyle name="Normal 5 11 9 2 5" xfId="25209"/>
    <cellStyle name="Normal 5 11 9 2 6" xfId="25210"/>
    <cellStyle name="Normal 5 11 9 3" xfId="25211"/>
    <cellStyle name="Normal 5 11 9 4" xfId="25212"/>
    <cellStyle name="Normal 5 12" xfId="25213"/>
    <cellStyle name="Normal 5 12 10" xfId="25214"/>
    <cellStyle name="Normal 5 12 10 2" xfId="25215"/>
    <cellStyle name="Normal 5 12 10 2 2" xfId="25216"/>
    <cellStyle name="Normal 5 12 10 2 3" xfId="25217"/>
    <cellStyle name="Normal 5 12 10 2 4" xfId="25218"/>
    <cellStyle name="Normal 5 12 10 2 5" xfId="25219"/>
    <cellStyle name="Normal 5 12 10 2 6" xfId="25220"/>
    <cellStyle name="Normal 5 12 10 3" xfId="25221"/>
    <cellStyle name="Normal 5 12 10 4" xfId="25222"/>
    <cellStyle name="Normal 5 12 11" xfId="25223"/>
    <cellStyle name="Normal 5 12 11 2" xfId="25224"/>
    <cellStyle name="Normal 5 12 11 3" xfId="25225"/>
    <cellStyle name="Normal 5 12 11 4" xfId="25226"/>
    <cellStyle name="Normal 5 12 11 5" xfId="25227"/>
    <cellStyle name="Normal 5 12 11 6" xfId="25228"/>
    <cellStyle name="Normal 5 12 12" xfId="25229"/>
    <cellStyle name="Normal 5 12 13" xfId="25230"/>
    <cellStyle name="Normal 5 12 2" xfId="25231"/>
    <cellStyle name="Normal 5 12 2 2" xfId="25232"/>
    <cellStyle name="Normal 5 12 2 2 2" xfId="25233"/>
    <cellStyle name="Normal 5 12 2 2 3" xfId="25234"/>
    <cellStyle name="Normal 5 12 2 2 4" xfId="25235"/>
    <cellStyle name="Normal 5 12 2 2 5" xfId="25236"/>
    <cellStyle name="Normal 5 12 2 2 6" xfId="25237"/>
    <cellStyle name="Normal 5 12 2 3" xfId="25238"/>
    <cellStyle name="Normal 5 12 2 4" xfId="25239"/>
    <cellStyle name="Normal 5 12 3" xfId="25240"/>
    <cellStyle name="Normal 5 12 3 2" xfId="25241"/>
    <cellStyle name="Normal 5 12 3 2 2" xfId="25242"/>
    <cellStyle name="Normal 5 12 3 2 3" xfId="25243"/>
    <cellStyle name="Normal 5 12 3 2 4" xfId="25244"/>
    <cellStyle name="Normal 5 12 3 2 5" xfId="25245"/>
    <cellStyle name="Normal 5 12 3 2 6" xfId="25246"/>
    <cellStyle name="Normal 5 12 3 3" xfId="25247"/>
    <cellStyle name="Normal 5 12 3 4" xfId="25248"/>
    <cellStyle name="Normal 5 12 4" xfId="25249"/>
    <cellStyle name="Normal 5 12 4 2" xfId="25250"/>
    <cellStyle name="Normal 5 12 4 2 2" xfId="25251"/>
    <cellStyle name="Normal 5 12 4 2 3" xfId="25252"/>
    <cellStyle name="Normal 5 12 4 2 4" xfId="25253"/>
    <cellStyle name="Normal 5 12 4 2 5" xfId="25254"/>
    <cellStyle name="Normal 5 12 4 2 6" xfId="25255"/>
    <cellStyle name="Normal 5 12 4 3" xfId="25256"/>
    <cellStyle name="Normal 5 12 4 4" xfId="25257"/>
    <cellStyle name="Normal 5 12 5" xfId="25258"/>
    <cellStyle name="Normal 5 12 5 2" xfId="25259"/>
    <cellStyle name="Normal 5 12 5 2 2" xfId="25260"/>
    <cellStyle name="Normal 5 12 5 2 3" xfId="25261"/>
    <cellStyle name="Normal 5 12 5 2 4" xfId="25262"/>
    <cellStyle name="Normal 5 12 5 2 5" xfId="25263"/>
    <cellStyle name="Normal 5 12 5 2 6" xfId="25264"/>
    <cellStyle name="Normal 5 12 5 3" xfId="25265"/>
    <cellStyle name="Normal 5 12 5 4" xfId="25266"/>
    <cellStyle name="Normal 5 12 6" xfId="25267"/>
    <cellStyle name="Normal 5 12 6 2" xfId="25268"/>
    <cellStyle name="Normal 5 12 6 2 2" xfId="25269"/>
    <cellStyle name="Normal 5 12 6 2 3" xfId="25270"/>
    <cellStyle name="Normal 5 12 6 2 4" xfId="25271"/>
    <cellStyle name="Normal 5 12 6 2 5" xfId="25272"/>
    <cellStyle name="Normal 5 12 6 2 6" xfId="25273"/>
    <cellStyle name="Normal 5 12 6 3" xfId="25274"/>
    <cellStyle name="Normal 5 12 6 4" xfId="25275"/>
    <cellStyle name="Normal 5 12 7" xfId="25276"/>
    <cellStyle name="Normal 5 12 7 2" xfId="25277"/>
    <cellStyle name="Normal 5 12 7 2 2" xfId="25278"/>
    <cellStyle name="Normal 5 12 7 2 3" xfId="25279"/>
    <cellStyle name="Normal 5 12 7 2 4" xfId="25280"/>
    <cellStyle name="Normal 5 12 7 2 5" xfId="25281"/>
    <cellStyle name="Normal 5 12 7 2 6" xfId="25282"/>
    <cellStyle name="Normal 5 12 7 3" xfId="25283"/>
    <cellStyle name="Normal 5 12 7 4" xfId="25284"/>
    <cellStyle name="Normal 5 12 8" xfId="25285"/>
    <cellStyle name="Normal 5 12 8 2" xfId="25286"/>
    <cellStyle name="Normal 5 12 8 2 2" xfId="25287"/>
    <cellStyle name="Normal 5 12 8 2 3" xfId="25288"/>
    <cellStyle name="Normal 5 12 8 2 4" xfId="25289"/>
    <cellStyle name="Normal 5 12 8 2 5" xfId="25290"/>
    <cellStyle name="Normal 5 12 8 2 6" xfId="25291"/>
    <cellStyle name="Normal 5 12 8 3" xfId="25292"/>
    <cellStyle name="Normal 5 12 8 4" xfId="25293"/>
    <cellStyle name="Normal 5 12 9" xfId="25294"/>
    <cellStyle name="Normal 5 12 9 2" xfId="25295"/>
    <cellStyle name="Normal 5 12 9 2 2" xfId="25296"/>
    <cellStyle name="Normal 5 12 9 2 3" xfId="25297"/>
    <cellStyle name="Normal 5 12 9 2 4" xfId="25298"/>
    <cellStyle name="Normal 5 12 9 2 5" xfId="25299"/>
    <cellStyle name="Normal 5 12 9 2 6" xfId="25300"/>
    <cellStyle name="Normal 5 12 9 3" xfId="25301"/>
    <cellStyle name="Normal 5 12 9 4" xfId="25302"/>
    <cellStyle name="Normal 5 13" xfId="25303"/>
    <cellStyle name="Normal 5 13 10" xfId="25304"/>
    <cellStyle name="Normal 5 13 10 2" xfId="25305"/>
    <cellStyle name="Normal 5 13 10 2 2" xfId="25306"/>
    <cellStyle name="Normal 5 13 10 2 3" xfId="25307"/>
    <cellStyle name="Normal 5 13 10 2 4" xfId="25308"/>
    <cellStyle name="Normal 5 13 10 2 5" xfId="25309"/>
    <cellStyle name="Normal 5 13 10 2 6" xfId="25310"/>
    <cellStyle name="Normal 5 13 10 3" xfId="25311"/>
    <cellStyle name="Normal 5 13 10 4" xfId="25312"/>
    <cellStyle name="Normal 5 13 11" xfId="25313"/>
    <cellStyle name="Normal 5 13 11 2" xfId="25314"/>
    <cellStyle name="Normal 5 13 11 3" xfId="25315"/>
    <cellStyle name="Normal 5 13 11 4" xfId="25316"/>
    <cellStyle name="Normal 5 13 11 5" xfId="25317"/>
    <cellStyle name="Normal 5 13 11 6" xfId="25318"/>
    <cellStyle name="Normal 5 13 12" xfId="25319"/>
    <cellStyle name="Normal 5 13 13" xfId="25320"/>
    <cellStyle name="Normal 5 13 2" xfId="25321"/>
    <cellStyle name="Normal 5 13 2 2" xfId="25322"/>
    <cellStyle name="Normal 5 13 2 2 2" xfId="25323"/>
    <cellStyle name="Normal 5 13 2 2 3" xfId="25324"/>
    <cellStyle name="Normal 5 13 2 2 4" xfId="25325"/>
    <cellStyle name="Normal 5 13 2 2 5" xfId="25326"/>
    <cellStyle name="Normal 5 13 2 2 6" xfId="25327"/>
    <cellStyle name="Normal 5 13 2 3" xfId="25328"/>
    <cellStyle name="Normal 5 13 2 4" xfId="25329"/>
    <cellStyle name="Normal 5 13 3" xfId="25330"/>
    <cellStyle name="Normal 5 13 3 2" xfId="25331"/>
    <cellStyle name="Normal 5 13 3 2 2" xfId="25332"/>
    <cellStyle name="Normal 5 13 3 2 3" xfId="25333"/>
    <cellStyle name="Normal 5 13 3 2 4" xfId="25334"/>
    <cellStyle name="Normal 5 13 3 2 5" xfId="25335"/>
    <cellStyle name="Normal 5 13 3 2 6" xfId="25336"/>
    <cellStyle name="Normal 5 13 3 3" xfId="25337"/>
    <cellStyle name="Normal 5 13 3 4" xfId="25338"/>
    <cellStyle name="Normal 5 13 4" xfId="25339"/>
    <cellStyle name="Normal 5 13 4 2" xfId="25340"/>
    <cellStyle name="Normal 5 13 4 2 2" xfId="25341"/>
    <cellStyle name="Normal 5 13 4 2 3" xfId="25342"/>
    <cellStyle name="Normal 5 13 4 2 4" xfId="25343"/>
    <cellStyle name="Normal 5 13 4 2 5" xfId="25344"/>
    <cellStyle name="Normal 5 13 4 2 6" xfId="25345"/>
    <cellStyle name="Normal 5 13 4 3" xfId="25346"/>
    <cellStyle name="Normal 5 13 4 4" xfId="25347"/>
    <cellStyle name="Normal 5 13 5" xfId="25348"/>
    <cellStyle name="Normal 5 13 5 2" xfId="25349"/>
    <cellStyle name="Normal 5 13 5 2 2" xfId="25350"/>
    <cellStyle name="Normal 5 13 5 2 3" xfId="25351"/>
    <cellStyle name="Normal 5 13 5 2 4" xfId="25352"/>
    <cellStyle name="Normal 5 13 5 2 5" xfId="25353"/>
    <cellStyle name="Normal 5 13 5 2 6" xfId="25354"/>
    <cellStyle name="Normal 5 13 5 3" xfId="25355"/>
    <cellStyle name="Normal 5 13 5 4" xfId="25356"/>
    <cellStyle name="Normal 5 13 6" xfId="25357"/>
    <cellStyle name="Normal 5 13 6 2" xfId="25358"/>
    <cellStyle name="Normal 5 13 6 2 2" xfId="25359"/>
    <cellStyle name="Normal 5 13 6 2 3" xfId="25360"/>
    <cellStyle name="Normal 5 13 6 2 4" xfId="25361"/>
    <cellStyle name="Normal 5 13 6 2 5" xfId="25362"/>
    <cellStyle name="Normal 5 13 6 2 6" xfId="25363"/>
    <cellStyle name="Normal 5 13 6 3" xfId="25364"/>
    <cellStyle name="Normal 5 13 6 4" xfId="25365"/>
    <cellStyle name="Normal 5 13 7" xfId="25366"/>
    <cellStyle name="Normal 5 13 7 2" xfId="25367"/>
    <cellStyle name="Normal 5 13 7 2 2" xfId="25368"/>
    <cellStyle name="Normal 5 13 7 2 3" xfId="25369"/>
    <cellStyle name="Normal 5 13 7 2 4" xfId="25370"/>
    <cellStyle name="Normal 5 13 7 2 5" xfId="25371"/>
    <cellStyle name="Normal 5 13 7 2 6" xfId="25372"/>
    <cellStyle name="Normal 5 13 7 3" xfId="25373"/>
    <cellStyle name="Normal 5 13 7 4" xfId="25374"/>
    <cellStyle name="Normal 5 13 8" xfId="25375"/>
    <cellStyle name="Normal 5 13 8 2" xfId="25376"/>
    <cellStyle name="Normal 5 13 8 2 2" xfId="25377"/>
    <cellStyle name="Normal 5 13 8 2 3" xfId="25378"/>
    <cellStyle name="Normal 5 13 8 2 4" xfId="25379"/>
    <cellStyle name="Normal 5 13 8 2 5" xfId="25380"/>
    <cellStyle name="Normal 5 13 8 2 6" xfId="25381"/>
    <cellStyle name="Normal 5 13 8 3" xfId="25382"/>
    <cellStyle name="Normal 5 13 8 4" xfId="25383"/>
    <cellStyle name="Normal 5 13 9" xfId="25384"/>
    <cellStyle name="Normal 5 13 9 2" xfId="25385"/>
    <cellStyle name="Normal 5 13 9 2 2" xfId="25386"/>
    <cellStyle name="Normal 5 13 9 2 3" xfId="25387"/>
    <cellStyle name="Normal 5 13 9 2 4" xfId="25388"/>
    <cellStyle name="Normal 5 13 9 2 5" xfId="25389"/>
    <cellStyle name="Normal 5 13 9 2 6" xfId="25390"/>
    <cellStyle name="Normal 5 13 9 3" xfId="25391"/>
    <cellStyle name="Normal 5 13 9 4" xfId="25392"/>
    <cellStyle name="Normal 5 14" xfId="25393"/>
    <cellStyle name="Normal 5 14 10" xfId="25394"/>
    <cellStyle name="Normal 5 14 10 2" xfId="25395"/>
    <cellStyle name="Normal 5 14 10 2 2" xfId="25396"/>
    <cellStyle name="Normal 5 14 10 2 3" xfId="25397"/>
    <cellStyle name="Normal 5 14 10 2 4" xfId="25398"/>
    <cellStyle name="Normal 5 14 10 2 5" xfId="25399"/>
    <cellStyle name="Normal 5 14 10 2 6" xfId="25400"/>
    <cellStyle name="Normal 5 14 10 3" xfId="25401"/>
    <cellStyle name="Normal 5 14 10 4" xfId="25402"/>
    <cellStyle name="Normal 5 14 11" xfId="25403"/>
    <cellStyle name="Normal 5 14 11 2" xfId="25404"/>
    <cellStyle name="Normal 5 14 11 3" xfId="25405"/>
    <cellStyle name="Normal 5 14 11 4" xfId="25406"/>
    <cellStyle name="Normal 5 14 11 5" xfId="25407"/>
    <cellStyle name="Normal 5 14 11 6" xfId="25408"/>
    <cellStyle name="Normal 5 14 12" xfId="25409"/>
    <cellStyle name="Normal 5 14 13" xfId="25410"/>
    <cellStyle name="Normal 5 14 2" xfId="25411"/>
    <cellStyle name="Normal 5 14 2 2" xfId="25412"/>
    <cellStyle name="Normal 5 14 2 2 2" xfId="25413"/>
    <cellStyle name="Normal 5 14 2 2 3" xfId="25414"/>
    <cellStyle name="Normal 5 14 2 2 4" xfId="25415"/>
    <cellStyle name="Normal 5 14 2 2 5" xfId="25416"/>
    <cellStyle name="Normal 5 14 2 2 6" xfId="25417"/>
    <cellStyle name="Normal 5 14 2 3" xfId="25418"/>
    <cellStyle name="Normal 5 14 2 4" xfId="25419"/>
    <cellStyle name="Normal 5 14 3" xfId="25420"/>
    <cellStyle name="Normal 5 14 3 2" xfId="25421"/>
    <cellStyle name="Normal 5 14 3 2 2" xfId="25422"/>
    <cellStyle name="Normal 5 14 3 2 3" xfId="25423"/>
    <cellStyle name="Normal 5 14 3 2 4" xfId="25424"/>
    <cellStyle name="Normal 5 14 3 2 5" xfId="25425"/>
    <cellStyle name="Normal 5 14 3 2 6" xfId="25426"/>
    <cellStyle name="Normal 5 14 3 3" xfId="25427"/>
    <cellStyle name="Normal 5 14 3 4" xfId="25428"/>
    <cellStyle name="Normal 5 14 4" xfId="25429"/>
    <cellStyle name="Normal 5 14 4 2" xfId="25430"/>
    <cellStyle name="Normal 5 14 4 2 2" xfId="25431"/>
    <cellStyle name="Normal 5 14 4 2 3" xfId="25432"/>
    <cellStyle name="Normal 5 14 4 2 4" xfId="25433"/>
    <cellStyle name="Normal 5 14 4 2 5" xfId="25434"/>
    <cellStyle name="Normal 5 14 4 2 6" xfId="25435"/>
    <cellStyle name="Normal 5 14 4 3" xfId="25436"/>
    <cellStyle name="Normal 5 14 4 4" xfId="25437"/>
    <cellStyle name="Normal 5 14 5" xfId="25438"/>
    <cellStyle name="Normal 5 14 5 2" xfId="25439"/>
    <cellStyle name="Normal 5 14 5 2 2" xfId="25440"/>
    <cellStyle name="Normal 5 14 5 2 3" xfId="25441"/>
    <cellStyle name="Normal 5 14 5 2 4" xfId="25442"/>
    <cellStyle name="Normal 5 14 5 2 5" xfId="25443"/>
    <cellStyle name="Normal 5 14 5 2 6" xfId="25444"/>
    <cellStyle name="Normal 5 14 5 3" xfId="25445"/>
    <cellStyle name="Normal 5 14 5 4" xfId="25446"/>
    <cellStyle name="Normal 5 14 6" xfId="25447"/>
    <cellStyle name="Normal 5 14 6 2" xfId="25448"/>
    <cellStyle name="Normal 5 14 6 2 2" xfId="25449"/>
    <cellStyle name="Normal 5 14 6 2 3" xfId="25450"/>
    <cellStyle name="Normal 5 14 6 2 4" xfId="25451"/>
    <cellStyle name="Normal 5 14 6 2 5" xfId="25452"/>
    <cellStyle name="Normal 5 14 6 2 6" xfId="25453"/>
    <cellStyle name="Normal 5 14 6 3" xfId="25454"/>
    <cellStyle name="Normal 5 14 6 4" xfId="25455"/>
    <cellStyle name="Normal 5 14 7" xfId="25456"/>
    <cellStyle name="Normal 5 14 7 2" xfId="25457"/>
    <cellStyle name="Normal 5 14 7 2 2" xfId="25458"/>
    <cellStyle name="Normal 5 14 7 2 3" xfId="25459"/>
    <cellStyle name="Normal 5 14 7 2 4" xfId="25460"/>
    <cellStyle name="Normal 5 14 7 2 5" xfId="25461"/>
    <cellStyle name="Normal 5 14 7 2 6" xfId="25462"/>
    <cellStyle name="Normal 5 14 7 3" xfId="25463"/>
    <cellStyle name="Normal 5 14 7 4" xfId="25464"/>
    <cellStyle name="Normal 5 14 8" xfId="25465"/>
    <cellStyle name="Normal 5 14 8 2" xfId="25466"/>
    <cellStyle name="Normal 5 14 8 2 2" xfId="25467"/>
    <cellStyle name="Normal 5 14 8 2 3" xfId="25468"/>
    <cellStyle name="Normal 5 14 8 2 4" xfId="25469"/>
    <cellStyle name="Normal 5 14 8 2 5" xfId="25470"/>
    <cellStyle name="Normal 5 14 8 2 6" xfId="25471"/>
    <cellStyle name="Normal 5 14 8 3" xfId="25472"/>
    <cellStyle name="Normal 5 14 8 4" xfId="25473"/>
    <cellStyle name="Normal 5 14 9" xfId="25474"/>
    <cellStyle name="Normal 5 14 9 2" xfId="25475"/>
    <cellStyle name="Normal 5 14 9 2 2" xfId="25476"/>
    <cellStyle name="Normal 5 14 9 2 3" xfId="25477"/>
    <cellStyle name="Normal 5 14 9 2 4" xfId="25478"/>
    <cellStyle name="Normal 5 14 9 2 5" xfId="25479"/>
    <cellStyle name="Normal 5 14 9 2 6" xfId="25480"/>
    <cellStyle name="Normal 5 14 9 3" xfId="25481"/>
    <cellStyle name="Normal 5 14 9 4" xfId="25482"/>
    <cellStyle name="Normal 5 15" xfId="25483"/>
    <cellStyle name="Normal 5 15 2" xfId="25484"/>
    <cellStyle name="Normal 5 15 2 2" xfId="25485"/>
    <cellStyle name="Normal 5 15 2 3" xfId="25486"/>
    <cellStyle name="Normal 5 15 2 4" xfId="25487"/>
    <cellStyle name="Normal 5 15 2 5" xfId="25488"/>
    <cellStyle name="Normal 5 15 2 6" xfId="25489"/>
    <cellStyle name="Normal 5 15 3" xfId="25490"/>
    <cellStyle name="Normal 5 15 4" xfId="25491"/>
    <cellStyle name="Normal 5 16" xfId="25492"/>
    <cellStyle name="Normal 5 16 2" xfId="25493"/>
    <cellStyle name="Normal 5 16 2 2" xfId="25494"/>
    <cellStyle name="Normal 5 16 2 3" xfId="25495"/>
    <cellStyle name="Normal 5 16 2 4" xfId="25496"/>
    <cellStyle name="Normal 5 16 2 5" xfId="25497"/>
    <cellStyle name="Normal 5 16 2 6" xfId="25498"/>
    <cellStyle name="Normal 5 16 3" xfId="25499"/>
    <cellStyle name="Normal 5 16 4" xfId="25500"/>
    <cellStyle name="Normal 5 17" xfId="25501"/>
    <cellStyle name="Normal 5 17 2" xfId="25502"/>
    <cellStyle name="Normal 5 17 2 2" xfId="25503"/>
    <cellStyle name="Normal 5 17 2 3" xfId="25504"/>
    <cellStyle name="Normal 5 17 2 4" xfId="25505"/>
    <cellStyle name="Normal 5 17 2 5" xfId="25506"/>
    <cellStyle name="Normal 5 17 2 6" xfId="25507"/>
    <cellStyle name="Normal 5 17 3" xfId="25508"/>
    <cellStyle name="Normal 5 17 4" xfId="25509"/>
    <cellStyle name="Normal 5 18" xfId="25510"/>
    <cellStyle name="Normal 5 18 2" xfId="25511"/>
    <cellStyle name="Normal 5 18 2 2" xfId="25512"/>
    <cellStyle name="Normal 5 18 2 3" xfId="25513"/>
    <cellStyle name="Normal 5 18 2 4" xfId="25514"/>
    <cellStyle name="Normal 5 18 2 5" xfId="25515"/>
    <cellStyle name="Normal 5 18 2 6" xfId="25516"/>
    <cellStyle name="Normal 5 18 3" xfId="25517"/>
    <cellStyle name="Normal 5 18 4" xfId="25518"/>
    <cellStyle name="Normal 5 19" xfId="25519"/>
    <cellStyle name="Normal 5 19 2" xfId="25520"/>
    <cellStyle name="Normal 5 19 2 2" xfId="25521"/>
    <cellStyle name="Normal 5 19 2 3" xfId="25522"/>
    <cellStyle name="Normal 5 19 2 4" xfId="25523"/>
    <cellStyle name="Normal 5 19 2 5" xfId="25524"/>
    <cellStyle name="Normal 5 19 2 6" xfId="25525"/>
    <cellStyle name="Normal 5 19 3" xfId="25526"/>
    <cellStyle name="Normal 5 19 4" xfId="25527"/>
    <cellStyle name="Normal 5 2" xfId="25528"/>
    <cellStyle name="Normal 5 2 10" xfId="25529"/>
    <cellStyle name="Normal 5 2 10 2" xfId="25530"/>
    <cellStyle name="Normal 5 2 10 2 2" xfId="25531"/>
    <cellStyle name="Normal 5 2 10 2 3" xfId="25532"/>
    <cellStyle name="Normal 5 2 10 2 4" xfId="25533"/>
    <cellStyle name="Normal 5 2 10 2 5" xfId="25534"/>
    <cellStyle name="Normal 5 2 10 2 6" xfId="25535"/>
    <cellStyle name="Normal 5 2 10 3" xfId="25536"/>
    <cellStyle name="Normal 5 2 10 4" xfId="25537"/>
    <cellStyle name="Normal 5 2 11" xfId="25538"/>
    <cellStyle name="Normal 5 2 11 2" xfId="25539"/>
    <cellStyle name="Normal 5 2 11 3" xfId="25540"/>
    <cellStyle name="Normal 5 2 11 4" xfId="25541"/>
    <cellStyle name="Normal 5 2 11 5" xfId="25542"/>
    <cellStyle name="Normal 5 2 11 6" xfId="25543"/>
    <cellStyle name="Normal 5 2 12" xfId="25544"/>
    <cellStyle name="Normal 5 2 13" xfId="25545"/>
    <cellStyle name="Normal 5 2 2" xfId="25546"/>
    <cellStyle name="Normal 5 2 2 2" xfId="25547"/>
    <cellStyle name="Normal 5 2 2 2 2" xfId="25548"/>
    <cellStyle name="Normal 5 2 2 2 3" xfId="25549"/>
    <cellStyle name="Normal 5 2 2 2 4" xfId="25550"/>
    <cellStyle name="Normal 5 2 2 2 5" xfId="25551"/>
    <cellStyle name="Normal 5 2 2 2 6" xfId="25552"/>
    <cellStyle name="Normal 5 2 2 3" xfId="25553"/>
    <cellStyle name="Normal 5 2 2 4" xfId="25554"/>
    <cellStyle name="Normal 5 2 3" xfId="25555"/>
    <cellStyle name="Normal 5 2 3 2" xfId="25556"/>
    <cellStyle name="Normal 5 2 3 2 2" xfId="25557"/>
    <cellStyle name="Normal 5 2 3 2 3" xfId="25558"/>
    <cellStyle name="Normal 5 2 3 2 4" xfId="25559"/>
    <cellStyle name="Normal 5 2 3 2 5" xfId="25560"/>
    <cellStyle name="Normal 5 2 3 2 6" xfId="25561"/>
    <cellStyle name="Normal 5 2 3 3" xfId="25562"/>
    <cellStyle name="Normal 5 2 3 4" xfId="25563"/>
    <cellStyle name="Normal 5 2 4" xfId="25564"/>
    <cellStyle name="Normal 5 2 4 2" xfId="25565"/>
    <cellStyle name="Normal 5 2 4 2 2" xfId="25566"/>
    <cellStyle name="Normal 5 2 4 2 3" xfId="25567"/>
    <cellStyle name="Normal 5 2 4 2 4" xfId="25568"/>
    <cellStyle name="Normal 5 2 4 2 5" xfId="25569"/>
    <cellStyle name="Normal 5 2 4 2 6" xfId="25570"/>
    <cellStyle name="Normal 5 2 4 3" xfId="25571"/>
    <cellStyle name="Normal 5 2 4 4" xfId="25572"/>
    <cellStyle name="Normal 5 2 5" xfId="25573"/>
    <cellStyle name="Normal 5 2 5 2" xfId="25574"/>
    <cellStyle name="Normal 5 2 5 2 2" xfId="25575"/>
    <cellStyle name="Normal 5 2 5 2 3" xfId="25576"/>
    <cellStyle name="Normal 5 2 5 2 4" xfId="25577"/>
    <cellStyle name="Normal 5 2 5 2 5" xfId="25578"/>
    <cellStyle name="Normal 5 2 5 2 6" xfId="25579"/>
    <cellStyle name="Normal 5 2 5 3" xfId="25580"/>
    <cellStyle name="Normal 5 2 5 4" xfId="25581"/>
    <cellStyle name="Normal 5 2 6" xfId="25582"/>
    <cellStyle name="Normal 5 2 6 2" xfId="25583"/>
    <cellStyle name="Normal 5 2 6 2 2" xfId="25584"/>
    <cellStyle name="Normal 5 2 6 2 3" xfId="25585"/>
    <cellStyle name="Normal 5 2 6 2 4" xfId="25586"/>
    <cellStyle name="Normal 5 2 6 2 5" xfId="25587"/>
    <cellStyle name="Normal 5 2 6 2 6" xfId="25588"/>
    <cellStyle name="Normal 5 2 6 3" xfId="25589"/>
    <cellStyle name="Normal 5 2 6 4" xfId="25590"/>
    <cellStyle name="Normal 5 2 7" xfId="25591"/>
    <cellStyle name="Normal 5 2 7 2" xfId="25592"/>
    <cellStyle name="Normal 5 2 7 2 2" xfId="25593"/>
    <cellStyle name="Normal 5 2 7 2 3" xfId="25594"/>
    <cellStyle name="Normal 5 2 7 2 4" xfId="25595"/>
    <cellStyle name="Normal 5 2 7 2 5" xfId="25596"/>
    <cellStyle name="Normal 5 2 7 2 6" xfId="25597"/>
    <cellStyle name="Normal 5 2 7 3" xfId="25598"/>
    <cellStyle name="Normal 5 2 7 4" xfId="25599"/>
    <cellStyle name="Normal 5 2 8" xfId="25600"/>
    <cellStyle name="Normal 5 2 8 2" xfId="25601"/>
    <cellStyle name="Normal 5 2 8 2 2" xfId="25602"/>
    <cellStyle name="Normal 5 2 8 2 3" xfId="25603"/>
    <cellStyle name="Normal 5 2 8 2 4" xfId="25604"/>
    <cellStyle name="Normal 5 2 8 2 5" xfId="25605"/>
    <cellStyle name="Normal 5 2 8 2 6" xfId="25606"/>
    <cellStyle name="Normal 5 2 8 3" xfId="25607"/>
    <cellStyle name="Normal 5 2 8 4" xfId="25608"/>
    <cellStyle name="Normal 5 2 9" xfId="25609"/>
    <cellStyle name="Normal 5 2 9 2" xfId="25610"/>
    <cellStyle name="Normal 5 2 9 2 2" xfId="25611"/>
    <cellStyle name="Normal 5 2 9 2 3" xfId="25612"/>
    <cellStyle name="Normal 5 2 9 2 4" xfId="25613"/>
    <cellStyle name="Normal 5 2 9 2 5" xfId="25614"/>
    <cellStyle name="Normal 5 2 9 2 6" xfId="25615"/>
    <cellStyle name="Normal 5 2 9 3" xfId="25616"/>
    <cellStyle name="Normal 5 2 9 4" xfId="25617"/>
    <cellStyle name="Normal 5 20" xfId="25618"/>
    <cellStyle name="Normal 5 20 2" xfId="25619"/>
    <cellStyle name="Normal 5 20 2 2" xfId="25620"/>
    <cellStyle name="Normal 5 20 2 3" xfId="25621"/>
    <cellStyle name="Normal 5 20 2 4" xfId="25622"/>
    <cellStyle name="Normal 5 20 2 5" xfId="25623"/>
    <cellStyle name="Normal 5 20 2 6" xfId="25624"/>
    <cellStyle name="Normal 5 20 3" xfId="25625"/>
    <cellStyle name="Normal 5 20 4" xfId="25626"/>
    <cellStyle name="Normal 5 21" xfId="25627"/>
    <cellStyle name="Normal 5 21 2" xfId="25628"/>
    <cellStyle name="Normal 5 21 2 2" xfId="25629"/>
    <cellStyle name="Normal 5 21 2 3" xfId="25630"/>
    <cellStyle name="Normal 5 21 2 4" xfId="25631"/>
    <cellStyle name="Normal 5 21 2 5" xfId="25632"/>
    <cellStyle name="Normal 5 21 2 6" xfId="25633"/>
    <cellStyle name="Normal 5 21 3" xfId="25634"/>
    <cellStyle name="Normal 5 21 4" xfId="25635"/>
    <cellStyle name="Normal 5 22" xfId="25636"/>
    <cellStyle name="Normal 5 22 2" xfId="25637"/>
    <cellStyle name="Normal 5 22 2 2" xfId="25638"/>
    <cellStyle name="Normal 5 22 2 3" xfId="25639"/>
    <cellStyle name="Normal 5 22 2 4" xfId="25640"/>
    <cellStyle name="Normal 5 22 2 5" xfId="25641"/>
    <cellStyle name="Normal 5 22 2 6" xfId="25642"/>
    <cellStyle name="Normal 5 22 3" xfId="25643"/>
    <cellStyle name="Normal 5 22 4" xfId="25644"/>
    <cellStyle name="Normal 5 23" xfId="25645"/>
    <cellStyle name="Normal 5 23 2" xfId="25646"/>
    <cellStyle name="Normal 5 23 2 2" xfId="25647"/>
    <cellStyle name="Normal 5 23 2 3" xfId="25648"/>
    <cellStyle name="Normal 5 23 2 4" xfId="25649"/>
    <cellStyle name="Normal 5 23 2 5" xfId="25650"/>
    <cellStyle name="Normal 5 23 2 6" xfId="25651"/>
    <cellStyle name="Normal 5 23 3" xfId="25652"/>
    <cellStyle name="Normal 5 23 4" xfId="25653"/>
    <cellStyle name="Normal 5 24" xfId="25654"/>
    <cellStyle name="Normal 5 24 2" xfId="25655"/>
    <cellStyle name="Normal 5 24 2 2" xfId="25656"/>
    <cellStyle name="Normal 5 24 2 3" xfId="25657"/>
    <cellStyle name="Normal 5 24 2 4" xfId="25658"/>
    <cellStyle name="Normal 5 24 2 5" xfId="25659"/>
    <cellStyle name="Normal 5 24 2 6" xfId="25660"/>
    <cellStyle name="Normal 5 24 3" xfId="25661"/>
    <cellStyle name="Normal 5 24 4" xfId="25662"/>
    <cellStyle name="Normal 5 25" xfId="25663"/>
    <cellStyle name="Normal 5 25 2" xfId="25664"/>
    <cellStyle name="Normal 5 25 2 2" xfId="25665"/>
    <cellStyle name="Normal 5 25 2 3" xfId="25666"/>
    <cellStyle name="Normal 5 25 2 4" xfId="25667"/>
    <cellStyle name="Normal 5 25 2 5" xfId="25668"/>
    <cellStyle name="Normal 5 25 2 6" xfId="25669"/>
    <cellStyle name="Normal 5 25 3" xfId="25670"/>
    <cellStyle name="Normal 5 25 4" xfId="25671"/>
    <cellStyle name="Normal 5 26" xfId="25672"/>
    <cellStyle name="Normal 5 26 2" xfId="25673"/>
    <cellStyle name="Normal 5 26 2 2" xfId="25674"/>
    <cellStyle name="Normal 5 26 2 3" xfId="25675"/>
    <cellStyle name="Normal 5 26 2 4" xfId="25676"/>
    <cellStyle name="Normal 5 26 2 5" xfId="25677"/>
    <cellStyle name="Normal 5 26 2 6" xfId="25678"/>
    <cellStyle name="Normal 5 26 3" xfId="25679"/>
    <cellStyle name="Normal 5 26 4" xfId="25680"/>
    <cellStyle name="Normal 5 27" xfId="25681"/>
    <cellStyle name="Normal 5 27 2" xfId="25682"/>
    <cellStyle name="Normal 5 27 2 2" xfId="25683"/>
    <cellStyle name="Normal 5 27 2 3" xfId="25684"/>
    <cellStyle name="Normal 5 27 2 4" xfId="25685"/>
    <cellStyle name="Normal 5 27 2 5" xfId="25686"/>
    <cellStyle name="Normal 5 27 2 6" xfId="25687"/>
    <cellStyle name="Normal 5 27 3" xfId="25688"/>
    <cellStyle name="Normal 5 27 4" xfId="25689"/>
    <cellStyle name="Normal 5 28" xfId="25690"/>
    <cellStyle name="Normal 5 28 2" xfId="25691"/>
    <cellStyle name="Normal 5 28 2 2" xfId="25692"/>
    <cellStyle name="Normal 5 28 2 3" xfId="25693"/>
    <cellStyle name="Normal 5 28 2 4" xfId="25694"/>
    <cellStyle name="Normal 5 28 2 5" xfId="25695"/>
    <cellStyle name="Normal 5 28 2 6" xfId="25696"/>
    <cellStyle name="Normal 5 28 3" xfId="25697"/>
    <cellStyle name="Normal 5 28 4" xfId="25698"/>
    <cellStyle name="Normal 5 29" xfId="25699"/>
    <cellStyle name="Normal 5 29 2" xfId="25700"/>
    <cellStyle name="Normal 5 29 2 2" xfId="25701"/>
    <cellStyle name="Normal 5 29 2 3" xfId="25702"/>
    <cellStyle name="Normal 5 29 2 4" xfId="25703"/>
    <cellStyle name="Normal 5 29 2 5" xfId="25704"/>
    <cellStyle name="Normal 5 29 2 6" xfId="25705"/>
    <cellStyle name="Normal 5 29 3" xfId="25706"/>
    <cellStyle name="Normal 5 29 4" xfId="25707"/>
    <cellStyle name="Normal 5 3" xfId="25708"/>
    <cellStyle name="Normal 5 3 10" xfId="25709"/>
    <cellStyle name="Normal 5 3 10 2" xfId="25710"/>
    <cellStyle name="Normal 5 3 10 2 2" xfId="25711"/>
    <cellStyle name="Normal 5 3 10 2 3" xfId="25712"/>
    <cellStyle name="Normal 5 3 10 2 4" xfId="25713"/>
    <cellStyle name="Normal 5 3 10 2 5" xfId="25714"/>
    <cellStyle name="Normal 5 3 10 2 6" xfId="25715"/>
    <cellStyle name="Normal 5 3 10 3" xfId="25716"/>
    <cellStyle name="Normal 5 3 10 4" xfId="25717"/>
    <cellStyle name="Normal 5 3 11" xfId="25718"/>
    <cellStyle name="Normal 5 3 11 2" xfId="25719"/>
    <cellStyle name="Normal 5 3 11 3" xfId="25720"/>
    <cellStyle name="Normal 5 3 11 4" xfId="25721"/>
    <cellStyle name="Normal 5 3 11 5" xfId="25722"/>
    <cellStyle name="Normal 5 3 11 6" xfId="25723"/>
    <cellStyle name="Normal 5 3 12" xfId="25724"/>
    <cellStyle name="Normal 5 3 13" xfId="25725"/>
    <cellStyle name="Normal 5 3 2" xfId="25726"/>
    <cellStyle name="Normal 5 3 2 2" xfId="25727"/>
    <cellStyle name="Normal 5 3 2 2 2" xfId="25728"/>
    <cellStyle name="Normal 5 3 2 2 3" xfId="25729"/>
    <cellStyle name="Normal 5 3 2 2 4" xfId="25730"/>
    <cellStyle name="Normal 5 3 2 2 5" xfId="25731"/>
    <cellStyle name="Normal 5 3 2 2 6" xfId="25732"/>
    <cellStyle name="Normal 5 3 2 3" xfId="25733"/>
    <cellStyle name="Normal 5 3 2 4" xfId="25734"/>
    <cellStyle name="Normal 5 3 3" xfId="25735"/>
    <cellStyle name="Normal 5 3 3 2" xfId="25736"/>
    <cellStyle name="Normal 5 3 3 2 2" xfId="25737"/>
    <cellStyle name="Normal 5 3 3 2 3" xfId="25738"/>
    <cellStyle name="Normal 5 3 3 2 4" xfId="25739"/>
    <cellStyle name="Normal 5 3 3 2 5" xfId="25740"/>
    <cellStyle name="Normal 5 3 3 2 6" xfId="25741"/>
    <cellStyle name="Normal 5 3 3 3" xfId="25742"/>
    <cellStyle name="Normal 5 3 3 4" xfId="25743"/>
    <cellStyle name="Normal 5 3 4" xfId="25744"/>
    <cellStyle name="Normal 5 3 4 2" xfId="25745"/>
    <cellStyle name="Normal 5 3 4 2 2" xfId="25746"/>
    <cellStyle name="Normal 5 3 4 2 3" xfId="25747"/>
    <cellStyle name="Normal 5 3 4 2 4" xfId="25748"/>
    <cellStyle name="Normal 5 3 4 2 5" xfId="25749"/>
    <cellStyle name="Normal 5 3 4 2 6" xfId="25750"/>
    <cellStyle name="Normal 5 3 4 3" xfId="25751"/>
    <cellStyle name="Normal 5 3 4 4" xfId="25752"/>
    <cellStyle name="Normal 5 3 5" xfId="25753"/>
    <cellStyle name="Normal 5 3 5 2" xfId="25754"/>
    <cellStyle name="Normal 5 3 5 2 2" xfId="25755"/>
    <cellStyle name="Normal 5 3 5 2 3" xfId="25756"/>
    <cellStyle name="Normal 5 3 5 2 4" xfId="25757"/>
    <cellStyle name="Normal 5 3 5 2 5" xfId="25758"/>
    <cellStyle name="Normal 5 3 5 2 6" xfId="25759"/>
    <cellStyle name="Normal 5 3 5 3" xfId="25760"/>
    <cellStyle name="Normal 5 3 5 4" xfId="25761"/>
    <cellStyle name="Normal 5 3 6" xfId="25762"/>
    <cellStyle name="Normal 5 3 6 2" xfId="25763"/>
    <cellStyle name="Normal 5 3 6 2 2" xfId="25764"/>
    <cellStyle name="Normal 5 3 6 2 3" xfId="25765"/>
    <cellStyle name="Normal 5 3 6 2 4" xfId="25766"/>
    <cellStyle name="Normal 5 3 6 2 5" xfId="25767"/>
    <cellStyle name="Normal 5 3 6 2 6" xfId="25768"/>
    <cellStyle name="Normal 5 3 6 3" xfId="25769"/>
    <cellStyle name="Normal 5 3 6 4" xfId="25770"/>
    <cellStyle name="Normal 5 3 7" xfId="25771"/>
    <cellStyle name="Normal 5 3 7 2" xfId="25772"/>
    <cellStyle name="Normal 5 3 7 2 2" xfId="25773"/>
    <cellStyle name="Normal 5 3 7 2 3" xfId="25774"/>
    <cellStyle name="Normal 5 3 7 2 4" xfId="25775"/>
    <cellStyle name="Normal 5 3 7 2 5" xfId="25776"/>
    <cellStyle name="Normal 5 3 7 2 6" xfId="25777"/>
    <cellStyle name="Normal 5 3 7 3" xfId="25778"/>
    <cellStyle name="Normal 5 3 7 4" xfId="25779"/>
    <cellStyle name="Normal 5 3 8" xfId="25780"/>
    <cellStyle name="Normal 5 3 8 2" xfId="25781"/>
    <cellStyle name="Normal 5 3 8 2 2" xfId="25782"/>
    <cellStyle name="Normal 5 3 8 2 3" xfId="25783"/>
    <cellStyle name="Normal 5 3 8 2 4" xfId="25784"/>
    <cellStyle name="Normal 5 3 8 2 5" xfId="25785"/>
    <cellStyle name="Normal 5 3 8 2 6" xfId="25786"/>
    <cellStyle name="Normal 5 3 8 3" xfId="25787"/>
    <cellStyle name="Normal 5 3 8 4" xfId="25788"/>
    <cellStyle name="Normal 5 3 9" xfId="25789"/>
    <cellStyle name="Normal 5 3 9 2" xfId="25790"/>
    <cellStyle name="Normal 5 3 9 2 2" xfId="25791"/>
    <cellStyle name="Normal 5 3 9 2 3" xfId="25792"/>
    <cellStyle name="Normal 5 3 9 2 4" xfId="25793"/>
    <cellStyle name="Normal 5 3 9 2 5" xfId="25794"/>
    <cellStyle name="Normal 5 3 9 2 6" xfId="25795"/>
    <cellStyle name="Normal 5 3 9 3" xfId="25796"/>
    <cellStyle name="Normal 5 3 9 4" xfId="25797"/>
    <cellStyle name="Normal 5 30" xfId="25798"/>
    <cellStyle name="Normal 5 30 2" xfId="25799"/>
    <cellStyle name="Normal 5 30 2 2" xfId="25800"/>
    <cellStyle name="Normal 5 30 2 3" xfId="25801"/>
    <cellStyle name="Normal 5 30 2 4" xfId="25802"/>
    <cellStyle name="Normal 5 30 2 5" xfId="25803"/>
    <cellStyle name="Normal 5 30 2 6" xfId="25804"/>
    <cellStyle name="Normal 5 30 3" xfId="25805"/>
    <cellStyle name="Normal 5 30 4" xfId="25806"/>
    <cellStyle name="Normal 5 31" xfId="25807"/>
    <cellStyle name="Normal 5 31 2" xfId="25808"/>
    <cellStyle name="Normal 5 31 2 2" xfId="25809"/>
    <cellStyle name="Normal 5 31 2 3" xfId="25810"/>
    <cellStyle name="Normal 5 31 2 4" xfId="25811"/>
    <cellStyle name="Normal 5 31 2 5" xfId="25812"/>
    <cellStyle name="Normal 5 31 2 6" xfId="25813"/>
    <cellStyle name="Normal 5 31 3" xfId="25814"/>
    <cellStyle name="Normal 5 31 4" xfId="25815"/>
    <cellStyle name="Normal 5 32" xfId="25816"/>
    <cellStyle name="Normal 5 32 2" xfId="25817"/>
    <cellStyle name="Normal 5 32 2 2" xfId="25818"/>
    <cellStyle name="Normal 5 32 2 3" xfId="25819"/>
    <cellStyle name="Normal 5 32 2 4" xfId="25820"/>
    <cellStyle name="Normal 5 32 2 5" xfId="25821"/>
    <cellStyle name="Normal 5 32 2 6" xfId="25822"/>
    <cellStyle name="Normal 5 32 3" xfId="25823"/>
    <cellStyle name="Normal 5 32 4" xfId="25824"/>
    <cellStyle name="Normal 5 33" xfId="25825"/>
    <cellStyle name="Normal 5 33 2" xfId="25826"/>
    <cellStyle name="Normal 5 33 2 2" xfId="25827"/>
    <cellStyle name="Normal 5 33 2 3" xfId="25828"/>
    <cellStyle name="Normal 5 33 2 4" xfId="25829"/>
    <cellStyle name="Normal 5 33 2 5" xfId="25830"/>
    <cellStyle name="Normal 5 33 2 6" xfId="25831"/>
    <cellStyle name="Normal 5 33 3" xfId="25832"/>
    <cellStyle name="Normal 5 33 4" xfId="25833"/>
    <cellStyle name="Normal 5 34" xfId="25834"/>
    <cellStyle name="Normal 5 34 2" xfId="25835"/>
    <cellStyle name="Normal 5 34 2 2" xfId="25836"/>
    <cellStyle name="Normal 5 34 2 3" xfId="25837"/>
    <cellStyle name="Normal 5 34 2 4" xfId="25838"/>
    <cellStyle name="Normal 5 34 2 5" xfId="25839"/>
    <cellStyle name="Normal 5 34 2 6" xfId="25840"/>
    <cellStyle name="Normal 5 34 3" xfId="25841"/>
    <cellStyle name="Normal 5 34 4" xfId="25842"/>
    <cellStyle name="Normal 5 35" xfId="25843"/>
    <cellStyle name="Normal 5 35 2" xfId="25844"/>
    <cellStyle name="Normal 5 35 2 2" xfId="25845"/>
    <cellStyle name="Normal 5 35 2 3" xfId="25846"/>
    <cellStyle name="Normal 5 35 2 4" xfId="25847"/>
    <cellStyle name="Normal 5 35 2 5" xfId="25848"/>
    <cellStyle name="Normal 5 35 2 6" xfId="25849"/>
    <cellStyle name="Normal 5 35 3" xfId="25850"/>
    <cellStyle name="Normal 5 35 4" xfId="25851"/>
    <cellStyle name="Normal 5 36" xfId="25852"/>
    <cellStyle name="Normal 5 36 2" xfId="25853"/>
    <cellStyle name="Normal 5 36 2 2" xfId="25854"/>
    <cellStyle name="Normal 5 36 2 3" xfId="25855"/>
    <cellStyle name="Normal 5 36 2 4" xfId="25856"/>
    <cellStyle name="Normal 5 36 2 5" xfId="25857"/>
    <cellStyle name="Normal 5 36 2 6" xfId="25858"/>
    <cellStyle name="Normal 5 36 3" xfId="25859"/>
    <cellStyle name="Normal 5 36 4" xfId="25860"/>
    <cellStyle name="Normal 5 37" xfId="25861"/>
    <cellStyle name="Normal 5 37 2" xfId="25862"/>
    <cellStyle name="Normal 5 37 2 2" xfId="25863"/>
    <cellStyle name="Normal 5 37 2 3" xfId="25864"/>
    <cellStyle name="Normal 5 37 2 4" xfId="25865"/>
    <cellStyle name="Normal 5 37 2 5" xfId="25866"/>
    <cellStyle name="Normal 5 37 2 6" xfId="25867"/>
    <cellStyle name="Normal 5 37 3" xfId="25868"/>
    <cellStyle name="Normal 5 37 4" xfId="25869"/>
    <cellStyle name="Normal 5 38" xfId="25870"/>
    <cellStyle name="Normal 5 38 2" xfId="25871"/>
    <cellStyle name="Normal 5 38 2 2" xfId="25872"/>
    <cellStyle name="Normal 5 38 2 3" xfId="25873"/>
    <cellStyle name="Normal 5 38 2 4" xfId="25874"/>
    <cellStyle name="Normal 5 38 2 5" xfId="25875"/>
    <cellStyle name="Normal 5 38 2 6" xfId="25876"/>
    <cellStyle name="Normal 5 38 3" xfId="25877"/>
    <cellStyle name="Normal 5 38 4" xfId="25878"/>
    <cellStyle name="Normal 5 39" xfId="25879"/>
    <cellStyle name="Normal 5 39 2" xfId="25880"/>
    <cellStyle name="Normal 5 39 2 2" xfId="25881"/>
    <cellStyle name="Normal 5 39 2 3" xfId="25882"/>
    <cellStyle name="Normal 5 39 2 4" xfId="25883"/>
    <cellStyle name="Normal 5 39 2 5" xfId="25884"/>
    <cellStyle name="Normal 5 39 2 6" xfId="25885"/>
    <cellStyle name="Normal 5 39 3" xfId="25886"/>
    <cellStyle name="Normal 5 39 4" xfId="25887"/>
    <cellStyle name="Normal 5 4" xfId="25888"/>
    <cellStyle name="Normal 5 4 10" xfId="25889"/>
    <cellStyle name="Normal 5 4 10 2" xfId="25890"/>
    <cellStyle name="Normal 5 4 10 2 2" xfId="25891"/>
    <cellStyle name="Normal 5 4 10 2 3" xfId="25892"/>
    <cellStyle name="Normal 5 4 10 2 4" xfId="25893"/>
    <cellStyle name="Normal 5 4 10 2 5" xfId="25894"/>
    <cellStyle name="Normal 5 4 10 2 6" xfId="25895"/>
    <cellStyle name="Normal 5 4 10 3" xfId="25896"/>
    <cellStyle name="Normal 5 4 10 4" xfId="25897"/>
    <cellStyle name="Normal 5 4 11" xfId="25898"/>
    <cellStyle name="Normal 5 4 11 2" xfId="25899"/>
    <cellStyle name="Normal 5 4 11 3" xfId="25900"/>
    <cellStyle name="Normal 5 4 11 4" xfId="25901"/>
    <cellStyle name="Normal 5 4 11 5" xfId="25902"/>
    <cellStyle name="Normal 5 4 11 6" xfId="25903"/>
    <cellStyle name="Normal 5 4 12" xfId="25904"/>
    <cellStyle name="Normal 5 4 13" xfId="25905"/>
    <cellStyle name="Normal 5 4 2" xfId="25906"/>
    <cellStyle name="Normal 5 4 2 2" xfId="25907"/>
    <cellStyle name="Normal 5 4 2 2 2" xfId="25908"/>
    <cellStyle name="Normal 5 4 2 2 3" xfId="25909"/>
    <cellStyle name="Normal 5 4 2 2 4" xfId="25910"/>
    <cellStyle name="Normal 5 4 2 2 5" xfId="25911"/>
    <cellStyle name="Normal 5 4 2 2 6" xfId="25912"/>
    <cellStyle name="Normal 5 4 2 3" xfId="25913"/>
    <cellStyle name="Normal 5 4 2 4" xfId="25914"/>
    <cellStyle name="Normal 5 4 3" xfId="25915"/>
    <cellStyle name="Normal 5 4 3 2" xfId="25916"/>
    <cellStyle name="Normal 5 4 3 2 2" xfId="25917"/>
    <cellStyle name="Normal 5 4 3 2 3" xfId="25918"/>
    <cellStyle name="Normal 5 4 3 2 4" xfId="25919"/>
    <cellStyle name="Normal 5 4 3 2 5" xfId="25920"/>
    <cellStyle name="Normal 5 4 3 2 6" xfId="25921"/>
    <cellStyle name="Normal 5 4 3 3" xfId="25922"/>
    <cellStyle name="Normal 5 4 3 4" xfId="25923"/>
    <cellStyle name="Normal 5 4 4" xfId="25924"/>
    <cellStyle name="Normal 5 4 4 2" xfId="25925"/>
    <cellStyle name="Normal 5 4 4 2 2" xfId="25926"/>
    <cellStyle name="Normal 5 4 4 2 3" xfId="25927"/>
    <cellStyle name="Normal 5 4 4 2 4" xfId="25928"/>
    <cellStyle name="Normal 5 4 4 2 5" xfId="25929"/>
    <cellStyle name="Normal 5 4 4 2 6" xfId="25930"/>
    <cellStyle name="Normal 5 4 4 3" xfId="25931"/>
    <cellStyle name="Normal 5 4 4 4" xfId="25932"/>
    <cellStyle name="Normal 5 4 5" xfId="25933"/>
    <cellStyle name="Normal 5 4 5 2" xfId="25934"/>
    <cellStyle name="Normal 5 4 5 2 2" xfId="25935"/>
    <cellStyle name="Normal 5 4 5 2 3" xfId="25936"/>
    <cellStyle name="Normal 5 4 5 2 4" xfId="25937"/>
    <cellStyle name="Normal 5 4 5 2 5" xfId="25938"/>
    <cellStyle name="Normal 5 4 5 2 6" xfId="25939"/>
    <cellStyle name="Normal 5 4 5 3" xfId="25940"/>
    <cellStyle name="Normal 5 4 5 4" xfId="25941"/>
    <cellStyle name="Normal 5 4 6" xfId="25942"/>
    <cellStyle name="Normal 5 4 6 2" xfId="25943"/>
    <cellStyle name="Normal 5 4 6 2 2" xfId="25944"/>
    <cellStyle name="Normal 5 4 6 2 3" xfId="25945"/>
    <cellStyle name="Normal 5 4 6 2 4" xfId="25946"/>
    <cellStyle name="Normal 5 4 6 2 5" xfId="25947"/>
    <cellStyle name="Normal 5 4 6 2 6" xfId="25948"/>
    <cellStyle name="Normal 5 4 6 3" xfId="25949"/>
    <cellStyle name="Normal 5 4 6 4" xfId="25950"/>
    <cellStyle name="Normal 5 4 7" xfId="25951"/>
    <cellStyle name="Normal 5 4 7 2" xfId="25952"/>
    <cellStyle name="Normal 5 4 7 2 2" xfId="25953"/>
    <cellStyle name="Normal 5 4 7 2 3" xfId="25954"/>
    <cellStyle name="Normal 5 4 7 2 4" xfId="25955"/>
    <cellStyle name="Normal 5 4 7 2 5" xfId="25956"/>
    <cellStyle name="Normal 5 4 7 2 6" xfId="25957"/>
    <cellStyle name="Normal 5 4 7 3" xfId="25958"/>
    <cellStyle name="Normal 5 4 7 4" xfId="25959"/>
    <cellStyle name="Normal 5 4 8" xfId="25960"/>
    <cellStyle name="Normal 5 4 8 2" xfId="25961"/>
    <cellStyle name="Normal 5 4 8 2 2" xfId="25962"/>
    <cellStyle name="Normal 5 4 8 2 3" xfId="25963"/>
    <cellStyle name="Normal 5 4 8 2 4" xfId="25964"/>
    <cellStyle name="Normal 5 4 8 2 5" xfId="25965"/>
    <cellStyle name="Normal 5 4 8 2 6" xfId="25966"/>
    <cellStyle name="Normal 5 4 8 3" xfId="25967"/>
    <cellStyle name="Normal 5 4 8 4" xfId="25968"/>
    <cellStyle name="Normal 5 4 9" xfId="25969"/>
    <cellStyle name="Normal 5 4 9 2" xfId="25970"/>
    <cellStyle name="Normal 5 4 9 2 2" xfId="25971"/>
    <cellStyle name="Normal 5 4 9 2 3" xfId="25972"/>
    <cellStyle name="Normal 5 4 9 2 4" xfId="25973"/>
    <cellStyle name="Normal 5 4 9 2 5" xfId="25974"/>
    <cellStyle name="Normal 5 4 9 2 6" xfId="25975"/>
    <cellStyle name="Normal 5 4 9 3" xfId="25976"/>
    <cellStyle name="Normal 5 4 9 4" xfId="25977"/>
    <cellStyle name="Normal 5 40" xfId="25978"/>
    <cellStyle name="Normal 5 40 2" xfId="25979"/>
    <cellStyle name="Normal 5 40 2 2" xfId="25980"/>
    <cellStyle name="Normal 5 40 2 3" xfId="25981"/>
    <cellStyle name="Normal 5 40 2 4" xfId="25982"/>
    <cellStyle name="Normal 5 40 2 5" xfId="25983"/>
    <cellStyle name="Normal 5 40 2 6" xfId="25984"/>
    <cellStyle name="Normal 5 40 3" xfId="25985"/>
    <cellStyle name="Normal 5 40 4" xfId="25986"/>
    <cellStyle name="Normal 5 41" xfId="25987"/>
    <cellStyle name="Normal 5 41 2" xfId="25988"/>
    <cellStyle name="Normal 5 41 2 2" xfId="25989"/>
    <cellStyle name="Normal 5 41 2 3" xfId="25990"/>
    <cellStyle name="Normal 5 41 2 4" xfId="25991"/>
    <cellStyle name="Normal 5 41 2 5" xfId="25992"/>
    <cellStyle name="Normal 5 41 2 6" xfId="25993"/>
    <cellStyle name="Normal 5 41 3" xfId="25994"/>
    <cellStyle name="Normal 5 41 4" xfId="25995"/>
    <cellStyle name="Normal 5 42" xfId="25996"/>
    <cellStyle name="Normal 5 42 2" xfId="25997"/>
    <cellStyle name="Normal 5 42 2 2" xfId="25998"/>
    <cellStyle name="Normal 5 42 2 3" xfId="25999"/>
    <cellStyle name="Normal 5 42 2 4" xfId="26000"/>
    <cellStyle name="Normal 5 42 2 5" xfId="26001"/>
    <cellStyle name="Normal 5 42 2 6" xfId="26002"/>
    <cellStyle name="Normal 5 42 3" xfId="26003"/>
    <cellStyle name="Normal 5 42 4" xfId="26004"/>
    <cellStyle name="Normal 5 43" xfId="26005"/>
    <cellStyle name="Normal 5 43 2" xfId="26006"/>
    <cellStyle name="Normal 5 43 2 2" xfId="26007"/>
    <cellStyle name="Normal 5 43 2 3" xfId="26008"/>
    <cellStyle name="Normal 5 43 2 4" xfId="26009"/>
    <cellStyle name="Normal 5 43 2 5" xfId="26010"/>
    <cellStyle name="Normal 5 43 2 6" xfId="26011"/>
    <cellStyle name="Normal 5 43 3" xfId="26012"/>
    <cellStyle name="Normal 5 43 4" xfId="26013"/>
    <cellStyle name="Normal 5 44" xfId="26014"/>
    <cellStyle name="Normal 5 44 2" xfId="26015"/>
    <cellStyle name="Normal 5 44 2 2" xfId="26016"/>
    <cellStyle name="Normal 5 44 2 3" xfId="26017"/>
    <cellStyle name="Normal 5 44 2 4" xfId="26018"/>
    <cellStyle name="Normal 5 44 2 5" xfId="26019"/>
    <cellStyle name="Normal 5 44 2 6" xfId="26020"/>
    <cellStyle name="Normal 5 44 3" xfId="26021"/>
    <cellStyle name="Normal 5 44 4" xfId="26022"/>
    <cellStyle name="Normal 5 45" xfId="26023"/>
    <cellStyle name="Normal 5 45 2" xfId="26024"/>
    <cellStyle name="Normal 5 45 2 2" xfId="26025"/>
    <cellStyle name="Normal 5 45 2 3" xfId="26026"/>
    <cellStyle name="Normal 5 45 2 4" xfId="26027"/>
    <cellStyle name="Normal 5 45 2 5" xfId="26028"/>
    <cellStyle name="Normal 5 45 2 6" xfId="26029"/>
    <cellStyle name="Normal 5 45 3" xfId="26030"/>
    <cellStyle name="Normal 5 45 4" xfId="26031"/>
    <cellStyle name="Normal 5 46" xfId="26032"/>
    <cellStyle name="Normal 5 46 2" xfId="26033"/>
    <cellStyle name="Normal 5 46 2 2" xfId="26034"/>
    <cellStyle name="Normal 5 46 2 3" xfId="26035"/>
    <cellStyle name="Normal 5 46 2 4" xfId="26036"/>
    <cellStyle name="Normal 5 46 2 5" xfId="26037"/>
    <cellStyle name="Normal 5 46 2 6" xfId="26038"/>
    <cellStyle name="Normal 5 46 3" xfId="26039"/>
    <cellStyle name="Normal 5 46 4" xfId="26040"/>
    <cellStyle name="Normal 5 47" xfId="26041"/>
    <cellStyle name="Normal 5 47 2" xfId="26042"/>
    <cellStyle name="Normal 5 47 2 2" xfId="26043"/>
    <cellStyle name="Normal 5 47 2 3" xfId="26044"/>
    <cellStyle name="Normal 5 47 2 4" xfId="26045"/>
    <cellStyle name="Normal 5 47 2 5" xfId="26046"/>
    <cellStyle name="Normal 5 47 2 6" xfId="26047"/>
    <cellStyle name="Normal 5 47 3" xfId="26048"/>
    <cellStyle name="Normal 5 47 4" xfId="26049"/>
    <cellStyle name="Normal 5 48" xfId="26050"/>
    <cellStyle name="Normal 5 48 2" xfId="26051"/>
    <cellStyle name="Normal 5 48 2 2" xfId="26052"/>
    <cellStyle name="Normal 5 48 2 3" xfId="26053"/>
    <cellStyle name="Normal 5 48 2 4" xfId="26054"/>
    <cellStyle name="Normal 5 48 2 5" xfId="26055"/>
    <cellStyle name="Normal 5 48 2 6" xfId="26056"/>
    <cellStyle name="Normal 5 48 3" xfId="26057"/>
    <cellStyle name="Normal 5 48 4" xfId="26058"/>
    <cellStyle name="Normal 5 49" xfId="26059"/>
    <cellStyle name="Normal 5 49 2" xfId="26060"/>
    <cellStyle name="Normal 5 49 2 2" xfId="26061"/>
    <cellStyle name="Normal 5 49 2 3" xfId="26062"/>
    <cellStyle name="Normal 5 49 2 4" xfId="26063"/>
    <cellStyle name="Normal 5 49 2 5" xfId="26064"/>
    <cellStyle name="Normal 5 49 2 6" xfId="26065"/>
    <cellStyle name="Normal 5 49 3" xfId="26066"/>
    <cellStyle name="Normal 5 49 4" xfId="26067"/>
    <cellStyle name="Normal 5 5" xfId="26068"/>
    <cellStyle name="Normal 5 5 10" xfId="26069"/>
    <cellStyle name="Normal 5 5 10 2" xfId="26070"/>
    <cellStyle name="Normal 5 5 10 2 2" xfId="26071"/>
    <cellStyle name="Normal 5 5 10 2 3" xfId="26072"/>
    <cellStyle name="Normal 5 5 10 2 4" xfId="26073"/>
    <cellStyle name="Normal 5 5 10 2 5" xfId="26074"/>
    <cellStyle name="Normal 5 5 10 2 6" xfId="26075"/>
    <cellStyle name="Normal 5 5 10 3" xfId="26076"/>
    <cellStyle name="Normal 5 5 10 4" xfId="26077"/>
    <cellStyle name="Normal 5 5 11" xfId="26078"/>
    <cellStyle name="Normal 5 5 11 2" xfId="26079"/>
    <cellStyle name="Normal 5 5 11 3" xfId="26080"/>
    <cellStyle name="Normal 5 5 11 4" xfId="26081"/>
    <cellStyle name="Normal 5 5 11 5" xfId="26082"/>
    <cellStyle name="Normal 5 5 11 6" xfId="26083"/>
    <cellStyle name="Normal 5 5 12" xfId="26084"/>
    <cellStyle name="Normal 5 5 13" xfId="26085"/>
    <cellStyle name="Normal 5 5 2" xfId="26086"/>
    <cellStyle name="Normal 5 5 2 2" xfId="26087"/>
    <cellStyle name="Normal 5 5 2 2 2" xfId="26088"/>
    <cellStyle name="Normal 5 5 2 2 3" xfId="26089"/>
    <cellStyle name="Normal 5 5 2 2 4" xfId="26090"/>
    <cellStyle name="Normal 5 5 2 2 5" xfId="26091"/>
    <cellStyle name="Normal 5 5 2 2 6" xfId="26092"/>
    <cellStyle name="Normal 5 5 2 3" xfId="26093"/>
    <cellStyle name="Normal 5 5 2 4" xfId="26094"/>
    <cellStyle name="Normal 5 5 3" xfId="26095"/>
    <cellStyle name="Normal 5 5 3 2" xfId="26096"/>
    <cellStyle name="Normal 5 5 3 2 2" xfId="26097"/>
    <cellStyle name="Normal 5 5 3 2 3" xfId="26098"/>
    <cellStyle name="Normal 5 5 3 2 4" xfId="26099"/>
    <cellStyle name="Normal 5 5 3 2 5" xfId="26100"/>
    <cellStyle name="Normal 5 5 3 2 6" xfId="26101"/>
    <cellStyle name="Normal 5 5 3 3" xfId="26102"/>
    <cellStyle name="Normal 5 5 3 4" xfId="26103"/>
    <cellStyle name="Normal 5 5 4" xfId="26104"/>
    <cellStyle name="Normal 5 5 4 2" xfId="26105"/>
    <cellStyle name="Normal 5 5 4 2 2" xfId="26106"/>
    <cellStyle name="Normal 5 5 4 2 3" xfId="26107"/>
    <cellStyle name="Normal 5 5 4 2 4" xfId="26108"/>
    <cellStyle name="Normal 5 5 4 2 5" xfId="26109"/>
    <cellStyle name="Normal 5 5 4 2 6" xfId="26110"/>
    <cellStyle name="Normal 5 5 4 3" xfId="26111"/>
    <cellStyle name="Normal 5 5 4 4" xfId="26112"/>
    <cellStyle name="Normal 5 5 5" xfId="26113"/>
    <cellStyle name="Normal 5 5 5 2" xfId="26114"/>
    <cellStyle name="Normal 5 5 5 2 2" xfId="26115"/>
    <cellStyle name="Normal 5 5 5 2 3" xfId="26116"/>
    <cellStyle name="Normal 5 5 5 2 4" xfId="26117"/>
    <cellStyle name="Normal 5 5 5 2 5" xfId="26118"/>
    <cellStyle name="Normal 5 5 5 2 6" xfId="26119"/>
    <cellStyle name="Normal 5 5 5 3" xfId="26120"/>
    <cellStyle name="Normal 5 5 5 4" xfId="26121"/>
    <cellStyle name="Normal 5 5 6" xfId="26122"/>
    <cellStyle name="Normal 5 5 6 2" xfId="26123"/>
    <cellStyle name="Normal 5 5 6 2 2" xfId="26124"/>
    <cellStyle name="Normal 5 5 6 2 3" xfId="26125"/>
    <cellStyle name="Normal 5 5 6 2 4" xfId="26126"/>
    <cellStyle name="Normal 5 5 6 2 5" xfId="26127"/>
    <cellStyle name="Normal 5 5 6 2 6" xfId="26128"/>
    <cellStyle name="Normal 5 5 6 3" xfId="26129"/>
    <cellStyle name="Normal 5 5 6 4" xfId="26130"/>
    <cellStyle name="Normal 5 5 7" xfId="26131"/>
    <cellStyle name="Normal 5 5 7 2" xfId="26132"/>
    <cellStyle name="Normal 5 5 7 2 2" xfId="26133"/>
    <cellStyle name="Normal 5 5 7 2 3" xfId="26134"/>
    <cellStyle name="Normal 5 5 7 2 4" xfId="26135"/>
    <cellStyle name="Normal 5 5 7 2 5" xfId="26136"/>
    <cellStyle name="Normal 5 5 7 2 6" xfId="26137"/>
    <cellStyle name="Normal 5 5 7 3" xfId="26138"/>
    <cellStyle name="Normal 5 5 7 4" xfId="26139"/>
    <cellStyle name="Normal 5 5 8" xfId="26140"/>
    <cellStyle name="Normal 5 5 8 2" xfId="26141"/>
    <cellStyle name="Normal 5 5 8 2 2" xfId="26142"/>
    <cellStyle name="Normal 5 5 8 2 3" xfId="26143"/>
    <cellStyle name="Normal 5 5 8 2 4" xfId="26144"/>
    <cellStyle name="Normal 5 5 8 2 5" xfId="26145"/>
    <cellStyle name="Normal 5 5 8 2 6" xfId="26146"/>
    <cellStyle name="Normal 5 5 8 3" xfId="26147"/>
    <cellStyle name="Normal 5 5 8 4" xfId="26148"/>
    <cellStyle name="Normal 5 5 9" xfId="26149"/>
    <cellStyle name="Normal 5 5 9 2" xfId="26150"/>
    <cellStyle name="Normal 5 5 9 2 2" xfId="26151"/>
    <cellStyle name="Normal 5 5 9 2 3" xfId="26152"/>
    <cellStyle name="Normal 5 5 9 2 4" xfId="26153"/>
    <cellStyle name="Normal 5 5 9 2 5" xfId="26154"/>
    <cellStyle name="Normal 5 5 9 2 6" xfId="26155"/>
    <cellStyle name="Normal 5 5 9 3" xfId="26156"/>
    <cellStyle name="Normal 5 5 9 4" xfId="26157"/>
    <cellStyle name="Normal 5 50" xfId="26158"/>
    <cellStyle name="Normal 5 50 2" xfId="26159"/>
    <cellStyle name="Normal 5 50 2 2" xfId="26160"/>
    <cellStyle name="Normal 5 50 2 3" xfId="26161"/>
    <cellStyle name="Normal 5 50 2 4" xfId="26162"/>
    <cellStyle name="Normal 5 50 2 5" xfId="26163"/>
    <cellStyle name="Normal 5 50 2 6" xfId="26164"/>
    <cellStyle name="Normal 5 50 3" xfId="26165"/>
    <cellStyle name="Normal 5 50 4" xfId="26166"/>
    <cellStyle name="Normal 5 51" xfId="26167"/>
    <cellStyle name="Normal 5 51 2" xfId="26168"/>
    <cellStyle name="Normal 5 51 2 2" xfId="26169"/>
    <cellStyle name="Normal 5 51 2 3" xfId="26170"/>
    <cellStyle name="Normal 5 51 2 4" xfId="26171"/>
    <cellStyle name="Normal 5 51 2 5" xfId="26172"/>
    <cellStyle name="Normal 5 51 2 6" xfId="26173"/>
    <cellStyle name="Normal 5 51 3" xfId="26174"/>
    <cellStyle name="Normal 5 51 4" xfId="26175"/>
    <cellStyle name="Normal 5 52" xfId="26176"/>
    <cellStyle name="Normal 5 52 2" xfId="26177"/>
    <cellStyle name="Normal 5 52 2 2" xfId="26178"/>
    <cellStyle name="Normal 5 52 2 3" xfId="26179"/>
    <cellStyle name="Normal 5 52 2 4" xfId="26180"/>
    <cellStyle name="Normal 5 52 2 5" xfId="26181"/>
    <cellStyle name="Normal 5 52 2 6" xfId="26182"/>
    <cellStyle name="Normal 5 52 3" xfId="26183"/>
    <cellStyle name="Normal 5 52 4" xfId="26184"/>
    <cellStyle name="Normal 5 53" xfId="26185"/>
    <cellStyle name="Normal 5 53 2" xfId="26186"/>
    <cellStyle name="Normal 5 53 2 2" xfId="26187"/>
    <cellStyle name="Normal 5 53 2 3" xfId="26188"/>
    <cellStyle name="Normal 5 53 2 4" xfId="26189"/>
    <cellStyle name="Normal 5 53 2 5" xfId="26190"/>
    <cellStyle name="Normal 5 53 2 6" xfId="26191"/>
    <cellStyle name="Normal 5 53 3" xfId="26192"/>
    <cellStyle name="Normal 5 53 4" xfId="26193"/>
    <cellStyle name="Normal 5 54" xfId="26194"/>
    <cellStyle name="Normal 5 54 2" xfId="26195"/>
    <cellStyle name="Normal 5 54 3" xfId="26196"/>
    <cellStyle name="Normal 5 54 4" xfId="26197"/>
    <cellStyle name="Normal 5 54 5" xfId="26198"/>
    <cellStyle name="Normal 5 54 6" xfId="26199"/>
    <cellStyle name="Normal 5 55" xfId="26200"/>
    <cellStyle name="Normal 5 56" xfId="26201"/>
    <cellStyle name="Normal 5 6" xfId="26202"/>
    <cellStyle name="Normal 5 6 10" xfId="26203"/>
    <cellStyle name="Normal 5 6 10 2" xfId="26204"/>
    <cellStyle name="Normal 5 6 10 2 2" xfId="26205"/>
    <cellStyle name="Normal 5 6 10 2 3" xfId="26206"/>
    <cellStyle name="Normal 5 6 10 2 4" xfId="26207"/>
    <cellStyle name="Normal 5 6 10 2 5" xfId="26208"/>
    <cellStyle name="Normal 5 6 10 2 6" xfId="26209"/>
    <cellStyle name="Normal 5 6 10 3" xfId="26210"/>
    <cellStyle name="Normal 5 6 10 4" xfId="26211"/>
    <cellStyle name="Normal 5 6 11" xfId="26212"/>
    <cellStyle name="Normal 5 6 11 2" xfId="26213"/>
    <cellStyle name="Normal 5 6 11 3" xfId="26214"/>
    <cellStyle name="Normal 5 6 11 4" xfId="26215"/>
    <cellStyle name="Normal 5 6 11 5" xfId="26216"/>
    <cellStyle name="Normal 5 6 11 6" xfId="26217"/>
    <cellStyle name="Normal 5 6 12" xfId="26218"/>
    <cellStyle name="Normal 5 6 13" xfId="26219"/>
    <cellStyle name="Normal 5 6 2" xfId="26220"/>
    <cellStyle name="Normal 5 6 2 2" xfId="26221"/>
    <cellStyle name="Normal 5 6 2 2 2" xfId="26222"/>
    <cellStyle name="Normal 5 6 2 2 3" xfId="26223"/>
    <cellStyle name="Normal 5 6 2 2 4" xfId="26224"/>
    <cellStyle name="Normal 5 6 2 2 5" xfId="26225"/>
    <cellStyle name="Normal 5 6 2 2 6" xfId="26226"/>
    <cellStyle name="Normal 5 6 2 3" xfId="26227"/>
    <cellStyle name="Normal 5 6 2 4" xfId="26228"/>
    <cellStyle name="Normal 5 6 3" xfId="26229"/>
    <cellStyle name="Normal 5 6 3 2" xfId="26230"/>
    <cellStyle name="Normal 5 6 3 2 2" xfId="26231"/>
    <cellStyle name="Normal 5 6 3 2 3" xfId="26232"/>
    <cellStyle name="Normal 5 6 3 2 4" xfId="26233"/>
    <cellStyle name="Normal 5 6 3 2 5" xfId="26234"/>
    <cellStyle name="Normal 5 6 3 2 6" xfId="26235"/>
    <cellStyle name="Normal 5 6 3 3" xfId="26236"/>
    <cellStyle name="Normal 5 6 3 4" xfId="26237"/>
    <cellStyle name="Normal 5 6 4" xfId="26238"/>
    <cellStyle name="Normal 5 6 4 2" xfId="26239"/>
    <cellStyle name="Normal 5 6 4 2 2" xfId="26240"/>
    <cellStyle name="Normal 5 6 4 2 3" xfId="26241"/>
    <cellStyle name="Normal 5 6 4 2 4" xfId="26242"/>
    <cellStyle name="Normal 5 6 4 2 5" xfId="26243"/>
    <cellStyle name="Normal 5 6 4 2 6" xfId="26244"/>
    <cellStyle name="Normal 5 6 4 3" xfId="26245"/>
    <cellStyle name="Normal 5 6 4 4" xfId="26246"/>
    <cellStyle name="Normal 5 6 5" xfId="26247"/>
    <cellStyle name="Normal 5 6 5 2" xfId="26248"/>
    <cellStyle name="Normal 5 6 5 2 2" xfId="26249"/>
    <cellStyle name="Normal 5 6 5 2 3" xfId="26250"/>
    <cellStyle name="Normal 5 6 5 2 4" xfId="26251"/>
    <cellStyle name="Normal 5 6 5 2 5" xfId="26252"/>
    <cellStyle name="Normal 5 6 5 2 6" xfId="26253"/>
    <cellStyle name="Normal 5 6 5 3" xfId="26254"/>
    <cellStyle name="Normal 5 6 5 4" xfId="26255"/>
    <cellStyle name="Normal 5 6 6" xfId="26256"/>
    <cellStyle name="Normal 5 6 6 2" xfId="26257"/>
    <cellStyle name="Normal 5 6 6 2 2" xfId="26258"/>
    <cellStyle name="Normal 5 6 6 2 3" xfId="26259"/>
    <cellStyle name="Normal 5 6 6 2 4" xfId="26260"/>
    <cellStyle name="Normal 5 6 6 2 5" xfId="26261"/>
    <cellStyle name="Normal 5 6 6 2 6" xfId="26262"/>
    <cellStyle name="Normal 5 6 6 3" xfId="26263"/>
    <cellStyle name="Normal 5 6 6 4" xfId="26264"/>
    <cellStyle name="Normal 5 6 7" xfId="26265"/>
    <cellStyle name="Normal 5 6 7 2" xfId="26266"/>
    <cellStyle name="Normal 5 6 7 2 2" xfId="26267"/>
    <cellStyle name="Normal 5 6 7 2 3" xfId="26268"/>
    <cellStyle name="Normal 5 6 7 2 4" xfId="26269"/>
    <cellStyle name="Normal 5 6 7 2 5" xfId="26270"/>
    <cellStyle name="Normal 5 6 7 2 6" xfId="26271"/>
    <cellStyle name="Normal 5 6 7 3" xfId="26272"/>
    <cellStyle name="Normal 5 6 7 4" xfId="26273"/>
    <cellStyle name="Normal 5 6 8" xfId="26274"/>
    <cellStyle name="Normal 5 6 8 2" xfId="26275"/>
    <cellStyle name="Normal 5 6 8 2 2" xfId="26276"/>
    <cellStyle name="Normal 5 6 8 2 3" xfId="26277"/>
    <cellStyle name="Normal 5 6 8 2 4" xfId="26278"/>
    <cellStyle name="Normal 5 6 8 2 5" xfId="26279"/>
    <cellStyle name="Normal 5 6 8 2 6" xfId="26280"/>
    <cellStyle name="Normal 5 6 8 3" xfId="26281"/>
    <cellStyle name="Normal 5 6 8 4" xfId="26282"/>
    <cellStyle name="Normal 5 6 9" xfId="26283"/>
    <cellStyle name="Normal 5 6 9 2" xfId="26284"/>
    <cellStyle name="Normal 5 6 9 2 2" xfId="26285"/>
    <cellStyle name="Normal 5 6 9 2 3" xfId="26286"/>
    <cellStyle name="Normal 5 6 9 2 4" xfId="26287"/>
    <cellStyle name="Normal 5 6 9 2 5" xfId="26288"/>
    <cellStyle name="Normal 5 6 9 2 6" xfId="26289"/>
    <cellStyle name="Normal 5 6 9 3" xfId="26290"/>
    <cellStyle name="Normal 5 6 9 4" xfId="26291"/>
    <cellStyle name="Normal 5 7" xfId="26292"/>
    <cellStyle name="Normal 5 7 10" xfId="26293"/>
    <cellStyle name="Normal 5 7 10 2" xfId="26294"/>
    <cellStyle name="Normal 5 7 10 2 2" xfId="26295"/>
    <cellStyle name="Normal 5 7 10 2 3" xfId="26296"/>
    <cellStyle name="Normal 5 7 10 2 4" xfId="26297"/>
    <cellStyle name="Normal 5 7 10 2 5" xfId="26298"/>
    <cellStyle name="Normal 5 7 10 2 6" xfId="26299"/>
    <cellStyle name="Normal 5 7 10 3" xfId="26300"/>
    <cellStyle name="Normal 5 7 10 4" xfId="26301"/>
    <cellStyle name="Normal 5 7 11" xfId="26302"/>
    <cellStyle name="Normal 5 7 11 2" xfId="26303"/>
    <cellStyle name="Normal 5 7 11 3" xfId="26304"/>
    <cellStyle name="Normal 5 7 11 4" xfId="26305"/>
    <cellStyle name="Normal 5 7 11 5" xfId="26306"/>
    <cellStyle name="Normal 5 7 11 6" xfId="26307"/>
    <cellStyle name="Normal 5 7 12" xfId="26308"/>
    <cellStyle name="Normal 5 7 13" xfId="26309"/>
    <cellStyle name="Normal 5 7 2" xfId="26310"/>
    <cellStyle name="Normal 5 7 2 2" xfId="26311"/>
    <cellStyle name="Normal 5 7 2 2 2" xfId="26312"/>
    <cellStyle name="Normal 5 7 2 2 3" xfId="26313"/>
    <cellStyle name="Normal 5 7 2 2 4" xfId="26314"/>
    <cellStyle name="Normal 5 7 2 2 5" xfId="26315"/>
    <cellStyle name="Normal 5 7 2 2 6" xfId="26316"/>
    <cellStyle name="Normal 5 7 2 3" xfId="26317"/>
    <cellStyle name="Normal 5 7 2 4" xfId="26318"/>
    <cellStyle name="Normal 5 7 3" xfId="26319"/>
    <cellStyle name="Normal 5 7 3 2" xfId="26320"/>
    <cellStyle name="Normal 5 7 3 2 2" xfId="26321"/>
    <cellStyle name="Normal 5 7 3 2 3" xfId="26322"/>
    <cellStyle name="Normal 5 7 3 2 4" xfId="26323"/>
    <cellStyle name="Normal 5 7 3 2 5" xfId="26324"/>
    <cellStyle name="Normal 5 7 3 2 6" xfId="26325"/>
    <cellStyle name="Normal 5 7 3 3" xfId="26326"/>
    <cellStyle name="Normal 5 7 3 4" xfId="26327"/>
    <cellStyle name="Normal 5 7 4" xfId="26328"/>
    <cellStyle name="Normal 5 7 4 2" xfId="26329"/>
    <cellStyle name="Normal 5 7 4 2 2" xfId="26330"/>
    <cellStyle name="Normal 5 7 4 2 3" xfId="26331"/>
    <cellStyle name="Normal 5 7 4 2 4" xfId="26332"/>
    <cellStyle name="Normal 5 7 4 2 5" xfId="26333"/>
    <cellStyle name="Normal 5 7 4 2 6" xfId="26334"/>
    <cellStyle name="Normal 5 7 4 3" xfId="26335"/>
    <cellStyle name="Normal 5 7 4 4" xfId="26336"/>
    <cellStyle name="Normal 5 7 5" xfId="26337"/>
    <cellStyle name="Normal 5 7 5 2" xfId="26338"/>
    <cellStyle name="Normal 5 7 5 2 2" xfId="26339"/>
    <cellStyle name="Normal 5 7 5 2 3" xfId="26340"/>
    <cellStyle name="Normal 5 7 5 2 4" xfId="26341"/>
    <cellStyle name="Normal 5 7 5 2 5" xfId="26342"/>
    <cellStyle name="Normal 5 7 5 2 6" xfId="26343"/>
    <cellStyle name="Normal 5 7 5 3" xfId="26344"/>
    <cellStyle name="Normal 5 7 5 4" xfId="26345"/>
    <cellStyle name="Normal 5 7 6" xfId="26346"/>
    <cellStyle name="Normal 5 7 6 2" xfId="26347"/>
    <cellStyle name="Normal 5 7 6 2 2" xfId="26348"/>
    <cellStyle name="Normal 5 7 6 2 3" xfId="26349"/>
    <cellStyle name="Normal 5 7 6 2 4" xfId="26350"/>
    <cellStyle name="Normal 5 7 6 2 5" xfId="26351"/>
    <cellStyle name="Normal 5 7 6 2 6" xfId="26352"/>
    <cellStyle name="Normal 5 7 6 3" xfId="26353"/>
    <cellStyle name="Normal 5 7 6 4" xfId="26354"/>
    <cellStyle name="Normal 5 7 7" xfId="26355"/>
    <cellStyle name="Normal 5 7 7 2" xfId="26356"/>
    <cellStyle name="Normal 5 7 7 2 2" xfId="26357"/>
    <cellStyle name="Normal 5 7 7 2 3" xfId="26358"/>
    <cellStyle name="Normal 5 7 7 2 4" xfId="26359"/>
    <cellStyle name="Normal 5 7 7 2 5" xfId="26360"/>
    <cellStyle name="Normal 5 7 7 2 6" xfId="26361"/>
    <cellStyle name="Normal 5 7 7 3" xfId="26362"/>
    <cellStyle name="Normal 5 7 7 4" xfId="26363"/>
    <cellStyle name="Normal 5 7 8" xfId="26364"/>
    <cellStyle name="Normal 5 7 8 2" xfId="26365"/>
    <cellStyle name="Normal 5 7 8 2 2" xfId="26366"/>
    <cellStyle name="Normal 5 7 8 2 3" xfId="26367"/>
    <cellStyle name="Normal 5 7 8 2 4" xfId="26368"/>
    <cellStyle name="Normal 5 7 8 2 5" xfId="26369"/>
    <cellStyle name="Normal 5 7 8 2 6" xfId="26370"/>
    <cellStyle name="Normal 5 7 8 3" xfId="26371"/>
    <cellStyle name="Normal 5 7 8 4" xfId="26372"/>
    <cellStyle name="Normal 5 7 9" xfId="26373"/>
    <cellStyle name="Normal 5 7 9 2" xfId="26374"/>
    <cellStyle name="Normal 5 7 9 2 2" xfId="26375"/>
    <cellStyle name="Normal 5 7 9 2 3" xfId="26376"/>
    <cellStyle name="Normal 5 7 9 2 4" xfId="26377"/>
    <cellStyle name="Normal 5 7 9 2 5" xfId="26378"/>
    <cellStyle name="Normal 5 7 9 2 6" xfId="26379"/>
    <cellStyle name="Normal 5 7 9 3" xfId="26380"/>
    <cellStyle name="Normal 5 7 9 4" xfId="26381"/>
    <cellStyle name="Normal 5 8" xfId="26382"/>
    <cellStyle name="Normal 5 8 10" xfId="26383"/>
    <cellStyle name="Normal 5 8 10 2" xfId="26384"/>
    <cellStyle name="Normal 5 8 10 2 2" xfId="26385"/>
    <cellStyle name="Normal 5 8 10 2 3" xfId="26386"/>
    <cellStyle name="Normal 5 8 10 2 4" xfId="26387"/>
    <cellStyle name="Normal 5 8 10 2 5" xfId="26388"/>
    <cellStyle name="Normal 5 8 10 2 6" xfId="26389"/>
    <cellStyle name="Normal 5 8 10 3" xfId="26390"/>
    <cellStyle name="Normal 5 8 10 4" xfId="26391"/>
    <cellStyle name="Normal 5 8 11" xfId="26392"/>
    <cellStyle name="Normal 5 8 11 2" xfId="26393"/>
    <cellStyle name="Normal 5 8 11 3" xfId="26394"/>
    <cellStyle name="Normal 5 8 11 4" xfId="26395"/>
    <cellStyle name="Normal 5 8 11 5" xfId="26396"/>
    <cellStyle name="Normal 5 8 11 6" xfId="26397"/>
    <cellStyle name="Normal 5 8 12" xfId="26398"/>
    <cellStyle name="Normal 5 8 13" xfId="26399"/>
    <cellStyle name="Normal 5 8 2" xfId="26400"/>
    <cellStyle name="Normal 5 8 2 2" xfId="26401"/>
    <cellStyle name="Normal 5 8 2 2 2" xfId="26402"/>
    <cellStyle name="Normal 5 8 2 2 3" xfId="26403"/>
    <cellStyle name="Normal 5 8 2 2 4" xfId="26404"/>
    <cellStyle name="Normal 5 8 2 2 5" xfId="26405"/>
    <cellStyle name="Normal 5 8 2 2 6" xfId="26406"/>
    <cellStyle name="Normal 5 8 2 3" xfId="26407"/>
    <cellStyle name="Normal 5 8 2 4" xfId="26408"/>
    <cellStyle name="Normal 5 8 3" xfId="26409"/>
    <cellStyle name="Normal 5 8 3 2" xfId="26410"/>
    <cellStyle name="Normal 5 8 3 2 2" xfId="26411"/>
    <cellStyle name="Normal 5 8 3 2 3" xfId="26412"/>
    <cellStyle name="Normal 5 8 3 2 4" xfId="26413"/>
    <cellStyle name="Normal 5 8 3 2 5" xfId="26414"/>
    <cellStyle name="Normal 5 8 3 2 6" xfId="26415"/>
    <cellStyle name="Normal 5 8 3 3" xfId="26416"/>
    <cellStyle name="Normal 5 8 3 4" xfId="26417"/>
    <cellStyle name="Normal 5 8 4" xfId="26418"/>
    <cellStyle name="Normal 5 8 4 2" xfId="26419"/>
    <cellStyle name="Normal 5 8 4 2 2" xfId="26420"/>
    <cellStyle name="Normal 5 8 4 2 3" xfId="26421"/>
    <cellStyle name="Normal 5 8 4 2 4" xfId="26422"/>
    <cellStyle name="Normal 5 8 4 2 5" xfId="26423"/>
    <cellStyle name="Normal 5 8 4 2 6" xfId="26424"/>
    <cellStyle name="Normal 5 8 4 3" xfId="26425"/>
    <cellStyle name="Normal 5 8 4 4" xfId="26426"/>
    <cellStyle name="Normal 5 8 5" xfId="26427"/>
    <cellStyle name="Normal 5 8 5 2" xfId="26428"/>
    <cellStyle name="Normal 5 8 5 2 2" xfId="26429"/>
    <cellStyle name="Normal 5 8 5 2 3" xfId="26430"/>
    <cellStyle name="Normal 5 8 5 2 4" xfId="26431"/>
    <cellStyle name="Normal 5 8 5 2 5" xfId="26432"/>
    <cellStyle name="Normal 5 8 5 2 6" xfId="26433"/>
    <cellStyle name="Normal 5 8 5 3" xfId="26434"/>
    <cellStyle name="Normal 5 8 5 4" xfId="26435"/>
    <cellStyle name="Normal 5 8 6" xfId="26436"/>
    <cellStyle name="Normal 5 8 6 2" xfId="26437"/>
    <cellStyle name="Normal 5 8 6 2 2" xfId="26438"/>
    <cellStyle name="Normal 5 8 6 2 3" xfId="26439"/>
    <cellStyle name="Normal 5 8 6 2 4" xfId="26440"/>
    <cellStyle name="Normal 5 8 6 2 5" xfId="26441"/>
    <cellStyle name="Normal 5 8 6 2 6" xfId="26442"/>
    <cellStyle name="Normal 5 8 6 3" xfId="26443"/>
    <cellStyle name="Normal 5 8 6 4" xfId="26444"/>
    <cellStyle name="Normal 5 8 7" xfId="26445"/>
    <cellStyle name="Normal 5 8 7 2" xfId="26446"/>
    <cellStyle name="Normal 5 8 7 2 2" xfId="26447"/>
    <cellStyle name="Normal 5 8 7 2 3" xfId="26448"/>
    <cellStyle name="Normal 5 8 7 2 4" xfId="26449"/>
    <cellStyle name="Normal 5 8 7 2 5" xfId="26450"/>
    <cellStyle name="Normal 5 8 7 2 6" xfId="26451"/>
    <cellStyle name="Normal 5 8 7 3" xfId="26452"/>
    <cellStyle name="Normal 5 8 7 4" xfId="26453"/>
    <cellStyle name="Normal 5 8 8" xfId="26454"/>
    <cellStyle name="Normal 5 8 8 2" xfId="26455"/>
    <cellStyle name="Normal 5 8 8 2 2" xfId="26456"/>
    <cellStyle name="Normal 5 8 8 2 3" xfId="26457"/>
    <cellStyle name="Normal 5 8 8 2 4" xfId="26458"/>
    <cellStyle name="Normal 5 8 8 2 5" xfId="26459"/>
    <cellStyle name="Normal 5 8 8 2 6" xfId="26460"/>
    <cellStyle name="Normal 5 8 8 3" xfId="26461"/>
    <cellStyle name="Normal 5 8 8 4" xfId="26462"/>
    <cellStyle name="Normal 5 8 9" xfId="26463"/>
    <cellStyle name="Normal 5 8 9 2" xfId="26464"/>
    <cellStyle name="Normal 5 8 9 2 2" xfId="26465"/>
    <cellStyle name="Normal 5 8 9 2 3" xfId="26466"/>
    <cellStyle name="Normal 5 8 9 2 4" xfId="26467"/>
    <cellStyle name="Normal 5 8 9 2 5" xfId="26468"/>
    <cellStyle name="Normal 5 8 9 2 6" xfId="26469"/>
    <cellStyle name="Normal 5 8 9 3" xfId="26470"/>
    <cellStyle name="Normal 5 8 9 4" xfId="26471"/>
    <cellStyle name="Normal 5 9" xfId="26472"/>
    <cellStyle name="Normal 5 9 10" xfId="26473"/>
    <cellStyle name="Normal 5 9 10 2" xfId="26474"/>
    <cellStyle name="Normal 5 9 10 2 2" xfId="26475"/>
    <cellStyle name="Normal 5 9 10 2 3" xfId="26476"/>
    <cellStyle name="Normal 5 9 10 2 4" xfId="26477"/>
    <cellStyle name="Normal 5 9 10 2 5" xfId="26478"/>
    <cellStyle name="Normal 5 9 10 2 6" xfId="26479"/>
    <cellStyle name="Normal 5 9 10 3" xfId="26480"/>
    <cellStyle name="Normal 5 9 10 4" xfId="26481"/>
    <cellStyle name="Normal 5 9 11" xfId="26482"/>
    <cellStyle name="Normal 5 9 11 2" xfId="26483"/>
    <cellStyle name="Normal 5 9 11 3" xfId="26484"/>
    <cellStyle name="Normal 5 9 11 4" xfId="26485"/>
    <cellStyle name="Normal 5 9 11 5" xfId="26486"/>
    <cellStyle name="Normal 5 9 11 6" xfId="26487"/>
    <cellStyle name="Normal 5 9 12" xfId="26488"/>
    <cellStyle name="Normal 5 9 13" xfId="26489"/>
    <cellStyle name="Normal 5 9 2" xfId="26490"/>
    <cellStyle name="Normal 5 9 2 2" xfId="26491"/>
    <cellStyle name="Normal 5 9 2 2 2" xfId="26492"/>
    <cellStyle name="Normal 5 9 2 2 3" xfId="26493"/>
    <cellStyle name="Normal 5 9 2 2 4" xfId="26494"/>
    <cellStyle name="Normal 5 9 2 2 5" xfId="26495"/>
    <cellStyle name="Normal 5 9 2 2 6" xfId="26496"/>
    <cellStyle name="Normal 5 9 2 3" xfId="26497"/>
    <cellStyle name="Normal 5 9 2 4" xfId="26498"/>
    <cellStyle name="Normal 5 9 3" xfId="26499"/>
    <cellStyle name="Normal 5 9 3 2" xfId="26500"/>
    <cellStyle name="Normal 5 9 3 2 2" xfId="26501"/>
    <cellStyle name="Normal 5 9 3 2 3" xfId="26502"/>
    <cellStyle name="Normal 5 9 3 2 4" xfId="26503"/>
    <cellStyle name="Normal 5 9 3 2 5" xfId="26504"/>
    <cellStyle name="Normal 5 9 3 2 6" xfId="26505"/>
    <cellStyle name="Normal 5 9 3 3" xfId="26506"/>
    <cellStyle name="Normal 5 9 3 4" xfId="26507"/>
    <cellStyle name="Normal 5 9 4" xfId="26508"/>
    <cellStyle name="Normal 5 9 4 2" xfId="26509"/>
    <cellStyle name="Normal 5 9 4 2 2" xfId="26510"/>
    <cellStyle name="Normal 5 9 4 2 3" xfId="26511"/>
    <cellStyle name="Normal 5 9 4 2 4" xfId="26512"/>
    <cellStyle name="Normal 5 9 4 2 5" xfId="26513"/>
    <cellStyle name="Normal 5 9 4 2 6" xfId="26514"/>
    <cellStyle name="Normal 5 9 4 3" xfId="26515"/>
    <cellStyle name="Normal 5 9 4 4" xfId="26516"/>
    <cellStyle name="Normal 5 9 5" xfId="26517"/>
    <cellStyle name="Normal 5 9 5 2" xfId="26518"/>
    <cellStyle name="Normal 5 9 5 2 2" xfId="26519"/>
    <cellStyle name="Normal 5 9 5 2 3" xfId="26520"/>
    <cellStyle name="Normal 5 9 5 2 4" xfId="26521"/>
    <cellStyle name="Normal 5 9 5 2 5" xfId="26522"/>
    <cellStyle name="Normal 5 9 5 2 6" xfId="26523"/>
    <cellStyle name="Normal 5 9 5 3" xfId="26524"/>
    <cellStyle name="Normal 5 9 5 4" xfId="26525"/>
    <cellStyle name="Normal 5 9 6" xfId="26526"/>
    <cellStyle name="Normal 5 9 6 2" xfId="26527"/>
    <cellStyle name="Normal 5 9 6 2 2" xfId="26528"/>
    <cellStyle name="Normal 5 9 6 2 3" xfId="26529"/>
    <cellStyle name="Normal 5 9 6 2 4" xfId="26530"/>
    <cellStyle name="Normal 5 9 6 2 5" xfId="26531"/>
    <cellStyle name="Normal 5 9 6 2 6" xfId="26532"/>
    <cellStyle name="Normal 5 9 6 3" xfId="26533"/>
    <cellStyle name="Normal 5 9 6 4" xfId="26534"/>
    <cellStyle name="Normal 5 9 7" xfId="26535"/>
    <cellStyle name="Normal 5 9 7 2" xfId="26536"/>
    <cellStyle name="Normal 5 9 7 2 2" xfId="26537"/>
    <cellStyle name="Normal 5 9 7 2 3" xfId="26538"/>
    <cellStyle name="Normal 5 9 7 2 4" xfId="26539"/>
    <cellStyle name="Normal 5 9 7 2 5" xfId="26540"/>
    <cellStyle name="Normal 5 9 7 2 6" xfId="26541"/>
    <cellStyle name="Normal 5 9 7 3" xfId="26542"/>
    <cellStyle name="Normal 5 9 7 4" xfId="26543"/>
    <cellStyle name="Normal 5 9 8" xfId="26544"/>
    <cellStyle name="Normal 5 9 8 2" xfId="26545"/>
    <cellStyle name="Normal 5 9 8 2 2" xfId="26546"/>
    <cellStyle name="Normal 5 9 8 2 3" xfId="26547"/>
    <cellStyle name="Normal 5 9 8 2 4" xfId="26548"/>
    <cellStyle name="Normal 5 9 8 2 5" xfId="26549"/>
    <cellStyle name="Normal 5 9 8 2 6" xfId="26550"/>
    <cellStyle name="Normal 5 9 8 3" xfId="26551"/>
    <cellStyle name="Normal 5 9 8 4" xfId="26552"/>
    <cellStyle name="Normal 5 9 9" xfId="26553"/>
    <cellStyle name="Normal 5 9 9 2" xfId="26554"/>
    <cellStyle name="Normal 5 9 9 2 2" xfId="26555"/>
    <cellStyle name="Normal 5 9 9 2 3" xfId="26556"/>
    <cellStyle name="Normal 5 9 9 2 4" xfId="26557"/>
    <cellStyle name="Normal 5 9 9 2 5" xfId="26558"/>
    <cellStyle name="Normal 5 9 9 2 6" xfId="26559"/>
    <cellStyle name="Normal 5 9 9 3" xfId="26560"/>
    <cellStyle name="Normal 5 9 9 4" xfId="26561"/>
    <cellStyle name="Normal 50" xfId="26562"/>
    <cellStyle name="Normal 50 2" xfId="26563"/>
    <cellStyle name="Normal 50 2 2" xfId="26564"/>
    <cellStyle name="Normal 50 2 3" xfId="26565"/>
    <cellStyle name="Normal 50 2 3 2" xfId="26566"/>
    <cellStyle name="Normal 50 2 3 3" xfId="26567"/>
    <cellStyle name="Normal 50 2 3 4" xfId="26568"/>
    <cellStyle name="Normal 50 2 3 5" xfId="26569"/>
    <cellStyle name="Normal 50 2 3 6" xfId="26570"/>
    <cellStyle name="Normal 50 2 4" xfId="26571"/>
    <cellStyle name="Normal 50 2 4 2" xfId="26572"/>
    <cellStyle name="Normal 50 2 4 3" xfId="26573"/>
    <cellStyle name="Normal 50 2 4 4" xfId="26574"/>
    <cellStyle name="Normal 50 2 4 5" xfId="26575"/>
    <cellStyle name="Normal 50 2 4 6" xfId="26576"/>
    <cellStyle name="Normal 50 3" xfId="26577"/>
    <cellStyle name="Normal 50 3 2" xfId="26578"/>
    <cellStyle name="Normal 50 3 3" xfId="26579"/>
    <cellStyle name="Normal 50 3 3 2" xfId="26580"/>
    <cellStyle name="Normal 50 3 3 3" xfId="26581"/>
    <cellStyle name="Normal 50 3 3 4" xfId="26582"/>
    <cellStyle name="Normal 50 3 3 5" xfId="26583"/>
    <cellStyle name="Normal 50 3 3 6" xfId="26584"/>
    <cellStyle name="Normal 50 3 4" xfId="26585"/>
    <cellStyle name="Normal 50 3 4 2" xfId="26586"/>
    <cellStyle name="Normal 50 3 4 3" xfId="26587"/>
    <cellStyle name="Normal 50 3 4 4" xfId="26588"/>
    <cellStyle name="Normal 50 3 4 5" xfId="26589"/>
    <cellStyle name="Normal 50 3 4 6" xfId="26590"/>
    <cellStyle name="Normal 50 4" xfId="26591"/>
    <cellStyle name="Normal 50 4 2" xfId="26592"/>
    <cellStyle name="Normal 50 4 3" xfId="26593"/>
    <cellStyle name="Normal 50 4 3 2" xfId="26594"/>
    <cellStyle name="Normal 50 4 3 3" xfId="26595"/>
    <cellStyle name="Normal 50 4 3 4" xfId="26596"/>
    <cellStyle name="Normal 50 4 3 5" xfId="26597"/>
    <cellStyle name="Normal 50 4 3 6" xfId="26598"/>
    <cellStyle name="Normal 50 4 4" xfId="26599"/>
    <cellStyle name="Normal 50 4 4 2" xfId="26600"/>
    <cellStyle name="Normal 50 4 4 3" xfId="26601"/>
    <cellStyle name="Normal 50 4 4 4" xfId="26602"/>
    <cellStyle name="Normal 50 4 4 5" xfId="26603"/>
    <cellStyle name="Normal 50 4 4 6" xfId="26604"/>
    <cellStyle name="Normal 50 5" xfId="26605"/>
    <cellStyle name="Normal 50 5 2" xfId="26606"/>
    <cellStyle name="Normal 50 5 3" xfId="26607"/>
    <cellStyle name="Normal 50 5 3 2" xfId="26608"/>
    <cellStyle name="Normal 50 5 3 3" xfId="26609"/>
    <cellStyle name="Normal 50 5 3 4" xfId="26610"/>
    <cellStyle name="Normal 50 5 3 5" xfId="26611"/>
    <cellStyle name="Normal 50 5 3 6" xfId="26612"/>
    <cellStyle name="Normal 50 5 4" xfId="26613"/>
    <cellStyle name="Normal 50 5 4 2" xfId="26614"/>
    <cellStyle name="Normal 50 5 4 3" xfId="26615"/>
    <cellStyle name="Normal 50 5 4 4" xfId="26616"/>
    <cellStyle name="Normal 50 5 4 5" xfId="26617"/>
    <cellStyle name="Normal 50 5 4 6" xfId="26618"/>
    <cellStyle name="Normal 50 6" xfId="26619"/>
    <cellStyle name="Normal 50 6 2" xfId="26620"/>
    <cellStyle name="Normal 50 6 3" xfId="26621"/>
    <cellStyle name="Normal 50 6 3 2" xfId="26622"/>
    <cellStyle name="Normal 50 6 3 3" xfId="26623"/>
    <cellStyle name="Normal 50 6 3 4" xfId="26624"/>
    <cellStyle name="Normal 50 6 3 5" xfId="26625"/>
    <cellStyle name="Normal 50 6 3 6" xfId="26626"/>
    <cellStyle name="Normal 50 6 4" xfId="26627"/>
    <cellStyle name="Normal 50 6 4 2" xfId="26628"/>
    <cellStyle name="Normal 50 6 4 3" xfId="26629"/>
    <cellStyle name="Normal 50 6 4 4" xfId="26630"/>
    <cellStyle name="Normal 50 6 4 5" xfId="26631"/>
    <cellStyle name="Normal 50 6 4 6" xfId="26632"/>
    <cellStyle name="Normal 50 7" xfId="26633"/>
    <cellStyle name="Normal 50 8" xfId="26634"/>
    <cellStyle name="Normal 50 8 2" xfId="26635"/>
    <cellStyle name="Normal 50 8 3" xfId="26636"/>
    <cellStyle name="Normal 50 8 4" xfId="26637"/>
    <cellStyle name="Normal 50 8 5" xfId="26638"/>
    <cellStyle name="Normal 50 8 6" xfId="26639"/>
    <cellStyle name="Normal 50 9" xfId="26640"/>
    <cellStyle name="Normal 50 9 2" xfId="26641"/>
    <cellStyle name="Normal 50 9 3" xfId="26642"/>
    <cellStyle name="Normal 50 9 4" xfId="26643"/>
    <cellStyle name="Normal 50 9 5" xfId="26644"/>
    <cellStyle name="Normal 50 9 6" xfId="26645"/>
    <cellStyle name="Normal 51" xfId="26646"/>
    <cellStyle name="Normal 51 2" xfId="26647"/>
    <cellStyle name="Normal 51 2 2" xfId="26648"/>
    <cellStyle name="Normal 51 2 2 2" xfId="26649"/>
    <cellStyle name="Normal 51 2 2 3" xfId="26650"/>
    <cellStyle name="Normal 51 2 2 4" xfId="26651"/>
    <cellStyle name="Normal 51 2 2 5" xfId="26652"/>
    <cellStyle name="Normal 51 2 2 6" xfId="26653"/>
    <cellStyle name="Normal 51 2 3" xfId="26654"/>
    <cellStyle name="Normal 51 2 4" xfId="26655"/>
    <cellStyle name="Normal 51 3" xfId="26656"/>
    <cellStyle name="Normal 51 3 2" xfId="26657"/>
    <cellStyle name="Normal 51 3 2 2" xfId="26658"/>
    <cellStyle name="Normal 51 3 2 3" xfId="26659"/>
    <cellStyle name="Normal 51 3 2 4" xfId="26660"/>
    <cellStyle name="Normal 51 3 2 5" xfId="26661"/>
    <cellStyle name="Normal 51 3 2 6" xfId="26662"/>
    <cellStyle name="Normal 51 3 3" xfId="26663"/>
    <cellStyle name="Normal 51 3 4" xfId="26664"/>
    <cellStyle name="Normal 51 4" xfId="26665"/>
    <cellStyle name="Normal 51 4 2" xfId="26666"/>
    <cellStyle name="Normal 51 4 2 2" xfId="26667"/>
    <cellStyle name="Normal 51 4 2 3" xfId="26668"/>
    <cellStyle name="Normal 51 4 2 4" xfId="26669"/>
    <cellStyle name="Normal 51 4 2 5" xfId="26670"/>
    <cellStyle name="Normal 51 4 2 6" xfId="26671"/>
    <cellStyle name="Normal 51 4 3" xfId="26672"/>
    <cellStyle name="Normal 51 4 4" xfId="26673"/>
    <cellStyle name="Normal 51 5" xfId="26674"/>
    <cellStyle name="Normal 51 5 2" xfId="26675"/>
    <cellStyle name="Normal 51 5 2 2" xfId="26676"/>
    <cellStyle name="Normal 51 5 2 3" xfId="26677"/>
    <cellStyle name="Normal 51 5 2 4" xfId="26678"/>
    <cellStyle name="Normal 51 5 2 5" xfId="26679"/>
    <cellStyle name="Normal 51 5 2 6" xfId="26680"/>
    <cellStyle name="Normal 51 5 3" xfId="26681"/>
    <cellStyle name="Normal 51 5 4" xfId="26682"/>
    <cellStyle name="Normal 51 6" xfId="26683"/>
    <cellStyle name="Normal 51 6 2" xfId="26684"/>
    <cellStyle name="Normal 51 6 2 2" xfId="26685"/>
    <cellStyle name="Normal 51 6 2 3" xfId="26686"/>
    <cellStyle name="Normal 51 6 2 4" xfId="26687"/>
    <cellStyle name="Normal 51 6 2 5" xfId="26688"/>
    <cellStyle name="Normal 51 6 2 6" xfId="26689"/>
    <cellStyle name="Normal 51 6 3" xfId="26690"/>
    <cellStyle name="Normal 51 6 4" xfId="26691"/>
    <cellStyle name="Normal 51 7" xfId="26692"/>
    <cellStyle name="Normal 51 7 2" xfId="26693"/>
    <cellStyle name="Normal 51 7 3" xfId="26694"/>
    <cellStyle name="Normal 51 7 4" xfId="26695"/>
    <cellStyle name="Normal 51 7 5" xfId="26696"/>
    <cellStyle name="Normal 51 7 6" xfId="26697"/>
    <cellStyle name="Normal 51 8" xfId="26698"/>
    <cellStyle name="Normal 51 9" xfId="26699"/>
    <cellStyle name="Normal 52" xfId="26700"/>
    <cellStyle name="Normal 52 10" xfId="26701"/>
    <cellStyle name="Normal 52 10 2" xfId="26702"/>
    <cellStyle name="Normal 52 10 3" xfId="26703"/>
    <cellStyle name="Normal 52 10 4" xfId="26704"/>
    <cellStyle name="Normal 52 11" xfId="26705"/>
    <cellStyle name="Normal 52 12" xfId="26706"/>
    <cellStyle name="Normal 52 13" xfId="26707"/>
    <cellStyle name="Normal 52 2" xfId="26708"/>
    <cellStyle name="Normal 52 2 2" xfId="26709"/>
    <cellStyle name="Normal 52 2 3" xfId="26710"/>
    <cellStyle name="Normal 52 2 4" xfId="26711"/>
    <cellStyle name="Normal 52 3" xfId="26712"/>
    <cellStyle name="Normal 52 3 2" xfId="26713"/>
    <cellStyle name="Normal 52 3 3" xfId="26714"/>
    <cellStyle name="Normal 52 3 4" xfId="26715"/>
    <cellStyle name="Normal 52 4" xfId="26716"/>
    <cellStyle name="Normal 52 4 2" xfId="26717"/>
    <cellStyle name="Normal 52 4 3" xfId="26718"/>
    <cellStyle name="Normal 52 4 4" xfId="26719"/>
    <cellStyle name="Normal 52 5" xfId="26720"/>
    <cellStyle name="Normal 52 5 2" xfId="26721"/>
    <cellStyle name="Normal 52 5 3" xfId="26722"/>
    <cellStyle name="Normal 52 5 4" xfId="26723"/>
    <cellStyle name="Normal 52 6" xfId="26724"/>
    <cellStyle name="Normal 52 6 2" xfId="26725"/>
    <cellStyle name="Normal 52 6 3" xfId="26726"/>
    <cellStyle name="Normal 52 6 4" xfId="26727"/>
    <cellStyle name="Normal 52 7" xfId="26728"/>
    <cellStyle name="Normal 52 7 2" xfId="26729"/>
    <cellStyle name="Normal 52 7 3" xfId="26730"/>
    <cellStyle name="Normal 52 7 4" xfId="26731"/>
    <cellStyle name="Normal 52 8" xfId="26732"/>
    <cellStyle name="Normal 52 8 2" xfId="26733"/>
    <cellStyle name="Normal 52 8 3" xfId="26734"/>
    <cellStyle name="Normal 52 8 4" xfId="26735"/>
    <cellStyle name="Normal 52 9" xfId="26736"/>
    <cellStyle name="Normal 52 9 2" xfId="26737"/>
    <cellStyle name="Normal 52 9 3" xfId="26738"/>
    <cellStyle name="Normal 52 9 4" xfId="26739"/>
    <cellStyle name="Normal 53" xfId="26740"/>
    <cellStyle name="Normal 53 2" xfId="26741"/>
    <cellStyle name="Normal 53 2 2" xfId="26742"/>
    <cellStyle name="Normal 53 2 2 2" xfId="26743"/>
    <cellStyle name="Normal 53 2 2 2 2" xfId="26744"/>
    <cellStyle name="Normal 53 2 2 2 2 2" xfId="26745"/>
    <cellStyle name="Normal 53 2 2 2 2 3" xfId="26746"/>
    <cellStyle name="Normal 53 2 2 2 2 4" xfId="26747"/>
    <cellStyle name="Normal 53 2 2 2 2 5" xfId="26748"/>
    <cellStyle name="Normal 53 2 2 2 2 6" xfId="26749"/>
    <cellStyle name="Normal 53 2 2 2 3" xfId="26750"/>
    <cellStyle name="Normal 53 2 2 2 4" xfId="26751"/>
    <cellStyle name="Normal 53 2 2 3" xfId="26752"/>
    <cellStyle name="Normal 53 2 2 4" xfId="26753"/>
    <cellStyle name="Normal 53 2 2 4 2" xfId="26754"/>
    <cellStyle name="Normal 53 2 2 4 3" xfId="26755"/>
    <cellStyle name="Normal 53 2 2 4 4" xfId="26756"/>
    <cellStyle name="Normal 53 2 2 4 5" xfId="26757"/>
    <cellStyle name="Normal 53 2 2 4 6" xfId="26758"/>
    <cellStyle name="Normal 53 2 2 5" xfId="26759"/>
    <cellStyle name="Normal 53 2 2 5 2" xfId="26760"/>
    <cellStyle name="Normal 53 2 2 5 3" xfId="26761"/>
    <cellStyle name="Normal 53 2 2 5 4" xfId="26762"/>
    <cellStyle name="Normal 53 2 2 5 5" xfId="26763"/>
    <cellStyle name="Normal 53 2 2 5 6" xfId="26764"/>
    <cellStyle name="Normal 53 2 3" xfId="26765"/>
    <cellStyle name="Normal 53 2 3 2" xfId="26766"/>
    <cellStyle name="Normal 53 2 3 2 2" xfId="26767"/>
    <cellStyle name="Normal 53 2 3 2 3" xfId="26768"/>
    <cellStyle name="Normal 53 2 3 2 4" xfId="26769"/>
    <cellStyle name="Normal 53 2 3 2 5" xfId="26770"/>
    <cellStyle name="Normal 53 2 3 2 6" xfId="26771"/>
    <cellStyle name="Normal 53 2 3 3" xfId="26772"/>
    <cellStyle name="Normal 53 2 3 4" xfId="26773"/>
    <cellStyle name="Normal 53 2 4" xfId="26774"/>
    <cellStyle name="Normal 53 2 4 2" xfId="26775"/>
    <cellStyle name="Normal 53 2 4 3" xfId="26776"/>
    <cellStyle name="Normal 53 2 4 4" xfId="26777"/>
    <cellStyle name="Normal 53 2 4 5" xfId="26778"/>
    <cellStyle name="Normal 53 2 4 6" xfId="26779"/>
    <cellStyle name="Normal 53 2 5" xfId="26780"/>
    <cellStyle name="Normal 53 2 6" xfId="26781"/>
    <cellStyle name="Normal 53 3" xfId="26782"/>
    <cellStyle name="Normal 53 3 10" xfId="26783"/>
    <cellStyle name="Normal 53 3 10 2" xfId="26784"/>
    <cellStyle name="Normal 53 3 10 3" xfId="26785"/>
    <cellStyle name="Normal 53 3 10 3 2" xfId="26786"/>
    <cellStyle name="Normal 53 3 10 3 3" xfId="26787"/>
    <cellStyle name="Normal 53 3 10 3 4" xfId="26788"/>
    <cellStyle name="Normal 53 3 10 3 5" xfId="26789"/>
    <cellStyle name="Normal 53 3 10 3 6" xfId="26790"/>
    <cellStyle name="Normal 53 3 10 4" xfId="26791"/>
    <cellStyle name="Normal 53 3 10 4 2" xfId="26792"/>
    <cellStyle name="Normal 53 3 10 4 3" xfId="26793"/>
    <cellStyle name="Normal 53 3 10 4 4" xfId="26794"/>
    <cellStyle name="Normal 53 3 10 4 5" xfId="26795"/>
    <cellStyle name="Normal 53 3 10 4 6" xfId="26796"/>
    <cellStyle name="Normal 53 3 11" xfId="26797"/>
    <cellStyle name="Normal 53 3 11 2" xfId="26798"/>
    <cellStyle name="Normal 53 3 11 3" xfId="26799"/>
    <cellStyle name="Normal 53 3 11 3 2" xfId="26800"/>
    <cellStyle name="Normal 53 3 11 3 3" xfId="26801"/>
    <cellStyle name="Normal 53 3 11 3 4" xfId="26802"/>
    <cellStyle name="Normal 53 3 11 3 5" xfId="26803"/>
    <cellStyle name="Normal 53 3 11 3 6" xfId="26804"/>
    <cellStyle name="Normal 53 3 11 4" xfId="26805"/>
    <cellStyle name="Normal 53 3 11 4 2" xfId="26806"/>
    <cellStyle name="Normal 53 3 11 4 3" xfId="26807"/>
    <cellStyle name="Normal 53 3 11 4 4" xfId="26808"/>
    <cellStyle name="Normal 53 3 11 4 5" xfId="26809"/>
    <cellStyle name="Normal 53 3 11 4 6" xfId="26810"/>
    <cellStyle name="Normal 53 3 12" xfId="26811"/>
    <cellStyle name="Normal 53 3 12 2" xfId="26812"/>
    <cellStyle name="Normal 53 3 12 3" xfId="26813"/>
    <cellStyle name="Normal 53 3 12 3 2" xfId="26814"/>
    <cellStyle name="Normal 53 3 12 3 3" xfId="26815"/>
    <cellStyle name="Normal 53 3 12 3 4" xfId="26816"/>
    <cellStyle name="Normal 53 3 12 3 5" xfId="26817"/>
    <cellStyle name="Normal 53 3 12 3 6" xfId="26818"/>
    <cellStyle name="Normal 53 3 12 4" xfId="26819"/>
    <cellStyle name="Normal 53 3 12 4 2" xfId="26820"/>
    <cellStyle name="Normal 53 3 12 4 3" xfId="26821"/>
    <cellStyle name="Normal 53 3 12 4 4" xfId="26822"/>
    <cellStyle name="Normal 53 3 12 4 5" xfId="26823"/>
    <cellStyle name="Normal 53 3 12 4 6" xfId="26824"/>
    <cellStyle name="Normal 53 3 13" xfId="26825"/>
    <cellStyle name="Normal 53 3 13 2" xfId="26826"/>
    <cellStyle name="Normal 53 3 13 3" xfId="26827"/>
    <cellStyle name="Normal 53 3 13 3 2" xfId="26828"/>
    <cellStyle name="Normal 53 3 13 3 3" xfId="26829"/>
    <cellStyle name="Normal 53 3 13 3 4" xfId="26830"/>
    <cellStyle name="Normal 53 3 13 3 5" xfId="26831"/>
    <cellStyle name="Normal 53 3 13 3 6" xfId="26832"/>
    <cellStyle name="Normal 53 3 13 4" xfId="26833"/>
    <cellStyle name="Normal 53 3 13 4 2" xfId="26834"/>
    <cellStyle name="Normal 53 3 13 4 3" xfId="26835"/>
    <cellStyle name="Normal 53 3 13 4 4" xfId="26836"/>
    <cellStyle name="Normal 53 3 13 4 5" xfId="26837"/>
    <cellStyle name="Normal 53 3 13 4 6" xfId="26838"/>
    <cellStyle name="Normal 53 3 14" xfId="26839"/>
    <cellStyle name="Normal 53 3 14 2" xfId="26840"/>
    <cellStyle name="Normal 53 3 14 3" xfId="26841"/>
    <cellStyle name="Normal 53 3 14 3 2" xfId="26842"/>
    <cellStyle name="Normal 53 3 14 3 3" xfId="26843"/>
    <cellStyle name="Normal 53 3 14 3 4" xfId="26844"/>
    <cellStyle name="Normal 53 3 14 3 5" xfId="26845"/>
    <cellStyle name="Normal 53 3 14 3 6" xfId="26846"/>
    <cellStyle name="Normal 53 3 14 4" xfId="26847"/>
    <cellStyle name="Normal 53 3 14 4 2" xfId="26848"/>
    <cellStyle name="Normal 53 3 14 4 3" xfId="26849"/>
    <cellStyle name="Normal 53 3 14 4 4" xfId="26850"/>
    <cellStyle name="Normal 53 3 14 4 5" xfId="26851"/>
    <cellStyle name="Normal 53 3 14 4 6" xfId="26852"/>
    <cellStyle name="Normal 53 3 15" xfId="26853"/>
    <cellStyle name="Normal 53 3 15 2" xfId="26854"/>
    <cellStyle name="Normal 53 3 15 3" xfId="26855"/>
    <cellStyle name="Normal 53 3 15 3 2" xfId="26856"/>
    <cellStyle name="Normal 53 3 15 3 3" xfId="26857"/>
    <cellStyle name="Normal 53 3 15 3 4" xfId="26858"/>
    <cellStyle name="Normal 53 3 15 3 5" xfId="26859"/>
    <cellStyle name="Normal 53 3 15 3 6" xfId="26860"/>
    <cellStyle name="Normal 53 3 15 4" xfId="26861"/>
    <cellStyle name="Normal 53 3 15 4 2" xfId="26862"/>
    <cellStyle name="Normal 53 3 15 4 3" xfId="26863"/>
    <cellStyle name="Normal 53 3 15 4 4" xfId="26864"/>
    <cellStyle name="Normal 53 3 15 4 5" xfId="26865"/>
    <cellStyle name="Normal 53 3 15 4 6" xfId="26866"/>
    <cellStyle name="Normal 53 3 16" xfId="26867"/>
    <cellStyle name="Normal 53 3 16 2" xfId="26868"/>
    <cellStyle name="Normal 53 3 16 3" xfId="26869"/>
    <cellStyle name="Normal 53 3 16 3 2" xfId="26870"/>
    <cellStyle name="Normal 53 3 16 3 3" xfId="26871"/>
    <cellStyle name="Normal 53 3 16 3 4" xfId="26872"/>
    <cellStyle name="Normal 53 3 16 3 5" xfId="26873"/>
    <cellStyle name="Normal 53 3 16 3 6" xfId="26874"/>
    <cellStyle name="Normal 53 3 16 4" xfId="26875"/>
    <cellStyle name="Normal 53 3 16 4 2" xfId="26876"/>
    <cellStyle name="Normal 53 3 16 4 3" xfId="26877"/>
    <cellStyle name="Normal 53 3 16 4 4" xfId="26878"/>
    <cellStyle name="Normal 53 3 16 4 5" xfId="26879"/>
    <cellStyle name="Normal 53 3 16 4 6" xfId="26880"/>
    <cellStyle name="Normal 53 3 17" xfId="26881"/>
    <cellStyle name="Normal 53 3 17 2" xfId="26882"/>
    <cellStyle name="Normal 53 3 17 3" xfId="26883"/>
    <cellStyle name="Normal 53 3 17 3 2" xfId="26884"/>
    <cellStyle name="Normal 53 3 17 3 3" xfId="26885"/>
    <cellStyle name="Normal 53 3 17 3 4" xfId="26886"/>
    <cellStyle name="Normal 53 3 17 3 5" xfId="26887"/>
    <cellStyle name="Normal 53 3 17 3 6" xfId="26888"/>
    <cellStyle name="Normal 53 3 17 4" xfId="26889"/>
    <cellStyle name="Normal 53 3 17 4 2" xfId="26890"/>
    <cellStyle name="Normal 53 3 17 4 3" xfId="26891"/>
    <cellStyle name="Normal 53 3 17 4 4" xfId="26892"/>
    <cellStyle name="Normal 53 3 17 4 5" xfId="26893"/>
    <cellStyle name="Normal 53 3 17 4 6" xfId="26894"/>
    <cellStyle name="Normal 53 3 18" xfId="26895"/>
    <cellStyle name="Normal 53 3 18 2" xfId="26896"/>
    <cellStyle name="Normal 53 3 18 3" xfId="26897"/>
    <cellStyle name="Normal 53 3 18 3 2" xfId="26898"/>
    <cellStyle name="Normal 53 3 18 3 3" xfId="26899"/>
    <cellStyle name="Normal 53 3 18 3 4" xfId="26900"/>
    <cellStyle name="Normal 53 3 18 3 5" xfId="26901"/>
    <cellStyle name="Normal 53 3 18 3 6" xfId="26902"/>
    <cellStyle name="Normal 53 3 18 4" xfId="26903"/>
    <cellStyle name="Normal 53 3 18 4 2" xfId="26904"/>
    <cellStyle name="Normal 53 3 18 4 3" xfId="26905"/>
    <cellStyle name="Normal 53 3 18 4 4" xfId="26906"/>
    <cellStyle name="Normal 53 3 18 4 5" xfId="26907"/>
    <cellStyle name="Normal 53 3 18 4 6" xfId="26908"/>
    <cellStyle name="Normal 53 3 19" xfId="26909"/>
    <cellStyle name="Normal 53 3 19 2" xfId="26910"/>
    <cellStyle name="Normal 53 3 19 3" xfId="26911"/>
    <cellStyle name="Normal 53 3 19 3 2" xfId="26912"/>
    <cellStyle name="Normal 53 3 19 3 3" xfId="26913"/>
    <cellStyle name="Normal 53 3 19 3 4" xfId="26914"/>
    <cellStyle name="Normal 53 3 19 3 5" xfId="26915"/>
    <cellStyle name="Normal 53 3 19 3 6" xfId="26916"/>
    <cellStyle name="Normal 53 3 19 4" xfId="26917"/>
    <cellStyle name="Normal 53 3 19 4 2" xfId="26918"/>
    <cellStyle name="Normal 53 3 19 4 3" xfId="26919"/>
    <cellStyle name="Normal 53 3 19 4 4" xfId="26920"/>
    <cellStyle name="Normal 53 3 19 4 5" xfId="26921"/>
    <cellStyle name="Normal 53 3 19 4 6" xfId="26922"/>
    <cellStyle name="Normal 53 3 2" xfId="26923"/>
    <cellStyle name="Normal 53 3 2 10" xfId="26924"/>
    <cellStyle name="Normal 53 3 2 10 2" xfId="26925"/>
    <cellStyle name="Normal 53 3 2 10 2 2" xfId="26926"/>
    <cellStyle name="Normal 53 3 2 10 2 3" xfId="26927"/>
    <cellStyle name="Normal 53 3 2 10 2 4" xfId="26928"/>
    <cellStyle name="Normal 53 3 2 10 2 5" xfId="26929"/>
    <cellStyle name="Normal 53 3 2 10 2 6" xfId="26930"/>
    <cellStyle name="Normal 53 3 2 10 3" xfId="26931"/>
    <cellStyle name="Normal 53 3 2 10 4" xfId="26932"/>
    <cellStyle name="Normal 53 3 2 11" xfId="26933"/>
    <cellStyle name="Normal 53 3 2 11 2" xfId="26934"/>
    <cellStyle name="Normal 53 3 2 11 2 2" xfId="26935"/>
    <cellStyle name="Normal 53 3 2 11 2 3" xfId="26936"/>
    <cellStyle name="Normal 53 3 2 11 2 4" xfId="26937"/>
    <cellStyle name="Normal 53 3 2 11 2 5" xfId="26938"/>
    <cellStyle name="Normal 53 3 2 11 2 6" xfId="26939"/>
    <cellStyle name="Normal 53 3 2 11 3" xfId="26940"/>
    <cellStyle name="Normal 53 3 2 11 4" xfId="26941"/>
    <cellStyle name="Normal 53 3 2 12" xfId="26942"/>
    <cellStyle name="Normal 53 3 2 12 2" xfId="26943"/>
    <cellStyle name="Normal 53 3 2 12 2 2" xfId="26944"/>
    <cellStyle name="Normal 53 3 2 12 2 3" xfId="26945"/>
    <cellStyle name="Normal 53 3 2 12 2 4" xfId="26946"/>
    <cellStyle name="Normal 53 3 2 12 2 5" xfId="26947"/>
    <cellStyle name="Normal 53 3 2 12 2 6" xfId="26948"/>
    <cellStyle name="Normal 53 3 2 12 3" xfId="26949"/>
    <cellStyle name="Normal 53 3 2 12 4" xfId="26950"/>
    <cellStyle name="Normal 53 3 2 13" xfId="26951"/>
    <cellStyle name="Normal 53 3 2 13 2" xfId="26952"/>
    <cellStyle name="Normal 53 3 2 13 2 2" xfId="26953"/>
    <cellStyle name="Normal 53 3 2 13 2 3" xfId="26954"/>
    <cellStyle name="Normal 53 3 2 13 2 4" xfId="26955"/>
    <cellStyle name="Normal 53 3 2 13 2 5" xfId="26956"/>
    <cellStyle name="Normal 53 3 2 13 2 6" xfId="26957"/>
    <cellStyle name="Normal 53 3 2 13 3" xfId="26958"/>
    <cellStyle name="Normal 53 3 2 13 4" xfId="26959"/>
    <cellStyle name="Normal 53 3 2 14" xfId="26960"/>
    <cellStyle name="Normal 53 3 2 14 2" xfId="26961"/>
    <cellStyle name="Normal 53 3 2 14 2 2" xfId="26962"/>
    <cellStyle name="Normal 53 3 2 14 2 3" xfId="26963"/>
    <cellStyle name="Normal 53 3 2 14 2 4" xfId="26964"/>
    <cellStyle name="Normal 53 3 2 14 2 5" xfId="26965"/>
    <cellStyle name="Normal 53 3 2 14 2 6" xfId="26966"/>
    <cellStyle name="Normal 53 3 2 14 3" xfId="26967"/>
    <cellStyle name="Normal 53 3 2 14 4" xfId="26968"/>
    <cellStyle name="Normal 53 3 2 15" xfId="26969"/>
    <cellStyle name="Normal 53 3 2 15 2" xfId="26970"/>
    <cellStyle name="Normal 53 3 2 15 2 2" xfId="26971"/>
    <cellStyle name="Normal 53 3 2 15 2 3" xfId="26972"/>
    <cellStyle name="Normal 53 3 2 15 2 4" xfId="26973"/>
    <cellStyle name="Normal 53 3 2 15 2 5" xfId="26974"/>
    <cellStyle name="Normal 53 3 2 15 2 6" xfId="26975"/>
    <cellStyle name="Normal 53 3 2 15 3" xfId="26976"/>
    <cellStyle name="Normal 53 3 2 15 4" xfId="26977"/>
    <cellStyle name="Normal 53 3 2 16" xfId="26978"/>
    <cellStyle name="Normal 53 3 2 16 2" xfId="26979"/>
    <cellStyle name="Normal 53 3 2 16 2 2" xfId="26980"/>
    <cellStyle name="Normal 53 3 2 16 2 3" xfId="26981"/>
    <cellStyle name="Normal 53 3 2 16 2 4" xfId="26982"/>
    <cellStyle name="Normal 53 3 2 16 2 5" xfId="26983"/>
    <cellStyle name="Normal 53 3 2 16 2 6" xfId="26984"/>
    <cellStyle name="Normal 53 3 2 16 3" xfId="26985"/>
    <cellStyle name="Normal 53 3 2 16 4" xfId="26986"/>
    <cellStyle name="Normal 53 3 2 17" xfId="26987"/>
    <cellStyle name="Normal 53 3 2 17 2" xfId="26988"/>
    <cellStyle name="Normal 53 3 2 17 2 2" xfId="26989"/>
    <cellStyle name="Normal 53 3 2 17 2 3" xfId="26990"/>
    <cellStyle name="Normal 53 3 2 17 2 4" xfId="26991"/>
    <cellStyle name="Normal 53 3 2 17 2 5" xfId="26992"/>
    <cellStyle name="Normal 53 3 2 17 2 6" xfId="26993"/>
    <cellStyle name="Normal 53 3 2 17 3" xfId="26994"/>
    <cellStyle name="Normal 53 3 2 17 4" xfId="26995"/>
    <cellStyle name="Normal 53 3 2 18" xfId="26996"/>
    <cellStyle name="Normal 53 3 2 18 2" xfId="26997"/>
    <cellStyle name="Normal 53 3 2 18 2 2" xfId="26998"/>
    <cellStyle name="Normal 53 3 2 18 2 3" xfId="26999"/>
    <cellStyle name="Normal 53 3 2 18 2 4" xfId="27000"/>
    <cellStyle name="Normal 53 3 2 18 2 5" xfId="27001"/>
    <cellStyle name="Normal 53 3 2 18 2 6" xfId="27002"/>
    <cellStyle name="Normal 53 3 2 18 3" xfId="27003"/>
    <cellStyle name="Normal 53 3 2 18 4" xfId="27004"/>
    <cellStyle name="Normal 53 3 2 19" xfId="27005"/>
    <cellStyle name="Normal 53 3 2 19 2" xfId="27006"/>
    <cellStyle name="Normal 53 3 2 19 2 2" xfId="27007"/>
    <cellStyle name="Normal 53 3 2 19 2 3" xfId="27008"/>
    <cellStyle name="Normal 53 3 2 19 2 4" xfId="27009"/>
    <cellStyle name="Normal 53 3 2 19 2 5" xfId="27010"/>
    <cellStyle name="Normal 53 3 2 19 2 6" xfId="27011"/>
    <cellStyle name="Normal 53 3 2 19 3" xfId="27012"/>
    <cellStyle name="Normal 53 3 2 19 4" xfId="27013"/>
    <cellStyle name="Normal 53 3 2 2" xfId="27014"/>
    <cellStyle name="Normal 53 3 2 2 10" xfId="27015"/>
    <cellStyle name="Normal 53 3 2 2 10 2" xfId="27016"/>
    <cellStyle name="Normal 53 3 2 2 10 3" xfId="27017"/>
    <cellStyle name="Normal 53 3 2 2 10 3 2" xfId="27018"/>
    <cellStyle name="Normal 53 3 2 2 10 3 3" xfId="27019"/>
    <cellStyle name="Normal 53 3 2 2 10 3 4" xfId="27020"/>
    <cellStyle name="Normal 53 3 2 2 10 3 5" xfId="27021"/>
    <cellStyle name="Normal 53 3 2 2 10 3 6" xfId="27022"/>
    <cellStyle name="Normal 53 3 2 2 10 4" xfId="27023"/>
    <cellStyle name="Normal 53 3 2 2 10 4 2" xfId="27024"/>
    <cellStyle name="Normal 53 3 2 2 10 4 3" xfId="27025"/>
    <cellStyle name="Normal 53 3 2 2 10 4 4" xfId="27026"/>
    <cellStyle name="Normal 53 3 2 2 10 4 5" xfId="27027"/>
    <cellStyle name="Normal 53 3 2 2 10 4 6" xfId="27028"/>
    <cellStyle name="Normal 53 3 2 2 11" xfId="27029"/>
    <cellStyle name="Normal 53 3 2 2 11 2" xfId="27030"/>
    <cellStyle name="Normal 53 3 2 2 11 3" xfId="27031"/>
    <cellStyle name="Normal 53 3 2 2 11 3 2" xfId="27032"/>
    <cellStyle name="Normal 53 3 2 2 11 3 3" xfId="27033"/>
    <cellStyle name="Normal 53 3 2 2 11 3 4" xfId="27034"/>
    <cellStyle name="Normal 53 3 2 2 11 3 5" xfId="27035"/>
    <cellStyle name="Normal 53 3 2 2 11 3 6" xfId="27036"/>
    <cellStyle name="Normal 53 3 2 2 11 4" xfId="27037"/>
    <cellStyle name="Normal 53 3 2 2 11 4 2" xfId="27038"/>
    <cellStyle name="Normal 53 3 2 2 11 4 3" xfId="27039"/>
    <cellStyle name="Normal 53 3 2 2 11 4 4" xfId="27040"/>
    <cellStyle name="Normal 53 3 2 2 11 4 5" xfId="27041"/>
    <cellStyle name="Normal 53 3 2 2 11 4 6" xfId="27042"/>
    <cellStyle name="Normal 53 3 2 2 12" xfId="27043"/>
    <cellStyle name="Normal 53 3 2 2 12 2" xfId="27044"/>
    <cellStyle name="Normal 53 3 2 2 12 3" xfId="27045"/>
    <cellStyle name="Normal 53 3 2 2 12 3 2" xfId="27046"/>
    <cellStyle name="Normal 53 3 2 2 12 3 3" xfId="27047"/>
    <cellStyle name="Normal 53 3 2 2 12 3 4" xfId="27048"/>
    <cellStyle name="Normal 53 3 2 2 12 3 5" xfId="27049"/>
    <cellStyle name="Normal 53 3 2 2 12 3 6" xfId="27050"/>
    <cellStyle name="Normal 53 3 2 2 12 4" xfId="27051"/>
    <cellStyle name="Normal 53 3 2 2 12 4 2" xfId="27052"/>
    <cellStyle name="Normal 53 3 2 2 12 4 3" xfId="27053"/>
    <cellStyle name="Normal 53 3 2 2 12 4 4" xfId="27054"/>
    <cellStyle name="Normal 53 3 2 2 12 4 5" xfId="27055"/>
    <cellStyle name="Normal 53 3 2 2 12 4 6" xfId="27056"/>
    <cellStyle name="Normal 53 3 2 2 13" xfId="27057"/>
    <cellStyle name="Normal 53 3 2 2 13 2" xfId="27058"/>
    <cellStyle name="Normal 53 3 2 2 13 3" xfId="27059"/>
    <cellStyle name="Normal 53 3 2 2 13 3 2" xfId="27060"/>
    <cellStyle name="Normal 53 3 2 2 13 3 3" xfId="27061"/>
    <cellStyle name="Normal 53 3 2 2 13 3 4" xfId="27062"/>
    <cellStyle name="Normal 53 3 2 2 13 3 5" xfId="27063"/>
    <cellStyle name="Normal 53 3 2 2 13 3 6" xfId="27064"/>
    <cellStyle name="Normal 53 3 2 2 13 4" xfId="27065"/>
    <cellStyle name="Normal 53 3 2 2 13 4 2" xfId="27066"/>
    <cellStyle name="Normal 53 3 2 2 13 4 3" xfId="27067"/>
    <cellStyle name="Normal 53 3 2 2 13 4 4" xfId="27068"/>
    <cellStyle name="Normal 53 3 2 2 13 4 5" xfId="27069"/>
    <cellStyle name="Normal 53 3 2 2 13 4 6" xfId="27070"/>
    <cellStyle name="Normal 53 3 2 2 14" xfId="27071"/>
    <cellStyle name="Normal 53 3 2 2 14 2" xfId="27072"/>
    <cellStyle name="Normal 53 3 2 2 14 3" xfId="27073"/>
    <cellStyle name="Normal 53 3 2 2 14 3 2" xfId="27074"/>
    <cellStyle name="Normal 53 3 2 2 14 3 3" xfId="27075"/>
    <cellStyle name="Normal 53 3 2 2 14 3 4" xfId="27076"/>
    <cellStyle name="Normal 53 3 2 2 14 3 5" xfId="27077"/>
    <cellStyle name="Normal 53 3 2 2 14 3 6" xfId="27078"/>
    <cellStyle name="Normal 53 3 2 2 14 4" xfId="27079"/>
    <cellStyle name="Normal 53 3 2 2 14 4 2" xfId="27080"/>
    <cellStyle name="Normal 53 3 2 2 14 4 3" xfId="27081"/>
    <cellStyle name="Normal 53 3 2 2 14 4 4" xfId="27082"/>
    <cellStyle name="Normal 53 3 2 2 14 4 5" xfId="27083"/>
    <cellStyle name="Normal 53 3 2 2 14 4 6" xfId="27084"/>
    <cellStyle name="Normal 53 3 2 2 15" xfId="27085"/>
    <cellStyle name="Normal 53 3 2 2 15 2" xfId="27086"/>
    <cellStyle name="Normal 53 3 2 2 15 3" xfId="27087"/>
    <cellStyle name="Normal 53 3 2 2 15 3 2" xfId="27088"/>
    <cellStyle name="Normal 53 3 2 2 15 3 3" xfId="27089"/>
    <cellStyle name="Normal 53 3 2 2 15 3 4" xfId="27090"/>
    <cellStyle name="Normal 53 3 2 2 15 3 5" xfId="27091"/>
    <cellStyle name="Normal 53 3 2 2 15 3 6" xfId="27092"/>
    <cellStyle name="Normal 53 3 2 2 15 4" xfId="27093"/>
    <cellStyle name="Normal 53 3 2 2 15 4 2" xfId="27094"/>
    <cellStyle name="Normal 53 3 2 2 15 4 3" xfId="27095"/>
    <cellStyle name="Normal 53 3 2 2 15 4 4" xfId="27096"/>
    <cellStyle name="Normal 53 3 2 2 15 4 5" xfId="27097"/>
    <cellStyle name="Normal 53 3 2 2 15 4 6" xfId="27098"/>
    <cellStyle name="Normal 53 3 2 2 16" xfId="27099"/>
    <cellStyle name="Normal 53 3 2 2 16 2" xfId="27100"/>
    <cellStyle name="Normal 53 3 2 2 16 3" xfId="27101"/>
    <cellStyle name="Normal 53 3 2 2 16 3 2" xfId="27102"/>
    <cellStyle name="Normal 53 3 2 2 16 3 3" xfId="27103"/>
    <cellStyle name="Normal 53 3 2 2 16 3 4" xfId="27104"/>
    <cellStyle name="Normal 53 3 2 2 16 3 5" xfId="27105"/>
    <cellStyle name="Normal 53 3 2 2 16 3 6" xfId="27106"/>
    <cellStyle name="Normal 53 3 2 2 16 4" xfId="27107"/>
    <cellStyle name="Normal 53 3 2 2 16 4 2" xfId="27108"/>
    <cellStyle name="Normal 53 3 2 2 16 4 3" xfId="27109"/>
    <cellStyle name="Normal 53 3 2 2 16 4 4" xfId="27110"/>
    <cellStyle name="Normal 53 3 2 2 16 4 5" xfId="27111"/>
    <cellStyle name="Normal 53 3 2 2 16 4 6" xfId="27112"/>
    <cellStyle name="Normal 53 3 2 2 17" xfId="27113"/>
    <cellStyle name="Normal 53 3 2 2 17 2" xfId="27114"/>
    <cellStyle name="Normal 53 3 2 2 17 3" xfId="27115"/>
    <cellStyle name="Normal 53 3 2 2 17 4" xfId="27116"/>
    <cellStyle name="Normal 53 3 2 2 17 5" xfId="27117"/>
    <cellStyle name="Normal 53 3 2 2 17 6" xfId="27118"/>
    <cellStyle name="Normal 53 3 2 2 18" xfId="27119"/>
    <cellStyle name="Normal 53 3 2 2 19" xfId="27120"/>
    <cellStyle name="Normal 53 3 2 2 2" xfId="27121"/>
    <cellStyle name="Normal 53 3 2 2 2 2" xfId="27122"/>
    <cellStyle name="Normal 53 3 2 2 2 3" xfId="27123"/>
    <cellStyle name="Normal 53 3 2 2 2 3 2" xfId="27124"/>
    <cellStyle name="Normal 53 3 2 2 2 3 3" xfId="27125"/>
    <cellStyle name="Normal 53 3 2 2 2 3 4" xfId="27126"/>
    <cellStyle name="Normal 53 3 2 2 2 3 5" xfId="27127"/>
    <cellStyle name="Normal 53 3 2 2 2 3 6" xfId="27128"/>
    <cellStyle name="Normal 53 3 2 2 2 4" xfId="27129"/>
    <cellStyle name="Normal 53 3 2 2 2 4 2" xfId="27130"/>
    <cellStyle name="Normal 53 3 2 2 2 4 3" xfId="27131"/>
    <cellStyle name="Normal 53 3 2 2 2 4 4" xfId="27132"/>
    <cellStyle name="Normal 53 3 2 2 2 4 5" xfId="27133"/>
    <cellStyle name="Normal 53 3 2 2 2 4 6" xfId="27134"/>
    <cellStyle name="Normal 53 3 2 2 3" xfId="27135"/>
    <cellStyle name="Normal 53 3 2 2 3 2" xfId="27136"/>
    <cellStyle name="Normal 53 3 2 2 3 3" xfId="27137"/>
    <cellStyle name="Normal 53 3 2 2 3 3 2" xfId="27138"/>
    <cellStyle name="Normal 53 3 2 2 3 3 3" xfId="27139"/>
    <cellStyle name="Normal 53 3 2 2 3 3 4" xfId="27140"/>
    <cellStyle name="Normal 53 3 2 2 3 3 5" xfId="27141"/>
    <cellStyle name="Normal 53 3 2 2 3 3 6" xfId="27142"/>
    <cellStyle name="Normal 53 3 2 2 3 4" xfId="27143"/>
    <cellStyle name="Normal 53 3 2 2 3 4 2" xfId="27144"/>
    <cellStyle name="Normal 53 3 2 2 3 4 3" xfId="27145"/>
    <cellStyle name="Normal 53 3 2 2 3 4 4" xfId="27146"/>
    <cellStyle name="Normal 53 3 2 2 3 4 5" xfId="27147"/>
    <cellStyle name="Normal 53 3 2 2 3 4 6" xfId="27148"/>
    <cellStyle name="Normal 53 3 2 2 4" xfId="27149"/>
    <cellStyle name="Normal 53 3 2 2 4 2" xfId="27150"/>
    <cellStyle name="Normal 53 3 2 2 4 3" xfId="27151"/>
    <cellStyle name="Normal 53 3 2 2 4 3 2" xfId="27152"/>
    <cellStyle name="Normal 53 3 2 2 4 3 3" xfId="27153"/>
    <cellStyle name="Normal 53 3 2 2 4 3 4" xfId="27154"/>
    <cellStyle name="Normal 53 3 2 2 4 3 5" xfId="27155"/>
    <cellStyle name="Normal 53 3 2 2 4 3 6" xfId="27156"/>
    <cellStyle name="Normal 53 3 2 2 4 4" xfId="27157"/>
    <cellStyle name="Normal 53 3 2 2 4 4 2" xfId="27158"/>
    <cellStyle name="Normal 53 3 2 2 4 4 3" xfId="27159"/>
    <cellStyle name="Normal 53 3 2 2 4 4 4" xfId="27160"/>
    <cellStyle name="Normal 53 3 2 2 4 4 5" xfId="27161"/>
    <cellStyle name="Normal 53 3 2 2 4 4 6" xfId="27162"/>
    <cellStyle name="Normal 53 3 2 2 5" xfId="27163"/>
    <cellStyle name="Normal 53 3 2 2 5 2" xfId="27164"/>
    <cellStyle name="Normal 53 3 2 2 5 3" xfId="27165"/>
    <cellStyle name="Normal 53 3 2 2 5 3 2" xfId="27166"/>
    <cellStyle name="Normal 53 3 2 2 5 3 3" xfId="27167"/>
    <cellStyle name="Normal 53 3 2 2 5 3 4" xfId="27168"/>
    <cellStyle name="Normal 53 3 2 2 5 3 5" xfId="27169"/>
    <cellStyle name="Normal 53 3 2 2 5 3 6" xfId="27170"/>
    <cellStyle name="Normal 53 3 2 2 5 4" xfId="27171"/>
    <cellStyle name="Normal 53 3 2 2 5 4 2" xfId="27172"/>
    <cellStyle name="Normal 53 3 2 2 5 4 3" xfId="27173"/>
    <cellStyle name="Normal 53 3 2 2 5 4 4" xfId="27174"/>
    <cellStyle name="Normal 53 3 2 2 5 4 5" xfId="27175"/>
    <cellStyle name="Normal 53 3 2 2 5 4 6" xfId="27176"/>
    <cellStyle name="Normal 53 3 2 2 6" xfId="27177"/>
    <cellStyle name="Normal 53 3 2 2 6 2" xfId="27178"/>
    <cellStyle name="Normal 53 3 2 2 6 3" xfId="27179"/>
    <cellStyle name="Normal 53 3 2 2 6 3 2" xfId="27180"/>
    <cellStyle name="Normal 53 3 2 2 6 3 3" xfId="27181"/>
    <cellStyle name="Normal 53 3 2 2 6 3 4" xfId="27182"/>
    <cellStyle name="Normal 53 3 2 2 6 3 5" xfId="27183"/>
    <cellStyle name="Normal 53 3 2 2 6 3 6" xfId="27184"/>
    <cellStyle name="Normal 53 3 2 2 6 4" xfId="27185"/>
    <cellStyle name="Normal 53 3 2 2 6 4 2" xfId="27186"/>
    <cellStyle name="Normal 53 3 2 2 6 4 3" xfId="27187"/>
    <cellStyle name="Normal 53 3 2 2 6 4 4" xfId="27188"/>
    <cellStyle name="Normal 53 3 2 2 6 4 5" xfId="27189"/>
    <cellStyle name="Normal 53 3 2 2 6 4 6" xfId="27190"/>
    <cellStyle name="Normal 53 3 2 2 7" xfId="27191"/>
    <cellStyle name="Normal 53 3 2 2 7 2" xfId="27192"/>
    <cellStyle name="Normal 53 3 2 2 7 3" xfId="27193"/>
    <cellStyle name="Normal 53 3 2 2 7 3 2" xfId="27194"/>
    <cellStyle name="Normal 53 3 2 2 7 3 3" xfId="27195"/>
    <cellStyle name="Normal 53 3 2 2 7 3 4" xfId="27196"/>
    <cellStyle name="Normal 53 3 2 2 7 3 5" xfId="27197"/>
    <cellStyle name="Normal 53 3 2 2 7 3 6" xfId="27198"/>
    <cellStyle name="Normal 53 3 2 2 7 4" xfId="27199"/>
    <cellStyle name="Normal 53 3 2 2 7 4 2" xfId="27200"/>
    <cellStyle name="Normal 53 3 2 2 7 4 3" xfId="27201"/>
    <cellStyle name="Normal 53 3 2 2 7 4 4" xfId="27202"/>
    <cellStyle name="Normal 53 3 2 2 7 4 5" xfId="27203"/>
    <cellStyle name="Normal 53 3 2 2 7 4 6" xfId="27204"/>
    <cellStyle name="Normal 53 3 2 2 8" xfId="27205"/>
    <cellStyle name="Normal 53 3 2 2 8 2" xfId="27206"/>
    <cellStyle name="Normal 53 3 2 2 8 3" xfId="27207"/>
    <cellStyle name="Normal 53 3 2 2 8 3 2" xfId="27208"/>
    <cellStyle name="Normal 53 3 2 2 8 3 3" xfId="27209"/>
    <cellStyle name="Normal 53 3 2 2 8 3 4" xfId="27210"/>
    <cellStyle name="Normal 53 3 2 2 8 3 5" xfId="27211"/>
    <cellStyle name="Normal 53 3 2 2 8 3 6" xfId="27212"/>
    <cellStyle name="Normal 53 3 2 2 8 4" xfId="27213"/>
    <cellStyle name="Normal 53 3 2 2 8 4 2" xfId="27214"/>
    <cellStyle name="Normal 53 3 2 2 8 4 3" xfId="27215"/>
    <cellStyle name="Normal 53 3 2 2 8 4 4" xfId="27216"/>
    <cellStyle name="Normal 53 3 2 2 8 4 5" xfId="27217"/>
    <cellStyle name="Normal 53 3 2 2 8 4 6" xfId="27218"/>
    <cellStyle name="Normal 53 3 2 2 9" xfId="27219"/>
    <cellStyle name="Normal 53 3 2 2 9 2" xfId="27220"/>
    <cellStyle name="Normal 53 3 2 2 9 3" xfId="27221"/>
    <cellStyle name="Normal 53 3 2 2 9 3 2" xfId="27222"/>
    <cellStyle name="Normal 53 3 2 2 9 3 3" xfId="27223"/>
    <cellStyle name="Normal 53 3 2 2 9 3 4" xfId="27224"/>
    <cellStyle name="Normal 53 3 2 2 9 3 5" xfId="27225"/>
    <cellStyle name="Normal 53 3 2 2 9 3 6" xfId="27226"/>
    <cellStyle name="Normal 53 3 2 2 9 4" xfId="27227"/>
    <cellStyle name="Normal 53 3 2 2 9 4 2" xfId="27228"/>
    <cellStyle name="Normal 53 3 2 2 9 4 3" xfId="27229"/>
    <cellStyle name="Normal 53 3 2 2 9 4 4" xfId="27230"/>
    <cellStyle name="Normal 53 3 2 2 9 4 5" xfId="27231"/>
    <cellStyle name="Normal 53 3 2 2 9 4 6" xfId="27232"/>
    <cellStyle name="Normal 53 3 2 20" xfId="27233"/>
    <cellStyle name="Normal 53 3 2 21" xfId="27234"/>
    <cellStyle name="Normal 53 3 2 21 2" xfId="27235"/>
    <cellStyle name="Normal 53 3 2 21 3" xfId="27236"/>
    <cellStyle name="Normal 53 3 2 21 4" xfId="27237"/>
    <cellStyle name="Normal 53 3 2 21 5" xfId="27238"/>
    <cellStyle name="Normal 53 3 2 21 6" xfId="27239"/>
    <cellStyle name="Normal 53 3 2 22" xfId="27240"/>
    <cellStyle name="Normal 53 3 2 22 2" xfId="27241"/>
    <cellStyle name="Normal 53 3 2 22 3" xfId="27242"/>
    <cellStyle name="Normal 53 3 2 22 4" xfId="27243"/>
    <cellStyle name="Normal 53 3 2 22 5" xfId="27244"/>
    <cellStyle name="Normal 53 3 2 22 6" xfId="27245"/>
    <cellStyle name="Normal 53 3 2 3" xfId="27246"/>
    <cellStyle name="Normal 53 3 2 3 2" xfId="27247"/>
    <cellStyle name="Normal 53 3 2 3 3" xfId="27248"/>
    <cellStyle name="Normal 53 3 2 3 3 2" xfId="27249"/>
    <cellStyle name="Normal 53 3 2 3 3 3" xfId="27250"/>
    <cellStyle name="Normal 53 3 2 3 3 4" xfId="27251"/>
    <cellStyle name="Normal 53 3 2 3 3 5" xfId="27252"/>
    <cellStyle name="Normal 53 3 2 3 3 6" xfId="27253"/>
    <cellStyle name="Normal 53 3 2 3 4" xfId="27254"/>
    <cellStyle name="Normal 53 3 2 3 4 2" xfId="27255"/>
    <cellStyle name="Normal 53 3 2 3 4 3" xfId="27256"/>
    <cellStyle name="Normal 53 3 2 3 4 4" xfId="27257"/>
    <cellStyle name="Normal 53 3 2 3 4 5" xfId="27258"/>
    <cellStyle name="Normal 53 3 2 3 4 6" xfId="27259"/>
    <cellStyle name="Normal 53 3 2 4" xfId="27260"/>
    <cellStyle name="Normal 53 3 2 4 2" xfId="27261"/>
    <cellStyle name="Normal 53 3 2 4 3" xfId="27262"/>
    <cellStyle name="Normal 53 3 2 4 3 2" xfId="27263"/>
    <cellStyle name="Normal 53 3 2 4 3 3" xfId="27264"/>
    <cellStyle name="Normal 53 3 2 4 3 4" xfId="27265"/>
    <cellStyle name="Normal 53 3 2 4 3 5" xfId="27266"/>
    <cellStyle name="Normal 53 3 2 4 3 6" xfId="27267"/>
    <cellStyle name="Normal 53 3 2 4 4" xfId="27268"/>
    <cellStyle name="Normal 53 3 2 4 4 2" xfId="27269"/>
    <cellStyle name="Normal 53 3 2 4 4 3" xfId="27270"/>
    <cellStyle name="Normal 53 3 2 4 4 4" xfId="27271"/>
    <cellStyle name="Normal 53 3 2 4 4 5" xfId="27272"/>
    <cellStyle name="Normal 53 3 2 4 4 6" xfId="27273"/>
    <cellStyle name="Normal 53 3 2 5" xfId="27274"/>
    <cellStyle name="Normal 53 3 2 5 2" xfId="27275"/>
    <cellStyle name="Normal 53 3 2 5 3" xfId="27276"/>
    <cellStyle name="Normal 53 3 2 5 3 2" xfId="27277"/>
    <cellStyle name="Normal 53 3 2 5 3 3" xfId="27278"/>
    <cellStyle name="Normal 53 3 2 5 3 4" xfId="27279"/>
    <cellStyle name="Normal 53 3 2 5 3 5" xfId="27280"/>
    <cellStyle name="Normal 53 3 2 5 3 6" xfId="27281"/>
    <cellStyle name="Normal 53 3 2 5 4" xfId="27282"/>
    <cellStyle name="Normal 53 3 2 5 4 2" xfId="27283"/>
    <cellStyle name="Normal 53 3 2 5 4 3" xfId="27284"/>
    <cellStyle name="Normal 53 3 2 5 4 4" xfId="27285"/>
    <cellStyle name="Normal 53 3 2 5 4 5" xfId="27286"/>
    <cellStyle name="Normal 53 3 2 5 4 6" xfId="27287"/>
    <cellStyle name="Normal 53 3 2 6" xfId="27288"/>
    <cellStyle name="Normal 53 3 2 6 2" xfId="27289"/>
    <cellStyle name="Normal 53 3 2 6 2 2" xfId="27290"/>
    <cellStyle name="Normal 53 3 2 6 2 3" xfId="27291"/>
    <cellStyle name="Normal 53 3 2 6 2 4" xfId="27292"/>
    <cellStyle name="Normal 53 3 2 6 2 5" xfId="27293"/>
    <cellStyle name="Normal 53 3 2 6 2 6" xfId="27294"/>
    <cellStyle name="Normal 53 3 2 6 3" xfId="27295"/>
    <cellStyle name="Normal 53 3 2 6 4" xfId="27296"/>
    <cellStyle name="Normal 53 3 2 7" xfId="27297"/>
    <cellStyle name="Normal 53 3 2 7 2" xfId="27298"/>
    <cellStyle name="Normal 53 3 2 7 2 2" xfId="27299"/>
    <cellStyle name="Normal 53 3 2 7 2 3" xfId="27300"/>
    <cellStyle name="Normal 53 3 2 7 2 4" xfId="27301"/>
    <cellStyle name="Normal 53 3 2 7 2 5" xfId="27302"/>
    <cellStyle name="Normal 53 3 2 7 2 6" xfId="27303"/>
    <cellStyle name="Normal 53 3 2 7 3" xfId="27304"/>
    <cellStyle name="Normal 53 3 2 7 4" xfId="27305"/>
    <cellStyle name="Normal 53 3 2 8" xfId="27306"/>
    <cellStyle name="Normal 53 3 2 8 2" xfId="27307"/>
    <cellStyle name="Normal 53 3 2 8 2 2" xfId="27308"/>
    <cellStyle name="Normal 53 3 2 8 2 3" xfId="27309"/>
    <cellStyle name="Normal 53 3 2 8 2 4" xfId="27310"/>
    <cellStyle name="Normal 53 3 2 8 2 5" xfId="27311"/>
    <cellStyle name="Normal 53 3 2 8 2 6" xfId="27312"/>
    <cellStyle name="Normal 53 3 2 8 3" xfId="27313"/>
    <cellStyle name="Normal 53 3 2 8 4" xfId="27314"/>
    <cellStyle name="Normal 53 3 2 9" xfId="27315"/>
    <cellStyle name="Normal 53 3 2 9 2" xfId="27316"/>
    <cellStyle name="Normal 53 3 2 9 2 2" xfId="27317"/>
    <cellStyle name="Normal 53 3 2 9 2 3" xfId="27318"/>
    <cellStyle name="Normal 53 3 2 9 2 4" xfId="27319"/>
    <cellStyle name="Normal 53 3 2 9 2 5" xfId="27320"/>
    <cellStyle name="Normal 53 3 2 9 2 6" xfId="27321"/>
    <cellStyle name="Normal 53 3 2 9 3" xfId="27322"/>
    <cellStyle name="Normal 53 3 2 9 4" xfId="27323"/>
    <cellStyle name="Normal 53 3 20" xfId="27324"/>
    <cellStyle name="Normal 53 3 20 2" xfId="27325"/>
    <cellStyle name="Normal 53 3 20 3" xfId="27326"/>
    <cellStyle name="Normal 53 3 20 4" xfId="27327"/>
    <cellStyle name="Normal 53 3 20 5" xfId="27328"/>
    <cellStyle name="Normal 53 3 20 6" xfId="27329"/>
    <cellStyle name="Normal 53 3 21" xfId="27330"/>
    <cellStyle name="Normal 53 3 22" xfId="27331"/>
    <cellStyle name="Normal 53 3 3" xfId="27332"/>
    <cellStyle name="Normal 53 3 3 10" xfId="27333"/>
    <cellStyle name="Normal 53 3 3 10 2" xfId="27334"/>
    <cellStyle name="Normal 53 3 3 10 2 2" xfId="27335"/>
    <cellStyle name="Normal 53 3 3 10 2 3" xfId="27336"/>
    <cellStyle name="Normal 53 3 3 10 2 4" xfId="27337"/>
    <cellStyle name="Normal 53 3 3 10 2 5" xfId="27338"/>
    <cellStyle name="Normal 53 3 3 10 2 6" xfId="27339"/>
    <cellStyle name="Normal 53 3 3 10 3" xfId="27340"/>
    <cellStyle name="Normal 53 3 3 10 4" xfId="27341"/>
    <cellStyle name="Normal 53 3 3 11" xfId="27342"/>
    <cellStyle name="Normal 53 3 3 11 2" xfId="27343"/>
    <cellStyle name="Normal 53 3 3 11 2 2" xfId="27344"/>
    <cellStyle name="Normal 53 3 3 11 2 3" xfId="27345"/>
    <cellStyle name="Normal 53 3 3 11 2 4" xfId="27346"/>
    <cellStyle name="Normal 53 3 3 11 2 5" xfId="27347"/>
    <cellStyle name="Normal 53 3 3 11 2 6" xfId="27348"/>
    <cellStyle name="Normal 53 3 3 11 3" xfId="27349"/>
    <cellStyle name="Normal 53 3 3 11 4" xfId="27350"/>
    <cellStyle name="Normal 53 3 3 12" xfId="27351"/>
    <cellStyle name="Normal 53 3 3 12 2" xfId="27352"/>
    <cellStyle name="Normal 53 3 3 12 2 2" xfId="27353"/>
    <cellStyle name="Normal 53 3 3 12 2 3" xfId="27354"/>
    <cellStyle name="Normal 53 3 3 12 2 4" xfId="27355"/>
    <cellStyle name="Normal 53 3 3 12 2 5" xfId="27356"/>
    <cellStyle name="Normal 53 3 3 12 2 6" xfId="27357"/>
    <cellStyle name="Normal 53 3 3 12 3" xfId="27358"/>
    <cellStyle name="Normal 53 3 3 12 4" xfId="27359"/>
    <cellStyle name="Normal 53 3 3 13" xfId="27360"/>
    <cellStyle name="Normal 53 3 3 13 2" xfId="27361"/>
    <cellStyle name="Normal 53 3 3 13 2 2" xfId="27362"/>
    <cellStyle name="Normal 53 3 3 13 2 3" xfId="27363"/>
    <cellStyle name="Normal 53 3 3 13 2 4" xfId="27364"/>
    <cellStyle name="Normal 53 3 3 13 2 5" xfId="27365"/>
    <cellStyle name="Normal 53 3 3 13 2 6" xfId="27366"/>
    <cellStyle name="Normal 53 3 3 13 3" xfId="27367"/>
    <cellStyle name="Normal 53 3 3 13 4" xfId="27368"/>
    <cellStyle name="Normal 53 3 3 14" xfId="27369"/>
    <cellStyle name="Normal 53 3 3 14 2" xfId="27370"/>
    <cellStyle name="Normal 53 3 3 14 2 2" xfId="27371"/>
    <cellStyle name="Normal 53 3 3 14 2 3" xfId="27372"/>
    <cellStyle name="Normal 53 3 3 14 2 4" xfId="27373"/>
    <cellStyle name="Normal 53 3 3 14 2 5" xfId="27374"/>
    <cellStyle name="Normal 53 3 3 14 2 6" xfId="27375"/>
    <cellStyle name="Normal 53 3 3 14 3" xfId="27376"/>
    <cellStyle name="Normal 53 3 3 14 4" xfId="27377"/>
    <cellStyle name="Normal 53 3 3 15" xfId="27378"/>
    <cellStyle name="Normal 53 3 3 15 2" xfId="27379"/>
    <cellStyle name="Normal 53 3 3 15 2 2" xfId="27380"/>
    <cellStyle name="Normal 53 3 3 15 2 3" xfId="27381"/>
    <cellStyle name="Normal 53 3 3 15 2 4" xfId="27382"/>
    <cellStyle name="Normal 53 3 3 15 2 5" xfId="27383"/>
    <cellStyle name="Normal 53 3 3 15 2 6" xfId="27384"/>
    <cellStyle name="Normal 53 3 3 15 3" xfId="27385"/>
    <cellStyle name="Normal 53 3 3 15 4" xfId="27386"/>
    <cellStyle name="Normal 53 3 3 16" xfId="27387"/>
    <cellStyle name="Normal 53 3 3 16 2" xfId="27388"/>
    <cellStyle name="Normal 53 3 3 16 2 2" xfId="27389"/>
    <cellStyle name="Normal 53 3 3 16 2 3" xfId="27390"/>
    <cellStyle name="Normal 53 3 3 16 2 4" xfId="27391"/>
    <cellStyle name="Normal 53 3 3 16 2 5" xfId="27392"/>
    <cellStyle name="Normal 53 3 3 16 2 6" xfId="27393"/>
    <cellStyle name="Normal 53 3 3 16 3" xfId="27394"/>
    <cellStyle name="Normal 53 3 3 16 4" xfId="27395"/>
    <cellStyle name="Normal 53 3 3 17" xfId="27396"/>
    <cellStyle name="Normal 53 3 3 18" xfId="27397"/>
    <cellStyle name="Normal 53 3 3 18 2" xfId="27398"/>
    <cellStyle name="Normal 53 3 3 18 3" xfId="27399"/>
    <cellStyle name="Normal 53 3 3 18 4" xfId="27400"/>
    <cellStyle name="Normal 53 3 3 18 5" xfId="27401"/>
    <cellStyle name="Normal 53 3 3 18 6" xfId="27402"/>
    <cellStyle name="Normal 53 3 3 19" xfId="27403"/>
    <cellStyle name="Normal 53 3 3 19 2" xfId="27404"/>
    <cellStyle name="Normal 53 3 3 19 3" xfId="27405"/>
    <cellStyle name="Normal 53 3 3 19 4" xfId="27406"/>
    <cellStyle name="Normal 53 3 3 19 5" xfId="27407"/>
    <cellStyle name="Normal 53 3 3 19 6" xfId="27408"/>
    <cellStyle name="Normal 53 3 3 2" xfId="27409"/>
    <cellStyle name="Normal 53 3 3 2 2" xfId="27410"/>
    <cellStyle name="Normal 53 3 3 2 2 2" xfId="27411"/>
    <cellStyle name="Normal 53 3 3 2 2 3" xfId="27412"/>
    <cellStyle name="Normal 53 3 3 2 2 4" xfId="27413"/>
    <cellStyle name="Normal 53 3 3 2 2 5" xfId="27414"/>
    <cellStyle name="Normal 53 3 3 2 2 6" xfId="27415"/>
    <cellStyle name="Normal 53 3 3 2 3" xfId="27416"/>
    <cellStyle name="Normal 53 3 3 2 4" xfId="27417"/>
    <cellStyle name="Normal 53 3 3 3" xfId="27418"/>
    <cellStyle name="Normal 53 3 3 3 2" xfId="27419"/>
    <cellStyle name="Normal 53 3 3 3 2 2" xfId="27420"/>
    <cellStyle name="Normal 53 3 3 3 2 3" xfId="27421"/>
    <cellStyle name="Normal 53 3 3 3 2 4" xfId="27422"/>
    <cellStyle name="Normal 53 3 3 3 2 5" xfId="27423"/>
    <cellStyle name="Normal 53 3 3 3 2 6" xfId="27424"/>
    <cellStyle name="Normal 53 3 3 3 3" xfId="27425"/>
    <cellStyle name="Normal 53 3 3 3 4" xfId="27426"/>
    <cellStyle name="Normal 53 3 3 4" xfId="27427"/>
    <cellStyle name="Normal 53 3 3 4 2" xfId="27428"/>
    <cellStyle name="Normal 53 3 3 4 2 2" xfId="27429"/>
    <cellStyle name="Normal 53 3 3 4 2 3" xfId="27430"/>
    <cellStyle name="Normal 53 3 3 4 2 4" xfId="27431"/>
    <cellStyle name="Normal 53 3 3 4 2 5" xfId="27432"/>
    <cellStyle name="Normal 53 3 3 4 2 6" xfId="27433"/>
    <cellStyle name="Normal 53 3 3 4 3" xfId="27434"/>
    <cellStyle name="Normal 53 3 3 4 4" xfId="27435"/>
    <cellStyle name="Normal 53 3 3 5" xfId="27436"/>
    <cellStyle name="Normal 53 3 3 5 2" xfId="27437"/>
    <cellStyle name="Normal 53 3 3 5 2 2" xfId="27438"/>
    <cellStyle name="Normal 53 3 3 5 2 3" xfId="27439"/>
    <cellStyle name="Normal 53 3 3 5 2 4" xfId="27440"/>
    <cellStyle name="Normal 53 3 3 5 2 5" xfId="27441"/>
    <cellStyle name="Normal 53 3 3 5 2 6" xfId="27442"/>
    <cellStyle name="Normal 53 3 3 5 3" xfId="27443"/>
    <cellStyle name="Normal 53 3 3 5 4" xfId="27444"/>
    <cellStyle name="Normal 53 3 3 6" xfId="27445"/>
    <cellStyle name="Normal 53 3 3 6 2" xfId="27446"/>
    <cellStyle name="Normal 53 3 3 6 2 2" xfId="27447"/>
    <cellStyle name="Normal 53 3 3 6 2 3" xfId="27448"/>
    <cellStyle name="Normal 53 3 3 6 2 4" xfId="27449"/>
    <cellStyle name="Normal 53 3 3 6 2 5" xfId="27450"/>
    <cellStyle name="Normal 53 3 3 6 2 6" xfId="27451"/>
    <cellStyle name="Normal 53 3 3 6 3" xfId="27452"/>
    <cellStyle name="Normal 53 3 3 6 4" xfId="27453"/>
    <cellStyle name="Normal 53 3 3 7" xfId="27454"/>
    <cellStyle name="Normal 53 3 3 7 2" xfId="27455"/>
    <cellStyle name="Normal 53 3 3 7 2 2" xfId="27456"/>
    <cellStyle name="Normal 53 3 3 7 2 3" xfId="27457"/>
    <cellStyle name="Normal 53 3 3 7 2 4" xfId="27458"/>
    <cellStyle name="Normal 53 3 3 7 2 5" xfId="27459"/>
    <cellStyle name="Normal 53 3 3 7 2 6" xfId="27460"/>
    <cellStyle name="Normal 53 3 3 7 3" xfId="27461"/>
    <cellStyle name="Normal 53 3 3 7 4" xfId="27462"/>
    <cellStyle name="Normal 53 3 3 8" xfId="27463"/>
    <cellStyle name="Normal 53 3 3 8 2" xfId="27464"/>
    <cellStyle name="Normal 53 3 3 8 2 2" xfId="27465"/>
    <cellStyle name="Normal 53 3 3 8 2 3" xfId="27466"/>
    <cellStyle name="Normal 53 3 3 8 2 4" xfId="27467"/>
    <cellStyle name="Normal 53 3 3 8 2 5" xfId="27468"/>
    <cellStyle name="Normal 53 3 3 8 2 6" xfId="27469"/>
    <cellStyle name="Normal 53 3 3 8 3" xfId="27470"/>
    <cellStyle name="Normal 53 3 3 8 4" xfId="27471"/>
    <cellStyle name="Normal 53 3 3 9" xfId="27472"/>
    <cellStyle name="Normal 53 3 3 9 2" xfId="27473"/>
    <cellStyle name="Normal 53 3 3 9 2 2" xfId="27474"/>
    <cellStyle name="Normal 53 3 3 9 2 3" xfId="27475"/>
    <cellStyle name="Normal 53 3 3 9 2 4" xfId="27476"/>
    <cellStyle name="Normal 53 3 3 9 2 5" xfId="27477"/>
    <cellStyle name="Normal 53 3 3 9 2 6" xfId="27478"/>
    <cellStyle name="Normal 53 3 3 9 3" xfId="27479"/>
    <cellStyle name="Normal 53 3 3 9 4" xfId="27480"/>
    <cellStyle name="Normal 53 3 4" xfId="27481"/>
    <cellStyle name="Normal 53 3 4 2" xfId="27482"/>
    <cellStyle name="Normal 53 3 4 2 2" xfId="27483"/>
    <cellStyle name="Normal 53 3 4 2 3" xfId="27484"/>
    <cellStyle name="Normal 53 3 4 2 4" xfId="27485"/>
    <cellStyle name="Normal 53 3 4 2 5" xfId="27486"/>
    <cellStyle name="Normal 53 3 4 2 6" xfId="27487"/>
    <cellStyle name="Normal 53 3 4 3" xfId="27488"/>
    <cellStyle name="Normal 53 3 4 4" xfId="27489"/>
    <cellStyle name="Normal 53 3 5" xfId="27490"/>
    <cellStyle name="Normal 53 3 5 2" xfId="27491"/>
    <cellStyle name="Normal 53 3 5 2 2" xfId="27492"/>
    <cellStyle name="Normal 53 3 5 2 3" xfId="27493"/>
    <cellStyle name="Normal 53 3 5 2 4" xfId="27494"/>
    <cellStyle name="Normal 53 3 5 2 5" xfId="27495"/>
    <cellStyle name="Normal 53 3 5 2 6" xfId="27496"/>
    <cellStyle name="Normal 53 3 5 3" xfId="27497"/>
    <cellStyle name="Normal 53 3 5 4" xfId="27498"/>
    <cellStyle name="Normal 53 3 6" xfId="27499"/>
    <cellStyle name="Normal 53 3 6 2" xfId="27500"/>
    <cellStyle name="Normal 53 3 6 3" xfId="27501"/>
    <cellStyle name="Normal 53 3 6 3 2" xfId="27502"/>
    <cellStyle name="Normal 53 3 6 3 3" xfId="27503"/>
    <cellStyle name="Normal 53 3 6 3 4" xfId="27504"/>
    <cellStyle name="Normal 53 3 6 3 5" xfId="27505"/>
    <cellStyle name="Normal 53 3 6 3 6" xfId="27506"/>
    <cellStyle name="Normal 53 3 6 4" xfId="27507"/>
    <cellStyle name="Normal 53 3 6 4 2" xfId="27508"/>
    <cellStyle name="Normal 53 3 6 4 3" xfId="27509"/>
    <cellStyle name="Normal 53 3 6 4 4" xfId="27510"/>
    <cellStyle name="Normal 53 3 6 4 5" xfId="27511"/>
    <cellStyle name="Normal 53 3 6 4 6" xfId="27512"/>
    <cellStyle name="Normal 53 3 7" xfId="27513"/>
    <cellStyle name="Normal 53 3 7 2" xfId="27514"/>
    <cellStyle name="Normal 53 3 7 3" xfId="27515"/>
    <cellStyle name="Normal 53 3 7 3 2" xfId="27516"/>
    <cellStyle name="Normal 53 3 7 3 3" xfId="27517"/>
    <cellStyle name="Normal 53 3 7 3 4" xfId="27518"/>
    <cellStyle name="Normal 53 3 7 3 5" xfId="27519"/>
    <cellStyle name="Normal 53 3 7 3 6" xfId="27520"/>
    <cellStyle name="Normal 53 3 7 4" xfId="27521"/>
    <cellStyle name="Normal 53 3 7 4 2" xfId="27522"/>
    <cellStyle name="Normal 53 3 7 4 3" xfId="27523"/>
    <cellStyle name="Normal 53 3 7 4 4" xfId="27524"/>
    <cellStyle name="Normal 53 3 7 4 5" xfId="27525"/>
    <cellStyle name="Normal 53 3 7 4 6" xfId="27526"/>
    <cellStyle name="Normal 53 3 8" xfId="27527"/>
    <cellStyle name="Normal 53 3 8 2" xfId="27528"/>
    <cellStyle name="Normal 53 3 8 3" xfId="27529"/>
    <cellStyle name="Normal 53 3 8 3 2" xfId="27530"/>
    <cellStyle name="Normal 53 3 8 3 3" xfId="27531"/>
    <cellStyle name="Normal 53 3 8 3 4" xfId="27532"/>
    <cellStyle name="Normal 53 3 8 3 5" xfId="27533"/>
    <cellStyle name="Normal 53 3 8 3 6" xfId="27534"/>
    <cellStyle name="Normal 53 3 8 4" xfId="27535"/>
    <cellStyle name="Normal 53 3 8 4 2" xfId="27536"/>
    <cellStyle name="Normal 53 3 8 4 3" xfId="27537"/>
    <cellStyle name="Normal 53 3 8 4 4" xfId="27538"/>
    <cellStyle name="Normal 53 3 8 4 5" xfId="27539"/>
    <cellStyle name="Normal 53 3 8 4 6" xfId="27540"/>
    <cellStyle name="Normal 53 3 9" xfId="27541"/>
    <cellStyle name="Normal 53 3 9 2" xfId="27542"/>
    <cellStyle name="Normal 53 3 9 3" xfId="27543"/>
    <cellStyle name="Normal 53 3 9 3 2" xfId="27544"/>
    <cellStyle name="Normal 53 3 9 3 3" xfId="27545"/>
    <cellStyle name="Normal 53 3 9 3 4" xfId="27546"/>
    <cellStyle name="Normal 53 3 9 3 5" xfId="27547"/>
    <cellStyle name="Normal 53 3 9 3 6" xfId="27548"/>
    <cellStyle name="Normal 53 3 9 4" xfId="27549"/>
    <cellStyle name="Normal 53 3 9 4 2" xfId="27550"/>
    <cellStyle name="Normal 53 3 9 4 3" xfId="27551"/>
    <cellStyle name="Normal 53 3 9 4 4" xfId="27552"/>
    <cellStyle name="Normal 53 3 9 4 5" xfId="27553"/>
    <cellStyle name="Normal 53 3 9 4 6" xfId="27554"/>
    <cellStyle name="Normal 53 4" xfId="27555"/>
    <cellStyle name="Normal 53 4 2" xfId="27556"/>
    <cellStyle name="Normal 53 4 3" xfId="27557"/>
    <cellStyle name="Normal 53 4 3 2" xfId="27558"/>
    <cellStyle name="Normal 53 4 3 3" xfId="27559"/>
    <cellStyle name="Normal 53 4 3 4" xfId="27560"/>
    <cellStyle name="Normal 53 4 3 5" xfId="27561"/>
    <cellStyle name="Normal 53 4 3 6" xfId="27562"/>
    <cellStyle name="Normal 53 4 4" xfId="27563"/>
    <cellStyle name="Normal 53 4 4 2" xfId="27564"/>
    <cellStyle name="Normal 53 4 4 3" xfId="27565"/>
    <cellStyle name="Normal 53 4 4 4" xfId="27566"/>
    <cellStyle name="Normal 53 4 4 5" xfId="27567"/>
    <cellStyle name="Normal 53 4 4 6" xfId="27568"/>
    <cellStyle name="Normal 53 5" xfId="27569"/>
    <cellStyle name="Normal 53 5 2" xfId="27570"/>
    <cellStyle name="Normal 53 5 3" xfId="27571"/>
    <cellStyle name="Normal 53 5 3 2" xfId="27572"/>
    <cellStyle name="Normal 53 5 3 3" xfId="27573"/>
    <cellStyle name="Normal 53 5 3 4" xfId="27574"/>
    <cellStyle name="Normal 53 5 3 5" xfId="27575"/>
    <cellStyle name="Normal 53 5 3 6" xfId="27576"/>
    <cellStyle name="Normal 53 5 4" xfId="27577"/>
    <cellStyle name="Normal 53 5 4 2" xfId="27578"/>
    <cellStyle name="Normal 53 5 4 3" xfId="27579"/>
    <cellStyle name="Normal 53 5 4 4" xfId="27580"/>
    <cellStyle name="Normal 53 5 4 5" xfId="27581"/>
    <cellStyle name="Normal 53 5 4 6" xfId="27582"/>
    <cellStyle name="Normal 53 6" xfId="27583"/>
    <cellStyle name="Normal 53 6 2" xfId="27584"/>
    <cellStyle name="Normal 53 6 3" xfId="27585"/>
    <cellStyle name="Normal 53 6 3 2" xfId="27586"/>
    <cellStyle name="Normal 53 6 3 3" xfId="27587"/>
    <cellStyle name="Normal 53 6 3 4" xfId="27588"/>
    <cellStyle name="Normal 53 6 3 5" xfId="27589"/>
    <cellStyle name="Normal 53 6 3 6" xfId="27590"/>
    <cellStyle name="Normal 53 6 4" xfId="27591"/>
    <cellStyle name="Normal 53 6 4 2" xfId="27592"/>
    <cellStyle name="Normal 53 6 4 3" xfId="27593"/>
    <cellStyle name="Normal 53 6 4 4" xfId="27594"/>
    <cellStyle name="Normal 53 6 4 5" xfId="27595"/>
    <cellStyle name="Normal 53 6 4 6" xfId="27596"/>
    <cellStyle name="Normal 53 7" xfId="27597"/>
    <cellStyle name="Normal 53 8" xfId="27598"/>
    <cellStyle name="Normal 53 8 2" xfId="27599"/>
    <cellStyle name="Normal 53 8 3" xfId="27600"/>
    <cellStyle name="Normal 53 8 4" xfId="27601"/>
    <cellStyle name="Normal 53 8 5" xfId="27602"/>
    <cellStyle name="Normal 53 8 6" xfId="27603"/>
    <cellStyle name="Normal 53 9" xfId="27604"/>
    <cellStyle name="Normal 53 9 2" xfId="27605"/>
    <cellStyle name="Normal 53 9 3" xfId="27606"/>
    <cellStyle name="Normal 53 9 4" xfId="27607"/>
    <cellStyle name="Normal 53 9 5" xfId="27608"/>
    <cellStyle name="Normal 53 9 6" xfId="27609"/>
    <cellStyle name="Normal 54" xfId="27610"/>
    <cellStyle name="Normal 54 10" xfId="27611"/>
    <cellStyle name="Normal 54 10 2" xfId="27612"/>
    <cellStyle name="Normal 54 10 3" xfId="27613"/>
    <cellStyle name="Normal 54 10 4" xfId="27614"/>
    <cellStyle name="Normal 54 10 5" xfId="27615"/>
    <cellStyle name="Normal 54 10 6" xfId="27616"/>
    <cellStyle name="Normal 54 2" xfId="27617"/>
    <cellStyle name="Normal 54 2 2" xfId="27618"/>
    <cellStyle name="Normal 54 2 2 2" xfId="27619"/>
    <cellStyle name="Normal 54 2 2 2 2" xfId="27620"/>
    <cellStyle name="Normal 54 2 2 2 2 2" xfId="27621"/>
    <cellStyle name="Normal 54 2 2 2 2 3" xfId="27622"/>
    <cellStyle name="Normal 54 2 2 2 2 4" xfId="27623"/>
    <cellStyle name="Normal 54 2 2 2 2 5" xfId="27624"/>
    <cellStyle name="Normal 54 2 2 2 2 6" xfId="27625"/>
    <cellStyle name="Normal 54 2 2 2 3" xfId="27626"/>
    <cellStyle name="Normal 54 2 2 2 4" xfId="27627"/>
    <cellStyle name="Normal 54 2 2 3" xfId="27628"/>
    <cellStyle name="Normal 54 2 2 4" xfId="27629"/>
    <cellStyle name="Normal 54 2 2 4 2" xfId="27630"/>
    <cellStyle name="Normal 54 2 2 4 3" xfId="27631"/>
    <cellStyle name="Normal 54 2 2 4 4" xfId="27632"/>
    <cellStyle name="Normal 54 2 2 4 5" xfId="27633"/>
    <cellStyle name="Normal 54 2 2 4 6" xfId="27634"/>
    <cellStyle name="Normal 54 2 2 5" xfId="27635"/>
    <cellStyle name="Normal 54 2 2 5 2" xfId="27636"/>
    <cellStyle name="Normal 54 2 2 5 3" xfId="27637"/>
    <cellStyle name="Normal 54 2 2 5 4" xfId="27638"/>
    <cellStyle name="Normal 54 2 2 5 5" xfId="27639"/>
    <cellStyle name="Normal 54 2 2 5 6" xfId="27640"/>
    <cellStyle name="Normal 54 2 3" xfId="27641"/>
    <cellStyle name="Normal 54 2 3 2" xfId="27642"/>
    <cellStyle name="Normal 54 2 3 2 2" xfId="27643"/>
    <cellStyle name="Normal 54 2 3 2 3" xfId="27644"/>
    <cellStyle name="Normal 54 2 3 2 4" xfId="27645"/>
    <cellStyle name="Normal 54 2 3 2 5" xfId="27646"/>
    <cellStyle name="Normal 54 2 3 2 6" xfId="27647"/>
    <cellStyle name="Normal 54 2 3 3" xfId="27648"/>
    <cellStyle name="Normal 54 2 3 4" xfId="27649"/>
    <cellStyle name="Normal 54 2 4" xfId="27650"/>
    <cellStyle name="Normal 54 2 4 2" xfId="27651"/>
    <cellStyle name="Normal 54 2 4 3" xfId="27652"/>
    <cellStyle name="Normal 54 2 4 4" xfId="27653"/>
    <cellStyle name="Normal 54 2 4 5" xfId="27654"/>
    <cellStyle name="Normal 54 2 4 6" xfId="27655"/>
    <cellStyle name="Normal 54 2 5" xfId="27656"/>
    <cellStyle name="Normal 54 2 6" xfId="27657"/>
    <cellStyle name="Normal 54 3" xfId="27658"/>
    <cellStyle name="Normal 54 3 10" xfId="27659"/>
    <cellStyle name="Normal 54 3 10 2" xfId="27660"/>
    <cellStyle name="Normal 54 3 10 3" xfId="27661"/>
    <cellStyle name="Normal 54 3 10 3 2" xfId="27662"/>
    <cellStyle name="Normal 54 3 10 3 3" xfId="27663"/>
    <cellStyle name="Normal 54 3 10 3 4" xfId="27664"/>
    <cellStyle name="Normal 54 3 10 3 5" xfId="27665"/>
    <cellStyle name="Normal 54 3 10 3 6" xfId="27666"/>
    <cellStyle name="Normal 54 3 10 4" xfId="27667"/>
    <cellStyle name="Normal 54 3 10 4 2" xfId="27668"/>
    <cellStyle name="Normal 54 3 10 4 3" xfId="27669"/>
    <cellStyle name="Normal 54 3 10 4 4" xfId="27670"/>
    <cellStyle name="Normal 54 3 10 4 5" xfId="27671"/>
    <cellStyle name="Normal 54 3 10 4 6" xfId="27672"/>
    <cellStyle name="Normal 54 3 11" xfId="27673"/>
    <cellStyle name="Normal 54 3 11 2" xfId="27674"/>
    <cellStyle name="Normal 54 3 11 3" xfId="27675"/>
    <cellStyle name="Normal 54 3 11 3 2" xfId="27676"/>
    <cellStyle name="Normal 54 3 11 3 3" xfId="27677"/>
    <cellStyle name="Normal 54 3 11 3 4" xfId="27678"/>
    <cellStyle name="Normal 54 3 11 3 5" xfId="27679"/>
    <cellStyle name="Normal 54 3 11 3 6" xfId="27680"/>
    <cellStyle name="Normal 54 3 11 4" xfId="27681"/>
    <cellStyle name="Normal 54 3 11 4 2" xfId="27682"/>
    <cellStyle name="Normal 54 3 11 4 3" xfId="27683"/>
    <cellStyle name="Normal 54 3 11 4 4" xfId="27684"/>
    <cellStyle name="Normal 54 3 11 4 5" xfId="27685"/>
    <cellStyle name="Normal 54 3 11 4 6" xfId="27686"/>
    <cellStyle name="Normal 54 3 12" xfId="27687"/>
    <cellStyle name="Normal 54 3 12 2" xfId="27688"/>
    <cellStyle name="Normal 54 3 12 3" xfId="27689"/>
    <cellStyle name="Normal 54 3 12 3 2" xfId="27690"/>
    <cellStyle name="Normal 54 3 12 3 3" xfId="27691"/>
    <cellStyle name="Normal 54 3 12 3 4" xfId="27692"/>
    <cellStyle name="Normal 54 3 12 3 5" xfId="27693"/>
    <cellStyle name="Normal 54 3 12 3 6" xfId="27694"/>
    <cellStyle name="Normal 54 3 12 4" xfId="27695"/>
    <cellStyle name="Normal 54 3 12 4 2" xfId="27696"/>
    <cellStyle name="Normal 54 3 12 4 3" xfId="27697"/>
    <cellStyle name="Normal 54 3 12 4 4" xfId="27698"/>
    <cellStyle name="Normal 54 3 12 4 5" xfId="27699"/>
    <cellStyle name="Normal 54 3 12 4 6" xfId="27700"/>
    <cellStyle name="Normal 54 3 13" xfId="27701"/>
    <cellStyle name="Normal 54 3 13 2" xfId="27702"/>
    <cellStyle name="Normal 54 3 13 3" xfId="27703"/>
    <cellStyle name="Normal 54 3 13 3 2" xfId="27704"/>
    <cellStyle name="Normal 54 3 13 3 3" xfId="27705"/>
    <cellStyle name="Normal 54 3 13 3 4" xfId="27706"/>
    <cellStyle name="Normal 54 3 13 3 5" xfId="27707"/>
    <cellStyle name="Normal 54 3 13 3 6" xfId="27708"/>
    <cellStyle name="Normal 54 3 13 4" xfId="27709"/>
    <cellStyle name="Normal 54 3 13 4 2" xfId="27710"/>
    <cellStyle name="Normal 54 3 13 4 3" xfId="27711"/>
    <cellStyle name="Normal 54 3 13 4 4" xfId="27712"/>
    <cellStyle name="Normal 54 3 13 4 5" xfId="27713"/>
    <cellStyle name="Normal 54 3 13 4 6" xfId="27714"/>
    <cellStyle name="Normal 54 3 14" xfId="27715"/>
    <cellStyle name="Normal 54 3 14 2" xfId="27716"/>
    <cellStyle name="Normal 54 3 14 3" xfId="27717"/>
    <cellStyle name="Normal 54 3 14 3 2" xfId="27718"/>
    <cellStyle name="Normal 54 3 14 3 3" xfId="27719"/>
    <cellStyle name="Normal 54 3 14 3 4" xfId="27720"/>
    <cellStyle name="Normal 54 3 14 3 5" xfId="27721"/>
    <cellStyle name="Normal 54 3 14 3 6" xfId="27722"/>
    <cellStyle name="Normal 54 3 14 4" xfId="27723"/>
    <cellStyle name="Normal 54 3 14 4 2" xfId="27724"/>
    <cellStyle name="Normal 54 3 14 4 3" xfId="27725"/>
    <cellStyle name="Normal 54 3 14 4 4" xfId="27726"/>
    <cellStyle name="Normal 54 3 14 4 5" xfId="27727"/>
    <cellStyle name="Normal 54 3 14 4 6" xfId="27728"/>
    <cellStyle name="Normal 54 3 15" xfId="27729"/>
    <cellStyle name="Normal 54 3 15 2" xfId="27730"/>
    <cellStyle name="Normal 54 3 15 3" xfId="27731"/>
    <cellStyle name="Normal 54 3 15 3 2" xfId="27732"/>
    <cellStyle name="Normal 54 3 15 3 3" xfId="27733"/>
    <cellStyle name="Normal 54 3 15 3 4" xfId="27734"/>
    <cellStyle name="Normal 54 3 15 3 5" xfId="27735"/>
    <cellStyle name="Normal 54 3 15 3 6" xfId="27736"/>
    <cellStyle name="Normal 54 3 15 4" xfId="27737"/>
    <cellStyle name="Normal 54 3 15 4 2" xfId="27738"/>
    <cellStyle name="Normal 54 3 15 4 3" xfId="27739"/>
    <cellStyle name="Normal 54 3 15 4 4" xfId="27740"/>
    <cellStyle name="Normal 54 3 15 4 5" xfId="27741"/>
    <cellStyle name="Normal 54 3 15 4 6" xfId="27742"/>
    <cellStyle name="Normal 54 3 16" xfId="27743"/>
    <cellStyle name="Normal 54 3 16 2" xfId="27744"/>
    <cellStyle name="Normal 54 3 16 3" xfId="27745"/>
    <cellStyle name="Normal 54 3 16 3 2" xfId="27746"/>
    <cellStyle name="Normal 54 3 16 3 3" xfId="27747"/>
    <cellStyle name="Normal 54 3 16 3 4" xfId="27748"/>
    <cellStyle name="Normal 54 3 16 3 5" xfId="27749"/>
    <cellStyle name="Normal 54 3 16 3 6" xfId="27750"/>
    <cellStyle name="Normal 54 3 16 4" xfId="27751"/>
    <cellStyle name="Normal 54 3 16 4 2" xfId="27752"/>
    <cellStyle name="Normal 54 3 16 4 3" xfId="27753"/>
    <cellStyle name="Normal 54 3 16 4 4" xfId="27754"/>
    <cellStyle name="Normal 54 3 16 4 5" xfId="27755"/>
    <cellStyle name="Normal 54 3 16 4 6" xfId="27756"/>
    <cellStyle name="Normal 54 3 17" xfId="27757"/>
    <cellStyle name="Normal 54 3 17 2" xfId="27758"/>
    <cellStyle name="Normal 54 3 17 3" xfId="27759"/>
    <cellStyle name="Normal 54 3 17 3 2" xfId="27760"/>
    <cellStyle name="Normal 54 3 17 3 3" xfId="27761"/>
    <cellStyle name="Normal 54 3 17 3 4" xfId="27762"/>
    <cellStyle name="Normal 54 3 17 3 5" xfId="27763"/>
    <cellStyle name="Normal 54 3 17 3 6" xfId="27764"/>
    <cellStyle name="Normal 54 3 17 4" xfId="27765"/>
    <cellStyle name="Normal 54 3 17 4 2" xfId="27766"/>
    <cellStyle name="Normal 54 3 17 4 3" xfId="27767"/>
    <cellStyle name="Normal 54 3 17 4 4" xfId="27768"/>
    <cellStyle name="Normal 54 3 17 4 5" xfId="27769"/>
    <cellStyle name="Normal 54 3 17 4 6" xfId="27770"/>
    <cellStyle name="Normal 54 3 18" xfId="27771"/>
    <cellStyle name="Normal 54 3 18 2" xfId="27772"/>
    <cellStyle name="Normal 54 3 18 3" xfId="27773"/>
    <cellStyle name="Normal 54 3 18 3 2" xfId="27774"/>
    <cellStyle name="Normal 54 3 18 3 3" xfId="27775"/>
    <cellStyle name="Normal 54 3 18 3 4" xfId="27776"/>
    <cellStyle name="Normal 54 3 18 3 5" xfId="27777"/>
    <cellStyle name="Normal 54 3 18 3 6" xfId="27778"/>
    <cellStyle name="Normal 54 3 18 4" xfId="27779"/>
    <cellStyle name="Normal 54 3 18 4 2" xfId="27780"/>
    <cellStyle name="Normal 54 3 18 4 3" xfId="27781"/>
    <cellStyle name="Normal 54 3 18 4 4" xfId="27782"/>
    <cellStyle name="Normal 54 3 18 4 5" xfId="27783"/>
    <cellStyle name="Normal 54 3 18 4 6" xfId="27784"/>
    <cellStyle name="Normal 54 3 19" xfId="27785"/>
    <cellStyle name="Normal 54 3 19 2" xfId="27786"/>
    <cellStyle name="Normal 54 3 19 3" xfId="27787"/>
    <cellStyle name="Normal 54 3 19 3 2" xfId="27788"/>
    <cellStyle name="Normal 54 3 19 3 3" xfId="27789"/>
    <cellStyle name="Normal 54 3 19 3 4" xfId="27790"/>
    <cellStyle name="Normal 54 3 19 3 5" xfId="27791"/>
    <cellStyle name="Normal 54 3 19 3 6" xfId="27792"/>
    <cellStyle name="Normal 54 3 19 4" xfId="27793"/>
    <cellStyle name="Normal 54 3 19 4 2" xfId="27794"/>
    <cellStyle name="Normal 54 3 19 4 3" xfId="27795"/>
    <cellStyle name="Normal 54 3 19 4 4" xfId="27796"/>
    <cellStyle name="Normal 54 3 19 4 5" xfId="27797"/>
    <cellStyle name="Normal 54 3 19 4 6" xfId="27798"/>
    <cellStyle name="Normal 54 3 2" xfId="27799"/>
    <cellStyle name="Normal 54 3 2 10" xfId="27800"/>
    <cellStyle name="Normal 54 3 2 10 2" xfId="27801"/>
    <cellStyle name="Normal 54 3 2 10 2 2" xfId="27802"/>
    <cellStyle name="Normal 54 3 2 10 2 3" xfId="27803"/>
    <cellStyle name="Normal 54 3 2 10 2 4" xfId="27804"/>
    <cellStyle name="Normal 54 3 2 10 2 5" xfId="27805"/>
    <cellStyle name="Normal 54 3 2 10 2 6" xfId="27806"/>
    <cellStyle name="Normal 54 3 2 10 3" xfId="27807"/>
    <cellStyle name="Normal 54 3 2 10 4" xfId="27808"/>
    <cellStyle name="Normal 54 3 2 11" xfId="27809"/>
    <cellStyle name="Normal 54 3 2 11 2" xfId="27810"/>
    <cellStyle name="Normal 54 3 2 11 2 2" xfId="27811"/>
    <cellStyle name="Normal 54 3 2 11 2 3" xfId="27812"/>
    <cellStyle name="Normal 54 3 2 11 2 4" xfId="27813"/>
    <cellStyle name="Normal 54 3 2 11 2 5" xfId="27814"/>
    <cellStyle name="Normal 54 3 2 11 2 6" xfId="27815"/>
    <cellStyle name="Normal 54 3 2 11 3" xfId="27816"/>
    <cellStyle name="Normal 54 3 2 11 4" xfId="27817"/>
    <cellStyle name="Normal 54 3 2 12" xfId="27818"/>
    <cellStyle name="Normal 54 3 2 12 2" xfId="27819"/>
    <cellStyle name="Normal 54 3 2 12 2 2" xfId="27820"/>
    <cellStyle name="Normal 54 3 2 12 2 3" xfId="27821"/>
    <cellStyle name="Normal 54 3 2 12 2 4" xfId="27822"/>
    <cellStyle name="Normal 54 3 2 12 2 5" xfId="27823"/>
    <cellStyle name="Normal 54 3 2 12 2 6" xfId="27824"/>
    <cellStyle name="Normal 54 3 2 12 3" xfId="27825"/>
    <cellStyle name="Normal 54 3 2 12 4" xfId="27826"/>
    <cellStyle name="Normal 54 3 2 13" xfId="27827"/>
    <cellStyle name="Normal 54 3 2 13 2" xfId="27828"/>
    <cellStyle name="Normal 54 3 2 13 2 2" xfId="27829"/>
    <cellStyle name="Normal 54 3 2 13 2 3" xfId="27830"/>
    <cellStyle name="Normal 54 3 2 13 2 4" xfId="27831"/>
    <cellStyle name="Normal 54 3 2 13 2 5" xfId="27832"/>
    <cellStyle name="Normal 54 3 2 13 2 6" xfId="27833"/>
    <cellStyle name="Normal 54 3 2 13 3" xfId="27834"/>
    <cellStyle name="Normal 54 3 2 13 4" xfId="27835"/>
    <cellStyle name="Normal 54 3 2 14" xfId="27836"/>
    <cellStyle name="Normal 54 3 2 14 2" xfId="27837"/>
    <cellStyle name="Normal 54 3 2 14 2 2" xfId="27838"/>
    <cellStyle name="Normal 54 3 2 14 2 3" xfId="27839"/>
    <cellStyle name="Normal 54 3 2 14 2 4" xfId="27840"/>
    <cellStyle name="Normal 54 3 2 14 2 5" xfId="27841"/>
    <cellStyle name="Normal 54 3 2 14 2 6" xfId="27842"/>
    <cellStyle name="Normal 54 3 2 14 3" xfId="27843"/>
    <cellStyle name="Normal 54 3 2 14 4" xfId="27844"/>
    <cellStyle name="Normal 54 3 2 15" xfId="27845"/>
    <cellStyle name="Normal 54 3 2 15 2" xfId="27846"/>
    <cellStyle name="Normal 54 3 2 15 2 2" xfId="27847"/>
    <cellStyle name="Normal 54 3 2 15 2 3" xfId="27848"/>
    <cellStyle name="Normal 54 3 2 15 2 4" xfId="27849"/>
    <cellStyle name="Normal 54 3 2 15 2 5" xfId="27850"/>
    <cellStyle name="Normal 54 3 2 15 2 6" xfId="27851"/>
    <cellStyle name="Normal 54 3 2 15 3" xfId="27852"/>
    <cellStyle name="Normal 54 3 2 15 4" xfId="27853"/>
    <cellStyle name="Normal 54 3 2 16" xfId="27854"/>
    <cellStyle name="Normal 54 3 2 16 2" xfId="27855"/>
    <cellStyle name="Normal 54 3 2 16 2 2" xfId="27856"/>
    <cellStyle name="Normal 54 3 2 16 2 3" xfId="27857"/>
    <cellStyle name="Normal 54 3 2 16 2 4" xfId="27858"/>
    <cellStyle name="Normal 54 3 2 16 2 5" xfId="27859"/>
    <cellStyle name="Normal 54 3 2 16 2 6" xfId="27860"/>
    <cellStyle name="Normal 54 3 2 16 3" xfId="27861"/>
    <cellStyle name="Normal 54 3 2 16 4" xfId="27862"/>
    <cellStyle name="Normal 54 3 2 17" xfId="27863"/>
    <cellStyle name="Normal 54 3 2 17 2" xfId="27864"/>
    <cellStyle name="Normal 54 3 2 17 2 2" xfId="27865"/>
    <cellStyle name="Normal 54 3 2 17 2 3" xfId="27866"/>
    <cellStyle name="Normal 54 3 2 17 2 4" xfId="27867"/>
    <cellStyle name="Normal 54 3 2 17 2 5" xfId="27868"/>
    <cellStyle name="Normal 54 3 2 17 2 6" xfId="27869"/>
    <cellStyle name="Normal 54 3 2 17 3" xfId="27870"/>
    <cellStyle name="Normal 54 3 2 17 4" xfId="27871"/>
    <cellStyle name="Normal 54 3 2 18" xfId="27872"/>
    <cellStyle name="Normal 54 3 2 18 2" xfId="27873"/>
    <cellStyle name="Normal 54 3 2 18 2 2" xfId="27874"/>
    <cellStyle name="Normal 54 3 2 18 2 3" xfId="27875"/>
    <cellStyle name="Normal 54 3 2 18 2 4" xfId="27876"/>
    <cellStyle name="Normal 54 3 2 18 2 5" xfId="27877"/>
    <cellStyle name="Normal 54 3 2 18 2 6" xfId="27878"/>
    <cellStyle name="Normal 54 3 2 18 3" xfId="27879"/>
    <cellStyle name="Normal 54 3 2 18 4" xfId="27880"/>
    <cellStyle name="Normal 54 3 2 19" xfId="27881"/>
    <cellStyle name="Normal 54 3 2 19 2" xfId="27882"/>
    <cellStyle name="Normal 54 3 2 19 2 2" xfId="27883"/>
    <cellStyle name="Normal 54 3 2 19 2 3" xfId="27884"/>
    <cellStyle name="Normal 54 3 2 19 2 4" xfId="27885"/>
    <cellStyle name="Normal 54 3 2 19 2 5" xfId="27886"/>
    <cellStyle name="Normal 54 3 2 19 2 6" xfId="27887"/>
    <cellStyle name="Normal 54 3 2 19 3" xfId="27888"/>
    <cellStyle name="Normal 54 3 2 19 4" xfId="27889"/>
    <cellStyle name="Normal 54 3 2 2" xfId="27890"/>
    <cellStyle name="Normal 54 3 2 2 10" xfId="27891"/>
    <cellStyle name="Normal 54 3 2 2 10 2" xfId="27892"/>
    <cellStyle name="Normal 54 3 2 2 10 3" xfId="27893"/>
    <cellStyle name="Normal 54 3 2 2 10 3 2" xfId="27894"/>
    <cellStyle name="Normal 54 3 2 2 10 3 3" xfId="27895"/>
    <cellStyle name="Normal 54 3 2 2 10 3 4" xfId="27896"/>
    <cellStyle name="Normal 54 3 2 2 10 3 5" xfId="27897"/>
    <cellStyle name="Normal 54 3 2 2 10 3 6" xfId="27898"/>
    <cellStyle name="Normal 54 3 2 2 10 4" xfId="27899"/>
    <cellStyle name="Normal 54 3 2 2 10 4 2" xfId="27900"/>
    <cellStyle name="Normal 54 3 2 2 10 4 3" xfId="27901"/>
    <cellStyle name="Normal 54 3 2 2 10 4 4" xfId="27902"/>
    <cellStyle name="Normal 54 3 2 2 10 4 5" xfId="27903"/>
    <cellStyle name="Normal 54 3 2 2 10 4 6" xfId="27904"/>
    <cellStyle name="Normal 54 3 2 2 11" xfId="27905"/>
    <cellStyle name="Normal 54 3 2 2 11 2" xfId="27906"/>
    <cellStyle name="Normal 54 3 2 2 11 3" xfId="27907"/>
    <cellStyle name="Normal 54 3 2 2 11 3 2" xfId="27908"/>
    <cellStyle name="Normal 54 3 2 2 11 3 3" xfId="27909"/>
    <cellStyle name="Normal 54 3 2 2 11 3 4" xfId="27910"/>
    <cellStyle name="Normal 54 3 2 2 11 3 5" xfId="27911"/>
    <cellStyle name="Normal 54 3 2 2 11 3 6" xfId="27912"/>
    <cellStyle name="Normal 54 3 2 2 11 4" xfId="27913"/>
    <cellStyle name="Normal 54 3 2 2 11 4 2" xfId="27914"/>
    <cellStyle name="Normal 54 3 2 2 11 4 3" xfId="27915"/>
    <cellStyle name="Normal 54 3 2 2 11 4 4" xfId="27916"/>
    <cellStyle name="Normal 54 3 2 2 11 4 5" xfId="27917"/>
    <cellStyle name="Normal 54 3 2 2 11 4 6" xfId="27918"/>
    <cellStyle name="Normal 54 3 2 2 12" xfId="27919"/>
    <cellStyle name="Normal 54 3 2 2 12 2" xfId="27920"/>
    <cellStyle name="Normal 54 3 2 2 12 3" xfId="27921"/>
    <cellStyle name="Normal 54 3 2 2 12 3 2" xfId="27922"/>
    <cellStyle name="Normal 54 3 2 2 12 3 3" xfId="27923"/>
    <cellStyle name="Normal 54 3 2 2 12 3 4" xfId="27924"/>
    <cellStyle name="Normal 54 3 2 2 12 3 5" xfId="27925"/>
    <cellStyle name="Normal 54 3 2 2 12 3 6" xfId="27926"/>
    <cellStyle name="Normal 54 3 2 2 12 4" xfId="27927"/>
    <cellStyle name="Normal 54 3 2 2 12 4 2" xfId="27928"/>
    <cellStyle name="Normal 54 3 2 2 12 4 3" xfId="27929"/>
    <cellStyle name="Normal 54 3 2 2 12 4 4" xfId="27930"/>
    <cellStyle name="Normal 54 3 2 2 12 4 5" xfId="27931"/>
    <cellStyle name="Normal 54 3 2 2 12 4 6" xfId="27932"/>
    <cellStyle name="Normal 54 3 2 2 13" xfId="27933"/>
    <cellStyle name="Normal 54 3 2 2 13 2" xfId="27934"/>
    <cellStyle name="Normal 54 3 2 2 13 3" xfId="27935"/>
    <cellStyle name="Normal 54 3 2 2 13 3 2" xfId="27936"/>
    <cellStyle name="Normal 54 3 2 2 13 3 3" xfId="27937"/>
    <cellStyle name="Normal 54 3 2 2 13 3 4" xfId="27938"/>
    <cellStyle name="Normal 54 3 2 2 13 3 5" xfId="27939"/>
    <cellStyle name="Normal 54 3 2 2 13 3 6" xfId="27940"/>
    <cellStyle name="Normal 54 3 2 2 13 4" xfId="27941"/>
    <cellStyle name="Normal 54 3 2 2 13 4 2" xfId="27942"/>
    <cellStyle name="Normal 54 3 2 2 13 4 3" xfId="27943"/>
    <cellStyle name="Normal 54 3 2 2 13 4 4" xfId="27944"/>
    <cellStyle name="Normal 54 3 2 2 13 4 5" xfId="27945"/>
    <cellStyle name="Normal 54 3 2 2 13 4 6" xfId="27946"/>
    <cellStyle name="Normal 54 3 2 2 14" xfId="27947"/>
    <cellStyle name="Normal 54 3 2 2 14 2" xfId="27948"/>
    <cellStyle name="Normal 54 3 2 2 14 3" xfId="27949"/>
    <cellStyle name="Normal 54 3 2 2 14 3 2" xfId="27950"/>
    <cellStyle name="Normal 54 3 2 2 14 3 3" xfId="27951"/>
    <cellStyle name="Normal 54 3 2 2 14 3 4" xfId="27952"/>
    <cellStyle name="Normal 54 3 2 2 14 3 5" xfId="27953"/>
    <cellStyle name="Normal 54 3 2 2 14 3 6" xfId="27954"/>
    <cellStyle name="Normal 54 3 2 2 14 4" xfId="27955"/>
    <cellStyle name="Normal 54 3 2 2 14 4 2" xfId="27956"/>
    <cellStyle name="Normal 54 3 2 2 14 4 3" xfId="27957"/>
    <cellStyle name="Normal 54 3 2 2 14 4 4" xfId="27958"/>
    <cellStyle name="Normal 54 3 2 2 14 4 5" xfId="27959"/>
    <cellStyle name="Normal 54 3 2 2 14 4 6" xfId="27960"/>
    <cellStyle name="Normal 54 3 2 2 15" xfId="27961"/>
    <cellStyle name="Normal 54 3 2 2 15 2" xfId="27962"/>
    <cellStyle name="Normal 54 3 2 2 15 3" xfId="27963"/>
    <cellStyle name="Normal 54 3 2 2 15 3 2" xfId="27964"/>
    <cellStyle name="Normal 54 3 2 2 15 3 3" xfId="27965"/>
    <cellStyle name="Normal 54 3 2 2 15 3 4" xfId="27966"/>
    <cellStyle name="Normal 54 3 2 2 15 3 5" xfId="27967"/>
    <cellStyle name="Normal 54 3 2 2 15 3 6" xfId="27968"/>
    <cellStyle name="Normal 54 3 2 2 15 4" xfId="27969"/>
    <cellStyle name="Normal 54 3 2 2 15 4 2" xfId="27970"/>
    <cellStyle name="Normal 54 3 2 2 15 4 3" xfId="27971"/>
    <cellStyle name="Normal 54 3 2 2 15 4 4" xfId="27972"/>
    <cellStyle name="Normal 54 3 2 2 15 4 5" xfId="27973"/>
    <cellStyle name="Normal 54 3 2 2 15 4 6" xfId="27974"/>
    <cellStyle name="Normal 54 3 2 2 16" xfId="27975"/>
    <cellStyle name="Normal 54 3 2 2 16 2" xfId="27976"/>
    <cellStyle name="Normal 54 3 2 2 16 3" xfId="27977"/>
    <cellStyle name="Normal 54 3 2 2 16 3 2" xfId="27978"/>
    <cellStyle name="Normal 54 3 2 2 16 3 3" xfId="27979"/>
    <cellStyle name="Normal 54 3 2 2 16 3 4" xfId="27980"/>
    <cellStyle name="Normal 54 3 2 2 16 3 5" xfId="27981"/>
    <cellStyle name="Normal 54 3 2 2 16 3 6" xfId="27982"/>
    <cellStyle name="Normal 54 3 2 2 16 4" xfId="27983"/>
    <cellStyle name="Normal 54 3 2 2 16 4 2" xfId="27984"/>
    <cellStyle name="Normal 54 3 2 2 16 4 3" xfId="27985"/>
    <cellStyle name="Normal 54 3 2 2 16 4 4" xfId="27986"/>
    <cellStyle name="Normal 54 3 2 2 16 4 5" xfId="27987"/>
    <cellStyle name="Normal 54 3 2 2 16 4 6" xfId="27988"/>
    <cellStyle name="Normal 54 3 2 2 17" xfId="27989"/>
    <cellStyle name="Normal 54 3 2 2 17 2" xfId="27990"/>
    <cellStyle name="Normal 54 3 2 2 17 3" xfId="27991"/>
    <cellStyle name="Normal 54 3 2 2 17 4" xfId="27992"/>
    <cellStyle name="Normal 54 3 2 2 17 5" xfId="27993"/>
    <cellStyle name="Normal 54 3 2 2 17 6" xfId="27994"/>
    <cellStyle name="Normal 54 3 2 2 18" xfId="27995"/>
    <cellStyle name="Normal 54 3 2 2 19" xfId="27996"/>
    <cellStyle name="Normal 54 3 2 2 2" xfId="27997"/>
    <cellStyle name="Normal 54 3 2 2 2 2" xfId="27998"/>
    <cellStyle name="Normal 54 3 2 2 2 3" xfId="27999"/>
    <cellStyle name="Normal 54 3 2 2 2 3 2" xfId="28000"/>
    <cellStyle name="Normal 54 3 2 2 2 3 3" xfId="28001"/>
    <cellStyle name="Normal 54 3 2 2 2 3 4" xfId="28002"/>
    <cellStyle name="Normal 54 3 2 2 2 3 5" xfId="28003"/>
    <cellStyle name="Normal 54 3 2 2 2 3 6" xfId="28004"/>
    <cellStyle name="Normal 54 3 2 2 2 4" xfId="28005"/>
    <cellStyle name="Normal 54 3 2 2 2 4 2" xfId="28006"/>
    <cellStyle name="Normal 54 3 2 2 2 4 3" xfId="28007"/>
    <cellStyle name="Normal 54 3 2 2 2 4 4" xfId="28008"/>
    <cellStyle name="Normal 54 3 2 2 2 4 5" xfId="28009"/>
    <cellStyle name="Normal 54 3 2 2 2 4 6" xfId="28010"/>
    <cellStyle name="Normal 54 3 2 2 3" xfId="28011"/>
    <cellStyle name="Normal 54 3 2 2 3 2" xfId="28012"/>
    <cellStyle name="Normal 54 3 2 2 3 3" xfId="28013"/>
    <cellStyle name="Normal 54 3 2 2 3 3 2" xfId="28014"/>
    <cellStyle name="Normal 54 3 2 2 3 3 3" xfId="28015"/>
    <cellStyle name="Normal 54 3 2 2 3 3 4" xfId="28016"/>
    <cellStyle name="Normal 54 3 2 2 3 3 5" xfId="28017"/>
    <cellStyle name="Normal 54 3 2 2 3 3 6" xfId="28018"/>
    <cellStyle name="Normal 54 3 2 2 3 4" xfId="28019"/>
    <cellStyle name="Normal 54 3 2 2 3 4 2" xfId="28020"/>
    <cellStyle name="Normal 54 3 2 2 3 4 3" xfId="28021"/>
    <cellStyle name="Normal 54 3 2 2 3 4 4" xfId="28022"/>
    <cellStyle name="Normal 54 3 2 2 3 4 5" xfId="28023"/>
    <cellStyle name="Normal 54 3 2 2 3 4 6" xfId="28024"/>
    <cellStyle name="Normal 54 3 2 2 4" xfId="28025"/>
    <cellStyle name="Normal 54 3 2 2 4 2" xfId="28026"/>
    <cellStyle name="Normal 54 3 2 2 4 3" xfId="28027"/>
    <cellStyle name="Normal 54 3 2 2 4 3 2" xfId="28028"/>
    <cellStyle name="Normal 54 3 2 2 4 3 3" xfId="28029"/>
    <cellStyle name="Normal 54 3 2 2 4 3 4" xfId="28030"/>
    <cellStyle name="Normal 54 3 2 2 4 3 5" xfId="28031"/>
    <cellStyle name="Normal 54 3 2 2 4 3 6" xfId="28032"/>
    <cellStyle name="Normal 54 3 2 2 4 4" xfId="28033"/>
    <cellStyle name="Normal 54 3 2 2 4 4 2" xfId="28034"/>
    <cellStyle name="Normal 54 3 2 2 4 4 3" xfId="28035"/>
    <cellStyle name="Normal 54 3 2 2 4 4 4" xfId="28036"/>
    <cellStyle name="Normal 54 3 2 2 4 4 5" xfId="28037"/>
    <cellStyle name="Normal 54 3 2 2 4 4 6" xfId="28038"/>
    <cellStyle name="Normal 54 3 2 2 5" xfId="28039"/>
    <cellStyle name="Normal 54 3 2 2 5 2" xfId="28040"/>
    <cellStyle name="Normal 54 3 2 2 5 3" xfId="28041"/>
    <cellStyle name="Normal 54 3 2 2 5 3 2" xfId="28042"/>
    <cellStyle name="Normal 54 3 2 2 5 3 3" xfId="28043"/>
    <cellStyle name="Normal 54 3 2 2 5 3 4" xfId="28044"/>
    <cellStyle name="Normal 54 3 2 2 5 3 5" xfId="28045"/>
    <cellStyle name="Normal 54 3 2 2 5 3 6" xfId="28046"/>
    <cellStyle name="Normal 54 3 2 2 5 4" xfId="28047"/>
    <cellStyle name="Normal 54 3 2 2 5 4 2" xfId="28048"/>
    <cellStyle name="Normal 54 3 2 2 5 4 3" xfId="28049"/>
    <cellStyle name="Normal 54 3 2 2 5 4 4" xfId="28050"/>
    <cellStyle name="Normal 54 3 2 2 5 4 5" xfId="28051"/>
    <cellStyle name="Normal 54 3 2 2 5 4 6" xfId="28052"/>
    <cellStyle name="Normal 54 3 2 2 6" xfId="28053"/>
    <cellStyle name="Normal 54 3 2 2 6 2" xfId="28054"/>
    <cellStyle name="Normal 54 3 2 2 6 3" xfId="28055"/>
    <cellStyle name="Normal 54 3 2 2 6 3 2" xfId="28056"/>
    <cellStyle name="Normal 54 3 2 2 6 3 3" xfId="28057"/>
    <cellStyle name="Normal 54 3 2 2 6 3 4" xfId="28058"/>
    <cellStyle name="Normal 54 3 2 2 6 3 5" xfId="28059"/>
    <cellStyle name="Normal 54 3 2 2 6 3 6" xfId="28060"/>
    <cellStyle name="Normal 54 3 2 2 6 4" xfId="28061"/>
    <cellStyle name="Normal 54 3 2 2 6 4 2" xfId="28062"/>
    <cellStyle name="Normal 54 3 2 2 6 4 3" xfId="28063"/>
    <cellStyle name="Normal 54 3 2 2 6 4 4" xfId="28064"/>
    <cellStyle name="Normal 54 3 2 2 6 4 5" xfId="28065"/>
    <cellStyle name="Normal 54 3 2 2 6 4 6" xfId="28066"/>
    <cellStyle name="Normal 54 3 2 2 7" xfId="28067"/>
    <cellStyle name="Normal 54 3 2 2 7 2" xfId="28068"/>
    <cellStyle name="Normal 54 3 2 2 7 3" xfId="28069"/>
    <cellStyle name="Normal 54 3 2 2 7 3 2" xfId="28070"/>
    <cellStyle name="Normal 54 3 2 2 7 3 3" xfId="28071"/>
    <cellStyle name="Normal 54 3 2 2 7 3 4" xfId="28072"/>
    <cellStyle name="Normal 54 3 2 2 7 3 5" xfId="28073"/>
    <cellStyle name="Normal 54 3 2 2 7 3 6" xfId="28074"/>
    <cellStyle name="Normal 54 3 2 2 7 4" xfId="28075"/>
    <cellStyle name="Normal 54 3 2 2 7 4 2" xfId="28076"/>
    <cellStyle name="Normal 54 3 2 2 7 4 3" xfId="28077"/>
    <cellStyle name="Normal 54 3 2 2 7 4 4" xfId="28078"/>
    <cellStyle name="Normal 54 3 2 2 7 4 5" xfId="28079"/>
    <cellStyle name="Normal 54 3 2 2 7 4 6" xfId="28080"/>
    <cellStyle name="Normal 54 3 2 2 8" xfId="28081"/>
    <cellStyle name="Normal 54 3 2 2 8 2" xfId="28082"/>
    <cellStyle name="Normal 54 3 2 2 8 3" xfId="28083"/>
    <cellStyle name="Normal 54 3 2 2 8 3 2" xfId="28084"/>
    <cellStyle name="Normal 54 3 2 2 8 3 3" xfId="28085"/>
    <cellStyle name="Normal 54 3 2 2 8 3 4" xfId="28086"/>
    <cellStyle name="Normal 54 3 2 2 8 3 5" xfId="28087"/>
    <cellStyle name="Normal 54 3 2 2 8 3 6" xfId="28088"/>
    <cellStyle name="Normal 54 3 2 2 8 4" xfId="28089"/>
    <cellStyle name="Normal 54 3 2 2 8 4 2" xfId="28090"/>
    <cellStyle name="Normal 54 3 2 2 8 4 3" xfId="28091"/>
    <cellStyle name="Normal 54 3 2 2 8 4 4" xfId="28092"/>
    <cellStyle name="Normal 54 3 2 2 8 4 5" xfId="28093"/>
    <cellStyle name="Normal 54 3 2 2 8 4 6" xfId="28094"/>
    <cellStyle name="Normal 54 3 2 2 9" xfId="28095"/>
    <cellStyle name="Normal 54 3 2 2 9 2" xfId="28096"/>
    <cellStyle name="Normal 54 3 2 2 9 3" xfId="28097"/>
    <cellStyle name="Normal 54 3 2 2 9 3 2" xfId="28098"/>
    <cellStyle name="Normal 54 3 2 2 9 3 3" xfId="28099"/>
    <cellStyle name="Normal 54 3 2 2 9 3 4" xfId="28100"/>
    <cellStyle name="Normal 54 3 2 2 9 3 5" xfId="28101"/>
    <cellStyle name="Normal 54 3 2 2 9 3 6" xfId="28102"/>
    <cellStyle name="Normal 54 3 2 2 9 4" xfId="28103"/>
    <cellStyle name="Normal 54 3 2 2 9 4 2" xfId="28104"/>
    <cellStyle name="Normal 54 3 2 2 9 4 3" xfId="28105"/>
    <cellStyle name="Normal 54 3 2 2 9 4 4" xfId="28106"/>
    <cellStyle name="Normal 54 3 2 2 9 4 5" xfId="28107"/>
    <cellStyle name="Normal 54 3 2 2 9 4 6" xfId="28108"/>
    <cellStyle name="Normal 54 3 2 20" xfId="28109"/>
    <cellStyle name="Normal 54 3 2 21" xfId="28110"/>
    <cellStyle name="Normal 54 3 2 21 2" xfId="28111"/>
    <cellStyle name="Normal 54 3 2 21 3" xfId="28112"/>
    <cellStyle name="Normal 54 3 2 21 4" xfId="28113"/>
    <cellStyle name="Normal 54 3 2 21 5" xfId="28114"/>
    <cellStyle name="Normal 54 3 2 21 6" xfId="28115"/>
    <cellStyle name="Normal 54 3 2 22" xfId="28116"/>
    <cellStyle name="Normal 54 3 2 22 2" xfId="28117"/>
    <cellStyle name="Normal 54 3 2 22 3" xfId="28118"/>
    <cellStyle name="Normal 54 3 2 22 4" xfId="28119"/>
    <cellStyle name="Normal 54 3 2 22 5" xfId="28120"/>
    <cellStyle name="Normal 54 3 2 22 6" xfId="28121"/>
    <cellStyle name="Normal 54 3 2 3" xfId="28122"/>
    <cellStyle name="Normal 54 3 2 3 2" xfId="28123"/>
    <cellStyle name="Normal 54 3 2 3 3" xfId="28124"/>
    <cellStyle name="Normal 54 3 2 3 3 2" xfId="28125"/>
    <cellStyle name="Normal 54 3 2 3 3 3" xfId="28126"/>
    <cellStyle name="Normal 54 3 2 3 3 4" xfId="28127"/>
    <cellStyle name="Normal 54 3 2 3 3 5" xfId="28128"/>
    <cellStyle name="Normal 54 3 2 3 3 6" xfId="28129"/>
    <cellStyle name="Normal 54 3 2 3 4" xfId="28130"/>
    <cellStyle name="Normal 54 3 2 3 4 2" xfId="28131"/>
    <cellStyle name="Normal 54 3 2 3 4 3" xfId="28132"/>
    <cellStyle name="Normal 54 3 2 3 4 4" xfId="28133"/>
    <cellStyle name="Normal 54 3 2 3 4 5" xfId="28134"/>
    <cellStyle name="Normal 54 3 2 3 4 6" xfId="28135"/>
    <cellStyle name="Normal 54 3 2 4" xfId="28136"/>
    <cellStyle name="Normal 54 3 2 4 2" xfId="28137"/>
    <cellStyle name="Normal 54 3 2 4 3" xfId="28138"/>
    <cellStyle name="Normal 54 3 2 4 3 2" xfId="28139"/>
    <cellStyle name="Normal 54 3 2 4 3 3" xfId="28140"/>
    <cellStyle name="Normal 54 3 2 4 3 4" xfId="28141"/>
    <cellStyle name="Normal 54 3 2 4 3 5" xfId="28142"/>
    <cellStyle name="Normal 54 3 2 4 3 6" xfId="28143"/>
    <cellStyle name="Normal 54 3 2 4 4" xfId="28144"/>
    <cellStyle name="Normal 54 3 2 4 4 2" xfId="28145"/>
    <cellStyle name="Normal 54 3 2 4 4 3" xfId="28146"/>
    <cellStyle name="Normal 54 3 2 4 4 4" xfId="28147"/>
    <cellStyle name="Normal 54 3 2 4 4 5" xfId="28148"/>
    <cellStyle name="Normal 54 3 2 4 4 6" xfId="28149"/>
    <cellStyle name="Normal 54 3 2 5" xfId="28150"/>
    <cellStyle name="Normal 54 3 2 5 2" xfId="28151"/>
    <cellStyle name="Normal 54 3 2 5 3" xfId="28152"/>
    <cellStyle name="Normal 54 3 2 5 3 2" xfId="28153"/>
    <cellStyle name="Normal 54 3 2 5 3 3" xfId="28154"/>
    <cellStyle name="Normal 54 3 2 5 3 4" xfId="28155"/>
    <cellStyle name="Normal 54 3 2 5 3 5" xfId="28156"/>
    <cellStyle name="Normal 54 3 2 5 3 6" xfId="28157"/>
    <cellStyle name="Normal 54 3 2 5 4" xfId="28158"/>
    <cellStyle name="Normal 54 3 2 5 4 2" xfId="28159"/>
    <cellStyle name="Normal 54 3 2 5 4 3" xfId="28160"/>
    <cellStyle name="Normal 54 3 2 5 4 4" xfId="28161"/>
    <cellStyle name="Normal 54 3 2 5 4 5" xfId="28162"/>
    <cellStyle name="Normal 54 3 2 5 4 6" xfId="28163"/>
    <cellStyle name="Normal 54 3 2 6" xfId="28164"/>
    <cellStyle name="Normal 54 3 2 6 2" xfId="28165"/>
    <cellStyle name="Normal 54 3 2 6 2 2" xfId="28166"/>
    <cellStyle name="Normal 54 3 2 6 2 3" xfId="28167"/>
    <cellStyle name="Normal 54 3 2 6 2 4" xfId="28168"/>
    <cellStyle name="Normal 54 3 2 6 2 5" xfId="28169"/>
    <cellStyle name="Normal 54 3 2 6 2 6" xfId="28170"/>
    <cellStyle name="Normal 54 3 2 6 3" xfId="28171"/>
    <cellStyle name="Normal 54 3 2 6 4" xfId="28172"/>
    <cellStyle name="Normal 54 3 2 7" xfId="28173"/>
    <cellStyle name="Normal 54 3 2 7 2" xfId="28174"/>
    <cellStyle name="Normal 54 3 2 7 2 2" xfId="28175"/>
    <cellStyle name="Normal 54 3 2 7 2 3" xfId="28176"/>
    <cellStyle name="Normal 54 3 2 7 2 4" xfId="28177"/>
    <cellStyle name="Normal 54 3 2 7 2 5" xfId="28178"/>
    <cellStyle name="Normal 54 3 2 7 2 6" xfId="28179"/>
    <cellStyle name="Normal 54 3 2 7 3" xfId="28180"/>
    <cellStyle name="Normal 54 3 2 7 4" xfId="28181"/>
    <cellStyle name="Normal 54 3 2 8" xfId="28182"/>
    <cellStyle name="Normal 54 3 2 8 2" xfId="28183"/>
    <cellStyle name="Normal 54 3 2 8 2 2" xfId="28184"/>
    <cellStyle name="Normal 54 3 2 8 2 3" xfId="28185"/>
    <cellStyle name="Normal 54 3 2 8 2 4" xfId="28186"/>
    <cellStyle name="Normal 54 3 2 8 2 5" xfId="28187"/>
    <cellStyle name="Normal 54 3 2 8 2 6" xfId="28188"/>
    <cellStyle name="Normal 54 3 2 8 3" xfId="28189"/>
    <cellStyle name="Normal 54 3 2 8 4" xfId="28190"/>
    <cellStyle name="Normal 54 3 2 9" xfId="28191"/>
    <cellStyle name="Normal 54 3 2 9 2" xfId="28192"/>
    <cellStyle name="Normal 54 3 2 9 2 2" xfId="28193"/>
    <cellStyle name="Normal 54 3 2 9 2 3" xfId="28194"/>
    <cellStyle name="Normal 54 3 2 9 2 4" xfId="28195"/>
    <cellStyle name="Normal 54 3 2 9 2 5" xfId="28196"/>
    <cellStyle name="Normal 54 3 2 9 2 6" xfId="28197"/>
    <cellStyle name="Normal 54 3 2 9 3" xfId="28198"/>
    <cellStyle name="Normal 54 3 2 9 4" xfId="28199"/>
    <cellStyle name="Normal 54 3 20" xfId="28200"/>
    <cellStyle name="Normal 54 3 20 2" xfId="28201"/>
    <cellStyle name="Normal 54 3 20 3" xfId="28202"/>
    <cellStyle name="Normal 54 3 20 4" xfId="28203"/>
    <cellStyle name="Normal 54 3 20 5" xfId="28204"/>
    <cellStyle name="Normal 54 3 20 6" xfId="28205"/>
    <cellStyle name="Normal 54 3 21" xfId="28206"/>
    <cellStyle name="Normal 54 3 22" xfId="28207"/>
    <cellStyle name="Normal 54 3 3" xfId="28208"/>
    <cellStyle name="Normal 54 3 3 10" xfId="28209"/>
    <cellStyle name="Normal 54 3 3 10 2" xfId="28210"/>
    <cellStyle name="Normal 54 3 3 10 2 2" xfId="28211"/>
    <cellStyle name="Normal 54 3 3 10 2 3" xfId="28212"/>
    <cellStyle name="Normal 54 3 3 10 2 4" xfId="28213"/>
    <cellStyle name="Normal 54 3 3 10 2 5" xfId="28214"/>
    <cellStyle name="Normal 54 3 3 10 2 6" xfId="28215"/>
    <cellStyle name="Normal 54 3 3 10 3" xfId="28216"/>
    <cellStyle name="Normal 54 3 3 10 4" xfId="28217"/>
    <cellStyle name="Normal 54 3 3 11" xfId="28218"/>
    <cellStyle name="Normal 54 3 3 11 2" xfId="28219"/>
    <cellStyle name="Normal 54 3 3 11 2 2" xfId="28220"/>
    <cellStyle name="Normal 54 3 3 11 2 3" xfId="28221"/>
    <cellStyle name="Normal 54 3 3 11 2 4" xfId="28222"/>
    <cellStyle name="Normal 54 3 3 11 2 5" xfId="28223"/>
    <cellStyle name="Normal 54 3 3 11 2 6" xfId="28224"/>
    <cellStyle name="Normal 54 3 3 11 3" xfId="28225"/>
    <cellStyle name="Normal 54 3 3 11 4" xfId="28226"/>
    <cellStyle name="Normal 54 3 3 12" xfId="28227"/>
    <cellStyle name="Normal 54 3 3 12 2" xfId="28228"/>
    <cellStyle name="Normal 54 3 3 12 2 2" xfId="28229"/>
    <cellStyle name="Normal 54 3 3 12 2 3" xfId="28230"/>
    <cellStyle name="Normal 54 3 3 12 2 4" xfId="28231"/>
    <cellStyle name="Normal 54 3 3 12 2 5" xfId="28232"/>
    <cellStyle name="Normal 54 3 3 12 2 6" xfId="28233"/>
    <cellStyle name="Normal 54 3 3 12 3" xfId="28234"/>
    <cellStyle name="Normal 54 3 3 12 4" xfId="28235"/>
    <cellStyle name="Normal 54 3 3 13" xfId="28236"/>
    <cellStyle name="Normal 54 3 3 13 2" xfId="28237"/>
    <cellStyle name="Normal 54 3 3 13 2 2" xfId="28238"/>
    <cellStyle name="Normal 54 3 3 13 2 3" xfId="28239"/>
    <cellStyle name="Normal 54 3 3 13 2 4" xfId="28240"/>
    <cellStyle name="Normal 54 3 3 13 2 5" xfId="28241"/>
    <cellStyle name="Normal 54 3 3 13 2 6" xfId="28242"/>
    <cellStyle name="Normal 54 3 3 13 3" xfId="28243"/>
    <cellStyle name="Normal 54 3 3 13 4" xfId="28244"/>
    <cellStyle name="Normal 54 3 3 14" xfId="28245"/>
    <cellStyle name="Normal 54 3 3 14 2" xfId="28246"/>
    <cellStyle name="Normal 54 3 3 14 2 2" xfId="28247"/>
    <cellStyle name="Normal 54 3 3 14 2 3" xfId="28248"/>
    <cellStyle name="Normal 54 3 3 14 2 4" xfId="28249"/>
    <cellStyle name="Normal 54 3 3 14 2 5" xfId="28250"/>
    <cellStyle name="Normal 54 3 3 14 2 6" xfId="28251"/>
    <cellStyle name="Normal 54 3 3 14 3" xfId="28252"/>
    <cellStyle name="Normal 54 3 3 14 4" xfId="28253"/>
    <cellStyle name="Normal 54 3 3 15" xfId="28254"/>
    <cellStyle name="Normal 54 3 3 15 2" xfId="28255"/>
    <cellStyle name="Normal 54 3 3 15 2 2" xfId="28256"/>
    <cellStyle name="Normal 54 3 3 15 2 3" xfId="28257"/>
    <cellStyle name="Normal 54 3 3 15 2 4" xfId="28258"/>
    <cellStyle name="Normal 54 3 3 15 2 5" xfId="28259"/>
    <cellStyle name="Normal 54 3 3 15 2 6" xfId="28260"/>
    <cellStyle name="Normal 54 3 3 15 3" xfId="28261"/>
    <cellStyle name="Normal 54 3 3 15 4" xfId="28262"/>
    <cellStyle name="Normal 54 3 3 16" xfId="28263"/>
    <cellStyle name="Normal 54 3 3 16 2" xfId="28264"/>
    <cellStyle name="Normal 54 3 3 16 2 2" xfId="28265"/>
    <cellStyle name="Normal 54 3 3 16 2 3" xfId="28266"/>
    <cellStyle name="Normal 54 3 3 16 2 4" xfId="28267"/>
    <cellStyle name="Normal 54 3 3 16 2 5" xfId="28268"/>
    <cellStyle name="Normal 54 3 3 16 2 6" xfId="28269"/>
    <cellStyle name="Normal 54 3 3 16 3" xfId="28270"/>
    <cellStyle name="Normal 54 3 3 16 4" xfId="28271"/>
    <cellStyle name="Normal 54 3 3 17" xfId="28272"/>
    <cellStyle name="Normal 54 3 3 18" xfId="28273"/>
    <cellStyle name="Normal 54 3 3 18 2" xfId="28274"/>
    <cellStyle name="Normal 54 3 3 18 3" xfId="28275"/>
    <cellStyle name="Normal 54 3 3 18 4" xfId="28276"/>
    <cellStyle name="Normal 54 3 3 18 5" xfId="28277"/>
    <cellStyle name="Normal 54 3 3 18 6" xfId="28278"/>
    <cellStyle name="Normal 54 3 3 19" xfId="28279"/>
    <cellStyle name="Normal 54 3 3 19 2" xfId="28280"/>
    <cellStyle name="Normal 54 3 3 19 3" xfId="28281"/>
    <cellStyle name="Normal 54 3 3 19 4" xfId="28282"/>
    <cellStyle name="Normal 54 3 3 19 5" xfId="28283"/>
    <cellStyle name="Normal 54 3 3 19 6" xfId="28284"/>
    <cellStyle name="Normal 54 3 3 2" xfId="28285"/>
    <cellStyle name="Normal 54 3 3 2 2" xfId="28286"/>
    <cellStyle name="Normal 54 3 3 2 2 2" xfId="28287"/>
    <cellStyle name="Normal 54 3 3 2 2 3" xfId="28288"/>
    <cellStyle name="Normal 54 3 3 2 2 4" xfId="28289"/>
    <cellStyle name="Normal 54 3 3 2 2 5" xfId="28290"/>
    <cellStyle name="Normal 54 3 3 2 2 6" xfId="28291"/>
    <cellStyle name="Normal 54 3 3 2 3" xfId="28292"/>
    <cellStyle name="Normal 54 3 3 2 4" xfId="28293"/>
    <cellStyle name="Normal 54 3 3 3" xfId="28294"/>
    <cellStyle name="Normal 54 3 3 3 2" xfId="28295"/>
    <cellStyle name="Normal 54 3 3 3 2 2" xfId="28296"/>
    <cellStyle name="Normal 54 3 3 3 2 3" xfId="28297"/>
    <cellStyle name="Normal 54 3 3 3 2 4" xfId="28298"/>
    <cellStyle name="Normal 54 3 3 3 2 5" xfId="28299"/>
    <cellStyle name="Normal 54 3 3 3 2 6" xfId="28300"/>
    <cellStyle name="Normal 54 3 3 3 3" xfId="28301"/>
    <cellStyle name="Normal 54 3 3 3 4" xfId="28302"/>
    <cellStyle name="Normal 54 3 3 4" xfId="28303"/>
    <cellStyle name="Normal 54 3 3 4 2" xfId="28304"/>
    <cellStyle name="Normal 54 3 3 4 2 2" xfId="28305"/>
    <cellStyle name="Normal 54 3 3 4 2 3" xfId="28306"/>
    <cellStyle name="Normal 54 3 3 4 2 4" xfId="28307"/>
    <cellStyle name="Normal 54 3 3 4 2 5" xfId="28308"/>
    <cellStyle name="Normal 54 3 3 4 2 6" xfId="28309"/>
    <cellStyle name="Normal 54 3 3 4 3" xfId="28310"/>
    <cellStyle name="Normal 54 3 3 4 4" xfId="28311"/>
    <cellStyle name="Normal 54 3 3 5" xfId="28312"/>
    <cellStyle name="Normal 54 3 3 5 2" xfId="28313"/>
    <cellStyle name="Normal 54 3 3 5 2 2" xfId="28314"/>
    <cellStyle name="Normal 54 3 3 5 2 3" xfId="28315"/>
    <cellStyle name="Normal 54 3 3 5 2 4" xfId="28316"/>
    <cellStyle name="Normal 54 3 3 5 2 5" xfId="28317"/>
    <cellStyle name="Normal 54 3 3 5 2 6" xfId="28318"/>
    <cellStyle name="Normal 54 3 3 5 3" xfId="28319"/>
    <cellStyle name="Normal 54 3 3 5 4" xfId="28320"/>
    <cellStyle name="Normal 54 3 3 6" xfId="28321"/>
    <cellStyle name="Normal 54 3 3 6 2" xfId="28322"/>
    <cellStyle name="Normal 54 3 3 6 2 2" xfId="28323"/>
    <cellStyle name="Normal 54 3 3 6 2 3" xfId="28324"/>
    <cellStyle name="Normal 54 3 3 6 2 4" xfId="28325"/>
    <cellStyle name="Normal 54 3 3 6 2 5" xfId="28326"/>
    <cellStyle name="Normal 54 3 3 6 2 6" xfId="28327"/>
    <cellStyle name="Normal 54 3 3 6 3" xfId="28328"/>
    <cellStyle name="Normal 54 3 3 6 4" xfId="28329"/>
    <cellStyle name="Normal 54 3 3 7" xfId="28330"/>
    <cellStyle name="Normal 54 3 3 7 2" xfId="28331"/>
    <cellStyle name="Normal 54 3 3 7 2 2" xfId="28332"/>
    <cellStyle name="Normal 54 3 3 7 2 3" xfId="28333"/>
    <cellStyle name="Normal 54 3 3 7 2 4" xfId="28334"/>
    <cellStyle name="Normal 54 3 3 7 2 5" xfId="28335"/>
    <cellStyle name="Normal 54 3 3 7 2 6" xfId="28336"/>
    <cellStyle name="Normal 54 3 3 7 3" xfId="28337"/>
    <cellStyle name="Normal 54 3 3 7 4" xfId="28338"/>
    <cellStyle name="Normal 54 3 3 8" xfId="28339"/>
    <cellStyle name="Normal 54 3 3 8 2" xfId="28340"/>
    <cellStyle name="Normal 54 3 3 8 2 2" xfId="28341"/>
    <cellStyle name="Normal 54 3 3 8 2 3" xfId="28342"/>
    <cellStyle name="Normal 54 3 3 8 2 4" xfId="28343"/>
    <cellStyle name="Normal 54 3 3 8 2 5" xfId="28344"/>
    <cellStyle name="Normal 54 3 3 8 2 6" xfId="28345"/>
    <cellStyle name="Normal 54 3 3 8 3" xfId="28346"/>
    <cellStyle name="Normal 54 3 3 8 4" xfId="28347"/>
    <cellStyle name="Normal 54 3 3 9" xfId="28348"/>
    <cellStyle name="Normal 54 3 3 9 2" xfId="28349"/>
    <cellStyle name="Normal 54 3 3 9 2 2" xfId="28350"/>
    <cellStyle name="Normal 54 3 3 9 2 3" xfId="28351"/>
    <cellStyle name="Normal 54 3 3 9 2 4" xfId="28352"/>
    <cellStyle name="Normal 54 3 3 9 2 5" xfId="28353"/>
    <cellStyle name="Normal 54 3 3 9 2 6" xfId="28354"/>
    <cellStyle name="Normal 54 3 3 9 3" xfId="28355"/>
    <cellStyle name="Normal 54 3 3 9 4" xfId="28356"/>
    <cellStyle name="Normal 54 3 4" xfId="28357"/>
    <cellStyle name="Normal 54 3 4 2" xfId="28358"/>
    <cellStyle name="Normal 54 3 4 2 2" xfId="28359"/>
    <cellStyle name="Normal 54 3 4 2 3" xfId="28360"/>
    <cellStyle name="Normal 54 3 4 2 4" xfId="28361"/>
    <cellStyle name="Normal 54 3 4 2 5" xfId="28362"/>
    <cellStyle name="Normal 54 3 4 2 6" xfId="28363"/>
    <cellStyle name="Normal 54 3 4 3" xfId="28364"/>
    <cellStyle name="Normal 54 3 4 4" xfId="28365"/>
    <cellStyle name="Normal 54 3 5" xfId="28366"/>
    <cellStyle name="Normal 54 3 5 2" xfId="28367"/>
    <cellStyle name="Normal 54 3 5 2 2" xfId="28368"/>
    <cellStyle name="Normal 54 3 5 2 3" xfId="28369"/>
    <cellStyle name="Normal 54 3 5 2 4" xfId="28370"/>
    <cellStyle name="Normal 54 3 5 2 5" xfId="28371"/>
    <cellStyle name="Normal 54 3 5 2 6" xfId="28372"/>
    <cellStyle name="Normal 54 3 5 3" xfId="28373"/>
    <cellStyle name="Normal 54 3 5 4" xfId="28374"/>
    <cellStyle name="Normal 54 3 6" xfId="28375"/>
    <cellStyle name="Normal 54 3 6 2" xfId="28376"/>
    <cellStyle name="Normal 54 3 6 3" xfId="28377"/>
    <cellStyle name="Normal 54 3 6 3 2" xfId="28378"/>
    <cellStyle name="Normal 54 3 6 3 3" xfId="28379"/>
    <cellStyle name="Normal 54 3 6 3 4" xfId="28380"/>
    <cellStyle name="Normal 54 3 6 3 5" xfId="28381"/>
    <cellStyle name="Normal 54 3 6 3 6" xfId="28382"/>
    <cellStyle name="Normal 54 3 6 4" xfId="28383"/>
    <cellStyle name="Normal 54 3 6 4 2" xfId="28384"/>
    <cellStyle name="Normal 54 3 6 4 3" xfId="28385"/>
    <cellStyle name="Normal 54 3 6 4 4" xfId="28386"/>
    <cellStyle name="Normal 54 3 6 4 5" xfId="28387"/>
    <cellStyle name="Normal 54 3 6 4 6" xfId="28388"/>
    <cellStyle name="Normal 54 3 7" xfId="28389"/>
    <cellStyle name="Normal 54 3 7 2" xfId="28390"/>
    <cellStyle name="Normal 54 3 7 3" xfId="28391"/>
    <cellStyle name="Normal 54 3 7 3 2" xfId="28392"/>
    <cellStyle name="Normal 54 3 7 3 3" xfId="28393"/>
    <cellStyle name="Normal 54 3 7 3 4" xfId="28394"/>
    <cellStyle name="Normal 54 3 7 3 5" xfId="28395"/>
    <cellStyle name="Normal 54 3 7 3 6" xfId="28396"/>
    <cellStyle name="Normal 54 3 7 4" xfId="28397"/>
    <cellStyle name="Normal 54 3 7 4 2" xfId="28398"/>
    <cellStyle name="Normal 54 3 7 4 3" xfId="28399"/>
    <cellStyle name="Normal 54 3 7 4 4" xfId="28400"/>
    <cellStyle name="Normal 54 3 7 4 5" xfId="28401"/>
    <cellStyle name="Normal 54 3 7 4 6" xfId="28402"/>
    <cellStyle name="Normal 54 3 8" xfId="28403"/>
    <cellStyle name="Normal 54 3 8 2" xfId="28404"/>
    <cellStyle name="Normal 54 3 8 3" xfId="28405"/>
    <cellStyle name="Normal 54 3 8 3 2" xfId="28406"/>
    <cellStyle name="Normal 54 3 8 3 3" xfId="28407"/>
    <cellStyle name="Normal 54 3 8 3 4" xfId="28408"/>
    <cellStyle name="Normal 54 3 8 3 5" xfId="28409"/>
    <cellStyle name="Normal 54 3 8 3 6" xfId="28410"/>
    <cellStyle name="Normal 54 3 8 4" xfId="28411"/>
    <cellStyle name="Normal 54 3 8 4 2" xfId="28412"/>
    <cellStyle name="Normal 54 3 8 4 3" xfId="28413"/>
    <cellStyle name="Normal 54 3 8 4 4" xfId="28414"/>
    <cellStyle name="Normal 54 3 8 4 5" xfId="28415"/>
    <cellStyle name="Normal 54 3 8 4 6" xfId="28416"/>
    <cellStyle name="Normal 54 3 9" xfId="28417"/>
    <cellStyle name="Normal 54 3 9 2" xfId="28418"/>
    <cellStyle name="Normal 54 3 9 3" xfId="28419"/>
    <cellStyle name="Normal 54 3 9 3 2" xfId="28420"/>
    <cellStyle name="Normal 54 3 9 3 3" xfId="28421"/>
    <cellStyle name="Normal 54 3 9 3 4" xfId="28422"/>
    <cellStyle name="Normal 54 3 9 3 5" xfId="28423"/>
    <cellStyle name="Normal 54 3 9 3 6" xfId="28424"/>
    <cellStyle name="Normal 54 3 9 4" xfId="28425"/>
    <cellStyle name="Normal 54 3 9 4 2" xfId="28426"/>
    <cellStyle name="Normal 54 3 9 4 3" xfId="28427"/>
    <cellStyle name="Normal 54 3 9 4 4" xfId="28428"/>
    <cellStyle name="Normal 54 3 9 4 5" xfId="28429"/>
    <cellStyle name="Normal 54 3 9 4 6" xfId="28430"/>
    <cellStyle name="Normal 54 4" xfId="28431"/>
    <cellStyle name="Normal 54 4 2" xfId="28432"/>
    <cellStyle name="Normal 54 4 2 2" xfId="28433"/>
    <cellStyle name="Normal 54 4 2 3" xfId="28434"/>
    <cellStyle name="Normal 54 4 2 4" xfId="28435"/>
    <cellStyle name="Normal 54 4 2 5" xfId="28436"/>
    <cellStyle name="Normal 54 4 2 6" xfId="28437"/>
    <cellStyle name="Normal 54 4 3" xfId="28438"/>
    <cellStyle name="Normal 54 4 4" xfId="28439"/>
    <cellStyle name="Normal 54 5" xfId="28440"/>
    <cellStyle name="Normal 54 5 2" xfId="28441"/>
    <cellStyle name="Normal 54 5 3" xfId="28442"/>
    <cellStyle name="Normal 54 5 3 2" xfId="28443"/>
    <cellStyle name="Normal 54 5 3 3" xfId="28444"/>
    <cellStyle name="Normal 54 5 3 4" xfId="28445"/>
    <cellStyle name="Normal 54 5 3 5" xfId="28446"/>
    <cellStyle name="Normal 54 5 3 6" xfId="28447"/>
    <cellStyle name="Normal 54 5 4" xfId="28448"/>
    <cellStyle name="Normal 54 5 4 2" xfId="28449"/>
    <cellStyle name="Normal 54 5 4 3" xfId="28450"/>
    <cellStyle name="Normal 54 5 4 4" xfId="28451"/>
    <cellStyle name="Normal 54 5 4 5" xfId="28452"/>
    <cellStyle name="Normal 54 5 4 6" xfId="28453"/>
    <cellStyle name="Normal 54 6" xfId="28454"/>
    <cellStyle name="Normal 54 6 2" xfId="28455"/>
    <cellStyle name="Normal 54 6 3" xfId="28456"/>
    <cellStyle name="Normal 54 6 3 2" xfId="28457"/>
    <cellStyle name="Normal 54 6 3 3" xfId="28458"/>
    <cellStyle name="Normal 54 6 3 4" xfId="28459"/>
    <cellStyle name="Normal 54 6 3 5" xfId="28460"/>
    <cellStyle name="Normal 54 6 3 6" xfId="28461"/>
    <cellStyle name="Normal 54 6 4" xfId="28462"/>
    <cellStyle name="Normal 54 6 4 2" xfId="28463"/>
    <cellStyle name="Normal 54 6 4 3" xfId="28464"/>
    <cellStyle name="Normal 54 6 4 4" xfId="28465"/>
    <cellStyle name="Normal 54 6 4 5" xfId="28466"/>
    <cellStyle name="Normal 54 6 4 6" xfId="28467"/>
    <cellStyle name="Normal 54 7" xfId="28468"/>
    <cellStyle name="Normal 54 7 2" xfId="28469"/>
    <cellStyle name="Normal 54 7 3" xfId="28470"/>
    <cellStyle name="Normal 54 7 3 2" xfId="28471"/>
    <cellStyle name="Normal 54 7 3 3" xfId="28472"/>
    <cellStyle name="Normal 54 7 3 4" xfId="28473"/>
    <cellStyle name="Normal 54 7 3 5" xfId="28474"/>
    <cellStyle name="Normal 54 7 3 6" xfId="28475"/>
    <cellStyle name="Normal 54 7 4" xfId="28476"/>
    <cellStyle name="Normal 54 7 4 2" xfId="28477"/>
    <cellStyle name="Normal 54 7 4 3" xfId="28478"/>
    <cellStyle name="Normal 54 7 4 4" xfId="28479"/>
    <cellStyle name="Normal 54 7 4 5" xfId="28480"/>
    <cellStyle name="Normal 54 7 4 6" xfId="28481"/>
    <cellStyle name="Normal 54 8" xfId="28482"/>
    <cellStyle name="Normal 54 9" xfId="28483"/>
    <cellStyle name="Normal 54 9 2" xfId="28484"/>
    <cellStyle name="Normal 54 9 3" xfId="28485"/>
    <cellStyle name="Normal 54 9 4" xfId="28486"/>
    <cellStyle name="Normal 54 9 5" xfId="28487"/>
    <cellStyle name="Normal 54 9 6" xfId="28488"/>
    <cellStyle name="Normal 55" xfId="28489"/>
    <cellStyle name="Normal 55 10" xfId="28490"/>
    <cellStyle name="Normal 55 10 2" xfId="28491"/>
    <cellStyle name="Normal 55 10 3" xfId="28492"/>
    <cellStyle name="Normal 55 10 4" xfId="28493"/>
    <cellStyle name="Normal 55 10 5" xfId="28494"/>
    <cellStyle name="Normal 55 10 6" xfId="28495"/>
    <cellStyle name="Normal 55 2" xfId="28496"/>
    <cellStyle name="Normal 55 2 2" xfId="28497"/>
    <cellStyle name="Normal 55 2 2 2" xfId="28498"/>
    <cellStyle name="Normal 55 2 2 2 2" xfId="28499"/>
    <cellStyle name="Normal 55 2 2 2 2 2" xfId="28500"/>
    <cellStyle name="Normal 55 2 2 2 2 3" xfId="28501"/>
    <cellStyle name="Normal 55 2 2 2 2 4" xfId="28502"/>
    <cellStyle name="Normal 55 2 2 2 2 5" xfId="28503"/>
    <cellStyle name="Normal 55 2 2 2 2 6" xfId="28504"/>
    <cellStyle name="Normal 55 2 2 2 3" xfId="28505"/>
    <cellStyle name="Normal 55 2 2 2 4" xfId="28506"/>
    <cellStyle name="Normal 55 2 2 3" xfId="28507"/>
    <cellStyle name="Normal 55 2 2 4" xfId="28508"/>
    <cellStyle name="Normal 55 2 2 4 2" xfId="28509"/>
    <cellStyle name="Normal 55 2 2 4 3" xfId="28510"/>
    <cellStyle name="Normal 55 2 2 4 4" xfId="28511"/>
    <cellStyle name="Normal 55 2 2 4 5" xfId="28512"/>
    <cellStyle name="Normal 55 2 2 4 6" xfId="28513"/>
    <cellStyle name="Normal 55 2 2 5" xfId="28514"/>
    <cellStyle name="Normal 55 2 2 5 2" xfId="28515"/>
    <cellStyle name="Normal 55 2 2 5 3" xfId="28516"/>
    <cellStyle name="Normal 55 2 2 5 4" xfId="28517"/>
    <cellStyle name="Normal 55 2 2 5 5" xfId="28518"/>
    <cellStyle name="Normal 55 2 2 5 6" xfId="28519"/>
    <cellStyle name="Normal 55 2 3" xfId="28520"/>
    <cellStyle name="Normal 55 2 3 2" xfId="28521"/>
    <cellStyle name="Normal 55 2 3 2 2" xfId="28522"/>
    <cellStyle name="Normal 55 2 3 2 3" xfId="28523"/>
    <cellStyle name="Normal 55 2 3 2 4" xfId="28524"/>
    <cellStyle name="Normal 55 2 3 2 5" xfId="28525"/>
    <cellStyle name="Normal 55 2 3 2 6" xfId="28526"/>
    <cellStyle name="Normal 55 2 3 3" xfId="28527"/>
    <cellStyle name="Normal 55 2 3 4" xfId="28528"/>
    <cellStyle name="Normal 55 2 4" xfId="28529"/>
    <cellStyle name="Normal 55 2 4 2" xfId="28530"/>
    <cellStyle name="Normal 55 2 4 3" xfId="28531"/>
    <cellStyle name="Normal 55 2 4 4" xfId="28532"/>
    <cellStyle name="Normal 55 2 4 5" xfId="28533"/>
    <cellStyle name="Normal 55 2 4 6" xfId="28534"/>
    <cellStyle name="Normal 55 2 5" xfId="28535"/>
    <cellStyle name="Normal 55 2 6" xfId="28536"/>
    <cellStyle name="Normal 55 3" xfId="28537"/>
    <cellStyle name="Normal 55 3 10" xfId="28538"/>
    <cellStyle name="Normal 55 3 10 2" xfId="28539"/>
    <cellStyle name="Normal 55 3 10 3" xfId="28540"/>
    <cellStyle name="Normal 55 3 10 3 2" xfId="28541"/>
    <cellStyle name="Normal 55 3 10 3 3" xfId="28542"/>
    <cellStyle name="Normal 55 3 10 3 4" xfId="28543"/>
    <cellStyle name="Normal 55 3 10 3 5" xfId="28544"/>
    <cellStyle name="Normal 55 3 10 3 6" xfId="28545"/>
    <cellStyle name="Normal 55 3 10 4" xfId="28546"/>
    <cellStyle name="Normal 55 3 10 4 2" xfId="28547"/>
    <cellStyle name="Normal 55 3 10 4 3" xfId="28548"/>
    <cellStyle name="Normal 55 3 10 4 4" xfId="28549"/>
    <cellStyle name="Normal 55 3 10 4 5" xfId="28550"/>
    <cellStyle name="Normal 55 3 10 4 6" xfId="28551"/>
    <cellStyle name="Normal 55 3 11" xfId="28552"/>
    <cellStyle name="Normal 55 3 11 2" xfId="28553"/>
    <cellStyle name="Normal 55 3 11 3" xfId="28554"/>
    <cellStyle name="Normal 55 3 11 3 2" xfId="28555"/>
    <cellStyle name="Normal 55 3 11 3 3" xfId="28556"/>
    <cellStyle name="Normal 55 3 11 3 4" xfId="28557"/>
    <cellStyle name="Normal 55 3 11 3 5" xfId="28558"/>
    <cellStyle name="Normal 55 3 11 3 6" xfId="28559"/>
    <cellStyle name="Normal 55 3 11 4" xfId="28560"/>
    <cellStyle name="Normal 55 3 11 4 2" xfId="28561"/>
    <cellStyle name="Normal 55 3 11 4 3" xfId="28562"/>
    <cellStyle name="Normal 55 3 11 4 4" xfId="28563"/>
    <cellStyle name="Normal 55 3 11 4 5" xfId="28564"/>
    <cellStyle name="Normal 55 3 11 4 6" xfId="28565"/>
    <cellStyle name="Normal 55 3 12" xfId="28566"/>
    <cellStyle name="Normal 55 3 12 2" xfId="28567"/>
    <cellStyle name="Normal 55 3 12 3" xfId="28568"/>
    <cellStyle name="Normal 55 3 12 3 2" xfId="28569"/>
    <cellStyle name="Normal 55 3 12 3 3" xfId="28570"/>
    <cellStyle name="Normal 55 3 12 3 4" xfId="28571"/>
    <cellStyle name="Normal 55 3 12 3 5" xfId="28572"/>
    <cellStyle name="Normal 55 3 12 3 6" xfId="28573"/>
    <cellStyle name="Normal 55 3 12 4" xfId="28574"/>
    <cellStyle name="Normal 55 3 12 4 2" xfId="28575"/>
    <cellStyle name="Normal 55 3 12 4 3" xfId="28576"/>
    <cellStyle name="Normal 55 3 12 4 4" xfId="28577"/>
    <cellStyle name="Normal 55 3 12 4 5" xfId="28578"/>
    <cellStyle name="Normal 55 3 12 4 6" xfId="28579"/>
    <cellStyle name="Normal 55 3 13" xfId="28580"/>
    <cellStyle name="Normal 55 3 13 2" xfId="28581"/>
    <cellStyle name="Normal 55 3 13 3" xfId="28582"/>
    <cellStyle name="Normal 55 3 13 3 2" xfId="28583"/>
    <cellStyle name="Normal 55 3 13 3 3" xfId="28584"/>
    <cellStyle name="Normal 55 3 13 3 4" xfId="28585"/>
    <cellStyle name="Normal 55 3 13 3 5" xfId="28586"/>
    <cellStyle name="Normal 55 3 13 3 6" xfId="28587"/>
    <cellStyle name="Normal 55 3 13 4" xfId="28588"/>
    <cellStyle name="Normal 55 3 13 4 2" xfId="28589"/>
    <cellStyle name="Normal 55 3 13 4 3" xfId="28590"/>
    <cellStyle name="Normal 55 3 13 4 4" xfId="28591"/>
    <cellStyle name="Normal 55 3 13 4 5" xfId="28592"/>
    <cellStyle name="Normal 55 3 13 4 6" xfId="28593"/>
    <cellStyle name="Normal 55 3 14" xfId="28594"/>
    <cellStyle name="Normal 55 3 14 2" xfId="28595"/>
    <cellStyle name="Normal 55 3 14 3" xfId="28596"/>
    <cellStyle name="Normal 55 3 14 3 2" xfId="28597"/>
    <cellStyle name="Normal 55 3 14 3 3" xfId="28598"/>
    <cellStyle name="Normal 55 3 14 3 4" xfId="28599"/>
    <cellStyle name="Normal 55 3 14 3 5" xfId="28600"/>
    <cellStyle name="Normal 55 3 14 3 6" xfId="28601"/>
    <cellStyle name="Normal 55 3 14 4" xfId="28602"/>
    <cellStyle name="Normal 55 3 14 4 2" xfId="28603"/>
    <cellStyle name="Normal 55 3 14 4 3" xfId="28604"/>
    <cellStyle name="Normal 55 3 14 4 4" xfId="28605"/>
    <cellStyle name="Normal 55 3 14 4 5" xfId="28606"/>
    <cellStyle name="Normal 55 3 14 4 6" xfId="28607"/>
    <cellStyle name="Normal 55 3 15" xfId="28608"/>
    <cellStyle name="Normal 55 3 15 2" xfId="28609"/>
    <cellStyle name="Normal 55 3 15 3" xfId="28610"/>
    <cellStyle name="Normal 55 3 15 3 2" xfId="28611"/>
    <cellStyle name="Normal 55 3 15 3 3" xfId="28612"/>
    <cellStyle name="Normal 55 3 15 3 4" xfId="28613"/>
    <cellStyle name="Normal 55 3 15 3 5" xfId="28614"/>
    <cellStyle name="Normal 55 3 15 3 6" xfId="28615"/>
    <cellStyle name="Normal 55 3 15 4" xfId="28616"/>
    <cellStyle name="Normal 55 3 15 4 2" xfId="28617"/>
    <cellStyle name="Normal 55 3 15 4 3" xfId="28618"/>
    <cellStyle name="Normal 55 3 15 4 4" xfId="28619"/>
    <cellStyle name="Normal 55 3 15 4 5" xfId="28620"/>
    <cellStyle name="Normal 55 3 15 4 6" xfId="28621"/>
    <cellStyle name="Normal 55 3 16" xfId="28622"/>
    <cellStyle name="Normal 55 3 16 2" xfId="28623"/>
    <cellStyle name="Normal 55 3 16 3" xfId="28624"/>
    <cellStyle name="Normal 55 3 16 3 2" xfId="28625"/>
    <cellStyle name="Normal 55 3 16 3 3" xfId="28626"/>
    <cellStyle name="Normal 55 3 16 3 4" xfId="28627"/>
    <cellStyle name="Normal 55 3 16 3 5" xfId="28628"/>
    <cellStyle name="Normal 55 3 16 3 6" xfId="28629"/>
    <cellStyle name="Normal 55 3 16 4" xfId="28630"/>
    <cellStyle name="Normal 55 3 16 4 2" xfId="28631"/>
    <cellStyle name="Normal 55 3 16 4 3" xfId="28632"/>
    <cellStyle name="Normal 55 3 16 4 4" xfId="28633"/>
    <cellStyle name="Normal 55 3 16 4 5" xfId="28634"/>
    <cellStyle name="Normal 55 3 16 4 6" xfId="28635"/>
    <cellStyle name="Normal 55 3 17" xfId="28636"/>
    <cellStyle name="Normal 55 3 17 2" xfId="28637"/>
    <cellStyle name="Normal 55 3 17 3" xfId="28638"/>
    <cellStyle name="Normal 55 3 17 3 2" xfId="28639"/>
    <cellStyle name="Normal 55 3 17 3 3" xfId="28640"/>
    <cellStyle name="Normal 55 3 17 3 4" xfId="28641"/>
    <cellStyle name="Normal 55 3 17 3 5" xfId="28642"/>
    <cellStyle name="Normal 55 3 17 3 6" xfId="28643"/>
    <cellStyle name="Normal 55 3 17 4" xfId="28644"/>
    <cellStyle name="Normal 55 3 17 4 2" xfId="28645"/>
    <cellStyle name="Normal 55 3 17 4 3" xfId="28646"/>
    <cellStyle name="Normal 55 3 17 4 4" xfId="28647"/>
    <cellStyle name="Normal 55 3 17 4 5" xfId="28648"/>
    <cellStyle name="Normal 55 3 17 4 6" xfId="28649"/>
    <cellStyle name="Normal 55 3 18" xfId="28650"/>
    <cellStyle name="Normal 55 3 18 2" xfId="28651"/>
    <cellStyle name="Normal 55 3 18 3" xfId="28652"/>
    <cellStyle name="Normal 55 3 18 3 2" xfId="28653"/>
    <cellStyle name="Normal 55 3 18 3 3" xfId="28654"/>
    <cellStyle name="Normal 55 3 18 3 4" xfId="28655"/>
    <cellStyle name="Normal 55 3 18 3 5" xfId="28656"/>
    <cellStyle name="Normal 55 3 18 3 6" xfId="28657"/>
    <cellStyle name="Normal 55 3 18 4" xfId="28658"/>
    <cellStyle name="Normal 55 3 18 4 2" xfId="28659"/>
    <cellStyle name="Normal 55 3 18 4 3" xfId="28660"/>
    <cellStyle name="Normal 55 3 18 4 4" xfId="28661"/>
    <cellStyle name="Normal 55 3 18 4 5" xfId="28662"/>
    <cellStyle name="Normal 55 3 18 4 6" xfId="28663"/>
    <cellStyle name="Normal 55 3 19" xfId="28664"/>
    <cellStyle name="Normal 55 3 19 2" xfId="28665"/>
    <cellStyle name="Normal 55 3 19 3" xfId="28666"/>
    <cellStyle name="Normal 55 3 19 3 2" xfId="28667"/>
    <cellStyle name="Normal 55 3 19 3 3" xfId="28668"/>
    <cellStyle name="Normal 55 3 19 3 4" xfId="28669"/>
    <cellStyle name="Normal 55 3 19 3 5" xfId="28670"/>
    <cellStyle name="Normal 55 3 19 3 6" xfId="28671"/>
    <cellStyle name="Normal 55 3 19 4" xfId="28672"/>
    <cellStyle name="Normal 55 3 19 4 2" xfId="28673"/>
    <cellStyle name="Normal 55 3 19 4 3" xfId="28674"/>
    <cellStyle name="Normal 55 3 19 4 4" xfId="28675"/>
    <cellStyle name="Normal 55 3 19 4 5" xfId="28676"/>
    <cellStyle name="Normal 55 3 19 4 6" xfId="28677"/>
    <cellStyle name="Normal 55 3 2" xfId="28678"/>
    <cellStyle name="Normal 55 3 2 10" xfId="28679"/>
    <cellStyle name="Normal 55 3 2 10 2" xfId="28680"/>
    <cellStyle name="Normal 55 3 2 10 2 2" xfId="28681"/>
    <cellStyle name="Normal 55 3 2 10 2 3" xfId="28682"/>
    <cellStyle name="Normal 55 3 2 10 2 4" xfId="28683"/>
    <cellStyle name="Normal 55 3 2 10 2 5" xfId="28684"/>
    <cellStyle name="Normal 55 3 2 10 2 6" xfId="28685"/>
    <cellStyle name="Normal 55 3 2 10 3" xfId="28686"/>
    <cellStyle name="Normal 55 3 2 10 4" xfId="28687"/>
    <cellStyle name="Normal 55 3 2 11" xfId="28688"/>
    <cellStyle name="Normal 55 3 2 11 2" xfId="28689"/>
    <cellStyle name="Normal 55 3 2 11 2 2" xfId="28690"/>
    <cellStyle name="Normal 55 3 2 11 2 3" xfId="28691"/>
    <cellStyle name="Normal 55 3 2 11 2 4" xfId="28692"/>
    <cellStyle name="Normal 55 3 2 11 2 5" xfId="28693"/>
    <cellStyle name="Normal 55 3 2 11 2 6" xfId="28694"/>
    <cellStyle name="Normal 55 3 2 11 3" xfId="28695"/>
    <cellStyle name="Normal 55 3 2 11 4" xfId="28696"/>
    <cellStyle name="Normal 55 3 2 12" xfId="28697"/>
    <cellStyle name="Normal 55 3 2 12 2" xfId="28698"/>
    <cellStyle name="Normal 55 3 2 12 2 2" xfId="28699"/>
    <cellStyle name="Normal 55 3 2 12 2 3" xfId="28700"/>
    <cellStyle name="Normal 55 3 2 12 2 4" xfId="28701"/>
    <cellStyle name="Normal 55 3 2 12 2 5" xfId="28702"/>
    <cellStyle name="Normal 55 3 2 12 2 6" xfId="28703"/>
    <cellStyle name="Normal 55 3 2 12 3" xfId="28704"/>
    <cellStyle name="Normal 55 3 2 12 4" xfId="28705"/>
    <cellStyle name="Normal 55 3 2 13" xfId="28706"/>
    <cellStyle name="Normal 55 3 2 13 2" xfId="28707"/>
    <cellStyle name="Normal 55 3 2 13 2 2" xfId="28708"/>
    <cellStyle name="Normal 55 3 2 13 2 3" xfId="28709"/>
    <cellStyle name="Normal 55 3 2 13 2 4" xfId="28710"/>
    <cellStyle name="Normal 55 3 2 13 2 5" xfId="28711"/>
    <cellStyle name="Normal 55 3 2 13 2 6" xfId="28712"/>
    <cellStyle name="Normal 55 3 2 13 3" xfId="28713"/>
    <cellStyle name="Normal 55 3 2 13 4" xfId="28714"/>
    <cellStyle name="Normal 55 3 2 14" xfId="28715"/>
    <cellStyle name="Normal 55 3 2 14 2" xfId="28716"/>
    <cellStyle name="Normal 55 3 2 14 2 2" xfId="28717"/>
    <cellStyle name="Normal 55 3 2 14 2 3" xfId="28718"/>
    <cellStyle name="Normal 55 3 2 14 2 4" xfId="28719"/>
    <cellStyle name="Normal 55 3 2 14 2 5" xfId="28720"/>
    <cellStyle name="Normal 55 3 2 14 2 6" xfId="28721"/>
    <cellStyle name="Normal 55 3 2 14 3" xfId="28722"/>
    <cellStyle name="Normal 55 3 2 14 4" xfId="28723"/>
    <cellStyle name="Normal 55 3 2 15" xfId="28724"/>
    <cellStyle name="Normal 55 3 2 15 2" xfId="28725"/>
    <cellStyle name="Normal 55 3 2 15 2 2" xfId="28726"/>
    <cellStyle name="Normal 55 3 2 15 2 3" xfId="28727"/>
    <cellStyle name="Normal 55 3 2 15 2 4" xfId="28728"/>
    <cellStyle name="Normal 55 3 2 15 2 5" xfId="28729"/>
    <cellStyle name="Normal 55 3 2 15 2 6" xfId="28730"/>
    <cellStyle name="Normal 55 3 2 15 3" xfId="28731"/>
    <cellStyle name="Normal 55 3 2 15 4" xfId="28732"/>
    <cellStyle name="Normal 55 3 2 16" xfId="28733"/>
    <cellStyle name="Normal 55 3 2 16 2" xfId="28734"/>
    <cellStyle name="Normal 55 3 2 16 2 2" xfId="28735"/>
    <cellStyle name="Normal 55 3 2 16 2 3" xfId="28736"/>
    <cellStyle name="Normal 55 3 2 16 2 4" xfId="28737"/>
    <cellStyle name="Normal 55 3 2 16 2 5" xfId="28738"/>
    <cellStyle name="Normal 55 3 2 16 2 6" xfId="28739"/>
    <cellStyle name="Normal 55 3 2 16 3" xfId="28740"/>
    <cellStyle name="Normal 55 3 2 16 4" xfId="28741"/>
    <cellStyle name="Normal 55 3 2 17" xfId="28742"/>
    <cellStyle name="Normal 55 3 2 17 2" xfId="28743"/>
    <cellStyle name="Normal 55 3 2 17 2 2" xfId="28744"/>
    <cellStyle name="Normal 55 3 2 17 2 3" xfId="28745"/>
    <cellStyle name="Normal 55 3 2 17 2 4" xfId="28746"/>
    <cellStyle name="Normal 55 3 2 17 2 5" xfId="28747"/>
    <cellStyle name="Normal 55 3 2 17 2 6" xfId="28748"/>
    <cellStyle name="Normal 55 3 2 17 3" xfId="28749"/>
    <cellStyle name="Normal 55 3 2 17 4" xfId="28750"/>
    <cellStyle name="Normal 55 3 2 18" xfId="28751"/>
    <cellStyle name="Normal 55 3 2 18 2" xfId="28752"/>
    <cellStyle name="Normal 55 3 2 18 2 2" xfId="28753"/>
    <cellStyle name="Normal 55 3 2 18 2 3" xfId="28754"/>
    <cellStyle name="Normal 55 3 2 18 2 4" xfId="28755"/>
    <cellStyle name="Normal 55 3 2 18 2 5" xfId="28756"/>
    <cellStyle name="Normal 55 3 2 18 2 6" xfId="28757"/>
    <cellStyle name="Normal 55 3 2 18 3" xfId="28758"/>
    <cellStyle name="Normal 55 3 2 18 4" xfId="28759"/>
    <cellStyle name="Normal 55 3 2 19" xfId="28760"/>
    <cellStyle name="Normal 55 3 2 19 2" xfId="28761"/>
    <cellStyle name="Normal 55 3 2 19 2 2" xfId="28762"/>
    <cellStyle name="Normal 55 3 2 19 2 3" xfId="28763"/>
    <cellStyle name="Normal 55 3 2 19 2 4" xfId="28764"/>
    <cellStyle name="Normal 55 3 2 19 2 5" xfId="28765"/>
    <cellStyle name="Normal 55 3 2 19 2 6" xfId="28766"/>
    <cellStyle name="Normal 55 3 2 19 3" xfId="28767"/>
    <cellStyle name="Normal 55 3 2 19 4" xfId="28768"/>
    <cellStyle name="Normal 55 3 2 2" xfId="28769"/>
    <cellStyle name="Normal 55 3 2 2 10" xfId="28770"/>
    <cellStyle name="Normal 55 3 2 2 10 2" xfId="28771"/>
    <cellStyle name="Normal 55 3 2 2 10 3" xfId="28772"/>
    <cellStyle name="Normal 55 3 2 2 10 3 2" xfId="28773"/>
    <cellStyle name="Normal 55 3 2 2 10 3 3" xfId="28774"/>
    <cellStyle name="Normal 55 3 2 2 10 3 4" xfId="28775"/>
    <cellStyle name="Normal 55 3 2 2 10 3 5" xfId="28776"/>
    <cellStyle name="Normal 55 3 2 2 10 3 6" xfId="28777"/>
    <cellStyle name="Normal 55 3 2 2 10 4" xfId="28778"/>
    <cellStyle name="Normal 55 3 2 2 10 4 2" xfId="28779"/>
    <cellStyle name="Normal 55 3 2 2 10 4 3" xfId="28780"/>
    <cellStyle name="Normal 55 3 2 2 10 4 4" xfId="28781"/>
    <cellStyle name="Normal 55 3 2 2 10 4 5" xfId="28782"/>
    <cellStyle name="Normal 55 3 2 2 10 4 6" xfId="28783"/>
    <cellStyle name="Normal 55 3 2 2 11" xfId="28784"/>
    <cellStyle name="Normal 55 3 2 2 11 2" xfId="28785"/>
    <cellStyle name="Normal 55 3 2 2 11 3" xfId="28786"/>
    <cellStyle name="Normal 55 3 2 2 11 3 2" xfId="28787"/>
    <cellStyle name="Normal 55 3 2 2 11 3 3" xfId="28788"/>
    <cellStyle name="Normal 55 3 2 2 11 3 4" xfId="28789"/>
    <cellStyle name="Normal 55 3 2 2 11 3 5" xfId="28790"/>
    <cellStyle name="Normal 55 3 2 2 11 3 6" xfId="28791"/>
    <cellStyle name="Normal 55 3 2 2 11 4" xfId="28792"/>
    <cellStyle name="Normal 55 3 2 2 11 4 2" xfId="28793"/>
    <cellStyle name="Normal 55 3 2 2 11 4 3" xfId="28794"/>
    <cellStyle name="Normal 55 3 2 2 11 4 4" xfId="28795"/>
    <cellStyle name="Normal 55 3 2 2 11 4 5" xfId="28796"/>
    <cellStyle name="Normal 55 3 2 2 11 4 6" xfId="28797"/>
    <cellStyle name="Normal 55 3 2 2 12" xfId="28798"/>
    <cellStyle name="Normal 55 3 2 2 12 2" xfId="28799"/>
    <cellStyle name="Normal 55 3 2 2 12 3" xfId="28800"/>
    <cellStyle name="Normal 55 3 2 2 12 3 2" xfId="28801"/>
    <cellStyle name="Normal 55 3 2 2 12 3 3" xfId="28802"/>
    <cellStyle name="Normal 55 3 2 2 12 3 4" xfId="28803"/>
    <cellStyle name="Normal 55 3 2 2 12 3 5" xfId="28804"/>
    <cellStyle name="Normal 55 3 2 2 12 3 6" xfId="28805"/>
    <cellStyle name="Normal 55 3 2 2 12 4" xfId="28806"/>
    <cellStyle name="Normal 55 3 2 2 12 4 2" xfId="28807"/>
    <cellStyle name="Normal 55 3 2 2 12 4 3" xfId="28808"/>
    <cellStyle name="Normal 55 3 2 2 12 4 4" xfId="28809"/>
    <cellStyle name="Normal 55 3 2 2 12 4 5" xfId="28810"/>
    <cellStyle name="Normal 55 3 2 2 12 4 6" xfId="28811"/>
    <cellStyle name="Normal 55 3 2 2 13" xfId="28812"/>
    <cellStyle name="Normal 55 3 2 2 13 2" xfId="28813"/>
    <cellStyle name="Normal 55 3 2 2 13 3" xfId="28814"/>
    <cellStyle name="Normal 55 3 2 2 13 3 2" xfId="28815"/>
    <cellStyle name="Normal 55 3 2 2 13 3 3" xfId="28816"/>
    <cellStyle name="Normal 55 3 2 2 13 3 4" xfId="28817"/>
    <cellStyle name="Normal 55 3 2 2 13 3 5" xfId="28818"/>
    <cellStyle name="Normal 55 3 2 2 13 3 6" xfId="28819"/>
    <cellStyle name="Normal 55 3 2 2 13 4" xfId="28820"/>
    <cellStyle name="Normal 55 3 2 2 13 4 2" xfId="28821"/>
    <cellStyle name="Normal 55 3 2 2 13 4 3" xfId="28822"/>
    <cellStyle name="Normal 55 3 2 2 13 4 4" xfId="28823"/>
    <cellStyle name="Normal 55 3 2 2 13 4 5" xfId="28824"/>
    <cellStyle name="Normal 55 3 2 2 13 4 6" xfId="28825"/>
    <cellStyle name="Normal 55 3 2 2 14" xfId="28826"/>
    <cellStyle name="Normal 55 3 2 2 14 2" xfId="28827"/>
    <cellStyle name="Normal 55 3 2 2 14 3" xfId="28828"/>
    <cellStyle name="Normal 55 3 2 2 14 3 2" xfId="28829"/>
    <cellStyle name="Normal 55 3 2 2 14 3 3" xfId="28830"/>
    <cellStyle name="Normal 55 3 2 2 14 3 4" xfId="28831"/>
    <cellStyle name="Normal 55 3 2 2 14 3 5" xfId="28832"/>
    <cellStyle name="Normal 55 3 2 2 14 3 6" xfId="28833"/>
    <cellStyle name="Normal 55 3 2 2 14 4" xfId="28834"/>
    <cellStyle name="Normal 55 3 2 2 14 4 2" xfId="28835"/>
    <cellStyle name="Normal 55 3 2 2 14 4 3" xfId="28836"/>
    <cellStyle name="Normal 55 3 2 2 14 4 4" xfId="28837"/>
    <cellStyle name="Normal 55 3 2 2 14 4 5" xfId="28838"/>
    <cellStyle name="Normal 55 3 2 2 14 4 6" xfId="28839"/>
    <cellStyle name="Normal 55 3 2 2 15" xfId="28840"/>
    <cellStyle name="Normal 55 3 2 2 15 2" xfId="28841"/>
    <cellStyle name="Normal 55 3 2 2 15 3" xfId="28842"/>
    <cellStyle name="Normal 55 3 2 2 15 3 2" xfId="28843"/>
    <cellStyle name="Normal 55 3 2 2 15 3 3" xfId="28844"/>
    <cellStyle name="Normal 55 3 2 2 15 3 4" xfId="28845"/>
    <cellStyle name="Normal 55 3 2 2 15 3 5" xfId="28846"/>
    <cellStyle name="Normal 55 3 2 2 15 3 6" xfId="28847"/>
    <cellStyle name="Normal 55 3 2 2 15 4" xfId="28848"/>
    <cellStyle name="Normal 55 3 2 2 15 4 2" xfId="28849"/>
    <cellStyle name="Normal 55 3 2 2 15 4 3" xfId="28850"/>
    <cellStyle name="Normal 55 3 2 2 15 4 4" xfId="28851"/>
    <cellStyle name="Normal 55 3 2 2 15 4 5" xfId="28852"/>
    <cellStyle name="Normal 55 3 2 2 15 4 6" xfId="28853"/>
    <cellStyle name="Normal 55 3 2 2 16" xfId="28854"/>
    <cellStyle name="Normal 55 3 2 2 16 2" xfId="28855"/>
    <cellStyle name="Normal 55 3 2 2 16 3" xfId="28856"/>
    <cellStyle name="Normal 55 3 2 2 16 3 2" xfId="28857"/>
    <cellStyle name="Normal 55 3 2 2 16 3 3" xfId="28858"/>
    <cellStyle name="Normal 55 3 2 2 16 3 4" xfId="28859"/>
    <cellStyle name="Normal 55 3 2 2 16 3 5" xfId="28860"/>
    <cellStyle name="Normal 55 3 2 2 16 3 6" xfId="28861"/>
    <cellStyle name="Normal 55 3 2 2 16 4" xfId="28862"/>
    <cellStyle name="Normal 55 3 2 2 16 4 2" xfId="28863"/>
    <cellStyle name="Normal 55 3 2 2 16 4 3" xfId="28864"/>
    <cellStyle name="Normal 55 3 2 2 16 4 4" xfId="28865"/>
    <cellStyle name="Normal 55 3 2 2 16 4 5" xfId="28866"/>
    <cellStyle name="Normal 55 3 2 2 16 4 6" xfId="28867"/>
    <cellStyle name="Normal 55 3 2 2 17" xfId="28868"/>
    <cellStyle name="Normal 55 3 2 2 17 2" xfId="28869"/>
    <cellStyle name="Normal 55 3 2 2 17 3" xfId="28870"/>
    <cellStyle name="Normal 55 3 2 2 17 4" xfId="28871"/>
    <cellStyle name="Normal 55 3 2 2 17 5" xfId="28872"/>
    <cellStyle name="Normal 55 3 2 2 17 6" xfId="28873"/>
    <cellStyle name="Normal 55 3 2 2 18" xfId="28874"/>
    <cellStyle name="Normal 55 3 2 2 19" xfId="28875"/>
    <cellStyle name="Normal 55 3 2 2 2" xfId="28876"/>
    <cellStyle name="Normal 55 3 2 2 2 2" xfId="28877"/>
    <cellStyle name="Normal 55 3 2 2 2 3" xfId="28878"/>
    <cellStyle name="Normal 55 3 2 2 2 3 2" xfId="28879"/>
    <cellStyle name="Normal 55 3 2 2 2 3 3" xfId="28880"/>
    <cellStyle name="Normal 55 3 2 2 2 3 4" xfId="28881"/>
    <cellStyle name="Normal 55 3 2 2 2 3 5" xfId="28882"/>
    <cellStyle name="Normal 55 3 2 2 2 3 6" xfId="28883"/>
    <cellStyle name="Normal 55 3 2 2 2 4" xfId="28884"/>
    <cellStyle name="Normal 55 3 2 2 2 4 2" xfId="28885"/>
    <cellStyle name="Normal 55 3 2 2 2 4 3" xfId="28886"/>
    <cellStyle name="Normal 55 3 2 2 2 4 4" xfId="28887"/>
    <cellStyle name="Normal 55 3 2 2 2 4 5" xfId="28888"/>
    <cellStyle name="Normal 55 3 2 2 2 4 6" xfId="28889"/>
    <cellStyle name="Normal 55 3 2 2 3" xfId="28890"/>
    <cellStyle name="Normal 55 3 2 2 3 2" xfId="28891"/>
    <cellStyle name="Normal 55 3 2 2 3 3" xfId="28892"/>
    <cellStyle name="Normal 55 3 2 2 3 3 2" xfId="28893"/>
    <cellStyle name="Normal 55 3 2 2 3 3 3" xfId="28894"/>
    <cellStyle name="Normal 55 3 2 2 3 3 4" xfId="28895"/>
    <cellStyle name="Normal 55 3 2 2 3 3 5" xfId="28896"/>
    <cellStyle name="Normal 55 3 2 2 3 3 6" xfId="28897"/>
    <cellStyle name="Normal 55 3 2 2 3 4" xfId="28898"/>
    <cellStyle name="Normal 55 3 2 2 3 4 2" xfId="28899"/>
    <cellStyle name="Normal 55 3 2 2 3 4 3" xfId="28900"/>
    <cellStyle name="Normal 55 3 2 2 3 4 4" xfId="28901"/>
    <cellStyle name="Normal 55 3 2 2 3 4 5" xfId="28902"/>
    <cellStyle name="Normal 55 3 2 2 3 4 6" xfId="28903"/>
    <cellStyle name="Normal 55 3 2 2 4" xfId="28904"/>
    <cellStyle name="Normal 55 3 2 2 4 2" xfId="28905"/>
    <cellStyle name="Normal 55 3 2 2 4 3" xfId="28906"/>
    <cellStyle name="Normal 55 3 2 2 4 3 2" xfId="28907"/>
    <cellStyle name="Normal 55 3 2 2 4 3 3" xfId="28908"/>
    <cellStyle name="Normal 55 3 2 2 4 3 4" xfId="28909"/>
    <cellStyle name="Normal 55 3 2 2 4 3 5" xfId="28910"/>
    <cellStyle name="Normal 55 3 2 2 4 3 6" xfId="28911"/>
    <cellStyle name="Normal 55 3 2 2 4 4" xfId="28912"/>
    <cellStyle name="Normal 55 3 2 2 4 4 2" xfId="28913"/>
    <cellStyle name="Normal 55 3 2 2 4 4 3" xfId="28914"/>
    <cellStyle name="Normal 55 3 2 2 4 4 4" xfId="28915"/>
    <cellStyle name="Normal 55 3 2 2 4 4 5" xfId="28916"/>
    <cellStyle name="Normal 55 3 2 2 4 4 6" xfId="28917"/>
    <cellStyle name="Normal 55 3 2 2 5" xfId="28918"/>
    <cellStyle name="Normal 55 3 2 2 5 2" xfId="28919"/>
    <cellStyle name="Normal 55 3 2 2 5 3" xfId="28920"/>
    <cellStyle name="Normal 55 3 2 2 5 3 2" xfId="28921"/>
    <cellStyle name="Normal 55 3 2 2 5 3 3" xfId="28922"/>
    <cellStyle name="Normal 55 3 2 2 5 3 4" xfId="28923"/>
    <cellStyle name="Normal 55 3 2 2 5 3 5" xfId="28924"/>
    <cellStyle name="Normal 55 3 2 2 5 3 6" xfId="28925"/>
    <cellStyle name="Normal 55 3 2 2 5 4" xfId="28926"/>
    <cellStyle name="Normal 55 3 2 2 5 4 2" xfId="28927"/>
    <cellStyle name="Normal 55 3 2 2 5 4 3" xfId="28928"/>
    <cellStyle name="Normal 55 3 2 2 5 4 4" xfId="28929"/>
    <cellStyle name="Normal 55 3 2 2 5 4 5" xfId="28930"/>
    <cellStyle name="Normal 55 3 2 2 5 4 6" xfId="28931"/>
    <cellStyle name="Normal 55 3 2 2 6" xfId="28932"/>
    <cellStyle name="Normal 55 3 2 2 6 2" xfId="28933"/>
    <cellStyle name="Normal 55 3 2 2 6 3" xfId="28934"/>
    <cellStyle name="Normal 55 3 2 2 6 3 2" xfId="28935"/>
    <cellStyle name="Normal 55 3 2 2 6 3 3" xfId="28936"/>
    <cellStyle name="Normal 55 3 2 2 6 3 4" xfId="28937"/>
    <cellStyle name="Normal 55 3 2 2 6 3 5" xfId="28938"/>
    <cellStyle name="Normal 55 3 2 2 6 3 6" xfId="28939"/>
    <cellStyle name="Normal 55 3 2 2 6 4" xfId="28940"/>
    <cellStyle name="Normal 55 3 2 2 6 4 2" xfId="28941"/>
    <cellStyle name="Normal 55 3 2 2 6 4 3" xfId="28942"/>
    <cellStyle name="Normal 55 3 2 2 6 4 4" xfId="28943"/>
    <cellStyle name="Normal 55 3 2 2 6 4 5" xfId="28944"/>
    <cellStyle name="Normal 55 3 2 2 6 4 6" xfId="28945"/>
    <cellStyle name="Normal 55 3 2 2 7" xfId="28946"/>
    <cellStyle name="Normal 55 3 2 2 7 2" xfId="28947"/>
    <cellStyle name="Normal 55 3 2 2 7 3" xfId="28948"/>
    <cellStyle name="Normal 55 3 2 2 7 3 2" xfId="28949"/>
    <cellStyle name="Normal 55 3 2 2 7 3 3" xfId="28950"/>
    <cellStyle name="Normal 55 3 2 2 7 3 4" xfId="28951"/>
    <cellStyle name="Normal 55 3 2 2 7 3 5" xfId="28952"/>
    <cellStyle name="Normal 55 3 2 2 7 3 6" xfId="28953"/>
    <cellStyle name="Normal 55 3 2 2 7 4" xfId="28954"/>
    <cellStyle name="Normal 55 3 2 2 7 4 2" xfId="28955"/>
    <cellStyle name="Normal 55 3 2 2 7 4 3" xfId="28956"/>
    <cellStyle name="Normal 55 3 2 2 7 4 4" xfId="28957"/>
    <cellStyle name="Normal 55 3 2 2 7 4 5" xfId="28958"/>
    <cellStyle name="Normal 55 3 2 2 7 4 6" xfId="28959"/>
    <cellStyle name="Normal 55 3 2 2 8" xfId="28960"/>
    <cellStyle name="Normal 55 3 2 2 8 2" xfId="28961"/>
    <cellStyle name="Normal 55 3 2 2 8 3" xfId="28962"/>
    <cellStyle name="Normal 55 3 2 2 8 3 2" xfId="28963"/>
    <cellStyle name="Normal 55 3 2 2 8 3 3" xfId="28964"/>
    <cellStyle name="Normal 55 3 2 2 8 3 4" xfId="28965"/>
    <cellStyle name="Normal 55 3 2 2 8 3 5" xfId="28966"/>
    <cellStyle name="Normal 55 3 2 2 8 3 6" xfId="28967"/>
    <cellStyle name="Normal 55 3 2 2 8 4" xfId="28968"/>
    <cellStyle name="Normal 55 3 2 2 8 4 2" xfId="28969"/>
    <cellStyle name="Normal 55 3 2 2 8 4 3" xfId="28970"/>
    <cellStyle name="Normal 55 3 2 2 8 4 4" xfId="28971"/>
    <cellStyle name="Normal 55 3 2 2 8 4 5" xfId="28972"/>
    <cellStyle name="Normal 55 3 2 2 8 4 6" xfId="28973"/>
    <cellStyle name="Normal 55 3 2 2 9" xfId="28974"/>
    <cellStyle name="Normal 55 3 2 2 9 2" xfId="28975"/>
    <cellStyle name="Normal 55 3 2 2 9 3" xfId="28976"/>
    <cellStyle name="Normal 55 3 2 2 9 3 2" xfId="28977"/>
    <cellStyle name="Normal 55 3 2 2 9 3 3" xfId="28978"/>
    <cellStyle name="Normal 55 3 2 2 9 3 4" xfId="28979"/>
    <cellStyle name="Normal 55 3 2 2 9 3 5" xfId="28980"/>
    <cellStyle name="Normal 55 3 2 2 9 3 6" xfId="28981"/>
    <cellStyle name="Normal 55 3 2 2 9 4" xfId="28982"/>
    <cellStyle name="Normal 55 3 2 2 9 4 2" xfId="28983"/>
    <cellStyle name="Normal 55 3 2 2 9 4 3" xfId="28984"/>
    <cellStyle name="Normal 55 3 2 2 9 4 4" xfId="28985"/>
    <cellStyle name="Normal 55 3 2 2 9 4 5" xfId="28986"/>
    <cellStyle name="Normal 55 3 2 2 9 4 6" xfId="28987"/>
    <cellStyle name="Normal 55 3 2 20" xfId="28988"/>
    <cellStyle name="Normal 55 3 2 21" xfId="28989"/>
    <cellStyle name="Normal 55 3 2 21 2" xfId="28990"/>
    <cellStyle name="Normal 55 3 2 21 3" xfId="28991"/>
    <cellStyle name="Normal 55 3 2 21 4" xfId="28992"/>
    <cellStyle name="Normal 55 3 2 21 5" xfId="28993"/>
    <cellStyle name="Normal 55 3 2 21 6" xfId="28994"/>
    <cellStyle name="Normal 55 3 2 22" xfId="28995"/>
    <cellStyle name="Normal 55 3 2 22 2" xfId="28996"/>
    <cellStyle name="Normal 55 3 2 22 3" xfId="28997"/>
    <cellStyle name="Normal 55 3 2 22 4" xfId="28998"/>
    <cellStyle name="Normal 55 3 2 22 5" xfId="28999"/>
    <cellStyle name="Normal 55 3 2 22 6" xfId="29000"/>
    <cellStyle name="Normal 55 3 2 3" xfId="29001"/>
    <cellStyle name="Normal 55 3 2 3 2" xfId="29002"/>
    <cellStyle name="Normal 55 3 2 3 3" xfId="29003"/>
    <cellStyle name="Normal 55 3 2 3 3 2" xfId="29004"/>
    <cellStyle name="Normal 55 3 2 3 3 3" xfId="29005"/>
    <cellStyle name="Normal 55 3 2 3 3 4" xfId="29006"/>
    <cellStyle name="Normal 55 3 2 3 3 5" xfId="29007"/>
    <cellStyle name="Normal 55 3 2 3 3 6" xfId="29008"/>
    <cellStyle name="Normal 55 3 2 3 4" xfId="29009"/>
    <cellStyle name="Normal 55 3 2 3 4 2" xfId="29010"/>
    <cellStyle name="Normal 55 3 2 3 4 3" xfId="29011"/>
    <cellStyle name="Normal 55 3 2 3 4 4" xfId="29012"/>
    <cellStyle name="Normal 55 3 2 3 4 5" xfId="29013"/>
    <cellStyle name="Normal 55 3 2 3 4 6" xfId="29014"/>
    <cellStyle name="Normal 55 3 2 4" xfId="29015"/>
    <cellStyle name="Normal 55 3 2 4 2" xfId="29016"/>
    <cellStyle name="Normal 55 3 2 4 3" xfId="29017"/>
    <cellStyle name="Normal 55 3 2 4 3 2" xfId="29018"/>
    <cellStyle name="Normal 55 3 2 4 3 3" xfId="29019"/>
    <cellStyle name="Normal 55 3 2 4 3 4" xfId="29020"/>
    <cellStyle name="Normal 55 3 2 4 3 5" xfId="29021"/>
    <cellStyle name="Normal 55 3 2 4 3 6" xfId="29022"/>
    <cellStyle name="Normal 55 3 2 4 4" xfId="29023"/>
    <cellStyle name="Normal 55 3 2 4 4 2" xfId="29024"/>
    <cellStyle name="Normal 55 3 2 4 4 3" xfId="29025"/>
    <cellStyle name="Normal 55 3 2 4 4 4" xfId="29026"/>
    <cellStyle name="Normal 55 3 2 4 4 5" xfId="29027"/>
    <cellStyle name="Normal 55 3 2 4 4 6" xfId="29028"/>
    <cellStyle name="Normal 55 3 2 5" xfId="29029"/>
    <cellStyle name="Normal 55 3 2 5 2" xfId="29030"/>
    <cellStyle name="Normal 55 3 2 5 3" xfId="29031"/>
    <cellStyle name="Normal 55 3 2 5 3 2" xfId="29032"/>
    <cellStyle name="Normal 55 3 2 5 3 3" xfId="29033"/>
    <cellStyle name="Normal 55 3 2 5 3 4" xfId="29034"/>
    <cellStyle name="Normal 55 3 2 5 3 5" xfId="29035"/>
    <cellStyle name="Normal 55 3 2 5 3 6" xfId="29036"/>
    <cellStyle name="Normal 55 3 2 5 4" xfId="29037"/>
    <cellStyle name="Normal 55 3 2 5 4 2" xfId="29038"/>
    <cellStyle name="Normal 55 3 2 5 4 3" xfId="29039"/>
    <cellStyle name="Normal 55 3 2 5 4 4" xfId="29040"/>
    <cellStyle name="Normal 55 3 2 5 4 5" xfId="29041"/>
    <cellStyle name="Normal 55 3 2 5 4 6" xfId="29042"/>
    <cellStyle name="Normal 55 3 2 6" xfId="29043"/>
    <cellStyle name="Normal 55 3 2 6 2" xfId="29044"/>
    <cellStyle name="Normal 55 3 2 6 2 2" xfId="29045"/>
    <cellStyle name="Normal 55 3 2 6 2 3" xfId="29046"/>
    <cellStyle name="Normal 55 3 2 6 2 4" xfId="29047"/>
    <cellStyle name="Normal 55 3 2 6 2 5" xfId="29048"/>
    <cellStyle name="Normal 55 3 2 6 2 6" xfId="29049"/>
    <cellStyle name="Normal 55 3 2 6 3" xfId="29050"/>
    <cellStyle name="Normal 55 3 2 6 4" xfId="29051"/>
    <cellStyle name="Normal 55 3 2 7" xfId="29052"/>
    <cellStyle name="Normal 55 3 2 7 2" xfId="29053"/>
    <cellStyle name="Normal 55 3 2 7 2 2" xfId="29054"/>
    <cellStyle name="Normal 55 3 2 7 2 3" xfId="29055"/>
    <cellStyle name="Normal 55 3 2 7 2 4" xfId="29056"/>
    <cellStyle name="Normal 55 3 2 7 2 5" xfId="29057"/>
    <cellStyle name="Normal 55 3 2 7 2 6" xfId="29058"/>
    <cellStyle name="Normal 55 3 2 7 3" xfId="29059"/>
    <cellStyle name="Normal 55 3 2 7 4" xfId="29060"/>
    <cellStyle name="Normal 55 3 2 8" xfId="29061"/>
    <cellStyle name="Normal 55 3 2 8 2" xfId="29062"/>
    <cellStyle name="Normal 55 3 2 8 2 2" xfId="29063"/>
    <cellStyle name="Normal 55 3 2 8 2 3" xfId="29064"/>
    <cellStyle name="Normal 55 3 2 8 2 4" xfId="29065"/>
    <cellStyle name="Normal 55 3 2 8 2 5" xfId="29066"/>
    <cellStyle name="Normal 55 3 2 8 2 6" xfId="29067"/>
    <cellStyle name="Normal 55 3 2 8 3" xfId="29068"/>
    <cellStyle name="Normal 55 3 2 8 4" xfId="29069"/>
    <cellStyle name="Normal 55 3 2 9" xfId="29070"/>
    <cellStyle name="Normal 55 3 2 9 2" xfId="29071"/>
    <cellStyle name="Normal 55 3 2 9 2 2" xfId="29072"/>
    <cellStyle name="Normal 55 3 2 9 2 3" xfId="29073"/>
    <cellStyle name="Normal 55 3 2 9 2 4" xfId="29074"/>
    <cellStyle name="Normal 55 3 2 9 2 5" xfId="29075"/>
    <cellStyle name="Normal 55 3 2 9 2 6" xfId="29076"/>
    <cellStyle name="Normal 55 3 2 9 3" xfId="29077"/>
    <cellStyle name="Normal 55 3 2 9 4" xfId="29078"/>
    <cellStyle name="Normal 55 3 20" xfId="29079"/>
    <cellStyle name="Normal 55 3 20 2" xfId="29080"/>
    <cellStyle name="Normal 55 3 20 3" xfId="29081"/>
    <cellStyle name="Normal 55 3 20 4" xfId="29082"/>
    <cellStyle name="Normal 55 3 20 5" xfId="29083"/>
    <cellStyle name="Normal 55 3 20 6" xfId="29084"/>
    <cellStyle name="Normal 55 3 21" xfId="29085"/>
    <cellStyle name="Normal 55 3 22" xfId="29086"/>
    <cellStyle name="Normal 55 3 3" xfId="29087"/>
    <cellStyle name="Normal 55 3 3 10" xfId="29088"/>
    <cellStyle name="Normal 55 3 3 10 2" xfId="29089"/>
    <cellStyle name="Normal 55 3 3 10 2 2" xfId="29090"/>
    <cellStyle name="Normal 55 3 3 10 2 3" xfId="29091"/>
    <cellStyle name="Normal 55 3 3 10 2 4" xfId="29092"/>
    <cellStyle name="Normal 55 3 3 10 2 5" xfId="29093"/>
    <cellStyle name="Normal 55 3 3 10 2 6" xfId="29094"/>
    <cellStyle name="Normal 55 3 3 10 3" xfId="29095"/>
    <cellStyle name="Normal 55 3 3 10 4" xfId="29096"/>
    <cellStyle name="Normal 55 3 3 11" xfId="29097"/>
    <cellStyle name="Normal 55 3 3 11 2" xfId="29098"/>
    <cellStyle name="Normal 55 3 3 11 2 2" xfId="29099"/>
    <cellStyle name="Normal 55 3 3 11 2 3" xfId="29100"/>
    <cellStyle name="Normal 55 3 3 11 2 4" xfId="29101"/>
    <cellStyle name="Normal 55 3 3 11 2 5" xfId="29102"/>
    <cellStyle name="Normal 55 3 3 11 2 6" xfId="29103"/>
    <cellStyle name="Normal 55 3 3 11 3" xfId="29104"/>
    <cellStyle name="Normal 55 3 3 11 4" xfId="29105"/>
    <cellStyle name="Normal 55 3 3 12" xfId="29106"/>
    <cellStyle name="Normal 55 3 3 12 2" xfId="29107"/>
    <cellStyle name="Normal 55 3 3 12 2 2" xfId="29108"/>
    <cellStyle name="Normal 55 3 3 12 2 3" xfId="29109"/>
    <cellStyle name="Normal 55 3 3 12 2 4" xfId="29110"/>
    <cellStyle name="Normal 55 3 3 12 2 5" xfId="29111"/>
    <cellStyle name="Normal 55 3 3 12 2 6" xfId="29112"/>
    <cellStyle name="Normal 55 3 3 12 3" xfId="29113"/>
    <cellStyle name="Normal 55 3 3 12 4" xfId="29114"/>
    <cellStyle name="Normal 55 3 3 13" xfId="29115"/>
    <cellStyle name="Normal 55 3 3 13 2" xfId="29116"/>
    <cellStyle name="Normal 55 3 3 13 2 2" xfId="29117"/>
    <cellStyle name="Normal 55 3 3 13 2 3" xfId="29118"/>
    <cellStyle name="Normal 55 3 3 13 2 4" xfId="29119"/>
    <cellStyle name="Normal 55 3 3 13 2 5" xfId="29120"/>
    <cellStyle name="Normal 55 3 3 13 2 6" xfId="29121"/>
    <cellStyle name="Normal 55 3 3 13 3" xfId="29122"/>
    <cellStyle name="Normal 55 3 3 13 4" xfId="29123"/>
    <cellStyle name="Normal 55 3 3 14" xfId="29124"/>
    <cellStyle name="Normal 55 3 3 14 2" xfId="29125"/>
    <cellStyle name="Normal 55 3 3 14 2 2" xfId="29126"/>
    <cellStyle name="Normal 55 3 3 14 2 3" xfId="29127"/>
    <cellStyle name="Normal 55 3 3 14 2 4" xfId="29128"/>
    <cellStyle name="Normal 55 3 3 14 2 5" xfId="29129"/>
    <cellStyle name="Normal 55 3 3 14 2 6" xfId="29130"/>
    <cellStyle name="Normal 55 3 3 14 3" xfId="29131"/>
    <cellStyle name="Normal 55 3 3 14 4" xfId="29132"/>
    <cellStyle name="Normal 55 3 3 15" xfId="29133"/>
    <cellStyle name="Normal 55 3 3 15 2" xfId="29134"/>
    <cellStyle name="Normal 55 3 3 15 2 2" xfId="29135"/>
    <cellStyle name="Normal 55 3 3 15 2 3" xfId="29136"/>
    <cellStyle name="Normal 55 3 3 15 2 4" xfId="29137"/>
    <cellStyle name="Normal 55 3 3 15 2 5" xfId="29138"/>
    <cellStyle name="Normal 55 3 3 15 2 6" xfId="29139"/>
    <cellStyle name="Normal 55 3 3 15 3" xfId="29140"/>
    <cellStyle name="Normal 55 3 3 15 4" xfId="29141"/>
    <cellStyle name="Normal 55 3 3 16" xfId="29142"/>
    <cellStyle name="Normal 55 3 3 16 2" xfId="29143"/>
    <cellStyle name="Normal 55 3 3 16 2 2" xfId="29144"/>
    <cellStyle name="Normal 55 3 3 16 2 3" xfId="29145"/>
    <cellStyle name="Normal 55 3 3 16 2 4" xfId="29146"/>
    <cellStyle name="Normal 55 3 3 16 2 5" xfId="29147"/>
    <cellStyle name="Normal 55 3 3 16 2 6" xfId="29148"/>
    <cellStyle name="Normal 55 3 3 16 3" xfId="29149"/>
    <cellStyle name="Normal 55 3 3 16 4" xfId="29150"/>
    <cellStyle name="Normal 55 3 3 17" xfId="29151"/>
    <cellStyle name="Normal 55 3 3 18" xfId="29152"/>
    <cellStyle name="Normal 55 3 3 18 2" xfId="29153"/>
    <cellStyle name="Normal 55 3 3 18 3" xfId="29154"/>
    <cellStyle name="Normal 55 3 3 18 4" xfId="29155"/>
    <cellStyle name="Normal 55 3 3 18 5" xfId="29156"/>
    <cellStyle name="Normal 55 3 3 18 6" xfId="29157"/>
    <cellStyle name="Normal 55 3 3 19" xfId="29158"/>
    <cellStyle name="Normal 55 3 3 19 2" xfId="29159"/>
    <cellStyle name="Normal 55 3 3 19 3" xfId="29160"/>
    <cellStyle name="Normal 55 3 3 19 4" xfId="29161"/>
    <cellStyle name="Normal 55 3 3 19 5" xfId="29162"/>
    <cellStyle name="Normal 55 3 3 19 6" xfId="29163"/>
    <cellStyle name="Normal 55 3 3 2" xfId="29164"/>
    <cellStyle name="Normal 55 3 3 2 2" xfId="29165"/>
    <cellStyle name="Normal 55 3 3 2 2 2" xfId="29166"/>
    <cellStyle name="Normal 55 3 3 2 2 3" xfId="29167"/>
    <cellStyle name="Normal 55 3 3 2 2 4" xfId="29168"/>
    <cellStyle name="Normal 55 3 3 2 2 5" xfId="29169"/>
    <cellStyle name="Normal 55 3 3 2 2 6" xfId="29170"/>
    <cellStyle name="Normal 55 3 3 2 3" xfId="29171"/>
    <cellStyle name="Normal 55 3 3 2 4" xfId="29172"/>
    <cellStyle name="Normal 55 3 3 3" xfId="29173"/>
    <cellStyle name="Normal 55 3 3 3 2" xfId="29174"/>
    <cellStyle name="Normal 55 3 3 3 2 2" xfId="29175"/>
    <cellStyle name="Normal 55 3 3 3 2 3" xfId="29176"/>
    <cellStyle name="Normal 55 3 3 3 2 4" xfId="29177"/>
    <cellStyle name="Normal 55 3 3 3 2 5" xfId="29178"/>
    <cellStyle name="Normal 55 3 3 3 2 6" xfId="29179"/>
    <cellStyle name="Normal 55 3 3 3 3" xfId="29180"/>
    <cellStyle name="Normal 55 3 3 3 4" xfId="29181"/>
    <cellStyle name="Normal 55 3 3 4" xfId="29182"/>
    <cellStyle name="Normal 55 3 3 4 2" xfId="29183"/>
    <cellStyle name="Normal 55 3 3 4 2 2" xfId="29184"/>
    <cellStyle name="Normal 55 3 3 4 2 3" xfId="29185"/>
    <cellStyle name="Normal 55 3 3 4 2 4" xfId="29186"/>
    <cellStyle name="Normal 55 3 3 4 2 5" xfId="29187"/>
    <cellStyle name="Normal 55 3 3 4 2 6" xfId="29188"/>
    <cellStyle name="Normal 55 3 3 4 3" xfId="29189"/>
    <cellStyle name="Normal 55 3 3 4 4" xfId="29190"/>
    <cellStyle name="Normal 55 3 3 5" xfId="29191"/>
    <cellStyle name="Normal 55 3 3 5 2" xfId="29192"/>
    <cellStyle name="Normal 55 3 3 5 2 2" xfId="29193"/>
    <cellStyle name="Normal 55 3 3 5 2 3" xfId="29194"/>
    <cellStyle name="Normal 55 3 3 5 2 4" xfId="29195"/>
    <cellStyle name="Normal 55 3 3 5 2 5" xfId="29196"/>
    <cellStyle name="Normal 55 3 3 5 2 6" xfId="29197"/>
    <cellStyle name="Normal 55 3 3 5 3" xfId="29198"/>
    <cellStyle name="Normal 55 3 3 5 4" xfId="29199"/>
    <cellStyle name="Normal 55 3 3 6" xfId="29200"/>
    <cellStyle name="Normal 55 3 3 6 2" xfId="29201"/>
    <cellStyle name="Normal 55 3 3 6 2 2" xfId="29202"/>
    <cellStyle name="Normal 55 3 3 6 2 3" xfId="29203"/>
    <cellStyle name="Normal 55 3 3 6 2 4" xfId="29204"/>
    <cellStyle name="Normal 55 3 3 6 2 5" xfId="29205"/>
    <cellStyle name="Normal 55 3 3 6 2 6" xfId="29206"/>
    <cellStyle name="Normal 55 3 3 6 3" xfId="29207"/>
    <cellStyle name="Normal 55 3 3 6 4" xfId="29208"/>
    <cellStyle name="Normal 55 3 3 7" xfId="29209"/>
    <cellStyle name="Normal 55 3 3 7 2" xfId="29210"/>
    <cellStyle name="Normal 55 3 3 7 2 2" xfId="29211"/>
    <cellStyle name="Normal 55 3 3 7 2 3" xfId="29212"/>
    <cellStyle name="Normal 55 3 3 7 2 4" xfId="29213"/>
    <cellStyle name="Normal 55 3 3 7 2 5" xfId="29214"/>
    <cellStyle name="Normal 55 3 3 7 2 6" xfId="29215"/>
    <cellStyle name="Normal 55 3 3 7 3" xfId="29216"/>
    <cellStyle name="Normal 55 3 3 7 4" xfId="29217"/>
    <cellStyle name="Normal 55 3 3 8" xfId="29218"/>
    <cellStyle name="Normal 55 3 3 8 2" xfId="29219"/>
    <cellStyle name="Normal 55 3 3 8 2 2" xfId="29220"/>
    <cellStyle name="Normal 55 3 3 8 2 3" xfId="29221"/>
    <cellStyle name="Normal 55 3 3 8 2 4" xfId="29222"/>
    <cellStyle name="Normal 55 3 3 8 2 5" xfId="29223"/>
    <cellStyle name="Normal 55 3 3 8 2 6" xfId="29224"/>
    <cellStyle name="Normal 55 3 3 8 3" xfId="29225"/>
    <cellStyle name="Normal 55 3 3 8 4" xfId="29226"/>
    <cellStyle name="Normal 55 3 3 9" xfId="29227"/>
    <cellStyle name="Normal 55 3 3 9 2" xfId="29228"/>
    <cellStyle name="Normal 55 3 3 9 2 2" xfId="29229"/>
    <cellStyle name="Normal 55 3 3 9 2 3" xfId="29230"/>
    <cellStyle name="Normal 55 3 3 9 2 4" xfId="29231"/>
    <cellStyle name="Normal 55 3 3 9 2 5" xfId="29232"/>
    <cellStyle name="Normal 55 3 3 9 2 6" xfId="29233"/>
    <cellStyle name="Normal 55 3 3 9 3" xfId="29234"/>
    <cellStyle name="Normal 55 3 3 9 4" xfId="29235"/>
    <cellStyle name="Normal 55 3 4" xfId="29236"/>
    <cellStyle name="Normal 55 3 4 2" xfId="29237"/>
    <cellStyle name="Normal 55 3 4 2 2" xfId="29238"/>
    <cellStyle name="Normal 55 3 4 2 3" xfId="29239"/>
    <cellStyle name="Normal 55 3 4 2 4" xfId="29240"/>
    <cellStyle name="Normal 55 3 4 2 5" xfId="29241"/>
    <cellStyle name="Normal 55 3 4 2 6" xfId="29242"/>
    <cellStyle name="Normal 55 3 4 3" xfId="29243"/>
    <cellStyle name="Normal 55 3 4 4" xfId="29244"/>
    <cellStyle name="Normal 55 3 5" xfId="29245"/>
    <cellStyle name="Normal 55 3 5 2" xfId="29246"/>
    <cellStyle name="Normal 55 3 5 2 2" xfId="29247"/>
    <cellStyle name="Normal 55 3 5 2 3" xfId="29248"/>
    <cellStyle name="Normal 55 3 5 2 4" xfId="29249"/>
    <cellStyle name="Normal 55 3 5 2 5" xfId="29250"/>
    <cellStyle name="Normal 55 3 5 2 6" xfId="29251"/>
    <cellStyle name="Normal 55 3 5 3" xfId="29252"/>
    <cellStyle name="Normal 55 3 5 4" xfId="29253"/>
    <cellStyle name="Normal 55 3 6" xfId="29254"/>
    <cellStyle name="Normal 55 3 6 2" xfId="29255"/>
    <cellStyle name="Normal 55 3 6 3" xfId="29256"/>
    <cellStyle name="Normal 55 3 6 3 2" xfId="29257"/>
    <cellStyle name="Normal 55 3 6 3 3" xfId="29258"/>
    <cellStyle name="Normal 55 3 6 3 4" xfId="29259"/>
    <cellStyle name="Normal 55 3 6 3 5" xfId="29260"/>
    <cellStyle name="Normal 55 3 6 3 6" xfId="29261"/>
    <cellStyle name="Normal 55 3 6 4" xfId="29262"/>
    <cellStyle name="Normal 55 3 6 4 2" xfId="29263"/>
    <cellStyle name="Normal 55 3 6 4 3" xfId="29264"/>
    <cellStyle name="Normal 55 3 6 4 4" xfId="29265"/>
    <cellStyle name="Normal 55 3 6 4 5" xfId="29266"/>
    <cellStyle name="Normal 55 3 6 4 6" xfId="29267"/>
    <cellStyle name="Normal 55 3 7" xfId="29268"/>
    <cellStyle name="Normal 55 3 7 2" xfId="29269"/>
    <cellStyle name="Normal 55 3 7 3" xfId="29270"/>
    <cellStyle name="Normal 55 3 7 3 2" xfId="29271"/>
    <cellStyle name="Normal 55 3 7 3 3" xfId="29272"/>
    <cellStyle name="Normal 55 3 7 3 4" xfId="29273"/>
    <cellStyle name="Normal 55 3 7 3 5" xfId="29274"/>
    <cellStyle name="Normal 55 3 7 3 6" xfId="29275"/>
    <cellStyle name="Normal 55 3 7 4" xfId="29276"/>
    <cellStyle name="Normal 55 3 7 4 2" xfId="29277"/>
    <cellStyle name="Normal 55 3 7 4 3" xfId="29278"/>
    <cellStyle name="Normal 55 3 7 4 4" xfId="29279"/>
    <cellStyle name="Normal 55 3 7 4 5" xfId="29280"/>
    <cellStyle name="Normal 55 3 7 4 6" xfId="29281"/>
    <cellStyle name="Normal 55 3 8" xfId="29282"/>
    <cellStyle name="Normal 55 3 8 2" xfId="29283"/>
    <cellStyle name="Normal 55 3 8 3" xfId="29284"/>
    <cellStyle name="Normal 55 3 8 3 2" xfId="29285"/>
    <cellStyle name="Normal 55 3 8 3 3" xfId="29286"/>
    <cellStyle name="Normal 55 3 8 3 4" xfId="29287"/>
    <cellStyle name="Normal 55 3 8 3 5" xfId="29288"/>
    <cellStyle name="Normal 55 3 8 3 6" xfId="29289"/>
    <cellStyle name="Normal 55 3 8 4" xfId="29290"/>
    <cellStyle name="Normal 55 3 8 4 2" xfId="29291"/>
    <cellStyle name="Normal 55 3 8 4 3" xfId="29292"/>
    <cellStyle name="Normal 55 3 8 4 4" xfId="29293"/>
    <cellStyle name="Normal 55 3 8 4 5" xfId="29294"/>
    <cellStyle name="Normal 55 3 8 4 6" xfId="29295"/>
    <cellStyle name="Normal 55 3 9" xfId="29296"/>
    <cellStyle name="Normal 55 3 9 2" xfId="29297"/>
    <cellStyle name="Normal 55 3 9 3" xfId="29298"/>
    <cellStyle name="Normal 55 3 9 3 2" xfId="29299"/>
    <cellStyle name="Normal 55 3 9 3 3" xfId="29300"/>
    <cellStyle name="Normal 55 3 9 3 4" xfId="29301"/>
    <cellStyle name="Normal 55 3 9 3 5" xfId="29302"/>
    <cellStyle name="Normal 55 3 9 3 6" xfId="29303"/>
    <cellStyle name="Normal 55 3 9 4" xfId="29304"/>
    <cellStyle name="Normal 55 3 9 4 2" xfId="29305"/>
    <cellStyle name="Normal 55 3 9 4 3" xfId="29306"/>
    <cellStyle name="Normal 55 3 9 4 4" xfId="29307"/>
    <cellStyle name="Normal 55 3 9 4 5" xfId="29308"/>
    <cellStyle name="Normal 55 3 9 4 6" xfId="29309"/>
    <cellStyle name="Normal 55 4" xfId="29310"/>
    <cellStyle name="Normal 55 4 2" xfId="29311"/>
    <cellStyle name="Normal 55 4 2 2" xfId="29312"/>
    <cellStyle name="Normal 55 4 2 3" xfId="29313"/>
    <cellStyle name="Normal 55 4 2 4" xfId="29314"/>
    <cellStyle name="Normal 55 4 2 5" xfId="29315"/>
    <cellStyle name="Normal 55 4 2 6" xfId="29316"/>
    <cellStyle name="Normal 55 4 3" xfId="29317"/>
    <cellStyle name="Normal 55 4 4" xfId="29318"/>
    <cellStyle name="Normal 55 5" xfId="29319"/>
    <cellStyle name="Normal 55 5 2" xfId="29320"/>
    <cellStyle name="Normal 55 5 3" xfId="29321"/>
    <cellStyle name="Normal 55 5 3 2" xfId="29322"/>
    <cellStyle name="Normal 55 5 3 3" xfId="29323"/>
    <cellStyle name="Normal 55 5 3 4" xfId="29324"/>
    <cellStyle name="Normal 55 5 3 5" xfId="29325"/>
    <cellStyle name="Normal 55 5 3 6" xfId="29326"/>
    <cellStyle name="Normal 55 5 4" xfId="29327"/>
    <cellStyle name="Normal 55 5 4 2" xfId="29328"/>
    <cellStyle name="Normal 55 5 4 3" xfId="29329"/>
    <cellStyle name="Normal 55 5 4 4" xfId="29330"/>
    <cellStyle name="Normal 55 5 4 5" xfId="29331"/>
    <cellStyle name="Normal 55 5 4 6" xfId="29332"/>
    <cellStyle name="Normal 55 6" xfId="29333"/>
    <cellStyle name="Normal 55 6 2" xfId="29334"/>
    <cellStyle name="Normal 55 6 3" xfId="29335"/>
    <cellStyle name="Normal 55 6 3 2" xfId="29336"/>
    <cellStyle name="Normal 55 6 3 3" xfId="29337"/>
    <cellStyle name="Normal 55 6 3 4" xfId="29338"/>
    <cellStyle name="Normal 55 6 3 5" xfId="29339"/>
    <cellStyle name="Normal 55 6 3 6" xfId="29340"/>
    <cellStyle name="Normal 55 6 4" xfId="29341"/>
    <cellStyle name="Normal 55 6 4 2" xfId="29342"/>
    <cellStyle name="Normal 55 6 4 3" xfId="29343"/>
    <cellStyle name="Normal 55 6 4 4" xfId="29344"/>
    <cellStyle name="Normal 55 6 4 5" xfId="29345"/>
    <cellStyle name="Normal 55 6 4 6" xfId="29346"/>
    <cellStyle name="Normal 55 7" xfId="29347"/>
    <cellStyle name="Normal 55 7 2" xfId="29348"/>
    <cellStyle name="Normal 55 7 3" xfId="29349"/>
    <cellStyle name="Normal 55 7 3 2" xfId="29350"/>
    <cellStyle name="Normal 55 7 3 3" xfId="29351"/>
    <cellStyle name="Normal 55 7 3 4" xfId="29352"/>
    <cellStyle name="Normal 55 7 3 5" xfId="29353"/>
    <cellStyle name="Normal 55 7 3 6" xfId="29354"/>
    <cellStyle name="Normal 55 7 4" xfId="29355"/>
    <cellStyle name="Normal 55 7 4 2" xfId="29356"/>
    <cellStyle name="Normal 55 7 4 3" xfId="29357"/>
    <cellStyle name="Normal 55 7 4 4" xfId="29358"/>
    <cellStyle name="Normal 55 7 4 5" xfId="29359"/>
    <cellStyle name="Normal 55 7 4 6" xfId="29360"/>
    <cellStyle name="Normal 55 8" xfId="29361"/>
    <cellStyle name="Normal 55 9" xfId="29362"/>
    <cellStyle name="Normal 55 9 2" xfId="29363"/>
    <cellStyle name="Normal 55 9 3" xfId="29364"/>
    <cellStyle name="Normal 55 9 4" xfId="29365"/>
    <cellStyle name="Normal 55 9 5" xfId="29366"/>
    <cellStyle name="Normal 55 9 6" xfId="29367"/>
    <cellStyle name="Normal 56" xfId="29368"/>
    <cellStyle name="Normal 56 10" xfId="29369"/>
    <cellStyle name="Normal 56 10 2" xfId="29370"/>
    <cellStyle name="Normal 56 10 3" xfId="29371"/>
    <cellStyle name="Normal 56 10 4" xfId="29372"/>
    <cellStyle name="Normal 56 10 5" xfId="29373"/>
    <cellStyle name="Normal 56 10 6" xfId="29374"/>
    <cellStyle name="Normal 56 2" xfId="29375"/>
    <cellStyle name="Normal 56 2 2" xfId="29376"/>
    <cellStyle name="Normal 56 2 2 2" xfId="29377"/>
    <cellStyle name="Normal 56 2 2 2 2" xfId="29378"/>
    <cellStyle name="Normal 56 2 2 2 2 2" xfId="29379"/>
    <cellStyle name="Normal 56 2 2 2 2 3" xfId="29380"/>
    <cellStyle name="Normal 56 2 2 2 2 4" xfId="29381"/>
    <cellStyle name="Normal 56 2 2 2 2 5" xfId="29382"/>
    <cellStyle name="Normal 56 2 2 2 2 6" xfId="29383"/>
    <cellStyle name="Normal 56 2 2 2 3" xfId="29384"/>
    <cellStyle name="Normal 56 2 2 2 4" xfId="29385"/>
    <cellStyle name="Normal 56 2 2 3" xfId="29386"/>
    <cellStyle name="Normal 56 2 2 4" xfId="29387"/>
    <cellStyle name="Normal 56 2 2 4 2" xfId="29388"/>
    <cellStyle name="Normal 56 2 2 4 3" xfId="29389"/>
    <cellStyle name="Normal 56 2 2 4 4" xfId="29390"/>
    <cellStyle name="Normal 56 2 2 4 5" xfId="29391"/>
    <cellStyle name="Normal 56 2 2 4 6" xfId="29392"/>
    <cellStyle name="Normal 56 2 2 5" xfId="29393"/>
    <cellStyle name="Normal 56 2 2 5 2" xfId="29394"/>
    <cellStyle name="Normal 56 2 2 5 3" xfId="29395"/>
    <cellStyle name="Normal 56 2 2 5 4" xfId="29396"/>
    <cellStyle name="Normal 56 2 2 5 5" xfId="29397"/>
    <cellStyle name="Normal 56 2 2 5 6" xfId="29398"/>
    <cellStyle name="Normal 56 2 3" xfId="29399"/>
    <cellStyle name="Normal 56 2 3 2" xfId="29400"/>
    <cellStyle name="Normal 56 2 3 2 2" xfId="29401"/>
    <cellStyle name="Normal 56 2 3 2 3" xfId="29402"/>
    <cellStyle name="Normal 56 2 3 2 4" xfId="29403"/>
    <cellStyle name="Normal 56 2 3 2 5" xfId="29404"/>
    <cellStyle name="Normal 56 2 3 2 6" xfId="29405"/>
    <cellStyle name="Normal 56 2 3 3" xfId="29406"/>
    <cellStyle name="Normal 56 2 3 4" xfId="29407"/>
    <cellStyle name="Normal 56 2 4" xfId="29408"/>
    <cellStyle name="Normal 56 2 4 2" xfId="29409"/>
    <cellStyle name="Normal 56 2 4 3" xfId="29410"/>
    <cellStyle name="Normal 56 2 4 4" xfId="29411"/>
    <cellStyle name="Normal 56 2 4 5" xfId="29412"/>
    <cellStyle name="Normal 56 2 4 6" xfId="29413"/>
    <cellStyle name="Normal 56 2 5" xfId="29414"/>
    <cellStyle name="Normal 56 2 6" xfId="29415"/>
    <cellStyle name="Normal 56 3" xfId="29416"/>
    <cellStyle name="Normal 56 3 10" xfId="29417"/>
    <cellStyle name="Normal 56 3 10 2" xfId="29418"/>
    <cellStyle name="Normal 56 3 10 3" xfId="29419"/>
    <cellStyle name="Normal 56 3 10 3 2" xfId="29420"/>
    <cellStyle name="Normal 56 3 10 3 3" xfId="29421"/>
    <cellStyle name="Normal 56 3 10 3 4" xfId="29422"/>
    <cellStyle name="Normal 56 3 10 3 5" xfId="29423"/>
    <cellStyle name="Normal 56 3 10 3 6" xfId="29424"/>
    <cellStyle name="Normal 56 3 10 4" xfId="29425"/>
    <cellStyle name="Normal 56 3 10 4 2" xfId="29426"/>
    <cellStyle name="Normal 56 3 10 4 3" xfId="29427"/>
    <cellStyle name="Normal 56 3 10 4 4" xfId="29428"/>
    <cellStyle name="Normal 56 3 10 4 5" xfId="29429"/>
    <cellStyle name="Normal 56 3 10 4 6" xfId="29430"/>
    <cellStyle name="Normal 56 3 11" xfId="29431"/>
    <cellStyle name="Normal 56 3 11 2" xfId="29432"/>
    <cellStyle name="Normal 56 3 11 3" xfId="29433"/>
    <cellStyle name="Normal 56 3 11 3 2" xfId="29434"/>
    <cellStyle name="Normal 56 3 11 3 3" xfId="29435"/>
    <cellStyle name="Normal 56 3 11 3 4" xfId="29436"/>
    <cellStyle name="Normal 56 3 11 3 5" xfId="29437"/>
    <cellStyle name="Normal 56 3 11 3 6" xfId="29438"/>
    <cellStyle name="Normal 56 3 11 4" xfId="29439"/>
    <cellStyle name="Normal 56 3 11 4 2" xfId="29440"/>
    <cellStyle name="Normal 56 3 11 4 3" xfId="29441"/>
    <cellStyle name="Normal 56 3 11 4 4" xfId="29442"/>
    <cellStyle name="Normal 56 3 11 4 5" xfId="29443"/>
    <cellStyle name="Normal 56 3 11 4 6" xfId="29444"/>
    <cellStyle name="Normal 56 3 12" xfId="29445"/>
    <cellStyle name="Normal 56 3 12 2" xfId="29446"/>
    <cellStyle name="Normal 56 3 12 3" xfId="29447"/>
    <cellStyle name="Normal 56 3 12 3 2" xfId="29448"/>
    <cellStyle name="Normal 56 3 12 3 3" xfId="29449"/>
    <cellStyle name="Normal 56 3 12 3 4" xfId="29450"/>
    <cellStyle name="Normal 56 3 12 3 5" xfId="29451"/>
    <cellStyle name="Normal 56 3 12 3 6" xfId="29452"/>
    <cellStyle name="Normal 56 3 12 4" xfId="29453"/>
    <cellStyle name="Normal 56 3 12 4 2" xfId="29454"/>
    <cellStyle name="Normal 56 3 12 4 3" xfId="29455"/>
    <cellStyle name="Normal 56 3 12 4 4" xfId="29456"/>
    <cellStyle name="Normal 56 3 12 4 5" xfId="29457"/>
    <cellStyle name="Normal 56 3 12 4 6" xfId="29458"/>
    <cellStyle name="Normal 56 3 13" xfId="29459"/>
    <cellStyle name="Normal 56 3 13 2" xfId="29460"/>
    <cellStyle name="Normal 56 3 13 3" xfId="29461"/>
    <cellStyle name="Normal 56 3 13 3 2" xfId="29462"/>
    <cellStyle name="Normal 56 3 13 3 3" xfId="29463"/>
    <cellStyle name="Normal 56 3 13 3 4" xfId="29464"/>
    <cellStyle name="Normal 56 3 13 3 5" xfId="29465"/>
    <cellStyle name="Normal 56 3 13 3 6" xfId="29466"/>
    <cellStyle name="Normal 56 3 13 4" xfId="29467"/>
    <cellStyle name="Normal 56 3 13 4 2" xfId="29468"/>
    <cellStyle name="Normal 56 3 13 4 3" xfId="29469"/>
    <cellStyle name="Normal 56 3 13 4 4" xfId="29470"/>
    <cellStyle name="Normal 56 3 13 4 5" xfId="29471"/>
    <cellStyle name="Normal 56 3 13 4 6" xfId="29472"/>
    <cellStyle name="Normal 56 3 14" xfId="29473"/>
    <cellStyle name="Normal 56 3 14 2" xfId="29474"/>
    <cellStyle name="Normal 56 3 14 3" xfId="29475"/>
    <cellStyle name="Normal 56 3 14 3 2" xfId="29476"/>
    <cellStyle name="Normal 56 3 14 3 3" xfId="29477"/>
    <cellStyle name="Normal 56 3 14 3 4" xfId="29478"/>
    <cellStyle name="Normal 56 3 14 3 5" xfId="29479"/>
    <cellStyle name="Normal 56 3 14 3 6" xfId="29480"/>
    <cellStyle name="Normal 56 3 14 4" xfId="29481"/>
    <cellStyle name="Normal 56 3 14 4 2" xfId="29482"/>
    <cellStyle name="Normal 56 3 14 4 3" xfId="29483"/>
    <cellStyle name="Normal 56 3 14 4 4" xfId="29484"/>
    <cellStyle name="Normal 56 3 14 4 5" xfId="29485"/>
    <cellStyle name="Normal 56 3 14 4 6" xfId="29486"/>
    <cellStyle name="Normal 56 3 15" xfId="29487"/>
    <cellStyle name="Normal 56 3 15 2" xfId="29488"/>
    <cellStyle name="Normal 56 3 15 3" xfId="29489"/>
    <cellStyle name="Normal 56 3 15 3 2" xfId="29490"/>
    <cellStyle name="Normal 56 3 15 3 3" xfId="29491"/>
    <cellStyle name="Normal 56 3 15 3 4" xfId="29492"/>
    <cellStyle name="Normal 56 3 15 3 5" xfId="29493"/>
    <cellStyle name="Normal 56 3 15 3 6" xfId="29494"/>
    <cellStyle name="Normal 56 3 15 4" xfId="29495"/>
    <cellStyle name="Normal 56 3 15 4 2" xfId="29496"/>
    <cellStyle name="Normal 56 3 15 4 3" xfId="29497"/>
    <cellStyle name="Normal 56 3 15 4 4" xfId="29498"/>
    <cellStyle name="Normal 56 3 15 4 5" xfId="29499"/>
    <cellStyle name="Normal 56 3 15 4 6" xfId="29500"/>
    <cellStyle name="Normal 56 3 16" xfId="29501"/>
    <cellStyle name="Normal 56 3 16 2" xfId="29502"/>
    <cellStyle name="Normal 56 3 16 3" xfId="29503"/>
    <cellStyle name="Normal 56 3 16 3 2" xfId="29504"/>
    <cellStyle name="Normal 56 3 16 3 3" xfId="29505"/>
    <cellStyle name="Normal 56 3 16 3 4" xfId="29506"/>
    <cellStyle name="Normal 56 3 16 3 5" xfId="29507"/>
    <cellStyle name="Normal 56 3 16 3 6" xfId="29508"/>
    <cellStyle name="Normal 56 3 16 4" xfId="29509"/>
    <cellStyle name="Normal 56 3 16 4 2" xfId="29510"/>
    <cellStyle name="Normal 56 3 16 4 3" xfId="29511"/>
    <cellStyle name="Normal 56 3 16 4 4" xfId="29512"/>
    <cellStyle name="Normal 56 3 16 4 5" xfId="29513"/>
    <cellStyle name="Normal 56 3 16 4 6" xfId="29514"/>
    <cellStyle name="Normal 56 3 17" xfId="29515"/>
    <cellStyle name="Normal 56 3 17 2" xfId="29516"/>
    <cellStyle name="Normal 56 3 17 3" xfId="29517"/>
    <cellStyle name="Normal 56 3 17 3 2" xfId="29518"/>
    <cellStyle name="Normal 56 3 17 3 3" xfId="29519"/>
    <cellStyle name="Normal 56 3 17 3 4" xfId="29520"/>
    <cellStyle name="Normal 56 3 17 3 5" xfId="29521"/>
    <cellStyle name="Normal 56 3 17 3 6" xfId="29522"/>
    <cellStyle name="Normal 56 3 17 4" xfId="29523"/>
    <cellStyle name="Normal 56 3 17 4 2" xfId="29524"/>
    <cellStyle name="Normal 56 3 17 4 3" xfId="29525"/>
    <cellStyle name="Normal 56 3 17 4 4" xfId="29526"/>
    <cellStyle name="Normal 56 3 17 4 5" xfId="29527"/>
    <cellStyle name="Normal 56 3 17 4 6" xfId="29528"/>
    <cellStyle name="Normal 56 3 18" xfId="29529"/>
    <cellStyle name="Normal 56 3 18 2" xfId="29530"/>
    <cellStyle name="Normal 56 3 18 3" xfId="29531"/>
    <cellStyle name="Normal 56 3 18 3 2" xfId="29532"/>
    <cellStyle name="Normal 56 3 18 3 3" xfId="29533"/>
    <cellStyle name="Normal 56 3 18 3 4" xfId="29534"/>
    <cellStyle name="Normal 56 3 18 3 5" xfId="29535"/>
    <cellStyle name="Normal 56 3 18 3 6" xfId="29536"/>
    <cellStyle name="Normal 56 3 18 4" xfId="29537"/>
    <cellStyle name="Normal 56 3 18 4 2" xfId="29538"/>
    <cellStyle name="Normal 56 3 18 4 3" xfId="29539"/>
    <cellStyle name="Normal 56 3 18 4 4" xfId="29540"/>
    <cellStyle name="Normal 56 3 18 4 5" xfId="29541"/>
    <cellStyle name="Normal 56 3 18 4 6" xfId="29542"/>
    <cellStyle name="Normal 56 3 19" xfId="29543"/>
    <cellStyle name="Normal 56 3 19 2" xfId="29544"/>
    <cellStyle name="Normal 56 3 19 3" xfId="29545"/>
    <cellStyle name="Normal 56 3 19 3 2" xfId="29546"/>
    <cellStyle name="Normal 56 3 19 3 3" xfId="29547"/>
    <cellStyle name="Normal 56 3 19 3 4" xfId="29548"/>
    <cellStyle name="Normal 56 3 19 3 5" xfId="29549"/>
    <cellStyle name="Normal 56 3 19 3 6" xfId="29550"/>
    <cellStyle name="Normal 56 3 19 4" xfId="29551"/>
    <cellStyle name="Normal 56 3 19 4 2" xfId="29552"/>
    <cellStyle name="Normal 56 3 19 4 3" xfId="29553"/>
    <cellStyle name="Normal 56 3 19 4 4" xfId="29554"/>
    <cellStyle name="Normal 56 3 19 4 5" xfId="29555"/>
    <cellStyle name="Normal 56 3 19 4 6" xfId="29556"/>
    <cellStyle name="Normal 56 3 2" xfId="29557"/>
    <cellStyle name="Normal 56 3 2 10" xfId="29558"/>
    <cellStyle name="Normal 56 3 2 10 2" xfId="29559"/>
    <cellStyle name="Normal 56 3 2 10 2 2" xfId="29560"/>
    <cellStyle name="Normal 56 3 2 10 2 3" xfId="29561"/>
    <cellStyle name="Normal 56 3 2 10 2 4" xfId="29562"/>
    <cellStyle name="Normal 56 3 2 10 2 5" xfId="29563"/>
    <cellStyle name="Normal 56 3 2 10 2 6" xfId="29564"/>
    <cellStyle name="Normal 56 3 2 10 3" xfId="29565"/>
    <cellStyle name="Normal 56 3 2 10 4" xfId="29566"/>
    <cellStyle name="Normal 56 3 2 11" xfId="29567"/>
    <cellStyle name="Normal 56 3 2 11 2" xfId="29568"/>
    <cellStyle name="Normal 56 3 2 11 2 2" xfId="29569"/>
    <cellStyle name="Normal 56 3 2 11 2 3" xfId="29570"/>
    <cellStyle name="Normal 56 3 2 11 2 4" xfId="29571"/>
    <cellStyle name="Normal 56 3 2 11 2 5" xfId="29572"/>
    <cellStyle name="Normal 56 3 2 11 2 6" xfId="29573"/>
    <cellStyle name="Normal 56 3 2 11 3" xfId="29574"/>
    <cellStyle name="Normal 56 3 2 11 4" xfId="29575"/>
    <cellStyle name="Normal 56 3 2 12" xfId="29576"/>
    <cellStyle name="Normal 56 3 2 12 2" xfId="29577"/>
    <cellStyle name="Normal 56 3 2 12 2 2" xfId="29578"/>
    <cellStyle name="Normal 56 3 2 12 2 3" xfId="29579"/>
    <cellStyle name="Normal 56 3 2 12 2 4" xfId="29580"/>
    <cellStyle name="Normal 56 3 2 12 2 5" xfId="29581"/>
    <cellStyle name="Normal 56 3 2 12 2 6" xfId="29582"/>
    <cellStyle name="Normal 56 3 2 12 3" xfId="29583"/>
    <cellStyle name="Normal 56 3 2 12 4" xfId="29584"/>
    <cellStyle name="Normal 56 3 2 13" xfId="29585"/>
    <cellStyle name="Normal 56 3 2 13 2" xfId="29586"/>
    <cellStyle name="Normal 56 3 2 13 2 2" xfId="29587"/>
    <cellStyle name="Normal 56 3 2 13 2 3" xfId="29588"/>
    <cellStyle name="Normal 56 3 2 13 2 4" xfId="29589"/>
    <cellStyle name="Normal 56 3 2 13 2 5" xfId="29590"/>
    <cellStyle name="Normal 56 3 2 13 2 6" xfId="29591"/>
    <cellStyle name="Normal 56 3 2 13 3" xfId="29592"/>
    <cellStyle name="Normal 56 3 2 13 4" xfId="29593"/>
    <cellStyle name="Normal 56 3 2 14" xfId="29594"/>
    <cellStyle name="Normal 56 3 2 14 2" xfId="29595"/>
    <cellStyle name="Normal 56 3 2 14 2 2" xfId="29596"/>
    <cellStyle name="Normal 56 3 2 14 2 3" xfId="29597"/>
    <cellStyle name="Normal 56 3 2 14 2 4" xfId="29598"/>
    <cellStyle name="Normal 56 3 2 14 2 5" xfId="29599"/>
    <cellStyle name="Normal 56 3 2 14 2 6" xfId="29600"/>
    <cellStyle name="Normal 56 3 2 14 3" xfId="29601"/>
    <cellStyle name="Normal 56 3 2 14 4" xfId="29602"/>
    <cellStyle name="Normal 56 3 2 15" xfId="29603"/>
    <cellStyle name="Normal 56 3 2 15 2" xfId="29604"/>
    <cellStyle name="Normal 56 3 2 15 2 2" xfId="29605"/>
    <cellStyle name="Normal 56 3 2 15 2 3" xfId="29606"/>
    <cellStyle name="Normal 56 3 2 15 2 4" xfId="29607"/>
    <cellStyle name="Normal 56 3 2 15 2 5" xfId="29608"/>
    <cellStyle name="Normal 56 3 2 15 2 6" xfId="29609"/>
    <cellStyle name="Normal 56 3 2 15 3" xfId="29610"/>
    <cellStyle name="Normal 56 3 2 15 4" xfId="29611"/>
    <cellStyle name="Normal 56 3 2 16" xfId="29612"/>
    <cellStyle name="Normal 56 3 2 16 2" xfId="29613"/>
    <cellStyle name="Normal 56 3 2 16 2 2" xfId="29614"/>
    <cellStyle name="Normal 56 3 2 16 2 3" xfId="29615"/>
    <cellStyle name="Normal 56 3 2 16 2 4" xfId="29616"/>
    <cellStyle name="Normal 56 3 2 16 2 5" xfId="29617"/>
    <cellStyle name="Normal 56 3 2 16 2 6" xfId="29618"/>
    <cellStyle name="Normal 56 3 2 16 3" xfId="29619"/>
    <cellStyle name="Normal 56 3 2 16 4" xfId="29620"/>
    <cellStyle name="Normal 56 3 2 17" xfId="29621"/>
    <cellStyle name="Normal 56 3 2 17 2" xfId="29622"/>
    <cellStyle name="Normal 56 3 2 17 2 2" xfId="29623"/>
    <cellStyle name="Normal 56 3 2 17 2 3" xfId="29624"/>
    <cellStyle name="Normal 56 3 2 17 2 4" xfId="29625"/>
    <cellStyle name="Normal 56 3 2 17 2 5" xfId="29626"/>
    <cellStyle name="Normal 56 3 2 17 2 6" xfId="29627"/>
    <cellStyle name="Normal 56 3 2 17 3" xfId="29628"/>
    <cellStyle name="Normal 56 3 2 17 4" xfId="29629"/>
    <cellStyle name="Normal 56 3 2 18" xfId="29630"/>
    <cellStyle name="Normal 56 3 2 18 2" xfId="29631"/>
    <cellStyle name="Normal 56 3 2 18 2 2" xfId="29632"/>
    <cellStyle name="Normal 56 3 2 18 2 3" xfId="29633"/>
    <cellStyle name="Normal 56 3 2 18 2 4" xfId="29634"/>
    <cellStyle name="Normal 56 3 2 18 2 5" xfId="29635"/>
    <cellStyle name="Normal 56 3 2 18 2 6" xfId="29636"/>
    <cellStyle name="Normal 56 3 2 18 3" xfId="29637"/>
    <cellStyle name="Normal 56 3 2 18 4" xfId="29638"/>
    <cellStyle name="Normal 56 3 2 19" xfId="29639"/>
    <cellStyle name="Normal 56 3 2 19 2" xfId="29640"/>
    <cellStyle name="Normal 56 3 2 19 2 2" xfId="29641"/>
    <cellStyle name="Normal 56 3 2 19 2 3" xfId="29642"/>
    <cellStyle name="Normal 56 3 2 19 2 4" xfId="29643"/>
    <cellStyle name="Normal 56 3 2 19 2 5" xfId="29644"/>
    <cellStyle name="Normal 56 3 2 19 2 6" xfId="29645"/>
    <cellStyle name="Normal 56 3 2 19 3" xfId="29646"/>
    <cellStyle name="Normal 56 3 2 19 4" xfId="29647"/>
    <cellStyle name="Normal 56 3 2 2" xfId="29648"/>
    <cellStyle name="Normal 56 3 2 2 10" xfId="29649"/>
    <cellStyle name="Normal 56 3 2 2 10 2" xfId="29650"/>
    <cellStyle name="Normal 56 3 2 2 10 3" xfId="29651"/>
    <cellStyle name="Normal 56 3 2 2 10 3 2" xfId="29652"/>
    <cellStyle name="Normal 56 3 2 2 10 3 3" xfId="29653"/>
    <cellStyle name="Normal 56 3 2 2 10 3 4" xfId="29654"/>
    <cellStyle name="Normal 56 3 2 2 10 3 5" xfId="29655"/>
    <cellStyle name="Normal 56 3 2 2 10 3 6" xfId="29656"/>
    <cellStyle name="Normal 56 3 2 2 10 4" xfId="29657"/>
    <cellStyle name="Normal 56 3 2 2 10 4 2" xfId="29658"/>
    <cellStyle name="Normal 56 3 2 2 10 4 3" xfId="29659"/>
    <cellStyle name="Normal 56 3 2 2 10 4 4" xfId="29660"/>
    <cellStyle name="Normal 56 3 2 2 10 4 5" xfId="29661"/>
    <cellStyle name="Normal 56 3 2 2 10 4 6" xfId="29662"/>
    <cellStyle name="Normal 56 3 2 2 11" xfId="29663"/>
    <cellStyle name="Normal 56 3 2 2 11 2" xfId="29664"/>
    <cellStyle name="Normal 56 3 2 2 11 3" xfId="29665"/>
    <cellStyle name="Normal 56 3 2 2 11 3 2" xfId="29666"/>
    <cellStyle name="Normal 56 3 2 2 11 3 3" xfId="29667"/>
    <cellStyle name="Normal 56 3 2 2 11 3 4" xfId="29668"/>
    <cellStyle name="Normal 56 3 2 2 11 3 5" xfId="29669"/>
    <cellStyle name="Normal 56 3 2 2 11 3 6" xfId="29670"/>
    <cellStyle name="Normal 56 3 2 2 11 4" xfId="29671"/>
    <cellStyle name="Normal 56 3 2 2 11 4 2" xfId="29672"/>
    <cellStyle name="Normal 56 3 2 2 11 4 3" xfId="29673"/>
    <cellStyle name="Normal 56 3 2 2 11 4 4" xfId="29674"/>
    <cellStyle name="Normal 56 3 2 2 11 4 5" xfId="29675"/>
    <cellStyle name="Normal 56 3 2 2 11 4 6" xfId="29676"/>
    <cellStyle name="Normal 56 3 2 2 12" xfId="29677"/>
    <cellStyle name="Normal 56 3 2 2 12 2" xfId="29678"/>
    <cellStyle name="Normal 56 3 2 2 12 3" xfId="29679"/>
    <cellStyle name="Normal 56 3 2 2 12 3 2" xfId="29680"/>
    <cellStyle name="Normal 56 3 2 2 12 3 3" xfId="29681"/>
    <cellStyle name="Normal 56 3 2 2 12 3 4" xfId="29682"/>
    <cellStyle name="Normal 56 3 2 2 12 3 5" xfId="29683"/>
    <cellStyle name="Normal 56 3 2 2 12 3 6" xfId="29684"/>
    <cellStyle name="Normal 56 3 2 2 12 4" xfId="29685"/>
    <cellStyle name="Normal 56 3 2 2 12 4 2" xfId="29686"/>
    <cellStyle name="Normal 56 3 2 2 12 4 3" xfId="29687"/>
    <cellStyle name="Normal 56 3 2 2 12 4 4" xfId="29688"/>
    <cellStyle name="Normal 56 3 2 2 12 4 5" xfId="29689"/>
    <cellStyle name="Normal 56 3 2 2 12 4 6" xfId="29690"/>
    <cellStyle name="Normal 56 3 2 2 13" xfId="29691"/>
    <cellStyle name="Normal 56 3 2 2 13 2" xfId="29692"/>
    <cellStyle name="Normal 56 3 2 2 13 3" xfId="29693"/>
    <cellStyle name="Normal 56 3 2 2 13 3 2" xfId="29694"/>
    <cellStyle name="Normal 56 3 2 2 13 3 3" xfId="29695"/>
    <cellStyle name="Normal 56 3 2 2 13 3 4" xfId="29696"/>
    <cellStyle name="Normal 56 3 2 2 13 3 5" xfId="29697"/>
    <cellStyle name="Normal 56 3 2 2 13 3 6" xfId="29698"/>
    <cellStyle name="Normal 56 3 2 2 13 4" xfId="29699"/>
    <cellStyle name="Normal 56 3 2 2 13 4 2" xfId="29700"/>
    <cellStyle name="Normal 56 3 2 2 13 4 3" xfId="29701"/>
    <cellStyle name="Normal 56 3 2 2 13 4 4" xfId="29702"/>
    <cellStyle name="Normal 56 3 2 2 13 4 5" xfId="29703"/>
    <cellStyle name="Normal 56 3 2 2 13 4 6" xfId="29704"/>
    <cellStyle name="Normal 56 3 2 2 14" xfId="29705"/>
    <cellStyle name="Normal 56 3 2 2 14 2" xfId="29706"/>
    <cellStyle name="Normal 56 3 2 2 14 3" xfId="29707"/>
    <cellStyle name="Normal 56 3 2 2 14 3 2" xfId="29708"/>
    <cellStyle name="Normal 56 3 2 2 14 3 3" xfId="29709"/>
    <cellStyle name="Normal 56 3 2 2 14 3 4" xfId="29710"/>
    <cellStyle name="Normal 56 3 2 2 14 3 5" xfId="29711"/>
    <cellStyle name="Normal 56 3 2 2 14 3 6" xfId="29712"/>
    <cellStyle name="Normal 56 3 2 2 14 4" xfId="29713"/>
    <cellStyle name="Normal 56 3 2 2 14 4 2" xfId="29714"/>
    <cellStyle name="Normal 56 3 2 2 14 4 3" xfId="29715"/>
    <cellStyle name="Normal 56 3 2 2 14 4 4" xfId="29716"/>
    <cellStyle name="Normal 56 3 2 2 14 4 5" xfId="29717"/>
    <cellStyle name="Normal 56 3 2 2 14 4 6" xfId="29718"/>
    <cellStyle name="Normal 56 3 2 2 15" xfId="29719"/>
    <cellStyle name="Normal 56 3 2 2 15 2" xfId="29720"/>
    <cellStyle name="Normal 56 3 2 2 15 3" xfId="29721"/>
    <cellStyle name="Normal 56 3 2 2 15 3 2" xfId="29722"/>
    <cellStyle name="Normal 56 3 2 2 15 3 3" xfId="29723"/>
    <cellStyle name="Normal 56 3 2 2 15 3 4" xfId="29724"/>
    <cellStyle name="Normal 56 3 2 2 15 3 5" xfId="29725"/>
    <cellStyle name="Normal 56 3 2 2 15 3 6" xfId="29726"/>
    <cellStyle name="Normal 56 3 2 2 15 4" xfId="29727"/>
    <cellStyle name="Normal 56 3 2 2 15 4 2" xfId="29728"/>
    <cellStyle name="Normal 56 3 2 2 15 4 3" xfId="29729"/>
    <cellStyle name="Normal 56 3 2 2 15 4 4" xfId="29730"/>
    <cellStyle name="Normal 56 3 2 2 15 4 5" xfId="29731"/>
    <cellStyle name="Normal 56 3 2 2 15 4 6" xfId="29732"/>
    <cellStyle name="Normal 56 3 2 2 16" xfId="29733"/>
    <cellStyle name="Normal 56 3 2 2 16 2" xfId="29734"/>
    <cellStyle name="Normal 56 3 2 2 16 3" xfId="29735"/>
    <cellStyle name="Normal 56 3 2 2 16 3 2" xfId="29736"/>
    <cellStyle name="Normal 56 3 2 2 16 3 3" xfId="29737"/>
    <cellStyle name="Normal 56 3 2 2 16 3 4" xfId="29738"/>
    <cellStyle name="Normal 56 3 2 2 16 3 5" xfId="29739"/>
    <cellStyle name="Normal 56 3 2 2 16 3 6" xfId="29740"/>
    <cellStyle name="Normal 56 3 2 2 16 4" xfId="29741"/>
    <cellStyle name="Normal 56 3 2 2 16 4 2" xfId="29742"/>
    <cellStyle name="Normal 56 3 2 2 16 4 3" xfId="29743"/>
    <cellStyle name="Normal 56 3 2 2 16 4 4" xfId="29744"/>
    <cellStyle name="Normal 56 3 2 2 16 4 5" xfId="29745"/>
    <cellStyle name="Normal 56 3 2 2 16 4 6" xfId="29746"/>
    <cellStyle name="Normal 56 3 2 2 17" xfId="29747"/>
    <cellStyle name="Normal 56 3 2 2 17 2" xfId="29748"/>
    <cellStyle name="Normal 56 3 2 2 17 3" xfId="29749"/>
    <cellStyle name="Normal 56 3 2 2 17 4" xfId="29750"/>
    <cellStyle name="Normal 56 3 2 2 17 5" xfId="29751"/>
    <cellStyle name="Normal 56 3 2 2 17 6" xfId="29752"/>
    <cellStyle name="Normal 56 3 2 2 18" xfId="29753"/>
    <cellStyle name="Normal 56 3 2 2 19" xfId="29754"/>
    <cellStyle name="Normal 56 3 2 2 2" xfId="29755"/>
    <cellStyle name="Normal 56 3 2 2 2 2" xfId="29756"/>
    <cellStyle name="Normal 56 3 2 2 2 3" xfId="29757"/>
    <cellStyle name="Normal 56 3 2 2 2 3 2" xfId="29758"/>
    <cellStyle name="Normal 56 3 2 2 2 3 3" xfId="29759"/>
    <cellStyle name="Normal 56 3 2 2 2 3 4" xfId="29760"/>
    <cellStyle name="Normal 56 3 2 2 2 3 5" xfId="29761"/>
    <cellStyle name="Normal 56 3 2 2 2 3 6" xfId="29762"/>
    <cellStyle name="Normal 56 3 2 2 2 4" xfId="29763"/>
    <cellStyle name="Normal 56 3 2 2 2 4 2" xfId="29764"/>
    <cellStyle name="Normal 56 3 2 2 2 4 3" xfId="29765"/>
    <cellStyle name="Normal 56 3 2 2 2 4 4" xfId="29766"/>
    <cellStyle name="Normal 56 3 2 2 2 4 5" xfId="29767"/>
    <cellStyle name="Normal 56 3 2 2 2 4 6" xfId="29768"/>
    <cellStyle name="Normal 56 3 2 2 3" xfId="29769"/>
    <cellStyle name="Normal 56 3 2 2 3 2" xfId="29770"/>
    <cellStyle name="Normal 56 3 2 2 3 3" xfId="29771"/>
    <cellStyle name="Normal 56 3 2 2 3 3 2" xfId="29772"/>
    <cellStyle name="Normal 56 3 2 2 3 3 3" xfId="29773"/>
    <cellStyle name="Normal 56 3 2 2 3 3 4" xfId="29774"/>
    <cellStyle name="Normal 56 3 2 2 3 3 5" xfId="29775"/>
    <cellStyle name="Normal 56 3 2 2 3 3 6" xfId="29776"/>
    <cellStyle name="Normal 56 3 2 2 3 4" xfId="29777"/>
    <cellStyle name="Normal 56 3 2 2 3 4 2" xfId="29778"/>
    <cellStyle name="Normal 56 3 2 2 3 4 3" xfId="29779"/>
    <cellStyle name="Normal 56 3 2 2 3 4 4" xfId="29780"/>
    <cellStyle name="Normal 56 3 2 2 3 4 5" xfId="29781"/>
    <cellStyle name="Normal 56 3 2 2 3 4 6" xfId="29782"/>
    <cellStyle name="Normal 56 3 2 2 4" xfId="29783"/>
    <cellStyle name="Normal 56 3 2 2 4 2" xfId="29784"/>
    <cellStyle name="Normal 56 3 2 2 4 3" xfId="29785"/>
    <cellStyle name="Normal 56 3 2 2 4 3 2" xfId="29786"/>
    <cellStyle name="Normal 56 3 2 2 4 3 3" xfId="29787"/>
    <cellStyle name="Normal 56 3 2 2 4 3 4" xfId="29788"/>
    <cellStyle name="Normal 56 3 2 2 4 3 5" xfId="29789"/>
    <cellStyle name="Normal 56 3 2 2 4 3 6" xfId="29790"/>
    <cellStyle name="Normal 56 3 2 2 4 4" xfId="29791"/>
    <cellStyle name="Normal 56 3 2 2 4 4 2" xfId="29792"/>
    <cellStyle name="Normal 56 3 2 2 4 4 3" xfId="29793"/>
    <cellStyle name="Normal 56 3 2 2 4 4 4" xfId="29794"/>
    <cellStyle name="Normal 56 3 2 2 4 4 5" xfId="29795"/>
    <cellStyle name="Normal 56 3 2 2 4 4 6" xfId="29796"/>
    <cellStyle name="Normal 56 3 2 2 5" xfId="29797"/>
    <cellStyle name="Normal 56 3 2 2 5 2" xfId="29798"/>
    <cellStyle name="Normal 56 3 2 2 5 3" xfId="29799"/>
    <cellStyle name="Normal 56 3 2 2 5 3 2" xfId="29800"/>
    <cellStyle name="Normal 56 3 2 2 5 3 3" xfId="29801"/>
    <cellStyle name="Normal 56 3 2 2 5 3 4" xfId="29802"/>
    <cellStyle name="Normal 56 3 2 2 5 3 5" xfId="29803"/>
    <cellStyle name="Normal 56 3 2 2 5 3 6" xfId="29804"/>
    <cellStyle name="Normal 56 3 2 2 5 4" xfId="29805"/>
    <cellStyle name="Normal 56 3 2 2 5 4 2" xfId="29806"/>
    <cellStyle name="Normal 56 3 2 2 5 4 3" xfId="29807"/>
    <cellStyle name="Normal 56 3 2 2 5 4 4" xfId="29808"/>
    <cellStyle name="Normal 56 3 2 2 5 4 5" xfId="29809"/>
    <cellStyle name="Normal 56 3 2 2 5 4 6" xfId="29810"/>
    <cellStyle name="Normal 56 3 2 2 6" xfId="29811"/>
    <cellStyle name="Normal 56 3 2 2 6 2" xfId="29812"/>
    <cellStyle name="Normal 56 3 2 2 6 3" xfId="29813"/>
    <cellStyle name="Normal 56 3 2 2 6 3 2" xfId="29814"/>
    <cellStyle name="Normal 56 3 2 2 6 3 3" xfId="29815"/>
    <cellStyle name="Normal 56 3 2 2 6 3 4" xfId="29816"/>
    <cellStyle name="Normal 56 3 2 2 6 3 5" xfId="29817"/>
    <cellStyle name="Normal 56 3 2 2 6 3 6" xfId="29818"/>
    <cellStyle name="Normal 56 3 2 2 6 4" xfId="29819"/>
    <cellStyle name="Normal 56 3 2 2 6 4 2" xfId="29820"/>
    <cellStyle name="Normal 56 3 2 2 6 4 3" xfId="29821"/>
    <cellStyle name="Normal 56 3 2 2 6 4 4" xfId="29822"/>
    <cellStyle name="Normal 56 3 2 2 6 4 5" xfId="29823"/>
    <cellStyle name="Normal 56 3 2 2 6 4 6" xfId="29824"/>
    <cellStyle name="Normal 56 3 2 2 7" xfId="29825"/>
    <cellStyle name="Normal 56 3 2 2 7 2" xfId="29826"/>
    <cellStyle name="Normal 56 3 2 2 7 3" xfId="29827"/>
    <cellStyle name="Normal 56 3 2 2 7 3 2" xfId="29828"/>
    <cellStyle name="Normal 56 3 2 2 7 3 3" xfId="29829"/>
    <cellStyle name="Normal 56 3 2 2 7 3 4" xfId="29830"/>
    <cellStyle name="Normal 56 3 2 2 7 3 5" xfId="29831"/>
    <cellStyle name="Normal 56 3 2 2 7 3 6" xfId="29832"/>
    <cellStyle name="Normal 56 3 2 2 7 4" xfId="29833"/>
    <cellStyle name="Normal 56 3 2 2 7 4 2" xfId="29834"/>
    <cellStyle name="Normal 56 3 2 2 7 4 3" xfId="29835"/>
    <cellStyle name="Normal 56 3 2 2 7 4 4" xfId="29836"/>
    <cellStyle name="Normal 56 3 2 2 7 4 5" xfId="29837"/>
    <cellStyle name="Normal 56 3 2 2 7 4 6" xfId="29838"/>
    <cellStyle name="Normal 56 3 2 2 8" xfId="29839"/>
    <cellStyle name="Normal 56 3 2 2 8 2" xfId="29840"/>
    <cellStyle name="Normal 56 3 2 2 8 3" xfId="29841"/>
    <cellStyle name="Normal 56 3 2 2 8 3 2" xfId="29842"/>
    <cellStyle name="Normal 56 3 2 2 8 3 3" xfId="29843"/>
    <cellStyle name="Normal 56 3 2 2 8 3 4" xfId="29844"/>
    <cellStyle name="Normal 56 3 2 2 8 3 5" xfId="29845"/>
    <cellStyle name="Normal 56 3 2 2 8 3 6" xfId="29846"/>
    <cellStyle name="Normal 56 3 2 2 8 4" xfId="29847"/>
    <cellStyle name="Normal 56 3 2 2 8 4 2" xfId="29848"/>
    <cellStyle name="Normal 56 3 2 2 8 4 3" xfId="29849"/>
    <cellStyle name="Normal 56 3 2 2 8 4 4" xfId="29850"/>
    <cellStyle name="Normal 56 3 2 2 8 4 5" xfId="29851"/>
    <cellStyle name="Normal 56 3 2 2 8 4 6" xfId="29852"/>
    <cellStyle name="Normal 56 3 2 2 9" xfId="29853"/>
    <cellStyle name="Normal 56 3 2 2 9 2" xfId="29854"/>
    <cellStyle name="Normal 56 3 2 2 9 3" xfId="29855"/>
    <cellStyle name="Normal 56 3 2 2 9 3 2" xfId="29856"/>
    <cellStyle name="Normal 56 3 2 2 9 3 3" xfId="29857"/>
    <cellStyle name="Normal 56 3 2 2 9 3 4" xfId="29858"/>
    <cellStyle name="Normal 56 3 2 2 9 3 5" xfId="29859"/>
    <cellStyle name="Normal 56 3 2 2 9 3 6" xfId="29860"/>
    <cellStyle name="Normal 56 3 2 2 9 4" xfId="29861"/>
    <cellStyle name="Normal 56 3 2 2 9 4 2" xfId="29862"/>
    <cellStyle name="Normal 56 3 2 2 9 4 3" xfId="29863"/>
    <cellStyle name="Normal 56 3 2 2 9 4 4" xfId="29864"/>
    <cellStyle name="Normal 56 3 2 2 9 4 5" xfId="29865"/>
    <cellStyle name="Normal 56 3 2 2 9 4 6" xfId="29866"/>
    <cellStyle name="Normal 56 3 2 20" xfId="29867"/>
    <cellStyle name="Normal 56 3 2 21" xfId="29868"/>
    <cellStyle name="Normal 56 3 2 21 2" xfId="29869"/>
    <cellStyle name="Normal 56 3 2 21 3" xfId="29870"/>
    <cellStyle name="Normal 56 3 2 21 4" xfId="29871"/>
    <cellStyle name="Normal 56 3 2 21 5" xfId="29872"/>
    <cellStyle name="Normal 56 3 2 21 6" xfId="29873"/>
    <cellStyle name="Normal 56 3 2 22" xfId="29874"/>
    <cellStyle name="Normal 56 3 2 22 2" xfId="29875"/>
    <cellStyle name="Normal 56 3 2 22 3" xfId="29876"/>
    <cellStyle name="Normal 56 3 2 22 4" xfId="29877"/>
    <cellStyle name="Normal 56 3 2 22 5" xfId="29878"/>
    <cellStyle name="Normal 56 3 2 22 6" xfId="29879"/>
    <cellStyle name="Normal 56 3 2 3" xfId="29880"/>
    <cellStyle name="Normal 56 3 2 3 2" xfId="29881"/>
    <cellStyle name="Normal 56 3 2 3 3" xfId="29882"/>
    <cellStyle name="Normal 56 3 2 3 3 2" xfId="29883"/>
    <cellStyle name="Normal 56 3 2 3 3 3" xfId="29884"/>
    <cellStyle name="Normal 56 3 2 3 3 4" xfId="29885"/>
    <cellStyle name="Normal 56 3 2 3 3 5" xfId="29886"/>
    <cellStyle name="Normal 56 3 2 3 3 6" xfId="29887"/>
    <cellStyle name="Normal 56 3 2 3 4" xfId="29888"/>
    <cellStyle name="Normal 56 3 2 3 4 2" xfId="29889"/>
    <cellStyle name="Normal 56 3 2 3 4 3" xfId="29890"/>
    <cellStyle name="Normal 56 3 2 3 4 4" xfId="29891"/>
    <cellStyle name="Normal 56 3 2 3 4 5" xfId="29892"/>
    <cellStyle name="Normal 56 3 2 3 4 6" xfId="29893"/>
    <cellStyle name="Normal 56 3 2 4" xfId="29894"/>
    <cellStyle name="Normal 56 3 2 4 2" xfId="29895"/>
    <cellStyle name="Normal 56 3 2 4 3" xfId="29896"/>
    <cellStyle name="Normal 56 3 2 4 3 2" xfId="29897"/>
    <cellStyle name="Normal 56 3 2 4 3 3" xfId="29898"/>
    <cellStyle name="Normal 56 3 2 4 3 4" xfId="29899"/>
    <cellStyle name="Normal 56 3 2 4 3 5" xfId="29900"/>
    <cellStyle name="Normal 56 3 2 4 3 6" xfId="29901"/>
    <cellStyle name="Normal 56 3 2 4 4" xfId="29902"/>
    <cellStyle name="Normal 56 3 2 4 4 2" xfId="29903"/>
    <cellStyle name="Normal 56 3 2 4 4 3" xfId="29904"/>
    <cellStyle name="Normal 56 3 2 4 4 4" xfId="29905"/>
    <cellStyle name="Normal 56 3 2 4 4 5" xfId="29906"/>
    <cellStyle name="Normal 56 3 2 4 4 6" xfId="29907"/>
    <cellStyle name="Normal 56 3 2 5" xfId="29908"/>
    <cellStyle name="Normal 56 3 2 5 2" xfId="29909"/>
    <cellStyle name="Normal 56 3 2 5 3" xfId="29910"/>
    <cellStyle name="Normal 56 3 2 5 3 2" xfId="29911"/>
    <cellStyle name="Normal 56 3 2 5 3 3" xfId="29912"/>
    <cellStyle name="Normal 56 3 2 5 3 4" xfId="29913"/>
    <cellStyle name="Normal 56 3 2 5 3 5" xfId="29914"/>
    <cellStyle name="Normal 56 3 2 5 3 6" xfId="29915"/>
    <cellStyle name="Normal 56 3 2 5 4" xfId="29916"/>
    <cellStyle name="Normal 56 3 2 5 4 2" xfId="29917"/>
    <cellStyle name="Normal 56 3 2 5 4 3" xfId="29918"/>
    <cellStyle name="Normal 56 3 2 5 4 4" xfId="29919"/>
    <cellStyle name="Normal 56 3 2 5 4 5" xfId="29920"/>
    <cellStyle name="Normal 56 3 2 5 4 6" xfId="29921"/>
    <cellStyle name="Normal 56 3 2 6" xfId="29922"/>
    <cellStyle name="Normal 56 3 2 6 2" xfId="29923"/>
    <cellStyle name="Normal 56 3 2 6 2 2" xfId="29924"/>
    <cellStyle name="Normal 56 3 2 6 2 3" xfId="29925"/>
    <cellStyle name="Normal 56 3 2 6 2 4" xfId="29926"/>
    <cellStyle name="Normal 56 3 2 6 2 5" xfId="29927"/>
    <cellStyle name="Normal 56 3 2 6 2 6" xfId="29928"/>
    <cellStyle name="Normal 56 3 2 6 3" xfId="29929"/>
    <cellStyle name="Normal 56 3 2 6 4" xfId="29930"/>
    <cellStyle name="Normal 56 3 2 7" xfId="29931"/>
    <cellStyle name="Normal 56 3 2 7 2" xfId="29932"/>
    <cellStyle name="Normal 56 3 2 7 2 2" xfId="29933"/>
    <cellStyle name="Normal 56 3 2 7 2 3" xfId="29934"/>
    <cellStyle name="Normal 56 3 2 7 2 4" xfId="29935"/>
    <cellStyle name="Normal 56 3 2 7 2 5" xfId="29936"/>
    <cellStyle name="Normal 56 3 2 7 2 6" xfId="29937"/>
    <cellStyle name="Normal 56 3 2 7 3" xfId="29938"/>
    <cellStyle name="Normal 56 3 2 7 4" xfId="29939"/>
    <cellStyle name="Normal 56 3 2 8" xfId="29940"/>
    <cellStyle name="Normal 56 3 2 8 2" xfId="29941"/>
    <cellStyle name="Normal 56 3 2 8 2 2" xfId="29942"/>
    <cellStyle name="Normal 56 3 2 8 2 3" xfId="29943"/>
    <cellStyle name="Normal 56 3 2 8 2 4" xfId="29944"/>
    <cellStyle name="Normal 56 3 2 8 2 5" xfId="29945"/>
    <cellStyle name="Normal 56 3 2 8 2 6" xfId="29946"/>
    <cellStyle name="Normal 56 3 2 8 3" xfId="29947"/>
    <cellStyle name="Normal 56 3 2 8 4" xfId="29948"/>
    <cellStyle name="Normal 56 3 2 9" xfId="29949"/>
    <cellStyle name="Normal 56 3 2 9 2" xfId="29950"/>
    <cellStyle name="Normal 56 3 2 9 2 2" xfId="29951"/>
    <cellStyle name="Normal 56 3 2 9 2 3" xfId="29952"/>
    <cellStyle name="Normal 56 3 2 9 2 4" xfId="29953"/>
    <cellStyle name="Normal 56 3 2 9 2 5" xfId="29954"/>
    <cellStyle name="Normal 56 3 2 9 2 6" xfId="29955"/>
    <cellStyle name="Normal 56 3 2 9 3" xfId="29956"/>
    <cellStyle name="Normal 56 3 2 9 4" xfId="29957"/>
    <cellStyle name="Normal 56 3 20" xfId="29958"/>
    <cellStyle name="Normal 56 3 20 2" xfId="29959"/>
    <cellStyle name="Normal 56 3 20 3" xfId="29960"/>
    <cellStyle name="Normal 56 3 20 4" xfId="29961"/>
    <cellStyle name="Normal 56 3 20 5" xfId="29962"/>
    <cellStyle name="Normal 56 3 20 6" xfId="29963"/>
    <cellStyle name="Normal 56 3 21" xfId="29964"/>
    <cellStyle name="Normal 56 3 22" xfId="29965"/>
    <cellStyle name="Normal 56 3 3" xfId="29966"/>
    <cellStyle name="Normal 56 3 3 10" xfId="29967"/>
    <cellStyle name="Normal 56 3 3 10 2" xfId="29968"/>
    <cellStyle name="Normal 56 3 3 10 2 2" xfId="29969"/>
    <cellStyle name="Normal 56 3 3 10 2 3" xfId="29970"/>
    <cellStyle name="Normal 56 3 3 10 2 4" xfId="29971"/>
    <cellStyle name="Normal 56 3 3 10 2 5" xfId="29972"/>
    <cellStyle name="Normal 56 3 3 10 2 6" xfId="29973"/>
    <cellStyle name="Normal 56 3 3 10 3" xfId="29974"/>
    <cellStyle name="Normal 56 3 3 10 4" xfId="29975"/>
    <cellStyle name="Normal 56 3 3 11" xfId="29976"/>
    <cellStyle name="Normal 56 3 3 11 2" xfId="29977"/>
    <cellStyle name="Normal 56 3 3 11 2 2" xfId="29978"/>
    <cellStyle name="Normal 56 3 3 11 2 3" xfId="29979"/>
    <cellStyle name="Normal 56 3 3 11 2 4" xfId="29980"/>
    <cellStyle name="Normal 56 3 3 11 2 5" xfId="29981"/>
    <cellStyle name="Normal 56 3 3 11 2 6" xfId="29982"/>
    <cellStyle name="Normal 56 3 3 11 3" xfId="29983"/>
    <cellStyle name="Normal 56 3 3 11 4" xfId="29984"/>
    <cellStyle name="Normal 56 3 3 12" xfId="29985"/>
    <cellStyle name="Normal 56 3 3 12 2" xfId="29986"/>
    <cellStyle name="Normal 56 3 3 12 2 2" xfId="29987"/>
    <cellStyle name="Normal 56 3 3 12 2 3" xfId="29988"/>
    <cellStyle name="Normal 56 3 3 12 2 4" xfId="29989"/>
    <cellStyle name="Normal 56 3 3 12 2 5" xfId="29990"/>
    <cellStyle name="Normal 56 3 3 12 2 6" xfId="29991"/>
    <cellStyle name="Normal 56 3 3 12 3" xfId="29992"/>
    <cellStyle name="Normal 56 3 3 12 4" xfId="29993"/>
    <cellStyle name="Normal 56 3 3 13" xfId="29994"/>
    <cellStyle name="Normal 56 3 3 13 2" xfId="29995"/>
    <cellStyle name="Normal 56 3 3 13 2 2" xfId="29996"/>
    <cellStyle name="Normal 56 3 3 13 2 3" xfId="29997"/>
    <cellStyle name="Normal 56 3 3 13 2 4" xfId="29998"/>
    <cellStyle name="Normal 56 3 3 13 2 5" xfId="29999"/>
    <cellStyle name="Normal 56 3 3 13 2 6" xfId="30000"/>
    <cellStyle name="Normal 56 3 3 13 3" xfId="30001"/>
    <cellStyle name="Normal 56 3 3 13 4" xfId="30002"/>
    <cellStyle name="Normal 56 3 3 14" xfId="30003"/>
    <cellStyle name="Normal 56 3 3 14 2" xfId="30004"/>
    <cellStyle name="Normal 56 3 3 14 2 2" xfId="30005"/>
    <cellStyle name="Normal 56 3 3 14 2 3" xfId="30006"/>
    <cellStyle name="Normal 56 3 3 14 2 4" xfId="30007"/>
    <cellStyle name="Normal 56 3 3 14 2 5" xfId="30008"/>
    <cellStyle name="Normal 56 3 3 14 2 6" xfId="30009"/>
    <cellStyle name="Normal 56 3 3 14 3" xfId="30010"/>
    <cellStyle name="Normal 56 3 3 14 4" xfId="30011"/>
    <cellStyle name="Normal 56 3 3 15" xfId="30012"/>
    <cellStyle name="Normal 56 3 3 15 2" xfId="30013"/>
    <cellStyle name="Normal 56 3 3 15 2 2" xfId="30014"/>
    <cellStyle name="Normal 56 3 3 15 2 3" xfId="30015"/>
    <cellStyle name="Normal 56 3 3 15 2 4" xfId="30016"/>
    <cellStyle name="Normal 56 3 3 15 2 5" xfId="30017"/>
    <cellStyle name="Normal 56 3 3 15 2 6" xfId="30018"/>
    <cellStyle name="Normal 56 3 3 15 3" xfId="30019"/>
    <cellStyle name="Normal 56 3 3 15 4" xfId="30020"/>
    <cellStyle name="Normal 56 3 3 16" xfId="30021"/>
    <cellStyle name="Normal 56 3 3 16 2" xfId="30022"/>
    <cellStyle name="Normal 56 3 3 16 2 2" xfId="30023"/>
    <cellStyle name="Normal 56 3 3 16 2 3" xfId="30024"/>
    <cellStyle name="Normal 56 3 3 16 2 4" xfId="30025"/>
    <cellStyle name="Normal 56 3 3 16 2 5" xfId="30026"/>
    <cellStyle name="Normal 56 3 3 16 2 6" xfId="30027"/>
    <cellStyle name="Normal 56 3 3 16 3" xfId="30028"/>
    <cellStyle name="Normal 56 3 3 16 4" xfId="30029"/>
    <cellStyle name="Normal 56 3 3 17" xfId="30030"/>
    <cellStyle name="Normal 56 3 3 18" xfId="30031"/>
    <cellStyle name="Normal 56 3 3 18 2" xfId="30032"/>
    <cellStyle name="Normal 56 3 3 18 3" xfId="30033"/>
    <cellStyle name="Normal 56 3 3 18 4" xfId="30034"/>
    <cellStyle name="Normal 56 3 3 18 5" xfId="30035"/>
    <cellStyle name="Normal 56 3 3 18 6" xfId="30036"/>
    <cellStyle name="Normal 56 3 3 19" xfId="30037"/>
    <cellStyle name="Normal 56 3 3 19 2" xfId="30038"/>
    <cellStyle name="Normal 56 3 3 19 3" xfId="30039"/>
    <cellStyle name="Normal 56 3 3 19 4" xfId="30040"/>
    <cellStyle name="Normal 56 3 3 19 5" xfId="30041"/>
    <cellStyle name="Normal 56 3 3 19 6" xfId="30042"/>
    <cellStyle name="Normal 56 3 3 2" xfId="30043"/>
    <cellStyle name="Normal 56 3 3 2 2" xfId="30044"/>
    <cellStyle name="Normal 56 3 3 2 2 2" xfId="30045"/>
    <cellStyle name="Normal 56 3 3 2 2 3" xfId="30046"/>
    <cellStyle name="Normal 56 3 3 2 2 4" xfId="30047"/>
    <cellStyle name="Normal 56 3 3 2 2 5" xfId="30048"/>
    <cellStyle name="Normal 56 3 3 2 2 6" xfId="30049"/>
    <cellStyle name="Normal 56 3 3 2 3" xfId="30050"/>
    <cellStyle name="Normal 56 3 3 2 4" xfId="30051"/>
    <cellStyle name="Normal 56 3 3 3" xfId="30052"/>
    <cellStyle name="Normal 56 3 3 3 2" xfId="30053"/>
    <cellStyle name="Normal 56 3 3 3 2 2" xfId="30054"/>
    <cellStyle name="Normal 56 3 3 3 2 3" xfId="30055"/>
    <cellStyle name="Normal 56 3 3 3 2 4" xfId="30056"/>
    <cellStyle name="Normal 56 3 3 3 2 5" xfId="30057"/>
    <cellStyle name="Normal 56 3 3 3 2 6" xfId="30058"/>
    <cellStyle name="Normal 56 3 3 3 3" xfId="30059"/>
    <cellStyle name="Normal 56 3 3 3 4" xfId="30060"/>
    <cellStyle name="Normal 56 3 3 4" xfId="30061"/>
    <cellStyle name="Normal 56 3 3 4 2" xfId="30062"/>
    <cellStyle name="Normal 56 3 3 4 2 2" xfId="30063"/>
    <cellStyle name="Normal 56 3 3 4 2 3" xfId="30064"/>
    <cellStyle name="Normal 56 3 3 4 2 4" xfId="30065"/>
    <cellStyle name="Normal 56 3 3 4 2 5" xfId="30066"/>
    <cellStyle name="Normal 56 3 3 4 2 6" xfId="30067"/>
    <cellStyle name="Normal 56 3 3 4 3" xfId="30068"/>
    <cellStyle name="Normal 56 3 3 4 4" xfId="30069"/>
    <cellStyle name="Normal 56 3 3 5" xfId="30070"/>
    <cellStyle name="Normal 56 3 3 5 2" xfId="30071"/>
    <cellStyle name="Normal 56 3 3 5 2 2" xfId="30072"/>
    <cellStyle name="Normal 56 3 3 5 2 3" xfId="30073"/>
    <cellStyle name="Normal 56 3 3 5 2 4" xfId="30074"/>
    <cellStyle name="Normal 56 3 3 5 2 5" xfId="30075"/>
    <cellStyle name="Normal 56 3 3 5 2 6" xfId="30076"/>
    <cellStyle name="Normal 56 3 3 5 3" xfId="30077"/>
    <cellStyle name="Normal 56 3 3 5 4" xfId="30078"/>
    <cellStyle name="Normal 56 3 3 6" xfId="30079"/>
    <cellStyle name="Normal 56 3 3 6 2" xfId="30080"/>
    <cellStyle name="Normal 56 3 3 6 2 2" xfId="30081"/>
    <cellStyle name="Normal 56 3 3 6 2 3" xfId="30082"/>
    <cellStyle name="Normal 56 3 3 6 2 4" xfId="30083"/>
    <cellStyle name="Normal 56 3 3 6 2 5" xfId="30084"/>
    <cellStyle name="Normal 56 3 3 6 2 6" xfId="30085"/>
    <cellStyle name="Normal 56 3 3 6 3" xfId="30086"/>
    <cellStyle name="Normal 56 3 3 6 4" xfId="30087"/>
    <cellStyle name="Normal 56 3 3 7" xfId="30088"/>
    <cellStyle name="Normal 56 3 3 7 2" xfId="30089"/>
    <cellStyle name="Normal 56 3 3 7 2 2" xfId="30090"/>
    <cellStyle name="Normal 56 3 3 7 2 3" xfId="30091"/>
    <cellStyle name="Normal 56 3 3 7 2 4" xfId="30092"/>
    <cellStyle name="Normal 56 3 3 7 2 5" xfId="30093"/>
    <cellStyle name="Normal 56 3 3 7 2 6" xfId="30094"/>
    <cellStyle name="Normal 56 3 3 7 3" xfId="30095"/>
    <cellStyle name="Normal 56 3 3 7 4" xfId="30096"/>
    <cellStyle name="Normal 56 3 3 8" xfId="30097"/>
    <cellStyle name="Normal 56 3 3 8 2" xfId="30098"/>
    <cellStyle name="Normal 56 3 3 8 2 2" xfId="30099"/>
    <cellStyle name="Normal 56 3 3 8 2 3" xfId="30100"/>
    <cellStyle name="Normal 56 3 3 8 2 4" xfId="30101"/>
    <cellStyle name="Normal 56 3 3 8 2 5" xfId="30102"/>
    <cellStyle name="Normal 56 3 3 8 2 6" xfId="30103"/>
    <cellStyle name="Normal 56 3 3 8 3" xfId="30104"/>
    <cellStyle name="Normal 56 3 3 8 4" xfId="30105"/>
    <cellStyle name="Normal 56 3 3 9" xfId="30106"/>
    <cellStyle name="Normal 56 3 3 9 2" xfId="30107"/>
    <cellStyle name="Normal 56 3 3 9 2 2" xfId="30108"/>
    <cellStyle name="Normal 56 3 3 9 2 3" xfId="30109"/>
    <cellStyle name="Normal 56 3 3 9 2 4" xfId="30110"/>
    <cellStyle name="Normal 56 3 3 9 2 5" xfId="30111"/>
    <cellStyle name="Normal 56 3 3 9 2 6" xfId="30112"/>
    <cellStyle name="Normal 56 3 3 9 3" xfId="30113"/>
    <cellStyle name="Normal 56 3 3 9 4" xfId="30114"/>
    <cellStyle name="Normal 56 3 4" xfId="30115"/>
    <cellStyle name="Normal 56 3 4 2" xfId="30116"/>
    <cellStyle name="Normal 56 3 4 2 2" xfId="30117"/>
    <cellStyle name="Normal 56 3 4 2 3" xfId="30118"/>
    <cellStyle name="Normal 56 3 4 2 4" xfId="30119"/>
    <cellStyle name="Normal 56 3 4 2 5" xfId="30120"/>
    <cellStyle name="Normal 56 3 4 2 6" xfId="30121"/>
    <cellStyle name="Normal 56 3 4 3" xfId="30122"/>
    <cellStyle name="Normal 56 3 4 4" xfId="30123"/>
    <cellStyle name="Normal 56 3 5" xfId="30124"/>
    <cellStyle name="Normal 56 3 5 2" xfId="30125"/>
    <cellStyle name="Normal 56 3 5 2 2" xfId="30126"/>
    <cellStyle name="Normal 56 3 5 2 3" xfId="30127"/>
    <cellStyle name="Normal 56 3 5 2 4" xfId="30128"/>
    <cellStyle name="Normal 56 3 5 2 5" xfId="30129"/>
    <cellStyle name="Normal 56 3 5 2 6" xfId="30130"/>
    <cellStyle name="Normal 56 3 5 3" xfId="30131"/>
    <cellStyle name="Normal 56 3 5 4" xfId="30132"/>
    <cellStyle name="Normal 56 3 6" xfId="30133"/>
    <cellStyle name="Normal 56 3 6 2" xfId="30134"/>
    <cellStyle name="Normal 56 3 6 3" xfId="30135"/>
    <cellStyle name="Normal 56 3 6 3 2" xfId="30136"/>
    <cellStyle name="Normal 56 3 6 3 3" xfId="30137"/>
    <cellStyle name="Normal 56 3 6 3 4" xfId="30138"/>
    <cellStyle name="Normal 56 3 6 3 5" xfId="30139"/>
    <cellStyle name="Normal 56 3 6 3 6" xfId="30140"/>
    <cellStyle name="Normal 56 3 6 4" xfId="30141"/>
    <cellStyle name="Normal 56 3 6 4 2" xfId="30142"/>
    <cellStyle name="Normal 56 3 6 4 3" xfId="30143"/>
    <cellStyle name="Normal 56 3 6 4 4" xfId="30144"/>
    <cellStyle name="Normal 56 3 6 4 5" xfId="30145"/>
    <cellStyle name="Normal 56 3 6 4 6" xfId="30146"/>
    <cellStyle name="Normal 56 3 7" xfId="30147"/>
    <cellStyle name="Normal 56 3 7 2" xfId="30148"/>
    <cellStyle name="Normal 56 3 7 3" xfId="30149"/>
    <cellStyle name="Normal 56 3 7 3 2" xfId="30150"/>
    <cellStyle name="Normal 56 3 7 3 3" xfId="30151"/>
    <cellStyle name="Normal 56 3 7 3 4" xfId="30152"/>
    <cellStyle name="Normal 56 3 7 3 5" xfId="30153"/>
    <cellStyle name="Normal 56 3 7 3 6" xfId="30154"/>
    <cellStyle name="Normal 56 3 7 4" xfId="30155"/>
    <cellStyle name="Normal 56 3 7 4 2" xfId="30156"/>
    <cellStyle name="Normal 56 3 7 4 3" xfId="30157"/>
    <cellStyle name="Normal 56 3 7 4 4" xfId="30158"/>
    <cellStyle name="Normal 56 3 7 4 5" xfId="30159"/>
    <cellStyle name="Normal 56 3 7 4 6" xfId="30160"/>
    <cellStyle name="Normal 56 3 8" xfId="30161"/>
    <cellStyle name="Normal 56 3 8 2" xfId="30162"/>
    <cellStyle name="Normal 56 3 8 3" xfId="30163"/>
    <cellStyle name="Normal 56 3 8 3 2" xfId="30164"/>
    <cellStyle name="Normal 56 3 8 3 3" xfId="30165"/>
    <cellStyle name="Normal 56 3 8 3 4" xfId="30166"/>
    <cellStyle name="Normal 56 3 8 3 5" xfId="30167"/>
    <cellStyle name="Normal 56 3 8 3 6" xfId="30168"/>
    <cellStyle name="Normal 56 3 8 4" xfId="30169"/>
    <cellStyle name="Normal 56 3 8 4 2" xfId="30170"/>
    <cellStyle name="Normal 56 3 8 4 3" xfId="30171"/>
    <cellStyle name="Normal 56 3 8 4 4" xfId="30172"/>
    <cellStyle name="Normal 56 3 8 4 5" xfId="30173"/>
    <cellStyle name="Normal 56 3 8 4 6" xfId="30174"/>
    <cellStyle name="Normal 56 3 9" xfId="30175"/>
    <cellStyle name="Normal 56 3 9 2" xfId="30176"/>
    <cellStyle name="Normal 56 3 9 3" xfId="30177"/>
    <cellStyle name="Normal 56 3 9 3 2" xfId="30178"/>
    <cellStyle name="Normal 56 3 9 3 3" xfId="30179"/>
    <cellStyle name="Normal 56 3 9 3 4" xfId="30180"/>
    <cellStyle name="Normal 56 3 9 3 5" xfId="30181"/>
    <cellStyle name="Normal 56 3 9 3 6" xfId="30182"/>
    <cellStyle name="Normal 56 3 9 4" xfId="30183"/>
    <cellStyle name="Normal 56 3 9 4 2" xfId="30184"/>
    <cellStyle name="Normal 56 3 9 4 3" xfId="30185"/>
    <cellStyle name="Normal 56 3 9 4 4" xfId="30186"/>
    <cellStyle name="Normal 56 3 9 4 5" xfId="30187"/>
    <cellStyle name="Normal 56 3 9 4 6" xfId="30188"/>
    <cellStyle name="Normal 56 4" xfId="30189"/>
    <cellStyle name="Normal 56 4 2" xfId="30190"/>
    <cellStyle name="Normal 56 4 2 2" xfId="30191"/>
    <cellStyle name="Normal 56 4 2 3" xfId="30192"/>
    <cellStyle name="Normal 56 4 2 4" xfId="30193"/>
    <cellStyle name="Normal 56 4 2 5" xfId="30194"/>
    <cellStyle name="Normal 56 4 2 6" xfId="30195"/>
    <cellStyle name="Normal 56 4 3" xfId="30196"/>
    <cellStyle name="Normal 56 4 4" xfId="30197"/>
    <cellStyle name="Normal 56 5" xfId="30198"/>
    <cellStyle name="Normal 56 5 2" xfId="30199"/>
    <cellStyle name="Normal 56 5 3" xfId="30200"/>
    <cellStyle name="Normal 56 5 3 2" xfId="30201"/>
    <cellStyle name="Normal 56 5 3 3" xfId="30202"/>
    <cellStyle name="Normal 56 5 3 4" xfId="30203"/>
    <cellStyle name="Normal 56 5 3 5" xfId="30204"/>
    <cellStyle name="Normal 56 5 3 6" xfId="30205"/>
    <cellStyle name="Normal 56 5 4" xfId="30206"/>
    <cellStyle name="Normal 56 5 4 2" xfId="30207"/>
    <cellStyle name="Normal 56 5 4 3" xfId="30208"/>
    <cellStyle name="Normal 56 5 4 4" xfId="30209"/>
    <cellStyle name="Normal 56 5 4 5" xfId="30210"/>
    <cellStyle name="Normal 56 5 4 6" xfId="30211"/>
    <cellStyle name="Normal 56 6" xfId="30212"/>
    <cellStyle name="Normal 56 6 2" xfId="30213"/>
    <cellStyle name="Normal 56 6 3" xfId="30214"/>
    <cellStyle name="Normal 56 6 3 2" xfId="30215"/>
    <cellStyle name="Normal 56 6 3 3" xfId="30216"/>
    <cellStyle name="Normal 56 6 3 4" xfId="30217"/>
    <cellStyle name="Normal 56 6 3 5" xfId="30218"/>
    <cellStyle name="Normal 56 6 3 6" xfId="30219"/>
    <cellStyle name="Normal 56 6 4" xfId="30220"/>
    <cellStyle name="Normal 56 6 4 2" xfId="30221"/>
    <cellStyle name="Normal 56 6 4 3" xfId="30222"/>
    <cellStyle name="Normal 56 6 4 4" xfId="30223"/>
    <cellStyle name="Normal 56 6 4 5" xfId="30224"/>
    <cellStyle name="Normal 56 6 4 6" xfId="30225"/>
    <cellStyle name="Normal 56 7" xfId="30226"/>
    <cellStyle name="Normal 56 7 2" xfId="30227"/>
    <cellStyle name="Normal 56 7 3" xfId="30228"/>
    <cellStyle name="Normal 56 7 3 2" xfId="30229"/>
    <cellStyle name="Normal 56 7 3 3" xfId="30230"/>
    <cellStyle name="Normal 56 7 3 4" xfId="30231"/>
    <cellStyle name="Normal 56 7 3 5" xfId="30232"/>
    <cellStyle name="Normal 56 7 3 6" xfId="30233"/>
    <cellStyle name="Normal 56 7 4" xfId="30234"/>
    <cellStyle name="Normal 56 7 4 2" xfId="30235"/>
    <cellStyle name="Normal 56 7 4 3" xfId="30236"/>
    <cellStyle name="Normal 56 7 4 4" xfId="30237"/>
    <cellStyle name="Normal 56 7 4 5" xfId="30238"/>
    <cellStyle name="Normal 56 7 4 6" xfId="30239"/>
    <cellStyle name="Normal 56 8" xfId="30240"/>
    <cellStyle name="Normal 56 9" xfId="30241"/>
    <cellStyle name="Normal 56 9 2" xfId="30242"/>
    <cellStyle name="Normal 56 9 3" xfId="30243"/>
    <cellStyle name="Normal 56 9 4" xfId="30244"/>
    <cellStyle name="Normal 56 9 5" xfId="30245"/>
    <cellStyle name="Normal 56 9 6" xfId="30246"/>
    <cellStyle name="Normal 57" xfId="30247"/>
    <cellStyle name="Normal 57 10" xfId="30248"/>
    <cellStyle name="Normal 57 10 2" xfId="30249"/>
    <cellStyle name="Normal 57 10 3" xfId="30250"/>
    <cellStyle name="Normal 57 10 4" xfId="30251"/>
    <cellStyle name="Normal 57 10 5" xfId="30252"/>
    <cellStyle name="Normal 57 10 6" xfId="30253"/>
    <cellStyle name="Normal 57 2" xfId="30254"/>
    <cellStyle name="Normal 57 2 2" xfId="30255"/>
    <cellStyle name="Normal 57 2 2 2" xfId="30256"/>
    <cellStyle name="Normal 57 2 2 2 2" xfId="30257"/>
    <cellStyle name="Normal 57 2 2 2 3" xfId="30258"/>
    <cellStyle name="Normal 57 2 2 2 4" xfId="30259"/>
    <cellStyle name="Normal 57 2 2 3" xfId="30260"/>
    <cellStyle name="Normal 57 2 2 4" xfId="30261"/>
    <cellStyle name="Normal 57 2 2 4 2" xfId="30262"/>
    <cellStyle name="Normal 57 2 2 4 3" xfId="30263"/>
    <cellStyle name="Normal 57 2 2 4 4" xfId="30264"/>
    <cellStyle name="Normal 57 2 2 4 5" xfId="30265"/>
    <cellStyle name="Normal 57 2 2 4 6" xfId="30266"/>
    <cellStyle name="Normal 57 2 2 5" xfId="30267"/>
    <cellStyle name="Normal 57 2 2 5 2" xfId="30268"/>
    <cellStyle name="Normal 57 2 2 5 3" xfId="30269"/>
    <cellStyle name="Normal 57 2 2 5 4" xfId="30270"/>
    <cellStyle name="Normal 57 2 2 5 5" xfId="30271"/>
    <cellStyle name="Normal 57 2 2 5 6" xfId="30272"/>
    <cellStyle name="Normal 57 2 3" xfId="30273"/>
    <cellStyle name="Normal 57 2 3 2" xfId="30274"/>
    <cellStyle name="Normal 57 2 3 3" xfId="30275"/>
    <cellStyle name="Normal 57 2 3 4" xfId="30276"/>
    <cellStyle name="Normal 57 2 4" xfId="30277"/>
    <cellStyle name="Normal 57 2 5" xfId="30278"/>
    <cellStyle name="Normal 57 2 6" xfId="30279"/>
    <cellStyle name="Normal 57 3" xfId="30280"/>
    <cellStyle name="Normal 57 3 10" xfId="30281"/>
    <cellStyle name="Normal 57 3 10 2" xfId="30282"/>
    <cellStyle name="Normal 57 3 10 3" xfId="30283"/>
    <cellStyle name="Normal 57 3 10 3 2" xfId="30284"/>
    <cellStyle name="Normal 57 3 10 3 3" xfId="30285"/>
    <cellStyle name="Normal 57 3 10 3 4" xfId="30286"/>
    <cellStyle name="Normal 57 3 10 3 5" xfId="30287"/>
    <cellStyle name="Normal 57 3 10 3 6" xfId="30288"/>
    <cellStyle name="Normal 57 3 10 4" xfId="30289"/>
    <cellStyle name="Normal 57 3 10 4 2" xfId="30290"/>
    <cellStyle name="Normal 57 3 10 4 3" xfId="30291"/>
    <cellStyle name="Normal 57 3 10 4 4" xfId="30292"/>
    <cellStyle name="Normal 57 3 10 4 5" xfId="30293"/>
    <cellStyle name="Normal 57 3 10 4 6" xfId="30294"/>
    <cellStyle name="Normal 57 3 11" xfId="30295"/>
    <cellStyle name="Normal 57 3 11 2" xfId="30296"/>
    <cellStyle name="Normal 57 3 11 3" xfId="30297"/>
    <cellStyle name="Normal 57 3 11 3 2" xfId="30298"/>
    <cellStyle name="Normal 57 3 11 3 3" xfId="30299"/>
    <cellStyle name="Normal 57 3 11 3 4" xfId="30300"/>
    <cellStyle name="Normal 57 3 11 3 5" xfId="30301"/>
    <cellStyle name="Normal 57 3 11 3 6" xfId="30302"/>
    <cellStyle name="Normal 57 3 11 4" xfId="30303"/>
    <cellStyle name="Normal 57 3 11 4 2" xfId="30304"/>
    <cellStyle name="Normal 57 3 11 4 3" xfId="30305"/>
    <cellStyle name="Normal 57 3 11 4 4" xfId="30306"/>
    <cellStyle name="Normal 57 3 11 4 5" xfId="30307"/>
    <cellStyle name="Normal 57 3 11 4 6" xfId="30308"/>
    <cellStyle name="Normal 57 3 12" xfId="30309"/>
    <cellStyle name="Normal 57 3 12 2" xfId="30310"/>
    <cellStyle name="Normal 57 3 12 3" xfId="30311"/>
    <cellStyle name="Normal 57 3 12 3 2" xfId="30312"/>
    <cellStyle name="Normal 57 3 12 3 3" xfId="30313"/>
    <cellStyle name="Normal 57 3 12 3 4" xfId="30314"/>
    <cellStyle name="Normal 57 3 12 3 5" xfId="30315"/>
    <cellStyle name="Normal 57 3 12 3 6" xfId="30316"/>
    <cellStyle name="Normal 57 3 12 4" xfId="30317"/>
    <cellStyle name="Normal 57 3 12 4 2" xfId="30318"/>
    <cellStyle name="Normal 57 3 12 4 3" xfId="30319"/>
    <cellStyle name="Normal 57 3 12 4 4" xfId="30320"/>
    <cellStyle name="Normal 57 3 12 4 5" xfId="30321"/>
    <cellStyle name="Normal 57 3 12 4 6" xfId="30322"/>
    <cellStyle name="Normal 57 3 13" xfId="30323"/>
    <cellStyle name="Normal 57 3 13 2" xfId="30324"/>
    <cellStyle name="Normal 57 3 13 3" xfId="30325"/>
    <cellStyle name="Normal 57 3 13 3 2" xfId="30326"/>
    <cellStyle name="Normal 57 3 13 3 3" xfId="30327"/>
    <cellStyle name="Normal 57 3 13 3 4" xfId="30328"/>
    <cellStyle name="Normal 57 3 13 3 5" xfId="30329"/>
    <cellStyle name="Normal 57 3 13 3 6" xfId="30330"/>
    <cellStyle name="Normal 57 3 13 4" xfId="30331"/>
    <cellStyle name="Normal 57 3 13 4 2" xfId="30332"/>
    <cellStyle name="Normal 57 3 13 4 3" xfId="30333"/>
    <cellStyle name="Normal 57 3 13 4 4" xfId="30334"/>
    <cellStyle name="Normal 57 3 13 4 5" xfId="30335"/>
    <cellStyle name="Normal 57 3 13 4 6" xfId="30336"/>
    <cellStyle name="Normal 57 3 14" xfId="30337"/>
    <cellStyle name="Normal 57 3 14 2" xfId="30338"/>
    <cellStyle name="Normal 57 3 14 3" xfId="30339"/>
    <cellStyle name="Normal 57 3 14 3 2" xfId="30340"/>
    <cellStyle name="Normal 57 3 14 3 3" xfId="30341"/>
    <cellStyle name="Normal 57 3 14 3 4" xfId="30342"/>
    <cellStyle name="Normal 57 3 14 3 5" xfId="30343"/>
    <cellStyle name="Normal 57 3 14 3 6" xfId="30344"/>
    <cellStyle name="Normal 57 3 14 4" xfId="30345"/>
    <cellStyle name="Normal 57 3 14 4 2" xfId="30346"/>
    <cellStyle name="Normal 57 3 14 4 3" xfId="30347"/>
    <cellStyle name="Normal 57 3 14 4 4" xfId="30348"/>
    <cellStyle name="Normal 57 3 14 4 5" xfId="30349"/>
    <cellStyle name="Normal 57 3 14 4 6" xfId="30350"/>
    <cellStyle name="Normal 57 3 15" xfId="30351"/>
    <cellStyle name="Normal 57 3 15 2" xfId="30352"/>
    <cellStyle name="Normal 57 3 15 3" xfId="30353"/>
    <cellStyle name="Normal 57 3 15 3 2" xfId="30354"/>
    <cellStyle name="Normal 57 3 15 3 3" xfId="30355"/>
    <cellStyle name="Normal 57 3 15 3 4" xfId="30356"/>
    <cellStyle name="Normal 57 3 15 3 5" xfId="30357"/>
    <cellStyle name="Normal 57 3 15 3 6" xfId="30358"/>
    <cellStyle name="Normal 57 3 15 4" xfId="30359"/>
    <cellStyle name="Normal 57 3 15 4 2" xfId="30360"/>
    <cellStyle name="Normal 57 3 15 4 3" xfId="30361"/>
    <cellStyle name="Normal 57 3 15 4 4" xfId="30362"/>
    <cellStyle name="Normal 57 3 15 4 5" xfId="30363"/>
    <cellStyle name="Normal 57 3 15 4 6" xfId="30364"/>
    <cellStyle name="Normal 57 3 16" xfId="30365"/>
    <cellStyle name="Normal 57 3 16 2" xfId="30366"/>
    <cellStyle name="Normal 57 3 16 3" xfId="30367"/>
    <cellStyle name="Normal 57 3 16 3 2" xfId="30368"/>
    <cellStyle name="Normal 57 3 16 3 3" xfId="30369"/>
    <cellStyle name="Normal 57 3 16 3 4" xfId="30370"/>
    <cellStyle name="Normal 57 3 16 3 5" xfId="30371"/>
    <cellStyle name="Normal 57 3 16 3 6" xfId="30372"/>
    <cellStyle name="Normal 57 3 16 4" xfId="30373"/>
    <cellStyle name="Normal 57 3 16 4 2" xfId="30374"/>
    <cellStyle name="Normal 57 3 16 4 3" xfId="30375"/>
    <cellStyle name="Normal 57 3 16 4 4" xfId="30376"/>
    <cellStyle name="Normal 57 3 16 4 5" xfId="30377"/>
    <cellStyle name="Normal 57 3 16 4 6" xfId="30378"/>
    <cellStyle name="Normal 57 3 17" xfId="30379"/>
    <cellStyle name="Normal 57 3 17 2" xfId="30380"/>
    <cellStyle name="Normal 57 3 17 3" xfId="30381"/>
    <cellStyle name="Normal 57 3 17 3 2" xfId="30382"/>
    <cellStyle name="Normal 57 3 17 3 3" xfId="30383"/>
    <cellStyle name="Normal 57 3 17 3 4" xfId="30384"/>
    <cellStyle name="Normal 57 3 17 3 5" xfId="30385"/>
    <cellStyle name="Normal 57 3 17 3 6" xfId="30386"/>
    <cellStyle name="Normal 57 3 17 4" xfId="30387"/>
    <cellStyle name="Normal 57 3 17 4 2" xfId="30388"/>
    <cellStyle name="Normal 57 3 17 4 3" xfId="30389"/>
    <cellStyle name="Normal 57 3 17 4 4" xfId="30390"/>
    <cellStyle name="Normal 57 3 17 4 5" xfId="30391"/>
    <cellStyle name="Normal 57 3 17 4 6" xfId="30392"/>
    <cellStyle name="Normal 57 3 18" xfId="30393"/>
    <cellStyle name="Normal 57 3 18 2" xfId="30394"/>
    <cellStyle name="Normal 57 3 18 3" xfId="30395"/>
    <cellStyle name="Normal 57 3 18 3 2" xfId="30396"/>
    <cellStyle name="Normal 57 3 18 3 3" xfId="30397"/>
    <cellStyle name="Normal 57 3 18 3 4" xfId="30398"/>
    <cellStyle name="Normal 57 3 18 3 5" xfId="30399"/>
    <cellStyle name="Normal 57 3 18 3 6" xfId="30400"/>
    <cellStyle name="Normal 57 3 18 4" xfId="30401"/>
    <cellStyle name="Normal 57 3 18 4 2" xfId="30402"/>
    <cellStyle name="Normal 57 3 18 4 3" xfId="30403"/>
    <cellStyle name="Normal 57 3 18 4 4" xfId="30404"/>
    <cellStyle name="Normal 57 3 18 4 5" xfId="30405"/>
    <cellStyle name="Normal 57 3 18 4 6" xfId="30406"/>
    <cellStyle name="Normal 57 3 19" xfId="30407"/>
    <cellStyle name="Normal 57 3 19 2" xfId="30408"/>
    <cellStyle name="Normal 57 3 19 3" xfId="30409"/>
    <cellStyle name="Normal 57 3 19 3 2" xfId="30410"/>
    <cellStyle name="Normal 57 3 19 3 3" xfId="30411"/>
    <cellStyle name="Normal 57 3 19 3 4" xfId="30412"/>
    <cellStyle name="Normal 57 3 19 3 5" xfId="30413"/>
    <cellStyle name="Normal 57 3 19 3 6" xfId="30414"/>
    <cellStyle name="Normal 57 3 19 4" xfId="30415"/>
    <cellStyle name="Normal 57 3 19 4 2" xfId="30416"/>
    <cellStyle name="Normal 57 3 19 4 3" xfId="30417"/>
    <cellStyle name="Normal 57 3 19 4 4" xfId="30418"/>
    <cellStyle name="Normal 57 3 19 4 5" xfId="30419"/>
    <cellStyle name="Normal 57 3 19 4 6" xfId="30420"/>
    <cellStyle name="Normal 57 3 2" xfId="30421"/>
    <cellStyle name="Normal 57 3 2 10" xfId="30422"/>
    <cellStyle name="Normal 57 3 2 10 2" xfId="30423"/>
    <cellStyle name="Normal 57 3 2 10 3" xfId="30424"/>
    <cellStyle name="Normal 57 3 2 10 4" xfId="30425"/>
    <cellStyle name="Normal 57 3 2 11" xfId="30426"/>
    <cellStyle name="Normal 57 3 2 11 2" xfId="30427"/>
    <cellStyle name="Normal 57 3 2 11 3" xfId="30428"/>
    <cellStyle name="Normal 57 3 2 11 4" xfId="30429"/>
    <cellStyle name="Normal 57 3 2 12" xfId="30430"/>
    <cellStyle name="Normal 57 3 2 12 2" xfId="30431"/>
    <cellStyle name="Normal 57 3 2 12 3" xfId="30432"/>
    <cellStyle name="Normal 57 3 2 12 4" xfId="30433"/>
    <cellStyle name="Normal 57 3 2 13" xfId="30434"/>
    <cellStyle name="Normal 57 3 2 13 2" xfId="30435"/>
    <cellStyle name="Normal 57 3 2 13 3" xfId="30436"/>
    <cellStyle name="Normal 57 3 2 13 4" xfId="30437"/>
    <cellStyle name="Normal 57 3 2 14" xfId="30438"/>
    <cellStyle name="Normal 57 3 2 14 2" xfId="30439"/>
    <cellStyle name="Normal 57 3 2 14 3" xfId="30440"/>
    <cellStyle name="Normal 57 3 2 14 4" xfId="30441"/>
    <cellStyle name="Normal 57 3 2 15" xfId="30442"/>
    <cellStyle name="Normal 57 3 2 15 2" xfId="30443"/>
    <cellStyle name="Normal 57 3 2 15 3" xfId="30444"/>
    <cellStyle name="Normal 57 3 2 15 4" xfId="30445"/>
    <cellStyle name="Normal 57 3 2 16" xfId="30446"/>
    <cellStyle name="Normal 57 3 2 16 2" xfId="30447"/>
    <cellStyle name="Normal 57 3 2 16 3" xfId="30448"/>
    <cellStyle name="Normal 57 3 2 16 4" xfId="30449"/>
    <cellStyle name="Normal 57 3 2 17" xfId="30450"/>
    <cellStyle name="Normal 57 3 2 17 2" xfId="30451"/>
    <cellStyle name="Normal 57 3 2 17 3" xfId="30452"/>
    <cellStyle name="Normal 57 3 2 17 4" xfId="30453"/>
    <cellStyle name="Normal 57 3 2 18" xfId="30454"/>
    <cellStyle name="Normal 57 3 2 18 2" xfId="30455"/>
    <cellStyle name="Normal 57 3 2 18 3" xfId="30456"/>
    <cellStyle name="Normal 57 3 2 18 4" xfId="30457"/>
    <cellStyle name="Normal 57 3 2 19" xfId="30458"/>
    <cellStyle name="Normal 57 3 2 19 2" xfId="30459"/>
    <cellStyle name="Normal 57 3 2 19 3" xfId="30460"/>
    <cellStyle name="Normal 57 3 2 19 4" xfId="30461"/>
    <cellStyle name="Normal 57 3 2 2" xfId="30462"/>
    <cellStyle name="Normal 57 3 2 2 10" xfId="30463"/>
    <cellStyle name="Normal 57 3 2 2 10 2" xfId="30464"/>
    <cellStyle name="Normal 57 3 2 2 10 3" xfId="30465"/>
    <cellStyle name="Normal 57 3 2 2 10 3 2" xfId="30466"/>
    <cellStyle name="Normal 57 3 2 2 10 3 3" xfId="30467"/>
    <cellStyle name="Normal 57 3 2 2 10 3 4" xfId="30468"/>
    <cellStyle name="Normal 57 3 2 2 10 3 5" xfId="30469"/>
    <cellStyle name="Normal 57 3 2 2 10 3 6" xfId="30470"/>
    <cellStyle name="Normal 57 3 2 2 10 4" xfId="30471"/>
    <cellStyle name="Normal 57 3 2 2 10 4 2" xfId="30472"/>
    <cellStyle name="Normal 57 3 2 2 10 4 3" xfId="30473"/>
    <cellStyle name="Normal 57 3 2 2 10 4 4" xfId="30474"/>
    <cellStyle name="Normal 57 3 2 2 10 4 5" xfId="30475"/>
    <cellStyle name="Normal 57 3 2 2 10 4 6" xfId="30476"/>
    <cellStyle name="Normal 57 3 2 2 11" xfId="30477"/>
    <cellStyle name="Normal 57 3 2 2 11 2" xfId="30478"/>
    <cellStyle name="Normal 57 3 2 2 11 3" xfId="30479"/>
    <cellStyle name="Normal 57 3 2 2 11 3 2" xfId="30480"/>
    <cellStyle name="Normal 57 3 2 2 11 3 3" xfId="30481"/>
    <cellStyle name="Normal 57 3 2 2 11 3 4" xfId="30482"/>
    <cellStyle name="Normal 57 3 2 2 11 3 5" xfId="30483"/>
    <cellStyle name="Normal 57 3 2 2 11 3 6" xfId="30484"/>
    <cellStyle name="Normal 57 3 2 2 11 4" xfId="30485"/>
    <cellStyle name="Normal 57 3 2 2 11 4 2" xfId="30486"/>
    <cellStyle name="Normal 57 3 2 2 11 4 3" xfId="30487"/>
    <cellStyle name="Normal 57 3 2 2 11 4 4" xfId="30488"/>
    <cellStyle name="Normal 57 3 2 2 11 4 5" xfId="30489"/>
    <cellStyle name="Normal 57 3 2 2 11 4 6" xfId="30490"/>
    <cellStyle name="Normal 57 3 2 2 12" xfId="30491"/>
    <cellStyle name="Normal 57 3 2 2 12 2" xfId="30492"/>
    <cellStyle name="Normal 57 3 2 2 12 3" xfId="30493"/>
    <cellStyle name="Normal 57 3 2 2 12 3 2" xfId="30494"/>
    <cellStyle name="Normal 57 3 2 2 12 3 3" xfId="30495"/>
    <cellStyle name="Normal 57 3 2 2 12 3 4" xfId="30496"/>
    <cellStyle name="Normal 57 3 2 2 12 3 5" xfId="30497"/>
    <cellStyle name="Normal 57 3 2 2 12 3 6" xfId="30498"/>
    <cellStyle name="Normal 57 3 2 2 12 4" xfId="30499"/>
    <cellStyle name="Normal 57 3 2 2 12 4 2" xfId="30500"/>
    <cellStyle name="Normal 57 3 2 2 12 4 3" xfId="30501"/>
    <cellStyle name="Normal 57 3 2 2 12 4 4" xfId="30502"/>
    <cellStyle name="Normal 57 3 2 2 12 4 5" xfId="30503"/>
    <cellStyle name="Normal 57 3 2 2 12 4 6" xfId="30504"/>
    <cellStyle name="Normal 57 3 2 2 13" xfId="30505"/>
    <cellStyle name="Normal 57 3 2 2 13 2" xfId="30506"/>
    <cellStyle name="Normal 57 3 2 2 13 3" xfId="30507"/>
    <cellStyle name="Normal 57 3 2 2 13 3 2" xfId="30508"/>
    <cellStyle name="Normal 57 3 2 2 13 3 3" xfId="30509"/>
    <cellStyle name="Normal 57 3 2 2 13 3 4" xfId="30510"/>
    <cellStyle name="Normal 57 3 2 2 13 3 5" xfId="30511"/>
    <cellStyle name="Normal 57 3 2 2 13 3 6" xfId="30512"/>
    <cellStyle name="Normal 57 3 2 2 13 4" xfId="30513"/>
    <cellStyle name="Normal 57 3 2 2 13 4 2" xfId="30514"/>
    <cellStyle name="Normal 57 3 2 2 13 4 3" xfId="30515"/>
    <cellStyle name="Normal 57 3 2 2 13 4 4" xfId="30516"/>
    <cellStyle name="Normal 57 3 2 2 13 4 5" xfId="30517"/>
    <cellStyle name="Normal 57 3 2 2 13 4 6" xfId="30518"/>
    <cellStyle name="Normal 57 3 2 2 14" xfId="30519"/>
    <cellStyle name="Normal 57 3 2 2 14 2" xfId="30520"/>
    <cellStyle name="Normal 57 3 2 2 14 3" xfId="30521"/>
    <cellStyle name="Normal 57 3 2 2 14 3 2" xfId="30522"/>
    <cellStyle name="Normal 57 3 2 2 14 3 3" xfId="30523"/>
    <cellStyle name="Normal 57 3 2 2 14 3 4" xfId="30524"/>
    <cellStyle name="Normal 57 3 2 2 14 3 5" xfId="30525"/>
    <cellStyle name="Normal 57 3 2 2 14 3 6" xfId="30526"/>
    <cellStyle name="Normal 57 3 2 2 14 4" xfId="30527"/>
    <cellStyle name="Normal 57 3 2 2 14 4 2" xfId="30528"/>
    <cellStyle name="Normal 57 3 2 2 14 4 3" xfId="30529"/>
    <cellStyle name="Normal 57 3 2 2 14 4 4" xfId="30530"/>
    <cellStyle name="Normal 57 3 2 2 14 4 5" xfId="30531"/>
    <cellStyle name="Normal 57 3 2 2 14 4 6" xfId="30532"/>
    <cellStyle name="Normal 57 3 2 2 15" xfId="30533"/>
    <cellStyle name="Normal 57 3 2 2 15 2" xfId="30534"/>
    <cellStyle name="Normal 57 3 2 2 15 3" xfId="30535"/>
    <cellStyle name="Normal 57 3 2 2 15 3 2" xfId="30536"/>
    <cellStyle name="Normal 57 3 2 2 15 3 3" xfId="30537"/>
    <cellStyle name="Normal 57 3 2 2 15 3 4" xfId="30538"/>
    <cellStyle name="Normal 57 3 2 2 15 3 5" xfId="30539"/>
    <cellStyle name="Normal 57 3 2 2 15 3 6" xfId="30540"/>
    <cellStyle name="Normal 57 3 2 2 15 4" xfId="30541"/>
    <cellStyle name="Normal 57 3 2 2 15 4 2" xfId="30542"/>
    <cellStyle name="Normal 57 3 2 2 15 4 3" xfId="30543"/>
    <cellStyle name="Normal 57 3 2 2 15 4 4" xfId="30544"/>
    <cellStyle name="Normal 57 3 2 2 15 4 5" xfId="30545"/>
    <cellStyle name="Normal 57 3 2 2 15 4 6" xfId="30546"/>
    <cellStyle name="Normal 57 3 2 2 16" xfId="30547"/>
    <cellStyle name="Normal 57 3 2 2 16 2" xfId="30548"/>
    <cellStyle name="Normal 57 3 2 2 16 3" xfId="30549"/>
    <cellStyle name="Normal 57 3 2 2 16 3 2" xfId="30550"/>
    <cellStyle name="Normal 57 3 2 2 16 3 3" xfId="30551"/>
    <cellStyle name="Normal 57 3 2 2 16 3 4" xfId="30552"/>
    <cellStyle name="Normal 57 3 2 2 16 3 5" xfId="30553"/>
    <cellStyle name="Normal 57 3 2 2 16 3 6" xfId="30554"/>
    <cellStyle name="Normal 57 3 2 2 16 4" xfId="30555"/>
    <cellStyle name="Normal 57 3 2 2 16 4 2" xfId="30556"/>
    <cellStyle name="Normal 57 3 2 2 16 4 3" xfId="30557"/>
    <cellStyle name="Normal 57 3 2 2 16 4 4" xfId="30558"/>
    <cellStyle name="Normal 57 3 2 2 16 4 5" xfId="30559"/>
    <cellStyle name="Normal 57 3 2 2 16 4 6" xfId="30560"/>
    <cellStyle name="Normal 57 3 2 2 17" xfId="30561"/>
    <cellStyle name="Normal 57 3 2 2 18" xfId="30562"/>
    <cellStyle name="Normal 57 3 2 2 19" xfId="30563"/>
    <cellStyle name="Normal 57 3 2 2 2" xfId="30564"/>
    <cellStyle name="Normal 57 3 2 2 2 2" xfId="30565"/>
    <cellStyle name="Normal 57 3 2 2 2 3" xfId="30566"/>
    <cellStyle name="Normal 57 3 2 2 2 3 2" xfId="30567"/>
    <cellStyle name="Normal 57 3 2 2 2 3 3" xfId="30568"/>
    <cellStyle name="Normal 57 3 2 2 2 3 4" xfId="30569"/>
    <cellStyle name="Normal 57 3 2 2 2 3 5" xfId="30570"/>
    <cellStyle name="Normal 57 3 2 2 2 3 6" xfId="30571"/>
    <cellStyle name="Normal 57 3 2 2 2 4" xfId="30572"/>
    <cellStyle name="Normal 57 3 2 2 2 4 2" xfId="30573"/>
    <cellStyle name="Normal 57 3 2 2 2 4 3" xfId="30574"/>
    <cellStyle name="Normal 57 3 2 2 2 4 4" xfId="30575"/>
    <cellStyle name="Normal 57 3 2 2 2 4 5" xfId="30576"/>
    <cellStyle name="Normal 57 3 2 2 2 4 6" xfId="30577"/>
    <cellStyle name="Normal 57 3 2 2 3" xfId="30578"/>
    <cellStyle name="Normal 57 3 2 2 3 2" xfId="30579"/>
    <cellStyle name="Normal 57 3 2 2 3 3" xfId="30580"/>
    <cellStyle name="Normal 57 3 2 2 3 3 2" xfId="30581"/>
    <cellStyle name="Normal 57 3 2 2 3 3 3" xfId="30582"/>
    <cellStyle name="Normal 57 3 2 2 3 3 4" xfId="30583"/>
    <cellStyle name="Normal 57 3 2 2 3 3 5" xfId="30584"/>
    <cellStyle name="Normal 57 3 2 2 3 3 6" xfId="30585"/>
    <cellStyle name="Normal 57 3 2 2 3 4" xfId="30586"/>
    <cellStyle name="Normal 57 3 2 2 3 4 2" xfId="30587"/>
    <cellStyle name="Normal 57 3 2 2 3 4 3" xfId="30588"/>
    <cellStyle name="Normal 57 3 2 2 3 4 4" xfId="30589"/>
    <cellStyle name="Normal 57 3 2 2 3 4 5" xfId="30590"/>
    <cellStyle name="Normal 57 3 2 2 3 4 6" xfId="30591"/>
    <cellStyle name="Normal 57 3 2 2 4" xfId="30592"/>
    <cellStyle name="Normal 57 3 2 2 4 2" xfId="30593"/>
    <cellStyle name="Normal 57 3 2 2 4 3" xfId="30594"/>
    <cellStyle name="Normal 57 3 2 2 4 3 2" xfId="30595"/>
    <cellStyle name="Normal 57 3 2 2 4 3 3" xfId="30596"/>
    <cellStyle name="Normal 57 3 2 2 4 3 4" xfId="30597"/>
    <cellStyle name="Normal 57 3 2 2 4 3 5" xfId="30598"/>
    <cellStyle name="Normal 57 3 2 2 4 3 6" xfId="30599"/>
    <cellStyle name="Normal 57 3 2 2 4 4" xfId="30600"/>
    <cellStyle name="Normal 57 3 2 2 4 4 2" xfId="30601"/>
    <cellStyle name="Normal 57 3 2 2 4 4 3" xfId="30602"/>
    <cellStyle name="Normal 57 3 2 2 4 4 4" xfId="30603"/>
    <cellStyle name="Normal 57 3 2 2 4 4 5" xfId="30604"/>
    <cellStyle name="Normal 57 3 2 2 4 4 6" xfId="30605"/>
    <cellStyle name="Normal 57 3 2 2 5" xfId="30606"/>
    <cellStyle name="Normal 57 3 2 2 5 2" xfId="30607"/>
    <cellStyle name="Normal 57 3 2 2 5 3" xfId="30608"/>
    <cellStyle name="Normal 57 3 2 2 5 3 2" xfId="30609"/>
    <cellStyle name="Normal 57 3 2 2 5 3 3" xfId="30610"/>
    <cellStyle name="Normal 57 3 2 2 5 3 4" xfId="30611"/>
    <cellStyle name="Normal 57 3 2 2 5 3 5" xfId="30612"/>
    <cellStyle name="Normal 57 3 2 2 5 3 6" xfId="30613"/>
    <cellStyle name="Normal 57 3 2 2 5 4" xfId="30614"/>
    <cellStyle name="Normal 57 3 2 2 5 4 2" xfId="30615"/>
    <cellStyle name="Normal 57 3 2 2 5 4 3" xfId="30616"/>
    <cellStyle name="Normal 57 3 2 2 5 4 4" xfId="30617"/>
    <cellStyle name="Normal 57 3 2 2 5 4 5" xfId="30618"/>
    <cellStyle name="Normal 57 3 2 2 5 4 6" xfId="30619"/>
    <cellStyle name="Normal 57 3 2 2 6" xfId="30620"/>
    <cellStyle name="Normal 57 3 2 2 6 2" xfId="30621"/>
    <cellStyle name="Normal 57 3 2 2 6 3" xfId="30622"/>
    <cellStyle name="Normal 57 3 2 2 6 3 2" xfId="30623"/>
    <cellStyle name="Normal 57 3 2 2 6 3 3" xfId="30624"/>
    <cellStyle name="Normal 57 3 2 2 6 3 4" xfId="30625"/>
    <cellStyle name="Normal 57 3 2 2 6 3 5" xfId="30626"/>
    <cellStyle name="Normal 57 3 2 2 6 3 6" xfId="30627"/>
    <cellStyle name="Normal 57 3 2 2 6 4" xfId="30628"/>
    <cellStyle name="Normal 57 3 2 2 6 4 2" xfId="30629"/>
    <cellStyle name="Normal 57 3 2 2 6 4 3" xfId="30630"/>
    <cellStyle name="Normal 57 3 2 2 6 4 4" xfId="30631"/>
    <cellStyle name="Normal 57 3 2 2 6 4 5" xfId="30632"/>
    <cellStyle name="Normal 57 3 2 2 6 4 6" xfId="30633"/>
    <cellStyle name="Normal 57 3 2 2 7" xfId="30634"/>
    <cellStyle name="Normal 57 3 2 2 7 2" xfId="30635"/>
    <cellStyle name="Normal 57 3 2 2 7 3" xfId="30636"/>
    <cellStyle name="Normal 57 3 2 2 7 3 2" xfId="30637"/>
    <cellStyle name="Normal 57 3 2 2 7 3 3" xfId="30638"/>
    <cellStyle name="Normal 57 3 2 2 7 3 4" xfId="30639"/>
    <cellStyle name="Normal 57 3 2 2 7 3 5" xfId="30640"/>
    <cellStyle name="Normal 57 3 2 2 7 3 6" xfId="30641"/>
    <cellStyle name="Normal 57 3 2 2 7 4" xfId="30642"/>
    <cellStyle name="Normal 57 3 2 2 7 4 2" xfId="30643"/>
    <cellStyle name="Normal 57 3 2 2 7 4 3" xfId="30644"/>
    <cellStyle name="Normal 57 3 2 2 7 4 4" xfId="30645"/>
    <cellStyle name="Normal 57 3 2 2 7 4 5" xfId="30646"/>
    <cellStyle name="Normal 57 3 2 2 7 4 6" xfId="30647"/>
    <cellStyle name="Normal 57 3 2 2 8" xfId="30648"/>
    <cellStyle name="Normal 57 3 2 2 8 2" xfId="30649"/>
    <cellStyle name="Normal 57 3 2 2 8 3" xfId="30650"/>
    <cellStyle name="Normal 57 3 2 2 8 3 2" xfId="30651"/>
    <cellStyle name="Normal 57 3 2 2 8 3 3" xfId="30652"/>
    <cellStyle name="Normal 57 3 2 2 8 3 4" xfId="30653"/>
    <cellStyle name="Normal 57 3 2 2 8 3 5" xfId="30654"/>
    <cellStyle name="Normal 57 3 2 2 8 3 6" xfId="30655"/>
    <cellStyle name="Normal 57 3 2 2 8 4" xfId="30656"/>
    <cellStyle name="Normal 57 3 2 2 8 4 2" xfId="30657"/>
    <cellStyle name="Normal 57 3 2 2 8 4 3" xfId="30658"/>
    <cellStyle name="Normal 57 3 2 2 8 4 4" xfId="30659"/>
    <cellStyle name="Normal 57 3 2 2 8 4 5" xfId="30660"/>
    <cellStyle name="Normal 57 3 2 2 8 4 6" xfId="30661"/>
    <cellStyle name="Normal 57 3 2 2 9" xfId="30662"/>
    <cellStyle name="Normal 57 3 2 2 9 2" xfId="30663"/>
    <cellStyle name="Normal 57 3 2 2 9 3" xfId="30664"/>
    <cellStyle name="Normal 57 3 2 2 9 3 2" xfId="30665"/>
    <cellStyle name="Normal 57 3 2 2 9 3 3" xfId="30666"/>
    <cellStyle name="Normal 57 3 2 2 9 3 4" xfId="30667"/>
    <cellStyle name="Normal 57 3 2 2 9 3 5" xfId="30668"/>
    <cellStyle name="Normal 57 3 2 2 9 3 6" xfId="30669"/>
    <cellStyle name="Normal 57 3 2 2 9 4" xfId="30670"/>
    <cellStyle name="Normal 57 3 2 2 9 4 2" xfId="30671"/>
    <cellStyle name="Normal 57 3 2 2 9 4 3" xfId="30672"/>
    <cellStyle name="Normal 57 3 2 2 9 4 4" xfId="30673"/>
    <cellStyle name="Normal 57 3 2 2 9 4 5" xfId="30674"/>
    <cellStyle name="Normal 57 3 2 2 9 4 6" xfId="30675"/>
    <cellStyle name="Normal 57 3 2 20" xfId="30676"/>
    <cellStyle name="Normal 57 3 2 21" xfId="30677"/>
    <cellStyle name="Normal 57 3 2 21 2" xfId="30678"/>
    <cellStyle name="Normal 57 3 2 21 3" xfId="30679"/>
    <cellStyle name="Normal 57 3 2 21 4" xfId="30680"/>
    <cellStyle name="Normal 57 3 2 21 5" xfId="30681"/>
    <cellStyle name="Normal 57 3 2 21 6" xfId="30682"/>
    <cellStyle name="Normal 57 3 2 22" xfId="30683"/>
    <cellStyle name="Normal 57 3 2 22 2" xfId="30684"/>
    <cellStyle name="Normal 57 3 2 22 3" xfId="30685"/>
    <cellStyle name="Normal 57 3 2 22 4" xfId="30686"/>
    <cellStyle name="Normal 57 3 2 22 5" xfId="30687"/>
    <cellStyle name="Normal 57 3 2 22 6" xfId="30688"/>
    <cellStyle name="Normal 57 3 2 3" xfId="30689"/>
    <cellStyle name="Normal 57 3 2 3 2" xfId="30690"/>
    <cellStyle name="Normal 57 3 2 3 3" xfId="30691"/>
    <cellStyle name="Normal 57 3 2 3 3 2" xfId="30692"/>
    <cellStyle name="Normal 57 3 2 3 3 3" xfId="30693"/>
    <cellStyle name="Normal 57 3 2 3 3 4" xfId="30694"/>
    <cellStyle name="Normal 57 3 2 3 3 5" xfId="30695"/>
    <cellStyle name="Normal 57 3 2 3 3 6" xfId="30696"/>
    <cellStyle name="Normal 57 3 2 3 4" xfId="30697"/>
    <cellStyle name="Normal 57 3 2 3 4 2" xfId="30698"/>
    <cellStyle name="Normal 57 3 2 3 4 3" xfId="30699"/>
    <cellStyle name="Normal 57 3 2 3 4 4" xfId="30700"/>
    <cellStyle name="Normal 57 3 2 3 4 5" xfId="30701"/>
    <cellStyle name="Normal 57 3 2 3 4 6" xfId="30702"/>
    <cellStyle name="Normal 57 3 2 4" xfId="30703"/>
    <cellStyle name="Normal 57 3 2 4 2" xfId="30704"/>
    <cellStyle name="Normal 57 3 2 4 3" xfId="30705"/>
    <cellStyle name="Normal 57 3 2 4 3 2" xfId="30706"/>
    <cellStyle name="Normal 57 3 2 4 3 3" xfId="30707"/>
    <cellStyle name="Normal 57 3 2 4 3 4" xfId="30708"/>
    <cellStyle name="Normal 57 3 2 4 3 5" xfId="30709"/>
    <cellStyle name="Normal 57 3 2 4 3 6" xfId="30710"/>
    <cellStyle name="Normal 57 3 2 4 4" xfId="30711"/>
    <cellStyle name="Normal 57 3 2 4 4 2" xfId="30712"/>
    <cellStyle name="Normal 57 3 2 4 4 3" xfId="30713"/>
    <cellStyle name="Normal 57 3 2 4 4 4" xfId="30714"/>
    <cellStyle name="Normal 57 3 2 4 4 5" xfId="30715"/>
    <cellStyle name="Normal 57 3 2 4 4 6" xfId="30716"/>
    <cellStyle name="Normal 57 3 2 5" xfId="30717"/>
    <cellStyle name="Normal 57 3 2 5 2" xfId="30718"/>
    <cellStyle name="Normal 57 3 2 5 3" xfId="30719"/>
    <cellStyle name="Normal 57 3 2 5 3 2" xfId="30720"/>
    <cellStyle name="Normal 57 3 2 5 3 3" xfId="30721"/>
    <cellStyle name="Normal 57 3 2 5 3 4" xfId="30722"/>
    <cellStyle name="Normal 57 3 2 5 3 5" xfId="30723"/>
    <cellStyle name="Normal 57 3 2 5 3 6" xfId="30724"/>
    <cellStyle name="Normal 57 3 2 5 4" xfId="30725"/>
    <cellStyle name="Normal 57 3 2 5 4 2" xfId="30726"/>
    <cellStyle name="Normal 57 3 2 5 4 3" xfId="30727"/>
    <cellStyle name="Normal 57 3 2 5 4 4" xfId="30728"/>
    <cellStyle name="Normal 57 3 2 5 4 5" xfId="30729"/>
    <cellStyle name="Normal 57 3 2 5 4 6" xfId="30730"/>
    <cellStyle name="Normal 57 3 2 6" xfId="30731"/>
    <cellStyle name="Normal 57 3 2 6 2" xfId="30732"/>
    <cellStyle name="Normal 57 3 2 6 3" xfId="30733"/>
    <cellStyle name="Normal 57 3 2 6 4" xfId="30734"/>
    <cellStyle name="Normal 57 3 2 7" xfId="30735"/>
    <cellStyle name="Normal 57 3 2 7 2" xfId="30736"/>
    <cellStyle name="Normal 57 3 2 7 3" xfId="30737"/>
    <cellStyle name="Normal 57 3 2 7 4" xfId="30738"/>
    <cellStyle name="Normal 57 3 2 8" xfId="30739"/>
    <cellStyle name="Normal 57 3 2 8 2" xfId="30740"/>
    <cellStyle name="Normal 57 3 2 8 3" xfId="30741"/>
    <cellStyle name="Normal 57 3 2 8 4" xfId="30742"/>
    <cellStyle name="Normal 57 3 2 9" xfId="30743"/>
    <cellStyle name="Normal 57 3 2 9 2" xfId="30744"/>
    <cellStyle name="Normal 57 3 2 9 3" xfId="30745"/>
    <cellStyle name="Normal 57 3 2 9 4" xfId="30746"/>
    <cellStyle name="Normal 57 3 20" xfId="30747"/>
    <cellStyle name="Normal 57 3 21" xfId="30748"/>
    <cellStyle name="Normal 57 3 22" xfId="30749"/>
    <cellStyle name="Normal 57 3 3" xfId="30750"/>
    <cellStyle name="Normal 57 3 3 10" xfId="30751"/>
    <cellStyle name="Normal 57 3 3 10 2" xfId="30752"/>
    <cellStyle name="Normal 57 3 3 10 3" xfId="30753"/>
    <cellStyle name="Normal 57 3 3 10 4" xfId="30754"/>
    <cellStyle name="Normal 57 3 3 11" xfId="30755"/>
    <cellStyle name="Normal 57 3 3 11 2" xfId="30756"/>
    <cellStyle name="Normal 57 3 3 11 3" xfId="30757"/>
    <cellStyle name="Normal 57 3 3 11 4" xfId="30758"/>
    <cellStyle name="Normal 57 3 3 12" xfId="30759"/>
    <cellStyle name="Normal 57 3 3 12 2" xfId="30760"/>
    <cellStyle name="Normal 57 3 3 12 3" xfId="30761"/>
    <cellStyle name="Normal 57 3 3 12 4" xfId="30762"/>
    <cellStyle name="Normal 57 3 3 13" xfId="30763"/>
    <cellStyle name="Normal 57 3 3 13 2" xfId="30764"/>
    <cellStyle name="Normal 57 3 3 13 3" xfId="30765"/>
    <cellStyle name="Normal 57 3 3 13 4" xfId="30766"/>
    <cellStyle name="Normal 57 3 3 14" xfId="30767"/>
    <cellStyle name="Normal 57 3 3 14 2" xfId="30768"/>
    <cellStyle name="Normal 57 3 3 14 3" xfId="30769"/>
    <cellStyle name="Normal 57 3 3 14 4" xfId="30770"/>
    <cellStyle name="Normal 57 3 3 15" xfId="30771"/>
    <cellStyle name="Normal 57 3 3 15 2" xfId="30772"/>
    <cellStyle name="Normal 57 3 3 15 3" xfId="30773"/>
    <cellStyle name="Normal 57 3 3 15 4" xfId="30774"/>
    <cellStyle name="Normal 57 3 3 16" xfId="30775"/>
    <cellStyle name="Normal 57 3 3 16 2" xfId="30776"/>
    <cellStyle name="Normal 57 3 3 16 3" xfId="30777"/>
    <cellStyle name="Normal 57 3 3 16 4" xfId="30778"/>
    <cellStyle name="Normal 57 3 3 17" xfId="30779"/>
    <cellStyle name="Normal 57 3 3 18" xfId="30780"/>
    <cellStyle name="Normal 57 3 3 18 2" xfId="30781"/>
    <cellStyle name="Normal 57 3 3 18 3" xfId="30782"/>
    <cellStyle name="Normal 57 3 3 18 4" xfId="30783"/>
    <cellStyle name="Normal 57 3 3 18 5" xfId="30784"/>
    <cellStyle name="Normal 57 3 3 18 6" xfId="30785"/>
    <cellStyle name="Normal 57 3 3 19" xfId="30786"/>
    <cellStyle name="Normal 57 3 3 19 2" xfId="30787"/>
    <cellStyle name="Normal 57 3 3 19 3" xfId="30788"/>
    <cellStyle name="Normal 57 3 3 19 4" xfId="30789"/>
    <cellStyle name="Normal 57 3 3 19 5" xfId="30790"/>
    <cellStyle name="Normal 57 3 3 19 6" xfId="30791"/>
    <cellStyle name="Normal 57 3 3 2" xfId="30792"/>
    <cellStyle name="Normal 57 3 3 2 2" xfId="30793"/>
    <cellStyle name="Normal 57 3 3 2 3" xfId="30794"/>
    <cellStyle name="Normal 57 3 3 2 4" xfId="30795"/>
    <cellStyle name="Normal 57 3 3 3" xfId="30796"/>
    <cellStyle name="Normal 57 3 3 3 2" xfId="30797"/>
    <cellStyle name="Normal 57 3 3 3 3" xfId="30798"/>
    <cellStyle name="Normal 57 3 3 3 4" xfId="30799"/>
    <cellStyle name="Normal 57 3 3 4" xfId="30800"/>
    <cellStyle name="Normal 57 3 3 4 2" xfId="30801"/>
    <cellStyle name="Normal 57 3 3 4 3" xfId="30802"/>
    <cellStyle name="Normal 57 3 3 4 4" xfId="30803"/>
    <cellStyle name="Normal 57 3 3 5" xfId="30804"/>
    <cellStyle name="Normal 57 3 3 5 2" xfId="30805"/>
    <cellStyle name="Normal 57 3 3 5 3" xfId="30806"/>
    <cellStyle name="Normal 57 3 3 5 4" xfId="30807"/>
    <cellStyle name="Normal 57 3 3 6" xfId="30808"/>
    <cellStyle name="Normal 57 3 3 6 2" xfId="30809"/>
    <cellStyle name="Normal 57 3 3 6 3" xfId="30810"/>
    <cellStyle name="Normal 57 3 3 6 4" xfId="30811"/>
    <cellStyle name="Normal 57 3 3 7" xfId="30812"/>
    <cellStyle name="Normal 57 3 3 7 2" xfId="30813"/>
    <cellStyle name="Normal 57 3 3 7 3" xfId="30814"/>
    <cellStyle name="Normal 57 3 3 7 4" xfId="30815"/>
    <cellStyle name="Normal 57 3 3 8" xfId="30816"/>
    <cellStyle name="Normal 57 3 3 8 2" xfId="30817"/>
    <cellStyle name="Normal 57 3 3 8 3" xfId="30818"/>
    <cellStyle name="Normal 57 3 3 8 4" xfId="30819"/>
    <cellStyle name="Normal 57 3 3 9" xfId="30820"/>
    <cellStyle name="Normal 57 3 3 9 2" xfId="30821"/>
    <cellStyle name="Normal 57 3 3 9 3" xfId="30822"/>
    <cellStyle name="Normal 57 3 3 9 4" xfId="30823"/>
    <cellStyle name="Normal 57 3 4" xfId="30824"/>
    <cellStyle name="Normal 57 3 4 2" xfId="30825"/>
    <cellStyle name="Normal 57 3 4 3" xfId="30826"/>
    <cellStyle name="Normal 57 3 4 4" xfId="30827"/>
    <cellStyle name="Normal 57 3 5" xfId="30828"/>
    <cellStyle name="Normal 57 3 5 2" xfId="30829"/>
    <cellStyle name="Normal 57 3 5 3" xfId="30830"/>
    <cellStyle name="Normal 57 3 5 4" xfId="30831"/>
    <cellStyle name="Normal 57 3 6" xfId="30832"/>
    <cellStyle name="Normal 57 3 6 2" xfId="30833"/>
    <cellStyle name="Normal 57 3 6 3" xfId="30834"/>
    <cellStyle name="Normal 57 3 6 3 2" xfId="30835"/>
    <cellStyle name="Normal 57 3 6 3 3" xfId="30836"/>
    <cellStyle name="Normal 57 3 6 3 4" xfId="30837"/>
    <cellStyle name="Normal 57 3 6 3 5" xfId="30838"/>
    <cellStyle name="Normal 57 3 6 3 6" xfId="30839"/>
    <cellStyle name="Normal 57 3 6 4" xfId="30840"/>
    <cellStyle name="Normal 57 3 6 4 2" xfId="30841"/>
    <cellStyle name="Normal 57 3 6 4 3" xfId="30842"/>
    <cellStyle name="Normal 57 3 6 4 4" xfId="30843"/>
    <cellStyle name="Normal 57 3 6 4 5" xfId="30844"/>
    <cellStyle name="Normal 57 3 6 4 6" xfId="30845"/>
    <cellStyle name="Normal 57 3 7" xfId="30846"/>
    <cellStyle name="Normal 57 3 7 2" xfId="30847"/>
    <cellStyle name="Normal 57 3 7 3" xfId="30848"/>
    <cellStyle name="Normal 57 3 7 3 2" xfId="30849"/>
    <cellStyle name="Normal 57 3 7 3 3" xfId="30850"/>
    <cellStyle name="Normal 57 3 7 3 4" xfId="30851"/>
    <cellStyle name="Normal 57 3 7 3 5" xfId="30852"/>
    <cellStyle name="Normal 57 3 7 3 6" xfId="30853"/>
    <cellStyle name="Normal 57 3 7 4" xfId="30854"/>
    <cellStyle name="Normal 57 3 7 4 2" xfId="30855"/>
    <cellStyle name="Normal 57 3 7 4 3" xfId="30856"/>
    <cellStyle name="Normal 57 3 7 4 4" xfId="30857"/>
    <cellStyle name="Normal 57 3 7 4 5" xfId="30858"/>
    <cellStyle name="Normal 57 3 7 4 6" xfId="30859"/>
    <cellStyle name="Normal 57 3 8" xfId="30860"/>
    <cellStyle name="Normal 57 3 8 2" xfId="30861"/>
    <cellStyle name="Normal 57 3 8 3" xfId="30862"/>
    <cellStyle name="Normal 57 3 8 3 2" xfId="30863"/>
    <cellStyle name="Normal 57 3 8 3 3" xfId="30864"/>
    <cellStyle name="Normal 57 3 8 3 4" xfId="30865"/>
    <cellStyle name="Normal 57 3 8 3 5" xfId="30866"/>
    <cellStyle name="Normal 57 3 8 3 6" xfId="30867"/>
    <cellStyle name="Normal 57 3 8 4" xfId="30868"/>
    <cellStyle name="Normal 57 3 8 4 2" xfId="30869"/>
    <cellStyle name="Normal 57 3 8 4 3" xfId="30870"/>
    <cellStyle name="Normal 57 3 8 4 4" xfId="30871"/>
    <cellStyle name="Normal 57 3 8 4 5" xfId="30872"/>
    <cellStyle name="Normal 57 3 8 4 6" xfId="30873"/>
    <cellStyle name="Normal 57 3 9" xfId="30874"/>
    <cellStyle name="Normal 57 3 9 2" xfId="30875"/>
    <cellStyle name="Normal 57 3 9 3" xfId="30876"/>
    <cellStyle name="Normal 57 3 9 3 2" xfId="30877"/>
    <cellStyle name="Normal 57 3 9 3 3" xfId="30878"/>
    <cellStyle name="Normal 57 3 9 3 4" xfId="30879"/>
    <cellStyle name="Normal 57 3 9 3 5" xfId="30880"/>
    <cellStyle name="Normal 57 3 9 3 6" xfId="30881"/>
    <cellStyle name="Normal 57 3 9 4" xfId="30882"/>
    <cellStyle name="Normal 57 3 9 4 2" xfId="30883"/>
    <cellStyle name="Normal 57 3 9 4 3" xfId="30884"/>
    <cellStyle name="Normal 57 3 9 4 4" xfId="30885"/>
    <cellStyle name="Normal 57 3 9 4 5" xfId="30886"/>
    <cellStyle name="Normal 57 3 9 4 6" xfId="30887"/>
    <cellStyle name="Normal 57 4" xfId="30888"/>
    <cellStyle name="Normal 57 4 2" xfId="30889"/>
    <cellStyle name="Normal 57 4 3" xfId="30890"/>
    <cellStyle name="Normal 57 4 4" xfId="30891"/>
    <cellStyle name="Normal 57 5" xfId="30892"/>
    <cellStyle name="Normal 57 5 2" xfId="30893"/>
    <cellStyle name="Normal 57 5 3" xfId="30894"/>
    <cellStyle name="Normal 57 5 3 2" xfId="30895"/>
    <cellStyle name="Normal 57 5 3 3" xfId="30896"/>
    <cellStyle name="Normal 57 5 3 4" xfId="30897"/>
    <cellStyle name="Normal 57 5 3 5" xfId="30898"/>
    <cellStyle name="Normal 57 5 3 6" xfId="30899"/>
    <cellStyle name="Normal 57 5 4" xfId="30900"/>
    <cellStyle name="Normal 57 5 4 2" xfId="30901"/>
    <cellStyle name="Normal 57 5 4 3" xfId="30902"/>
    <cellStyle name="Normal 57 5 4 4" xfId="30903"/>
    <cellStyle name="Normal 57 5 4 5" xfId="30904"/>
    <cellStyle name="Normal 57 5 4 6" xfId="30905"/>
    <cellStyle name="Normal 57 6" xfId="30906"/>
    <cellStyle name="Normal 57 6 2" xfId="30907"/>
    <cellStyle name="Normal 57 6 3" xfId="30908"/>
    <cellStyle name="Normal 57 6 3 2" xfId="30909"/>
    <cellStyle name="Normal 57 6 3 3" xfId="30910"/>
    <cellStyle name="Normal 57 6 3 4" xfId="30911"/>
    <cellStyle name="Normal 57 6 3 5" xfId="30912"/>
    <cellStyle name="Normal 57 6 3 6" xfId="30913"/>
    <cellStyle name="Normal 57 6 4" xfId="30914"/>
    <cellStyle name="Normal 57 6 4 2" xfId="30915"/>
    <cellStyle name="Normal 57 6 4 3" xfId="30916"/>
    <cellStyle name="Normal 57 6 4 4" xfId="30917"/>
    <cellStyle name="Normal 57 6 4 5" xfId="30918"/>
    <cellStyle name="Normal 57 6 4 6" xfId="30919"/>
    <cellStyle name="Normal 57 7" xfId="30920"/>
    <cellStyle name="Normal 57 7 2" xfId="30921"/>
    <cellStyle name="Normal 57 7 3" xfId="30922"/>
    <cellStyle name="Normal 57 7 3 2" xfId="30923"/>
    <cellStyle name="Normal 57 7 3 3" xfId="30924"/>
    <cellStyle name="Normal 57 7 3 4" xfId="30925"/>
    <cellStyle name="Normal 57 7 3 5" xfId="30926"/>
    <cellStyle name="Normal 57 7 3 6" xfId="30927"/>
    <cellStyle name="Normal 57 7 4" xfId="30928"/>
    <cellStyle name="Normal 57 7 4 2" xfId="30929"/>
    <cellStyle name="Normal 57 7 4 3" xfId="30930"/>
    <cellStyle name="Normal 57 7 4 4" xfId="30931"/>
    <cellStyle name="Normal 57 7 4 5" xfId="30932"/>
    <cellStyle name="Normal 57 7 4 6" xfId="30933"/>
    <cellStyle name="Normal 57 8" xfId="30934"/>
    <cellStyle name="Normal 57 9" xfId="30935"/>
    <cellStyle name="Normal 57 9 2" xfId="30936"/>
    <cellStyle name="Normal 57 9 3" xfId="30937"/>
    <cellStyle name="Normal 57 9 4" xfId="30938"/>
    <cellStyle name="Normal 57 9 5" xfId="30939"/>
    <cellStyle name="Normal 57 9 6" xfId="30940"/>
    <cellStyle name="Normal 58" xfId="30941"/>
    <cellStyle name="Normal 58 10" xfId="30942"/>
    <cellStyle name="Normal 58 10 2" xfId="30943"/>
    <cellStyle name="Normal 58 10 3" xfId="30944"/>
    <cellStyle name="Normal 58 10 4" xfId="30945"/>
    <cellStyle name="Normal 58 10 5" xfId="30946"/>
    <cellStyle name="Normal 58 10 6" xfId="30947"/>
    <cellStyle name="Normal 58 2" xfId="30948"/>
    <cellStyle name="Normal 58 2 2" xfId="30949"/>
    <cellStyle name="Normal 58 2 2 2" xfId="30950"/>
    <cellStyle name="Normal 58 2 2 2 2" xfId="30951"/>
    <cellStyle name="Normal 58 2 2 2 3" xfId="30952"/>
    <cellStyle name="Normal 58 2 2 2 4" xfId="30953"/>
    <cellStyle name="Normal 58 2 2 3" xfId="30954"/>
    <cellStyle name="Normal 58 2 2 4" xfId="30955"/>
    <cellStyle name="Normal 58 2 2 4 2" xfId="30956"/>
    <cellStyle name="Normal 58 2 2 4 3" xfId="30957"/>
    <cellStyle name="Normal 58 2 2 4 4" xfId="30958"/>
    <cellStyle name="Normal 58 2 2 4 5" xfId="30959"/>
    <cellStyle name="Normal 58 2 2 4 6" xfId="30960"/>
    <cellStyle name="Normal 58 2 2 5" xfId="30961"/>
    <cellStyle name="Normal 58 2 2 5 2" xfId="30962"/>
    <cellStyle name="Normal 58 2 2 5 3" xfId="30963"/>
    <cellStyle name="Normal 58 2 2 5 4" xfId="30964"/>
    <cellStyle name="Normal 58 2 2 5 5" xfId="30965"/>
    <cellStyle name="Normal 58 2 2 5 6" xfId="30966"/>
    <cellStyle name="Normal 58 2 3" xfId="30967"/>
    <cellStyle name="Normal 58 2 3 2" xfId="30968"/>
    <cellStyle name="Normal 58 2 3 3" xfId="30969"/>
    <cellStyle name="Normal 58 2 3 4" xfId="30970"/>
    <cellStyle name="Normal 58 2 4" xfId="30971"/>
    <cellStyle name="Normal 58 2 5" xfId="30972"/>
    <cellStyle name="Normal 58 2 6" xfId="30973"/>
    <cellStyle name="Normal 58 3" xfId="30974"/>
    <cellStyle name="Normal 58 3 10" xfId="30975"/>
    <cellStyle name="Normal 58 3 10 2" xfId="30976"/>
    <cellStyle name="Normal 58 3 10 3" xfId="30977"/>
    <cellStyle name="Normal 58 3 10 3 2" xfId="30978"/>
    <cellStyle name="Normal 58 3 10 3 3" xfId="30979"/>
    <cellStyle name="Normal 58 3 10 3 4" xfId="30980"/>
    <cellStyle name="Normal 58 3 10 3 5" xfId="30981"/>
    <cellStyle name="Normal 58 3 10 3 6" xfId="30982"/>
    <cellStyle name="Normal 58 3 10 4" xfId="30983"/>
    <cellStyle name="Normal 58 3 10 4 2" xfId="30984"/>
    <cellStyle name="Normal 58 3 10 4 3" xfId="30985"/>
    <cellStyle name="Normal 58 3 10 4 4" xfId="30986"/>
    <cellStyle name="Normal 58 3 10 4 5" xfId="30987"/>
    <cellStyle name="Normal 58 3 10 4 6" xfId="30988"/>
    <cellStyle name="Normal 58 3 11" xfId="30989"/>
    <cellStyle name="Normal 58 3 11 2" xfId="30990"/>
    <cellStyle name="Normal 58 3 11 3" xfId="30991"/>
    <cellStyle name="Normal 58 3 11 3 2" xfId="30992"/>
    <cellStyle name="Normal 58 3 11 3 3" xfId="30993"/>
    <cellStyle name="Normal 58 3 11 3 4" xfId="30994"/>
    <cellStyle name="Normal 58 3 11 3 5" xfId="30995"/>
    <cellStyle name="Normal 58 3 11 3 6" xfId="30996"/>
    <cellStyle name="Normal 58 3 11 4" xfId="30997"/>
    <cellStyle name="Normal 58 3 11 4 2" xfId="30998"/>
    <cellStyle name="Normal 58 3 11 4 3" xfId="30999"/>
    <cellStyle name="Normal 58 3 11 4 4" xfId="31000"/>
    <cellStyle name="Normal 58 3 11 4 5" xfId="31001"/>
    <cellStyle name="Normal 58 3 11 4 6" xfId="31002"/>
    <cellStyle name="Normal 58 3 12" xfId="31003"/>
    <cellStyle name="Normal 58 3 12 2" xfId="31004"/>
    <cellStyle name="Normal 58 3 12 3" xfId="31005"/>
    <cellStyle name="Normal 58 3 12 3 2" xfId="31006"/>
    <cellStyle name="Normal 58 3 12 3 3" xfId="31007"/>
    <cellStyle name="Normal 58 3 12 3 4" xfId="31008"/>
    <cellStyle name="Normal 58 3 12 3 5" xfId="31009"/>
    <cellStyle name="Normal 58 3 12 3 6" xfId="31010"/>
    <cellStyle name="Normal 58 3 12 4" xfId="31011"/>
    <cellStyle name="Normal 58 3 12 4 2" xfId="31012"/>
    <cellStyle name="Normal 58 3 12 4 3" xfId="31013"/>
    <cellStyle name="Normal 58 3 12 4 4" xfId="31014"/>
    <cellStyle name="Normal 58 3 12 4 5" xfId="31015"/>
    <cellStyle name="Normal 58 3 12 4 6" xfId="31016"/>
    <cellStyle name="Normal 58 3 13" xfId="31017"/>
    <cellStyle name="Normal 58 3 13 2" xfId="31018"/>
    <cellStyle name="Normal 58 3 13 3" xfId="31019"/>
    <cellStyle name="Normal 58 3 13 3 2" xfId="31020"/>
    <cellStyle name="Normal 58 3 13 3 3" xfId="31021"/>
    <cellStyle name="Normal 58 3 13 3 4" xfId="31022"/>
    <cellStyle name="Normal 58 3 13 3 5" xfId="31023"/>
    <cellStyle name="Normal 58 3 13 3 6" xfId="31024"/>
    <cellStyle name="Normal 58 3 13 4" xfId="31025"/>
    <cellStyle name="Normal 58 3 13 4 2" xfId="31026"/>
    <cellStyle name="Normal 58 3 13 4 3" xfId="31027"/>
    <cellStyle name="Normal 58 3 13 4 4" xfId="31028"/>
    <cellStyle name="Normal 58 3 13 4 5" xfId="31029"/>
    <cellStyle name="Normal 58 3 13 4 6" xfId="31030"/>
    <cellStyle name="Normal 58 3 14" xfId="31031"/>
    <cellStyle name="Normal 58 3 14 2" xfId="31032"/>
    <cellStyle name="Normal 58 3 14 3" xfId="31033"/>
    <cellStyle name="Normal 58 3 14 3 2" xfId="31034"/>
    <cellStyle name="Normal 58 3 14 3 3" xfId="31035"/>
    <cellStyle name="Normal 58 3 14 3 4" xfId="31036"/>
    <cellStyle name="Normal 58 3 14 3 5" xfId="31037"/>
    <cellStyle name="Normal 58 3 14 3 6" xfId="31038"/>
    <cellStyle name="Normal 58 3 14 4" xfId="31039"/>
    <cellStyle name="Normal 58 3 14 4 2" xfId="31040"/>
    <cellStyle name="Normal 58 3 14 4 3" xfId="31041"/>
    <cellStyle name="Normal 58 3 14 4 4" xfId="31042"/>
    <cellStyle name="Normal 58 3 14 4 5" xfId="31043"/>
    <cellStyle name="Normal 58 3 14 4 6" xfId="31044"/>
    <cellStyle name="Normal 58 3 15" xfId="31045"/>
    <cellStyle name="Normal 58 3 15 2" xfId="31046"/>
    <cellStyle name="Normal 58 3 15 3" xfId="31047"/>
    <cellStyle name="Normal 58 3 15 3 2" xfId="31048"/>
    <cellStyle name="Normal 58 3 15 3 3" xfId="31049"/>
    <cellStyle name="Normal 58 3 15 3 4" xfId="31050"/>
    <cellStyle name="Normal 58 3 15 3 5" xfId="31051"/>
    <cellStyle name="Normal 58 3 15 3 6" xfId="31052"/>
    <cellStyle name="Normal 58 3 15 4" xfId="31053"/>
    <cellStyle name="Normal 58 3 15 4 2" xfId="31054"/>
    <cellStyle name="Normal 58 3 15 4 3" xfId="31055"/>
    <cellStyle name="Normal 58 3 15 4 4" xfId="31056"/>
    <cellStyle name="Normal 58 3 15 4 5" xfId="31057"/>
    <cellStyle name="Normal 58 3 15 4 6" xfId="31058"/>
    <cellStyle name="Normal 58 3 16" xfId="31059"/>
    <cellStyle name="Normal 58 3 16 2" xfId="31060"/>
    <cellStyle name="Normal 58 3 16 3" xfId="31061"/>
    <cellStyle name="Normal 58 3 16 3 2" xfId="31062"/>
    <cellStyle name="Normal 58 3 16 3 3" xfId="31063"/>
    <cellStyle name="Normal 58 3 16 3 4" xfId="31064"/>
    <cellStyle name="Normal 58 3 16 3 5" xfId="31065"/>
    <cellStyle name="Normal 58 3 16 3 6" xfId="31066"/>
    <cellStyle name="Normal 58 3 16 4" xfId="31067"/>
    <cellStyle name="Normal 58 3 16 4 2" xfId="31068"/>
    <cellStyle name="Normal 58 3 16 4 3" xfId="31069"/>
    <cellStyle name="Normal 58 3 16 4 4" xfId="31070"/>
    <cellStyle name="Normal 58 3 16 4 5" xfId="31071"/>
    <cellStyle name="Normal 58 3 16 4 6" xfId="31072"/>
    <cellStyle name="Normal 58 3 17" xfId="31073"/>
    <cellStyle name="Normal 58 3 17 2" xfId="31074"/>
    <cellStyle name="Normal 58 3 17 3" xfId="31075"/>
    <cellStyle name="Normal 58 3 17 3 2" xfId="31076"/>
    <cellStyle name="Normal 58 3 17 3 3" xfId="31077"/>
    <cellStyle name="Normal 58 3 17 3 4" xfId="31078"/>
    <cellStyle name="Normal 58 3 17 3 5" xfId="31079"/>
    <cellStyle name="Normal 58 3 17 3 6" xfId="31080"/>
    <cellStyle name="Normal 58 3 17 4" xfId="31081"/>
    <cellStyle name="Normal 58 3 17 4 2" xfId="31082"/>
    <cellStyle name="Normal 58 3 17 4 3" xfId="31083"/>
    <cellStyle name="Normal 58 3 17 4 4" xfId="31084"/>
    <cellStyle name="Normal 58 3 17 4 5" xfId="31085"/>
    <cellStyle name="Normal 58 3 17 4 6" xfId="31086"/>
    <cellStyle name="Normal 58 3 18" xfId="31087"/>
    <cellStyle name="Normal 58 3 18 2" xfId="31088"/>
    <cellStyle name="Normal 58 3 18 3" xfId="31089"/>
    <cellStyle name="Normal 58 3 18 3 2" xfId="31090"/>
    <cellStyle name="Normal 58 3 18 3 3" xfId="31091"/>
    <cellStyle name="Normal 58 3 18 3 4" xfId="31092"/>
    <cellStyle name="Normal 58 3 18 3 5" xfId="31093"/>
    <cellStyle name="Normal 58 3 18 3 6" xfId="31094"/>
    <cellStyle name="Normal 58 3 18 4" xfId="31095"/>
    <cellStyle name="Normal 58 3 18 4 2" xfId="31096"/>
    <cellStyle name="Normal 58 3 18 4 3" xfId="31097"/>
    <cellStyle name="Normal 58 3 18 4 4" xfId="31098"/>
    <cellStyle name="Normal 58 3 18 4 5" xfId="31099"/>
    <cellStyle name="Normal 58 3 18 4 6" xfId="31100"/>
    <cellStyle name="Normal 58 3 19" xfId="31101"/>
    <cellStyle name="Normal 58 3 19 2" xfId="31102"/>
    <cellStyle name="Normal 58 3 19 3" xfId="31103"/>
    <cellStyle name="Normal 58 3 19 3 2" xfId="31104"/>
    <cellStyle name="Normal 58 3 19 3 3" xfId="31105"/>
    <cellStyle name="Normal 58 3 19 3 4" xfId="31106"/>
    <cellStyle name="Normal 58 3 19 3 5" xfId="31107"/>
    <cellStyle name="Normal 58 3 19 3 6" xfId="31108"/>
    <cellStyle name="Normal 58 3 19 4" xfId="31109"/>
    <cellStyle name="Normal 58 3 19 4 2" xfId="31110"/>
    <cellStyle name="Normal 58 3 19 4 3" xfId="31111"/>
    <cellStyle name="Normal 58 3 19 4 4" xfId="31112"/>
    <cellStyle name="Normal 58 3 19 4 5" xfId="31113"/>
    <cellStyle name="Normal 58 3 19 4 6" xfId="31114"/>
    <cellStyle name="Normal 58 3 2" xfId="31115"/>
    <cellStyle name="Normal 58 3 2 10" xfId="31116"/>
    <cellStyle name="Normal 58 3 2 10 2" xfId="31117"/>
    <cellStyle name="Normal 58 3 2 10 3" xfId="31118"/>
    <cellStyle name="Normal 58 3 2 10 4" xfId="31119"/>
    <cellStyle name="Normal 58 3 2 11" xfId="31120"/>
    <cellStyle name="Normal 58 3 2 11 2" xfId="31121"/>
    <cellStyle name="Normal 58 3 2 11 3" xfId="31122"/>
    <cellStyle name="Normal 58 3 2 11 4" xfId="31123"/>
    <cellStyle name="Normal 58 3 2 12" xfId="31124"/>
    <cellStyle name="Normal 58 3 2 12 2" xfId="31125"/>
    <cellStyle name="Normal 58 3 2 12 3" xfId="31126"/>
    <cellStyle name="Normal 58 3 2 12 4" xfId="31127"/>
    <cellStyle name="Normal 58 3 2 13" xfId="31128"/>
    <cellStyle name="Normal 58 3 2 13 2" xfId="31129"/>
    <cellStyle name="Normal 58 3 2 13 3" xfId="31130"/>
    <cellStyle name="Normal 58 3 2 13 4" xfId="31131"/>
    <cellStyle name="Normal 58 3 2 14" xfId="31132"/>
    <cellStyle name="Normal 58 3 2 14 2" xfId="31133"/>
    <cellStyle name="Normal 58 3 2 14 3" xfId="31134"/>
    <cellStyle name="Normal 58 3 2 14 4" xfId="31135"/>
    <cellStyle name="Normal 58 3 2 15" xfId="31136"/>
    <cellStyle name="Normal 58 3 2 15 2" xfId="31137"/>
    <cellStyle name="Normal 58 3 2 15 3" xfId="31138"/>
    <cellStyle name="Normal 58 3 2 15 4" xfId="31139"/>
    <cellStyle name="Normal 58 3 2 16" xfId="31140"/>
    <cellStyle name="Normal 58 3 2 16 2" xfId="31141"/>
    <cellStyle name="Normal 58 3 2 16 3" xfId="31142"/>
    <cellStyle name="Normal 58 3 2 16 4" xfId="31143"/>
    <cellStyle name="Normal 58 3 2 17" xfId="31144"/>
    <cellStyle name="Normal 58 3 2 17 2" xfId="31145"/>
    <cellStyle name="Normal 58 3 2 17 3" xfId="31146"/>
    <cellStyle name="Normal 58 3 2 17 4" xfId="31147"/>
    <cellStyle name="Normal 58 3 2 18" xfId="31148"/>
    <cellStyle name="Normal 58 3 2 18 2" xfId="31149"/>
    <cellStyle name="Normal 58 3 2 18 3" xfId="31150"/>
    <cellStyle name="Normal 58 3 2 18 4" xfId="31151"/>
    <cellStyle name="Normal 58 3 2 19" xfId="31152"/>
    <cellStyle name="Normal 58 3 2 19 2" xfId="31153"/>
    <cellStyle name="Normal 58 3 2 19 3" xfId="31154"/>
    <cellStyle name="Normal 58 3 2 19 4" xfId="31155"/>
    <cellStyle name="Normal 58 3 2 2" xfId="31156"/>
    <cellStyle name="Normal 58 3 2 2 10" xfId="31157"/>
    <cellStyle name="Normal 58 3 2 2 10 2" xfId="31158"/>
    <cellStyle name="Normal 58 3 2 2 10 3" xfId="31159"/>
    <cellStyle name="Normal 58 3 2 2 10 3 2" xfId="31160"/>
    <cellStyle name="Normal 58 3 2 2 10 3 3" xfId="31161"/>
    <cellStyle name="Normal 58 3 2 2 10 3 4" xfId="31162"/>
    <cellStyle name="Normal 58 3 2 2 10 3 5" xfId="31163"/>
    <cellStyle name="Normal 58 3 2 2 10 3 6" xfId="31164"/>
    <cellStyle name="Normal 58 3 2 2 10 4" xfId="31165"/>
    <cellStyle name="Normal 58 3 2 2 10 4 2" xfId="31166"/>
    <cellStyle name="Normal 58 3 2 2 10 4 3" xfId="31167"/>
    <cellStyle name="Normal 58 3 2 2 10 4 4" xfId="31168"/>
    <cellStyle name="Normal 58 3 2 2 10 4 5" xfId="31169"/>
    <cellStyle name="Normal 58 3 2 2 10 4 6" xfId="31170"/>
    <cellStyle name="Normal 58 3 2 2 11" xfId="31171"/>
    <cellStyle name="Normal 58 3 2 2 11 2" xfId="31172"/>
    <cellStyle name="Normal 58 3 2 2 11 3" xfId="31173"/>
    <cellStyle name="Normal 58 3 2 2 11 3 2" xfId="31174"/>
    <cellStyle name="Normal 58 3 2 2 11 3 3" xfId="31175"/>
    <cellStyle name="Normal 58 3 2 2 11 3 4" xfId="31176"/>
    <cellStyle name="Normal 58 3 2 2 11 3 5" xfId="31177"/>
    <cellStyle name="Normal 58 3 2 2 11 3 6" xfId="31178"/>
    <cellStyle name="Normal 58 3 2 2 11 4" xfId="31179"/>
    <cellStyle name="Normal 58 3 2 2 11 4 2" xfId="31180"/>
    <cellStyle name="Normal 58 3 2 2 11 4 3" xfId="31181"/>
    <cellStyle name="Normal 58 3 2 2 11 4 4" xfId="31182"/>
    <cellStyle name="Normal 58 3 2 2 11 4 5" xfId="31183"/>
    <cellStyle name="Normal 58 3 2 2 11 4 6" xfId="31184"/>
    <cellStyle name="Normal 58 3 2 2 12" xfId="31185"/>
    <cellStyle name="Normal 58 3 2 2 12 2" xfId="31186"/>
    <cellStyle name="Normal 58 3 2 2 12 3" xfId="31187"/>
    <cellStyle name="Normal 58 3 2 2 12 3 2" xfId="31188"/>
    <cellStyle name="Normal 58 3 2 2 12 3 3" xfId="31189"/>
    <cellStyle name="Normal 58 3 2 2 12 3 4" xfId="31190"/>
    <cellStyle name="Normal 58 3 2 2 12 3 5" xfId="31191"/>
    <cellStyle name="Normal 58 3 2 2 12 3 6" xfId="31192"/>
    <cellStyle name="Normal 58 3 2 2 12 4" xfId="31193"/>
    <cellStyle name="Normal 58 3 2 2 12 4 2" xfId="31194"/>
    <cellStyle name="Normal 58 3 2 2 12 4 3" xfId="31195"/>
    <cellStyle name="Normal 58 3 2 2 12 4 4" xfId="31196"/>
    <cellStyle name="Normal 58 3 2 2 12 4 5" xfId="31197"/>
    <cellStyle name="Normal 58 3 2 2 12 4 6" xfId="31198"/>
    <cellStyle name="Normal 58 3 2 2 13" xfId="31199"/>
    <cellStyle name="Normal 58 3 2 2 13 2" xfId="31200"/>
    <cellStyle name="Normal 58 3 2 2 13 3" xfId="31201"/>
    <cellStyle name="Normal 58 3 2 2 13 3 2" xfId="31202"/>
    <cellStyle name="Normal 58 3 2 2 13 3 3" xfId="31203"/>
    <cellStyle name="Normal 58 3 2 2 13 3 4" xfId="31204"/>
    <cellStyle name="Normal 58 3 2 2 13 3 5" xfId="31205"/>
    <cellStyle name="Normal 58 3 2 2 13 3 6" xfId="31206"/>
    <cellStyle name="Normal 58 3 2 2 13 4" xfId="31207"/>
    <cellStyle name="Normal 58 3 2 2 13 4 2" xfId="31208"/>
    <cellStyle name="Normal 58 3 2 2 13 4 3" xfId="31209"/>
    <cellStyle name="Normal 58 3 2 2 13 4 4" xfId="31210"/>
    <cellStyle name="Normal 58 3 2 2 13 4 5" xfId="31211"/>
    <cellStyle name="Normal 58 3 2 2 13 4 6" xfId="31212"/>
    <cellStyle name="Normal 58 3 2 2 14" xfId="31213"/>
    <cellStyle name="Normal 58 3 2 2 14 2" xfId="31214"/>
    <cellStyle name="Normal 58 3 2 2 14 3" xfId="31215"/>
    <cellStyle name="Normal 58 3 2 2 14 3 2" xfId="31216"/>
    <cellStyle name="Normal 58 3 2 2 14 3 3" xfId="31217"/>
    <cellStyle name="Normal 58 3 2 2 14 3 4" xfId="31218"/>
    <cellStyle name="Normal 58 3 2 2 14 3 5" xfId="31219"/>
    <cellStyle name="Normal 58 3 2 2 14 3 6" xfId="31220"/>
    <cellStyle name="Normal 58 3 2 2 14 4" xfId="31221"/>
    <cellStyle name="Normal 58 3 2 2 14 4 2" xfId="31222"/>
    <cellStyle name="Normal 58 3 2 2 14 4 3" xfId="31223"/>
    <cellStyle name="Normal 58 3 2 2 14 4 4" xfId="31224"/>
    <cellStyle name="Normal 58 3 2 2 14 4 5" xfId="31225"/>
    <cellStyle name="Normal 58 3 2 2 14 4 6" xfId="31226"/>
    <cellStyle name="Normal 58 3 2 2 15" xfId="31227"/>
    <cellStyle name="Normal 58 3 2 2 15 2" xfId="31228"/>
    <cellStyle name="Normal 58 3 2 2 15 3" xfId="31229"/>
    <cellStyle name="Normal 58 3 2 2 15 3 2" xfId="31230"/>
    <cellStyle name="Normal 58 3 2 2 15 3 3" xfId="31231"/>
    <cellStyle name="Normal 58 3 2 2 15 3 4" xfId="31232"/>
    <cellStyle name="Normal 58 3 2 2 15 3 5" xfId="31233"/>
    <cellStyle name="Normal 58 3 2 2 15 3 6" xfId="31234"/>
    <cellStyle name="Normal 58 3 2 2 15 4" xfId="31235"/>
    <cellStyle name="Normal 58 3 2 2 15 4 2" xfId="31236"/>
    <cellStyle name="Normal 58 3 2 2 15 4 3" xfId="31237"/>
    <cellStyle name="Normal 58 3 2 2 15 4 4" xfId="31238"/>
    <cellStyle name="Normal 58 3 2 2 15 4 5" xfId="31239"/>
    <cellStyle name="Normal 58 3 2 2 15 4 6" xfId="31240"/>
    <cellStyle name="Normal 58 3 2 2 16" xfId="31241"/>
    <cellStyle name="Normal 58 3 2 2 16 2" xfId="31242"/>
    <cellStyle name="Normal 58 3 2 2 16 3" xfId="31243"/>
    <cellStyle name="Normal 58 3 2 2 16 3 2" xfId="31244"/>
    <cellStyle name="Normal 58 3 2 2 16 3 3" xfId="31245"/>
    <cellStyle name="Normal 58 3 2 2 16 3 4" xfId="31246"/>
    <cellStyle name="Normal 58 3 2 2 16 3 5" xfId="31247"/>
    <cellStyle name="Normal 58 3 2 2 16 3 6" xfId="31248"/>
    <cellStyle name="Normal 58 3 2 2 16 4" xfId="31249"/>
    <cellStyle name="Normal 58 3 2 2 16 4 2" xfId="31250"/>
    <cellStyle name="Normal 58 3 2 2 16 4 3" xfId="31251"/>
    <cellStyle name="Normal 58 3 2 2 16 4 4" xfId="31252"/>
    <cellStyle name="Normal 58 3 2 2 16 4 5" xfId="31253"/>
    <cellStyle name="Normal 58 3 2 2 16 4 6" xfId="31254"/>
    <cellStyle name="Normal 58 3 2 2 17" xfId="31255"/>
    <cellStyle name="Normal 58 3 2 2 18" xfId="31256"/>
    <cellStyle name="Normal 58 3 2 2 19" xfId="31257"/>
    <cellStyle name="Normal 58 3 2 2 2" xfId="31258"/>
    <cellStyle name="Normal 58 3 2 2 2 2" xfId="31259"/>
    <cellStyle name="Normal 58 3 2 2 2 3" xfId="31260"/>
    <cellStyle name="Normal 58 3 2 2 2 3 2" xfId="31261"/>
    <cellStyle name="Normal 58 3 2 2 2 3 3" xfId="31262"/>
    <cellStyle name="Normal 58 3 2 2 2 3 4" xfId="31263"/>
    <cellStyle name="Normal 58 3 2 2 2 3 5" xfId="31264"/>
    <cellStyle name="Normal 58 3 2 2 2 3 6" xfId="31265"/>
    <cellStyle name="Normal 58 3 2 2 2 4" xfId="31266"/>
    <cellStyle name="Normal 58 3 2 2 2 4 2" xfId="31267"/>
    <cellStyle name="Normal 58 3 2 2 2 4 3" xfId="31268"/>
    <cellStyle name="Normal 58 3 2 2 2 4 4" xfId="31269"/>
    <cellStyle name="Normal 58 3 2 2 2 4 5" xfId="31270"/>
    <cellStyle name="Normal 58 3 2 2 2 4 6" xfId="31271"/>
    <cellStyle name="Normal 58 3 2 2 3" xfId="31272"/>
    <cellStyle name="Normal 58 3 2 2 3 2" xfId="31273"/>
    <cellStyle name="Normal 58 3 2 2 3 3" xfId="31274"/>
    <cellStyle name="Normal 58 3 2 2 3 3 2" xfId="31275"/>
    <cellStyle name="Normal 58 3 2 2 3 3 3" xfId="31276"/>
    <cellStyle name="Normal 58 3 2 2 3 3 4" xfId="31277"/>
    <cellStyle name="Normal 58 3 2 2 3 3 5" xfId="31278"/>
    <cellStyle name="Normal 58 3 2 2 3 3 6" xfId="31279"/>
    <cellStyle name="Normal 58 3 2 2 3 4" xfId="31280"/>
    <cellStyle name="Normal 58 3 2 2 3 4 2" xfId="31281"/>
    <cellStyle name="Normal 58 3 2 2 3 4 3" xfId="31282"/>
    <cellStyle name="Normal 58 3 2 2 3 4 4" xfId="31283"/>
    <cellStyle name="Normal 58 3 2 2 3 4 5" xfId="31284"/>
    <cellStyle name="Normal 58 3 2 2 3 4 6" xfId="31285"/>
    <cellStyle name="Normal 58 3 2 2 4" xfId="31286"/>
    <cellStyle name="Normal 58 3 2 2 4 2" xfId="31287"/>
    <cellStyle name="Normal 58 3 2 2 4 3" xfId="31288"/>
    <cellStyle name="Normal 58 3 2 2 4 3 2" xfId="31289"/>
    <cellStyle name="Normal 58 3 2 2 4 3 3" xfId="31290"/>
    <cellStyle name="Normal 58 3 2 2 4 3 4" xfId="31291"/>
    <cellStyle name="Normal 58 3 2 2 4 3 5" xfId="31292"/>
    <cellStyle name="Normal 58 3 2 2 4 3 6" xfId="31293"/>
    <cellStyle name="Normal 58 3 2 2 4 4" xfId="31294"/>
    <cellStyle name="Normal 58 3 2 2 4 4 2" xfId="31295"/>
    <cellStyle name="Normal 58 3 2 2 4 4 3" xfId="31296"/>
    <cellStyle name="Normal 58 3 2 2 4 4 4" xfId="31297"/>
    <cellStyle name="Normal 58 3 2 2 4 4 5" xfId="31298"/>
    <cellStyle name="Normal 58 3 2 2 4 4 6" xfId="31299"/>
    <cellStyle name="Normal 58 3 2 2 5" xfId="31300"/>
    <cellStyle name="Normal 58 3 2 2 5 2" xfId="31301"/>
    <cellStyle name="Normal 58 3 2 2 5 3" xfId="31302"/>
    <cellStyle name="Normal 58 3 2 2 5 3 2" xfId="31303"/>
    <cellStyle name="Normal 58 3 2 2 5 3 3" xfId="31304"/>
    <cellStyle name="Normal 58 3 2 2 5 3 4" xfId="31305"/>
    <cellStyle name="Normal 58 3 2 2 5 3 5" xfId="31306"/>
    <cellStyle name="Normal 58 3 2 2 5 3 6" xfId="31307"/>
    <cellStyle name="Normal 58 3 2 2 5 4" xfId="31308"/>
    <cellStyle name="Normal 58 3 2 2 5 4 2" xfId="31309"/>
    <cellStyle name="Normal 58 3 2 2 5 4 3" xfId="31310"/>
    <cellStyle name="Normal 58 3 2 2 5 4 4" xfId="31311"/>
    <cellStyle name="Normal 58 3 2 2 5 4 5" xfId="31312"/>
    <cellStyle name="Normal 58 3 2 2 5 4 6" xfId="31313"/>
    <cellStyle name="Normal 58 3 2 2 6" xfId="31314"/>
    <cellStyle name="Normal 58 3 2 2 6 2" xfId="31315"/>
    <cellStyle name="Normal 58 3 2 2 6 3" xfId="31316"/>
    <cellStyle name="Normal 58 3 2 2 6 3 2" xfId="31317"/>
    <cellStyle name="Normal 58 3 2 2 6 3 3" xfId="31318"/>
    <cellStyle name="Normal 58 3 2 2 6 3 4" xfId="31319"/>
    <cellStyle name="Normal 58 3 2 2 6 3 5" xfId="31320"/>
    <cellStyle name="Normal 58 3 2 2 6 3 6" xfId="31321"/>
    <cellStyle name="Normal 58 3 2 2 6 4" xfId="31322"/>
    <cellStyle name="Normal 58 3 2 2 6 4 2" xfId="31323"/>
    <cellStyle name="Normal 58 3 2 2 6 4 3" xfId="31324"/>
    <cellStyle name="Normal 58 3 2 2 6 4 4" xfId="31325"/>
    <cellStyle name="Normal 58 3 2 2 6 4 5" xfId="31326"/>
    <cellStyle name="Normal 58 3 2 2 6 4 6" xfId="31327"/>
    <cellStyle name="Normal 58 3 2 2 7" xfId="31328"/>
    <cellStyle name="Normal 58 3 2 2 7 2" xfId="31329"/>
    <cellStyle name="Normal 58 3 2 2 7 3" xfId="31330"/>
    <cellStyle name="Normal 58 3 2 2 7 3 2" xfId="31331"/>
    <cellStyle name="Normal 58 3 2 2 7 3 3" xfId="31332"/>
    <cellStyle name="Normal 58 3 2 2 7 3 4" xfId="31333"/>
    <cellStyle name="Normal 58 3 2 2 7 3 5" xfId="31334"/>
    <cellStyle name="Normal 58 3 2 2 7 3 6" xfId="31335"/>
    <cellStyle name="Normal 58 3 2 2 7 4" xfId="31336"/>
    <cellStyle name="Normal 58 3 2 2 7 4 2" xfId="31337"/>
    <cellStyle name="Normal 58 3 2 2 7 4 3" xfId="31338"/>
    <cellStyle name="Normal 58 3 2 2 7 4 4" xfId="31339"/>
    <cellStyle name="Normal 58 3 2 2 7 4 5" xfId="31340"/>
    <cellStyle name="Normal 58 3 2 2 7 4 6" xfId="31341"/>
    <cellStyle name="Normal 58 3 2 2 8" xfId="31342"/>
    <cellStyle name="Normal 58 3 2 2 8 2" xfId="31343"/>
    <cellStyle name="Normal 58 3 2 2 8 3" xfId="31344"/>
    <cellStyle name="Normal 58 3 2 2 8 3 2" xfId="31345"/>
    <cellStyle name="Normal 58 3 2 2 8 3 3" xfId="31346"/>
    <cellStyle name="Normal 58 3 2 2 8 3 4" xfId="31347"/>
    <cellStyle name="Normal 58 3 2 2 8 3 5" xfId="31348"/>
    <cellStyle name="Normal 58 3 2 2 8 3 6" xfId="31349"/>
    <cellStyle name="Normal 58 3 2 2 8 4" xfId="31350"/>
    <cellStyle name="Normal 58 3 2 2 8 4 2" xfId="31351"/>
    <cellStyle name="Normal 58 3 2 2 8 4 3" xfId="31352"/>
    <cellStyle name="Normal 58 3 2 2 8 4 4" xfId="31353"/>
    <cellStyle name="Normal 58 3 2 2 8 4 5" xfId="31354"/>
    <cellStyle name="Normal 58 3 2 2 8 4 6" xfId="31355"/>
    <cellStyle name="Normal 58 3 2 2 9" xfId="31356"/>
    <cellStyle name="Normal 58 3 2 2 9 2" xfId="31357"/>
    <cellStyle name="Normal 58 3 2 2 9 3" xfId="31358"/>
    <cellStyle name="Normal 58 3 2 2 9 3 2" xfId="31359"/>
    <cellStyle name="Normal 58 3 2 2 9 3 3" xfId="31360"/>
    <cellStyle name="Normal 58 3 2 2 9 3 4" xfId="31361"/>
    <cellStyle name="Normal 58 3 2 2 9 3 5" xfId="31362"/>
    <cellStyle name="Normal 58 3 2 2 9 3 6" xfId="31363"/>
    <cellStyle name="Normal 58 3 2 2 9 4" xfId="31364"/>
    <cellStyle name="Normal 58 3 2 2 9 4 2" xfId="31365"/>
    <cellStyle name="Normal 58 3 2 2 9 4 3" xfId="31366"/>
    <cellStyle name="Normal 58 3 2 2 9 4 4" xfId="31367"/>
    <cellStyle name="Normal 58 3 2 2 9 4 5" xfId="31368"/>
    <cellStyle name="Normal 58 3 2 2 9 4 6" xfId="31369"/>
    <cellStyle name="Normal 58 3 2 20" xfId="31370"/>
    <cellStyle name="Normal 58 3 2 21" xfId="31371"/>
    <cellStyle name="Normal 58 3 2 21 2" xfId="31372"/>
    <cellStyle name="Normal 58 3 2 21 3" xfId="31373"/>
    <cellStyle name="Normal 58 3 2 21 4" xfId="31374"/>
    <cellStyle name="Normal 58 3 2 21 5" xfId="31375"/>
    <cellStyle name="Normal 58 3 2 21 6" xfId="31376"/>
    <cellStyle name="Normal 58 3 2 22" xfId="31377"/>
    <cellStyle name="Normal 58 3 2 22 2" xfId="31378"/>
    <cellStyle name="Normal 58 3 2 22 3" xfId="31379"/>
    <cellStyle name="Normal 58 3 2 22 4" xfId="31380"/>
    <cellStyle name="Normal 58 3 2 22 5" xfId="31381"/>
    <cellStyle name="Normal 58 3 2 22 6" xfId="31382"/>
    <cellStyle name="Normal 58 3 2 3" xfId="31383"/>
    <cellStyle name="Normal 58 3 2 3 2" xfId="31384"/>
    <cellStyle name="Normal 58 3 2 3 3" xfId="31385"/>
    <cellStyle name="Normal 58 3 2 3 3 2" xfId="31386"/>
    <cellStyle name="Normal 58 3 2 3 3 3" xfId="31387"/>
    <cellStyle name="Normal 58 3 2 3 3 4" xfId="31388"/>
    <cellStyle name="Normal 58 3 2 3 3 5" xfId="31389"/>
    <cellStyle name="Normal 58 3 2 3 3 6" xfId="31390"/>
    <cellStyle name="Normal 58 3 2 3 4" xfId="31391"/>
    <cellStyle name="Normal 58 3 2 3 4 2" xfId="31392"/>
    <cellStyle name="Normal 58 3 2 3 4 3" xfId="31393"/>
    <cellStyle name="Normal 58 3 2 3 4 4" xfId="31394"/>
    <cellStyle name="Normal 58 3 2 3 4 5" xfId="31395"/>
    <cellStyle name="Normal 58 3 2 3 4 6" xfId="31396"/>
    <cellStyle name="Normal 58 3 2 4" xfId="31397"/>
    <cellStyle name="Normal 58 3 2 4 2" xfId="31398"/>
    <cellStyle name="Normal 58 3 2 4 3" xfId="31399"/>
    <cellStyle name="Normal 58 3 2 4 3 2" xfId="31400"/>
    <cellStyle name="Normal 58 3 2 4 3 3" xfId="31401"/>
    <cellStyle name="Normal 58 3 2 4 3 4" xfId="31402"/>
    <cellStyle name="Normal 58 3 2 4 3 5" xfId="31403"/>
    <cellStyle name="Normal 58 3 2 4 3 6" xfId="31404"/>
    <cellStyle name="Normal 58 3 2 4 4" xfId="31405"/>
    <cellStyle name="Normal 58 3 2 4 4 2" xfId="31406"/>
    <cellStyle name="Normal 58 3 2 4 4 3" xfId="31407"/>
    <cellStyle name="Normal 58 3 2 4 4 4" xfId="31408"/>
    <cellStyle name="Normal 58 3 2 4 4 5" xfId="31409"/>
    <cellStyle name="Normal 58 3 2 4 4 6" xfId="31410"/>
    <cellStyle name="Normal 58 3 2 5" xfId="31411"/>
    <cellStyle name="Normal 58 3 2 5 2" xfId="31412"/>
    <cellStyle name="Normal 58 3 2 5 3" xfId="31413"/>
    <cellStyle name="Normal 58 3 2 5 3 2" xfId="31414"/>
    <cellStyle name="Normal 58 3 2 5 3 3" xfId="31415"/>
    <cellStyle name="Normal 58 3 2 5 3 4" xfId="31416"/>
    <cellStyle name="Normal 58 3 2 5 3 5" xfId="31417"/>
    <cellStyle name="Normal 58 3 2 5 3 6" xfId="31418"/>
    <cellStyle name="Normal 58 3 2 5 4" xfId="31419"/>
    <cellStyle name="Normal 58 3 2 5 4 2" xfId="31420"/>
    <cellStyle name="Normal 58 3 2 5 4 3" xfId="31421"/>
    <cellStyle name="Normal 58 3 2 5 4 4" xfId="31422"/>
    <cellStyle name="Normal 58 3 2 5 4 5" xfId="31423"/>
    <cellStyle name="Normal 58 3 2 5 4 6" xfId="31424"/>
    <cellStyle name="Normal 58 3 2 6" xfId="31425"/>
    <cellStyle name="Normal 58 3 2 6 2" xfId="31426"/>
    <cellStyle name="Normal 58 3 2 6 3" xfId="31427"/>
    <cellStyle name="Normal 58 3 2 6 4" xfId="31428"/>
    <cellStyle name="Normal 58 3 2 7" xfId="31429"/>
    <cellStyle name="Normal 58 3 2 7 2" xfId="31430"/>
    <cellStyle name="Normal 58 3 2 7 3" xfId="31431"/>
    <cellStyle name="Normal 58 3 2 7 4" xfId="31432"/>
    <cellStyle name="Normal 58 3 2 8" xfId="31433"/>
    <cellStyle name="Normal 58 3 2 8 2" xfId="31434"/>
    <cellStyle name="Normal 58 3 2 8 3" xfId="31435"/>
    <cellStyle name="Normal 58 3 2 8 4" xfId="31436"/>
    <cellStyle name="Normal 58 3 2 9" xfId="31437"/>
    <cellStyle name="Normal 58 3 2 9 2" xfId="31438"/>
    <cellStyle name="Normal 58 3 2 9 3" xfId="31439"/>
    <cellStyle name="Normal 58 3 2 9 4" xfId="31440"/>
    <cellStyle name="Normal 58 3 20" xfId="31441"/>
    <cellStyle name="Normal 58 3 21" xfId="31442"/>
    <cellStyle name="Normal 58 3 22" xfId="31443"/>
    <cellStyle name="Normal 58 3 3" xfId="31444"/>
    <cellStyle name="Normal 58 3 3 10" xfId="31445"/>
    <cellStyle name="Normal 58 3 3 10 2" xfId="31446"/>
    <cellStyle name="Normal 58 3 3 10 3" xfId="31447"/>
    <cellStyle name="Normal 58 3 3 10 4" xfId="31448"/>
    <cellStyle name="Normal 58 3 3 11" xfId="31449"/>
    <cellStyle name="Normal 58 3 3 11 2" xfId="31450"/>
    <cellStyle name="Normal 58 3 3 11 3" xfId="31451"/>
    <cellStyle name="Normal 58 3 3 11 4" xfId="31452"/>
    <cellStyle name="Normal 58 3 3 12" xfId="31453"/>
    <cellStyle name="Normal 58 3 3 12 2" xfId="31454"/>
    <cellStyle name="Normal 58 3 3 12 3" xfId="31455"/>
    <cellStyle name="Normal 58 3 3 12 4" xfId="31456"/>
    <cellStyle name="Normal 58 3 3 13" xfId="31457"/>
    <cellStyle name="Normal 58 3 3 13 2" xfId="31458"/>
    <cellStyle name="Normal 58 3 3 13 3" xfId="31459"/>
    <cellStyle name="Normal 58 3 3 13 4" xfId="31460"/>
    <cellStyle name="Normal 58 3 3 14" xfId="31461"/>
    <cellStyle name="Normal 58 3 3 14 2" xfId="31462"/>
    <cellStyle name="Normal 58 3 3 14 3" xfId="31463"/>
    <cellStyle name="Normal 58 3 3 14 4" xfId="31464"/>
    <cellStyle name="Normal 58 3 3 15" xfId="31465"/>
    <cellStyle name="Normal 58 3 3 15 2" xfId="31466"/>
    <cellStyle name="Normal 58 3 3 15 3" xfId="31467"/>
    <cellStyle name="Normal 58 3 3 15 4" xfId="31468"/>
    <cellStyle name="Normal 58 3 3 16" xfId="31469"/>
    <cellStyle name="Normal 58 3 3 16 2" xfId="31470"/>
    <cellStyle name="Normal 58 3 3 16 3" xfId="31471"/>
    <cellStyle name="Normal 58 3 3 16 4" xfId="31472"/>
    <cellStyle name="Normal 58 3 3 17" xfId="31473"/>
    <cellStyle name="Normal 58 3 3 18" xfId="31474"/>
    <cellStyle name="Normal 58 3 3 18 2" xfId="31475"/>
    <cellStyle name="Normal 58 3 3 18 3" xfId="31476"/>
    <cellStyle name="Normal 58 3 3 18 4" xfId="31477"/>
    <cellStyle name="Normal 58 3 3 18 5" xfId="31478"/>
    <cellStyle name="Normal 58 3 3 18 6" xfId="31479"/>
    <cellStyle name="Normal 58 3 3 19" xfId="31480"/>
    <cellStyle name="Normal 58 3 3 19 2" xfId="31481"/>
    <cellStyle name="Normal 58 3 3 19 3" xfId="31482"/>
    <cellStyle name="Normal 58 3 3 19 4" xfId="31483"/>
    <cellStyle name="Normal 58 3 3 19 5" xfId="31484"/>
    <cellStyle name="Normal 58 3 3 19 6" xfId="31485"/>
    <cellStyle name="Normal 58 3 3 2" xfId="31486"/>
    <cellStyle name="Normal 58 3 3 2 2" xfId="31487"/>
    <cellStyle name="Normal 58 3 3 2 3" xfId="31488"/>
    <cellStyle name="Normal 58 3 3 2 4" xfId="31489"/>
    <cellStyle name="Normal 58 3 3 3" xfId="31490"/>
    <cellStyle name="Normal 58 3 3 3 2" xfId="31491"/>
    <cellStyle name="Normal 58 3 3 3 3" xfId="31492"/>
    <cellStyle name="Normal 58 3 3 3 4" xfId="31493"/>
    <cellStyle name="Normal 58 3 3 4" xfId="31494"/>
    <cellStyle name="Normal 58 3 3 4 2" xfId="31495"/>
    <cellStyle name="Normal 58 3 3 4 3" xfId="31496"/>
    <cellStyle name="Normal 58 3 3 4 4" xfId="31497"/>
    <cellStyle name="Normal 58 3 3 5" xfId="31498"/>
    <cellStyle name="Normal 58 3 3 5 2" xfId="31499"/>
    <cellStyle name="Normal 58 3 3 5 3" xfId="31500"/>
    <cellStyle name="Normal 58 3 3 5 4" xfId="31501"/>
    <cellStyle name="Normal 58 3 3 6" xfId="31502"/>
    <cellStyle name="Normal 58 3 3 6 2" xfId="31503"/>
    <cellStyle name="Normal 58 3 3 6 3" xfId="31504"/>
    <cellStyle name="Normal 58 3 3 6 4" xfId="31505"/>
    <cellStyle name="Normal 58 3 3 7" xfId="31506"/>
    <cellStyle name="Normal 58 3 3 7 2" xfId="31507"/>
    <cellStyle name="Normal 58 3 3 7 3" xfId="31508"/>
    <cellStyle name="Normal 58 3 3 7 4" xfId="31509"/>
    <cellStyle name="Normal 58 3 3 8" xfId="31510"/>
    <cellStyle name="Normal 58 3 3 8 2" xfId="31511"/>
    <cellStyle name="Normal 58 3 3 8 3" xfId="31512"/>
    <cellStyle name="Normal 58 3 3 8 4" xfId="31513"/>
    <cellStyle name="Normal 58 3 3 9" xfId="31514"/>
    <cellStyle name="Normal 58 3 3 9 2" xfId="31515"/>
    <cellStyle name="Normal 58 3 3 9 3" xfId="31516"/>
    <cellStyle name="Normal 58 3 3 9 4" xfId="31517"/>
    <cellStyle name="Normal 58 3 4" xfId="31518"/>
    <cellStyle name="Normal 58 3 4 2" xfId="31519"/>
    <cellStyle name="Normal 58 3 4 3" xfId="31520"/>
    <cellStyle name="Normal 58 3 4 4" xfId="31521"/>
    <cellStyle name="Normal 58 3 5" xfId="31522"/>
    <cellStyle name="Normal 58 3 5 2" xfId="31523"/>
    <cellStyle name="Normal 58 3 5 3" xfId="31524"/>
    <cellStyle name="Normal 58 3 5 4" xfId="31525"/>
    <cellStyle name="Normal 58 3 6" xfId="31526"/>
    <cellStyle name="Normal 58 3 6 2" xfId="31527"/>
    <cellStyle name="Normal 58 3 6 3" xfId="31528"/>
    <cellStyle name="Normal 58 3 6 3 2" xfId="31529"/>
    <cellStyle name="Normal 58 3 6 3 3" xfId="31530"/>
    <cellStyle name="Normal 58 3 6 3 4" xfId="31531"/>
    <cellStyle name="Normal 58 3 6 3 5" xfId="31532"/>
    <cellStyle name="Normal 58 3 6 3 6" xfId="31533"/>
    <cellStyle name="Normal 58 3 6 4" xfId="31534"/>
    <cellStyle name="Normal 58 3 6 4 2" xfId="31535"/>
    <cellStyle name="Normal 58 3 6 4 3" xfId="31536"/>
    <cellStyle name="Normal 58 3 6 4 4" xfId="31537"/>
    <cellStyle name="Normal 58 3 6 4 5" xfId="31538"/>
    <cellStyle name="Normal 58 3 6 4 6" xfId="31539"/>
    <cellStyle name="Normal 58 3 7" xfId="31540"/>
    <cellStyle name="Normal 58 3 7 2" xfId="31541"/>
    <cellStyle name="Normal 58 3 7 3" xfId="31542"/>
    <cellStyle name="Normal 58 3 7 3 2" xfId="31543"/>
    <cellStyle name="Normal 58 3 7 3 3" xfId="31544"/>
    <cellStyle name="Normal 58 3 7 3 4" xfId="31545"/>
    <cellStyle name="Normal 58 3 7 3 5" xfId="31546"/>
    <cellStyle name="Normal 58 3 7 3 6" xfId="31547"/>
    <cellStyle name="Normal 58 3 7 4" xfId="31548"/>
    <cellStyle name="Normal 58 3 7 4 2" xfId="31549"/>
    <cellStyle name="Normal 58 3 7 4 3" xfId="31550"/>
    <cellStyle name="Normal 58 3 7 4 4" xfId="31551"/>
    <cellStyle name="Normal 58 3 7 4 5" xfId="31552"/>
    <cellStyle name="Normal 58 3 7 4 6" xfId="31553"/>
    <cellStyle name="Normal 58 3 8" xfId="31554"/>
    <cellStyle name="Normal 58 3 8 2" xfId="31555"/>
    <cellStyle name="Normal 58 3 8 3" xfId="31556"/>
    <cellStyle name="Normal 58 3 8 3 2" xfId="31557"/>
    <cellStyle name="Normal 58 3 8 3 3" xfId="31558"/>
    <cellStyle name="Normal 58 3 8 3 4" xfId="31559"/>
    <cellStyle name="Normal 58 3 8 3 5" xfId="31560"/>
    <cellStyle name="Normal 58 3 8 3 6" xfId="31561"/>
    <cellStyle name="Normal 58 3 8 4" xfId="31562"/>
    <cellStyle name="Normal 58 3 8 4 2" xfId="31563"/>
    <cellStyle name="Normal 58 3 8 4 3" xfId="31564"/>
    <cellStyle name="Normal 58 3 8 4 4" xfId="31565"/>
    <cellStyle name="Normal 58 3 8 4 5" xfId="31566"/>
    <cellStyle name="Normal 58 3 8 4 6" xfId="31567"/>
    <cellStyle name="Normal 58 3 9" xfId="31568"/>
    <cellStyle name="Normal 58 3 9 2" xfId="31569"/>
    <cellStyle name="Normal 58 3 9 3" xfId="31570"/>
    <cellStyle name="Normal 58 3 9 3 2" xfId="31571"/>
    <cellStyle name="Normal 58 3 9 3 3" xfId="31572"/>
    <cellStyle name="Normal 58 3 9 3 4" xfId="31573"/>
    <cellStyle name="Normal 58 3 9 3 5" xfId="31574"/>
    <cellStyle name="Normal 58 3 9 3 6" xfId="31575"/>
    <cellStyle name="Normal 58 3 9 4" xfId="31576"/>
    <cellStyle name="Normal 58 3 9 4 2" xfId="31577"/>
    <cellStyle name="Normal 58 3 9 4 3" xfId="31578"/>
    <cellStyle name="Normal 58 3 9 4 4" xfId="31579"/>
    <cellStyle name="Normal 58 3 9 4 5" xfId="31580"/>
    <cellStyle name="Normal 58 3 9 4 6" xfId="31581"/>
    <cellStyle name="Normal 58 4" xfId="31582"/>
    <cellStyle name="Normal 58 4 2" xfId="31583"/>
    <cellStyle name="Normal 58 4 3" xfId="31584"/>
    <cellStyle name="Normal 58 4 4" xfId="31585"/>
    <cellStyle name="Normal 58 5" xfId="31586"/>
    <cellStyle name="Normal 58 5 2" xfId="31587"/>
    <cellStyle name="Normal 58 5 3" xfId="31588"/>
    <cellStyle name="Normal 58 5 3 2" xfId="31589"/>
    <cellStyle name="Normal 58 5 3 3" xfId="31590"/>
    <cellStyle name="Normal 58 5 3 4" xfId="31591"/>
    <cellStyle name="Normal 58 5 3 5" xfId="31592"/>
    <cellStyle name="Normal 58 5 3 6" xfId="31593"/>
    <cellStyle name="Normal 58 5 4" xfId="31594"/>
    <cellStyle name="Normal 58 5 4 2" xfId="31595"/>
    <cellStyle name="Normal 58 5 4 3" xfId="31596"/>
    <cellStyle name="Normal 58 5 4 4" xfId="31597"/>
    <cellStyle name="Normal 58 5 4 5" xfId="31598"/>
    <cellStyle name="Normal 58 5 4 6" xfId="31599"/>
    <cellStyle name="Normal 58 6" xfId="31600"/>
    <cellStyle name="Normal 58 6 2" xfId="31601"/>
    <cellStyle name="Normal 58 6 3" xfId="31602"/>
    <cellStyle name="Normal 58 6 3 2" xfId="31603"/>
    <cellStyle name="Normal 58 6 3 3" xfId="31604"/>
    <cellStyle name="Normal 58 6 3 4" xfId="31605"/>
    <cellStyle name="Normal 58 6 3 5" xfId="31606"/>
    <cellStyle name="Normal 58 6 3 6" xfId="31607"/>
    <cellStyle name="Normal 58 6 4" xfId="31608"/>
    <cellStyle name="Normal 58 6 4 2" xfId="31609"/>
    <cellStyle name="Normal 58 6 4 3" xfId="31610"/>
    <cellStyle name="Normal 58 6 4 4" xfId="31611"/>
    <cellStyle name="Normal 58 6 4 5" xfId="31612"/>
    <cellStyle name="Normal 58 6 4 6" xfId="31613"/>
    <cellStyle name="Normal 58 7" xfId="31614"/>
    <cellStyle name="Normal 58 7 2" xfId="31615"/>
    <cellStyle name="Normal 58 7 3" xfId="31616"/>
    <cellStyle name="Normal 58 7 3 2" xfId="31617"/>
    <cellStyle name="Normal 58 7 3 3" xfId="31618"/>
    <cellStyle name="Normal 58 7 3 4" xfId="31619"/>
    <cellStyle name="Normal 58 7 3 5" xfId="31620"/>
    <cellStyle name="Normal 58 7 3 6" xfId="31621"/>
    <cellStyle name="Normal 58 7 4" xfId="31622"/>
    <cellStyle name="Normal 58 7 4 2" xfId="31623"/>
    <cellStyle name="Normal 58 7 4 3" xfId="31624"/>
    <cellStyle name="Normal 58 7 4 4" xfId="31625"/>
    <cellStyle name="Normal 58 7 4 5" xfId="31626"/>
    <cellStyle name="Normal 58 7 4 6" xfId="31627"/>
    <cellStyle name="Normal 58 8" xfId="31628"/>
    <cellStyle name="Normal 58 9" xfId="31629"/>
    <cellStyle name="Normal 58 9 2" xfId="31630"/>
    <cellStyle name="Normal 58 9 3" xfId="31631"/>
    <cellStyle name="Normal 58 9 4" xfId="31632"/>
    <cellStyle name="Normal 58 9 5" xfId="31633"/>
    <cellStyle name="Normal 58 9 6" xfId="31634"/>
    <cellStyle name="Normal 59" xfId="31635"/>
    <cellStyle name="Normal 59 10" xfId="31636"/>
    <cellStyle name="Normal 59 10 2" xfId="31637"/>
    <cellStyle name="Normal 59 10 3" xfId="31638"/>
    <cellStyle name="Normal 59 10 4" xfId="31639"/>
    <cellStyle name="Normal 59 10 5" xfId="31640"/>
    <cellStyle name="Normal 59 10 6" xfId="31641"/>
    <cellStyle name="Normal 59 2" xfId="31642"/>
    <cellStyle name="Normal 59 2 2" xfId="31643"/>
    <cellStyle name="Normal 59 2 2 2" xfId="31644"/>
    <cellStyle name="Normal 59 2 2 2 2" xfId="31645"/>
    <cellStyle name="Normal 59 2 2 2 3" xfId="31646"/>
    <cellStyle name="Normal 59 2 2 2 4" xfId="31647"/>
    <cellStyle name="Normal 59 2 2 3" xfId="31648"/>
    <cellStyle name="Normal 59 2 2 4" xfId="31649"/>
    <cellStyle name="Normal 59 2 2 4 2" xfId="31650"/>
    <cellStyle name="Normal 59 2 2 4 3" xfId="31651"/>
    <cellStyle name="Normal 59 2 2 4 4" xfId="31652"/>
    <cellStyle name="Normal 59 2 2 4 5" xfId="31653"/>
    <cellStyle name="Normal 59 2 2 4 6" xfId="31654"/>
    <cellStyle name="Normal 59 2 2 5" xfId="31655"/>
    <cellStyle name="Normal 59 2 2 5 2" xfId="31656"/>
    <cellStyle name="Normal 59 2 2 5 3" xfId="31657"/>
    <cellStyle name="Normal 59 2 2 5 4" xfId="31658"/>
    <cellStyle name="Normal 59 2 2 5 5" xfId="31659"/>
    <cellStyle name="Normal 59 2 2 5 6" xfId="31660"/>
    <cellStyle name="Normal 59 2 3" xfId="31661"/>
    <cellStyle name="Normal 59 2 3 2" xfId="31662"/>
    <cellStyle name="Normal 59 2 3 3" xfId="31663"/>
    <cellStyle name="Normal 59 2 3 4" xfId="31664"/>
    <cellStyle name="Normal 59 2 4" xfId="31665"/>
    <cellStyle name="Normal 59 2 5" xfId="31666"/>
    <cellStyle name="Normal 59 2 6" xfId="31667"/>
    <cellStyle name="Normal 59 3" xfId="31668"/>
    <cellStyle name="Normal 59 3 10" xfId="31669"/>
    <cellStyle name="Normal 59 3 10 2" xfId="31670"/>
    <cellStyle name="Normal 59 3 10 3" xfId="31671"/>
    <cellStyle name="Normal 59 3 10 3 2" xfId="31672"/>
    <cellStyle name="Normal 59 3 10 3 3" xfId="31673"/>
    <cellStyle name="Normal 59 3 10 3 4" xfId="31674"/>
    <cellStyle name="Normal 59 3 10 3 5" xfId="31675"/>
    <cellStyle name="Normal 59 3 10 3 6" xfId="31676"/>
    <cellStyle name="Normal 59 3 10 4" xfId="31677"/>
    <cellStyle name="Normal 59 3 10 4 2" xfId="31678"/>
    <cellStyle name="Normal 59 3 10 4 3" xfId="31679"/>
    <cellStyle name="Normal 59 3 10 4 4" xfId="31680"/>
    <cellStyle name="Normal 59 3 10 4 5" xfId="31681"/>
    <cellStyle name="Normal 59 3 10 4 6" xfId="31682"/>
    <cellStyle name="Normal 59 3 11" xfId="31683"/>
    <cellStyle name="Normal 59 3 11 2" xfId="31684"/>
    <cellStyle name="Normal 59 3 11 3" xfId="31685"/>
    <cellStyle name="Normal 59 3 11 3 2" xfId="31686"/>
    <cellStyle name="Normal 59 3 11 3 3" xfId="31687"/>
    <cellStyle name="Normal 59 3 11 3 4" xfId="31688"/>
    <cellStyle name="Normal 59 3 11 3 5" xfId="31689"/>
    <cellStyle name="Normal 59 3 11 3 6" xfId="31690"/>
    <cellStyle name="Normal 59 3 11 4" xfId="31691"/>
    <cellStyle name="Normal 59 3 11 4 2" xfId="31692"/>
    <cellStyle name="Normal 59 3 11 4 3" xfId="31693"/>
    <cellStyle name="Normal 59 3 11 4 4" xfId="31694"/>
    <cellStyle name="Normal 59 3 11 4 5" xfId="31695"/>
    <cellStyle name="Normal 59 3 11 4 6" xfId="31696"/>
    <cellStyle name="Normal 59 3 12" xfId="31697"/>
    <cellStyle name="Normal 59 3 12 2" xfId="31698"/>
    <cellStyle name="Normal 59 3 12 3" xfId="31699"/>
    <cellStyle name="Normal 59 3 12 3 2" xfId="31700"/>
    <cellStyle name="Normal 59 3 12 3 3" xfId="31701"/>
    <cellStyle name="Normal 59 3 12 3 4" xfId="31702"/>
    <cellStyle name="Normal 59 3 12 3 5" xfId="31703"/>
    <cellStyle name="Normal 59 3 12 3 6" xfId="31704"/>
    <cellStyle name="Normal 59 3 12 4" xfId="31705"/>
    <cellStyle name="Normal 59 3 12 4 2" xfId="31706"/>
    <cellStyle name="Normal 59 3 12 4 3" xfId="31707"/>
    <cellStyle name="Normal 59 3 12 4 4" xfId="31708"/>
    <cellStyle name="Normal 59 3 12 4 5" xfId="31709"/>
    <cellStyle name="Normal 59 3 12 4 6" xfId="31710"/>
    <cellStyle name="Normal 59 3 13" xfId="31711"/>
    <cellStyle name="Normal 59 3 13 2" xfId="31712"/>
    <cellStyle name="Normal 59 3 13 3" xfId="31713"/>
    <cellStyle name="Normal 59 3 13 3 2" xfId="31714"/>
    <cellStyle name="Normal 59 3 13 3 3" xfId="31715"/>
    <cellStyle name="Normal 59 3 13 3 4" xfId="31716"/>
    <cellStyle name="Normal 59 3 13 3 5" xfId="31717"/>
    <cellStyle name="Normal 59 3 13 3 6" xfId="31718"/>
    <cellStyle name="Normal 59 3 13 4" xfId="31719"/>
    <cellStyle name="Normal 59 3 13 4 2" xfId="31720"/>
    <cellStyle name="Normal 59 3 13 4 3" xfId="31721"/>
    <cellStyle name="Normal 59 3 13 4 4" xfId="31722"/>
    <cellStyle name="Normal 59 3 13 4 5" xfId="31723"/>
    <cellStyle name="Normal 59 3 13 4 6" xfId="31724"/>
    <cellStyle name="Normal 59 3 14" xfId="31725"/>
    <cellStyle name="Normal 59 3 14 2" xfId="31726"/>
    <cellStyle name="Normal 59 3 14 3" xfId="31727"/>
    <cellStyle name="Normal 59 3 14 3 2" xfId="31728"/>
    <cellStyle name="Normal 59 3 14 3 3" xfId="31729"/>
    <cellStyle name="Normal 59 3 14 3 4" xfId="31730"/>
    <cellStyle name="Normal 59 3 14 3 5" xfId="31731"/>
    <cellStyle name="Normal 59 3 14 3 6" xfId="31732"/>
    <cellStyle name="Normal 59 3 14 4" xfId="31733"/>
    <cellStyle name="Normal 59 3 14 4 2" xfId="31734"/>
    <cellStyle name="Normal 59 3 14 4 3" xfId="31735"/>
    <cellStyle name="Normal 59 3 14 4 4" xfId="31736"/>
    <cellStyle name="Normal 59 3 14 4 5" xfId="31737"/>
    <cellStyle name="Normal 59 3 14 4 6" xfId="31738"/>
    <cellStyle name="Normal 59 3 15" xfId="31739"/>
    <cellStyle name="Normal 59 3 15 2" xfId="31740"/>
    <cellStyle name="Normal 59 3 15 3" xfId="31741"/>
    <cellStyle name="Normal 59 3 15 3 2" xfId="31742"/>
    <cellStyle name="Normal 59 3 15 3 3" xfId="31743"/>
    <cellStyle name="Normal 59 3 15 3 4" xfId="31744"/>
    <cellStyle name="Normal 59 3 15 3 5" xfId="31745"/>
    <cellStyle name="Normal 59 3 15 3 6" xfId="31746"/>
    <cellStyle name="Normal 59 3 15 4" xfId="31747"/>
    <cellStyle name="Normal 59 3 15 4 2" xfId="31748"/>
    <cellStyle name="Normal 59 3 15 4 3" xfId="31749"/>
    <cellStyle name="Normal 59 3 15 4 4" xfId="31750"/>
    <cellStyle name="Normal 59 3 15 4 5" xfId="31751"/>
    <cellStyle name="Normal 59 3 15 4 6" xfId="31752"/>
    <cellStyle name="Normal 59 3 16" xfId="31753"/>
    <cellStyle name="Normal 59 3 16 2" xfId="31754"/>
    <cellStyle name="Normal 59 3 16 3" xfId="31755"/>
    <cellStyle name="Normal 59 3 16 3 2" xfId="31756"/>
    <cellStyle name="Normal 59 3 16 3 3" xfId="31757"/>
    <cellStyle name="Normal 59 3 16 3 4" xfId="31758"/>
    <cellStyle name="Normal 59 3 16 3 5" xfId="31759"/>
    <cellStyle name="Normal 59 3 16 3 6" xfId="31760"/>
    <cellStyle name="Normal 59 3 16 4" xfId="31761"/>
    <cellStyle name="Normal 59 3 16 4 2" xfId="31762"/>
    <cellStyle name="Normal 59 3 16 4 3" xfId="31763"/>
    <cellStyle name="Normal 59 3 16 4 4" xfId="31764"/>
    <cellStyle name="Normal 59 3 16 4 5" xfId="31765"/>
    <cellStyle name="Normal 59 3 16 4 6" xfId="31766"/>
    <cellStyle name="Normal 59 3 17" xfId="31767"/>
    <cellStyle name="Normal 59 3 17 2" xfId="31768"/>
    <cellStyle name="Normal 59 3 17 3" xfId="31769"/>
    <cellStyle name="Normal 59 3 17 3 2" xfId="31770"/>
    <cellStyle name="Normal 59 3 17 3 3" xfId="31771"/>
    <cellStyle name="Normal 59 3 17 3 4" xfId="31772"/>
    <cellStyle name="Normal 59 3 17 3 5" xfId="31773"/>
    <cellStyle name="Normal 59 3 17 3 6" xfId="31774"/>
    <cellStyle name="Normal 59 3 17 4" xfId="31775"/>
    <cellStyle name="Normal 59 3 17 4 2" xfId="31776"/>
    <cellStyle name="Normal 59 3 17 4 3" xfId="31777"/>
    <cellStyle name="Normal 59 3 17 4 4" xfId="31778"/>
    <cellStyle name="Normal 59 3 17 4 5" xfId="31779"/>
    <cellStyle name="Normal 59 3 17 4 6" xfId="31780"/>
    <cellStyle name="Normal 59 3 18" xfId="31781"/>
    <cellStyle name="Normal 59 3 18 2" xfId="31782"/>
    <cellStyle name="Normal 59 3 18 3" xfId="31783"/>
    <cellStyle name="Normal 59 3 18 3 2" xfId="31784"/>
    <cellStyle name="Normal 59 3 18 3 3" xfId="31785"/>
    <cellStyle name="Normal 59 3 18 3 4" xfId="31786"/>
    <cellStyle name="Normal 59 3 18 3 5" xfId="31787"/>
    <cellStyle name="Normal 59 3 18 3 6" xfId="31788"/>
    <cellStyle name="Normal 59 3 18 4" xfId="31789"/>
    <cellStyle name="Normal 59 3 18 4 2" xfId="31790"/>
    <cellStyle name="Normal 59 3 18 4 3" xfId="31791"/>
    <cellStyle name="Normal 59 3 18 4 4" xfId="31792"/>
    <cellStyle name="Normal 59 3 18 4 5" xfId="31793"/>
    <cellStyle name="Normal 59 3 18 4 6" xfId="31794"/>
    <cellStyle name="Normal 59 3 19" xfId="31795"/>
    <cellStyle name="Normal 59 3 19 2" xfId="31796"/>
    <cellStyle name="Normal 59 3 19 3" xfId="31797"/>
    <cellStyle name="Normal 59 3 19 3 2" xfId="31798"/>
    <cellStyle name="Normal 59 3 19 3 3" xfId="31799"/>
    <cellStyle name="Normal 59 3 19 3 4" xfId="31800"/>
    <cellStyle name="Normal 59 3 19 3 5" xfId="31801"/>
    <cellStyle name="Normal 59 3 19 3 6" xfId="31802"/>
    <cellStyle name="Normal 59 3 19 4" xfId="31803"/>
    <cellStyle name="Normal 59 3 19 4 2" xfId="31804"/>
    <cellStyle name="Normal 59 3 19 4 3" xfId="31805"/>
    <cellStyle name="Normal 59 3 19 4 4" xfId="31806"/>
    <cellStyle name="Normal 59 3 19 4 5" xfId="31807"/>
    <cellStyle name="Normal 59 3 19 4 6" xfId="31808"/>
    <cellStyle name="Normal 59 3 2" xfId="31809"/>
    <cellStyle name="Normal 59 3 2 10" xfId="31810"/>
    <cellStyle name="Normal 59 3 2 10 2" xfId="31811"/>
    <cellStyle name="Normal 59 3 2 10 3" xfId="31812"/>
    <cellStyle name="Normal 59 3 2 10 4" xfId="31813"/>
    <cellStyle name="Normal 59 3 2 11" xfId="31814"/>
    <cellStyle name="Normal 59 3 2 11 2" xfId="31815"/>
    <cellStyle name="Normal 59 3 2 11 3" xfId="31816"/>
    <cellStyle name="Normal 59 3 2 11 4" xfId="31817"/>
    <cellStyle name="Normal 59 3 2 12" xfId="31818"/>
    <cellStyle name="Normal 59 3 2 12 2" xfId="31819"/>
    <cellStyle name="Normal 59 3 2 12 3" xfId="31820"/>
    <cellStyle name="Normal 59 3 2 12 4" xfId="31821"/>
    <cellStyle name="Normal 59 3 2 13" xfId="31822"/>
    <cellStyle name="Normal 59 3 2 13 2" xfId="31823"/>
    <cellStyle name="Normal 59 3 2 13 3" xfId="31824"/>
    <cellStyle name="Normal 59 3 2 13 4" xfId="31825"/>
    <cellStyle name="Normal 59 3 2 14" xfId="31826"/>
    <cellStyle name="Normal 59 3 2 14 2" xfId="31827"/>
    <cellStyle name="Normal 59 3 2 14 3" xfId="31828"/>
    <cellStyle name="Normal 59 3 2 14 4" xfId="31829"/>
    <cellStyle name="Normal 59 3 2 15" xfId="31830"/>
    <cellStyle name="Normal 59 3 2 15 2" xfId="31831"/>
    <cellStyle name="Normal 59 3 2 15 3" xfId="31832"/>
    <cellStyle name="Normal 59 3 2 15 4" xfId="31833"/>
    <cellStyle name="Normal 59 3 2 16" xfId="31834"/>
    <cellStyle name="Normal 59 3 2 16 2" xfId="31835"/>
    <cellStyle name="Normal 59 3 2 16 3" xfId="31836"/>
    <cellStyle name="Normal 59 3 2 16 4" xfId="31837"/>
    <cellStyle name="Normal 59 3 2 17" xfId="31838"/>
    <cellStyle name="Normal 59 3 2 17 2" xfId="31839"/>
    <cellStyle name="Normal 59 3 2 17 3" xfId="31840"/>
    <cellStyle name="Normal 59 3 2 17 4" xfId="31841"/>
    <cellStyle name="Normal 59 3 2 18" xfId="31842"/>
    <cellStyle name="Normal 59 3 2 18 2" xfId="31843"/>
    <cellStyle name="Normal 59 3 2 18 3" xfId="31844"/>
    <cellStyle name="Normal 59 3 2 18 4" xfId="31845"/>
    <cellStyle name="Normal 59 3 2 19" xfId="31846"/>
    <cellStyle name="Normal 59 3 2 19 2" xfId="31847"/>
    <cellStyle name="Normal 59 3 2 19 3" xfId="31848"/>
    <cellStyle name="Normal 59 3 2 19 4" xfId="31849"/>
    <cellStyle name="Normal 59 3 2 2" xfId="31850"/>
    <cellStyle name="Normal 59 3 2 2 10" xfId="31851"/>
    <cellStyle name="Normal 59 3 2 2 10 2" xfId="31852"/>
    <cellStyle name="Normal 59 3 2 2 10 3" xfId="31853"/>
    <cellStyle name="Normal 59 3 2 2 10 3 2" xfId="31854"/>
    <cellStyle name="Normal 59 3 2 2 10 3 3" xfId="31855"/>
    <cellStyle name="Normal 59 3 2 2 10 3 4" xfId="31856"/>
    <cellStyle name="Normal 59 3 2 2 10 3 5" xfId="31857"/>
    <cellStyle name="Normal 59 3 2 2 10 3 6" xfId="31858"/>
    <cellStyle name="Normal 59 3 2 2 10 4" xfId="31859"/>
    <cellStyle name="Normal 59 3 2 2 10 4 2" xfId="31860"/>
    <cellStyle name="Normal 59 3 2 2 10 4 3" xfId="31861"/>
    <cellStyle name="Normal 59 3 2 2 10 4 4" xfId="31862"/>
    <cellStyle name="Normal 59 3 2 2 10 4 5" xfId="31863"/>
    <cellStyle name="Normal 59 3 2 2 10 4 6" xfId="31864"/>
    <cellStyle name="Normal 59 3 2 2 11" xfId="31865"/>
    <cellStyle name="Normal 59 3 2 2 11 2" xfId="31866"/>
    <cellStyle name="Normal 59 3 2 2 11 3" xfId="31867"/>
    <cellStyle name="Normal 59 3 2 2 11 3 2" xfId="31868"/>
    <cellStyle name="Normal 59 3 2 2 11 3 3" xfId="31869"/>
    <cellStyle name="Normal 59 3 2 2 11 3 4" xfId="31870"/>
    <cellStyle name="Normal 59 3 2 2 11 3 5" xfId="31871"/>
    <cellStyle name="Normal 59 3 2 2 11 3 6" xfId="31872"/>
    <cellStyle name="Normal 59 3 2 2 11 4" xfId="31873"/>
    <cellStyle name="Normal 59 3 2 2 11 4 2" xfId="31874"/>
    <cellStyle name="Normal 59 3 2 2 11 4 3" xfId="31875"/>
    <cellStyle name="Normal 59 3 2 2 11 4 4" xfId="31876"/>
    <cellStyle name="Normal 59 3 2 2 11 4 5" xfId="31877"/>
    <cellStyle name="Normal 59 3 2 2 11 4 6" xfId="31878"/>
    <cellStyle name="Normal 59 3 2 2 12" xfId="31879"/>
    <cellStyle name="Normal 59 3 2 2 12 2" xfId="31880"/>
    <cellStyle name="Normal 59 3 2 2 12 3" xfId="31881"/>
    <cellStyle name="Normal 59 3 2 2 12 3 2" xfId="31882"/>
    <cellStyle name="Normal 59 3 2 2 12 3 3" xfId="31883"/>
    <cellStyle name="Normal 59 3 2 2 12 3 4" xfId="31884"/>
    <cellStyle name="Normal 59 3 2 2 12 3 5" xfId="31885"/>
    <cellStyle name="Normal 59 3 2 2 12 3 6" xfId="31886"/>
    <cellStyle name="Normal 59 3 2 2 12 4" xfId="31887"/>
    <cellStyle name="Normal 59 3 2 2 12 4 2" xfId="31888"/>
    <cellStyle name="Normal 59 3 2 2 12 4 3" xfId="31889"/>
    <cellStyle name="Normal 59 3 2 2 12 4 4" xfId="31890"/>
    <cellStyle name="Normal 59 3 2 2 12 4 5" xfId="31891"/>
    <cellStyle name="Normal 59 3 2 2 12 4 6" xfId="31892"/>
    <cellStyle name="Normal 59 3 2 2 13" xfId="31893"/>
    <cellStyle name="Normal 59 3 2 2 13 2" xfId="31894"/>
    <cellStyle name="Normal 59 3 2 2 13 3" xfId="31895"/>
    <cellStyle name="Normal 59 3 2 2 13 3 2" xfId="31896"/>
    <cellStyle name="Normal 59 3 2 2 13 3 3" xfId="31897"/>
    <cellStyle name="Normal 59 3 2 2 13 3 4" xfId="31898"/>
    <cellStyle name="Normal 59 3 2 2 13 3 5" xfId="31899"/>
    <cellStyle name="Normal 59 3 2 2 13 3 6" xfId="31900"/>
    <cellStyle name="Normal 59 3 2 2 13 4" xfId="31901"/>
    <cellStyle name="Normal 59 3 2 2 13 4 2" xfId="31902"/>
    <cellStyle name="Normal 59 3 2 2 13 4 3" xfId="31903"/>
    <cellStyle name="Normal 59 3 2 2 13 4 4" xfId="31904"/>
    <cellStyle name="Normal 59 3 2 2 13 4 5" xfId="31905"/>
    <cellStyle name="Normal 59 3 2 2 13 4 6" xfId="31906"/>
    <cellStyle name="Normal 59 3 2 2 14" xfId="31907"/>
    <cellStyle name="Normal 59 3 2 2 14 2" xfId="31908"/>
    <cellStyle name="Normal 59 3 2 2 14 3" xfId="31909"/>
    <cellStyle name="Normal 59 3 2 2 14 3 2" xfId="31910"/>
    <cellStyle name="Normal 59 3 2 2 14 3 3" xfId="31911"/>
    <cellStyle name="Normal 59 3 2 2 14 3 4" xfId="31912"/>
    <cellStyle name="Normal 59 3 2 2 14 3 5" xfId="31913"/>
    <cellStyle name="Normal 59 3 2 2 14 3 6" xfId="31914"/>
    <cellStyle name="Normal 59 3 2 2 14 4" xfId="31915"/>
    <cellStyle name="Normal 59 3 2 2 14 4 2" xfId="31916"/>
    <cellStyle name="Normal 59 3 2 2 14 4 3" xfId="31917"/>
    <cellStyle name="Normal 59 3 2 2 14 4 4" xfId="31918"/>
    <cellStyle name="Normal 59 3 2 2 14 4 5" xfId="31919"/>
    <cellStyle name="Normal 59 3 2 2 14 4 6" xfId="31920"/>
    <cellStyle name="Normal 59 3 2 2 15" xfId="31921"/>
    <cellStyle name="Normal 59 3 2 2 15 2" xfId="31922"/>
    <cellStyle name="Normal 59 3 2 2 15 3" xfId="31923"/>
    <cellStyle name="Normal 59 3 2 2 15 3 2" xfId="31924"/>
    <cellStyle name="Normal 59 3 2 2 15 3 3" xfId="31925"/>
    <cellStyle name="Normal 59 3 2 2 15 3 4" xfId="31926"/>
    <cellStyle name="Normal 59 3 2 2 15 3 5" xfId="31927"/>
    <cellStyle name="Normal 59 3 2 2 15 3 6" xfId="31928"/>
    <cellStyle name="Normal 59 3 2 2 15 4" xfId="31929"/>
    <cellStyle name="Normal 59 3 2 2 15 4 2" xfId="31930"/>
    <cellStyle name="Normal 59 3 2 2 15 4 3" xfId="31931"/>
    <cellStyle name="Normal 59 3 2 2 15 4 4" xfId="31932"/>
    <cellStyle name="Normal 59 3 2 2 15 4 5" xfId="31933"/>
    <cellStyle name="Normal 59 3 2 2 15 4 6" xfId="31934"/>
    <cellStyle name="Normal 59 3 2 2 16" xfId="31935"/>
    <cellStyle name="Normal 59 3 2 2 16 2" xfId="31936"/>
    <cellStyle name="Normal 59 3 2 2 16 3" xfId="31937"/>
    <cellStyle name="Normal 59 3 2 2 16 3 2" xfId="31938"/>
    <cellStyle name="Normal 59 3 2 2 16 3 3" xfId="31939"/>
    <cellStyle name="Normal 59 3 2 2 16 3 4" xfId="31940"/>
    <cellStyle name="Normal 59 3 2 2 16 3 5" xfId="31941"/>
    <cellStyle name="Normal 59 3 2 2 16 3 6" xfId="31942"/>
    <cellStyle name="Normal 59 3 2 2 16 4" xfId="31943"/>
    <cellStyle name="Normal 59 3 2 2 16 4 2" xfId="31944"/>
    <cellStyle name="Normal 59 3 2 2 16 4 3" xfId="31945"/>
    <cellStyle name="Normal 59 3 2 2 16 4 4" xfId="31946"/>
    <cellStyle name="Normal 59 3 2 2 16 4 5" xfId="31947"/>
    <cellStyle name="Normal 59 3 2 2 16 4 6" xfId="31948"/>
    <cellStyle name="Normal 59 3 2 2 17" xfId="31949"/>
    <cellStyle name="Normal 59 3 2 2 18" xfId="31950"/>
    <cellStyle name="Normal 59 3 2 2 19" xfId="31951"/>
    <cellStyle name="Normal 59 3 2 2 2" xfId="31952"/>
    <cellStyle name="Normal 59 3 2 2 2 2" xfId="31953"/>
    <cellStyle name="Normal 59 3 2 2 2 3" xfId="31954"/>
    <cellStyle name="Normal 59 3 2 2 2 3 2" xfId="31955"/>
    <cellStyle name="Normal 59 3 2 2 2 3 3" xfId="31956"/>
    <cellStyle name="Normal 59 3 2 2 2 3 4" xfId="31957"/>
    <cellStyle name="Normal 59 3 2 2 2 3 5" xfId="31958"/>
    <cellStyle name="Normal 59 3 2 2 2 3 6" xfId="31959"/>
    <cellStyle name="Normal 59 3 2 2 2 4" xfId="31960"/>
    <cellStyle name="Normal 59 3 2 2 2 4 2" xfId="31961"/>
    <cellStyle name="Normal 59 3 2 2 2 4 3" xfId="31962"/>
    <cellStyle name="Normal 59 3 2 2 2 4 4" xfId="31963"/>
    <cellStyle name="Normal 59 3 2 2 2 4 5" xfId="31964"/>
    <cellStyle name="Normal 59 3 2 2 2 4 6" xfId="31965"/>
    <cellStyle name="Normal 59 3 2 2 3" xfId="31966"/>
    <cellStyle name="Normal 59 3 2 2 3 2" xfId="31967"/>
    <cellStyle name="Normal 59 3 2 2 3 3" xfId="31968"/>
    <cellStyle name="Normal 59 3 2 2 3 3 2" xfId="31969"/>
    <cellStyle name="Normal 59 3 2 2 3 3 3" xfId="31970"/>
    <cellStyle name="Normal 59 3 2 2 3 3 4" xfId="31971"/>
    <cellStyle name="Normal 59 3 2 2 3 3 5" xfId="31972"/>
    <cellStyle name="Normal 59 3 2 2 3 3 6" xfId="31973"/>
    <cellStyle name="Normal 59 3 2 2 3 4" xfId="31974"/>
    <cellStyle name="Normal 59 3 2 2 3 4 2" xfId="31975"/>
    <cellStyle name="Normal 59 3 2 2 3 4 3" xfId="31976"/>
    <cellStyle name="Normal 59 3 2 2 3 4 4" xfId="31977"/>
    <cellStyle name="Normal 59 3 2 2 3 4 5" xfId="31978"/>
    <cellStyle name="Normal 59 3 2 2 3 4 6" xfId="31979"/>
    <cellStyle name="Normal 59 3 2 2 4" xfId="31980"/>
    <cellStyle name="Normal 59 3 2 2 4 2" xfId="31981"/>
    <cellStyle name="Normal 59 3 2 2 4 3" xfId="31982"/>
    <cellStyle name="Normal 59 3 2 2 4 3 2" xfId="31983"/>
    <cellStyle name="Normal 59 3 2 2 4 3 3" xfId="31984"/>
    <cellStyle name="Normal 59 3 2 2 4 3 4" xfId="31985"/>
    <cellStyle name="Normal 59 3 2 2 4 3 5" xfId="31986"/>
    <cellStyle name="Normal 59 3 2 2 4 3 6" xfId="31987"/>
    <cellStyle name="Normal 59 3 2 2 4 4" xfId="31988"/>
    <cellStyle name="Normal 59 3 2 2 4 4 2" xfId="31989"/>
    <cellStyle name="Normal 59 3 2 2 4 4 3" xfId="31990"/>
    <cellStyle name="Normal 59 3 2 2 4 4 4" xfId="31991"/>
    <cellStyle name="Normal 59 3 2 2 4 4 5" xfId="31992"/>
    <cellStyle name="Normal 59 3 2 2 4 4 6" xfId="31993"/>
    <cellStyle name="Normal 59 3 2 2 5" xfId="31994"/>
    <cellStyle name="Normal 59 3 2 2 5 2" xfId="31995"/>
    <cellStyle name="Normal 59 3 2 2 5 3" xfId="31996"/>
    <cellStyle name="Normal 59 3 2 2 5 3 2" xfId="31997"/>
    <cellStyle name="Normal 59 3 2 2 5 3 3" xfId="31998"/>
    <cellStyle name="Normal 59 3 2 2 5 3 4" xfId="31999"/>
    <cellStyle name="Normal 59 3 2 2 5 3 5" xfId="32000"/>
    <cellStyle name="Normal 59 3 2 2 5 3 6" xfId="32001"/>
    <cellStyle name="Normal 59 3 2 2 5 4" xfId="32002"/>
    <cellStyle name="Normal 59 3 2 2 5 4 2" xfId="32003"/>
    <cellStyle name="Normal 59 3 2 2 5 4 3" xfId="32004"/>
    <cellStyle name="Normal 59 3 2 2 5 4 4" xfId="32005"/>
    <cellStyle name="Normal 59 3 2 2 5 4 5" xfId="32006"/>
    <cellStyle name="Normal 59 3 2 2 5 4 6" xfId="32007"/>
    <cellStyle name="Normal 59 3 2 2 6" xfId="32008"/>
    <cellStyle name="Normal 59 3 2 2 6 2" xfId="32009"/>
    <cellStyle name="Normal 59 3 2 2 6 3" xfId="32010"/>
    <cellStyle name="Normal 59 3 2 2 6 3 2" xfId="32011"/>
    <cellStyle name="Normal 59 3 2 2 6 3 3" xfId="32012"/>
    <cellStyle name="Normal 59 3 2 2 6 3 4" xfId="32013"/>
    <cellStyle name="Normal 59 3 2 2 6 3 5" xfId="32014"/>
    <cellStyle name="Normal 59 3 2 2 6 3 6" xfId="32015"/>
    <cellStyle name="Normal 59 3 2 2 6 4" xfId="32016"/>
    <cellStyle name="Normal 59 3 2 2 6 4 2" xfId="32017"/>
    <cellStyle name="Normal 59 3 2 2 6 4 3" xfId="32018"/>
    <cellStyle name="Normal 59 3 2 2 6 4 4" xfId="32019"/>
    <cellStyle name="Normal 59 3 2 2 6 4 5" xfId="32020"/>
    <cellStyle name="Normal 59 3 2 2 6 4 6" xfId="32021"/>
    <cellStyle name="Normal 59 3 2 2 7" xfId="32022"/>
    <cellStyle name="Normal 59 3 2 2 7 2" xfId="32023"/>
    <cellStyle name="Normal 59 3 2 2 7 3" xfId="32024"/>
    <cellStyle name="Normal 59 3 2 2 7 3 2" xfId="32025"/>
    <cellStyle name="Normal 59 3 2 2 7 3 3" xfId="32026"/>
    <cellStyle name="Normal 59 3 2 2 7 3 4" xfId="32027"/>
    <cellStyle name="Normal 59 3 2 2 7 3 5" xfId="32028"/>
    <cellStyle name="Normal 59 3 2 2 7 3 6" xfId="32029"/>
    <cellStyle name="Normal 59 3 2 2 7 4" xfId="32030"/>
    <cellStyle name="Normal 59 3 2 2 7 4 2" xfId="32031"/>
    <cellStyle name="Normal 59 3 2 2 7 4 3" xfId="32032"/>
    <cellStyle name="Normal 59 3 2 2 7 4 4" xfId="32033"/>
    <cellStyle name="Normal 59 3 2 2 7 4 5" xfId="32034"/>
    <cellStyle name="Normal 59 3 2 2 7 4 6" xfId="32035"/>
    <cellStyle name="Normal 59 3 2 2 8" xfId="32036"/>
    <cellStyle name="Normal 59 3 2 2 8 2" xfId="32037"/>
    <cellStyle name="Normal 59 3 2 2 8 3" xfId="32038"/>
    <cellStyle name="Normal 59 3 2 2 8 3 2" xfId="32039"/>
    <cellStyle name="Normal 59 3 2 2 8 3 3" xfId="32040"/>
    <cellStyle name="Normal 59 3 2 2 8 3 4" xfId="32041"/>
    <cellStyle name="Normal 59 3 2 2 8 3 5" xfId="32042"/>
    <cellStyle name="Normal 59 3 2 2 8 3 6" xfId="32043"/>
    <cellStyle name="Normal 59 3 2 2 8 4" xfId="32044"/>
    <cellStyle name="Normal 59 3 2 2 8 4 2" xfId="32045"/>
    <cellStyle name="Normal 59 3 2 2 8 4 3" xfId="32046"/>
    <cellStyle name="Normal 59 3 2 2 8 4 4" xfId="32047"/>
    <cellStyle name="Normal 59 3 2 2 8 4 5" xfId="32048"/>
    <cellStyle name="Normal 59 3 2 2 8 4 6" xfId="32049"/>
    <cellStyle name="Normal 59 3 2 2 9" xfId="32050"/>
    <cellStyle name="Normal 59 3 2 2 9 2" xfId="32051"/>
    <cellStyle name="Normal 59 3 2 2 9 3" xfId="32052"/>
    <cellStyle name="Normal 59 3 2 2 9 3 2" xfId="32053"/>
    <cellStyle name="Normal 59 3 2 2 9 3 3" xfId="32054"/>
    <cellStyle name="Normal 59 3 2 2 9 3 4" xfId="32055"/>
    <cellStyle name="Normal 59 3 2 2 9 3 5" xfId="32056"/>
    <cellStyle name="Normal 59 3 2 2 9 3 6" xfId="32057"/>
    <cellStyle name="Normal 59 3 2 2 9 4" xfId="32058"/>
    <cellStyle name="Normal 59 3 2 2 9 4 2" xfId="32059"/>
    <cellStyle name="Normal 59 3 2 2 9 4 3" xfId="32060"/>
    <cellStyle name="Normal 59 3 2 2 9 4 4" xfId="32061"/>
    <cellStyle name="Normal 59 3 2 2 9 4 5" xfId="32062"/>
    <cellStyle name="Normal 59 3 2 2 9 4 6" xfId="32063"/>
    <cellStyle name="Normal 59 3 2 20" xfId="32064"/>
    <cellStyle name="Normal 59 3 2 21" xfId="32065"/>
    <cellStyle name="Normal 59 3 2 21 2" xfId="32066"/>
    <cellStyle name="Normal 59 3 2 21 3" xfId="32067"/>
    <cellStyle name="Normal 59 3 2 21 4" xfId="32068"/>
    <cellStyle name="Normal 59 3 2 21 5" xfId="32069"/>
    <cellStyle name="Normal 59 3 2 21 6" xfId="32070"/>
    <cellStyle name="Normal 59 3 2 22" xfId="32071"/>
    <cellStyle name="Normal 59 3 2 22 2" xfId="32072"/>
    <cellStyle name="Normal 59 3 2 22 3" xfId="32073"/>
    <cellStyle name="Normal 59 3 2 22 4" xfId="32074"/>
    <cellStyle name="Normal 59 3 2 22 5" xfId="32075"/>
    <cellStyle name="Normal 59 3 2 22 6" xfId="32076"/>
    <cellStyle name="Normal 59 3 2 3" xfId="32077"/>
    <cellStyle name="Normal 59 3 2 3 2" xfId="32078"/>
    <cellStyle name="Normal 59 3 2 3 3" xfId="32079"/>
    <cellStyle name="Normal 59 3 2 3 3 2" xfId="32080"/>
    <cellStyle name="Normal 59 3 2 3 3 3" xfId="32081"/>
    <cellStyle name="Normal 59 3 2 3 3 4" xfId="32082"/>
    <cellStyle name="Normal 59 3 2 3 3 5" xfId="32083"/>
    <cellStyle name="Normal 59 3 2 3 3 6" xfId="32084"/>
    <cellStyle name="Normal 59 3 2 3 4" xfId="32085"/>
    <cellStyle name="Normal 59 3 2 3 4 2" xfId="32086"/>
    <cellStyle name="Normal 59 3 2 3 4 3" xfId="32087"/>
    <cellStyle name="Normal 59 3 2 3 4 4" xfId="32088"/>
    <cellStyle name="Normal 59 3 2 3 4 5" xfId="32089"/>
    <cellStyle name="Normal 59 3 2 3 4 6" xfId="32090"/>
    <cellStyle name="Normal 59 3 2 4" xfId="32091"/>
    <cellStyle name="Normal 59 3 2 4 2" xfId="32092"/>
    <cellStyle name="Normal 59 3 2 4 3" xfId="32093"/>
    <cellStyle name="Normal 59 3 2 4 3 2" xfId="32094"/>
    <cellStyle name="Normal 59 3 2 4 3 3" xfId="32095"/>
    <cellStyle name="Normal 59 3 2 4 3 4" xfId="32096"/>
    <cellStyle name="Normal 59 3 2 4 3 5" xfId="32097"/>
    <cellStyle name="Normal 59 3 2 4 3 6" xfId="32098"/>
    <cellStyle name="Normal 59 3 2 4 4" xfId="32099"/>
    <cellStyle name="Normal 59 3 2 4 4 2" xfId="32100"/>
    <cellStyle name="Normal 59 3 2 4 4 3" xfId="32101"/>
    <cellStyle name="Normal 59 3 2 4 4 4" xfId="32102"/>
    <cellStyle name="Normal 59 3 2 4 4 5" xfId="32103"/>
    <cellStyle name="Normal 59 3 2 4 4 6" xfId="32104"/>
    <cellStyle name="Normal 59 3 2 5" xfId="32105"/>
    <cellStyle name="Normal 59 3 2 5 2" xfId="32106"/>
    <cellStyle name="Normal 59 3 2 5 3" xfId="32107"/>
    <cellStyle name="Normal 59 3 2 5 3 2" xfId="32108"/>
    <cellStyle name="Normal 59 3 2 5 3 3" xfId="32109"/>
    <cellStyle name="Normal 59 3 2 5 3 4" xfId="32110"/>
    <cellStyle name="Normal 59 3 2 5 3 5" xfId="32111"/>
    <cellStyle name="Normal 59 3 2 5 3 6" xfId="32112"/>
    <cellStyle name="Normal 59 3 2 5 4" xfId="32113"/>
    <cellStyle name="Normal 59 3 2 5 4 2" xfId="32114"/>
    <cellStyle name="Normal 59 3 2 5 4 3" xfId="32115"/>
    <cellStyle name="Normal 59 3 2 5 4 4" xfId="32116"/>
    <cellStyle name="Normal 59 3 2 5 4 5" xfId="32117"/>
    <cellStyle name="Normal 59 3 2 5 4 6" xfId="32118"/>
    <cellStyle name="Normal 59 3 2 6" xfId="32119"/>
    <cellStyle name="Normal 59 3 2 6 2" xfId="32120"/>
    <cellStyle name="Normal 59 3 2 6 3" xfId="32121"/>
    <cellStyle name="Normal 59 3 2 6 4" xfId="32122"/>
    <cellStyle name="Normal 59 3 2 7" xfId="32123"/>
    <cellStyle name="Normal 59 3 2 7 2" xfId="32124"/>
    <cellStyle name="Normal 59 3 2 7 3" xfId="32125"/>
    <cellStyle name="Normal 59 3 2 7 4" xfId="32126"/>
    <cellStyle name="Normal 59 3 2 8" xfId="32127"/>
    <cellStyle name="Normal 59 3 2 8 2" xfId="32128"/>
    <cellStyle name="Normal 59 3 2 8 3" xfId="32129"/>
    <cellStyle name="Normal 59 3 2 8 4" xfId="32130"/>
    <cellStyle name="Normal 59 3 2 9" xfId="32131"/>
    <cellStyle name="Normal 59 3 2 9 2" xfId="32132"/>
    <cellStyle name="Normal 59 3 2 9 3" xfId="32133"/>
    <cellStyle name="Normal 59 3 2 9 4" xfId="32134"/>
    <cellStyle name="Normal 59 3 20" xfId="32135"/>
    <cellStyle name="Normal 59 3 21" xfId="32136"/>
    <cellStyle name="Normal 59 3 22" xfId="32137"/>
    <cellStyle name="Normal 59 3 3" xfId="32138"/>
    <cellStyle name="Normal 59 3 3 10" xfId="32139"/>
    <cellStyle name="Normal 59 3 3 10 2" xfId="32140"/>
    <cellStyle name="Normal 59 3 3 10 3" xfId="32141"/>
    <cellStyle name="Normal 59 3 3 10 4" xfId="32142"/>
    <cellStyle name="Normal 59 3 3 11" xfId="32143"/>
    <cellStyle name="Normal 59 3 3 11 2" xfId="32144"/>
    <cellStyle name="Normal 59 3 3 11 3" xfId="32145"/>
    <cellStyle name="Normal 59 3 3 11 4" xfId="32146"/>
    <cellStyle name="Normal 59 3 3 12" xfId="32147"/>
    <cellStyle name="Normal 59 3 3 12 2" xfId="32148"/>
    <cellStyle name="Normal 59 3 3 12 3" xfId="32149"/>
    <cellStyle name="Normal 59 3 3 12 4" xfId="32150"/>
    <cellStyle name="Normal 59 3 3 13" xfId="32151"/>
    <cellStyle name="Normal 59 3 3 13 2" xfId="32152"/>
    <cellStyle name="Normal 59 3 3 13 3" xfId="32153"/>
    <cellStyle name="Normal 59 3 3 13 4" xfId="32154"/>
    <cellStyle name="Normal 59 3 3 14" xfId="32155"/>
    <cellStyle name="Normal 59 3 3 14 2" xfId="32156"/>
    <cellStyle name="Normal 59 3 3 14 3" xfId="32157"/>
    <cellStyle name="Normal 59 3 3 14 4" xfId="32158"/>
    <cellStyle name="Normal 59 3 3 15" xfId="32159"/>
    <cellStyle name="Normal 59 3 3 15 2" xfId="32160"/>
    <cellStyle name="Normal 59 3 3 15 3" xfId="32161"/>
    <cellStyle name="Normal 59 3 3 15 4" xfId="32162"/>
    <cellStyle name="Normal 59 3 3 16" xfId="32163"/>
    <cellStyle name="Normal 59 3 3 16 2" xfId="32164"/>
    <cellStyle name="Normal 59 3 3 16 3" xfId="32165"/>
    <cellStyle name="Normal 59 3 3 16 4" xfId="32166"/>
    <cellStyle name="Normal 59 3 3 17" xfId="32167"/>
    <cellStyle name="Normal 59 3 3 18" xfId="32168"/>
    <cellStyle name="Normal 59 3 3 18 2" xfId="32169"/>
    <cellStyle name="Normal 59 3 3 18 3" xfId="32170"/>
    <cellStyle name="Normal 59 3 3 18 4" xfId="32171"/>
    <cellStyle name="Normal 59 3 3 18 5" xfId="32172"/>
    <cellStyle name="Normal 59 3 3 18 6" xfId="32173"/>
    <cellStyle name="Normal 59 3 3 19" xfId="32174"/>
    <cellStyle name="Normal 59 3 3 19 2" xfId="32175"/>
    <cellStyle name="Normal 59 3 3 19 3" xfId="32176"/>
    <cellStyle name="Normal 59 3 3 19 4" xfId="32177"/>
    <cellStyle name="Normal 59 3 3 19 5" xfId="32178"/>
    <cellStyle name="Normal 59 3 3 19 6" xfId="32179"/>
    <cellStyle name="Normal 59 3 3 2" xfId="32180"/>
    <cellStyle name="Normal 59 3 3 2 2" xfId="32181"/>
    <cellStyle name="Normal 59 3 3 2 3" xfId="32182"/>
    <cellStyle name="Normal 59 3 3 2 4" xfId="32183"/>
    <cellStyle name="Normal 59 3 3 3" xfId="32184"/>
    <cellStyle name="Normal 59 3 3 3 2" xfId="32185"/>
    <cellStyle name="Normal 59 3 3 3 3" xfId="32186"/>
    <cellStyle name="Normal 59 3 3 3 4" xfId="32187"/>
    <cellStyle name="Normal 59 3 3 4" xfId="32188"/>
    <cellStyle name="Normal 59 3 3 4 2" xfId="32189"/>
    <cellStyle name="Normal 59 3 3 4 3" xfId="32190"/>
    <cellStyle name="Normal 59 3 3 4 4" xfId="32191"/>
    <cellStyle name="Normal 59 3 3 5" xfId="32192"/>
    <cellStyle name="Normal 59 3 3 5 2" xfId="32193"/>
    <cellStyle name="Normal 59 3 3 5 3" xfId="32194"/>
    <cellStyle name="Normal 59 3 3 5 4" xfId="32195"/>
    <cellStyle name="Normal 59 3 3 6" xfId="32196"/>
    <cellStyle name="Normal 59 3 3 6 2" xfId="32197"/>
    <cellStyle name="Normal 59 3 3 6 3" xfId="32198"/>
    <cellStyle name="Normal 59 3 3 6 4" xfId="32199"/>
    <cellStyle name="Normal 59 3 3 7" xfId="32200"/>
    <cellStyle name="Normal 59 3 3 7 2" xfId="32201"/>
    <cellStyle name="Normal 59 3 3 7 3" xfId="32202"/>
    <cellStyle name="Normal 59 3 3 7 4" xfId="32203"/>
    <cellStyle name="Normal 59 3 3 8" xfId="32204"/>
    <cellStyle name="Normal 59 3 3 8 2" xfId="32205"/>
    <cellStyle name="Normal 59 3 3 8 3" xfId="32206"/>
    <cellStyle name="Normal 59 3 3 8 4" xfId="32207"/>
    <cellStyle name="Normal 59 3 3 9" xfId="32208"/>
    <cellStyle name="Normal 59 3 3 9 2" xfId="32209"/>
    <cellStyle name="Normal 59 3 3 9 3" xfId="32210"/>
    <cellStyle name="Normal 59 3 3 9 4" xfId="32211"/>
    <cellStyle name="Normal 59 3 4" xfId="32212"/>
    <cellStyle name="Normal 59 3 4 2" xfId="32213"/>
    <cellStyle name="Normal 59 3 4 3" xfId="32214"/>
    <cellStyle name="Normal 59 3 4 4" xfId="32215"/>
    <cellStyle name="Normal 59 3 5" xfId="32216"/>
    <cellStyle name="Normal 59 3 5 2" xfId="32217"/>
    <cellStyle name="Normal 59 3 5 3" xfId="32218"/>
    <cellStyle name="Normal 59 3 5 4" xfId="32219"/>
    <cellStyle name="Normal 59 3 6" xfId="32220"/>
    <cellStyle name="Normal 59 3 6 2" xfId="32221"/>
    <cellStyle name="Normal 59 3 6 3" xfId="32222"/>
    <cellStyle name="Normal 59 3 6 3 2" xfId="32223"/>
    <cellStyle name="Normal 59 3 6 3 3" xfId="32224"/>
    <cellStyle name="Normal 59 3 6 3 4" xfId="32225"/>
    <cellStyle name="Normal 59 3 6 3 5" xfId="32226"/>
    <cellStyle name="Normal 59 3 6 3 6" xfId="32227"/>
    <cellStyle name="Normal 59 3 6 4" xfId="32228"/>
    <cellStyle name="Normal 59 3 6 4 2" xfId="32229"/>
    <cellStyle name="Normal 59 3 6 4 3" xfId="32230"/>
    <cellStyle name="Normal 59 3 6 4 4" xfId="32231"/>
    <cellStyle name="Normal 59 3 6 4 5" xfId="32232"/>
    <cellStyle name="Normal 59 3 6 4 6" xfId="32233"/>
    <cellStyle name="Normal 59 3 7" xfId="32234"/>
    <cellStyle name="Normal 59 3 7 2" xfId="32235"/>
    <cellStyle name="Normal 59 3 7 3" xfId="32236"/>
    <cellStyle name="Normal 59 3 7 3 2" xfId="32237"/>
    <cellStyle name="Normal 59 3 7 3 3" xfId="32238"/>
    <cellStyle name="Normal 59 3 7 3 4" xfId="32239"/>
    <cellStyle name="Normal 59 3 7 3 5" xfId="32240"/>
    <cellStyle name="Normal 59 3 7 3 6" xfId="32241"/>
    <cellStyle name="Normal 59 3 7 4" xfId="32242"/>
    <cellStyle name="Normal 59 3 7 4 2" xfId="32243"/>
    <cellStyle name="Normal 59 3 7 4 3" xfId="32244"/>
    <cellStyle name="Normal 59 3 7 4 4" xfId="32245"/>
    <cellStyle name="Normal 59 3 7 4 5" xfId="32246"/>
    <cellStyle name="Normal 59 3 7 4 6" xfId="32247"/>
    <cellStyle name="Normal 59 3 8" xfId="32248"/>
    <cellStyle name="Normal 59 3 8 2" xfId="32249"/>
    <cellStyle name="Normal 59 3 8 3" xfId="32250"/>
    <cellStyle name="Normal 59 3 8 3 2" xfId="32251"/>
    <cellStyle name="Normal 59 3 8 3 3" xfId="32252"/>
    <cellStyle name="Normal 59 3 8 3 4" xfId="32253"/>
    <cellStyle name="Normal 59 3 8 3 5" xfId="32254"/>
    <cellStyle name="Normal 59 3 8 3 6" xfId="32255"/>
    <cellStyle name="Normal 59 3 8 4" xfId="32256"/>
    <cellStyle name="Normal 59 3 8 4 2" xfId="32257"/>
    <cellStyle name="Normal 59 3 8 4 3" xfId="32258"/>
    <cellStyle name="Normal 59 3 8 4 4" xfId="32259"/>
    <cellStyle name="Normal 59 3 8 4 5" xfId="32260"/>
    <cellStyle name="Normal 59 3 8 4 6" xfId="32261"/>
    <cellStyle name="Normal 59 3 9" xfId="32262"/>
    <cellStyle name="Normal 59 3 9 2" xfId="32263"/>
    <cellStyle name="Normal 59 3 9 3" xfId="32264"/>
    <cellStyle name="Normal 59 3 9 3 2" xfId="32265"/>
    <cellStyle name="Normal 59 3 9 3 3" xfId="32266"/>
    <cellStyle name="Normal 59 3 9 3 4" xfId="32267"/>
    <cellStyle name="Normal 59 3 9 3 5" xfId="32268"/>
    <cellStyle name="Normal 59 3 9 3 6" xfId="32269"/>
    <cellStyle name="Normal 59 3 9 4" xfId="32270"/>
    <cellStyle name="Normal 59 3 9 4 2" xfId="32271"/>
    <cellStyle name="Normal 59 3 9 4 3" xfId="32272"/>
    <cellStyle name="Normal 59 3 9 4 4" xfId="32273"/>
    <cellStyle name="Normal 59 3 9 4 5" xfId="32274"/>
    <cellStyle name="Normal 59 3 9 4 6" xfId="32275"/>
    <cellStyle name="Normal 59 4" xfId="32276"/>
    <cellStyle name="Normal 59 4 2" xfId="32277"/>
    <cellStyle name="Normal 59 4 3" xfId="32278"/>
    <cellStyle name="Normal 59 4 4" xfId="32279"/>
    <cellStyle name="Normal 59 5" xfId="32280"/>
    <cellStyle name="Normal 59 5 2" xfId="32281"/>
    <cellStyle name="Normal 59 5 3" xfId="32282"/>
    <cellStyle name="Normal 59 5 3 2" xfId="32283"/>
    <cellStyle name="Normal 59 5 3 3" xfId="32284"/>
    <cellStyle name="Normal 59 5 3 4" xfId="32285"/>
    <cellStyle name="Normal 59 5 3 5" xfId="32286"/>
    <cellStyle name="Normal 59 5 3 6" xfId="32287"/>
    <cellStyle name="Normal 59 5 4" xfId="32288"/>
    <cellStyle name="Normal 59 5 4 2" xfId="32289"/>
    <cellStyle name="Normal 59 5 4 3" xfId="32290"/>
    <cellStyle name="Normal 59 5 4 4" xfId="32291"/>
    <cellStyle name="Normal 59 5 4 5" xfId="32292"/>
    <cellStyle name="Normal 59 5 4 6" xfId="32293"/>
    <cellStyle name="Normal 59 6" xfId="32294"/>
    <cellStyle name="Normal 59 6 2" xfId="32295"/>
    <cellStyle name="Normal 59 6 3" xfId="32296"/>
    <cellStyle name="Normal 59 6 3 2" xfId="32297"/>
    <cellStyle name="Normal 59 6 3 3" xfId="32298"/>
    <cellStyle name="Normal 59 6 3 4" xfId="32299"/>
    <cellStyle name="Normal 59 6 3 5" xfId="32300"/>
    <cellStyle name="Normal 59 6 3 6" xfId="32301"/>
    <cellStyle name="Normal 59 6 4" xfId="32302"/>
    <cellStyle name="Normal 59 6 4 2" xfId="32303"/>
    <cellStyle name="Normal 59 6 4 3" xfId="32304"/>
    <cellStyle name="Normal 59 6 4 4" xfId="32305"/>
    <cellStyle name="Normal 59 6 4 5" xfId="32306"/>
    <cellStyle name="Normal 59 6 4 6" xfId="32307"/>
    <cellStyle name="Normal 59 7" xfId="32308"/>
    <cellStyle name="Normal 59 7 2" xfId="32309"/>
    <cellStyle name="Normal 59 7 3" xfId="32310"/>
    <cellStyle name="Normal 59 7 3 2" xfId="32311"/>
    <cellStyle name="Normal 59 7 3 3" xfId="32312"/>
    <cellStyle name="Normal 59 7 3 4" xfId="32313"/>
    <cellStyle name="Normal 59 7 3 5" xfId="32314"/>
    <cellStyle name="Normal 59 7 3 6" xfId="32315"/>
    <cellStyle name="Normal 59 7 4" xfId="32316"/>
    <cellStyle name="Normal 59 7 4 2" xfId="32317"/>
    <cellStyle name="Normal 59 7 4 3" xfId="32318"/>
    <cellStyle name="Normal 59 7 4 4" xfId="32319"/>
    <cellStyle name="Normal 59 7 4 5" xfId="32320"/>
    <cellStyle name="Normal 59 7 4 6" xfId="32321"/>
    <cellStyle name="Normal 59 8" xfId="32322"/>
    <cellStyle name="Normal 59 9" xfId="32323"/>
    <cellStyle name="Normal 59 9 2" xfId="32324"/>
    <cellStyle name="Normal 59 9 3" xfId="32325"/>
    <cellStyle name="Normal 59 9 4" xfId="32326"/>
    <cellStyle name="Normal 59 9 5" xfId="32327"/>
    <cellStyle name="Normal 59 9 6" xfId="32328"/>
    <cellStyle name="Normal 6" xfId="10"/>
    <cellStyle name="Normal 6 10" xfId="32329"/>
    <cellStyle name="Normal 6 10 2" xfId="32330"/>
    <cellStyle name="Normal 6 10 3" xfId="32331"/>
    <cellStyle name="Normal 6 10 4" xfId="32332"/>
    <cellStyle name="Normal 6 11" xfId="32333"/>
    <cellStyle name="Normal 6 11 2" xfId="32334"/>
    <cellStyle name="Normal 6 11 3" xfId="32335"/>
    <cellStyle name="Normal 6 11 4" xfId="32336"/>
    <cellStyle name="Normal 6 12" xfId="32337"/>
    <cellStyle name="Normal 6 12 2" xfId="32338"/>
    <cellStyle name="Normal 6 12 3" xfId="32339"/>
    <cellStyle name="Normal 6 12 4" xfId="32340"/>
    <cellStyle name="Normal 6 13" xfId="32341"/>
    <cellStyle name="Normal 6 13 2" xfId="32342"/>
    <cellStyle name="Normal 6 13 3" xfId="32343"/>
    <cellStyle name="Normal 6 13 4" xfId="32344"/>
    <cellStyle name="Normal 6 14" xfId="32345"/>
    <cellStyle name="Normal 6 14 2" xfId="32346"/>
    <cellStyle name="Normal 6 14 3" xfId="32347"/>
    <cellStyle name="Normal 6 14 4" xfId="32348"/>
    <cellStyle name="Normal 6 15" xfId="32349"/>
    <cellStyle name="Normal 6 15 2" xfId="32350"/>
    <cellStyle name="Normal 6 15 3" xfId="32351"/>
    <cellStyle name="Normal 6 15 4" xfId="32352"/>
    <cellStyle name="Normal 6 16" xfId="32353"/>
    <cellStyle name="Normal 6 16 2" xfId="32354"/>
    <cellStyle name="Normal 6 16 3" xfId="32355"/>
    <cellStyle name="Normal 6 16 4" xfId="32356"/>
    <cellStyle name="Normal 6 17" xfId="32357"/>
    <cellStyle name="Normal 6 17 2" xfId="32358"/>
    <cellStyle name="Normal 6 17 3" xfId="32359"/>
    <cellStyle name="Normal 6 17 4" xfId="32360"/>
    <cellStyle name="Normal 6 18" xfId="32361"/>
    <cellStyle name="Normal 6 18 2" xfId="32362"/>
    <cellStyle name="Normal 6 18 3" xfId="32363"/>
    <cellStyle name="Normal 6 18 4" xfId="32364"/>
    <cellStyle name="Normal 6 19" xfId="32365"/>
    <cellStyle name="Normal 6 19 2" xfId="32366"/>
    <cellStyle name="Normal 6 19 3" xfId="32367"/>
    <cellStyle name="Normal 6 19 4" xfId="32368"/>
    <cellStyle name="Normal 6 2" xfId="32369"/>
    <cellStyle name="Normal 6 2 2" xfId="32370"/>
    <cellStyle name="Normal 6 2 3" xfId="32371"/>
    <cellStyle name="Normal 6 2 4" xfId="32372"/>
    <cellStyle name="Normal 6 20" xfId="32373"/>
    <cellStyle name="Normal 6 20 2" xfId="32374"/>
    <cellStyle name="Normal 6 20 3" xfId="32375"/>
    <cellStyle name="Normal 6 20 4" xfId="32376"/>
    <cellStyle name="Normal 6 21" xfId="32377"/>
    <cellStyle name="Normal 6 21 2" xfId="32378"/>
    <cellStyle name="Normal 6 21 3" xfId="32379"/>
    <cellStyle name="Normal 6 21 4" xfId="32380"/>
    <cellStyle name="Normal 6 22" xfId="32381"/>
    <cellStyle name="Normal 6 22 2" xfId="32382"/>
    <cellStyle name="Normal 6 22 3" xfId="32383"/>
    <cellStyle name="Normal 6 22 4" xfId="32384"/>
    <cellStyle name="Normal 6 23" xfId="32385"/>
    <cellStyle name="Normal 6 23 2" xfId="32386"/>
    <cellStyle name="Normal 6 23 3" xfId="32387"/>
    <cellStyle name="Normal 6 23 4" xfId="32388"/>
    <cellStyle name="Normal 6 24" xfId="32389"/>
    <cellStyle name="Normal 6 24 2" xfId="32390"/>
    <cellStyle name="Normal 6 24 3" xfId="32391"/>
    <cellStyle name="Normal 6 24 4" xfId="32392"/>
    <cellStyle name="Normal 6 25" xfId="32393"/>
    <cellStyle name="Normal 6 25 2" xfId="32394"/>
    <cellStyle name="Normal 6 25 3" xfId="32395"/>
    <cellStyle name="Normal 6 25 4" xfId="32396"/>
    <cellStyle name="Normal 6 26" xfId="32397"/>
    <cellStyle name="Normal 6 26 2" xfId="32398"/>
    <cellStyle name="Normal 6 26 3" xfId="32399"/>
    <cellStyle name="Normal 6 26 3 2" xfId="32400"/>
    <cellStyle name="Normal 6 26 3 3" xfId="32401"/>
    <cellStyle name="Normal 6 26 3 4" xfId="32402"/>
    <cellStyle name="Normal 6 26 3 5" xfId="32403"/>
    <cellStyle name="Normal 6 26 3 6" xfId="32404"/>
    <cellStyle name="Normal 6 26 4" xfId="32405"/>
    <cellStyle name="Normal 6 26 4 2" xfId="32406"/>
    <cellStyle name="Normal 6 26 4 3" xfId="32407"/>
    <cellStyle name="Normal 6 26 4 4" xfId="32408"/>
    <cellStyle name="Normal 6 26 4 5" xfId="32409"/>
    <cellStyle name="Normal 6 26 4 6" xfId="32410"/>
    <cellStyle name="Normal 6 27" xfId="32411"/>
    <cellStyle name="Normal 6 27 2" xfId="32412"/>
    <cellStyle name="Normal 6 27 3" xfId="32413"/>
    <cellStyle name="Normal 6 27 4" xfId="32414"/>
    <cellStyle name="Normal 6 28" xfId="32415"/>
    <cellStyle name="Normal 6 28 2" xfId="32416"/>
    <cellStyle name="Normal 6 28 3" xfId="32417"/>
    <cellStyle name="Normal 6 28 4" xfId="32418"/>
    <cellStyle name="Normal 6 29" xfId="32419"/>
    <cellStyle name="Normal 6 29 10" xfId="32420"/>
    <cellStyle name="Normal 6 29 10 2" xfId="32421"/>
    <cellStyle name="Normal 6 29 10 3" xfId="32422"/>
    <cellStyle name="Normal 6 29 10 3 2" xfId="32423"/>
    <cellStyle name="Normal 6 29 10 3 3" xfId="32424"/>
    <cellStyle name="Normal 6 29 10 3 4" xfId="32425"/>
    <cellStyle name="Normal 6 29 10 3 5" xfId="32426"/>
    <cellStyle name="Normal 6 29 10 3 6" xfId="32427"/>
    <cellStyle name="Normal 6 29 10 4" xfId="32428"/>
    <cellStyle name="Normal 6 29 10 4 2" xfId="32429"/>
    <cellStyle name="Normal 6 29 10 4 3" xfId="32430"/>
    <cellStyle name="Normal 6 29 10 4 4" xfId="32431"/>
    <cellStyle name="Normal 6 29 10 4 5" xfId="32432"/>
    <cellStyle name="Normal 6 29 10 4 6" xfId="32433"/>
    <cellStyle name="Normal 6 29 11" xfId="32434"/>
    <cellStyle name="Normal 6 29 11 2" xfId="32435"/>
    <cellStyle name="Normal 6 29 11 3" xfId="32436"/>
    <cellStyle name="Normal 6 29 11 3 2" xfId="32437"/>
    <cellStyle name="Normal 6 29 11 3 3" xfId="32438"/>
    <cellStyle name="Normal 6 29 11 3 4" xfId="32439"/>
    <cellStyle name="Normal 6 29 11 3 5" xfId="32440"/>
    <cellStyle name="Normal 6 29 11 3 6" xfId="32441"/>
    <cellStyle name="Normal 6 29 11 4" xfId="32442"/>
    <cellStyle name="Normal 6 29 11 4 2" xfId="32443"/>
    <cellStyle name="Normal 6 29 11 4 3" xfId="32444"/>
    <cellStyle name="Normal 6 29 11 4 4" xfId="32445"/>
    <cellStyle name="Normal 6 29 11 4 5" xfId="32446"/>
    <cellStyle name="Normal 6 29 11 4 6" xfId="32447"/>
    <cellStyle name="Normal 6 29 12" xfId="32448"/>
    <cellStyle name="Normal 6 29 12 2" xfId="32449"/>
    <cellStyle name="Normal 6 29 12 3" xfId="32450"/>
    <cellStyle name="Normal 6 29 12 3 2" xfId="32451"/>
    <cellStyle name="Normal 6 29 12 3 3" xfId="32452"/>
    <cellStyle name="Normal 6 29 12 3 4" xfId="32453"/>
    <cellStyle name="Normal 6 29 12 3 5" xfId="32454"/>
    <cellStyle name="Normal 6 29 12 3 6" xfId="32455"/>
    <cellStyle name="Normal 6 29 12 4" xfId="32456"/>
    <cellStyle name="Normal 6 29 12 4 2" xfId="32457"/>
    <cellStyle name="Normal 6 29 12 4 3" xfId="32458"/>
    <cellStyle name="Normal 6 29 12 4 4" xfId="32459"/>
    <cellStyle name="Normal 6 29 12 4 5" xfId="32460"/>
    <cellStyle name="Normal 6 29 12 4 6" xfId="32461"/>
    <cellStyle name="Normal 6 29 13" xfId="32462"/>
    <cellStyle name="Normal 6 29 13 2" xfId="32463"/>
    <cellStyle name="Normal 6 29 13 3" xfId="32464"/>
    <cellStyle name="Normal 6 29 13 3 2" xfId="32465"/>
    <cellStyle name="Normal 6 29 13 3 3" xfId="32466"/>
    <cellStyle name="Normal 6 29 13 3 4" xfId="32467"/>
    <cellStyle name="Normal 6 29 13 3 5" xfId="32468"/>
    <cellStyle name="Normal 6 29 13 3 6" xfId="32469"/>
    <cellStyle name="Normal 6 29 13 4" xfId="32470"/>
    <cellStyle name="Normal 6 29 13 4 2" xfId="32471"/>
    <cellStyle name="Normal 6 29 13 4 3" xfId="32472"/>
    <cellStyle name="Normal 6 29 13 4 4" xfId="32473"/>
    <cellStyle name="Normal 6 29 13 4 5" xfId="32474"/>
    <cellStyle name="Normal 6 29 13 4 6" xfId="32475"/>
    <cellStyle name="Normal 6 29 14" xfId="32476"/>
    <cellStyle name="Normal 6 29 14 2" xfId="32477"/>
    <cellStyle name="Normal 6 29 14 3" xfId="32478"/>
    <cellStyle name="Normal 6 29 14 3 2" xfId="32479"/>
    <cellStyle name="Normal 6 29 14 3 3" xfId="32480"/>
    <cellStyle name="Normal 6 29 14 3 4" xfId="32481"/>
    <cellStyle name="Normal 6 29 14 3 5" xfId="32482"/>
    <cellStyle name="Normal 6 29 14 3 6" xfId="32483"/>
    <cellStyle name="Normal 6 29 14 4" xfId="32484"/>
    <cellStyle name="Normal 6 29 14 4 2" xfId="32485"/>
    <cellStyle name="Normal 6 29 14 4 3" xfId="32486"/>
    <cellStyle name="Normal 6 29 14 4 4" xfId="32487"/>
    <cellStyle name="Normal 6 29 14 4 5" xfId="32488"/>
    <cellStyle name="Normal 6 29 14 4 6" xfId="32489"/>
    <cellStyle name="Normal 6 29 15" xfId="32490"/>
    <cellStyle name="Normal 6 29 15 2" xfId="32491"/>
    <cellStyle name="Normal 6 29 15 3" xfId="32492"/>
    <cellStyle name="Normal 6 29 15 3 2" xfId="32493"/>
    <cellStyle name="Normal 6 29 15 3 3" xfId="32494"/>
    <cellStyle name="Normal 6 29 15 3 4" xfId="32495"/>
    <cellStyle name="Normal 6 29 15 3 5" xfId="32496"/>
    <cellStyle name="Normal 6 29 15 3 6" xfId="32497"/>
    <cellStyle name="Normal 6 29 15 4" xfId="32498"/>
    <cellStyle name="Normal 6 29 15 4 2" xfId="32499"/>
    <cellStyle name="Normal 6 29 15 4 3" xfId="32500"/>
    <cellStyle name="Normal 6 29 15 4 4" xfId="32501"/>
    <cellStyle name="Normal 6 29 15 4 5" xfId="32502"/>
    <cellStyle name="Normal 6 29 15 4 6" xfId="32503"/>
    <cellStyle name="Normal 6 29 16" xfId="32504"/>
    <cellStyle name="Normal 6 29 16 2" xfId="32505"/>
    <cellStyle name="Normal 6 29 16 3" xfId="32506"/>
    <cellStyle name="Normal 6 29 16 3 2" xfId="32507"/>
    <cellStyle name="Normal 6 29 16 3 3" xfId="32508"/>
    <cellStyle name="Normal 6 29 16 3 4" xfId="32509"/>
    <cellStyle name="Normal 6 29 16 3 5" xfId="32510"/>
    <cellStyle name="Normal 6 29 16 3 6" xfId="32511"/>
    <cellStyle name="Normal 6 29 16 4" xfId="32512"/>
    <cellStyle name="Normal 6 29 16 4 2" xfId="32513"/>
    <cellStyle name="Normal 6 29 16 4 3" xfId="32514"/>
    <cellStyle name="Normal 6 29 16 4 4" xfId="32515"/>
    <cellStyle name="Normal 6 29 16 4 5" xfId="32516"/>
    <cellStyle name="Normal 6 29 16 4 6" xfId="32517"/>
    <cellStyle name="Normal 6 29 17" xfId="32518"/>
    <cellStyle name="Normal 6 29 18" xfId="32519"/>
    <cellStyle name="Normal 6 29 19" xfId="32520"/>
    <cellStyle name="Normal 6 29 2" xfId="32521"/>
    <cellStyle name="Normal 6 29 2 2" xfId="32522"/>
    <cellStyle name="Normal 6 29 2 3" xfId="32523"/>
    <cellStyle name="Normal 6 29 2 3 2" xfId="32524"/>
    <cellStyle name="Normal 6 29 2 3 3" xfId="32525"/>
    <cellStyle name="Normal 6 29 2 3 4" xfId="32526"/>
    <cellStyle name="Normal 6 29 2 3 5" xfId="32527"/>
    <cellStyle name="Normal 6 29 2 3 6" xfId="32528"/>
    <cellStyle name="Normal 6 29 2 4" xfId="32529"/>
    <cellStyle name="Normal 6 29 2 4 2" xfId="32530"/>
    <cellStyle name="Normal 6 29 2 4 3" xfId="32531"/>
    <cellStyle name="Normal 6 29 2 4 4" xfId="32532"/>
    <cellStyle name="Normal 6 29 2 4 5" xfId="32533"/>
    <cellStyle name="Normal 6 29 2 4 6" xfId="32534"/>
    <cellStyle name="Normal 6 29 3" xfId="32535"/>
    <cellStyle name="Normal 6 29 3 2" xfId="32536"/>
    <cellStyle name="Normal 6 29 3 3" xfId="32537"/>
    <cellStyle name="Normal 6 29 3 3 2" xfId="32538"/>
    <cellStyle name="Normal 6 29 3 3 3" xfId="32539"/>
    <cellStyle name="Normal 6 29 3 3 4" xfId="32540"/>
    <cellStyle name="Normal 6 29 3 3 5" xfId="32541"/>
    <cellStyle name="Normal 6 29 3 3 6" xfId="32542"/>
    <cellStyle name="Normal 6 29 3 4" xfId="32543"/>
    <cellStyle name="Normal 6 29 3 4 2" xfId="32544"/>
    <cellStyle name="Normal 6 29 3 4 3" xfId="32545"/>
    <cellStyle name="Normal 6 29 3 4 4" xfId="32546"/>
    <cellStyle name="Normal 6 29 3 4 5" xfId="32547"/>
    <cellStyle name="Normal 6 29 3 4 6" xfId="32548"/>
    <cellStyle name="Normal 6 29 4" xfId="32549"/>
    <cellStyle name="Normal 6 29 4 2" xfId="32550"/>
    <cellStyle name="Normal 6 29 4 3" xfId="32551"/>
    <cellStyle name="Normal 6 29 4 3 2" xfId="32552"/>
    <cellStyle name="Normal 6 29 4 3 3" xfId="32553"/>
    <cellStyle name="Normal 6 29 4 3 4" xfId="32554"/>
    <cellStyle name="Normal 6 29 4 3 5" xfId="32555"/>
    <cellStyle name="Normal 6 29 4 3 6" xfId="32556"/>
    <cellStyle name="Normal 6 29 4 4" xfId="32557"/>
    <cellStyle name="Normal 6 29 4 4 2" xfId="32558"/>
    <cellStyle name="Normal 6 29 4 4 3" xfId="32559"/>
    <cellStyle name="Normal 6 29 4 4 4" xfId="32560"/>
    <cellStyle name="Normal 6 29 4 4 5" xfId="32561"/>
    <cellStyle name="Normal 6 29 4 4 6" xfId="32562"/>
    <cellStyle name="Normal 6 29 5" xfId="32563"/>
    <cellStyle name="Normal 6 29 5 2" xfId="32564"/>
    <cellStyle name="Normal 6 29 5 3" xfId="32565"/>
    <cellStyle name="Normal 6 29 5 3 2" xfId="32566"/>
    <cellStyle name="Normal 6 29 5 3 3" xfId="32567"/>
    <cellStyle name="Normal 6 29 5 3 4" xfId="32568"/>
    <cellStyle name="Normal 6 29 5 3 5" xfId="32569"/>
    <cellStyle name="Normal 6 29 5 3 6" xfId="32570"/>
    <cellStyle name="Normal 6 29 5 4" xfId="32571"/>
    <cellStyle name="Normal 6 29 5 4 2" xfId="32572"/>
    <cellStyle name="Normal 6 29 5 4 3" xfId="32573"/>
    <cellStyle name="Normal 6 29 5 4 4" xfId="32574"/>
    <cellStyle name="Normal 6 29 5 4 5" xfId="32575"/>
    <cellStyle name="Normal 6 29 5 4 6" xfId="32576"/>
    <cellStyle name="Normal 6 29 6" xfId="32577"/>
    <cellStyle name="Normal 6 29 6 2" xfId="32578"/>
    <cellStyle name="Normal 6 29 6 3" xfId="32579"/>
    <cellStyle name="Normal 6 29 6 3 2" xfId="32580"/>
    <cellStyle name="Normal 6 29 6 3 3" xfId="32581"/>
    <cellStyle name="Normal 6 29 6 3 4" xfId="32582"/>
    <cellStyle name="Normal 6 29 6 3 5" xfId="32583"/>
    <cellStyle name="Normal 6 29 6 3 6" xfId="32584"/>
    <cellStyle name="Normal 6 29 6 4" xfId="32585"/>
    <cellStyle name="Normal 6 29 6 4 2" xfId="32586"/>
    <cellStyle name="Normal 6 29 6 4 3" xfId="32587"/>
    <cellStyle name="Normal 6 29 6 4 4" xfId="32588"/>
    <cellStyle name="Normal 6 29 6 4 5" xfId="32589"/>
    <cellStyle name="Normal 6 29 6 4 6" xfId="32590"/>
    <cellStyle name="Normal 6 29 7" xfId="32591"/>
    <cellStyle name="Normal 6 29 7 2" xfId="32592"/>
    <cellStyle name="Normal 6 29 7 3" xfId="32593"/>
    <cellStyle name="Normal 6 29 7 3 2" xfId="32594"/>
    <cellStyle name="Normal 6 29 7 3 3" xfId="32595"/>
    <cellStyle name="Normal 6 29 7 3 4" xfId="32596"/>
    <cellStyle name="Normal 6 29 7 3 5" xfId="32597"/>
    <cellStyle name="Normal 6 29 7 3 6" xfId="32598"/>
    <cellStyle name="Normal 6 29 7 4" xfId="32599"/>
    <cellStyle name="Normal 6 29 7 4 2" xfId="32600"/>
    <cellStyle name="Normal 6 29 7 4 3" xfId="32601"/>
    <cellStyle name="Normal 6 29 7 4 4" xfId="32602"/>
    <cellStyle name="Normal 6 29 7 4 5" xfId="32603"/>
    <cellStyle name="Normal 6 29 7 4 6" xfId="32604"/>
    <cellStyle name="Normal 6 29 8" xfId="32605"/>
    <cellStyle name="Normal 6 29 8 2" xfId="32606"/>
    <cellStyle name="Normal 6 29 8 3" xfId="32607"/>
    <cellStyle name="Normal 6 29 8 3 2" xfId="32608"/>
    <cellStyle name="Normal 6 29 8 3 3" xfId="32609"/>
    <cellStyle name="Normal 6 29 8 3 4" xfId="32610"/>
    <cellStyle name="Normal 6 29 8 3 5" xfId="32611"/>
    <cellStyle name="Normal 6 29 8 3 6" xfId="32612"/>
    <cellStyle name="Normal 6 29 8 4" xfId="32613"/>
    <cellStyle name="Normal 6 29 8 4 2" xfId="32614"/>
    <cellStyle name="Normal 6 29 8 4 3" xfId="32615"/>
    <cellStyle name="Normal 6 29 8 4 4" xfId="32616"/>
    <cellStyle name="Normal 6 29 8 4 5" xfId="32617"/>
    <cellStyle name="Normal 6 29 8 4 6" xfId="32618"/>
    <cellStyle name="Normal 6 29 9" xfId="32619"/>
    <cellStyle name="Normal 6 29 9 2" xfId="32620"/>
    <cellStyle name="Normal 6 29 9 3" xfId="32621"/>
    <cellStyle name="Normal 6 29 9 3 2" xfId="32622"/>
    <cellStyle name="Normal 6 29 9 3 3" xfId="32623"/>
    <cellStyle name="Normal 6 29 9 3 4" xfId="32624"/>
    <cellStyle name="Normal 6 29 9 3 5" xfId="32625"/>
    <cellStyle name="Normal 6 29 9 3 6" xfId="32626"/>
    <cellStyle name="Normal 6 29 9 4" xfId="32627"/>
    <cellStyle name="Normal 6 29 9 4 2" xfId="32628"/>
    <cellStyle name="Normal 6 29 9 4 3" xfId="32629"/>
    <cellStyle name="Normal 6 29 9 4 4" xfId="32630"/>
    <cellStyle name="Normal 6 29 9 4 5" xfId="32631"/>
    <cellStyle name="Normal 6 29 9 4 6" xfId="32632"/>
    <cellStyle name="Normal 6 3" xfId="32633"/>
    <cellStyle name="Normal 6 3 2" xfId="32634"/>
    <cellStyle name="Normal 6 3 3" xfId="32635"/>
    <cellStyle name="Normal 6 3 4" xfId="32636"/>
    <cellStyle name="Normal 6 30" xfId="32637"/>
    <cellStyle name="Normal 6 30 2" xfId="32638"/>
    <cellStyle name="Normal 6 30 3" xfId="32639"/>
    <cellStyle name="Normal 6 30 3 2" xfId="32640"/>
    <cellStyle name="Normal 6 30 3 3" xfId="32641"/>
    <cellStyle name="Normal 6 30 3 4" xfId="32642"/>
    <cellStyle name="Normal 6 30 3 5" xfId="32643"/>
    <cellStyle name="Normal 6 30 3 6" xfId="32644"/>
    <cellStyle name="Normal 6 30 4" xfId="32645"/>
    <cellStyle name="Normal 6 30 4 2" xfId="32646"/>
    <cellStyle name="Normal 6 30 4 3" xfId="32647"/>
    <cellStyle name="Normal 6 30 4 4" xfId="32648"/>
    <cellStyle name="Normal 6 30 4 5" xfId="32649"/>
    <cellStyle name="Normal 6 30 4 6" xfId="32650"/>
    <cellStyle name="Normal 6 31" xfId="32651"/>
    <cellStyle name="Normal 6 31 2" xfId="32652"/>
    <cellStyle name="Normal 6 31 3" xfId="32653"/>
    <cellStyle name="Normal 6 31 3 2" xfId="32654"/>
    <cellStyle name="Normal 6 31 3 3" xfId="32655"/>
    <cellStyle name="Normal 6 31 3 4" xfId="32656"/>
    <cellStyle name="Normal 6 31 3 5" xfId="32657"/>
    <cellStyle name="Normal 6 31 3 6" xfId="32658"/>
    <cellStyle name="Normal 6 31 4" xfId="32659"/>
    <cellStyle name="Normal 6 31 4 2" xfId="32660"/>
    <cellStyle name="Normal 6 31 4 3" xfId="32661"/>
    <cellStyle name="Normal 6 31 4 4" xfId="32662"/>
    <cellStyle name="Normal 6 31 4 5" xfId="32663"/>
    <cellStyle name="Normal 6 31 4 6" xfId="32664"/>
    <cellStyle name="Normal 6 32" xfId="32665"/>
    <cellStyle name="Normal 6 32 2" xfId="32666"/>
    <cellStyle name="Normal 6 32 3" xfId="32667"/>
    <cellStyle name="Normal 6 32 4" xfId="32668"/>
    <cellStyle name="Normal 6 33" xfId="32669"/>
    <cellStyle name="Normal 6 33 2" xfId="32670"/>
    <cellStyle name="Normal 6 33 3" xfId="32671"/>
    <cellStyle name="Normal 6 33 4" xfId="32672"/>
    <cellStyle name="Normal 6 34" xfId="32673"/>
    <cellStyle name="Normal 6 34 2" xfId="32674"/>
    <cellStyle name="Normal 6 34 3" xfId="32675"/>
    <cellStyle name="Normal 6 34 4" xfId="32676"/>
    <cellStyle name="Normal 6 35" xfId="32677"/>
    <cellStyle name="Normal 6 35 2" xfId="32678"/>
    <cellStyle name="Normal 6 35 3" xfId="32679"/>
    <cellStyle name="Normal 6 35 4" xfId="32680"/>
    <cellStyle name="Normal 6 36" xfId="32681"/>
    <cellStyle name="Normal 6 36 2" xfId="32682"/>
    <cellStyle name="Normal 6 36 3" xfId="32683"/>
    <cellStyle name="Normal 6 36 4" xfId="32684"/>
    <cellStyle name="Normal 6 37" xfId="32685"/>
    <cellStyle name="Normal 6 37 2" xfId="32686"/>
    <cellStyle name="Normal 6 37 3" xfId="32687"/>
    <cellStyle name="Normal 6 37 4" xfId="32688"/>
    <cellStyle name="Normal 6 38" xfId="32689"/>
    <cellStyle name="Normal 6 38 2" xfId="32690"/>
    <cellStyle name="Normal 6 38 3" xfId="32691"/>
    <cellStyle name="Normal 6 38 4" xfId="32692"/>
    <cellStyle name="Normal 6 39" xfId="32693"/>
    <cellStyle name="Normal 6 39 2" xfId="32694"/>
    <cellStyle name="Normal 6 39 3" xfId="32695"/>
    <cellStyle name="Normal 6 39 4" xfId="32696"/>
    <cellStyle name="Normal 6 4" xfId="32697"/>
    <cellStyle name="Normal 6 4 10" xfId="32698"/>
    <cellStyle name="Normal 6 4 10 2" xfId="32699"/>
    <cellStyle name="Normal 6 4 10 3" xfId="32700"/>
    <cellStyle name="Normal 6 4 10 3 2" xfId="32701"/>
    <cellStyle name="Normal 6 4 10 3 3" xfId="32702"/>
    <cellStyle name="Normal 6 4 10 3 4" xfId="32703"/>
    <cellStyle name="Normal 6 4 10 3 5" xfId="32704"/>
    <cellStyle name="Normal 6 4 10 3 6" xfId="32705"/>
    <cellStyle name="Normal 6 4 10 4" xfId="32706"/>
    <cellStyle name="Normal 6 4 10 4 2" xfId="32707"/>
    <cellStyle name="Normal 6 4 10 4 3" xfId="32708"/>
    <cellStyle name="Normal 6 4 10 4 4" xfId="32709"/>
    <cellStyle name="Normal 6 4 10 4 5" xfId="32710"/>
    <cellStyle name="Normal 6 4 10 4 6" xfId="32711"/>
    <cellStyle name="Normal 6 4 11" xfId="32712"/>
    <cellStyle name="Normal 6 4 11 2" xfId="32713"/>
    <cellStyle name="Normal 6 4 11 3" xfId="32714"/>
    <cellStyle name="Normal 6 4 11 3 2" xfId="32715"/>
    <cellStyle name="Normal 6 4 11 3 3" xfId="32716"/>
    <cellStyle name="Normal 6 4 11 3 4" xfId="32717"/>
    <cellStyle name="Normal 6 4 11 3 5" xfId="32718"/>
    <cellStyle name="Normal 6 4 11 3 6" xfId="32719"/>
    <cellStyle name="Normal 6 4 11 4" xfId="32720"/>
    <cellStyle name="Normal 6 4 11 4 2" xfId="32721"/>
    <cellStyle name="Normal 6 4 11 4 3" xfId="32722"/>
    <cellStyle name="Normal 6 4 11 4 4" xfId="32723"/>
    <cellStyle name="Normal 6 4 11 4 5" xfId="32724"/>
    <cellStyle name="Normal 6 4 11 4 6" xfId="32725"/>
    <cellStyle name="Normal 6 4 12" xfId="32726"/>
    <cellStyle name="Normal 6 4 12 2" xfId="32727"/>
    <cellStyle name="Normal 6 4 12 3" xfId="32728"/>
    <cellStyle name="Normal 6 4 12 3 2" xfId="32729"/>
    <cellStyle name="Normal 6 4 12 3 3" xfId="32730"/>
    <cellStyle name="Normal 6 4 12 3 4" xfId="32731"/>
    <cellStyle name="Normal 6 4 12 3 5" xfId="32732"/>
    <cellStyle name="Normal 6 4 12 3 6" xfId="32733"/>
    <cellStyle name="Normal 6 4 12 4" xfId="32734"/>
    <cellStyle name="Normal 6 4 12 4 2" xfId="32735"/>
    <cellStyle name="Normal 6 4 12 4 3" xfId="32736"/>
    <cellStyle name="Normal 6 4 12 4 4" xfId="32737"/>
    <cellStyle name="Normal 6 4 12 4 5" xfId="32738"/>
    <cellStyle name="Normal 6 4 12 4 6" xfId="32739"/>
    <cellStyle name="Normal 6 4 13" xfId="32740"/>
    <cellStyle name="Normal 6 4 13 2" xfId="32741"/>
    <cellStyle name="Normal 6 4 13 3" xfId="32742"/>
    <cellStyle name="Normal 6 4 13 3 2" xfId="32743"/>
    <cellStyle name="Normal 6 4 13 3 3" xfId="32744"/>
    <cellStyle name="Normal 6 4 13 3 4" xfId="32745"/>
    <cellStyle name="Normal 6 4 13 3 5" xfId="32746"/>
    <cellStyle name="Normal 6 4 13 3 6" xfId="32747"/>
    <cellStyle name="Normal 6 4 13 4" xfId="32748"/>
    <cellStyle name="Normal 6 4 13 4 2" xfId="32749"/>
    <cellStyle name="Normal 6 4 13 4 3" xfId="32750"/>
    <cellStyle name="Normal 6 4 13 4 4" xfId="32751"/>
    <cellStyle name="Normal 6 4 13 4 5" xfId="32752"/>
    <cellStyle name="Normal 6 4 13 4 6" xfId="32753"/>
    <cellStyle name="Normal 6 4 14" xfId="32754"/>
    <cellStyle name="Normal 6 4 14 2" xfId="32755"/>
    <cellStyle name="Normal 6 4 14 3" xfId="32756"/>
    <cellStyle name="Normal 6 4 14 3 2" xfId="32757"/>
    <cellStyle name="Normal 6 4 14 3 3" xfId="32758"/>
    <cellStyle name="Normal 6 4 14 3 4" xfId="32759"/>
    <cellStyle name="Normal 6 4 14 3 5" xfId="32760"/>
    <cellStyle name="Normal 6 4 14 3 6" xfId="32761"/>
    <cellStyle name="Normal 6 4 14 4" xfId="32762"/>
    <cellStyle name="Normal 6 4 14 4 2" xfId="32763"/>
    <cellStyle name="Normal 6 4 14 4 3" xfId="32764"/>
    <cellStyle name="Normal 6 4 14 4 4" xfId="32765"/>
    <cellStyle name="Normal 6 4 14 4 5" xfId="32766"/>
    <cellStyle name="Normal 6 4 14 4 6" xfId="32767"/>
    <cellStyle name="Normal 6 4 15" xfId="32768"/>
    <cellStyle name="Normal 6 4 15 2" xfId="32769"/>
    <cellStyle name="Normal 6 4 15 3" xfId="32770"/>
    <cellStyle name="Normal 6 4 15 3 2" xfId="32771"/>
    <cellStyle name="Normal 6 4 15 3 3" xfId="32772"/>
    <cellStyle name="Normal 6 4 15 3 4" xfId="32773"/>
    <cellStyle name="Normal 6 4 15 3 5" xfId="32774"/>
    <cellStyle name="Normal 6 4 15 3 6" xfId="32775"/>
    <cellStyle name="Normal 6 4 15 4" xfId="32776"/>
    <cellStyle name="Normal 6 4 15 4 2" xfId="32777"/>
    <cellStyle name="Normal 6 4 15 4 3" xfId="32778"/>
    <cellStyle name="Normal 6 4 15 4 4" xfId="32779"/>
    <cellStyle name="Normal 6 4 15 4 5" xfId="32780"/>
    <cellStyle name="Normal 6 4 15 4 6" xfId="32781"/>
    <cellStyle name="Normal 6 4 16" xfId="32782"/>
    <cellStyle name="Normal 6 4 16 2" xfId="32783"/>
    <cellStyle name="Normal 6 4 16 3" xfId="32784"/>
    <cellStyle name="Normal 6 4 16 3 2" xfId="32785"/>
    <cellStyle name="Normal 6 4 16 3 3" xfId="32786"/>
    <cellStyle name="Normal 6 4 16 3 4" xfId="32787"/>
    <cellStyle name="Normal 6 4 16 3 5" xfId="32788"/>
    <cellStyle name="Normal 6 4 16 3 6" xfId="32789"/>
    <cellStyle name="Normal 6 4 16 4" xfId="32790"/>
    <cellStyle name="Normal 6 4 16 4 2" xfId="32791"/>
    <cellStyle name="Normal 6 4 16 4 3" xfId="32792"/>
    <cellStyle name="Normal 6 4 16 4 4" xfId="32793"/>
    <cellStyle name="Normal 6 4 16 4 5" xfId="32794"/>
    <cellStyle name="Normal 6 4 16 4 6" xfId="32795"/>
    <cellStyle name="Normal 6 4 17" xfId="32796"/>
    <cellStyle name="Normal 6 4 17 2" xfId="32797"/>
    <cellStyle name="Normal 6 4 17 3" xfId="32798"/>
    <cellStyle name="Normal 6 4 17 3 2" xfId="32799"/>
    <cellStyle name="Normal 6 4 17 3 3" xfId="32800"/>
    <cellStyle name="Normal 6 4 17 3 4" xfId="32801"/>
    <cellStyle name="Normal 6 4 17 3 5" xfId="32802"/>
    <cellStyle name="Normal 6 4 17 3 6" xfId="32803"/>
    <cellStyle name="Normal 6 4 17 4" xfId="32804"/>
    <cellStyle name="Normal 6 4 17 4 2" xfId="32805"/>
    <cellStyle name="Normal 6 4 17 4 3" xfId="32806"/>
    <cellStyle name="Normal 6 4 17 4 4" xfId="32807"/>
    <cellStyle name="Normal 6 4 17 4 5" xfId="32808"/>
    <cellStyle name="Normal 6 4 17 4 6" xfId="32809"/>
    <cellStyle name="Normal 6 4 18" xfId="32810"/>
    <cellStyle name="Normal 6 4 18 2" xfId="32811"/>
    <cellStyle name="Normal 6 4 18 3" xfId="32812"/>
    <cellStyle name="Normal 6 4 18 3 2" xfId="32813"/>
    <cellStyle name="Normal 6 4 18 3 3" xfId="32814"/>
    <cellStyle name="Normal 6 4 18 3 4" xfId="32815"/>
    <cellStyle name="Normal 6 4 18 3 5" xfId="32816"/>
    <cellStyle name="Normal 6 4 18 3 6" xfId="32817"/>
    <cellStyle name="Normal 6 4 18 4" xfId="32818"/>
    <cellStyle name="Normal 6 4 18 4 2" xfId="32819"/>
    <cellStyle name="Normal 6 4 18 4 3" xfId="32820"/>
    <cellStyle name="Normal 6 4 18 4 4" xfId="32821"/>
    <cellStyle name="Normal 6 4 18 4 5" xfId="32822"/>
    <cellStyle name="Normal 6 4 18 4 6" xfId="32823"/>
    <cellStyle name="Normal 6 4 19" xfId="32824"/>
    <cellStyle name="Normal 6 4 19 2" xfId="32825"/>
    <cellStyle name="Normal 6 4 19 3" xfId="32826"/>
    <cellStyle name="Normal 6 4 19 3 2" xfId="32827"/>
    <cellStyle name="Normal 6 4 19 3 3" xfId="32828"/>
    <cellStyle name="Normal 6 4 19 3 4" xfId="32829"/>
    <cellStyle name="Normal 6 4 19 3 5" xfId="32830"/>
    <cellStyle name="Normal 6 4 19 3 6" xfId="32831"/>
    <cellStyle name="Normal 6 4 19 4" xfId="32832"/>
    <cellStyle name="Normal 6 4 19 4 2" xfId="32833"/>
    <cellStyle name="Normal 6 4 19 4 3" xfId="32834"/>
    <cellStyle name="Normal 6 4 19 4 4" xfId="32835"/>
    <cellStyle name="Normal 6 4 19 4 5" xfId="32836"/>
    <cellStyle name="Normal 6 4 19 4 6" xfId="32837"/>
    <cellStyle name="Normal 6 4 2" xfId="32838"/>
    <cellStyle name="Normal 6 4 2 10" xfId="32839"/>
    <cellStyle name="Normal 6 4 2 10 2" xfId="32840"/>
    <cellStyle name="Normal 6 4 2 10 3" xfId="32841"/>
    <cellStyle name="Normal 6 4 2 10 4" xfId="32842"/>
    <cellStyle name="Normal 6 4 2 11" xfId="32843"/>
    <cellStyle name="Normal 6 4 2 11 2" xfId="32844"/>
    <cellStyle name="Normal 6 4 2 11 3" xfId="32845"/>
    <cellStyle name="Normal 6 4 2 11 4" xfId="32846"/>
    <cellStyle name="Normal 6 4 2 12" xfId="32847"/>
    <cellStyle name="Normal 6 4 2 12 2" xfId="32848"/>
    <cellStyle name="Normal 6 4 2 12 3" xfId="32849"/>
    <cellStyle name="Normal 6 4 2 12 4" xfId="32850"/>
    <cellStyle name="Normal 6 4 2 13" xfId="32851"/>
    <cellStyle name="Normal 6 4 2 13 2" xfId="32852"/>
    <cellStyle name="Normal 6 4 2 13 3" xfId="32853"/>
    <cellStyle name="Normal 6 4 2 13 4" xfId="32854"/>
    <cellStyle name="Normal 6 4 2 14" xfId="32855"/>
    <cellStyle name="Normal 6 4 2 14 2" xfId="32856"/>
    <cellStyle name="Normal 6 4 2 14 3" xfId="32857"/>
    <cellStyle name="Normal 6 4 2 14 4" xfId="32858"/>
    <cellStyle name="Normal 6 4 2 15" xfId="32859"/>
    <cellStyle name="Normal 6 4 2 15 2" xfId="32860"/>
    <cellStyle name="Normal 6 4 2 15 3" xfId="32861"/>
    <cellStyle name="Normal 6 4 2 15 4" xfId="32862"/>
    <cellStyle name="Normal 6 4 2 16" xfId="32863"/>
    <cellStyle name="Normal 6 4 2 16 2" xfId="32864"/>
    <cellStyle name="Normal 6 4 2 16 3" xfId="32865"/>
    <cellStyle name="Normal 6 4 2 16 4" xfId="32866"/>
    <cellStyle name="Normal 6 4 2 17" xfId="32867"/>
    <cellStyle name="Normal 6 4 2 17 2" xfId="32868"/>
    <cellStyle name="Normal 6 4 2 17 3" xfId="32869"/>
    <cellStyle name="Normal 6 4 2 17 4" xfId="32870"/>
    <cellStyle name="Normal 6 4 2 18" xfId="32871"/>
    <cellStyle name="Normal 6 4 2 18 2" xfId="32872"/>
    <cellStyle name="Normal 6 4 2 18 3" xfId="32873"/>
    <cellStyle name="Normal 6 4 2 18 4" xfId="32874"/>
    <cellStyle name="Normal 6 4 2 19" xfId="32875"/>
    <cellStyle name="Normal 6 4 2 19 2" xfId="32876"/>
    <cellStyle name="Normal 6 4 2 19 3" xfId="32877"/>
    <cellStyle name="Normal 6 4 2 19 4" xfId="32878"/>
    <cellStyle name="Normal 6 4 2 2" xfId="32879"/>
    <cellStyle name="Normal 6 4 2 2 10" xfId="32880"/>
    <cellStyle name="Normal 6 4 2 2 10 2" xfId="32881"/>
    <cellStyle name="Normal 6 4 2 2 10 3" xfId="32882"/>
    <cellStyle name="Normal 6 4 2 2 10 3 2" xfId="32883"/>
    <cellStyle name="Normal 6 4 2 2 10 3 3" xfId="32884"/>
    <cellStyle name="Normal 6 4 2 2 10 3 4" xfId="32885"/>
    <cellStyle name="Normal 6 4 2 2 10 3 5" xfId="32886"/>
    <cellStyle name="Normal 6 4 2 2 10 3 6" xfId="32887"/>
    <cellStyle name="Normal 6 4 2 2 10 4" xfId="32888"/>
    <cellStyle name="Normal 6 4 2 2 10 4 2" xfId="32889"/>
    <cellStyle name="Normal 6 4 2 2 10 4 3" xfId="32890"/>
    <cellStyle name="Normal 6 4 2 2 10 4 4" xfId="32891"/>
    <cellStyle name="Normal 6 4 2 2 10 4 5" xfId="32892"/>
    <cellStyle name="Normal 6 4 2 2 10 4 6" xfId="32893"/>
    <cellStyle name="Normal 6 4 2 2 11" xfId="32894"/>
    <cellStyle name="Normal 6 4 2 2 11 2" xfId="32895"/>
    <cellStyle name="Normal 6 4 2 2 11 3" xfId="32896"/>
    <cellStyle name="Normal 6 4 2 2 11 3 2" xfId="32897"/>
    <cellStyle name="Normal 6 4 2 2 11 3 3" xfId="32898"/>
    <cellStyle name="Normal 6 4 2 2 11 3 4" xfId="32899"/>
    <cellStyle name="Normal 6 4 2 2 11 3 5" xfId="32900"/>
    <cellStyle name="Normal 6 4 2 2 11 3 6" xfId="32901"/>
    <cellStyle name="Normal 6 4 2 2 11 4" xfId="32902"/>
    <cellStyle name="Normal 6 4 2 2 11 4 2" xfId="32903"/>
    <cellStyle name="Normal 6 4 2 2 11 4 3" xfId="32904"/>
    <cellStyle name="Normal 6 4 2 2 11 4 4" xfId="32905"/>
    <cellStyle name="Normal 6 4 2 2 11 4 5" xfId="32906"/>
    <cellStyle name="Normal 6 4 2 2 11 4 6" xfId="32907"/>
    <cellStyle name="Normal 6 4 2 2 12" xfId="32908"/>
    <cellStyle name="Normal 6 4 2 2 12 2" xfId="32909"/>
    <cellStyle name="Normal 6 4 2 2 12 3" xfId="32910"/>
    <cellStyle name="Normal 6 4 2 2 12 3 2" xfId="32911"/>
    <cellStyle name="Normal 6 4 2 2 12 3 3" xfId="32912"/>
    <cellStyle name="Normal 6 4 2 2 12 3 4" xfId="32913"/>
    <cellStyle name="Normal 6 4 2 2 12 3 5" xfId="32914"/>
    <cellStyle name="Normal 6 4 2 2 12 3 6" xfId="32915"/>
    <cellStyle name="Normal 6 4 2 2 12 4" xfId="32916"/>
    <cellStyle name="Normal 6 4 2 2 12 4 2" xfId="32917"/>
    <cellStyle name="Normal 6 4 2 2 12 4 3" xfId="32918"/>
    <cellStyle name="Normal 6 4 2 2 12 4 4" xfId="32919"/>
    <cellStyle name="Normal 6 4 2 2 12 4 5" xfId="32920"/>
    <cellStyle name="Normal 6 4 2 2 12 4 6" xfId="32921"/>
    <cellStyle name="Normal 6 4 2 2 13" xfId="32922"/>
    <cellStyle name="Normal 6 4 2 2 13 2" xfId="32923"/>
    <cellStyle name="Normal 6 4 2 2 13 3" xfId="32924"/>
    <cellStyle name="Normal 6 4 2 2 13 3 2" xfId="32925"/>
    <cellStyle name="Normal 6 4 2 2 13 3 3" xfId="32926"/>
    <cellStyle name="Normal 6 4 2 2 13 3 4" xfId="32927"/>
    <cellStyle name="Normal 6 4 2 2 13 3 5" xfId="32928"/>
    <cellStyle name="Normal 6 4 2 2 13 3 6" xfId="32929"/>
    <cellStyle name="Normal 6 4 2 2 13 4" xfId="32930"/>
    <cellStyle name="Normal 6 4 2 2 13 4 2" xfId="32931"/>
    <cellStyle name="Normal 6 4 2 2 13 4 3" xfId="32932"/>
    <cellStyle name="Normal 6 4 2 2 13 4 4" xfId="32933"/>
    <cellStyle name="Normal 6 4 2 2 13 4 5" xfId="32934"/>
    <cellStyle name="Normal 6 4 2 2 13 4 6" xfId="32935"/>
    <cellStyle name="Normal 6 4 2 2 14" xfId="32936"/>
    <cellStyle name="Normal 6 4 2 2 14 2" xfId="32937"/>
    <cellStyle name="Normal 6 4 2 2 14 3" xfId="32938"/>
    <cellStyle name="Normal 6 4 2 2 14 3 2" xfId="32939"/>
    <cellStyle name="Normal 6 4 2 2 14 3 3" xfId="32940"/>
    <cellStyle name="Normal 6 4 2 2 14 3 4" xfId="32941"/>
    <cellStyle name="Normal 6 4 2 2 14 3 5" xfId="32942"/>
    <cellStyle name="Normal 6 4 2 2 14 3 6" xfId="32943"/>
    <cellStyle name="Normal 6 4 2 2 14 4" xfId="32944"/>
    <cellStyle name="Normal 6 4 2 2 14 4 2" xfId="32945"/>
    <cellStyle name="Normal 6 4 2 2 14 4 3" xfId="32946"/>
    <cellStyle name="Normal 6 4 2 2 14 4 4" xfId="32947"/>
    <cellStyle name="Normal 6 4 2 2 14 4 5" xfId="32948"/>
    <cellStyle name="Normal 6 4 2 2 14 4 6" xfId="32949"/>
    <cellStyle name="Normal 6 4 2 2 15" xfId="32950"/>
    <cellStyle name="Normal 6 4 2 2 15 2" xfId="32951"/>
    <cellStyle name="Normal 6 4 2 2 15 3" xfId="32952"/>
    <cellStyle name="Normal 6 4 2 2 15 3 2" xfId="32953"/>
    <cellStyle name="Normal 6 4 2 2 15 3 3" xfId="32954"/>
    <cellStyle name="Normal 6 4 2 2 15 3 4" xfId="32955"/>
    <cellStyle name="Normal 6 4 2 2 15 3 5" xfId="32956"/>
    <cellStyle name="Normal 6 4 2 2 15 3 6" xfId="32957"/>
    <cellStyle name="Normal 6 4 2 2 15 4" xfId="32958"/>
    <cellStyle name="Normal 6 4 2 2 15 4 2" xfId="32959"/>
    <cellStyle name="Normal 6 4 2 2 15 4 3" xfId="32960"/>
    <cellStyle name="Normal 6 4 2 2 15 4 4" xfId="32961"/>
    <cellStyle name="Normal 6 4 2 2 15 4 5" xfId="32962"/>
    <cellStyle name="Normal 6 4 2 2 15 4 6" xfId="32963"/>
    <cellStyle name="Normal 6 4 2 2 16" xfId="32964"/>
    <cellStyle name="Normal 6 4 2 2 16 2" xfId="32965"/>
    <cellStyle name="Normal 6 4 2 2 16 3" xfId="32966"/>
    <cellStyle name="Normal 6 4 2 2 16 3 2" xfId="32967"/>
    <cellStyle name="Normal 6 4 2 2 16 3 3" xfId="32968"/>
    <cellStyle name="Normal 6 4 2 2 16 3 4" xfId="32969"/>
    <cellStyle name="Normal 6 4 2 2 16 3 5" xfId="32970"/>
    <cellStyle name="Normal 6 4 2 2 16 3 6" xfId="32971"/>
    <cellStyle name="Normal 6 4 2 2 16 4" xfId="32972"/>
    <cellStyle name="Normal 6 4 2 2 16 4 2" xfId="32973"/>
    <cellStyle name="Normal 6 4 2 2 16 4 3" xfId="32974"/>
    <cellStyle name="Normal 6 4 2 2 16 4 4" xfId="32975"/>
    <cellStyle name="Normal 6 4 2 2 16 4 5" xfId="32976"/>
    <cellStyle name="Normal 6 4 2 2 16 4 6" xfId="32977"/>
    <cellStyle name="Normal 6 4 2 2 17" xfId="32978"/>
    <cellStyle name="Normal 6 4 2 2 17 2" xfId="32979"/>
    <cellStyle name="Normal 6 4 2 2 17 3" xfId="32980"/>
    <cellStyle name="Normal 6 4 2 2 17 3 2" xfId="32981"/>
    <cellStyle name="Normal 6 4 2 2 17 3 3" xfId="32982"/>
    <cellStyle name="Normal 6 4 2 2 17 3 4" xfId="32983"/>
    <cellStyle name="Normal 6 4 2 2 17 3 5" xfId="32984"/>
    <cellStyle name="Normal 6 4 2 2 17 3 6" xfId="32985"/>
    <cellStyle name="Normal 6 4 2 2 17 4" xfId="32986"/>
    <cellStyle name="Normal 6 4 2 2 17 4 2" xfId="32987"/>
    <cellStyle name="Normal 6 4 2 2 17 4 3" xfId="32988"/>
    <cellStyle name="Normal 6 4 2 2 17 4 4" xfId="32989"/>
    <cellStyle name="Normal 6 4 2 2 17 4 5" xfId="32990"/>
    <cellStyle name="Normal 6 4 2 2 17 4 6" xfId="32991"/>
    <cellStyle name="Normal 6 4 2 2 18" xfId="32992"/>
    <cellStyle name="Normal 6 4 2 2 18 2" xfId="32993"/>
    <cellStyle name="Normal 6 4 2 2 18 3" xfId="32994"/>
    <cellStyle name="Normal 6 4 2 2 18 3 2" xfId="32995"/>
    <cellStyle name="Normal 6 4 2 2 18 3 3" xfId="32996"/>
    <cellStyle name="Normal 6 4 2 2 18 3 4" xfId="32997"/>
    <cellStyle name="Normal 6 4 2 2 18 3 5" xfId="32998"/>
    <cellStyle name="Normal 6 4 2 2 18 3 6" xfId="32999"/>
    <cellStyle name="Normal 6 4 2 2 18 4" xfId="33000"/>
    <cellStyle name="Normal 6 4 2 2 18 4 2" xfId="33001"/>
    <cellStyle name="Normal 6 4 2 2 18 4 3" xfId="33002"/>
    <cellStyle name="Normal 6 4 2 2 18 4 4" xfId="33003"/>
    <cellStyle name="Normal 6 4 2 2 18 4 5" xfId="33004"/>
    <cellStyle name="Normal 6 4 2 2 18 4 6" xfId="33005"/>
    <cellStyle name="Normal 6 4 2 2 19" xfId="33006"/>
    <cellStyle name="Normal 6 4 2 2 19 2" xfId="33007"/>
    <cellStyle name="Normal 6 4 2 2 19 3" xfId="33008"/>
    <cellStyle name="Normal 6 4 2 2 19 3 2" xfId="33009"/>
    <cellStyle name="Normal 6 4 2 2 19 3 3" xfId="33010"/>
    <cellStyle name="Normal 6 4 2 2 19 3 4" xfId="33011"/>
    <cellStyle name="Normal 6 4 2 2 19 3 5" xfId="33012"/>
    <cellStyle name="Normal 6 4 2 2 19 3 6" xfId="33013"/>
    <cellStyle name="Normal 6 4 2 2 19 4" xfId="33014"/>
    <cellStyle name="Normal 6 4 2 2 19 4 2" xfId="33015"/>
    <cellStyle name="Normal 6 4 2 2 19 4 3" xfId="33016"/>
    <cellStyle name="Normal 6 4 2 2 19 4 4" xfId="33017"/>
    <cellStyle name="Normal 6 4 2 2 19 4 5" xfId="33018"/>
    <cellStyle name="Normal 6 4 2 2 19 4 6" xfId="33019"/>
    <cellStyle name="Normal 6 4 2 2 2" xfId="33020"/>
    <cellStyle name="Normal 6 4 2 2 2 10" xfId="33021"/>
    <cellStyle name="Normal 6 4 2 2 2 10 2" xfId="33022"/>
    <cellStyle name="Normal 6 4 2 2 2 10 3" xfId="33023"/>
    <cellStyle name="Normal 6 4 2 2 2 10 4" xfId="33024"/>
    <cellStyle name="Normal 6 4 2 2 2 11" xfId="33025"/>
    <cellStyle name="Normal 6 4 2 2 2 11 2" xfId="33026"/>
    <cellStyle name="Normal 6 4 2 2 2 11 3" xfId="33027"/>
    <cellStyle name="Normal 6 4 2 2 2 11 4" xfId="33028"/>
    <cellStyle name="Normal 6 4 2 2 2 12" xfId="33029"/>
    <cellStyle name="Normal 6 4 2 2 2 12 2" xfId="33030"/>
    <cellStyle name="Normal 6 4 2 2 2 12 3" xfId="33031"/>
    <cellStyle name="Normal 6 4 2 2 2 12 4" xfId="33032"/>
    <cellStyle name="Normal 6 4 2 2 2 13" xfId="33033"/>
    <cellStyle name="Normal 6 4 2 2 2 13 2" xfId="33034"/>
    <cellStyle name="Normal 6 4 2 2 2 13 3" xfId="33035"/>
    <cellStyle name="Normal 6 4 2 2 2 13 4" xfId="33036"/>
    <cellStyle name="Normal 6 4 2 2 2 14" xfId="33037"/>
    <cellStyle name="Normal 6 4 2 2 2 14 2" xfId="33038"/>
    <cellStyle name="Normal 6 4 2 2 2 14 3" xfId="33039"/>
    <cellStyle name="Normal 6 4 2 2 2 14 4" xfId="33040"/>
    <cellStyle name="Normal 6 4 2 2 2 15" xfId="33041"/>
    <cellStyle name="Normal 6 4 2 2 2 15 2" xfId="33042"/>
    <cellStyle name="Normal 6 4 2 2 2 15 3" xfId="33043"/>
    <cellStyle name="Normal 6 4 2 2 2 15 4" xfId="33044"/>
    <cellStyle name="Normal 6 4 2 2 2 16" xfId="33045"/>
    <cellStyle name="Normal 6 4 2 2 2 16 2" xfId="33046"/>
    <cellStyle name="Normal 6 4 2 2 2 16 3" xfId="33047"/>
    <cellStyle name="Normal 6 4 2 2 2 16 4" xfId="33048"/>
    <cellStyle name="Normal 6 4 2 2 2 17" xfId="33049"/>
    <cellStyle name="Normal 6 4 2 2 2 18" xfId="33050"/>
    <cellStyle name="Normal 6 4 2 2 2 18 2" xfId="33051"/>
    <cellStyle name="Normal 6 4 2 2 2 18 3" xfId="33052"/>
    <cellStyle name="Normal 6 4 2 2 2 18 4" xfId="33053"/>
    <cellStyle name="Normal 6 4 2 2 2 18 5" xfId="33054"/>
    <cellStyle name="Normal 6 4 2 2 2 18 6" xfId="33055"/>
    <cellStyle name="Normal 6 4 2 2 2 19" xfId="33056"/>
    <cellStyle name="Normal 6 4 2 2 2 19 2" xfId="33057"/>
    <cellStyle name="Normal 6 4 2 2 2 19 3" xfId="33058"/>
    <cellStyle name="Normal 6 4 2 2 2 19 4" xfId="33059"/>
    <cellStyle name="Normal 6 4 2 2 2 19 5" xfId="33060"/>
    <cellStyle name="Normal 6 4 2 2 2 19 6" xfId="33061"/>
    <cellStyle name="Normal 6 4 2 2 2 2" xfId="33062"/>
    <cellStyle name="Normal 6 4 2 2 2 2 2" xfId="33063"/>
    <cellStyle name="Normal 6 4 2 2 2 2 3" xfId="33064"/>
    <cellStyle name="Normal 6 4 2 2 2 2 4" xfId="33065"/>
    <cellStyle name="Normal 6 4 2 2 2 3" xfId="33066"/>
    <cellStyle name="Normal 6 4 2 2 2 3 2" xfId="33067"/>
    <cellStyle name="Normal 6 4 2 2 2 3 3" xfId="33068"/>
    <cellStyle name="Normal 6 4 2 2 2 3 4" xfId="33069"/>
    <cellStyle name="Normal 6 4 2 2 2 4" xfId="33070"/>
    <cellStyle name="Normal 6 4 2 2 2 4 2" xfId="33071"/>
    <cellStyle name="Normal 6 4 2 2 2 4 3" xfId="33072"/>
    <cellStyle name="Normal 6 4 2 2 2 4 4" xfId="33073"/>
    <cellStyle name="Normal 6 4 2 2 2 5" xfId="33074"/>
    <cellStyle name="Normal 6 4 2 2 2 5 2" xfId="33075"/>
    <cellStyle name="Normal 6 4 2 2 2 5 3" xfId="33076"/>
    <cellStyle name="Normal 6 4 2 2 2 5 4" xfId="33077"/>
    <cellStyle name="Normal 6 4 2 2 2 6" xfId="33078"/>
    <cellStyle name="Normal 6 4 2 2 2 6 2" xfId="33079"/>
    <cellStyle name="Normal 6 4 2 2 2 6 3" xfId="33080"/>
    <cellStyle name="Normal 6 4 2 2 2 6 4" xfId="33081"/>
    <cellStyle name="Normal 6 4 2 2 2 7" xfId="33082"/>
    <cellStyle name="Normal 6 4 2 2 2 7 2" xfId="33083"/>
    <cellStyle name="Normal 6 4 2 2 2 7 3" xfId="33084"/>
    <cellStyle name="Normal 6 4 2 2 2 7 4" xfId="33085"/>
    <cellStyle name="Normal 6 4 2 2 2 8" xfId="33086"/>
    <cellStyle name="Normal 6 4 2 2 2 8 2" xfId="33087"/>
    <cellStyle name="Normal 6 4 2 2 2 8 3" xfId="33088"/>
    <cellStyle name="Normal 6 4 2 2 2 8 4" xfId="33089"/>
    <cellStyle name="Normal 6 4 2 2 2 9" xfId="33090"/>
    <cellStyle name="Normal 6 4 2 2 2 9 2" xfId="33091"/>
    <cellStyle name="Normal 6 4 2 2 2 9 3" xfId="33092"/>
    <cellStyle name="Normal 6 4 2 2 2 9 4" xfId="33093"/>
    <cellStyle name="Normal 6 4 2 2 20" xfId="33094"/>
    <cellStyle name="Normal 6 4 2 2 21" xfId="33095"/>
    <cellStyle name="Normal 6 4 2 2 22" xfId="33096"/>
    <cellStyle name="Normal 6 4 2 2 3" xfId="33097"/>
    <cellStyle name="Normal 6 4 2 2 3 2" xfId="33098"/>
    <cellStyle name="Normal 6 4 2 2 3 3" xfId="33099"/>
    <cellStyle name="Normal 6 4 2 2 3 4" xfId="33100"/>
    <cellStyle name="Normal 6 4 2 2 4" xfId="33101"/>
    <cellStyle name="Normal 6 4 2 2 4 2" xfId="33102"/>
    <cellStyle name="Normal 6 4 2 2 4 3" xfId="33103"/>
    <cellStyle name="Normal 6 4 2 2 4 4" xfId="33104"/>
    <cellStyle name="Normal 6 4 2 2 5" xfId="33105"/>
    <cellStyle name="Normal 6 4 2 2 5 2" xfId="33106"/>
    <cellStyle name="Normal 6 4 2 2 5 3" xfId="33107"/>
    <cellStyle name="Normal 6 4 2 2 5 4" xfId="33108"/>
    <cellStyle name="Normal 6 4 2 2 6" xfId="33109"/>
    <cellStyle name="Normal 6 4 2 2 6 2" xfId="33110"/>
    <cellStyle name="Normal 6 4 2 2 6 3" xfId="33111"/>
    <cellStyle name="Normal 6 4 2 2 6 3 2" xfId="33112"/>
    <cellStyle name="Normal 6 4 2 2 6 3 3" xfId="33113"/>
    <cellStyle name="Normal 6 4 2 2 6 3 4" xfId="33114"/>
    <cellStyle name="Normal 6 4 2 2 6 3 5" xfId="33115"/>
    <cellStyle name="Normal 6 4 2 2 6 3 6" xfId="33116"/>
    <cellStyle name="Normal 6 4 2 2 6 4" xfId="33117"/>
    <cellStyle name="Normal 6 4 2 2 6 4 2" xfId="33118"/>
    <cellStyle name="Normal 6 4 2 2 6 4 3" xfId="33119"/>
    <cellStyle name="Normal 6 4 2 2 6 4 4" xfId="33120"/>
    <cellStyle name="Normal 6 4 2 2 6 4 5" xfId="33121"/>
    <cellStyle name="Normal 6 4 2 2 6 4 6" xfId="33122"/>
    <cellStyle name="Normal 6 4 2 2 7" xfId="33123"/>
    <cellStyle name="Normal 6 4 2 2 7 2" xfId="33124"/>
    <cellStyle name="Normal 6 4 2 2 7 3" xfId="33125"/>
    <cellStyle name="Normal 6 4 2 2 7 3 2" xfId="33126"/>
    <cellStyle name="Normal 6 4 2 2 7 3 3" xfId="33127"/>
    <cellStyle name="Normal 6 4 2 2 7 3 4" xfId="33128"/>
    <cellStyle name="Normal 6 4 2 2 7 3 5" xfId="33129"/>
    <cellStyle name="Normal 6 4 2 2 7 3 6" xfId="33130"/>
    <cellStyle name="Normal 6 4 2 2 7 4" xfId="33131"/>
    <cellStyle name="Normal 6 4 2 2 7 4 2" xfId="33132"/>
    <cellStyle name="Normal 6 4 2 2 7 4 3" xfId="33133"/>
    <cellStyle name="Normal 6 4 2 2 7 4 4" xfId="33134"/>
    <cellStyle name="Normal 6 4 2 2 7 4 5" xfId="33135"/>
    <cellStyle name="Normal 6 4 2 2 7 4 6" xfId="33136"/>
    <cellStyle name="Normal 6 4 2 2 8" xfId="33137"/>
    <cellStyle name="Normal 6 4 2 2 8 2" xfId="33138"/>
    <cellStyle name="Normal 6 4 2 2 8 3" xfId="33139"/>
    <cellStyle name="Normal 6 4 2 2 8 3 2" xfId="33140"/>
    <cellStyle name="Normal 6 4 2 2 8 3 3" xfId="33141"/>
    <cellStyle name="Normal 6 4 2 2 8 3 4" xfId="33142"/>
    <cellStyle name="Normal 6 4 2 2 8 3 5" xfId="33143"/>
    <cellStyle name="Normal 6 4 2 2 8 3 6" xfId="33144"/>
    <cellStyle name="Normal 6 4 2 2 8 4" xfId="33145"/>
    <cellStyle name="Normal 6 4 2 2 8 4 2" xfId="33146"/>
    <cellStyle name="Normal 6 4 2 2 8 4 3" xfId="33147"/>
    <cellStyle name="Normal 6 4 2 2 8 4 4" xfId="33148"/>
    <cellStyle name="Normal 6 4 2 2 8 4 5" xfId="33149"/>
    <cellStyle name="Normal 6 4 2 2 8 4 6" xfId="33150"/>
    <cellStyle name="Normal 6 4 2 2 9" xfId="33151"/>
    <cellStyle name="Normal 6 4 2 2 9 2" xfId="33152"/>
    <cellStyle name="Normal 6 4 2 2 9 3" xfId="33153"/>
    <cellStyle name="Normal 6 4 2 2 9 3 2" xfId="33154"/>
    <cellStyle name="Normal 6 4 2 2 9 3 3" xfId="33155"/>
    <cellStyle name="Normal 6 4 2 2 9 3 4" xfId="33156"/>
    <cellStyle name="Normal 6 4 2 2 9 3 5" xfId="33157"/>
    <cellStyle name="Normal 6 4 2 2 9 3 6" xfId="33158"/>
    <cellStyle name="Normal 6 4 2 2 9 4" xfId="33159"/>
    <cellStyle name="Normal 6 4 2 2 9 4 2" xfId="33160"/>
    <cellStyle name="Normal 6 4 2 2 9 4 3" xfId="33161"/>
    <cellStyle name="Normal 6 4 2 2 9 4 4" xfId="33162"/>
    <cellStyle name="Normal 6 4 2 2 9 4 5" xfId="33163"/>
    <cellStyle name="Normal 6 4 2 2 9 4 6" xfId="33164"/>
    <cellStyle name="Normal 6 4 2 20" xfId="33165"/>
    <cellStyle name="Normal 6 4 2 21" xfId="33166"/>
    <cellStyle name="Normal 6 4 2 21 2" xfId="33167"/>
    <cellStyle name="Normal 6 4 2 21 3" xfId="33168"/>
    <cellStyle name="Normal 6 4 2 21 4" xfId="33169"/>
    <cellStyle name="Normal 6 4 2 21 5" xfId="33170"/>
    <cellStyle name="Normal 6 4 2 21 6" xfId="33171"/>
    <cellStyle name="Normal 6 4 2 22" xfId="33172"/>
    <cellStyle name="Normal 6 4 2 22 2" xfId="33173"/>
    <cellStyle name="Normal 6 4 2 22 3" xfId="33174"/>
    <cellStyle name="Normal 6 4 2 22 4" xfId="33175"/>
    <cellStyle name="Normal 6 4 2 22 5" xfId="33176"/>
    <cellStyle name="Normal 6 4 2 22 6" xfId="33177"/>
    <cellStyle name="Normal 6 4 2 3" xfId="33178"/>
    <cellStyle name="Normal 6 4 2 3 10" xfId="33179"/>
    <cellStyle name="Normal 6 4 2 3 10 2" xfId="33180"/>
    <cellStyle name="Normal 6 4 2 3 10 3" xfId="33181"/>
    <cellStyle name="Normal 6 4 2 3 10 3 2" xfId="33182"/>
    <cellStyle name="Normal 6 4 2 3 10 3 3" xfId="33183"/>
    <cellStyle name="Normal 6 4 2 3 10 3 4" xfId="33184"/>
    <cellStyle name="Normal 6 4 2 3 10 3 5" xfId="33185"/>
    <cellStyle name="Normal 6 4 2 3 10 3 6" xfId="33186"/>
    <cellStyle name="Normal 6 4 2 3 10 4" xfId="33187"/>
    <cellStyle name="Normal 6 4 2 3 10 4 2" xfId="33188"/>
    <cellStyle name="Normal 6 4 2 3 10 4 3" xfId="33189"/>
    <cellStyle name="Normal 6 4 2 3 10 4 4" xfId="33190"/>
    <cellStyle name="Normal 6 4 2 3 10 4 5" xfId="33191"/>
    <cellStyle name="Normal 6 4 2 3 10 4 6" xfId="33192"/>
    <cellStyle name="Normal 6 4 2 3 11" xfId="33193"/>
    <cellStyle name="Normal 6 4 2 3 11 2" xfId="33194"/>
    <cellStyle name="Normal 6 4 2 3 11 3" xfId="33195"/>
    <cellStyle name="Normal 6 4 2 3 11 3 2" xfId="33196"/>
    <cellStyle name="Normal 6 4 2 3 11 3 3" xfId="33197"/>
    <cellStyle name="Normal 6 4 2 3 11 3 4" xfId="33198"/>
    <cellStyle name="Normal 6 4 2 3 11 3 5" xfId="33199"/>
    <cellStyle name="Normal 6 4 2 3 11 3 6" xfId="33200"/>
    <cellStyle name="Normal 6 4 2 3 11 4" xfId="33201"/>
    <cellStyle name="Normal 6 4 2 3 11 4 2" xfId="33202"/>
    <cellStyle name="Normal 6 4 2 3 11 4 3" xfId="33203"/>
    <cellStyle name="Normal 6 4 2 3 11 4 4" xfId="33204"/>
    <cellStyle name="Normal 6 4 2 3 11 4 5" xfId="33205"/>
    <cellStyle name="Normal 6 4 2 3 11 4 6" xfId="33206"/>
    <cellStyle name="Normal 6 4 2 3 12" xfId="33207"/>
    <cellStyle name="Normal 6 4 2 3 12 2" xfId="33208"/>
    <cellStyle name="Normal 6 4 2 3 12 3" xfId="33209"/>
    <cellStyle name="Normal 6 4 2 3 12 3 2" xfId="33210"/>
    <cellStyle name="Normal 6 4 2 3 12 3 3" xfId="33211"/>
    <cellStyle name="Normal 6 4 2 3 12 3 4" xfId="33212"/>
    <cellStyle name="Normal 6 4 2 3 12 3 5" xfId="33213"/>
    <cellStyle name="Normal 6 4 2 3 12 3 6" xfId="33214"/>
    <cellStyle name="Normal 6 4 2 3 12 4" xfId="33215"/>
    <cellStyle name="Normal 6 4 2 3 12 4 2" xfId="33216"/>
    <cellStyle name="Normal 6 4 2 3 12 4 3" xfId="33217"/>
    <cellStyle name="Normal 6 4 2 3 12 4 4" xfId="33218"/>
    <cellStyle name="Normal 6 4 2 3 12 4 5" xfId="33219"/>
    <cellStyle name="Normal 6 4 2 3 12 4 6" xfId="33220"/>
    <cellStyle name="Normal 6 4 2 3 13" xfId="33221"/>
    <cellStyle name="Normal 6 4 2 3 13 2" xfId="33222"/>
    <cellStyle name="Normal 6 4 2 3 13 3" xfId="33223"/>
    <cellStyle name="Normal 6 4 2 3 13 3 2" xfId="33224"/>
    <cellStyle name="Normal 6 4 2 3 13 3 3" xfId="33225"/>
    <cellStyle name="Normal 6 4 2 3 13 3 4" xfId="33226"/>
    <cellStyle name="Normal 6 4 2 3 13 3 5" xfId="33227"/>
    <cellStyle name="Normal 6 4 2 3 13 3 6" xfId="33228"/>
    <cellStyle name="Normal 6 4 2 3 13 4" xfId="33229"/>
    <cellStyle name="Normal 6 4 2 3 13 4 2" xfId="33230"/>
    <cellStyle name="Normal 6 4 2 3 13 4 3" xfId="33231"/>
    <cellStyle name="Normal 6 4 2 3 13 4 4" xfId="33232"/>
    <cellStyle name="Normal 6 4 2 3 13 4 5" xfId="33233"/>
    <cellStyle name="Normal 6 4 2 3 13 4 6" xfId="33234"/>
    <cellStyle name="Normal 6 4 2 3 14" xfId="33235"/>
    <cellStyle name="Normal 6 4 2 3 14 2" xfId="33236"/>
    <cellStyle name="Normal 6 4 2 3 14 3" xfId="33237"/>
    <cellStyle name="Normal 6 4 2 3 14 3 2" xfId="33238"/>
    <cellStyle name="Normal 6 4 2 3 14 3 3" xfId="33239"/>
    <cellStyle name="Normal 6 4 2 3 14 3 4" xfId="33240"/>
    <cellStyle name="Normal 6 4 2 3 14 3 5" xfId="33241"/>
    <cellStyle name="Normal 6 4 2 3 14 3 6" xfId="33242"/>
    <cellStyle name="Normal 6 4 2 3 14 4" xfId="33243"/>
    <cellStyle name="Normal 6 4 2 3 14 4 2" xfId="33244"/>
    <cellStyle name="Normal 6 4 2 3 14 4 3" xfId="33245"/>
    <cellStyle name="Normal 6 4 2 3 14 4 4" xfId="33246"/>
    <cellStyle name="Normal 6 4 2 3 14 4 5" xfId="33247"/>
    <cellStyle name="Normal 6 4 2 3 14 4 6" xfId="33248"/>
    <cellStyle name="Normal 6 4 2 3 15" xfId="33249"/>
    <cellStyle name="Normal 6 4 2 3 15 2" xfId="33250"/>
    <cellStyle name="Normal 6 4 2 3 15 3" xfId="33251"/>
    <cellStyle name="Normal 6 4 2 3 15 3 2" xfId="33252"/>
    <cellStyle name="Normal 6 4 2 3 15 3 3" xfId="33253"/>
    <cellStyle name="Normal 6 4 2 3 15 3 4" xfId="33254"/>
    <cellStyle name="Normal 6 4 2 3 15 3 5" xfId="33255"/>
    <cellStyle name="Normal 6 4 2 3 15 3 6" xfId="33256"/>
    <cellStyle name="Normal 6 4 2 3 15 4" xfId="33257"/>
    <cellStyle name="Normal 6 4 2 3 15 4 2" xfId="33258"/>
    <cellStyle name="Normal 6 4 2 3 15 4 3" xfId="33259"/>
    <cellStyle name="Normal 6 4 2 3 15 4 4" xfId="33260"/>
    <cellStyle name="Normal 6 4 2 3 15 4 5" xfId="33261"/>
    <cellStyle name="Normal 6 4 2 3 15 4 6" xfId="33262"/>
    <cellStyle name="Normal 6 4 2 3 16" xfId="33263"/>
    <cellStyle name="Normal 6 4 2 3 16 2" xfId="33264"/>
    <cellStyle name="Normal 6 4 2 3 16 3" xfId="33265"/>
    <cellStyle name="Normal 6 4 2 3 16 3 2" xfId="33266"/>
    <cellStyle name="Normal 6 4 2 3 16 3 3" xfId="33267"/>
    <cellStyle name="Normal 6 4 2 3 16 3 4" xfId="33268"/>
    <cellStyle name="Normal 6 4 2 3 16 3 5" xfId="33269"/>
    <cellStyle name="Normal 6 4 2 3 16 3 6" xfId="33270"/>
    <cellStyle name="Normal 6 4 2 3 16 4" xfId="33271"/>
    <cellStyle name="Normal 6 4 2 3 16 4 2" xfId="33272"/>
    <cellStyle name="Normal 6 4 2 3 16 4 3" xfId="33273"/>
    <cellStyle name="Normal 6 4 2 3 16 4 4" xfId="33274"/>
    <cellStyle name="Normal 6 4 2 3 16 4 5" xfId="33275"/>
    <cellStyle name="Normal 6 4 2 3 16 4 6" xfId="33276"/>
    <cellStyle name="Normal 6 4 2 3 17" xfId="33277"/>
    <cellStyle name="Normal 6 4 2 3 18" xfId="33278"/>
    <cellStyle name="Normal 6 4 2 3 19" xfId="33279"/>
    <cellStyle name="Normal 6 4 2 3 2" xfId="33280"/>
    <cellStyle name="Normal 6 4 2 3 2 2" xfId="33281"/>
    <cellStyle name="Normal 6 4 2 3 2 3" xfId="33282"/>
    <cellStyle name="Normal 6 4 2 3 2 3 2" xfId="33283"/>
    <cellStyle name="Normal 6 4 2 3 2 3 3" xfId="33284"/>
    <cellStyle name="Normal 6 4 2 3 2 3 4" xfId="33285"/>
    <cellStyle name="Normal 6 4 2 3 2 3 5" xfId="33286"/>
    <cellStyle name="Normal 6 4 2 3 2 3 6" xfId="33287"/>
    <cellStyle name="Normal 6 4 2 3 2 4" xfId="33288"/>
    <cellStyle name="Normal 6 4 2 3 2 4 2" xfId="33289"/>
    <cellStyle name="Normal 6 4 2 3 2 4 3" xfId="33290"/>
    <cellStyle name="Normal 6 4 2 3 2 4 4" xfId="33291"/>
    <cellStyle name="Normal 6 4 2 3 2 4 5" xfId="33292"/>
    <cellStyle name="Normal 6 4 2 3 2 4 6" xfId="33293"/>
    <cellStyle name="Normal 6 4 2 3 3" xfId="33294"/>
    <cellStyle name="Normal 6 4 2 3 3 2" xfId="33295"/>
    <cellStyle name="Normal 6 4 2 3 3 3" xfId="33296"/>
    <cellStyle name="Normal 6 4 2 3 3 3 2" xfId="33297"/>
    <cellStyle name="Normal 6 4 2 3 3 3 3" xfId="33298"/>
    <cellStyle name="Normal 6 4 2 3 3 3 4" xfId="33299"/>
    <cellStyle name="Normal 6 4 2 3 3 3 5" xfId="33300"/>
    <cellStyle name="Normal 6 4 2 3 3 3 6" xfId="33301"/>
    <cellStyle name="Normal 6 4 2 3 3 4" xfId="33302"/>
    <cellStyle name="Normal 6 4 2 3 3 4 2" xfId="33303"/>
    <cellStyle name="Normal 6 4 2 3 3 4 3" xfId="33304"/>
    <cellStyle name="Normal 6 4 2 3 3 4 4" xfId="33305"/>
    <cellStyle name="Normal 6 4 2 3 3 4 5" xfId="33306"/>
    <cellStyle name="Normal 6 4 2 3 3 4 6" xfId="33307"/>
    <cellStyle name="Normal 6 4 2 3 4" xfId="33308"/>
    <cellStyle name="Normal 6 4 2 3 4 2" xfId="33309"/>
    <cellStyle name="Normal 6 4 2 3 4 3" xfId="33310"/>
    <cellStyle name="Normal 6 4 2 3 4 3 2" xfId="33311"/>
    <cellStyle name="Normal 6 4 2 3 4 3 3" xfId="33312"/>
    <cellStyle name="Normal 6 4 2 3 4 3 4" xfId="33313"/>
    <cellStyle name="Normal 6 4 2 3 4 3 5" xfId="33314"/>
    <cellStyle name="Normal 6 4 2 3 4 3 6" xfId="33315"/>
    <cellStyle name="Normal 6 4 2 3 4 4" xfId="33316"/>
    <cellStyle name="Normal 6 4 2 3 4 4 2" xfId="33317"/>
    <cellStyle name="Normal 6 4 2 3 4 4 3" xfId="33318"/>
    <cellStyle name="Normal 6 4 2 3 4 4 4" xfId="33319"/>
    <cellStyle name="Normal 6 4 2 3 4 4 5" xfId="33320"/>
    <cellStyle name="Normal 6 4 2 3 4 4 6" xfId="33321"/>
    <cellStyle name="Normal 6 4 2 3 5" xfId="33322"/>
    <cellStyle name="Normal 6 4 2 3 5 2" xfId="33323"/>
    <cellStyle name="Normal 6 4 2 3 5 3" xfId="33324"/>
    <cellStyle name="Normal 6 4 2 3 5 3 2" xfId="33325"/>
    <cellStyle name="Normal 6 4 2 3 5 3 3" xfId="33326"/>
    <cellStyle name="Normal 6 4 2 3 5 3 4" xfId="33327"/>
    <cellStyle name="Normal 6 4 2 3 5 3 5" xfId="33328"/>
    <cellStyle name="Normal 6 4 2 3 5 3 6" xfId="33329"/>
    <cellStyle name="Normal 6 4 2 3 5 4" xfId="33330"/>
    <cellStyle name="Normal 6 4 2 3 5 4 2" xfId="33331"/>
    <cellStyle name="Normal 6 4 2 3 5 4 3" xfId="33332"/>
    <cellStyle name="Normal 6 4 2 3 5 4 4" xfId="33333"/>
    <cellStyle name="Normal 6 4 2 3 5 4 5" xfId="33334"/>
    <cellStyle name="Normal 6 4 2 3 5 4 6" xfId="33335"/>
    <cellStyle name="Normal 6 4 2 3 6" xfId="33336"/>
    <cellStyle name="Normal 6 4 2 3 6 2" xfId="33337"/>
    <cellStyle name="Normal 6 4 2 3 6 3" xfId="33338"/>
    <cellStyle name="Normal 6 4 2 3 6 3 2" xfId="33339"/>
    <cellStyle name="Normal 6 4 2 3 6 3 3" xfId="33340"/>
    <cellStyle name="Normal 6 4 2 3 6 3 4" xfId="33341"/>
    <cellStyle name="Normal 6 4 2 3 6 3 5" xfId="33342"/>
    <cellStyle name="Normal 6 4 2 3 6 3 6" xfId="33343"/>
    <cellStyle name="Normal 6 4 2 3 6 4" xfId="33344"/>
    <cellStyle name="Normal 6 4 2 3 6 4 2" xfId="33345"/>
    <cellStyle name="Normal 6 4 2 3 6 4 3" xfId="33346"/>
    <cellStyle name="Normal 6 4 2 3 6 4 4" xfId="33347"/>
    <cellStyle name="Normal 6 4 2 3 6 4 5" xfId="33348"/>
    <cellStyle name="Normal 6 4 2 3 6 4 6" xfId="33349"/>
    <cellStyle name="Normal 6 4 2 3 7" xfId="33350"/>
    <cellStyle name="Normal 6 4 2 3 7 2" xfId="33351"/>
    <cellStyle name="Normal 6 4 2 3 7 3" xfId="33352"/>
    <cellStyle name="Normal 6 4 2 3 7 3 2" xfId="33353"/>
    <cellStyle name="Normal 6 4 2 3 7 3 3" xfId="33354"/>
    <cellStyle name="Normal 6 4 2 3 7 3 4" xfId="33355"/>
    <cellStyle name="Normal 6 4 2 3 7 3 5" xfId="33356"/>
    <cellStyle name="Normal 6 4 2 3 7 3 6" xfId="33357"/>
    <cellStyle name="Normal 6 4 2 3 7 4" xfId="33358"/>
    <cellStyle name="Normal 6 4 2 3 7 4 2" xfId="33359"/>
    <cellStyle name="Normal 6 4 2 3 7 4 3" xfId="33360"/>
    <cellStyle name="Normal 6 4 2 3 7 4 4" xfId="33361"/>
    <cellStyle name="Normal 6 4 2 3 7 4 5" xfId="33362"/>
    <cellStyle name="Normal 6 4 2 3 7 4 6" xfId="33363"/>
    <cellStyle name="Normal 6 4 2 3 8" xfId="33364"/>
    <cellStyle name="Normal 6 4 2 3 8 2" xfId="33365"/>
    <cellStyle name="Normal 6 4 2 3 8 3" xfId="33366"/>
    <cellStyle name="Normal 6 4 2 3 8 3 2" xfId="33367"/>
    <cellStyle name="Normal 6 4 2 3 8 3 3" xfId="33368"/>
    <cellStyle name="Normal 6 4 2 3 8 3 4" xfId="33369"/>
    <cellStyle name="Normal 6 4 2 3 8 3 5" xfId="33370"/>
    <cellStyle name="Normal 6 4 2 3 8 3 6" xfId="33371"/>
    <cellStyle name="Normal 6 4 2 3 8 4" xfId="33372"/>
    <cellStyle name="Normal 6 4 2 3 8 4 2" xfId="33373"/>
    <cellStyle name="Normal 6 4 2 3 8 4 3" xfId="33374"/>
    <cellStyle name="Normal 6 4 2 3 8 4 4" xfId="33375"/>
    <cellStyle name="Normal 6 4 2 3 8 4 5" xfId="33376"/>
    <cellStyle name="Normal 6 4 2 3 8 4 6" xfId="33377"/>
    <cellStyle name="Normal 6 4 2 3 9" xfId="33378"/>
    <cellStyle name="Normal 6 4 2 3 9 2" xfId="33379"/>
    <cellStyle name="Normal 6 4 2 3 9 3" xfId="33380"/>
    <cellStyle name="Normal 6 4 2 3 9 3 2" xfId="33381"/>
    <cellStyle name="Normal 6 4 2 3 9 3 3" xfId="33382"/>
    <cellStyle name="Normal 6 4 2 3 9 3 4" xfId="33383"/>
    <cellStyle name="Normal 6 4 2 3 9 3 5" xfId="33384"/>
    <cellStyle name="Normal 6 4 2 3 9 3 6" xfId="33385"/>
    <cellStyle name="Normal 6 4 2 3 9 4" xfId="33386"/>
    <cellStyle name="Normal 6 4 2 3 9 4 2" xfId="33387"/>
    <cellStyle name="Normal 6 4 2 3 9 4 3" xfId="33388"/>
    <cellStyle name="Normal 6 4 2 3 9 4 4" xfId="33389"/>
    <cellStyle name="Normal 6 4 2 3 9 4 5" xfId="33390"/>
    <cellStyle name="Normal 6 4 2 3 9 4 6" xfId="33391"/>
    <cellStyle name="Normal 6 4 2 4" xfId="33392"/>
    <cellStyle name="Normal 6 4 2 4 2" xfId="33393"/>
    <cellStyle name="Normal 6 4 2 4 3" xfId="33394"/>
    <cellStyle name="Normal 6 4 2 4 3 2" xfId="33395"/>
    <cellStyle name="Normal 6 4 2 4 3 3" xfId="33396"/>
    <cellStyle name="Normal 6 4 2 4 3 4" xfId="33397"/>
    <cellStyle name="Normal 6 4 2 4 3 5" xfId="33398"/>
    <cellStyle name="Normal 6 4 2 4 3 6" xfId="33399"/>
    <cellStyle name="Normal 6 4 2 4 4" xfId="33400"/>
    <cellStyle name="Normal 6 4 2 4 4 2" xfId="33401"/>
    <cellStyle name="Normal 6 4 2 4 4 3" xfId="33402"/>
    <cellStyle name="Normal 6 4 2 4 4 4" xfId="33403"/>
    <cellStyle name="Normal 6 4 2 4 4 5" xfId="33404"/>
    <cellStyle name="Normal 6 4 2 4 4 6" xfId="33405"/>
    <cellStyle name="Normal 6 4 2 5" xfId="33406"/>
    <cellStyle name="Normal 6 4 2 5 2" xfId="33407"/>
    <cellStyle name="Normal 6 4 2 5 3" xfId="33408"/>
    <cellStyle name="Normal 6 4 2 5 3 2" xfId="33409"/>
    <cellStyle name="Normal 6 4 2 5 3 3" xfId="33410"/>
    <cellStyle name="Normal 6 4 2 5 3 4" xfId="33411"/>
    <cellStyle name="Normal 6 4 2 5 3 5" xfId="33412"/>
    <cellStyle name="Normal 6 4 2 5 3 6" xfId="33413"/>
    <cellStyle name="Normal 6 4 2 5 4" xfId="33414"/>
    <cellStyle name="Normal 6 4 2 5 4 2" xfId="33415"/>
    <cellStyle name="Normal 6 4 2 5 4 3" xfId="33416"/>
    <cellStyle name="Normal 6 4 2 5 4 4" xfId="33417"/>
    <cellStyle name="Normal 6 4 2 5 4 5" xfId="33418"/>
    <cellStyle name="Normal 6 4 2 5 4 6" xfId="33419"/>
    <cellStyle name="Normal 6 4 2 6" xfId="33420"/>
    <cellStyle name="Normal 6 4 2 6 2" xfId="33421"/>
    <cellStyle name="Normal 6 4 2 6 3" xfId="33422"/>
    <cellStyle name="Normal 6 4 2 6 4" xfId="33423"/>
    <cellStyle name="Normal 6 4 2 7" xfId="33424"/>
    <cellStyle name="Normal 6 4 2 7 2" xfId="33425"/>
    <cellStyle name="Normal 6 4 2 7 3" xfId="33426"/>
    <cellStyle name="Normal 6 4 2 7 4" xfId="33427"/>
    <cellStyle name="Normal 6 4 2 8" xfId="33428"/>
    <cellStyle name="Normal 6 4 2 8 2" xfId="33429"/>
    <cellStyle name="Normal 6 4 2 8 3" xfId="33430"/>
    <cellStyle name="Normal 6 4 2 8 4" xfId="33431"/>
    <cellStyle name="Normal 6 4 2 9" xfId="33432"/>
    <cellStyle name="Normal 6 4 2 9 2" xfId="33433"/>
    <cellStyle name="Normal 6 4 2 9 3" xfId="33434"/>
    <cellStyle name="Normal 6 4 2 9 4" xfId="33435"/>
    <cellStyle name="Normal 6 4 20" xfId="33436"/>
    <cellStyle name="Normal 6 4 20 2" xfId="33437"/>
    <cellStyle name="Normal 6 4 20 3" xfId="33438"/>
    <cellStyle name="Normal 6 4 20 3 2" xfId="33439"/>
    <cellStyle name="Normal 6 4 20 3 3" xfId="33440"/>
    <cellStyle name="Normal 6 4 20 3 4" xfId="33441"/>
    <cellStyle name="Normal 6 4 20 3 5" xfId="33442"/>
    <cellStyle name="Normal 6 4 20 3 6" xfId="33443"/>
    <cellStyle name="Normal 6 4 20 4" xfId="33444"/>
    <cellStyle name="Normal 6 4 20 4 2" xfId="33445"/>
    <cellStyle name="Normal 6 4 20 4 3" xfId="33446"/>
    <cellStyle name="Normal 6 4 20 4 4" xfId="33447"/>
    <cellStyle name="Normal 6 4 20 4 5" xfId="33448"/>
    <cellStyle name="Normal 6 4 20 4 6" xfId="33449"/>
    <cellStyle name="Normal 6 4 21" xfId="33450"/>
    <cellStyle name="Normal 6 4 22" xfId="33451"/>
    <cellStyle name="Normal 6 4 23" xfId="33452"/>
    <cellStyle name="Normal 6 4 3" xfId="33453"/>
    <cellStyle name="Normal 6 4 3 2" xfId="33454"/>
    <cellStyle name="Normal 6 4 3 3" xfId="33455"/>
    <cellStyle name="Normal 6 4 3 4" xfId="33456"/>
    <cellStyle name="Normal 6 4 4" xfId="33457"/>
    <cellStyle name="Normal 6 4 4 10" xfId="33458"/>
    <cellStyle name="Normal 6 4 4 10 2" xfId="33459"/>
    <cellStyle name="Normal 6 4 4 10 3" xfId="33460"/>
    <cellStyle name="Normal 6 4 4 10 4" xfId="33461"/>
    <cellStyle name="Normal 6 4 4 11" xfId="33462"/>
    <cellStyle name="Normal 6 4 4 11 2" xfId="33463"/>
    <cellStyle name="Normal 6 4 4 11 3" xfId="33464"/>
    <cellStyle name="Normal 6 4 4 11 4" xfId="33465"/>
    <cellStyle name="Normal 6 4 4 12" xfId="33466"/>
    <cellStyle name="Normal 6 4 4 12 2" xfId="33467"/>
    <cellStyle name="Normal 6 4 4 12 3" xfId="33468"/>
    <cellStyle name="Normal 6 4 4 12 4" xfId="33469"/>
    <cellStyle name="Normal 6 4 4 13" xfId="33470"/>
    <cellStyle name="Normal 6 4 4 13 2" xfId="33471"/>
    <cellStyle name="Normal 6 4 4 13 3" xfId="33472"/>
    <cellStyle name="Normal 6 4 4 13 4" xfId="33473"/>
    <cellStyle name="Normal 6 4 4 14" xfId="33474"/>
    <cellStyle name="Normal 6 4 4 14 2" xfId="33475"/>
    <cellStyle name="Normal 6 4 4 14 3" xfId="33476"/>
    <cellStyle name="Normal 6 4 4 14 4" xfId="33477"/>
    <cellStyle name="Normal 6 4 4 15" xfId="33478"/>
    <cellStyle name="Normal 6 4 4 15 2" xfId="33479"/>
    <cellStyle name="Normal 6 4 4 15 3" xfId="33480"/>
    <cellStyle name="Normal 6 4 4 15 4" xfId="33481"/>
    <cellStyle name="Normal 6 4 4 16" xfId="33482"/>
    <cellStyle name="Normal 6 4 4 16 2" xfId="33483"/>
    <cellStyle name="Normal 6 4 4 16 3" xfId="33484"/>
    <cellStyle name="Normal 6 4 4 16 4" xfId="33485"/>
    <cellStyle name="Normal 6 4 4 17" xfId="33486"/>
    <cellStyle name="Normal 6 4 4 18" xfId="33487"/>
    <cellStyle name="Normal 6 4 4 18 2" xfId="33488"/>
    <cellStyle name="Normal 6 4 4 18 3" xfId="33489"/>
    <cellStyle name="Normal 6 4 4 18 4" xfId="33490"/>
    <cellStyle name="Normal 6 4 4 18 5" xfId="33491"/>
    <cellStyle name="Normal 6 4 4 18 6" xfId="33492"/>
    <cellStyle name="Normal 6 4 4 19" xfId="33493"/>
    <cellStyle name="Normal 6 4 4 19 2" xfId="33494"/>
    <cellStyle name="Normal 6 4 4 19 3" xfId="33495"/>
    <cellStyle name="Normal 6 4 4 19 4" xfId="33496"/>
    <cellStyle name="Normal 6 4 4 19 5" xfId="33497"/>
    <cellStyle name="Normal 6 4 4 19 6" xfId="33498"/>
    <cellStyle name="Normal 6 4 4 2" xfId="33499"/>
    <cellStyle name="Normal 6 4 4 2 2" xfId="33500"/>
    <cellStyle name="Normal 6 4 4 2 3" xfId="33501"/>
    <cellStyle name="Normal 6 4 4 2 4" xfId="33502"/>
    <cellStyle name="Normal 6 4 4 3" xfId="33503"/>
    <cellStyle name="Normal 6 4 4 3 2" xfId="33504"/>
    <cellStyle name="Normal 6 4 4 3 3" xfId="33505"/>
    <cellStyle name="Normal 6 4 4 3 4" xfId="33506"/>
    <cellStyle name="Normal 6 4 4 4" xfId="33507"/>
    <cellStyle name="Normal 6 4 4 4 2" xfId="33508"/>
    <cellStyle name="Normal 6 4 4 4 3" xfId="33509"/>
    <cellStyle name="Normal 6 4 4 4 4" xfId="33510"/>
    <cellStyle name="Normal 6 4 4 5" xfId="33511"/>
    <cellStyle name="Normal 6 4 4 5 2" xfId="33512"/>
    <cellStyle name="Normal 6 4 4 5 3" xfId="33513"/>
    <cellStyle name="Normal 6 4 4 5 4" xfId="33514"/>
    <cellStyle name="Normal 6 4 4 6" xfId="33515"/>
    <cellStyle name="Normal 6 4 4 6 2" xfId="33516"/>
    <cellStyle name="Normal 6 4 4 6 3" xfId="33517"/>
    <cellStyle name="Normal 6 4 4 6 4" xfId="33518"/>
    <cellStyle name="Normal 6 4 4 7" xfId="33519"/>
    <cellStyle name="Normal 6 4 4 7 2" xfId="33520"/>
    <cellStyle name="Normal 6 4 4 7 3" xfId="33521"/>
    <cellStyle name="Normal 6 4 4 7 4" xfId="33522"/>
    <cellStyle name="Normal 6 4 4 8" xfId="33523"/>
    <cellStyle name="Normal 6 4 4 8 2" xfId="33524"/>
    <cellStyle name="Normal 6 4 4 8 3" xfId="33525"/>
    <cellStyle name="Normal 6 4 4 8 4" xfId="33526"/>
    <cellStyle name="Normal 6 4 4 9" xfId="33527"/>
    <cellStyle name="Normal 6 4 4 9 2" xfId="33528"/>
    <cellStyle name="Normal 6 4 4 9 3" xfId="33529"/>
    <cellStyle name="Normal 6 4 4 9 4" xfId="33530"/>
    <cellStyle name="Normal 6 4 5" xfId="33531"/>
    <cellStyle name="Normal 6 4 5 2" xfId="33532"/>
    <cellStyle name="Normal 6 4 5 3" xfId="33533"/>
    <cellStyle name="Normal 6 4 5 4" xfId="33534"/>
    <cellStyle name="Normal 6 4 6" xfId="33535"/>
    <cellStyle name="Normal 6 4 6 2" xfId="33536"/>
    <cellStyle name="Normal 6 4 6 3" xfId="33537"/>
    <cellStyle name="Normal 6 4 6 4" xfId="33538"/>
    <cellStyle name="Normal 6 4 7" xfId="33539"/>
    <cellStyle name="Normal 6 4 7 2" xfId="33540"/>
    <cellStyle name="Normal 6 4 7 3" xfId="33541"/>
    <cellStyle name="Normal 6 4 7 3 2" xfId="33542"/>
    <cellStyle name="Normal 6 4 7 3 3" xfId="33543"/>
    <cellStyle name="Normal 6 4 7 3 4" xfId="33544"/>
    <cellStyle name="Normal 6 4 7 3 5" xfId="33545"/>
    <cellStyle name="Normal 6 4 7 3 6" xfId="33546"/>
    <cellStyle name="Normal 6 4 7 4" xfId="33547"/>
    <cellStyle name="Normal 6 4 7 4 2" xfId="33548"/>
    <cellStyle name="Normal 6 4 7 4 3" xfId="33549"/>
    <cellStyle name="Normal 6 4 7 4 4" xfId="33550"/>
    <cellStyle name="Normal 6 4 7 4 5" xfId="33551"/>
    <cellStyle name="Normal 6 4 7 4 6" xfId="33552"/>
    <cellStyle name="Normal 6 4 8" xfId="33553"/>
    <cellStyle name="Normal 6 4 8 2" xfId="33554"/>
    <cellStyle name="Normal 6 4 8 3" xfId="33555"/>
    <cellStyle name="Normal 6 4 8 3 2" xfId="33556"/>
    <cellStyle name="Normal 6 4 8 3 3" xfId="33557"/>
    <cellStyle name="Normal 6 4 8 3 4" xfId="33558"/>
    <cellStyle name="Normal 6 4 8 3 5" xfId="33559"/>
    <cellStyle name="Normal 6 4 8 3 6" xfId="33560"/>
    <cellStyle name="Normal 6 4 8 4" xfId="33561"/>
    <cellStyle name="Normal 6 4 8 4 2" xfId="33562"/>
    <cellStyle name="Normal 6 4 8 4 3" xfId="33563"/>
    <cellStyle name="Normal 6 4 8 4 4" xfId="33564"/>
    <cellStyle name="Normal 6 4 8 4 5" xfId="33565"/>
    <cellStyle name="Normal 6 4 8 4 6" xfId="33566"/>
    <cellStyle name="Normal 6 4 9" xfId="33567"/>
    <cellStyle name="Normal 6 4 9 2" xfId="33568"/>
    <cellStyle name="Normal 6 4 9 3" xfId="33569"/>
    <cellStyle name="Normal 6 4 9 3 2" xfId="33570"/>
    <cellStyle name="Normal 6 4 9 3 3" xfId="33571"/>
    <cellStyle name="Normal 6 4 9 3 4" xfId="33572"/>
    <cellStyle name="Normal 6 4 9 3 5" xfId="33573"/>
    <cellStyle name="Normal 6 4 9 3 6" xfId="33574"/>
    <cellStyle name="Normal 6 4 9 4" xfId="33575"/>
    <cellStyle name="Normal 6 4 9 4 2" xfId="33576"/>
    <cellStyle name="Normal 6 4 9 4 3" xfId="33577"/>
    <cellStyle name="Normal 6 4 9 4 4" xfId="33578"/>
    <cellStyle name="Normal 6 4 9 4 5" xfId="33579"/>
    <cellStyle name="Normal 6 4 9 4 6" xfId="33580"/>
    <cellStyle name="Normal 6 40" xfId="33581"/>
    <cellStyle name="Normal 6 40 2" xfId="33582"/>
    <cellStyle name="Normal 6 40 3" xfId="33583"/>
    <cellStyle name="Normal 6 40 4" xfId="33584"/>
    <cellStyle name="Normal 6 41" xfId="33585"/>
    <cellStyle name="Normal 6 41 2" xfId="33586"/>
    <cellStyle name="Normal 6 41 3" xfId="33587"/>
    <cellStyle name="Normal 6 41 4" xfId="33588"/>
    <cellStyle name="Normal 6 42" xfId="33589"/>
    <cellStyle name="Normal 6 42 2" xfId="33590"/>
    <cellStyle name="Normal 6 42 3" xfId="33591"/>
    <cellStyle name="Normal 6 42 4" xfId="33592"/>
    <cellStyle name="Normal 6 43" xfId="33593"/>
    <cellStyle name="Normal 6 43 2" xfId="33594"/>
    <cellStyle name="Normal 6 43 3" xfId="33595"/>
    <cellStyle name="Normal 6 43 4" xfId="33596"/>
    <cellStyle name="Normal 6 44" xfId="33597"/>
    <cellStyle name="Normal 6 44 2" xfId="33598"/>
    <cellStyle name="Normal 6 44 3" xfId="33599"/>
    <cellStyle name="Normal 6 44 4" xfId="33600"/>
    <cellStyle name="Normal 6 45" xfId="33601"/>
    <cellStyle name="Normal 6 45 2" xfId="33602"/>
    <cellStyle name="Normal 6 45 3" xfId="33603"/>
    <cellStyle name="Normal 6 45 4" xfId="33604"/>
    <cellStyle name="Normal 6 46" xfId="33605"/>
    <cellStyle name="Normal 6 46 2" xfId="33606"/>
    <cellStyle name="Normal 6 46 2 2" xfId="33607"/>
    <cellStyle name="Normal 6 46 2 3" xfId="33608"/>
    <cellStyle name="Normal 6 46 2 4" xfId="33609"/>
    <cellStyle name="Normal 6 46 2 5" xfId="33610"/>
    <cellStyle name="Normal 6 46 2 6" xfId="33611"/>
    <cellStyle name="Normal 6 46 3" xfId="33612"/>
    <cellStyle name="Normal 6 46 4" xfId="33613"/>
    <cellStyle name="Normal 6 47" xfId="33614"/>
    <cellStyle name="Normal 6 47 2" xfId="33615"/>
    <cellStyle name="Normal 6 47 2 2" xfId="33616"/>
    <cellStyle name="Normal 6 47 2 3" xfId="33617"/>
    <cellStyle name="Normal 6 47 2 4" xfId="33618"/>
    <cellStyle name="Normal 6 47 2 5" xfId="33619"/>
    <cellStyle name="Normal 6 47 2 6" xfId="33620"/>
    <cellStyle name="Normal 6 47 3" xfId="33621"/>
    <cellStyle name="Normal 6 47 4" xfId="33622"/>
    <cellStyle name="Normal 6 48" xfId="33623"/>
    <cellStyle name="Normal 6 48 2" xfId="33624"/>
    <cellStyle name="Normal 6 48 3" xfId="33625"/>
    <cellStyle name="Normal 6 48 4" xfId="33626"/>
    <cellStyle name="Normal 6 48 5" xfId="33627"/>
    <cellStyle name="Normal 6 48 6" xfId="33628"/>
    <cellStyle name="Normal 6 49" xfId="33629"/>
    <cellStyle name="Normal 6 5" xfId="33630"/>
    <cellStyle name="Normal 6 5 2" xfId="33631"/>
    <cellStyle name="Normal 6 5 3" xfId="33632"/>
    <cellStyle name="Normal 6 5 4" xfId="33633"/>
    <cellStyle name="Normal 6 50" xfId="33634"/>
    <cellStyle name="Normal 6 6" xfId="33635"/>
    <cellStyle name="Normal 6 6 2" xfId="33636"/>
    <cellStyle name="Normal 6 6 3" xfId="33637"/>
    <cellStyle name="Normal 6 6 4" xfId="33638"/>
    <cellStyle name="Normal 6 7" xfId="33639"/>
    <cellStyle name="Normal 6 7 2" xfId="33640"/>
    <cellStyle name="Normal 6 7 3" xfId="33641"/>
    <cellStyle name="Normal 6 7 4" xfId="33642"/>
    <cellStyle name="Normal 6 8" xfId="33643"/>
    <cellStyle name="Normal 6 8 2" xfId="33644"/>
    <cellStyle name="Normal 6 8 3" xfId="33645"/>
    <cellStyle name="Normal 6 8 4" xfId="33646"/>
    <cellStyle name="Normal 6 9" xfId="33647"/>
    <cellStyle name="Normal 6 9 2" xfId="33648"/>
    <cellStyle name="Normal 6 9 3" xfId="33649"/>
    <cellStyle name="Normal 6 9 4" xfId="33650"/>
    <cellStyle name="Normal 60" xfId="33651"/>
    <cellStyle name="Normal 60 10" xfId="33652"/>
    <cellStyle name="Normal 60 10 2" xfId="33653"/>
    <cellStyle name="Normal 60 10 3" xfId="33654"/>
    <cellStyle name="Normal 60 10 4" xfId="33655"/>
    <cellStyle name="Normal 60 10 5" xfId="33656"/>
    <cellStyle name="Normal 60 10 6" xfId="33657"/>
    <cellStyle name="Normal 60 2" xfId="33658"/>
    <cellStyle name="Normal 60 2 2" xfId="33659"/>
    <cellStyle name="Normal 60 2 2 2" xfId="33660"/>
    <cellStyle name="Normal 60 2 2 2 2" xfId="33661"/>
    <cellStyle name="Normal 60 2 2 2 2 2" xfId="33662"/>
    <cellStyle name="Normal 60 2 2 2 2 3" xfId="33663"/>
    <cellStyle name="Normal 60 2 2 2 2 4" xfId="33664"/>
    <cellStyle name="Normal 60 2 2 2 2 5" xfId="33665"/>
    <cellStyle name="Normal 60 2 2 2 2 6" xfId="33666"/>
    <cellStyle name="Normal 60 2 2 2 3" xfId="33667"/>
    <cellStyle name="Normal 60 2 2 2 4" xfId="33668"/>
    <cellStyle name="Normal 60 2 2 3" xfId="33669"/>
    <cellStyle name="Normal 60 2 2 4" xfId="33670"/>
    <cellStyle name="Normal 60 2 2 4 2" xfId="33671"/>
    <cellStyle name="Normal 60 2 2 4 3" xfId="33672"/>
    <cellStyle name="Normal 60 2 2 4 4" xfId="33673"/>
    <cellStyle name="Normal 60 2 2 4 5" xfId="33674"/>
    <cellStyle name="Normal 60 2 2 4 6" xfId="33675"/>
    <cellStyle name="Normal 60 2 2 5" xfId="33676"/>
    <cellStyle name="Normal 60 2 2 5 2" xfId="33677"/>
    <cellStyle name="Normal 60 2 2 5 3" xfId="33678"/>
    <cellStyle name="Normal 60 2 2 5 4" xfId="33679"/>
    <cellStyle name="Normal 60 2 2 5 5" xfId="33680"/>
    <cellStyle name="Normal 60 2 2 5 6" xfId="33681"/>
    <cellStyle name="Normal 60 2 3" xfId="33682"/>
    <cellStyle name="Normal 60 2 3 2" xfId="33683"/>
    <cellStyle name="Normal 60 2 3 2 2" xfId="33684"/>
    <cellStyle name="Normal 60 2 3 2 3" xfId="33685"/>
    <cellStyle name="Normal 60 2 3 2 4" xfId="33686"/>
    <cellStyle name="Normal 60 2 3 2 5" xfId="33687"/>
    <cellStyle name="Normal 60 2 3 2 6" xfId="33688"/>
    <cellStyle name="Normal 60 2 3 3" xfId="33689"/>
    <cellStyle name="Normal 60 2 3 4" xfId="33690"/>
    <cellStyle name="Normal 60 2 4" xfId="33691"/>
    <cellStyle name="Normal 60 2 4 2" xfId="33692"/>
    <cellStyle name="Normal 60 2 4 3" xfId="33693"/>
    <cellStyle name="Normal 60 2 4 4" xfId="33694"/>
    <cellStyle name="Normal 60 2 4 5" xfId="33695"/>
    <cellStyle name="Normal 60 2 4 6" xfId="33696"/>
    <cellStyle name="Normal 60 2 5" xfId="33697"/>
    <cellStyle name="Normal 60 2 6" xfId="33698"/>
    <cellStyle name="Normal 60 3" xfId="33699"/>
    <cellStyle name="Normal 60 3 10" xfId="33700"/>
    <cellStyle name="Normal 60 3 10 2" xfId="33701"/>
    <cellStyle name="Normal 60 3 10 3" xfId="33702"/>
    <cellStyle name="Normal 60 3 10 3 2" xfId="33703"/>
    <cellStyle name="Normal 60 3 10 3 3" xfId="33704"/>
    <cellStyle name="Normal 60 3 10 3 4" xfId="33705"/>
    <cellStyle name="Normal 60 3 10 3 5" xfId="33706"/>
    <cellStyle name="Normal 60 3 10 3 6" xfId="33707"/>
    <cellStyle name="Normal 60 3 10 4" xfId="33708"/>
    <cellStyle name="Normal 60 3 10 4 2" xfId="33709"/>
    <cellStyle name="Normal 60 3 10 4 3" xfId="33710"/>
    <cellStyle name="Normal 60 3 10 4 4" xfId="33711"/>
    <cellStyle name="Normal 60 3 10 4 5" xfId="33712"/>
    <cellStyle name="Normal 60 3 10 4 6" xfId="33713"/>
    <cellStyle name="Normal 60 3 11" xfId="33714"/>
    <cellStyle name="Normal 60 3 11 2" xfId="33715"/>
    <cellStyle name="Normal 60 3 11 3" xfId="33716"/>
    <cellStyle name="Normal 60 3 11 3 2" xfId="33717"/>
    <cellStyle name="Normal 60 3 11 3 3" xfId="33718"/>
    <cellStyle name="Normal 60 3 11 3 4" xfId="33719"/>
    <cellStyle name="Normal 60 3 11 3 5" xfId="33720"/>
    <cellStyle name="Normal 60 3 11 3 6" xfId="33721"/>
    <cellStyle name="Normal 60 3 11 4" xfId="33722"/>
    <cellStyle name="Normal 60 3 11 4 2" xfId="33723"/>
    <cellStyle name="Normal 60 3 11 4 3" xfId="33724"/>
    <cellStyle name="Normal 60 3 11 4 4" xfId="33725"/>
    <cellStyle name="Normal 60 3 11 4 5" xfId="33726"/>
    <cellStyle name="Normal 60 3 11 4 6" xfId="33727"/>
    <cellStyle name="Normal 60 3 12" xfId="33728"/>
    <cellStyle name="Normal 60 3 12 2" xfId="33729"/>
    <cellStyle name="Normal 60 3 12 3" xfId="33730"/>
    <cellStyle name="Normal 60 3 12 3 2" xfId="33731"/>
    <cellStyle name="Normal 60 3 12 3 3" xfId="33732"/>
    <cellStyle name="Normal 60 3 12 3 4" xfId="33733"/>
    <cellStyle name="Normal 60 3 12 3 5" xfId="33734"/>
    <cellStyle name="Normal 60 3 12 3 6" xfId="33735"/>
    <cellStyle name="Normal 60 3 12 4" xfId="33736"/>
    <cellStyle name="Normal 60 3 12 4 2" xfId="33737"/>
    <cellStyle name="Normal 60 3 12 4 3" xfId="33738"/>
    <cellStyle name="Normal 60 3 12 4 4" xfId="33739"/>
    <cellStyle name="Normal 60 3 12 4 5" xfId="33740"/>
    <cellStyle name="Normal 60 3 12 4 6" xfId="33741"/>
    <cellStyle name="Normal 60 3 13" xfId="33742"/>
    <cellStyle name="Normal 60 3 13 2" xfId="33743"/>
    <cellStyle name="Normal 60 3 13 3" xfId="33744"/>
    <cellStyle name="Normal 60 3 13 3 2" xfId="33745"/>
    <cellStyle name="Normal 60 3 13 3 3" xfId="33746"/>
    <cellStyle name="Normal 60 3 13 3 4" xfId="33747"/>
    <cellStyle name="Normal 60 3 13 3 5" xfId="33748"/>
    <cellStyle name="Normal 60 3 13 3 6" xfId="33749"/>
    <cellStyle name="Normal 60 3 13 4" xfId="33750"/>
    <cellStyle name="Normal 60 3 13 4 2" xfId="33751"/>
    <cellStyle name="Normal 60 3 13 4 3" xfId="33752"/>
    <cellStyle name="Normal 60 3 13 4 4" xfId="33753"/>
    <cellStyle name="Normal 60 3 13 4 5" xfId="33754"/>
    <cellStyle name="Normal 60 3 13 4 6" xfId="33755"/>
    <cellStyle name="Normal 60 3 14" xfId="33756"/>
    <cellStyle name="Normal 60 3 14 2" xfId="33757"/>
    <cellStyle name="Normal 60 3 14 3" xfId="33758"/>
    <cellStyle name="Normal 60 3 14 3 2" xfId="33759"/>
    <cellStyle name="Normal 60 3 14 3 3" xfId="33760"/>
    <cellStyle name="Normal 60 3 14 3 4" xfId="33761"/>
    <cellStyle name="Normal 60 3 14 3 5" xfId="33762"/>
    <cellStyle name="Normal 60 3 14 3 6" xfId="33763"/>
    <cellStyle name="Normal 60 3 14 4" xfId="33764"/>
    <cellStyle name="Normal 60 3 14 4 2" xfId="33765"/>
    <cellStyle name="Normal 60 3 14 4 3" xfId="33766"/>
    <cellStyle name="Normal 60 3 14 4 4" xfId="33767"/>
    <cellStyle name="Normal 60 3 14 4 5" xfId="33768"/>
    <cellStyle name="Normal 60 3 14 4 6" xfId="33769"/>
    <cellStyle name="Normal 60 3 15" xfId="33770"/>
    <cellStyle name="Normal 60 3 15 2" xfId="33771"/>
    <cellStyle name="Normal 60 3 15 3" xfId="33772"/>
    <cellStyle name="Normal 60 3 15 3 2" xfId="33773"/>
    <cellStyle name="Normal 60 3 15 3 3" xfId="33774"/>
    <cellStyle name="Normal 60 3 15 3 4" xfId="33775"/>
    <cellStyle name="Normal 60 3 15 3 5" xfId="33776"/>
    <cellStyle name="Normal 60 3 15 3 6" xfId="33777"/>
    <cellStyle name="Normal 60 3 15 4" xfId="33778"/>
    <cellStyle name="Normal 60 3 15 4 2" xfId="33779"/>
    <cellStyle name="Normal 60 3 15 4 3" xfId="33780"/>
    <cellStyle name="Normal 60 3 15 4 4" xfId="33781"/>
    <cellStyle name="Normal 60 3 15 4 5" xfId="33782"/>
    <cellStyle name="Normal 60 3 15 4 6" xfId="33783"/>
    <cellStyle name="Normal 60 3 16" xfId="33784"/>
    <cellStyle name="Normal 60 3 16 2" xfId="33785"/>
    <cellStyle name="Normal 60 3 16 3" xfId="33786"/>
    <cellStyle name="Normal 60 3 16 3 2" xfId="33787"/>
    <cellStyle name="Normal 60 3 16 3 3" xfId="33788"/>
    <cellStyle name="Normal 60 3 16 3 4" xfId="33789"/>
    <cellStyle name="Normal 60 3 16 3 5" xfId="33790"/>
    <cellStyle name="Normal 60 3 16 3 6" xfId="33791"/>
    <cellStyle name="Normal 60 3 16 4" xfId="33792"/>
    <cellStyle name="Normal 60 3 16 4 2" xfId="33793"/>
    <cellStyle name="Normal 60 3 16 4 3" xfId="33794"/>
    <cellStyle name="Normal 60 3 16 4 4" xfId="33795"/>
    <cellStyle name="Normal 60 3 16 4 5" xfId="33796"/>
    <cellStyle name="Normal 60 3 16 4 6" xfId="33797"/>
    <cellStyle name="Normal 60 3 17" xfId="33798"/>
    <cellStyle name="Normal 60 3 17 2" xfId="33799"/>
    <cellStyle name="Normal 60 3 17 3" xfId="33800"/>
    <cellStyle name="Normal 60 3 17 3 2" xfId="33801"/>
    <cellStyle name="Normal 60 3 17 3 3" xfId="33802"/>
    <cellStyle name="Normal 60 3 17 3 4" xfId="33803"/>
    <cellStyle name="Normal 60 3 17 3 5" xfId="33804"/>
    <cellStyle name="Normal 60 3 17 3 6" xfId="33805"/>
    <cellStyle name="Normal 60 3 17 4" xfId="33806"/>
    <cellStyle name="Normal 60 3 17 4 2" xfId="33807"/>
    <cellStyle name="Normal 60 3 17 4 3" xfId="33808"/>
    <cellStyle name="Normal 60 3 17 4 4" xfId="33809"/>
    <cellStyle name="Normal 60 3 17 4 5" xfId="33810"/>
    <cellStyle name="Normal 60 3 17 4 6" xfId="33811"/>
    <cellStyle name="Normal 60 3 18" xfId="33812"/>
    <cellStyle name="Normal 60 3 18 2" xfId="33813"/>
    <cellStyle name="Normal 60 3 18 3" xfId="33814"/>
    <cellStyle name="Normal 60 3 18 3 2" xfId="33815"/>
    <cellStyle name="Normal 60 3 18 3 3" xfId="33816"/>
    <cellStyle name="Normal 60 3 18 3 4" xfId="33817"/>
    <cellStyle name="Normal 60 3 18 3 5" xfId="33818"/>
    <cellStyle name="Normal 60 3 18 3 6" xfId="33819"/>
    <cellStyle name="Normal 60 3 18 4" xfId="33820"/>
    <cellStyle name="Normal 60 3 18 4 2" xfId="33821"/>
    <cellStyle name="Normal 60 3 18 4 3" xfId="33822"/>
    <cellStyle name="Normal 60 3 18 4 4" xfId="33823"/>
    <cellStyle name="Normal 60 3 18 4 5" xfId="33824"/>
    <cellStyle name="Normal 60 3 18 4 6" xfId="33825"/>
    <cellStyle name="Normal 60 3 19" xfId="33826"/>
    <cellStyle name="Normal 60 3 19 2" xfId="33827"/>
    <cellStyle name="Normal 60 3 19 3" xfId="33828"/>
    <cellStyle name="Normal 60 3 19 3 2" xfId="33829"/>
    <cellStyle name="Normal 60 3 19 3 3" xfId="33830"/>
    <cellStyle name="Normal 60 3 19 3 4" xfId="33831"/>
    <cellStyle name="Normal 60 3 19 3 5" xfId="33832"/>
    <cellStyle name="Normal 60 3 19 3 6" xfId="33833"/>
    <cellStyle name="Normal 60 3 19 4" xfId="33834"/>
    <cellStyle name="Normal 60 3 19 4 2" xfId="33835"/>
    <cellStyle name="Normal 60 3 19 4 3" xfId="33836"/>
    <cellStyle name="Normal 60 3 19 4 4" xfId="33837"/>
    <cellStyle name="Normal 60 3 19 4 5" xfId="33838"/>
    <cellStyle name="Normal 60 3 19 4 6" xfId="33839"/>
    <cellStyle name="Normal 60 3 2" xfId="33840"/>
    <cellStyle name="Normal 60 3 2 10" xfId="33841"/>
    <cellStyle name="Normal 60 3 2 10 2" xfId="33842"/>
    <cellStyle name="Normal 60 3 2 10 2 2" xfId="33843"/>
    <cellStyle name="Normal 60 3 2 10 2 3" xfId="33844"/>
    <cellStyle name="Normal 60 3 2 10 2 4" xfId="33845"/>
    <cellStyle name="Normal 60 3 2 10 2 5" xfId="33846"/>
    <cellStyle name="Normal 60 3 2 10 2 6" xfId="33847"/>
    <cellStyle name="Normal 60 3 2 10 3" xfId="33848"/>
    <cellStyle name="Normal 60 3 2 10 4" xfId="33849"/>
    <cellStyle name="Normal 60 3 2 11" xfId="33850"/>
    <cellStyle name="Normal 60 3 2 11 2" xfId="33851"/>
    <cellStyle name="Normal 60 3 2 11 2 2" xfId="33852"/>
    <cellStyle name="Normal 60 3 2 11 2 3" xfId="33853"/>
    <cellStyle name="Normal 60 3 2 11 2 4" xfId="33854"/>
    <cellStyle name="Normal 60 3 2 11 2 5" xfId="33855"/>
    <cellStyle name="Normal 60 3 2 11 2 6" xfId="33856"/>
    <cellStyle name="Normal 60 3 2 11 3" xfId="33857"/>
    <cellStyle name="Normal 60 3 2 11 4" xfId="33858"/>
    <cellStyle name="Normal 60 3 2 12" xfId="33859"/>
    <cellStyle name="Normal 60 3 2 12 2" xfId="33860"/>
    <cellStyle name="Normal 60 3 2 12 2 2" xfId="33861"/>
    <cellStyle name="Normal 60 3 2 12 2 3" xfId="33862"/>
    <cellStyle name="Normal 60 3 2 12 2 4" xfId="33863"/>
    <cellStyle name="Normal 60 3 2 12 2 5" xfId="33864"/>
    <cellStyle name="Normal 60 3 2 12 2 6" xfId="33865"/>
    <cellStyle name="Normal 60 3 2 12 3" xfId="33866"/>
    <cellStyle name="Normal 60 3 2 12 4" xfId="33867"/>
    <cellStyle name="Normal 60 3 2 13" xfId="33868"/>
    <cellStyle name="Normal 60 3 2 13 2" xfId="33869"/>
    <cellStyle name="Normal 60 3 2 13 2 2" xfId="33870"/>
    <cellStyle name="Normal 60 3 2 13 2 3" xfId="33871"/>
    <cellStyle name="Normal 60 3 2 13 2 4" xfId="33872"/>
    <cellStyle name="Normal 60 3 2 13 2 5" xfId="33873"/>
    <cellStyle name="Normal 60 3 2 13 2 6" xfId="33874"/>
    <cellStyle name="Normal 60 3 2 13 3" xfId="33875"/>
    <cellStyle name="Normal 60 3 2 13 4" xfId="33876"/>
    <cellStyle name="Normal 60 3 2 14" xfId="33877"/>
    <cellStyle name="Normal 60 3 2 14 2" xfId="33878"/>
    <cellStyle name="Normal 60 3 2 14 2 2" xfId="33879"/>
    <cellStyle name="Normal 60 3 2 14 2 3" xfId="33880"/>
    <cellStyle name="Normal 60 3 2 14 2 4" xfId="33881"/>
    <cellStyle name="Normal 60 3 2 14 2 5" xfId="33882"/>
    <cellStyle name="Normal 60 3 2 14 2 6" xfId="33883"/>
    <cellStyle name="Normal 60 3 2 14 3" xfId="33884"/>
    <cellStyle name="Normal 60 3 2 14 4" xfId="33885"/>
    <cellStyle name="Normal 60 3 2 15" xfId="33886"/>
    <cellStyle name="Normal 60 3 2 15 2" xfId="33887"/>
    <cellStyle name="Normal 60 3 2 15 2 2" xfId="33888"/>
    <cellStyle name="Normal 60 3 2 15 2 3" xfId="33889"/>
    <cellStyle name="Normal 60 3 2 15 2 4" xfId="33890"/>
    <cellStyle name="Normal 60 3 2 15 2 5" xfId="33891"/>
    <cellStyle name="Normal 60 3 2 15 2 6" xfId="33892"/>
    <cellStyle name="Normal 60 3 2 15 3" xfId="33893"/>
    <cellStyle name="Normal 60 3 2 15 4" xfId="33894"/>
    <cellStyle name="Normal 60 3 2 16" xfId="33895"/>
    <cellStyle name="Normal 60 3 2 16 2" xfId="33896"/>
    <cellStyle name="Normal 60 3 2 16 2 2" xfId="33897"/>
    <cellStyle name="Normal 60 3 2 16 2 3" xfId="33898"/>
    <cellStyle name="Normal 60 3 2 16 2 4" xfId="33899"/>
    <cellStyle name="Normal 60 3 2 16 2 5" xfId="33900"/>
    <cellStyle name="Normal 60 3 2 16 2 6" xfId="33901"/>
    <cellStyle name="Normal 60 3 2 16 3" xfId="33902"/>
    <cellStyle name="Normal 60 3 2 16 4" xfId="33903"/>
    <cellStyle name="Normal 60 3 2 17" xfId="33904"/>
    <cellStyle name="Normal 60 3 2 17 2" xfId="33905"/>
    <cellStyle name="Normal 60 3 2 17 2 2" xfId="33906"/>
    <cellStyle name="Normal 60 3 2 17 2 3" xfId="33907"/>
    <cellStyle name="Normal 60 3 2 17 2 4" xfId="33908"/>
    <cellStyle name="Normal 60 3 2 17 2 5" xfId="33909"/>
    <cellStyle name="Normal 60 3 2 17 2 6" xfId="33910"/>
    <cellStyle name="Normal 60 3 2 17 3" xfId="33911"/>
    <cellStyle name="Normal 60 3 2 17 4" xfId="33912"/>
    <cellStyle name="Normal 60 3 2 18" xfId="33913"/>
    <cellStyle name="Normal 60 3 2 18 2" xfId="33914"/>
    <cellStyle name="Normal 60 3 2 18 2 2" xfId="33915"/>
    <cellStyle name="Normal 60 3 2 18 2 3" xfId="33916"/>
    <cellStyle name="Normal 60 3 2 18 2 4" xfId="33917"/>
    <cellStyle name="Normal 60 3 2 18 2 5" xfId="33918"/>
    <cellStyle name="Normal 60 3 2 18 2 6" xfId="33919"/>
    <cellStyle name="Normal 60 3 2 18 3" xfId="33920"/>
    <cellStyle name="Normal 60 3 2 18 4" xfId="33921"/>
    <cellStyle name="Normal 60 3 2 19" xfId="33922"/>
    <cellStyle name="Normal 60 3 2 19 2" xfId="33923"/>
    <cellStyle name="Normal 60 3 2 19 2 2" xfId="33924"/>
    <cellStyle name="Normal 60 3 2 19 2 3" xfId="33925"/>
    <cellStyle name="Normal 60 3 2 19 2 4" xfId="33926"/>
    <cellStyle name="Normal 60 3 2 19 2 5" xfId="33927"/>
    <cellStyle name="Normal 60 3 2 19 2 6" xfId="33928"/>
    <cellStyle name="Normal 60 3 2 19 3" xfId="33929"/>
    <cellStyle name="Normal 60 3 2 19 4" xfId="33930"/>
    <cellStyle name="Normal 60 3 2 2" xfId="33931"/>
    <cellStyle name="Normal 60 3 2 2 10" xfId="33932"/>
    <cellStyle name="Normal 60 3 2 2 10 2" xfId="33933"/>
    <cellStyle name="Normal 60 3 2 2 10 3" xfId="33934"/>
    <cellStyle name="Normal 60 3 2 2 10 3 2" xfId="33935"/>
    <cellStyle name="Normal 60 3 2 2 10 3 3" xfId="33936"/>
    <cellStyle name="Normal 60 3 2 2 10 3 4" xfId="33937"/>
    <cellStyle name="Normal 60 3 2 2 10 3 5" xfId="33938"/>
    <cellStyle name="Normal 60 3 2 2 10 3 6" xfId="33939"/>
    <cellStyle name="Normal 60 3 2 2 10 4" xfId="33940"/>
    <cellStyle name="Normal 60 3 2 2 10 4 2" xfId="33941"/>
    <cellStyle name="Normal 60 3 2 2 10 4 3" xfId="33942"/>
    <cellStyle name="Normal 60 3 2 2 10 4 4" xfId="33943"/>
    <cellStyle name="Normal 60 3 2 2 10 4 5" xfId="33944"/>
    <cellStyle name="Normal 60 3 2 2 10 4 6" xfId="33945"/>
    <cellStyle name="Normal 60 3 2 2 11" xfId="33946"/>
    <cellStyle name="Normal 60 3 2 2 11 2" xfId="33947"/>
    <cellStyle name="Normal 60 3 2 2 11 3" xfId="33948"/>
    <cellStyle name="Normal 60 3 2 2 11 3 2" xfId="33949"/>
    <cellStyle name="Normal 60 3 2 2 11 3 3" xfId="33950"/>
    <cellStyle name="Normal 60 3 2 2 11 3 4" xfId="33951"/>
    <cellStyle name="Normal 60 3 2 2 11 3 5" xfId="33952"/>
    <cellStyle name="Normal 60 3 2 2 11 3 6" xfId="33953"/>
    <cellStyle name="Normal 60 3 2 2 11 4" xfId="33954"/>
    <cellStyle name="Normal 60 3 2 2 11 4 2" xfId="33955"/>
    <cellStyle name="Normal 60 3 2 2 11 4 3" xfId="33956"/>
    <cellStyle name="Normal 60 3 2 2 11 4 4" xfId="33957"/>
    <cellStyle name="Normal 60 3 2 2 11 4 5" xfId="33958"/>
    <cellStyle name="Normal 60 3 2 2 11 4 6" xfId="33959"/>
    <cellStyle name="Normal 60 3 2 2 12" xfId="33960"/>
    <cellStyle name="Normal 60 3 2 2 12 2" xfId="33961"/>
    <cellStyle name="Normal 60 3 2 2 12 3" xfId="33962"/>
    <cellStyle name="Normal 60 3 2 2 12 3 2" xfId="33963"/>
    <cellStyle name="Normal 60 3 2 2 12 3 3" xfId="33964"/>
    <cellStyle name="Normal 60 3 2 2 12 3 4" xfId="33965"/>
    <cellStyle name="Normal 60 3 2 2 12 3 5" xfId="33966"/>
    <cellStyle name="Normal 60 3 2 2 12 3 6" xfId="33967"/>
    <cellStyle name="Normal 60 3 2 2 12 4" xfId="33968"/>
    <cellStyle name="Normal 60 3 2 2 12 4 2" xfId="33969"/>
    <cellStyle name="Normal 60 3 2 2 12 4 3" xfId="33970"/>
    <cellStyle name="Normal 60 3 2 2 12 4 4" xfId="33971"/>
    <cellStyle name="Normal 60 3 2 2 12 4 5" xfId="33972"/>
    <cellStyle name="Normal 60 3 2 2 12 4 6" xfId="33973"/>
    <cellStyle name="Normal 60 3 2 2 13" xfId="33974"/>
    <cellStyle name="Normal 60 3 2 2 13 2" xfId="33975"/>
    <cellStyle name="Normal 60 3 2 2 13 3" xfId="33976"/>
    <cellStyle name="Normal 60 3 2 2 13 3 2" xfId="33977"/>
    <cellStyle name="Normal 60 3 2 2 13 3 3" xfId="33978"/>
    <cellStyle name="Normal 60 3 2 2 13 3 4" xfId="33979"/>
    <cellStyle name="Normal 60 3 2 2 13 3 5" xfId="33980"/>
    <cellStyle name="Normal 60 3 2 2 13 3 6" xfId="33981"/>
    <cellStyle name="Normal 60 3 2 2 13 4" xfId="33982"/>
    <cellStyle name="Normal 60 3 2 2 13 4 2" xfId="33983"/>
    <cellStyle name="Normal 60 3 2 2 13 4 3" xfId="33984"/>
    <cellStyle name="Normal 60 3 2 2 13 4 4" xfId="33985"/>
    <cellStyle name="Normal 60 3 2 2 13 4 5" xfId="33986"/>
    <cellStyle name="Normal 60 3 2 2 13 4 6" xfId="33987"/>
    <cellStyle name="Normal 60 3 2 2 14" xfId="33988"/>
    <cellStyle name="Normal 60 3 2 2 14 2" xfId="33989"/>
    <cellStyle name="Normal 60 3 2 2 14 3" xfId="33990"/>
    <cellStyle name="Normal 60 3 2 2 14 3 2" xfId="33991"/>
    <cellStyle name="Normal 60 3 2 2 14 3 3" xfId="33992"/>
    <cellStyle name="Normal 60 3 2 2 14 3 4" xfId="33993"/>
    <cellStyle name="Normal 60 3 2 2 14 3 5" xfId="33994"/>
    <cellStyle name="Normal 60 3 2 2 14 3 6" xfId="33995"/>
    <cellStyle name="Normal 60 3 2 2 14 4" xfId="33996"/>
    <cellStyle name="Normal 60 3 2 2 14 4 2" xfId="33997"/>
    <cellStyle name="Normal 60 3 2 2 14 4 3" xfId="33998"/>
    <cellStyle name="Normal 60 3 2 2 14 4 4" xfId="33999"/>
    <cellStyle name="Normal 60 3 2 2 14 4 5" xfId="34000"/>
    <cellStyle name="Normal 60 3 2 2 14 4 6" xfId="34001"/>
    <cellStyle name="Normal 60 3 2 2 15" xfId="34002"/>
    <cellStyle name="Normal 60 3 2 2 15 2" xfId="34003"/>
    <cellStyle name="Normal 60 3 2 2 15 3" xfId="34004"/>
    <cellStyle name="Normal 60 3 2 2 15 3 2" xfId="34005"/>
    <cellStyle name="Normal 60 3 2 2 15 3 3" xfId="34006"/>
    <cellStyle name="Normal 60 3 2 2 15 3 4" xfId="34007"/>
    <cellStyle name="Normal 60 3 2 2 15 3 5" xfId="34008"/>
    <cellStyle name="Normal 60 3 2 2 15 3 6" xfId="34009"/>
    <cellStyle name="Normal 60 3 2 2 15 4" xfId="34010"/>
    <cellStyle name="Normal 60 3 2 2 15 4 2" xfId="34011"/>
    <cellStyle name="Normal 60 3 2 2 15 4 3" xfId="34012"/>
    <cellStyle name="Normal 60 3 2 2 15 4 4" xfId="34013"/>
    <cellStyle name="Normal 60 3 2 2 15 4 5" xfId="34014"/>
    <cellStyle name="Normal 60 3 2 2 15 4 6" xfId="34015"/>
    <cellStyle name="Normal 60 3 2 2 16" xfId="34016"/>
    <cellStyle name="Normal 60 3 2 2 16 2" xfId="34017"/>
    <cellStyle name="Normal 60 3 2 2 16 3" xfId="34018"/>
    <cellStyle name="Normal 60 3 2 2 16 3 2" xfId="34019"/>
    <cellStyle name="Normal 60 3 2 2 16 3 3" xfId="34020"/>
    <cellStyle name="Normal 60 3 2 2 16 3 4" xfId="34021"/>
    <cellStyle name="Normal 60 3 2 2 16 3 5" xfId="34022"/>
    <cellStyle name="Normal 60 3 2 2 16 3 6" xfId="34023"/>
    <cellStyle name="Normal 60 3 2 2 16 4" xfId="34024"/>
    <cellStyle name="Normal 60 3 2 2 16 4 2" xfId="34025"/>
    <cellStyle name="Normal 60 3 2 2 16 4 3" xfId="34026"/>
    <cellStyle name="Normal 60 3 2 2 16 4 4" xfId="34027"/>
    <cellStyle name="Normal 60 3 2 2 16 4 5" xfId="34028"/>
    <cellStyle name="Normal 60 3 2 2 16 4 6" xfId="34029"/>
    <cellStyle name="Normal 60 3 2 2 17" xfId="34030"/>
    <cellStyle name="Normal 60 3 2 2 17 2" xfId="34031"/>
    <cellStyle name="Normal 60 3 2 2 17 3" xfId="34032"/>
    <cellStyle name="Normal 60 3 2 2 17 4" xfId="34033"/>
    <cellStyle name="Normal 60 3 2 2 17 5" xfId="34034"/>
    <cellStyle name="Normal 60 3 2 2 17 6" xfId="34035"/>
    <cellStyle name="Normal 60 3 2 2 18" xfId="34036"/>
    <cellStyle name="Normal 60 3 2 2 19" xfId="34037"/>
    <cellStyle name="Normal 60 3 2 2 2" xfId="34038"/>
    <cellStyle name="Normal 60 3 2 2 2 2" xfId="34039"/>
    <cellStyle name="Normal 60 3 2 2 2 3" xfId="34040"/>
    <cellStyle name="Normal 60 3 2 2 2 3 2" xfId="34041"/>
    <cellStyle name="Normal 60 3 2 2 2 3 3" xfId="34042"/>
    <cellStyle name="Normal 60 3 2 2 2 3 4" xfId="34043"/>
    <cellStyle name="Normal 60 3 2 2 2 3 5" xfId="34044"/>
    <cellStyle name="Normal 60 3 2 2 2 3 6" xfId="34045"/>
    <cellStyle name="Normal 60 3 2 2 2 4" xfId="34046"/>
    <cellStyle name="Normal 60 3 2 2 2 4 2" xfId="34047"/>
    <cellStyle name="Normal 60 3 2 2 2 4 3" xfId="34048"/>
    <cellStyle name="Normal 60 3 2 2 2 4 4" xfId="34049"/>
    <cellStyle name="Normal 60 3 2 2 2 4 5" xfId="34050"/>
    <cellStyle name="Normal 60 3 2 2 2 4 6" xfId="34051"/>
    <cellStyle name="Normal 60 3 2 2 3" xfId="34052"/>
    <cellStyle name="Normal 60 3 2 2 3 2" xfId="34053"/>
    <cellStyle name="Normal 60 3 2 2 3 3" xfId="34054"/>
    <cellStyle name="Normal 60 3 2 2 3 3 2" xfId="34055"/>
    <cellStyle name="Normal 60 3 2 2 3 3 3" xfId="34056"/>
    <cellStyle name="Normal 60 3 2 2 3 3 4" xfId="34057"/>
    <cellStyle name="Normal 60 3 2 2 3 3 5" xfId="34058"/>
    <cellStyle name="Normal 60 3 2 2 3 3 6" xfId="34059"/>
    <cellStyle name="Normal 60 3 2 2 3 4" xfId="34060"/>
    <cellStyle name="Normal 60 3 2 2 3 4 2" xfId="34061"/>
    <cellStyle name="Normal 60 3 2 2 3 4 3" xfId="34062"/>
    <cellStyle name="Normal 60 3 2 2 3 4 4" xfId="34063"/>
    <cellStyle name="Normal 60 3 2 2 3 4 5" xfId="34064"/>
    <cellStyle name="Normal 60 3 2 2 3 4 6" xfId="34065"/>
    <cellStyle name="Normal 60 3 2 2 4" xfId="34066"/>
    <cellStyle name="Normal 60 3 2 2 4 2" xfId="34067"/>
    <cellStyle name="Normal 60 3 2 2 4 3" xfId="34068"/>
    <cellStyle name="Normal 60 3 2 2 4 3 2" xfId="34069"/>
    <cellStyle name="Normal 60 3 2 2 4 3 3" xfId="34070"/>
    <cellStyle name="Normal 60 3 2 2 4 3 4" xfId="34071"/>
    <cellStyle name="Normal 60 3 2 2 4 3 5" xfId="34072"/>
    <cellStyle name="Normal 60 3 2 2 4 3 6" xfId="34073"/>
    <cellStyle name="Normal 60 3 2 2 4 4" xfId="34074"/>
    <cellStyle name="Normal 60 3 2 2 4 4 2" xfId="34075"/>
    <cellStyle name="Normal 60 3 2 2 4 4 3" xfId="34076"/>
    <cellStyle name="Normal 60 3 2 2 4 4 4" xfId="34077"/>
    <cellStyle name="Normal 60 3 2 2 4 4 5" xfId="34078"/>
    <cellStyle name="Normal 60 3 2 2 4 4 6" xfId="34079"/>
    <cellStyle name="Normal 60 3 2 2 5" xfId="34080"/>
    <cellStyle name="Normal 60 3 2 2 5 2" xfId="34081"/>
    <cellStyle name="Normal 60 3 2 2 5 3" xfId="34082"/>
    <cellStyle name="Normal 60 3 2 2 5 3 2" xfId="34083"/>
    <cellStyle name="Normal 60 3 2 2 5 3 3" xfId="34084"/>
    <cellStyle name="Normal 60 3 2 2 5 3 4" xfId="34085"/>
    <cellStyle name="Normal 60 3 2 2 5 3 5" xfId="34086"/>
    <cellStyle name="Normal 60 3 2 2 5 3 6" xfId="34087"/>
    <cellStyle name="Normal 60 3 2 2 5 4" xfId="34088"/>
    <cellStyle name="Normal 60 3 2 2 5 4 2" xfId="34089"/>
    <cellStyle name="Normal 60 3 2 2 5 4 3" xfId="34090"/>
    <cellStyle name="Normal 60 3 2 2 5 4 4" xfId="34091"/>
    <cellStyle name="Normal 60 3 2 2 5 4 5" xfId="34092"/>
    <cellStyle name="Normal 60 3 2 2 5 4 6" xfId="34093"/>
    <cellStyle name="Normal 60 3 2 2 6" xfId="34094"/>
    <cellStyle name="Normal 60 3 2 2 6 2" xfId="34095"/>
    <cellStyle name="Normal 60 3 2 2 6 3" xfId="34096"/>
    <cellStyle name="Normal 60 3 2 2 6 3 2" xfId="34097"/>
    <cellStyle name="Normal 60 3 2 2 6 3 3" xfId="34098"/>
    <cellStyle name="Normal 60 3 2 2 6 3 4" xfId="34099"/>
    <cellStyle name="Normal 60 3 2 2 6 3 5" xfId="34100"/>
    <cellStyle name="Normal 60 3 2 2 6 3 6" xfId="34101"/>
    <cellStyle name="Normal 60 3 2 2 6 4" xfId="34102"/>
    <cellStyle name="Normal 60 3 2 2 6 4 2" xfId="34103"/>
    <cellStyle name="Normal 60 3 2 2 6 4 3" xfId="34104"/>
    <cellStyle name="Normal 60 3 2 2 6 4 4" xfId="34105"/>
    <cellStyle name="Normal 60 3 2 2 6 4 5" xfId="34106"/>
    <cellStyle name="Normal 60 3 2 2 6 4 6" xfId="34107"/>
    <cellStyle name="Normal 60 3 2 2 7" xfId="34108"/>
    <cellStyle name="Normal 60 3 2 2 7 2" xfId="34109"/>
    <cellStyle name="Normal 60 3 2 2 7 3" xfId="34110"/>
    <cellStyle name="Normal 60 3 2 2 7 3 2" xfId="34111"/>
    <cellStyle name="Normal 60 3 2 2 7 3 3" xfId="34112"/>
    <cellStyle name="Normal 60 3 2 2 7 3 4" xfId="34113"/>
    <cellStyle name="Normal 60 3 2 2 7 3 5" xfId="34114"/>
    <cellStyle name="Normal 60 3 2 2 7 3 6" xfId="34115"/>
    <cellStyle name="Normal 60 3 2 2 7 4" xfId="34116"/>
    <cellStyle name="Normal 60 3 2 2 7 4 2" xfId="34117"/>
    <cellStyle name="Normal 60 3 2 2 7 4 3" xfId="34118"/>
    <cellStyle name="Normal 60 3 2 2 7 4 4" xfId="34119"/>
    <cellStyle name="Normal 60 3 2 2 7 4 5" xfId="34120"/>
    <cellStyle name="Normal 60 3 2 2 7 4 6" xfId="34121"/>
    <cellStyle name="Normal 60 3 2 2 8" xfId="34122"/>
    <cellStyle name="Normal 60 3 2 2 8 2" xfId="34123"/>
    <cellStyle name="Normal 60 3 2 2 8 3" xfId="34124"/>
    <cellStyle name="Normal 60 3 2 2 8 3 2" xfId="34125"/>
    <cellStyle name="Normal 60 3 2 2 8 3 3" xfId="34126"/>
    <cellStyle name="Normal 60 3 2 2 8 3 4" xfId="34127"/>
    <cellStyle name="Normal 60 3 2 2 8 3 5" xfId="34128"/>
    <cellStyle name="Normal 60 3 2 2 8 3 6" xfId="34129"/>
    <cellStyle name="Normal 60 3 2 2 8 4" xfId="34130"/>
    <cellStyle name="Normal 60 3 2 2 8 4 2" xfId="34131"/>
    <cellStyle name="Normal 60 3 2 2 8 4 3" xfId="34132"/>
    <cellStyle name="Normal 60 3 2 2 8 4 4" xfId="34133"/>
    <cellStyle name="Normal 60 3 2 2 8 4 5" xfId="34134"/>
    <cellStyle name="Normal 60 3 2 2 8 4 6" xfId="34135"/>
    <cellStyle name="Normal 60 3 2 2 9" xfId="34136"/>
    <cellStyle name="Normal 60 3 2 2 9 2" xfId="34137"/>
    <cellStyle name="Normal 60 3 2 2 9 3" xfId="34138"/>
    <cellStyle name="Normal 60 3 2 2 9 3 2" xfId="34139"/>
    <cellStyle name="Normal 60 3 2 2 9 3 3" xfId="34140"/>
    <cellStyle name="Normal 60 3 2 2 9 3 4" xfId="34141"/>
    <cellStyle name="Normal 60 3 2 2 9 3 5" xfId="34142"/>
    <cellStyle name="Normal 60 3 2 2 9 3 6" xfId="34143"/>
    <cellStyle name="Normal 60 3 2 2 9 4" xfId="34144"/>
    <cellStyle name="Normal 60 3 2 2 9 4 2" xfId="34145"/>
    <cellStyle name="Normal 60 3 2 2 9 4 3" xfId="34146"/>
    <cellStyle name="Normal 60 3 2 2 9 4 4" xfId="34147"/>
    <cellStyle name="Normal 60 3 2 2 9 4 5" xfId="34148"/>
    <cellStyle name="Normal 60 3 2 2 9 4 6" xfId="34149"/>
    <cellStyle name="Normal 60 3 2 20" xfId="34150"/>
    <cellStyle name="Normal 60 3 2 21" xfId="34151"/>
    <cellStyle name="Normal 60 3 2 21 2" xfId="34152"/>
    <cellStyle name="Normal 60 3 2 21 3" xfId="34153"/>
    <cellStyle name="Normal 60 3 2 21 4" xfId="34154"/>
    <cellStyle name="Normal 60 3 2 21 5" xfId="34155"/>
    <cellStyle name="Normal 60 3 2 21 6" xfId="34156"/>
    <cellStyle name="Normal 60 3 2 22" xfId="34157"/>
    <cellStyle name="Normal 60 3 2 22 2" xfId="34158"/>
    <cellStyle name="Normal 60 3 2 22 3" xfId="34159"/>
    <cellStyle name="Normal 60 3 2 22 4" xfId="34160"/>
    <cellStyle name="Normal 60 3 2 22 5" xfId="34161"/>
    <cellStyle name="Normal 60 3 2 22 6" xfId="34162"/>
    <cellStyle name="Normal 60 3 2 3" xfId="34163"/>
    <cellStyle name="Normal 60 3 2 3 2" xfId="34164"/>
    <cellStyle name="Normal 60 3 2 3 3" xfId="34165"/>
    <cellStyle name="Normal 60 3 2 3 3 2" xfId="34166"/>
    <cellStyle name="Normal 60 3 2 3 3 3" xfId="34167"/>
    <cellStyle name="Normal 60 3 2 3 3 4" xfId="34168"/>
    <cellStyle name="Normal 60 3 2 3 3 5" xfId="34169"/>
    <cellStyle name="Normal 60 3 2 3 3 6" xfId="34170"/>
    <cellStyle name="Normal 60 3 2 3 4" xfId="34171"/>
    <cellStyle name="Normal 60 3 2 3 4 2" xfId="34172"/>
    <cellStyle name="Normal 60 3 2 3 4 3" xfId="34173"/>
    <cellStyle name="Normal 60 3 2 3 4 4" xfId="34174"/>
    <cellStyle name="Normal 60 3 2 3 4 5" xfId="34175"/>
    <cellStyle name="Normal 60 3 2 3 4 6" xfId="34176"/>
    <cellStyle name="Normal 60 3 2 4" xfId="34177"/>
    <cellStyle name="Normal 60 3 2 4 2" xfId="34178"/>
    <cellStyle name="Normal 60 3 2 4 3" xfId="34179"/>
    <cellStyle name="Normal 60 3 2 4 3 2" xfId="34180"/>
    <cellStyle name="Normal 60 3 2 4 3 3" xfId="34181"/>
    <cellStyle name="Normal 60 3 2 4 3 4" xfId="34182"/>
    <cellStyle name="Normal 60 3 2 4 3 5" xfId="34183"/>
    <cellStyle name="Normal 60 3 2 4 3 6" xfId="34184"/>
    <cellStyle name="Normal 60 3 2 4 4" xfId="34185"/>
    <cellStyle name="Normal 60 3 2 4 4 2" xfId="34186"/>
    <cellStyle name="Normal 60 3 2 4 4 3" xfId="34187"/>
    <cellStyle name="Normal 60 3 2 4 4 4" xfId="34188"/>
    <cellStyle name="Normal 60 3 2 4 4 5" xfId="34189"/>
    <cellStyle name="Normal 60 3 2 4 4 6" xfId="34190"/>
    <cellStyle name="Normal 60 3 2 5" xfId="34191"/>
    <cellStyle name="Normal 60 3 2 5 2" xfId="34192"/>
    <cellStyle name="Normal 60 3 2 5 3" xfId="34193"/>
    <cellStyle name="Normal 60 3 2 5 3 2" xfId="34194"/>
    <cellStyle name="Normal 60 3 2 5 3 3" xfId="34195"/>
    <cellStyle name="Normal 60 3 2 5 3 4" xfId="34196"/>
    <cellStyle name="Normal 60 3 2 5 3 5" xfId="34197"/>
    <cellStyle name="Normal 60 3 2 5 3 6" xfId="34198"/>
    <cellStyle name="Normal 60 3 2 5 4" xfId="34199"/>
    <cellStyle name="Normal 60 3 2 5 4 2" xfId="34200"/>
    <cellStyle name="Normal 60 3 2 5 4 3" xfId="34201"/>
    <cellStyle name="Normal 60 3 2 5 4 4" xfId="34202"/>
    <cellStyle name="Normal 60 3 2 5 4 5" xfId="34203"/>
    <cellStyle name="Normal 60 3 2 5 4 6" xfId="34204"/>
    <cellStyle name="Normal 60 3 2 6" xfId="34205"/>
    <cellStyle name="Normal 60 3 2 6 2" xfId="34206"/>
    <cellStyle name="Normal 60 3 2 6 2 2" xfId="34207"/>
    <cellStyle name="Normal 60 3 2 6 2 3" xfId="34208"/>
    <cellStyle name="Normal 60 3 2 6 2 4" xfId="34209"/>
    <cellStyle name="Normal 60 3 2 6 2 5" xfId="34210"/>
    <cellStyle name="Normal 60 3 2 6 2 6" xfId="34211"/>
    <cellStyle name="Normal 60 3 2 6 3" xfId="34212"/>
    <cellStyle name="Normal 60 3 2 6 4" xfId="34213"/>
    <cellStyle name="Normal 60 3 2 7" xfId="34214"/>
    <cellStyle name="Normal 60 3 2 7 2" xfId="34215"/>
    <cellStyle name="Normal 60 3 2 7 2 2" xfId="34216"/>
    <cellStyle name="Normal 60 3 2 7 2 3" xfId="34217"/>
    <cellStyle name="Normal 60 3 2 7 2 4" xfId="34218"/>
    <cellStyle name="Normal 60 3 2 7 2 5" xfId="34219"/>
    <cellStyle name="Normal 60 3 2 7 2 6" xfId="34220"/>
    <cellStyle name="Normal 60 3 2 7 3" xfId="34221"/>
    <cellStyle name="Normal 60 3 2 7 4" xfId="34222"/>
    <cellStyle name="Normal 60 3 2 8" xfId="34223"/>
    <cellStyle name="Normal 60 3 2 8 2" xfId="34224"/>
    <cellStyle name="Normal 60 3 2 8 2 2" xfId="34225"/>
    <cellStyle name="Normal 60 3 2 8 2 3" xfId="34226"/>
    <cellStyle name="Normal 60 3 2 8 2 4" xfId="34227"/>
    <cellStyle name="Normal 60 3 2 8 2 5" xfId="34228"/>
    <cellStyle name="Normal 60 3 2 8 2 6" xfId="34229"/>
    <cellStyle name="Normal 60 3 2 8 3" xfId="34230"/>
    <cellStyle name="Normal 60 3 2 8 4" xfId="34231"/>
    <cellStyle name="Normal 60 3 2 9" xfId="34232"/>
    <cellStyle name="Normal 60 3 2 9 2" xfId="34233"/>
    <cellStyle name="Normal 60 3 2 9 2 2" xfId="34234"/>
    <cellStyle name="Normal 60 3 2 9 2 3" xfId="34235"/>
    <cellStyle name="Normal 60 3 2 9 2 4" xfId="34236"/>
    <cellStyle name="Normal 60 3 2 9 2 5" xfId="34237"/>
    <cellStyle name="Normal 60 3 2 9 2 6" xfId="34238"/>
    <cellStyle name="Normal 60 3 2 9 3" xfId="34239"/>
    <cellStyle name="Normal 60 3 2 9 4" xfId="34240"/>
    <cellStyle name="Normal 60 3 20" xfId="34241"/>
    <cellStyle name="Normal 60 3 20 2" xfId="34242"/>
    <cellStyle name="Normal 60 3 20 3" xfId="34243"/>
    <cellStyle name="Normal 60 3 20 4" xfId="34244"/>
    <cellStyle name="Normal 60 3 20 5" xfId="34245"/>
    <cellStyle name="Normal 60 3 20 6" xfId="34246"/>
    <cellStyle name="Normal 60 3 21" xfId="34247"/>
    <cellStyle name="Normal 60 3 22" xfId="34248"/>
    <cellStyle name="Normal 60 3 3" xfId="34249"/>
    <cellStyle name="Normal 60 3 3 10" xfId="34250"/>
    <cellStyle name="Normal 60 3 3 10 2" xfId="34251"/>
    <cellStyle name="Normal 60 3 3 10 2 2" xfId="34252"/>
    <cellStyle name="Normal 60 3 3 10 2 3" xfId="34253"/>
    <cellStyle name="Normal 60 3 3 10 2 4" xfId="34254"/>
    <cellStyle name="Normal 60 3 3 10 2 5" xfId="34255"/>
    <cellStyle name="Normal 60 3 3 10 2 6" xfId="34256"/>
    <cellStyle name="Normal 60 3 3 10 3" xfId="34257"/>
    <cellStyle name="Normal 60 3 3 10 4" xfId="34258"/>
    <cellStyle name="Normal 60 3 3 11" xfId="34259"/>
    <cellStyle name="Normal 60 3 3 11 2" xfId="34260"/>
    <cellStyle name="Normal 60 3 3 11 2 2" xfId="34261"/>
    <cellStyle name="Normal 60 3 3 11 2 3" xfId="34262"/>
    <cellStyle name="Normal 60 3 3 11 2 4" xfId="34263"/>
    <cellStyle name="Normal 60 3 3 11 2 5" xfId="34264"/>
    <cellStyle name="Normal 60 3 3 11 2 6" xfId="34265"/>
    <cellStyle name="Normal 60 3 3 11 3" xfId="34266"/>
    <cellStyle name="Normal 60 3 3 11 4" xfId="34267"/>
    <cellStyle name="Normal 60 3 3 12" xfId="34268"/>
    <cellStyle name="Normal 60 3 3 12 2" xfId="34269"/>
    <cellStyle name="Normal 60 3 3 12 2 2" xfId="34270"/>
    <cellStyle name="Normal 60 3 3 12 2 3" xfId="34271"/>
    <cellStyle name="Normal 60 3 3 12 2 4" xfId="34272"/>
    <cellStyle name="Normal 60 3 3 12 2 5" xfId="34273"/>
    <cellStyle name="Normal 60 3 3 12 2 6" xfId="34274"/>
    <cellStyle name="Normal 60 3 3 12 3" xfId="34275"/>
    <cellStyle name="Normal 60 3 3 12 4" xfId="34276"/>
    <cellStyle name="Normal 60 3 3 13" xfId="34277"/>
    <cellStyle name="Normal 60 3 3 13 2" xfId="34278"/>
    <cellStyle name="Normal 60 3 3 13 2 2" xfId="34279"/>
    <cellStyle name="Normal 60 3 3 13 2 3" xfId="34280"/>
    <cellStyle name="Normal 60 3 3 13 2 4" xfId="34281"/>
    <cellStyle name="Normal 60 3 3 13 2 5" xfId="34282"/>
    <cellStyle name="Normal 60 3 3 13 2 6" xfId="34283"/>
    <cellStyle name="Normal 60 3 3 13 3" xfId="34284"/>
    <cellStyle name="Normal 60 3 3 13 4" xfId="34285"/>
    <cellStyle name="Normal 60 3 3 14" xfId="34286"/>
    <cellStyle name="Normal 60 3 3 14 2" xfId="34287"/>
    <cellStyle name="Normal 60 3 3 14 2 2" xfId="34288"/>
    <cellStyle name="Normal 60 3 3 14 2 3" xfId="34289"/>
    <cellStyle name="Normal 60 3 3 14 2 4" xfId="34290"/>
    <cellStyle name="Normal 60 3 3 14 2 5" xfId="34291"/>
    <cellStyle name="Normal 60 3 3 14 2 6" xfId="34292"/>
    <cellStyle name="Normal 60 3 3 14 3" xfId="34293"/>
    <cellStyle name="Normal 60 3 3 14 4" xfId="34294"/>
    <cellStyle name="Normal 60 3 3 15" xfId="34295"/>
    <cellStyle name="Normal 60 3 3 15 2" xfId="34296"/>
    <cellStyle name="Normal 60 3 3 15 2 2" xfId="34297"/>
    <cellStyle name="Normal 60 3 3 15 2 3" xfId="34298"/>
    <cellStyle name="Normal 60 3 3 15 2 4" xfId="34299"/>
    <cellStyle name="Normal 60 3 3 15 2 5" xfId="34300"/>
    <cellStyle name="Normal 60 3 3 15 2 6" xfId="34301"/>
    <cellStyle name="Normal 60 3 3 15 3" xfId="34302"/>
    <cellStyle name="Normal 60 3 3 15 4" xfId="34303"/>
    <cellStyle name="Normal 60 3 3 16" xfId="34304"/>
    <cellStyle name="Normal 60 3 3 16 2" xfId="34305"/>
    <cellStyle name="Normal 60 3 3 16 2 2" xfId="34306"/>
    <cellStyle name="Normal 60 3 3 16 2 3" xfId="34307"/>
    <cellStyle name="Normal 60 3 3 16 2 4" xfId="34308"/>
    <cellStyle name="Normal 60 3 3 16 2 5" xfId="34309"/>
    <cellStyle name="Normal 60 3 3 16 2 6" xfId="34310"/>
    <cellStyle name="Normal 60 3 3 16 3" xfId="34311"/>
    <cellStyle name="Normal 60 3 3 16 4" xfId="34312"/>
    <cellStyle name="Normal 60 3 3 17" xfId="34313"/>
    <cellStyle name="Normal 60 3 3 18" xfId="34314"/>
    <cellStyle name="Normal 60 3 3 18 2" xfId="34315"/>
    <cellStyle name="Normal 60 3 3 18 3" xfId="34316"/>
    <cellStyle name="Normal 60 3 3 18 4" xfId="34317"/>
    <cellStyle name="Normal 60 3 3 18 5" xfId="34318"/>
    <cellStyle name="Normal 60 3 3 18 6" xfId="34319"/>
    <cellStyle name="Normal 60 3 3 19" xfId="34320"/>
    <cellStyle name="Normal 60 3 3 19 2" xfId="34321"/>
    <cellStyle name="Normal 60 3 3 19 3" xfId="34322"/>
    <cellStyle name="Normal 60 3 3 19 4" xfId="34323"/>
    <cellStyle name="Normal 60 3 3 19 5" xfId="34324"/>
    <cellStyle name="Normal 60 3 3 19 6" xfId="34325"/>
    <cellStyle name="Normal 60 3 3 2" xfId="34326"/>
    <cellStyle name="Normal 60 3 3 2 2" xfId="34327"/>
    <cellStyle name="Normal 60 3 3 2 2 2" xfId="34328"/>
    <cellStyle name="Normal 60 3 3 2 2 3" xfId="34329"/>
    <cellStyle name="Normal 60 3 3 2 2 4" xfId="34330"/>
    <cellStyle name="Normal 60 3 3 2 2 5" xfId="34331"/>
    <cellStyle name="Normal 60 3 3 2 2 6" xfId="34332"/>
    <cellStyle name="Normal 60 3 3 2 3" xfId="34333"/>
    <cellStyle name="Normal 60 3 3 2 4" xfId="34334"/>
    <cellStyle name="Normal 60 3 3 3" xfId="34335"/>
    <cellStyle name="Normal 60 3 3 3 2" xfId="34336"/>
    <cellStyle name="Normal 60 3 3 3 2 2" xfId="34337"/>
    <cellStyle name="Normal 60 3 3 3 2 3" xfId="34338"/>
    <cellStyle name="Normal 60 3 3 3 2 4" xfId="34339"/>
    <cellStyle name="Normal 60 3 3 3 2 5" xfId="34340"/>
    <cellStyle name="Normal 60 3 3 3 2 6" xfId="34341"/>
    <cellStyle name="Normal 60 3 3 3 3" xfId="34342"/>
    <cellStyle name="Normal 60 3 3 3 4" xfId="34343"/>
    <cellStyle name="Normal 60 3 3 4" xfId="34344"/>
    <cellStyle name="Normal 60 3 3 4 2" xfId="34345"/>
    <cellStyle name="Normal 60 3 3 4 2 2" xfId="34346"/>
    <cellStyle name="Normal 60 3 3 4 2 3" xfId="34347"/>
    <cellStyle name="Normal 60 3 3 4 2 4" xfId="34348"/>
    <cellStyle name="Normal 60 3 3 4 2 5" xfId="34349"/>
    <cellStyle name="Normal 60 3 3 4 2 6" xfId="34350"/>
    <cellStyle name="Normal 60 3 3 4 3" xfId="34351"/>
    <cellStyle name="Normal 60 3 3 4 4" xfId="34352"/>
    <cellStyle name="Normal 60 3 3 5" xfId="34353"/>
    <cellStyle name="Normal 60 3 3 5 2" xfId="34354"/>
    <cellStyle name="Normal 60 3 3 5 2 2" xfId="34355"/>
    <cellStyle name="Normal 60 3 3 5 2 3" xfId="34356"/>
    <cellStyle name="Normal 60 3 3 5 2 4" xfId="34357"/>
    <cellStyle name="Normal 60 3 3 5 2 5" xfId="34358"/>
    <cellStyle name="Normal 60 3 3 5 2 6" xfId="34359"/>
    <cellStyle name="Normal 60 3 3 5 3" xfId="34360"/>
    <cellStyle name="Normal 60 3 3 5 4" xfId="34361"/>
    <cellStyle name="Normal 60 3 3 6" xfId="34362"/>
    <cellStyle name="Normal 60 3 3 6 2" xfId="34363"/>
    <cellStyle name="Normal 60 3 3 6 2 2" xfId="34364"/>
    <cellStyle name="Normal 60 3 3 6 2 3" xfId="34365"/>
    <cellStyle name="Normal 60 3 3 6 2 4" xfId="34366"/>
    <cellStyle name="Normal 60 3 3 6 2 5" xfId="34367"/>
    <cellStyle name="Normal 60 3 3 6 2 6" xfId="34368"/>
    <cellStyle name="Normal 60 3 3 6 3" xfId="34369"/>
    <cellStyle name="Normal 60 3 3 6 4" xfId="34370"/>
    <cellStyle name="Normal 60 3 3 7" xfId="34371"/>
    <cellStyle name="Normal 60 3 3 7 2" xfId="34372"/>
    <cellStyle name="Normal 60 3 3 7 2 2" xfId="34373"/>
    <cellStyle name="Normal 60 3 3 7 2 3" xfId="34374"/>
    <cellStyle name="Normal 60 3 3 7 2 4" xfId="34375"/>
    <cellStyle name="Normal 60 3 3 7 2 5" xfId="34376"/>
    <cellStyle name="Normal 60 3 3 7 2 6" xfId="34377"/>
    <cellStyle name="Normal 60 3 3 7 3" xfId="34378"/>
    <cellStyle name="Normal 60 3 3 7 4" xfId="34379"/>
    <cellStyle name="Normal 60 3 3 8" xfId="34380"/>
    <cellStyle name="Normal 60 3 3 8 2" xfId="34381"/>
    <cellStyle name="Normal 60 3 3 8 2 2" xfId="34382"/>
    <cellStyle name="Normal 60 3 3 8 2 3" xfId="34383"/>
    <cellStyle name="Normal 60 3 3 8 2 4" xfId="34384"/>
    <cellStyle name="Normal 60 3 3 8 2 5" xfId="34385"/>
    <cellStyle name="Normal 60 3 3 8 2 6" xfId="34386"/>
    <cellStyle name="Normal 60 3 3 8 3" xfId="34387"/>
    <cellStyle name="Normal 60 3 3 8 4" xfId="34388"/>
    <cellStyle name="Normal 60 3 3 9" xfId="34389"/>
    <cellStyle name="Normal 60 3 3 9 2" xfId="34390"/>
    <cellStyle name="Normal 60 3 3 9 2 2" xfId="34391"/>
    <cellStyle name="Normal 60 3 3 9 2 3" xfId="34392"/>
    <cellStyle name="Normal 60 3 3 9 2 4" xfId="34393"/>
    <cellStyle name="Normal 60 3 3 9 2 5" xfId="34394"/>
    <cellStyle name="Normal 60 3 3 9 2 6" xfId="34395"/>
    <cellStyle name="Normal 60 3 3 9 3" xfId="34396"/>
    <cellStyle name="Normal 60 3 3 9 4" xfId="34397"/>
    <cellStyle name="Normal 60 3 4" xfId="34398"/>
    <cellStyle name="Normal 60 3 4 2" xfId="34399"/>
    <cellStyle name="Normal 60 3 4 2 2" xfId="34400"/>
    <cellStyle name="Normal 60 3 4 2 3" xfId="34401"/>
    <cellStyle name="Normal 60 3 4 2 4" xfId="34402"/>
    <cellStyle name="Normal 60 3 4 2 5" xfId="34403"/>
    <cellStyle name="Normal 60 3 4 2 6" xfId="34404"/>
    <cellStyle name="Normal 60 3 4 3" xfId="34405"/>
    <cellStyle name="Normal 60 3 4 4" xfId="34406"/>
    <cellStyle name="Normal 60 3 5" xfId="34407"/>
    <cellStyle name="Normal 60 3 5 2" xfId="34408"/>
    <cellStyle name="Normal 60 3 5 2 2" xfId="34409"/>
    <cellStyle name="Normal 60 3 5 2 3" xfId="34410"/>
    <cellStyle name="Normal 60 3 5 2 4" xfId="34411"/>
    <cellStyle name="Normal 60 3 5 2 5" xfId="34412"/>
    <cellStyle name="Normal 60 3 5 2 6" xfId="34413"/>
    <cellStyle name="Normal 60 3 5 3" xfId="34414"/>
    <cellStyle name="Normal 60 3 5 4" xfId="34415"/>
    <cellStyle name="Normal 60 3 6" xfId="34416"/>
    <cellStyle name="Normal 60 3 6 2" xfId="34417"/>
    <cellStyle name="Normal 60 3 6 3" xfId="34418"/>
    <cellStyle name="Normal 60 3 6 3 2" xfId="34419"/>
    <cellStyle name="Normal 60 3 6 3 3" xfId="34420"/>
    <cellStyle name="Normal 60 3 6 3 4" xfId="34421"/>
    <cellStyle name="Normal 60 3 6 3 5" xfId="34422"/>
    <cellStyle name="Normal 60 3 6 3 6" xfId="34423"/>
    <cellStyle name="Normal 60 3 6 4" xfId="34424"/>
    <cellStyle name="Normal 60 3 6 4 2" xfId="34425"/>
    <cellStyle name="Normal 60 3 6 4 3" xfId="34426"/>
    <cellStyle name="Normal 60 3 6 4 4" xfId="34427"/>
    <cellStyle name="Normal 60 3 6 4 5" xfId="34428"/>
    <cellStyle name="Normal 60 3 6 4 6" xfId="34429"/>
    <cellStyle name="Normal 60 3 7" xfId="34430"/>
    <cellStyle name="Normal 60 3 7 2" xfId="34431"/>
    <cellStyle name="Normal 60 3 7 3" xfId="34432"/>
    <cellStyle name="Normal 60 3 7 3 2" xfId="34433"/>
    <cellStyle name="Normal 60 3 7 3 3" xfId="34434"/>
    <cellStyle name="Normal 60 3 7 3 4" xfId="34435"/>
    <cellStyle name="Normal 60 3 7 3 5" xfId="34436"/>
    <cellStyle name="Normal 60 3 7 3 6" xfId="34437"/>
    <cellStyle name="Normal 60 3 7 4" xfId="34438"/>
    <cellStyle name="Normal 60 3 7 4 2" xfId="34439"/>
    <cellStyle name="Normal 60 3 7 4 3" xfId="34440"/>
    <cellStyle name="Normal 60 3 7 4 4" xfId="34441"/>
    <cellStyle name="Normal 60 3 7 4 5" xfId="34442"/>
    <cellStyle name="Normal 60 3 7 4 6" xfId="34443"/>
    <cellStyle name="Normal 60 3 8" xfId="34444"/>
    <cellStyle name="Normal 60 3 8 2" xfId="34445"/>
    <cellStyle name="Normal 60 3 8 3" xfId="34446"/>
    <cellStyle name="Normal 60 3 8 3 2" xfId="34447"/>
    <cellStyle name="Normal 60 3 8 3 3" xfId="34448"/>
    <cellStyle name="Normal 60 3 8 3 4" xfId="34449"/>
    <cellStyle name="Normal 60 3 8 3 5" xfId="34450"/>
    <cellStyle name="Normal 60 3 8 3 6" xfId="34451"/>
    <cellStyle name="Normal 60 3 8 4" xfId="34452"/>
    <cellStyle name="Normal 60 3 8 4 2" xfId="34453"/>
    <cellStyle name="Normal 60 3 8 4 3" xfId="34454"/>
    <cellStyle name="Normal 60 3 8 4 4" xfId="34455"/>
    <cellStyle name="Normal 60 3 8 4 5" xfId="34456"/>
    <cellStyle name="Normal 60 3 8 4 6" xfId="34457"/>
    <cellStyle name="Normal 60 3 9" xfId="34458"/>
    <cellStyle name="Normal 60 3 9 2" xfId="34459"/>
    <cellStyle name="Normal 60 3 9 3" xfId="34460"/>
    <cellStyle name="Normal 60 3 9 3 2" xfId="34461"/>
    <cellStyle name="Normal 60 3 9 3 3" xfId="34462"/>
    <cellStyle name="Normal 60 3 9 3 4" xfId="34463"/>
    <cellStyle name="Normal 60 3 9 3 5" xfId="34464"/>
    <cellStyle name="Normal 60 3 9 3 6" xfId="34465"/>
    <cellStyle name="Normal 60 3 9 4" xfId="34466"/>
    <cellStyle name="Normal 60 3 9 4 2" xfId="34467"/>
    <cellStyle name="Normal 60 3 9 4 3" xfId="34468"/>
    <cellStyle name="Normal 60 3 9 4 4" xfId="34469"/>
    <cellStyle name="Normal 60 3 9 4 5" xfId="34470"/>
    <cellStyle name="Normal 60 3 9 4 6" xfId="34471"/>
    <cellStyle name="Normal 60 4" xfId="34472"/>
    <cellStyle name="Normal 60 4 2" xfId="34473"/>
    <cellStyle name="Normal 60 4 2 2" xfId="34474"/>
    <cellStyle name="Normal 60 4 2 3" xfId="34475"/>
    <cellStyle name="Normal 60 4 2 4" xfId="34476"/>
    <cellStyle name="Normal 60 4 2 5" xfId="34477"/>
    <cellStyle name="Normal 60 4 2 6" xfId="34478"/>
    <cellStyle name="Normal 60 4 3" xfId="34479"/>
    <cellStyle name="Normal 60 4 4" xfId="34480"/>
    <cellStyle name="Normal 60 5" xfId="34481"/>
    <cellStyle name="Normal 60 5 2" xfId="34482"/>
    <cellStyle name="Normal 60 5 3" xfId="34483"/>
    <cellStyle name="Normal 60 5 3 2" xfId="34484"/>
    <cellStyle name="Normal 60 5 3 3" xfId="34485"/>
    <cellStyle name="Normal 60 5 3 4" xfId="34486"/>
    <cellStyle name="Normal 60 5 3 5" xfId="34487"/>
    <cellStyle name="Normal 60 5 3 6" xfId="34488"/>
    <cellStyle name="Normal 60 5 4" xfId="34489"/>
    <cellStyle name="Normal 60 5 4 2" xfId="34490"/>
    <cellStyle name="Normal 60 5 4 3" xfId="34491"/>
    <cellStyle name="Normal 60 5 4 4" xfId="34492"/>
    <cellStyle name="Normal 60 5 4 5" xfId="34493"/>
    <cellStyle name="Normal 60 5 4 6" xfId="34494"/>
    <cellStyle name="Normal 60 6" xfId="34495"/>
    <cellStyle name="Normal 60 6 2" xfId="34496"/>
    <cellStyle name="Normal 60 6 3" xfId="34497"/>
    <cellStyle name="Normal 60 6 3 2" xfId="34498"/>
    <cellStyle name="Normal 60 6 3 3" xfId="34499"/>
    <cellStyle name="Normal 60 6 3 4" xfId="34500"/>
    <cellStyle name="Normal 60 6 3 5" xfId="34501"/>
    <cellStyle name="Normal 60 6 3 6" xfId="34502"/>
    <cellStyle name="Normal 60 6 4" xfId="34503"/>
    <cellStyle name="Normal 60 6 4 2" xfId="34504"/>
    <cellStyle name="Normal 60 6 4 3" xfId="34505"/>
    <cellStyle name="Normal 60 6 4 4" xfId="34506"/>
    <cellStyle name="Normal 60 6 4 5" xfId="34507"/>
    <cellStyle name="Normal 60 6 4 6" xfId="34508"/>
    <cellStyle name="Normal 60 7" xfId="34509"/>
    <cellStyle name="Normal 60 7 2" xfId="34510"/>
    <cellStyle name="Normal 60 7 3" xfId="34511"/>
    <cellStyle name="Normal 60 7 3 2" xfId="34512"/>
    <cellStyle name="Normal 60 7 3 3" xfId="34513"/>
    <cellStyle name="Normal 60 7 3 4" xfId="34514"/>
    <cellStyle name="Normal 60 7 3 5" xfId="34515"/>
    <cellStyle name="Normal 60 7 3 6" xfId="34516"/>
    <cellStyle name="Normal 60 7 4" xfId="34517"/>
    <cellStyle name="Normal 60 7 4 2" xfId="34518"/>
    <cellStyle name="Normal 60 7 4 3" xfId="34519"/>
    <cellStyle name="Normal 60 7 4 4" xfId="34520"/>
    <cellStyle name="Normal 60 7 4 5" xfId="34521"/>
    <cellStyle name="Normal 60 7 4 6" xfId="34522"/>
    <cellStyle name="Normal 60 8" xfId="34523"/>
    <cellStyle name="Normal 60 9" xfId="34524"/>
    <cellStyle name="Normal 60 9 2" xfId="34525"/>
    <cellStyle name="Normal 60 9 3" xfId="34526"/>
    <cellStyle name="Normal 60 9 4" xfId="34527"/>
    <cellStyle name="Normal 60 9 5" xfId="34528"/>
    <cellStyle name="Normal 60 9 6" xfId="34529"/>
    <cellStyle name="Normal 61" xfId="34530"/>
    <cellStyle name="Normal 61 10" xfId="34531"/>
    <cellStyle name="Normal 61 10 2" xfId="34532"/>
    <cellStyle name="Normal 61 10 3" xfId="34533"/>
    <cellStyle name="Normal 61 10 4" xfId="34534"/>
    <cellStyle name="Normal 61 10 5" xfId="34535"/>
    <cellStyle name="Normal 61 10 6" xfId="34536"/>
    <cellStyle name="Normal 61 2" xfId="34537"/>
    <cellStyle name="Normal 61 2 2" xfId="34538"/>
    <cellStyle name="Normal 61 2 2 2" xfId="34539"/>
    <cellStyle name="Normal 61 2 2 2 2" xfId="34540"/>
    <cellStyle name="Normal 61 2 2 2 2 2" xfId="34541"/>
    <cellStyle name="Normal 61 2 2 2 2 3" xfId="34542"/>
    <cellStyle name="Normal 61 2 2 2 2 4" xfId="34543"/>
    <cellStyle name="Normal 61 2 2 2 2 5" xfId="34544"/>
    <cellStyle name="Normal 61 2 2 2 2 6" xfId="34545"/>
    <cellStyle name="Normal 61 2 2 2 3" xfId="34546"/>
    <cellStyle name="Normal 61 2 2 2 3 2" xfId="34547"/>
    <cellStyle name="Normal 61 2 2 2 3 3" xfId="34548"/>
    <cellStyle name="Normal 61 2 2 2 3 4" xfId="34549"/>
    <cellStyle name="Normal 61 2 2 2 3 5" xfId="34550"/>
    <cellStyle name="Normal 61 2 2 2 3 6" xfId="34551"/>
    <cellStyle name="Normal 61 2 2 2 4" xfId="34552"/>
    <cellStyle name="Normal 61 2 2 2 4 2" xfId="34553"/>
    <cellStyle name="Normal 61 2 2 2 4 3" xfId="34554"/>
    <cellStyle name="Normal 61 2 2 2 4 4" xfId="34555"/>
    <cellStyle name="Normal 61 2 2 2 4 5" xfId="34556"/>
    <cellStyle name="Normal 61 2 2 2 4 6" xfId="34557"/>
    <cellStyle name="Normal 61 2 2 3" xfId="34558"/>
    <cellStyle name="Normal 61 2 2 4" xfId="34559"/>
    <cellStyle name="Normal 61 2 2 4 2" xfId="34560"/>
    <cellStyle name="Normal 61 2 2 4 3" xfId="34561"/>
    <cellStyle name="Normal 61 2 2 4 4" xfId="34562"/>
    <cellStyle name="Normal 61 2 2 4 5" xfId="34563"/>
    <cellStyle name="Normal 61 2 2 4 6" xfId="34564"/>
    <cellStyle name="Normal 61 2 2 5" xfId="34565"/>
    <cellStyle name="Normal 61 2 2 5 2" xfId="34566"/>
    <cellStyle name="Normal 61 2 2 5 3" xfId="34567"/>
    <cellStyle name="Normal 61 2 2 5 4" xfId="34568"/>
    <cellStyle name="Normal 61 2 2 5 5" xfId="34569"/>
    <cellStyle name="Normal 61 2 2 5 6" xfId="34570"/>
    <cellStyle name="Normal 61 2 3" xfId="34571"/>
    <cellStyle name="Normal 61 2 3 2" xfId="34572"/>
    <cellStyle name="Normal 61 2 3 2 2" xfId="34573"/>
    <cellStyle name="Normal 61 2 3 2 3" xfId="34574"/>
    <cellStyle name="Normal 61 2 3 2 4" xfId="34575"/>
    <cellStyle name="Normal 61 2 3 2 5" xfId="34576"/>
    <cellStyle name="Normal 61 2 3 2 6" xfId="34577"/>
    <cellStyle name="Normal 61 2 3 3" xfId="34578"/>
    <cellStyle name="Normal 61 2 3 3 2" xfId="34579"/>
    <cellStyle name="Normal 61 2 3 3 3" xfId="34580"/>
    <cellStyle name="Normal 61 2 3 3 4" xfId="34581"/>
    <cellStyle name="Normal 61 2 3 3 5" xfId="34582"/>
    <cellStyle name="Normal 61 2 3 3 6" xfId="34583"/>
    <cellStyle name="Normal 61 2 3 4" xfId="34584"/>
    <cellStyle name="Normal 61 2 3 4 2" xfId="34585"/>
    <cellStyle name="Normal 61 2 3 4 3" xfId="34586"/>
    <cellStyle name="Normal 61 2 3 4 4" xfId="34587"/>
    <cellStyle name="Normal 61 2 3 4 5" xfId="34588"/>
    <cellStyle name="Normal 61 2 3 4 6" xfId="34589"/>
    <cellStyle name="Normal 61 2 4" xfId="34590"/>
    <cellStyle name="Normal 61 2 4 2" xfId="34591"/>
    <cellStyle name="Normal 61 2 4 3" xfId="34592"/>
    <cellStyle name="Normal 61 2 4 4" xfId="34593"/>
    <cellStyle name="Normal 61 2 4 5" xfId="34594"/>
    <cellStyle name="Normal 61 2 4 6" xfId="34595"/>
    <cellStyle name="Normal 61 2 5" xfId="34596"/>
    <cellStyle name="Normal 61 2 5 2" xfId="34597"/>
    <cellStyle name="Normal 61 2 5 3" xfId="34598"/>
    <cellStyle name="Normal 61 2 5 4" xfId="34599"/>
    <cellStyle name="Normal 61 2 5 5" xfId="34600"/>
    <cellStyle name="Normal 61 2 5 6" xfId="34601"/>
    <cellStyle name="Normal 61 2 6" xfId="34602"/>
    <cellStyle name="Normal 61 2 6 2" xfId="34603"/>
    <cellStyle name="Normal 61 2 6 3" xfId="34604"/>
    <cellStyle name="Normal 61 2 6 4" xfId="34605"/>
    <cellStyle name="Normal 61 2 6 5" xfId="34606"/>
    <cellStyle name="Normal 61 2 6 6" xfId="34607"/>
    <cellStyle name="Normal 61 3" xfId="34608"/>
    <cellStyle name="Normal 61 3 10" xfId="34609"/>
    <cellStyle name="Normal 61 3 10 2" xfId="34610"/>
    <cellStyle name="Normal 61 3 10 3" xfId="34611"/>
    <cellStyle name="Normal 61 3 10 3 2" xfId="34612"/>
    <cellStyle name="Normal 61 3 10 3 3" xfId="34613"/>
    <cellStyle name="Normal 61 3 10 3 4" xfId="34614"/>
    <cellStyle name="Normal 61 3 10 3 5" xfId="34615"/>
    <cellStyle name="Normal 61 3 10 3 6" xfId="34616"/>
    <cellStyle name="Normal 61 3 10 4" xfId="34617"/>
    <cellStyle name="Normal 61 3 10 4 2" xfId="34618"/>
    <cellStyle name="Normal 61 3 10 4 3" xfId="34619"/>
    <cellStyle name="Normal 61 3 10 4 4" xfId="34620"/>
    <cellStyle name="Normal 61 3 10 4 5" xfId="34621"/>
    <cellStyle name="Normal 61 3 10 4 6" xfId="34622"/>
    <cellStyle name="Normal 61 3 11" xfId="34623"/>
    <cellStyle name="Normal 61 3 11 2" xfId="34624"/>
    <cellStyle name="Normal 61 3 11 3" xfId="34625"/>
    <cellStyle name="Normal 61 3 11 3 2" xfId="34626"/>
    <cellStyle name="Normal 61 3 11 3 3" xfId="34627"/>
    <cellStyle name="Normal 61 3 11 3 4" xfId="34628"/>
    <cellStyle name="Normal 61 3 11 3 5" xfId="34629"/>
    <cellStyle name="Normal 61 3 11 3 6" xfId="34630"/>
    <cellStyle name="Normal 61 3 11 4" xfId="34631"/>
    <cellStyle name="Normal 61 3 11 4 2" xfId="34632"/>
    <cellStyle name="Normal 61 3 11 4 3" xfId="34633"/>
    <cellStyle name="Normal 61 3 11 4 4" xfId="34634"/>
    <cellStyle name="Normal 61 3 11 4 5" xfId="34635"/>
    <cellStyle name="Normal 61 3 11 4 6" xfId="34636"/>
    <cellStyle name="Normal 61 3 12" xfId="34637"/>
    <cellStyle name="Normal 61 3 12 2" xfId="34638"/>
    <cellStyle name="Normal 61 3 12 3" xfId="34639"/>
    <cellStyle name="Normal 61 3 12 3 2" xfId="34640"/>
    <cellStyle name="Normal 61 3 12 3 3" xfId="34641"/>
    <cellStyle name="Normal 61 3 12 3 4" xfId="34642"/>
    <cellStyle name="Normal 61 3 12 3 5" xfId="34643"/>
    <cellStyle name="Normal 61 3 12 3 6" xfId="34644"/>
    <cellStyle name="Normal 61 3 12 4" xfId="34645"/>
    <cellStyle name="Normal 61 3 12 4 2" xfId="34646"/>
    <cellStyle name="Normal 61 3 12 4 3" xfId="34647"/>
    <cellStyle name="Normal 61 3 12 4 4" xfId="34648"/>
    <cellStyle name="Normal 61 3 12 4 5" xfId="34649"/>
    <cellStyle name="Normal 61 3 12 4 6" xfId="34650"/>
    <cellStyle name="Normal 61 3 13" xfId="34651"/>
    <cellStyle name="Normal 61 3 13 2" xfId="34652"/>
    <cellStyle name="Normal 61 3 13 3" xfId="34653"/>
    <cellStyle name="Normal 61 3 13 3 2" xfId="34654"/>
    <cellStyle name="Normal 61 3 13 3 3" xfId="34655"/>
    <cellStyle name="Normal 61 3 13 3 4" xfId="34656"/>
    <cellStyle name="Normal 61 3 13 3 5" xfId="34657"/>
    <cellStyle name="Normal 61 3 13 3 6" xfId="34658"/>
    <cellStyle name="Normal 61 3 13 4" xfId="34659"/>
    <cellStyle name="Normal 61 3 13 4 2" xfId="34660"/>
    <cellStyle name="Normal 61 3 13 4 3" xfId="34661"/>
    <cellStyle name="Normal 61 3 13 4 4" xfId="34662"/>
    <cellStyle name="Normal 61 3 13 4 5" xfId="34663"/>
    <cellStyle name="Normal 61 3 13 4 6" xfId="34664"/>
    <cellStyle name="Normal 61 3 14" xfId="34665"/>
    <cellStyle name="Normal 61 3 14 2" xfId="34666"/>
    <cellStyle name="Normal 61 3 14 3" xfId="34667"/>
    <cellStyle name="Normal 61 3 14 3 2" xfId="34668"/>
    <cellStyle name="Normal 61 3 14 3 3" xfId="34669"/>
    <cellStyle name="Normal 61 3 14 3 4" xfId="34670"/>
    <cellStyle name="Normal 61 3 14 3 5" xfId="34671"/>
    <cellStyle name="Normal 61 3 14 3 6" xfId="34672"/>
    <cellStyle name="Normal 61 3 14 4" xfId="34673"/>
    <cellStyle name="Normal 61 3 14 4 2" xfId="34674"/>
    <cellStyle name="Normal 61 3 14 4 3" xfId="34675"/>
    <cellStyle name="Normal 61 3 14 4 4" xfId="34676"/>
    <cellStyle name="Normal 61 3 14 4 5" xfId="34677"/>
    <cellStyle name="Normal 61 3 14 4 6" xfId="34678"/>
    <cellStyle name="Normal 61 3 15" xfId="34679"/>
    <cellStyle name="Normal 61 3 15 2" xfId="34680"/>
    <cellStyle name="Normal 61 3 15 3" xfId="34681"/>
    <cellStyle name="Normal 61 3 15 3 2" xfId="34682"/>
    <cellStyle name="Normal 61 3 15 3 3" xfId="34683"/>
    <cellStyle name="Normal 61 3 15 3 4" xfId="34684"/>
    <cellStyle name="Normal 61 3 15 3 5" xfId="34685"/>
    <cellStyle name="Normal 61 3 15 3 6" xfId="34686"/>
    <cellStyle name="Normal 61 3 15 4" xfId="34687"/>
    <cellStyle name="Normal 61 3 15 4 2" xfId="34688"/>
    <cellStyle name="Normal 61 3 15 4 3" xfId="34689"/>
    <cellStyle name="Normal 61 3 15 4 4" xfId="34690"/>
    <cellStyle name="Normal 61 3 15 4 5" xfId="34691"/>
    <cellStyle name="Normal 61 3 15 4 6" xfId="34692"/>
    <cellStyle name="Normal 61 3 16" xfId="34693"/>
    <cellStyle name="Normal 61 3 16 2" xfId="34694"/>
    <cellStyle name="Normal 61 3 16 3" xfId="34695"/>
    <cellStyle name="Normal 61 3 16 3 2" xfId="34696"/>
    <cellStyle name="Normal 61 3 16 3 3" xfId="34697"/>
    <cellStyle name="Normal 61 3 16 3 4" xfId="34698"/>
    <cellStyle name="Normal 61 3 16 3 5" xfId="34699"/>
    <cellStyle name="Normal 61 3 16 3 6" xfId="34700"/>
    <cellStyle name="Normal 61 3 16 4" xfId="34701"/>
    <cellStyle name="Normal 61 3 16 4 2" xfId="34702"/>
    <cellStyle name="Normal 61 3 16 4 3" xfId="34703"/>
    <cellStyle name="Normal 61 3 16 4 4" xfId="34704"/>
    <cellStyle name="Normal 61 3 16 4 5" xfId="34705"/>
    <cellStyle name="Normal 61 3 16 4 6" xfId="34706"/>
    <cellStyle name="Normal 61 3 17" xfId="34707"/>
    <cellStyle name="Normal 61 3 17 2" xfId="34708"/>
    <cellStyle name="Normal 61 3 17 3" xfId="34709"/>
    <cellStyle name="Normal 61 3 17 3 2" xfId="34710"/>
    <cellStyle name="Normal 61 3 17 3 3" xfId="34711"/>
    <cellStyle name="Normal 61 3 17 3 4" xfId="34712"/>
    <cellStyle name="Normal 61 3 17 3 5" xfId="34713"/>
    <cellStyle name="Normal 61 3 17 3 6" xfId="34714"/>
    <cellStyle name="Normal 61 3 17 4" xfId="34715"/>
    <cellStyle name="Normal 61 3 17 4 2" xfId="34716"/>
    <cellStyle name="Normal 61 3 17 4 3" xfId="34717"/>
    <cellStyle name="Normal 61 3 17 4 4" xfId="34718"/>
    <cellStyle name="Normal 61 3 17 4 5" xfId="34719"/>
    <cellStyle name="Normal 61 3 17 4 6" xfId="34720"/>
    <cellStyle name="Normal 61 3 18" xfId="34721"/>
    <cellStyle name="Normal 61 3 18 2" xfId="34722"/>
    <cellStyle name="Normal 61 3 18 3" xfId="34723"/>
    <cellStyle name="Normal 61 3 18 3 2" xfId="34724"/>
    <cellStyle name="Normal 61 3 18 3 3" xfId="34725"/>
    <cellStyle name="Normal 61 3 18 3 4" xfId="34726"/>
    <cellStyle name="Normal 61 3 18 3 5" xfId="34727"/>
    <cellStyle name="Normal 61 3 18 3 6" xfId="34728"/>
    <cellStyle name="Normal 61 3 18 4" xfId="34729"/>
    <cellStyle name="Normal 61 3 18 4 2" xfId="34730"/>
    <cellStyle name="Normal 61 3 18 4 3" xfId="34731"/>
    <cellStyle name="Normal 61 3 18 4 4" xfId="34732"/>
    <cellStyle name="Normal 61 3 18 4 5" xfId="34733"/>
    <cellStyle name="Normal 61 3 18 4 6" xfId="34734"/>
    <cellStyle name="Normal 61 3 19" xfId="34735"/>
    <cellStyle name="Normal 61 3 19 2" xfId="34736"/>
    <cellStyle name="Normal 61 3 19 3" xfId="34737"/>
    <cellStyle name="Normal 61 3 19 3 2" xfId="34738"/>
    <cellStyle name="Normal 61 3 19 3 3" xfId="34739"/>
    <cellStyle name="Normal 61 3 19 3 4" xfId="34740"/>
    <cellStyle name="Normal 61 3 19 3 5" xfId="34741"/>
    <cellStyle name="Normal 61 3 19 3 6" xfId="34742"/>
    <cellStyle name="Normal 61 3 19 4" xfId="34743"/>
    <cellStyle name="Normal 61 3 19 4 2" xfId="34744"/>
    <cellStyle name="Normal 61 3 19 4 3" xfId="34745"/>
    <cellStyle name="Normal 61 3 19 4 4" xfId="34746"/>
    <cellStyle name="Normal 61 3 19 4 5" xfId="34747"/>
    <cellStyle name="Normal 61 3 19 4 6" xfId="34748"/>
    <cellStyle name="Normal 61 3 2" xfId="34749"/>
    <cellStyle name="Normal 61 3 2 10" xfId="34750"/>
    <cellStyle name="Normal 61 3 2 10 2" xfId="34751"/>
    <cellStyle name="Normal 61 3 2 10 2 2" xfId="34752"/>
    <cellStyle name="Normal 61 3 2 10 2 3" xfId="34753"/>
    <cellStyle name="Normal 61 3 2 10 2 4" xfId="34754"/>
    <cellStyle name="Normal 61 3 2 10 2 5" xfId="34755"/>
    <cellStyle name="Normal 61 3 2 10 2 6" xfId="34756"/>
    <cellStyle name="Normal 61 3 2 10 3" xfId="34757"/>
    <cellStyle name="Normal 61 3 2 10 3 2" xfId="34758"/>
    <cellStyle name="Normal 61 3 2 10 3 3" xfId="34759"/>
    <cellStyle name="Normal 61 3 2 10 3 4" xfId="34760"/>
    <cellStyle name="Normal 61 3 2 10 3 5" xfId="34761"/>
    <cellStyle name="Normal 61 3 2 10 3 6" xfId="34762"/>
    <cellStyle name="Normal 61 3 2 10 4" xfId="34763"/>
    <cellStyle name="Normal 61 3 2 10 4 2" xfId="34764"/>
    <cellStyle name="Normal 61 3 2 10 4 3" xfId="34765"/>
    <cellStyle name="Normal 61 3 2 10 4 4" xfId="34766"/>
    <cellStyle name="Normal 61 3 2 10 4 5" xfId="34767"/>
    <cellStyle name="Normal 61 3 2 10 4 6" xfId="34768"/>
    <cellStyle name="Normal 61 3 2 11" xfId="34769"/>
    <cellStyle name="Normal 61 3 2 11 2" xfId="34770"/>
    <cellStyle name="Normal 61 3 2 11 2 2" xfId="34771"/>
    <cellStyle name="Normal 61 3 2 11 2 3" xfId="34772"/>
    <cellStyle name="Normal 61 3 2 11 2 4" xfId="34773"/>
    <cellStyle name="Normal 61 3 2 11 2 5" xfId="34774"/>
    <cellStyle name="Normal 61 3 2 11 2 6" xfId="34775"/>
    <cellStyle name="Normal 61 3 2 11 3" xfId="34776"/>
    <cellStyle name="Normal 61 3 2 11 3 2" xfId="34777"/>
    <cellStyle name="Normal 61 3 2 11 3 3" xfId="34778"/>
    <cellStyle name="Normal 61 3 2 11 3 4" xfId="34779"/>
    <cellStyle name="Normal 61 3 2 11 3 5" xfId="34780"/>
    <cellStyle name="Normal 61 3 2 11 3 6" xfId="34781"/>
    <cellStyle name="Normal 61 3 2 11 4" xfId="34782"/>
    <cellStyle name="Normal 61 3 2 11 4 2" xfId="34783"/>
    <cellStyle name="Normal 61 3 2 11 4 3" xfId="34784"/>
    <cellStyle name="Normal 61 3 2 11 4 4" xfId="34785"/>
    <cellStyle name="Normal 61 3 2 11 4 5" xfId="34786"/>
    <cellStyle name="Normal 61 3 2 11 4 6" xfId="34787"/>
    <cellStyle name="Normal 61 3 2 12" xfId="34788"/>
    <cellStyle name="Normal 61 3 2 12 2" xfId="34789"/>
    <cellStyle name="Normal 61 3 2 12 2 2" xfId="34790"/>
    <cellStyle name="Normal 61 3 2 12 2 3" xfId="34791"/>
    <cellStyle name="Normal 61 3 2 12 2 4" xfId="34792"/>
    <cellStyle name="Normal 61 3 2 12 2 5" xfId="34793"/>
    <cellStyle name="Normal 61 3 2 12 2 6" xfId="34794"/>
    <cellStyle name="Normal 61 3 2 12 3" xfId="34795"/>
    <cellStyle name="Normal 61 3 2 12 3 2" xfId="34796"/>
    <cellStyle name="Normal 61 3 2 12 3 3" xfId="34797"/>
    <cellStyle name="Normal 61 3 2 12 3 4" xfId="34798"/>
    <cellStyle name="Normal 61 3 2 12 3 5" xfId="34799"/>
    <cellStyle name="Normal 61 3 2 12 3 6" xfId="34800"/>
    <cellStyle name="Normal 61 3 2 12 4" xfId="34801"/>
    <cellStyle name="Normal 61 3 2 12 4 2" xfId="34802"/>
    <cellStyle name="Normal 61 3 2 12 4 3" xfId="34803"/>
    <cellStyle name="Normal 61 3 2 12 4 4" xfId="34804"/>
    <cellStyle name="Normal 61 3 2 12 4 5" xfId="34805"/>
    <cellStyle name="Normal 61 3 2 12 4 6" xfId="34806"/>
    <cellStyle name="Normal 61 3 2 13" xfId="34807"/>
    <cellStyle name="Normal 61 3 2 13 2" xfId="34808"/>
    <cellStyle name="Normal 61 3 2 13 2 2" xfId="34809"/>
    <cellStyle name="Normal 61 3 2 13 2 3" xfId="34810"/>
    <cellStyle name="Normal 61 3 2 13 2 4" xfId="34811"/>
    <cellStyle name="Normal 61 3 2 13 2 5" xfId="34812"/>
    <cellStyle name="Normal 61 3 2 13 2 6" xfId="34813"/>
    <cellStyle name="Normal 61 3 2 13 3" xfId="34814"/>
    <cellStyle name="Normal 61 3 2 13 3 2" xfId="34815"/>
    <cellStyle name="Normal 61 3 2 13 3 3" xfId="34816"/>
    <cellStyle name="Normal 61 3 2 13 3 4" xfId="34817"/>
    <cellStyle name="Normal 61 3 2 13 3 5" xfId="34818"/>
    <cellStyle name="Normal 61 3 2 13 3 6" xfId="34819"/>
    <cellStyle name="Normal 61 3 2 13 4" xfId="34820"/>
    <cellStyle name="Normal 61 3 2 13 4 2" xfId="34821"/>
    <cellStyle name="Normal 61 3 2 13 4 3" xfId="34822"/>
    <cellStyle name="Normal 61 3 2 13 4 4" xfId="34823"/>
    <cellStyle name="Normal 61 3 2 13 4 5" xfId="34824"/>
    <cellStyle name="Normal 61 3 2 13 4 6" xfId="34825"/>
    <cellStyle name="Normal 61 3 2 14" xfId="34826"/>
    <cellStyle name="Normal 61 3 2 14 2" xfId="34827"/>
    <cellStyle name="Normal 61 3 2 14 2 2" xfId="34828"/>
    <cellStyle name="Normal 61 3 2 14 2 3" xfId="34829"/>
    <cellStyle name="Normal 61 3 2 14 2 4" xfId="34830"/>
    <cellStyle name="Normal 61 3 2 14 2 5" xfId="34831"/>
    <cellStyle name="Normal 61 3 2 14 2 6" xfId="34832"/>
    <cellStyle name="Normal 61 3 2 14 3" xfId="34833"/>
    <cellStyle name="Normal 61 3 2 14 3 2" xfId="34834"/>
    <cellStyle name="Normal 61 3 2 14 3 3" xfId="34835"/>
    <cellStyle name="Normal 61 3 2 14 3 4" xfId="34836"/>
    <cellStyle name="Normal 61 3 2 14 3 5" xfId="34837"/>
    <cellStyle name="Normal 61 3 2 14 3 6" xfId="34838"/>
    <cellStyle name="Normal 61 3 2 14 4" xfId="34839"/>
    <cellStyle name="Normal 61 3 2 14 4 2" xfId="34840"/>
    <cellStyle name="Normal 61 3 2 14 4 3" xfId="34841"/>
    <cellStyle name="Normal 61 3 2 14 4 4" xfId="34842"/>
    <cellStyle name="Normal 61 3 2 14 4 5" xfId="34843"/>
    <cellStyle name="Normal 61 3 2 14 4 6" xfId="34844"/>
    <cellStyle name="Normal 61 3 2 15" xfId="34845"/>
    <cellStyle name="Normal 61 3 2 15 2" xfId="34846"/>
    <cellStyle name="Normal 61 3 2 15 2 2" xfId="34847"/>
    <cellStyle name="Normal 61 3 2 15 2 3" xfId="34848"/>
    <cellStyle name="Normal 61 3 2 15 2 4" xfId="34849"/>
    <cellStyle name="Normal 61 3 2 15 2 5" xfId="34850"/>
    <cellStyle name="Normal 61 3 2 15 2 6" xfId="34851"/>
    <cellStyle name="Normal 61 3 2 15 3" xfId="34852"/>
    <cellStyle name="Normal 61 3 2 15 3 2" xfId="34853"/>
    <cellStyle name="Normal 61 3 2 15 3 3" xfId="34854"/>
    <cellStyle name="Normal 61 3 2 15 3 4" xfId="34855"/>
    <cellStyle name="Normal 61 3 2 15 3 5" xfId="34856"/>
    <cellStyle name="Normal 61 3 2 15 3 6" xfId="34857"/>
    <cellStyle name="Normal 61 3 2 15 4" xfId="34858"/>
    <cellStyle name="Normal 61 3 2 15 4 2" xfId="34859"/>
    <cellStyle name="Normal 61 3 2 15 4 3" xfId="34860"/>
    <cellStyle name="Normal 61 3 2 15 4 4" xfId="34861"/>
    <cellStyle name="Normal 61 3 2 15 4 5" xfId="34862"/>
    <cellStyle name="Normal 61 3 2 15 4 6" xfId="34863"/>
    <cellStyle name="Normal 61 3 2 16" xfId="34864"/>
    <cellStyle name="Normal 61 3 2 16 2" xfId="34865"/>
    <cellStyle name="Normal 61 3 2 16 2 2" xfId="34866"/>
    <cellStyle name="Normal 61 3 2 16 2 3" xfId="34867"/>
    <cellStyle name="Normal 61 3 2 16 2 4" xfId="34868"/>
    <cellStyle name="Normal 61 3 2 16 2 5" xfId="34869"/>
    <cellStyle name="Normal 61 3 2 16 2 6" xfId="34870"/>
    <cellStyle name="Normal 61 3 2 16 3" xfId="34871"/>
    <cellStyle name="Normal 61 3 2 16 3 2" xfId="34872"/>
    <cellStyle name="Normal 61 3 2 16 3 3" xfId="34873"/>
    <cellStyle name="Normal 61 3 2 16 3 4" xfId="34874"/>
    <cellStyle name="Normal 61 3 2 16 3 5" xfId="34875"/>
    <cellStyle name="Normal 61 3 2 16 3 6" xfId="34876"/>
    <cellStyle name="Normal 61 3 2 16 4" xfId="34877"/>
    <cellStyle name="Normal 61 3 2 16 4 2" xfId="34878"/>
    <cellStyle name="Normal 61 3 2 16 4 3" xfId="34879"/>
    <cellStyle name="Normal 61 3 2 16 4 4" xfId="34880"/>
    <cellStyle name="Normal 61 3 2 16 4 5" xfId="34881"/>
    <cellStyle name="Normal 61 3 2 16 4 6" xfId="34882"/>
    <cellStyle name="Normal 61 3 2 17" xfId="34883"/>
    <cellStyle name="Normal 61 3 2 17 2" xfId="34884"/>
    <cellStyle name="Normal 61 3 2 17 2 2" xfId="34885"/>
    <cellStyle name="Normal 61 3 2 17 2 3" xfId="34886"/>
    <cellStyle name="Normal 61 3 2 17 2 4" xfId="34887"/>
    <cellStyle name="Normal 61 3 2 17 2 5" xfId="34888"/>
    <cellStyle name="Normal 61 3 2 17 2 6" xfId="34889"/>
    <cellStyle name="Normal 61 3 2 17 3" xfId="34890"/>
    <cellStyle name="Normal 61 3 2 17 3 2" xfId="34891"/>
    <cellStyle name="Normal 61 3 2 17 3 3" xfId="34892"/>
    <cellStyle name="Normal 61 3 2 17 3 4" xfId="34893"/>
    <cellStyle name="Normal 61 3 2 17 3 5" xfId="34894"/>
    <cellStyle name="Normal 61 3 2 17 3 6" xfId="34895"/>
    <cellStyle name="Normal 61 3 2 17 4" xfId="34896"/>
    <cellStyle name="Normal 61 3 2 17 4 2" xfId="34897"/>
    <cellStyle name="Normal 61 3 2 17 4 3" xfId="34898"/>
    <cellStyle name="Normal 61 3 2 17 4 4" xfId="34899"/>
    <cellStyle name="Normal 61 3 2 17 4 5" xfId="34900"/>
    <cellStyle name="Normal 61 3 2 17 4 6" xfId="34901"/>
    <cellStyle name="Normal 61 3 2 18" xfId="34902"/>
    <cellStyle name="Normal 61 3 2 18 2" xfId="34903"/>
    <cellStyle name="Normal 61 3 2 18 2 2" xfId="34904"/>
    <cellStyle name="Normal 61 3 2 18 2 3" xfId="34905"/>
    <cellStyle name="Normal 61 3 2 18 2 4" xfId="34906"/>
    <cellStyle name="Normal 61 3 2 18 2 5" xfId="34907"/>
    <cellStyle name="Normal 61 3 2 18 2 6" xfId="34908"/>
    <cellStyle name="Normal 61 3 2 18 3" xfId="34909"/>
    <cellStyle name="Normal 61 3 2 18 3 2" xfId="34910"/>
    <cellStyle name="Normal 61 3 2 18 3 3" xfId="34911"/>
    <cellStyle name="Normal 61 3 2 18 3 4" xfId="34912"/>
    <cellStyle name="Normal 61 3 2 18 3 5" xfId="34913"/>
    <cellStyle name="Normal 61 3 2 18 3 6" xfId="34914"/>
    <cellStyle name="Normal 61 3 2 18 4" xfId="34915"/>
    <cellStyle name="Normal 61 3 2 18 4 2" xfId="34916"/>
    <cellStyle name="Normal 61 3 2 18 4 3" xfId="34917"/>
    <cellStyle name="Normal 61 3 2 18 4 4" xfId="34918"/>
    <cellStyle name="Normal 61 3 2 18 4 5" xfId="34919"/>
    <cellStyle name="Normal 61 3 2 18 4 6" xfId="34920"/>
    <cellStyle name="Normal 61 3 2 19" xfId="34921"/>
    <cellStyle name="Normal 61 3 2 19 2" xfId="34922"/>
    <cellStyle name="Normal 61 3 2 19 2 2" xfId="34923"/>
    <cellStyle name="Normal 61 3 2 19 2 3" xfId="34924"/>
    <cellStyle name="Normal 61 3 2 19 2 4" xfId="34925"/>
    <cellStyle name="Normal 61 3 2 19 2 5" xfId="34926"/>
    <cellStyle name="Normal 61 3 2 19 2 6" xfId="34927"/>
    <cellStyle name="Normal 61 3 2 19 3" xfId="34928"/>
    <cellStyle name="Normal 61 3 2 19 3 2" xfId="34929"/>
    <cellStyle name="Normal 61 3 2 19 3 3" xfId="34930"/>
    <cellStyle name="Normal 61 3 2 19 3 4" xfId="34931"/>
    <cellStyle name="Normal 61 3 2 19 3 5" xfId="34932"/>
    <cellStyle name="Normal 61 3 2 19 3 6" xfId="34933"/>
    <cellStyle name="Normal 61 3 2 19 4" xfId="34934"/>
    <cellStyle name="Normal 61 3 2 19 4 2" xfId="34935"/>
    <cellStyle name="Normal 61 3 2 19 4 3" xfId="34936"/>
    <cellStyle name="Normal 61 3 2 19 4 4" xfId="34937"/>
    <cellStyle name="Normal 61 3 2 19 4 5" xfId="34938"/>
    <cellStyle name="Normal 61 3 2 19 4 6" xfId="34939"/>
    <cellStyle name="Normal 61 3 2 2" xfId="34940"/>
    <cellStyle name="Normal 61 3 2 2 10" xfId="34941"/>
    <cellStyle name="Normal 61 3 2 2 10 2" xfId="34942"/>
    <cellStyle name="Normal 61 3 2 2 10 3" xfId="34943"/>
    <cellStyle name="Normal 61 3 2 2 10 3 2" xfId="34944"/>
    <cellStyle name="Normal 61 3 2 2 10 3 3" xfId="34945"/>
    <cellStyle name="Normal 61 3 2 2 10 3 4" xfId="34946"/>
    <cellStyle name="Normal 61 3 2 2 10 3 5" xfId="34947"/>
    <cellStyle name="Normal 61 3 2 2 10 3 6" xfId="34948"/>
    <cellStyle name="Normal 61 3 2 2 10 4" xfId="34949"/>
    <cellStyle name="Normal 61 3 2 2 10 4 2" xfId="34950"/>
    <cellStyle name="Normal 61 3 2 2 10 4 3" xfId="34951"/>
    <cellStyle name="Normal 61 3 2 2 10 4 4" xfId="34952"/>
    <cellStyle name="Normal 61 3 2 2 10 4 5" xfId="34953"/>
    <cellStyle name="Normal 61 3 2 2 10 4 6" xfId="34954"/>
    <cellStyle name="Normal 61 3 2 2 11" xfId="34955"/>
    <cellStyle name="Normal 61 3 2 2 11 2" xfId="34956"/>
    <cellStyle name="Normal 61 3 2 2 11 3" xfId="34957"/>
    <cellStyle name="Normal 61 3 2 2 11 3 2" xfId="34958"/>
    <cellStyle name="Normal 61 3 2 2 11 3 3" xfId="34959"/>
    <cellStyle name="Normal 61 3 2 2 11 3 4" xfId="34960"/>
    <cellStyle name="Normal 61 3 2 2 11 3 5" xfId="34961"/>
    <cellStyle name="Normal 61 3 2 2 11 3 6" xfId="34962"/>
    <cellStyle name="Normal 61 3 2 2 11 4" xfId="34963"/>
    <cellStyle name="Normal 61 3 2 2 11 4 2" xfId="34964"/>
    <cellStyle name="Normal 61 3 2 2 11 4 3" xfId="34965"/>
    <cellStyle name="Normal 61 3 2 2 11 4 4" xfId="34966"/>
    <cellStyle name="Normal 61 3 2 2 11 4 5" xfId="34967"/>
    <cellStyle name="Normal 61 3 2 2 11 4 6" xfId="34968"/>
    <cellStyle name="Normal 61 3 2 2 12" xfId="34969"/>
    <cellStyle name="Normal 61 3 2 2 12 2" xfId="34970"/>
    <cellStyle name="Normal 61 3 2 2 12 3" xfId="34971"/>
    <cellStyle name="Normal 61 3 2 2 12 3 2" xfId="34972"/>
    <cellStyle name="Normal 61 3 2 2 12 3 3" xfId="34973"/>
    <cellStyle name="Normal 61 3 2 2 12 3 4" xfId="34974"/>
    <cellStyle name="Normal 61 3 2 2 12 3 5" xfId="34975"/>
    <cellStyle name="Normal 61 3 2 2 12 3 6" xfId="34976"/>
    <cellStyle name="Normal 61 3 2 2 12 4" xfId="34977"/>
    <cellStyle name="Normal 61 3 2 2 12 4 2" xfId="34978"/>
    <cellStyle name="Normal 61 3 2 2 12 4 3" xfId="34979"/>
    <cellStyle name="Normal 61 3 2 2 12 4 4" xfId="34980"/>
    <cellStyle name="Normal 61 3 2 2 12 4 5" xfId="34981"/>
    <cellStyle name="Normal 61 3 2 2 12 4 6" xfId="34982"/>
    <cellStyle name="Normal 61 3 2 2 13" xfId="34983"/>
    <cellStyle name="Normal 61 3 2 2 13 2" xfId="34984"/>
    <cellStyle name="Normal 61 3 2 2 13 3" xfId="34985"/>
    <cellStyle name="Normal 61 3 2 2 13 3 2" xfId="34986"/>
    <cellStyle name="Normal 61 3 2 2 13 3 3" xfId="34987"/>
    <cellStyle name="Normal 61 3 2 2 13 3 4" xfId="34988"/>
    <cellStyle name="Normal 61 3 2 2 13 3 5" xfId="34989"/>
    <cellStyle name="Normal 61 3 2 2 13 3 6" xfId="34990"/>
    <cellStyle name="Normal 61 3 2 2 13 4" xfId="34991"/>
    <cellStyle name="Normal 61 3 2 2 13 4 2" xfId="34992"/>
    <cellStyle name="Normal 61 3 2 2 13 4 3" xfId="34993"/>
    <cellStyle name="Normal 61 3 2 2 13 4 4" xfId="34994"/>
    <cellStyle name="Normal 61 3 2 2 13 4 5" xfId="34995"/>
    <cellStyle name="Normal 61 3 2 2 13 4 6" xfId="34996"/>
    <cellStyle name="Normal 61 3 2 2 14" xfId="34997"/>
    <cellStyle name="Normal 61 3 2 2 14 2" xfId="34998"/>
    <cellStyle name="Normal 61 3 2 2 14 3" xfId="34999"/>
    <cellStyle name="Normal 61 3 2 2 14 3 2" xfId="35000"/>
    <cellStyle name="Normal 61 3 2 2 14 3 3" xfId="35001"/>
    <cellStyle name="Normal 61 3 2 2 14 3 4" xfId="35002"/>
    <cellStyle name="Normal 61 3 2 2 14 3 5" xfId="35003"/>
    <cellStyle name="Normal 61 3 2 2 14 3 6" xfId="35004"/>
    <cellStyle name="Normal 61 3 2 2 14 4" xfId="35005"/>
    <cellStyle name="Normal 61 3 2 2 14 4 2" xfId="35006"/>
    <cellStyle name="Normal 61 3 2 2 14 4 3" xfId="35007"/>
    <cellStyle name="Normal 61 3 2 2 14 4 4" xfId="35008"/>
    <cellStyle name="Normal 61 3 2 2 14 4 5" xfId="35009"/>
    <cellStyle name="Normal 61 3 2 2 14 4 6" xfId="35010"/>
    <cellStyle name="Normal 61 3 2 2 15" xfId="35011"/>
    <cellStyle name="Normal 61 3 2 2 15 2" xfId="35012"/>
    <cellStyle name="Normal 61 3 2 2 15 3" xfId="35013"/>
    <cellStyle name="Normal 61 3 2 2 15 3 2" xfId="35014"/>
    <cellStyle name="Normal 61 3 2 2 15 3 3" xfId="35015"/>
    <cellStyle name="Normal 61 3 2 2 15 3 4" xfId="35016"/>
    <cellStyle name="Normal 61 3 2 2 15 3 5" xfId="35017"/>
    <cellStyle name="Normal 61 3 2 2 15 3 6" xfId="35018"/>
    <cellStyle name="Normal 61 3 2 2 15 4" xfId="35019"/>
    <cellStyle name="Normal 61 3 2 2 15 4 2" xfId="35020"/>
    <cellStyle name="Normal 61 3 2 2 15 4 3" xfId="35021"/>
    <cellStyle name="Normal 61 3 2 2 15 4 4" xfId="35022"/>
    <cellStyle name="Normal 61 3 2 2 15 4 5" xfId="35023"/>
    <cellStyle name="Normal 61 3 2 2 15 4 6" xfId="35024"/>
    <cellStyle name="Normal 61 3 2 2 16" xfId="35025"/>
    <cellStyle name="Normal 61 3 2 2 16 2" xfId="35026"/>
    <cellStyle name="Normal 61 3 2 2 16 3" xfId="35027"/>
    <cellStyle name="Normal 61 3 2 2 16 3 2" xfId="35028"/>
    <cellStyle name="Normal 61 3 2 2 16 3 3" xfId="35029"/>
    <cellStyle name="Normal 61 3 2 2 16 3 4" xfId="35030"/>
    <cellStyle name="Normal 61 3 2 2 16 3 5" xfId="35031"/>
    <cellStyle name="Normal 61 3 2 2 16 3 6" xfId="35032"/>
    <cellStyle name="Normal 61 3 2 2 16 4" xfId="35033"/>
    <cellStyle name="Normal 61 3 2 2 16 4 2" xfId="35034"/>
    <cellStyle name="Normal 61 3 2 2 16 4 3" xfId="35035"/>
    <cellStyle name="Normal 61 3 2 2 16 4 4" xfId="35036"/>
    <cellStyle name="Normal 61 3 2 2 16 4 5" xfId="35037"/>
    <cellStyle name="Normal 61 3 2 2 16 4 6" xfId="35038"/>
    <cellStyle name="Normal 61 3 2 2 17" xfId="35039"/>
    <cellStyle name="Normal 61 3 2 2 17 2" xfId="35040"/>
    <cellStyle name="Normal 61 3 2 2 17 3" xfId="35041"/>
    <cellStyle name="Normal 61 3 2 2 17 4" xfId="35042"/>
    <cellStyle name="Normal 61 3 2 2 17 5" xfId="35043"/>
    <cellStyle name="Normal 61 3 2 2 17 6" xfId="35044"/>
    <cellStyle name="Normal 61 3 2 2 18" xfId="35045"/>
    <cellStyle name="Normal 61 3 2 2 18 2" xfId="35046"/>
    <cellStyle name="Normal 61 3 2 2 18 3" xfId="35047"/>
    <cellStyle name="Normal 61 3 2 2 18 4" xfId="35048"/>
    <cellStyle name="Normal 61 3 2 2 18 5" xfId="35049"/>
    <cellStyle name="Normal 61 3 2 2 18 6" xfId="35050"/>
    <cellStyle name="Normal 61 3 2 2 19" xfId="35051"/>
    <cellStyle name="Normal 61 3 2 2 19 2" xfId="35052"/>
    <cellStyle name="Normal 61 3 2 2 19 3" xfId="35053"/>
    <cellStyle name="Normal 61 3 2 2 19 4" xfId="35054"/>
    <cellStyle name="Normal 61 3 2 2 19 5" xfId="35055"/>
    <cellStyle name="Normal 61 3 2 2 19 6" xfId="35056"/>
    <cellStyle name="Normal 61 3 2 2 2" xfId="35057"/>
    <cellStyle name="Normal 61 3 2 2 2 2" xfId="35058"/>
    <cellStyle name="Normal 61 3 2 2 2 3" xfId="35059"/>
    <cellStyle name="Normal 61 3 2 2 2 3 2" xfId="35060"/>
    <cellStyle name="Normal 61 3 2 2 2 3 3" xfId="35061"/>
    <cellStyle name="Normal 61 3 2 2 2 3 4" xfId="35062"/>
    <cellStyle name="Normal 61 3 2 2 2 3 5" xfId="35063"/>
    <cellStyle name="Normal 61 3 2 2 2 3 6" xfId="35064"/>
    <cellStyle name="Normal 61 3 2 2 2 4" xfId="35065"/>
    <cellStyle name="Normal 61 3 2 2 2 4 2" xfId="35066"/>
    <cellStyle name="Normal 61 3 2 2 2 4 3" xfId="35067"/>
    <cellStyle name="Normal 61 3 2 2 2 4 4" xfId="35068"/>
    <cellStyle name="Normal 61 3 2 2 2 4 5" xfId="35069"/>
    <cellStyle name="Normal 61 3 2 2 2 4 6" xfId="35070"/>
    <cellStyle name="Normal 61 3 2 2 3" xfId="35071"/>
    <cellStyle name="Normal 61 3 2 2 3 2" xfId="35072"/>
    <cellStyle name="Normal 61 3 2 2 3 3" xfId="35073"/>
    <cellStyle name="Normal 61 3 2 2 3 3 2" xfId="35074"/>
    <cellStyle name="Normal 61 3 2 2 3 3 3" xfId="35075"/>
    <cellStyle name="Normal 61 3 2 2 3 3 4" xfId="35076"/>
    <cellStyle name="Normal 61 3 2 2 3 3 5" xfId="35077"/>
    <cellStyle name="Normal 61 3 2 2 3 3 6" xfId="35078"/>
    <cellStyle name="Normal 61 3 2 2 3 4" xfId="35079"/>
    <cellStyle name="Normal 61 3 2 2 3 4 2" xfId="35080"/>
    <cellStyle name="Normal 61 3 2 2 3 4 3" xfId="35081"/>
    <cellStyle name="Normal 61 3 2 2 3 4 4" xfId="35082"/>
    <cellStyle name="Normal 61 3 2 2 3 4 5" xfId="35083"/>
    <cellStyle name="Normal 61 3 2 2 3 4 6" xfId="35084"/>
    <cellStyle name="Normal 61 3 2 2 4" xfId="35085"/>
    <cellStyle name="Normal 61 3 2 2 4 2" xfId="35086"/>
    <cellStyle name="Normal 61 3 2 2 4 3" xfId="35087"/>
    <cellStyle name="Normal 61 3 2 2 4 3 2" xfId="35088"/>
    <cellStyle name="Normal 61 3 2 2 4 3 3" xfId="35089"/>
    <cellStyle name="Normal 61 3 2 2 4 3 4" xfId="35090"/>
    <cellStyle name="Normal 61 3 2 2 4 3 5" xfId="35091"/>
    <cellStyle name="Normal 61 3 2 2 4 3 6" xfId="35092"/>
    <cellStyle name="Normal 61 3 2 2 4 4" xfId="35093"/>
    <cellStyle name="Normal 61 3 2 2 4 4 2" xfId="35094"/>
    <cellStyle name="Normal 61 3 2 2 4 4 3" xfId="35095"/>
    <cellStyle name="Normal 61 3 2 2 4 4 4" xfId="35096"/>
    <cellStyle name="Normal 61 3 2 2 4 4 5" xfId="35097"/>
    <cellStyle name="Normal 61 3 2 2 4 4 6" xfId="35098"/>
    <cellStyle name="Normal 61 3 2 2 5" xfId="35099"/>
    <cellStyle name="Normal 61 3 2 2 5 2" xfId="35100"/>
    <cellStyle name="Normal 61 3 2 2 5 3" xfId="35101"/>
    <cellStyle name="Normal 61 3 2 2 5 3 2" xfId="35102"/>
    <cellStyle name="Normal 61 3 2 2 5 3 3" xfId="35103"/>
    <cellStyle name="Normal 61 3 2 2 5 3 4" xfId="35104"/>
    <cellStyle name="Normal 61 3 2 2 5 3 5" xfId="35105"/>
    <cellStyle name="Normal 61 3 2 2 5 3 6" xfId="35106"/>
    <cellStyle name="Normal 61 3 2 2 5 4" xfId="35107"/>
    <cellStyle name="Normal 61 3 2 2 5 4 2" xfId="35108"/>
    <cellStyle name="Normal 61 3 2 2 5 4 3" xfId="35109"/>
    <cellStyle name="Normal 61 3 2 2 5 4 4" xfId="35110"/>
    <cellStyle name="Normal 61 3 2 2 5 4 5" xfId="35111"/>
    <cellStyle name="Normal 61 3 2 2 5 4 6" xfId="35112"/>
    <cellStyle name="Normal 61 3 2 2 6" xfId="35113"/>
    <cellStyle name="Normal 61 3 2 2 6 2" xfId="35114"/>
    <cellStyle name="Normal 61 3 2 2 6 3" xfId="35115"/>
    <cellStyle name="Normal 61 3 2 2 6 3 2" xfId="35116"/>
    <cellStyle name="Normal 61 3 2 2 6 3 3" xfId="35117"/>
    <cellStyle name="Normal 61 3 2 2 6 3 4" xfId="35118"/>
    <cellStyle name="Normal 61 3 2 2 6 3 5" xfId="35119"/>
    <cellStyle name="Normal 61 3 2 2 6 3 6" xfId="35120"/>
    <cellStyle name="Normal 61 3 2 2 6 4" xfId="35121"/>
    <cellStyle name="Normal 61 3 2 2 6 4 2" xfId="35122"/>
    <cellStyle name="Normal 61 3 2 2 6 4 3" xfId="35123"/>
    <cellStyle name="Normal 61 3 2 2 6 4 4" xfId="35124"/>
    <cellStyle name="Normal 61 3 2 2 6 4 5" xfId="35125"/>
    <cellStyle name="Normal 61 3 2 2 6 4 6" xfId="35126"/>
    <cellStyle name="Normal 61 3 2 2 7" xfId="35127"/>
    <cellStyle name="Normal 61 3 2 2 7 2" xfId="35128"/>
    <cellStyle name="Normal 61 3 2 2 7 3" xfId="35129"/>
    <cellStyle name="Normal 61 3 2 2 7 3 2" xfId="35130"/>
    <cellStyle name="Normal 61 3 2 2 7 3 3" xfId="35131"/>
    <cellStyle name="Normal 61 3 2 2 7 3 4" xfId="35132"/>
    <cellStyle name="Normal 61 3 2 2 7 3 5" xfId="35133"/>
    <cellStyle name="Normal 61 3 2 2 7 3 6" xfId="35134"/>
    <cellStyle name="Normal 61 3 2 2 7 4" xfId="35135"/>
    <cellStyle name="Normal 61 3 2 2 7 4 2" xfId="35136"/>
    <cellStyle name="Normal 61 3 2 2 7 4 3" xfId="35137"/>
    <cellStyle name="Normal 61 3 2 2 7 4 4" xfId="35138"/>
    <cellStyle name="Normal 61 3 2 2 7 4 5" xfId="35139"/>
    <cellStyle name="Normal 61 3 2 2 7 4 6" xfId="35140"/>
    <cellStyle name="Normal 61 3 2 2 8" xfId="35141"/>
    <cellStyle name="Normal 61 3 2 2 8 2" xfId="35142"/>
    <cellStyle name="Normal 61 3 2 2 8 3" xfId="35143"/>
    <cellStyle name="Normal 61 3 2 2 8 3 2" xfId="35144"/>
    <cellStyle name="Normal 61 3 2 2 8 3 3" xfId="35145"/>
    <cellStyle name="Normal 61 3 2 2 8 3 4" xfId="35146"/>
    <cellStyle name="Normal 61 3 2 2 8 3 5" xfId="35147"/>
    <cellStyle name="Normal 61 3 2 2 8 3 6" xfId="35148"/>
    <cellStyle name="Normal 61 3 2 2 8 4" xfId="35149"/>
    <cellStyle name="Normal 61 3 2 2 8 4 2" xfId="35150"/>
    <cellStyle name="Normal 61 3 2 2 8 4 3" xfId="35151"/>
    <cellStyle name="Normal 61 3 2 2 8 4 4" xfId="35152"/>
    <cellStyle name="Normal 61 3 2 2 8 4 5" xfId="35153"/>
    <cellStyle name="Normal 61 3 2 2 8 4 6" xfId="35154"/>
    <cellStyle name="Normal 61 3 2 2 9" xfId="35155"/>
    <cellStyle name="Normal 61 3 2 2 9 2" xfId="35156"/>
    <cellStyle name="Normal 61 3 2 2 9 3" xfId="35157"/>
    <cellStyle name="Normal 61 3 2 2 9 3 2" xfId="35158"/>
    <cellStyle name="Normal 61 3 2 2 9 3 3" xfId="35159"/>
    <cellStyle name="Normal 61 3 2 2 9 3 4" xfId="35160"/>
    <cellStyle name="Normal 61 3 2 2 9 3 5" xfId="35161"/>
    <cellStyle name="Normal 61 3 2 2 9 3 6" xfId="35162"/>
    <cellStyle name="Normal 61 3 2 2 9 4" xfId="35163"/>
    <cellStyle name="Normal 61 3 2 2 9 4 2" xfId="35164"/>
    <cellStyle name="Normal 61 3 2 2 9 4 3" xfId="35165"/>
    <cellStyle name="Normal 61 3 2 2 9 4 4" xfId="35166"/>
    <cellStyle name="Normal 61 3 2 2 9 4 5" xfId="35167"/>
    <cellStyle name="Normal 61 3 2 2 9 4 6" xfId="35168"/>
    <cellStyle name="Normal 61 3 2 20" xfId="35169"/>
    <cellStyle name="Normal 61 3 2 21" xfId="35170"/>
    <cellStyle name="Normal 61 3 2 21 2" xfId="35171"/>
    <cellStyle name="Normal 61 3 2 21 3" xfId="35172"/>
    <cellStyle name="Normal 61 3 2 21 4" xfId="35173"/>
    <cellStyle name="Normal 61 3 2 21 5" xfId="35174"/>
    <cellStyle name="Normal 61 3 2 21 6" xfId="35175"/>
    <cellStyle name="Normal 61 3 2 22" xfId="35176"/>
    <cellStyle name="Normal 61 3 2 22 2" xfId="35177"/>
    <cellStyle name="Normal 61 3 2 22 3" xfId="35178"/>
    <cellStyle name="Normal 61 3 2 22 4" xfId="35179"/>
    <cellStyle name="Normal 61 3 2 22 5" xfId="35180"/>
    <cellStyle name="Normal 61 3 2 22 6" xfId="35181"/>
    <cellStyle name="Normal 61 3 2 3" xfId="35182"/>
    <cellStyle name="Normal 61 3 2 3 2" xfId="35183"/>
    <cellStyle name="Normal 61 3 2 3 3" xfId="35184"/>
    <cellStyle name="Normal 61 3 2 3 3 2" xfId="35185"/>
    <cellStyle name="Normal 61 3 2 3 3 3" xfId="35186"/>
    <cellStyle name="Normal 61 3 2 3 3 4" xfId="35187"/>
    <cellStyle name="Normal 61 3 2 3 3 5" xfId="35188"/>
    <cellStyle name="Normal 61 3 2 3 3 6" xfId="35189"/>
    <cellStyle name="Normal 61 3 2 3 4" xfId="35190"/>
    <cellStyle name="Normal 61 3 2 3 4 2" xfId="35191"/>
    <cellStyle name="Normal 61 3 2 3 4 3" xfId="35192"/>
    <cellStyle name="Normal 61 3 2 3 4 4" xfId="35193"/>
    <cellStyle name="Normal 61 3 2 3 4 5" xfId="35194"/>
    <cellStyle name="Normal 61 3 2 3 4 6" xfId="35195"/>
    <cellStyle name="Normal 61 3 2 4" xfId="35196"/>
    <cellStyle name="Normal 61 3 2 4 2" xfId="35197"/>
    <cellStyle name="Normal 61 3 2 4 3" xfId="35198"/>
    <cellStyle name="Normal 61 3 2 4 3 2" xfId="35199"/>
    <cellStyle name="Normal 61 3 2 4 3 3" xfId="35200"/>
    <cellStyle name="Normal 61 3 2 4 3 4" xfId="35201"/>
    <cellStyle name="Normal 61 3 2 4 3 5" xfId="35202"/>
    <cellStyle name="Normal 61 3 2 4 3 6" xfId="35203"/>
    <cellStyle name="Normal 61 3 2 4 4" xfId="35204"/>
    <cellStyle name="Normal 61 3 2 4 4 2" xfId="35205"/>
    <cellStyle name="Normal 61 3 2 4 4 3" xfId="35206"/>
    <cellStyle name="Normal 61 3 2 4 4 4" xfId="35207"/>
    <cellStyle name="Normal 61 3 2 4 4 5" xfId="35208"/>
    <cellStyle name="Normal 61 3 2 4 4 6" xfId="35209"/>
    <cellStyle name="Normal 61 3 2 5" xfId="35210"/>
    <cellStyle name="Normal 61 3 2 5 2" xfId="35211"/>
    <cellStyle name="Normal 61 3 2 5 3" xfId="35212"/>
    <cellStyle name="Normal 61 3 2 5 3 2" xfId="35213"/>
    <cellStyle name="Normal 61 3 2 5 3 3" xfId="35214"/>
    <cellStyle name="Normal 61 3 2 5 3 4" xfId="35215"/>
    <cellStyle name="Normal 61 3 2 5 3 5" xfId="35216"/>
    <cellStyle name="Normal 61 3 2 5 3 6" xfId="35217"/>
    <cellStyle name="Normal 61 3 2 5 4" xfId="35218"/>
    <cellStyle name="Normal 61 3 2 5 4 2" xfId="35219"/>
    <cellStyle name="Normal 61 3 2 5 4 3" xfId="35220"/>
    <cellStyle name="Normal 61 3 2 5 4 4" xfId="35221"/>
    <cellStyle name="Normal 61 3 2 5 4 5" xfId="35222"/>
    <cellStyle name="Normal 61 3 2 5 4 6" xfId="35223"/>
    <cellStyle name="Normal 61 3 2 6" xfId="35224"/>
    <cellStyle name="Normal 61 3 2 6 2" xfId="35225"/>
    <cellStyle name="Normal 61 3 2 6 2 2" xfId="35226"/>
    <cellStyle name="Normal 61 3 2 6 2 3" xfId="35227"/>
    <cellStyle name="Normal 61 3 2 6 2 4" xfId="35228"/>
    <cellStyle name="Normal 61 3 2 6 2 5" xfId="35229"/>
    <cellStyle name="Normal 61 3 2 6 2 6" xfId="35230"/>
    <cellStyle name="Normal 61 3 2 6 3" xfId="35231"/>
    <cellStyle name="Normal 61 3 2 6 3 2" xfId="35232"/>
    <cellStyle name="Normal 61 3 2 6 3 3" xfId="35233"/>
    <cellStyle name="Normal 61 3 2 6 3 4" xfId="35234"/>
    <cellStyle name="Normal 61 3 2 6 3 5" xfId="35235"/>
    <cellStyle name="Normal 61 3 2 6 3 6" xfId="35236"/>
    <cellStyle name="Normal 61 3 2 6 4" xfId="35237"/>
    <cellStyle name="Normal 61 3 2 6 4 2" xfId="35238"/>
    <cellStyle name="Normal 61 3 2 6 4 3" xfId="35239"/>
    <cellStyle name="Normal 61 3 2 6 4 4" xfId="35240"/>
    <cellStyle name="Normal 61 3 2 6 4 5" xfId="35241"/>
    <cellStyle name="Normal 61 3 2 6 4 6" xfId="35242"/>
    <cellStyle name="Normal 61 3 2 7" xfId="35243"/>
    <cellStyle name="Normal 61 3 2 7 2" xfId="35244"/>
    <cellStyle name="Normal 61 3 2 7 2 2" xfId="35245"/>
    <cellStyle name="Normal 61 3 2 7 2 3" xfId="35246"/>
    <cellStyle name="Normal 61 3 2 7 2 4" xfId="35247"/>
    <cellStyle name="Normal 61 3 2 7 2 5" xfId="35248"/>
    <cellStyle name="Normal 61 3 2 7 2 6" xfId="35249"/>
    <cellStyle name="Normal 61 3 2 7 3" xfId="35250"/>
    <cellStyle name="Normal 61 3 2 7 3 2" xfId="35251"/>
    <cellStyle name="Normal 61 3 2 7 3 3" xfId="35252"/>
    <cellStyle name="Normal 61 3 2 7 3 4" xfId="35253"/>
    <cellStyle name="Normal 61 3 2 7 3 5" xfId="35254"/>
    <cellStyle name="Normal 61 3 2 7 3 6" xfId="35255"/>
    <cellStyle name="Normal 61 3 2 7 4" xfId="35256"/>
    <cellStyle name="Normal 61 3 2 7 4 2" xfId="35257"/>
    <cellStyle name="Normal 61 3 2 7 4 3" xfId="35258"/>
    <cellStyle name="Normal 61 3 2 7 4 4" xfId="35259"/>
    <cellStyle name="Normal 61 3 2 7 4 5" xfId="35260"/>
    <cellStyle name="Normal 61 3 2 7 4 6" xfId="35261"/>
    <cellStyle name="Normal 61 3 2 8" xfId="35262"/>
    <cellStyle name="Normal 61 3 2 8 2" xfId="35263"/>
    <cellStyle name="Normal 61 3 2 8 2 2" xfId="35264"/>
    <cellStyle name="Normal 61 3 2 8 2 3" xfId="35265"/>
    <cellStyle name="Normal 61 3 2 8 2 4" xfId="35266"/>
    <cellStyle name="Normal 61 3 2 8 2 5" xfId="35267"/>
    <cellStyle name="Normal 61 3 2 8 2 6" xfId="35268"/>
    <cellStyle name="Normal 61 3 2 8 3" xfId="35269"/>
    <cellStyle name="Normal 61 3 2 8 3 2" xfId="35270"/>
    <cellStyle name="Normal 61 3 2 8 3 3" xfId="35271"/>
    <cellStyle name="Normal 61 3 2 8 3 4" xfId="35272"/>
    <cellStyle name="Normal 61 3 2 8 3 5" xfId="35273"/>
    <cellStyle name="Normal 61 3 2 8 3 6" xfId="35274"/>
    <cellStyle name="Normal 61 3 2 8 4" xfId="35275"/>
    <cellStyle name="Normal 61 3 2 8 4 2" xfId="35276"/>
    <cellStyle name="Normal 61 3 2 8 4 3" xfId="35277"/>
    <cellStyle name="Normal 61 3 2 8 4 4" xfId="35278"/>
    <cellStyle name="Normal 61 3 2 8 4 5" xfId="35279"/>
    <cellStyle name="Normal 61 3 2 8 4 6" xfId="35280"/>
    <cellStyle name="Normal 61 3 2 9" xfId="35281"/>
    <cellStyle name="Normal 61 3 2 9 2" xfId="35282"/>
    <cellStyle name="Normal 61 3 2 9 2 2" xfId="35283"/>
    <cellStyle name="Normal 61 3 2 9 2 3" xfId="35284"/>
    <cellStyle name="Normal 61 3 2 9 2 4" xfId="35285"/>
    <cellStyle name="Normal 61 3 2 9 2 5" xfId="35286"/>
    <cellStyle name="Normal 61 3 2 9 2 6" xfId="35287"/>
    <cellStyle name="Normal 61 3 2 9 3" xfId="35288"/>
    <cellStyle name="Normal 61 3 2 9 3 2" xfId="35289"/>
    <cellStyle name="Normal 61 3 2 9 3 3" xfId="35290"/>
    <cellStyle name="Normal 61 3 2 9 3 4" xfId="35291"/>
    <cellStyle name="Normal 61 3 2 9 3 5" xfId="35292"/>
    <cellStyle name="Normal 61 3 2 9 3 6" xfId="35293"/>
    <cellStyle name="Normal 61 3 2 9 4" xfId="35294"/>
    <cellStyle name="Normal 61 3 2 9 4 2" xfId="35295"/>
    <cellStyle name="Normal 61 3 2 9 4 3" xfId="35296"/>
    <cellStyle name="Normal 61 3 2 9 4 4" xfId="35297"/>
    <cellStyle name="Normal 61 3 2 9 4 5" xfId="35298"/>
    <cellStyle name="Normal 61 3 2 9 4 6" xfId="35299"/>
    <cellStyle name="Normal 61 3 20" xfId="35300"/>
    <cellStyle name="Normal 61 3 20 2" xfId="35301"/>
    <cellStyle name="Normal 61 3 20 3" xfId="35302"/>
    <cellStyle name="Normal 61 3 20 4" xfId="35303"/>
    <cellStyle name="Normal 61 3 20 5" xfId="35304"/>
    <cellStyle name="Normal 61 3 20 6" xfId="35305"/>
    <cellStyle name="Normal 61 3 21" xfId="35306"/>
    <cellStyle name="Normal 61 3 21 2" xfId="35307"/>
    <cellStyle name="Normal 61 3 21 3" xfId="35308"/>
    <cellStyle name="Normal 61 3 21 4" xfId="35309"/>
    <cellStyle name="Normal 61 3 21 5" xfId="35310"/>
    <cellStyle name="Normal 61 3 21 6" xfId="35311"/>
    <cellStyle name="Normal 61 3 22" xfId="35312"/>
    <cellStyle name="Normal 61 3 22 2" xfId="35313"/>
    <cellStyle name="Normal 61 3 22 3" xfId="35314"/>
    <cellStyle name="Normal 61 3 22 4" xfId="35315"/>
    <cellStyle name="Normal 61 3 22 5" xfId="35316"/>
    <cellStyle name="Normal 61 3 22 6" xfId="35317"/>
    <cellStyle name="Normal 61 3 3" xfId="35318"/>
    <cellStyle name="Normal 61 3 3 10" xfId="35319"/>
    <cellStyle name="Normal 61 3 3 10 2" xfId="35320"/>
    <cellStyle name="Normal 61 3 3 10 2 2" xfId="35321"/>
    <cellStyle name="Normal 61 3 3 10 2 3" xfId="35322"/>
    <cellStyle name="Normal 61 3 3 10 2 4" xfId="35323"/>
    <cellStyle name="Normal 61 3 3 10 2 5" xfId="35324"/>
    <cellStyle name="Normal 61 3 3 10 2 6" xfId="35325"/>
    <cellStyle name="Normal 61 3 3 10 3" xfId="35326"/>
    <cellStyle name="Normal 61 3 3 10 3 2" xfId="35327"/>
    <cellStyle name="Normal 61 3 3 10 3 3" xfId="35328"/>
    <cellStyle name="Normal 61 3 3 10 3 4" xfId="35329"/>
    <cellStyle name="Normal 61 3 3 10 3 5" xfId="35330"/>
    <cellStyle name="Normal 61 3 3 10 3 6" xfId="35331"/>
    <cellStyle name="Normal 61 3 3 10 4" xfId="35332"/>
    <cellStyle name="Normal 61 3 3 10 4 2" xfId="35333"/>
    <cellStyle name="Normal 61 3 3 10 4 3" xfId="35334"/>
    <cellStyle name="Normal 61 3 3 10 4 4" xfId="35335"/>
    <cellStyle name="Normal 61 3 3 10 4 5" xfId="35336"/>
    <cellStyle name="Normal 61 3 3 10 4 6" xfId="35337"/>
    <cellStyle name="Normal 61 3 3 11" xfId="35338"/>
    <cellStyle name="Normal 61 3 3 11 2" xfId="35339"/>
    <cellStyle name="Normal 61 3 3 11 2 2" xfId="35340"/>
    <cellStyle name="Normal 61 3 3 11 2 3" xfId="35341"/>
    <cellStyle name="Normal 61 3 3 11 2 4" xfId="35342"/>
    <cellStyle name="Normal 61 3 3 11 2 5" xfId="35343"/>
    <cellStyle name="Normal 61 3 3 11 2 6" xfId="35344"/>
    <cellStyle name="Normal 61 3 3 11 3" xfId="35345"/>
    <cellStyle name="Normal 61 3 3 11 3 2" xfId="35346"/>
    <cellStyle name="Normal 61 3 3 11 3 3" xfId="35347"/>
    <cellStyle name="Normal 61 3 3 11 3 4" xfId="35348"/>
    <cellStyle name="Normal 61 3 3 11 3 5" xfId="35349"/>
    <cellStyle name="Normal 61 3 3 11 3 6" xfId="35350"/>
    <cellStyle name="Normal 61 3 3 11 4" xfId="35351"/>
    <cellStyle name="Normal 61 3 3 11 4 2" xfId="35352"/>
    <cellStyle name="Normal 61 3 3 11 4 3" xfId="35353"/>
    <cellStyle name="Normal 61 3 3 11 4 4" xfId="35354"/>
    <cellStyle name="Normal 61 3 3 11 4 5" xfId="35355"/>
    <cellStyle name="Normal 61 3 3 11 4 6" xfId="35356"/>
    <cellStyle name="Normal 61 3 3 12" xfId="35357"/>
    <cellStyle name="Normal 61 3 3 12 2" xfId="35358"/>
    <cellStyle name="Normal 61 3 3 12 2 2" xfId="35359"/>
    <cellStyle name="Normal 61 3 3 12 2 3" xfId="35360"/>
    <cellStyle name="Normal 61 3 3 12 2 4" xfId="35361"/>
    <cellStyle name="Normal 61 3 3 12 2 5" xfId="35362"/>
    <cellStyle name="Normal 61 3 3 12 2 6" xfId="35363"/>
    <cellStyle name="Normal 61 3 3 12 3" xfId="35364"/>
    <cellStyle name="Normal 61 3 3 12 3 2" xfId="35365"/>
    <cellStyle name="Normal 61 3 3 12 3 3" xfId="35366"/>
    <cellStyle name="Normal 61 3 3 12 3 4" xfId="35367"/>
    <cellStyle name="Normal 61 3 3 12 3 5" xfId="35368"/>
    <cellStyle name="Normal 61 3 3 12 3 6" xfId="35369"/>
    <cellStyle name="Normal 61 3 3 12 4" xfId="35370"/>
    <cellStyle name="Normal 61 3 3 12 4 2" xfId="35371"/>
    <cellStyle name="Normal 61 3 3 12 4 3" xfId="35372"/>
    <cellStyle name="Normal 61 3 3 12 4 4" xfId="35373"/>
    <cellStyle name="Normal 61 3 3 12 4 5" xfId="35374"/>
    <cellStyle name="Normal 61 3 3 12 4 6" xfId="35375"/>
    <cellStyle name="Normal 61 3 3 13" xfId="35376"/>
    <cellStyle name="Normal 61 3 3 13 2" xfId="35377"/>
    <cellStyle name="Normal 61 3 3 13 2 2" xfId="35378"/>
    <cellStyle name="Normal 61 3 3 13 2 3" xfId="35379"/>
    <cellStyle name="Normal 61 3 3 13 2 4" xfId="35380"/>
    <cellStyle name="Normal 61 3 3 13 2 5" xfId="35381"/>
    <cellStyle name="Normal 61 3 3 13 2 6" xfId="35382"/>
    <cellStyle name="Normal 61 3 3 13 3" xfId="35383"/>
    <cellStyle name="Normal 61 3 3 13 3 2" xfId="35384"/>
    <cellStyle name="Normal 61 3 3 13 3 3" xfId="35385"/>
    <cellStyle name="Normal 61 3 3 13 3 4" xfId="35386"/>
    <cellStyle name="Normal 61 3 3 13 3 5" xfId="35387"/>
    <cellStyle name="Normal 61 3 3 13 3 6" xfId="35388"/>
    <cellStyle name="Normal 61 3 3 13 4" xfId="35389"/>
    <cellStyle name="Normal 61 3 3 13 4 2" xfId="35390"/>
    <cellStyle name="Normal 61 3 3 13 4 3" xfId="35391"/>
    <cellStyle name="Normal 61 3 3 13 4 4" xfId="35392"/>
    <cellStyle name="Normal 61 3 3 13 4 5" xfId="35393"/>
    <cellStyle name="Normal 61 3 3 13 4 6" xfId="35394"/>
    <cellStyle name="Normal 61 3 3 14" xfId="35395"/>
    <cellStyle name="Normal 61 3 3 14 2" xfId="35396"/>
    <cellStyle name="Normal 61 3 3 14 2 2" xfId="35397"/>
    <cellStyle name="Normal 61 3 3 14 2 3" xfId="35398"/>
    <cellStyle name="Normal 61 3 3 14 2 4" xfId="35399"/>
    <cellStyle name="Normal 61 3 3 14 2 5" xfId="35400"/>
    <cellStyle name="Normal 61 3 3 14 2 6" xfId="35401"/>
    <cellStyle name="Normal 61 3 3 14 3" xfId="35402"/>
    <cellStyle name="Normal 61 3 3 14 3 2" xfId="35403"/>
    <cellStyle name="Normal 61 3 3 14 3 3" xfId="35404"/>
    <cellStyle name="Normal 61 3 3 14 3 4" xfId="35405"/>
    <cellStyle name="Normal 61 3 3 14 3 5" xfId="35406"/>
    <cellStyle name="Normal 61 3 3 14 3 6" xfId="35407"/>
    <cellStyle name="Normal 61 3 3 14 4" xfId="35408"/>
    <cellStyle name="Normal 61 3 3 14 4 2" xfId="35409"/>
    <cellStyle name="Normal 61 3 3 14 4 3" xfId="35410"/>
    <cellStyle name="Normal 61 3 3 14 4 4" xfId="35411"/>
    <cellStyle name="Normal 61 3 3 14 4 5" xfId="35412"/>
    <cellStyle name="Normal 61 3 3 14 4 6" xfId="35413"/>
    <cellStyle name="Normal 61 3 3 15" xfId="35414"/>
    <cellStyle name="Normal 61 3 3 15 2" xfId="35415"/>
    <cellStyle name="Normal 61 3 3 15 2 2" xfId="35416"/>
    <cellStyle name="Normal 61 3 3 15 2 3" xfId="35417"/>
    <cellStyle name="Normal 61 3 3 15 2 4" xfId="35418"/>
    <cellStyle name="Normal 61 3 3 15 2 5" xfId="35419"/>
    <cellStyle name="Normal 61 3 3 15 2 6" xfId="35420"/>
    <cellStyle name="Normal 61 3 3 15 3" xfId="35421"/>
    <cellStyle name="Normal 61 3 3 15 3 2" xfId="35422"/>
    <cellStyle name="Normal 61 3 3 15 3 3" xfId="35423"/>
    <cellStyle name="Normal 61 3 3 15 3 4" xfId="35424"/>
    <cellStyle name="Normal 61 3 3 15 3 5" xfId="35425"/>
    <cellStyle name="Normal 61 3 3 15 3 6" xfId="35426"/>
    <cellStyle name="Normal 61 3 3 15 4" xfId="35427"/>
    <cellStyle name="Normal 61 3 3 15 4 2" xfId="35428"/>
    <cellStyle name="Normal 61 3 3 15 4 3" xfId="35429"/>
    <cellStyle name="Normal 61 3 3 15 4 4" xfId="35430"/>
    <cellStyle name="Normal 61 3 3 15 4 5" xfId="35431"/>
    <cellStyle name="Normal 61 3 3 15 4 6" xfId="35432"/>
    <cellStyle name="Normal 61 3 3 16" xfId="35433"/>
    <cellStyle name="Normal 61 3 3 16 2" xfId="35434"/>
    <cellStyle name="Normal 61 3 3 16 2 2" xfId="35435"/>
    <cellStyle name="Normal 61 3 3 16 2 3" xfId="35436"/>
    <cellStyle name="Normal 61 3 3 16 2 4" xfId="35437"/>
    <cellStyle name="Normal 61 3 3 16 2 5" xfId="35438"/>
    <cellStyle name="Normal 61 3 3 16 2 6" xfId="35439"/>
    <cellStyle name="Normal 61 3 3 16 3" xfId="35440"/>
    <cellStyle name="Normal 61 3 3 16 3 2" xfId="35441"/>
    <cellStyle name="Normal 61 3 3 16 3 3" xfId="35442"/>
    <cellStyle name="Normal 61 3 3 16 3 4" xfId="35443"/>
    <cellStyle name="Normal 61 3 3 16 3 5" xfId="35444"/>
    <cellStyle name="Normal 61 3 3 16 3 6" xfId="35445"/>
    <cellStyle name="Normal 61 3 3 16 4" xfId="35446"/>
    <cellStyle name="Normal 61 3 3 16 4 2" xfId="35447"/>
    <cellStyle name="Normal 61 3 3 16 4 3" xfId="35448"/>
    <cellStyle name="Normal 61 3 3 16 4 4" xfId="35449"/>
    <cellStyle name="Normal 61 3 3 16 4 5" xfId="35450"/>
    <cellStyle name="Normal 61 3 3 16 4 6" xfId="35451"/>
    <cellStyle name="Normal 61 3 3 17" xfId="35452"/>
    <cellStyle name="Normal 61 3 3 18" xfId="35453"/>
    <cellStyle name="Normal 61 3 3 18 2" xfId="35454"/>
    <cellStyle name="Normal 61 3 3 18 3" xfId="35455"/>
    <cellStyle name="Normal 61 3 3 18 4" xfId="35456"/>
    <cellStyle name="Normal 61 3 3 18 5" xfId="35457"/>
    <cellStyle name="Normal 61 3 3 18 6" xfId="35458"/>
    <cellStyle name="Normal 61 3 3 19" xfId="35459"/>
    <cellStyle name="Normal 61 3 3 19 2" xfId="35460"/>
    <cellStyle name="Normal 61 3 3 19 3" xfId="35461"/>
    <cellStyle name="Normal 61 3 3 19 4" xfId="35462"/>
    <cellStyle name="Normal 61 3 3 19 5" xfId="35463"/>
    <cellStyle name="Normal 61 3 3 19 6" xfId="35464"/>
    <cellStyle name="Normal 61 3 3 2" xfId="35465"/>
    <cellStyle name="Normal 61 3 3 2 2" xfId="35466"/>
    <cellStyle name="Normal 61 3 3 2 2 2" xfId="35467"/>
    <cellStyle name="Normal 61 3 3 2 2 3" xfId="35468"/>
    <cellStyle name="Normal 61 3 3 2 2 4" xfId="35469"/>
    <cellStyle name="Normal 61 3 3 2 2 5" xfId="35470"/>
    <cellStyle name="Normal 61 3 3 2 2 6" xfId="35471"/>
    <cellStyle name="Normal 61 3 3 2 3" xfId="35472"/>
    <cellStyle name="Normal 61 3 3 2 3 2" xfId="35473"/>
    <cellStyle name="Normal 61 3 3 2 3 3" xfId="35474"/>
    <cellStyle name="Normal 61 3 3 2 3 4" xfId="35475"/>
    <cellStyle name="Normal 61 3 3 2 3 5" xfId="35476"/>
    <cellStyle name="Normal 61 3 3 2 3 6" xfId="35477"/>
    <cellStyle name="Normal 61 3 3 2 4" xfId="35478"/>
    <cellStyle name="Normal 61 3 3 2 4 2" xfId="35479"/>
    <cellStyle name="Normal 61 3 3 2 4 3" xfId="35480"/>
    <cellStyle name="Normal 61 3 3 2 4 4" xfId="35481"/>
    <cellStyle name="Normal 61 3 3 2 4 5" xfId="35482"/>
    <cellStyle name="Normal 61 3 3 2 4 6" xfId="35483"/>
    <cellStyle name="Normal 61 3 3 3" xfId="35484"/>
    <cellStyle name="Normal 61 3 3 3 2" xfId="35485"/>
    <cellStyle name="Normal 61 3 3 3 2 2" xfId="35486"/>
    <cellStyle name="Normal 61 3 3 3 2 3" xfId="35487"/>
    <cellStyle name="Normal 61 3 3 3 2 4" xfId="35488"/>
    <cellStyle name="Normal 61 3 3 3 2 5" xfId="35489"/>
    <cellStyle name="Normal 61 3 3 3 2 6" xfId="35490"/>
    <cellStyle name="Normal 61 3 3 3 3" xfId="35491"/>
    <cellStyle name="Normal 61 3 3 3 3 2" xfId="35492"/>
    <cellStyle name="Normal 61 3 3 3 3 3" xfId="35493"/>
    <cellStyle name="Normal 61 3 3 3 3 4" xfId="35494"/>
    <cellStyle name="Normal 61 3 3 3 3 5" xfId="35495"/>
    <cellStyle name="Normal 61 3 3 3 3 6" xfId="35496"/>
    <cellStyle name="Normal 61 3 3 3 4" xfId="35497"/>
    <cellStyle name="Normal 61 3 3 3 4 2" xfId="35498"/>
    <cellStyle name="Normal 61 3 3 3 4 3" xfId="35499"/>
    <cellStyle name="Normal 61 3 3 3 4 4" xfId="35500"/>
    <cellStyle name="Normal 61 3 3 3 4 5" xfId="35501"/>
    <cellStyle name="Normal 61 3 3 3 4 6" xfId="35502"/>
    <cellStyle name="Normal 61 3 3 4" xfId="35503"/>
    <cellStyle name="Normal 61 3 3 4 2" xfId="35504"/>
    <cellStyle name="Normal 61 3 3 4 2 2" xfId="35505"/>
    <cellStyle name="Normal 61 3 3 4 2 3" xfId="35506"/>
    <cellStyle name="Normal 61 3 3 4 2 4" xfId="35507"/>
    <cellStyle name="Normal 61 3 3 4 2 5" xfId="35508"/>
    <cellStyle name="Normal 61 3 3 4 2 6" xfId="35509"/>
    <cellStyle name="Normal 61 3 3 4 3" xfId="35510"/>
    <cellStyle name="Normal 61 3 3 4 3 2" xfId="35511"/>
    <cellStyle name="Normal 61 3 3 4 3 3" xfId="35512"/>
    <cellStyle name="Normal 61 3 3 4 3 4" xfId="35513"/>
    <cellStyle name="Normal 61 3 3 4 3 5" xfId="35514"/>
    <cellStyle name="Normal 61 3 3 4 3 6" xfId="35515"/>
    <cellStyle name="Normal 61 3 3 4 4" xfId="35516"/>
    <cellStyle name="Normal 61 3 3 4 4 2" xfId="35517"/>
    <cellStyle name="Normal 61 3 3 4 4 3" xfId="35518"/>
    <cellStyle name="Normal 61 3 3 4 4 4" xfId="35519"/>
    <cellStyle name="Normal 61 3 3 4 4 5" xfId="35520"/>
    <cellStyle name="Normal 61 3 3 4 4 6" xfId="35521"/>
    <cellStyle name="Normal 61 3 3 5" xfId="35522"/>
    <cellStyle name="Normal 61 3 3 5 2" xfId="35523"/>
    <cellStyle name="Normal 61 3 3 5 2 2" xfId="35524"/>
    <cellStyle name="Normal 61 3 3 5 2 3" xfId="35525"/>
    <cellStyle name="Normal 61 3 3 5 2 4" xfId="35526"/>
    <cellStyle name="Normal 61 3 3 5 2 5" xfId="35527"/>
    <cellStyle name="Normal 61 3 3 5 2 6" xfId="35528"/>
    <cellStyle name="Normal 61 3 3 5 3" xfId="35529"/>
    <cellStyle name="Normal 61 3 3 5 3 2" xfId="35530"/>
    <cellStyle name="Normal 61 3 3 5 3 3" xfId="35531"/>
    <cellStyle name="Normal 61 3 3 5 3 4" xfId="35532"/>
    <cellStyle name="Normal 61 3 3 5 3 5" xfId="35533"/>
    <cellStyle name="Normal 61 3 3 5 3 6" xfId="35534"/>
    <cellStyle name="Normal 61 3 3 5 4" xfId="35535"/>
    <cellStyle name="Normal 61 3 3 5 4 2" xfId="35536"/>
    <cellStyle name="Normal 61 3 3 5 4 3" xfId="35537"/>
    <cellStyle name="Normal 61 3 3 5 4 4" xfId="35538"/>
    <cellStyle name="Normal 61 3 3 5 4 5" xfId="35539"/>
    <cellStyle name="Normal 61 3 3 5 4 6" xfId="35540"/>
    <cellStyle name="Normal 61 3 3 6" xfId="35541"/>
    <cellStyle name="Normal 61 3 3 6 2" xfId="35542"/>
    <cellStyle name="Normal 61 3 3 6 2 2" xfId="35543"/>
    <cellStyle name="Normal 61 3 3 6 2 3" xfId="35544"/>
    <cellStyle name="Normal 61 3 3 6 2 4" xfId="35545"/>
    <cellStyle name="Normal 61 3 3 6 2 5" xfId="35546"/>
    <cellStyle name="Normal 61 3 3 6 2 6" xfId="35547"/>
    <cellStyle name="Normal 61 3 3 6 3" xfId="35548"/>
    <cellStyle name="Normal 61 3 3 6 3 2" xfId="35549"/>
    <cellStyle name="Normal 61 3 3 6 3 3" xfId="35550"/>
    <cellStyle name="Normal 61 3 3 6 3 4" xfId="35551"/>
    <cellStyle name="Normal 61 3 3 6 3 5" xfId="35552"/>
    <cellStyle name="Normal 61 3 3 6 3 6" xfId="35553"/>
    <cellStyle name="Normal 61 3 3 6 4" xfId="35554"/>
    <cellStyle name="Normal 61 3 3 6 4 2" xfId="35555"/>
    <cellStyle name="Normal 61 3 3 6 4 3" xfId="35556"/>
    <cellStyle name="Normal 61 3 3 6 4 4" xfId="35557"/>
    <cellStyle name="Normal 61 3 3 6 4 5" xfId="35558"/>
    <cellStyle name="Normal 61 3 3 6 4 6" xfId="35559"/>
    <cellStyle name="Normal 61 3 3 7" xfId="35560"/>
    <cellStyle name="Normal 61 3 3 7 2" xfId="35561"/>
    <cellStyle name="Normal 61 3 3 7 2 2" xfId="35562"/>
    <cellStyle name="Normal 61 3 3 7 2 3" xfId="35563"/>
    <cellStyle name="Normal 61 3 3 7 2 4" xfId="35564"/>
    <cellStyle name="Normal 61 3 3 7 2 5" xfId="35565"/>
    <cellStyle name="Normal 61 3 3 7 2 6" xfId="35566"/>
    <cellStyle name="Normal 61 3 3 7 3" xfId="35567"/>
    <cellStyle name="Normal 61 3 3 7 3 2" xfId="35568"/>
    <cellStyle name="Normal 61 3 3 7 3 3" xfId="35569"/>
    <cellStyle name="Normal 61 3 3 7 3 4" xfId="35570"/>
    <cellStyle name="Normal 61 3 3 7 3 5" xfId="35571"/>
    <cellStyle name="Normal 61 3 3 7 3 6" xfId="35572"/>
    <cellStyle name="Normal 61 3 3 7 4" xfId="35573"/>
    <cellStyle name="Normal 61 3 3 7 4 2" xfId="35574"/>
    <cellStyle name="Normal 61 3 3 7 4 3" xfId="35575"/>
    <cellStyle name="Normal 61 3 3 7 4 4" xfId="35576"/>
    <cellStyle name="Normal 61 3 3 7 4 5" xfId="35577"/>
    <cellStyle name="Normal 61 3 3 7 4 6" xfId="35578"/>
    <cellStyle name="Normal 61 3 3 8" xfId="35579"/>
    <cellStyle name="Normal 61 3 3 8 2" xfId="35580"/>
    <cellStyle name="Normal 61 3 3 8 2 2" xfId="35581"/>
    <cellStyle name="Normal 61 3 3 8 2 3" xfId="35582"/>
    <cellStyle name="Normal 61 3 3 8 2 4" xfId="35583"/>
    <cellStyle name="Normal 61 3 3 8 2 5" xfId="35584"/>
    <cellStyle name="Normal 61 3 3 8 2 6" xfId="35585"/>
    <cellStyle name="Normal 61 3 3 8 3" xfId="35586"/>
    <cellStyle name="Normal 61 3 3 8 3 2" xfId="35587"/>
    <cellStyle name="Normal 61 3 3 8 3 3" xfId="35588"/>
    <cellStyle name="Normal 61 3 3 8 3 4" xfId="35589"/>
    <cellStyle name="Normal 61 3 3 8 3 5" xfId="35590"/>
    <cellStyle name="Normal 61 3 3 8 3 6" xfId="35591"/>
    <cellStyle name="Normal 61 3 3 8 4" xfId="35592"/>
    <cellStyle name="Normal 61 3 3 8 4 2" xfId="35593"/>
    <cellStyle name="Normal 61 3 3 8 4 3" xfId="35594"/>
    <cellStyle name="Normal 61 3 3 8 4 4" xfId="35595"/>
    <cellStyle name="Normal 61 3 3 8 4 5" xfId="35596"/>
    <cellStyle name="Normal 61 3 3 8 4 6" xfId="35597"/>
    <cellStyle name="Normal 61 3 3 9" xfId="35598"/>
    <cellStyle name="Normal 61 3 3 9 2" xfId="35599"/>
    <cellStyle name="Normal 61 3 3 9 2 2" xfId="35600"/>
    <cellStyle name="Normal 61 3 3 9 2 3" xfId="35601"/>
    <cellStyle name="Normal 61 3 3 9 2 4" xfId="35602"/>
    <cellStyle name="Normal 61 3 3 9 2 5" xfId="35603"/>
    <cellStyle name="Normal 61 3 3 9 2 6" xfId="35604"/>
    <cellStyle name="Normal 61 3 3 9 3" xfId="35605"/>
    <cellStyle name="Normal 61 3 3 9 3 2" xfId="35606"/>
    <cellStyle name="Normal 61 3 3 9 3 3" xfId="35607"/>
    <cellStyle name="Normal 61 3 3 9 3 4" xfId="35608"/>
    <cellStyle name="Normal 61 3 3 9 3 5" xfId="35609"/>
    <cellStyle name="Normal 61 3 3 9 3 6" xfId="35610"/>
    <cellStyle name="Normal 61 3 3 9 4" xfId="35611"/>
    <cellStyle name="Normal 61 3 3 9 4 2" xfId="35612"/>
    <cellStyle name="Normal 61 3 3 9 4 3" xfId="35613"/>
    <cellStyle name="Normal 61 3 3 9 4 4" xfId="35614"/>
    <cellStyle name="Normal 61 3 3 9 4 5" xfId="35615"/>
    <cellStyle name="Normal 61 3 3 9 4 6" xfId="35616"/>
    <cellStyle name="Normal 61 3 4" xfId="35617"/>
    <cellStyle name="Normal 61 3 4 2" xfId="35618"/>
    <cellStyle name="Normal 61 3 4 2 2" xfId="35619"/>
    <cellStyle name="Normal 61 3 4 2 3" xfId="35620"/>
    <cellStyle name="Normal 61 3 4 2 4" xfId="35621"/>
    <cellStyle name="Normal 61 3 4 2 5" xfId="35622"/>
    <cellStyle name="Normal 61 3 4 2 6" xfId="35623"/>
    <cellStyle name="Normal 61 3 4 3" xfId="35624"/>
    <cellStyle name="Normal 61 3 4 3 2" xfId="35625"/>
    <cellStyle name="Normal 61 3 4 3 3" xfId="35626"/>
    <cellStyle name="Normal 61 3 4 3 4" xfId="35627"/>
    <cellStyle name="Normal 61 3 4 3 5" xfId="35628"/>
    <cellStyle name="Normal 61 3 4 3 6" xfId="35629"/>
    <cellStyle name="Normal 61 3 4 4" xfId="35630"/>
    <cellStyle name="Normal 61 3 4 4 2" xfId="35631"/>
    <cellStyle name="Normal 61 3 4 4 3" xfId="35632"/>
    <cellStyle name="Normal 61 3 4 4 4" xfId="35633"/>
    <cellStyle name="Normal 61 3 4 4 5" xfId="35634"/>
    <cellStyle name="Normal 61 3 4 4 6" xfId="35635"/>
    <cellStyle name="Normal 61 3 5" xfId="35636"/>
    <cellStyle name="Normal 61 3 5 2" xfId="35637"/>
    <cellStyle name="Normal 61 3 5 2 2" xfId="35638"/>
    <cellStyle name="Normal 61 3 5 2 3" xfId="35639"/>
    <cellStyle name="Normal 61 3 5 2 4" xfId="35640"/>
    <cellStyle name="Normal 61 3 5 2 5" xfId="35641"/>
    <cellStyle name="Normal 61 3 5 2 6" xfId="35642"/>
    <cellStyle name="Normal 61 3 5 3" xfId="35643"/>
    <cellStyle name="Normal 61 3 5 3 2" xfId="35644"/>
    <cellStyle name="Normal 61 3 5 3 3" xfId="35645"/>
    <cellStyle name="Normal 61 3 5 3 4" xfId="35646"/>
    <cellStyle name="Normal 61 3 5 3 5" xfId="35647"/>
    <cellStyle name="Normal 61 3 5 3 6" xfId="35648"/>
    <cellStyle name="Normal 61 3 5 4" xfId="35649"/>
    <cellStyle name="Normal 61 3 5 4 2" xfId="35650"/>
    <cellStyle name="Normal 61 3 5 4 3" xfId="35651"/>
    <cellStyle name="Normal 61 3 5 4 4" xfId="35652"/>
    <cellStyle name="Normal 61 3 5 4 5" xfId="35653"/>
    <cellStyle name="Normal 61 3 5 4 6" xfId="35654"/>
    <cellStyle name="Normal 61 3 6" xfId="35655"/>
    <cellStyle name="Normal 61 3 6 2" xfId="35656"/>
    <cellStyle name="Normal 61 3 6 3" xfId="35657"/>
    <cellStyle name="Normal 61 3 6 3 2" xfId="35658"/>
    <cellStyle name="Normal 61 3 6 3 3" xfId="35659"/>
    <cellStyle name="Normal 61 3 6 3 4" xfId="35660"/>
    <cellStyle name="Normal 61 3 6 3 5" xfId="35661"/>
    <cellStyle name="Normal 61 3 6 3 6" xfId="35662"/>
    <cellStyle name="Normal 61 3 6 4" xfId="35663"/>
    <cellStyle name="Normal 61 3 6 4 2" xfId="35664"/>
    <cellStyle name="Normal 61 3 6 4 3" xfId="35665"/>
    <cellStyle name="Normal 61 3 6 4 4" xfId="35666"/>
    <cellStyle name="Normal 61 3 6 4 5" xfId="35667"/>
    <cellStyle name="Normal 61 3 6 4 6" xfId="35668"/>
    <cellStyle name="Normal 61 3 7" xfId="35669"/>
    <cellStyle name="Normal 61 3 7 2" xfId="35670"/>
    <cellStyle name="Normal 61 3 7 3" xfId="35671"/>
    <cellStyle name="Normal 61 3 7 3 2" xfId="35672"/>
    <cellStyle name="Normal 61 3 7 3 3" xfId="35673"/>
    <cellStyle name="Normal 61 3 7 3 4" xfId="35674"/>
    <cellStyle name="Normal 61 3 7 3 5" xfId="35675"/>
    <cellStyle name="Normal 61 3 7 3 6" xfId="35676"/>
    <cellStyle name="Normal 61 3 7 4" xfId="35677"/>
    <cellStyle name="Normal 61 3 7 4 2" xfId="35678"/>
    <cellStyle name="Normal 61 3 7 4 3" xfId="35679"/>
    <cellStyle name="Normal 61 3 7 4 4" xfId="35680"/>
    <cellStyle name="Normal 61 3 7 4 5" xfId="35681"/>
    <cellStyle name="Normal 61 3 7 4 6" xfId="35682"/>
    <cellStyle name="Normal 61 3 8" xfId="35683"/>
    <cellStyle name="Normal 61 3 8 2" xfId="35684"/>
    <cellStyle name="Normal 61 3 8 3" xfId="35685"/>
    <cellStyle name="Normal 61 3 8 3 2" xfId="35686"/>
    <cellStyle name="Normal 61 3 8 3 3" xfId="35687"/>
    <cellStyle name="Normal 61 3 8 3 4" xfId="35688"/>
    <cellStyle name="Normal 61 3 8 3 5" xfId="35689"/>
    <cellStyle name="Normal 61 3 8 3 6" xfId="35690"/>
    <cellStyle name="Normal 61 3 8 4" xfId="35691"/>
    <cellStyle name="Normal 61 3 8 4 2" xfId="35692"/>
    <cellStyle name="Normal 61 3 8 4 3" xfId="35693"/>
    <cellStyle name="Normal 61 3 8 4 4" xfId="35694"/>
    <cellStyle name="Normal 61 3 8 4 5" xfId="35695"/>
    <cellStyle name="Normal 61 3 8 4 6" xfId="35696"/>
    <cellStyle name="Normal 61 3 9" xfId="35697"/>
    <cellStyle name="Normal 61 3 9 2" xfId="35698"/>
    <cellStyle name="Normal 61 3 9 3" xfId="35699"/>
    <cellStyle name="Normal 61 3 9 3 2" xfId="35700"/>
    <cellStyle name="Normal 61 3 9 3 3" xfId="35701"/>
    <cellStyle name="Normal 61 3 9 3 4" xfId="35702"/>
    <cellStyle name="Normal 61 3 9 3 5" xfId="35703"/>
    <cellStyle name="Normal 61 3 9 3 6" xfId="35704"/>
    <cellStyle name="Normal 61 3 9 4" xfId="35705"/>
    <cellStyle name="Normal 61 3 9 4 2" xfId="35706"/>
    <cellStyle name="Normal 61 3 9 4 3" xfId="35707"/>
    <cellStyle name="Normal 61 3 9 4 4" xfId="35708"/>
    <cellStyle name="Normal 61 3 9 4 5" xfId="35709"/>
    <cellStyle name="Normal 61 3 9 4 6" xfId="35710"/>
    <cellStyle name="Normal 61 4" xfId="35711"/>
    <cellStyle name="Normal 61 4 2" xfId="35712"/>
    <cellStyle name="Normal 61 4 2 2" xfId="35713"/>
    <cellStyle name="Normal 61 4 2 3" xfId="35714"/>
    <cellStyle name="Normal 61 4 2 4" xfId="35715"/>
    <cellStyle name="Normal 61 4 2 5" xfId="35716"/>
    <cellStyle name="Normal 61 4 2 6" xfId="35717"/>
    <cellStyle name="Normal 61 4 3" xfId="35718"/>
    <cellStyle name="Normal 61 4 3 2" xfId="35719"/>
    <cellStyle name="Normal 61 4 3 3" xfId="35720"/>
    <cellStyle name="Normal 61 4 3 4" xfId="35721"/>
    <cellStyle name="Normal 61 4 3 5" xfId="35722"/>
    <cellStyle name="Normal 61 4 3 6" xfId="35723"/>
    <cellStyle name="Normal 61 4 4" xfId="35724"/>
    <cellStyle name="Normal 61 4 4 2" xfId="35725"/>
    <cellStyle name="Normal 61 4 4 3" xfId="35726"/>
    <cellStyle name="Normal 61 4 4 4" xfId="35727"/>
    <cellStyle name="Normal 61 4 4 5" xfId="35728"/>
    <cellStyle name="Normal 61 4 4 6" xfId="35729"/>
    <cellStyle name="Normal 61 5" xfId="35730"/>
    <cellStyle name="Normal 61 5 2" xfId="35731"/>
    <cellStyle name="Normal 61 5 3" xfId="35732"/>
    <cellStyle name="Normal 61 5 3 2" xfId="35733"/>
    <cellStyle name="Normal 61 5 3 3" xfId="35734"/>
    <cellStyle name="Normal 61 5 3 4" xfId="35735"/>
    <cellStyle name="Normal 61 5 3 5" xfId="35736"/>
    <cellStyle name="Normal 61 5 3 6" xfId="35737"/>
    <cellStyle name="Normal 61 5 4" xfId="35738"/>
    <cellStyle name="Normal 61 5 4 2" xfId="35739"/>
    <cellStyle name="Normal 61 5 4 3" xfId="35740"/>
    <cellStyle name="Normal 61 5 4 4" xfId="35741"/>
    <cellStyle name="Normal 61 5 4 5" xfId="35742"/>
    <cellStyle name="Normal 61 5 4 6" xfId="35743"/>
    <cellStyle name="Normal 61 6" xfId="35744"/>
    <cellStyle name="Normal 61 6 2" xfId="35745"/>
    <cellStyle name="Normal 61 6 3" xfId="35746"/>
    <cellStyle name="Normal 61 6 3 2" xfId="35747"/>
    <cellStyle name="Normal 61 6 3 3" xfId="35748"/>
    <cellStyle name="Normal 61 6 3 4" xfId="35749"/>
    <cellStyle name="Normal 61 6 3 5" xfId="35750"/>
    <cellStyle name="Normal 61 6 3 6" xfId="35751"/>
    <cellStyle name="Normal 61 6 4" xfId="35752"/>
    <cellStyle name="Normal 61 6 4 2" xfId="35753"/>
    <cellStyle name="Normal 61 6 4 3" xfId="35754"/>
    <cellStyle name="Normal 61 6 4 4" xfId="35755"/>
    <cellStyle name="Normal 61 6 4 5" xfId="35756"/>
    <cellStyle name="Normal 61 6 4 6" xfId="35757"/>
    <cellStyle name="Normal 61 7" xfId="35758"/>
    <cellStyle name="Normal 61 7 2" xfId="35759"/>
    <cellStyle name="Normal 61 7 3" xfId="35760"/>
    <cellStyle name="Normal 61 7 3 2" xfId="35761"/>
    <cellStyle name="Normal 61 7 3 3" xfId="35762"/>
    <cellStyle name="Normal 61 7 3 4" xfId="35763"/>
    <cellStyle name="Normal 61 7 3 5" xfId="35764"/>
    <cellStyle name="Normal 61 7 3 6" xfId="35765"/>
    <cellStyle name="Normal 61 7 4" xfId="35766"/>
    <cellStyle name="Normal 61 7 4 2" xfId="35767"/>
    <cellStyle name="Normal 61 7 4 3" xfId="35768"/>
    <cellStyle name="Normal 61 7 4 4" xfId="35769"/>
    <cellStyle name="Normal 61 7 4 5" xfId="35770"/>
    <cellStyle name="Normal 61 7 4 6" xfId="35771"/>
    <cellStyle name="Normal 61 8" xfId="35772"/>
    <cellStyle name="Normal 61 9" xfId="35773"/>
    <cellStyle name="Normal 61 9 2" xfId="35774"/>
    <cellStyle name="Normal 61 9 3" xfId="35775"/>
    <cellStyle name="Normal 61 9 4" xfId="35776"/>
    <cellStyle name="Normal 61 9 5" xfId="35777"/>
    <cellStyle name="Normal 61 9 6" xfId="35778"/>
    <cellStyle name="Normal 62" xfId="35779"/>
    <cellStyle name="Normal 62 10" xfId="35780"/>
    <cellStyle name="Normal 62 10 2" xfId="35781"/>
    <cellStyle name="Normal 62 10 3" xfId="35782"/>
    <cellStyle name="Normal 62 10 4" xfId="35783"/>
    <cellStyle name="Normal 62 10 5" xfId="35784"/>
    <cellStyle name="Normal 62 10 6" xfId="35785"/>
    <cellStyle name="Normal 62 2" xfId="35786"/>
    <cellStyle name="Normal 62 2 2" xfId="35787"/>
    <cellStyle name="Normal 62 2 2 2" xfId="35788"/>
    <cellStyle name="Normal 62 2 2 2 2" xfId="35789"/>
    <cellStyle name="Normal 62 2 2 2 3" xfId="35790"/>
    <cellStyle name="Normal 62 2 2 2 3 2" xfId="35791"/>
    <cellStyle name="Normal 62 2 2 2 3 3" xfId="35792"/>
    <cellStyle name="Normal 62 2 2 2 3 4" xfId="35793"/>
    <cellStyle name="Normal 62 2 2 2 3 5" xfId="35794"/>
    <cellStyle name="Normal 62 2 2 2 3 6" xfId="35795"/>
    <cellStyle name="Normal 62 2 2 2 4" xfId="35796"/>
    <cellStyle name="Normal 62 2 2 2 4 2" xfId="35797"/>
    <cellStyle name="Normal 62 2 2 2 4 3" xfId="35798"/>
    <cellStyle name="Normal 62 2 2 2 4 4" xfId="35799"/>
    <cellStyle name="Normal 62 2 2 2 4 5" xfId="35800"/>
    <cellStyle name="Normal 62 2 2 2 4 6" xfId="35801"/>
    <cellStyle name="Normal 62 2 2 3" xfId="35802"/>
    <cellStyle name="Normal 62 2 2 4" xfId="35803"/>
    <cellStyle name="Normal 62 2 2 4 2" xfId="35804"/>
    <cellStyle name="Normal 62 2 2 4 3" xfId="35805"/>
    <cellStyle name="Normal 62 2 2 4 4" xfId="35806"/>
    <cellStyle name="Normal 62 2 2 4 5" xfId="35807"/>
    <cellStyle name="Normal 62 2 2 4 6" xfId="35808"/>
    <cellStyle name="Normal 62 2 2 5" xfId="35809"/>
    <cellStyle name="Normal 62 2 2 5 2" xfId="35810"/>
    <cellStyle name="Normal 62 2 2 5 3" xfId="35811"/>
    <cellStyle name="Normal 62 2 2 5 4" xfId="35812"/>
    <cellStyle name="Normal 62 2 2 5 5" xfId="35813"/>
    <cellStyle name="Normal 62 2 2 5 6" xfId="35814"/>
    <cellStyle name="Normal 62 2 3" xfId="35815"/>
    <cellStyle name="Normal 62 2 3 2" xfId="35816"/>
    <cellStyle name="Normal 62 2 3 3" xfId="35817"/>
    <cellStyle name="Normal 62 2 3 3 2" xfId="35818"/>
    <cellStyle name="Normal 62 2 3 3 3" xfId="35819"/>
    <cellStyle name="Normal 62 2 3 3 4" xfId="35820"/>
    <cellStyle name="Normal 62 2 3 3 5" xfId="35821"/>
    <cellStyle name="Normal 62 2 3 3 6" xfId="35822"/>
    <cellStyle name="Normal 62 2 3 4" xfId="35823"/>
    <cellStyle name="Normal 62 2 3 4 2" xfId="35824"/>
    <cellStyle name="Normal 62 2 3 4 3" xfId="35825"/>
    <cellStyle name="Normal 62 2 3 4 4" xfId="35826"/>
    <cellStyle name="Normal 62 2 3 4 5" xfId="35827"/>
    <cellStyle name="Normal 62 2 3 4 6" xfId="35828"/>
    <cellStyle name="Normal 62 2 4" xfId="35829"/>
    <cellStyle name="Normal 62 2 5" xfId="35830"/>
    <cellStyle name="Normal 62 2 5 2" xfId="35831"/>
    <cellStyle name="Normal 62 2 5 3" xfId="35832"/>
    <cellStyle name="Normal 62 2 5 4" xfId="35833"/>
    <cellStyle name="Normal 62 2 5 5" xfId="35834"/>
    <cellStyle name="Normal 62 2 5 6" xfId="35835"/>
    <cellStyle name="Normal 62 2 6" xfId="35836"/>
    <cellStyle name="Normal 62 2 6 2" xfId="35837"/>
    <cellStyle name="Normal 62 2 6 3" xfId="35838"/>
    <cellStyle name="Normal 62 2 6 4" xfId="35839"/>
    <cellStyle name="Normal 62 2 6 5" xfId="35840"/>
    <cellStyle name="Normal 62 2 6 6" xfId="35841"/>
    <cellStyle name="Normal 62 3" xfId="35842"/>
    <cellStyle name="Normal 62 3 10" xfId="35843"/>
    <cellStyle name="Normal 62 3 10 2" xfId="35844"/>
    <cellStyle name="Normal 62 3 10 3" xfId="35845"/>
    <cellStyle name="Normal 62 3 10 3 2" xfId="35846"/>
    <cellStyle name="Normal 62 3 10 3 3" xfId="35847"/>
    <cellStyle name="Normal 62 3 10 3 4" xfId="35848"/>
    <cellStyle name="Normal 62 3 10 3 5" xfId="35849"/>
    <cellStyle name="Normal 62 3 10 3 6" xfId="35850"/>
    <cellStyle name="Normal 62 3 10 4" xfId="35851"/>
    <cellStyle name="Normal 62 3 10 4 2" xfId="35852"/>
    <cellStyle name="Normal 62 3 10 4 3" xfId="35853"/>
    <cellStyle name="Normal 62 3 10 4 4" xfId="35854"/>
    <cellStyle name="Normal 62 3 10 4 5" xfId="35855"/>
    <cellStyle name="Normal 62 3 10 4 6" xfId="35856"/>
    <cellStyle name="Normal 62 3 11" xfId="35857"/>
    <cellStyle name="Normal 62 3 11 2" xfId="35858"/>
    <cellStyle name="Normal 62 3 11 3" xfId="35859"/>
    <cellStyle name="Normal 62 3 11 3 2" xfId="35860"/>
    <cellStyle name="Normal 62 3 11 3 3" xfId="35861"/>
    <cellStyle name="Normal 62 3 11 3 4" xfId="35862"/>
    <cellStyle name="Normal 62 3 11 3 5" xfId="35863"/>
    <cellStyle name="Normal 62 3 11 3 6" xfId="35864"/>
    <cellStyle name="Normal 62 3 11 4" xfId="35865"/>
    <cellStyle name="Normal 62 3 11 4 2" xfId="35866"/>
    <cellStyle name="Normal 62 3 11 4 3" xfId="35867"/>
    <cellStyle name="Normal 62 3 11 4 4" xfId="35868"/>
    <cellStyle name="Normal 62 3 11 4 5" xfId="35869"/>
    <cellStyle name="Normal 62 3 11 4 6" xfId="35870"/>
    <cellStyle name="Normal 62 3 12" xfId="35871"/>
    <cellStyle name="Normal 62 3 12 2" xfId="35872"/>
    <cellStyle name="Normal 62 3 12 3" xfId="35873"/>
    <cellStyle name="Normal 62 3 12 3 2" xfId="35874"/>
    <cellStyle name="Normal 62 3 12 3 3" xfId="35875"/>
    <cellStyle name="Normal 62 3 12 3 4" xfId="35876"/>
    <cellStyle name="Normal 62 3 12 3 5" xfId="35877"/>
    <cellStyle name="Normal 62 3 12 3 6" xfId="35878"/>
    <cellStyle name="Normal 62 3 12 4" xfId="35879"/>
    <cellStyle name="Normal 62 3 12 4 2" xfId="35880"/>
    <cellStyle name="Normal 62 3 12 4 3" xfId="35881"/>
    <cellStyle name="Normal 62 3 12 4 4" xfId="35882"/>
    <cellStyle name="Normal 62 3 12 4 5" xfId="35883"/>
    <cellStyle name="Normal 62 3 12 4 6" xfId="35884"/>
    <cellStyle name="Normal 62 3 13" xfId="35885"/>
    <cellStyle name="Normal 62 3 13 2" xfId="35886"/>
    <cellStyle name="Normal 62 3 13 3" xfId="35887"/>
    <cellStyle name="Normal 62 3 13 3 2" xfId="35888"/>
    <cellStyle name="Normal 62 3 13 3 3" xfId="35889"/>
    <cellStyle name="Normal 62 3 13 3 4" xfId="35890"/>
    <cellStyle name="Normal 62 3 13 3 5" xfId="35891"/>
    <cellStyle name="Normal 62 3 13 3 6" xfId="35892"/>
    <cellStyle name="Normal 62 3 13 4" xfId="35893"/>
    <cellStyle name="Normal 62 3 13 4 2" xfId="35894"/>
    <cellStyle name="Normal 62 3 13 4 3" xfId="35895"/>
    <cellStyle name="Normal 62 3 13 4 4" xfId="35896"/>
    <cellStyle name="Normal 62 3 13 4 5" xfId="35897"/>
    <cellStyle name="Normal 62 3 13 4 6" xfId="35898"/>
    <cellStyle name="Normal 62 3 14" xfId="35899"/>
    <cellStyle name="Normal 62 3 14 2" xfId="35900"/>
    <cellStyle name="Normal 62 3 14 3" xfId="35901"/>
    <cellStyle name="Normal 62 3 14 3 2" xfId="35902"/>
    <cellStyle name="Normal 62 3 14 3 3" xfId="35903"/>
    <cellStyle name="Normal 62 3 14 3 4" xfId="35904"/>
    <cellStyle name="Normal 62 3 14 3 5" xfId="35905"/>
    <cellStyle name="Normal 62 3 14 3 6" xfId="35906"/>
    <cellStyle name="Normal 62 3 14 4" xfId="35907"/>
    <cellStyle name="Normal 62 3 14 4 2" xfId="35908"/>
    <cellStyle name="Normal 62 3 14 4 3" xfId="35909"/>
    <cellStyle name="Normal 62 3 14 4 4" xfId="35910"/>
    <cellStyle name="Normal 62 3 14 4 5" xfId="35911"/>
    <cellStyle name="Normal 62 3 14 4 6" xfId="35912"/>
    <cellStyle name="Normal 62 3 15" xfId="35913"/>
    <cellStyle name="Normal 62 3 15 2" xfId="35914"/>
    <cellStyle name="Normal 62 3 15 3" xfId="35915"/>
    <cellStyle name="Normal 62 3 15 3 2" xfId="35916"/>
    <cellStyle name="Normal 62 3 15 3 3" xfId="35917"/>
    <cellStyle name="Normal 62 3 15 3 4" xfId="35918"/>
    <cellStyle name="Normal 62 3 15 3 5" xfId="35919"/>
    <cellStyle name="Normal 62 3 15 3 6" xfId="35920"/>
    <cellStyle name="Normal 62 3 15 4" xfId="35921"/>
    <cellStyle name="Normal 62 3 15 4 2" xfId="35922"/>
    <cellStyle name="Normal 62 3 15 4 3" xfId="35923"/>
    <cellStyle name="Normal 62 3 15 4 4" xfId="35924"/>
    <cellStyle name="Normal 62 3 15 4 5" xfId="35925"/>
    <cellStyle name="Normal 62 3 15 4 6" xfId="35926"/>
    <cellStyle name="Normal 62 3 16" xfId="35927"/>
    <cellStyle name="Normal 62 3 16 2" xfId="35928"/>
    <cellStyle name="Normal 62 3 16 3" xfId="35929"/>
    <cellStyle name="Normal 62 3 16 3 2" xfId="35930"/>
    <cellStyle name="Normal 62 3 16 3 3" xfId="35931"/>
    <cellStyle name="Normal 62 3 16 3 4" xfId="35932"/>
    <cellStyle name="Normal 62 3 16 3 5" xfId="35933"/>
    <cellStyle name="Normal 62 3 16 3 6" xfId="35934"/>
    <cellStyle name="Normal 62 3 16 4" xfId="35935"/>
    <cellStyle name="Normal 62 3 16 4 2" xfId="35936"/>
    <cellStyle name="Normal 62 3 16 4 3" xfId="35937"/>
    <cellStyle name="Normal 62 3 16 4 4" xfId="35938"/>
    <cellStyle name="Normal 62 3 16 4 5" xfId="35939"/>
    <cellStyle name="Normal 62 3 16 4 6" xfId="35940"/>
    <cellStyle name="Normal 62 3 17" xfId="35941"/>
    <cellStyle name="Normal 62 3 17 2" xfId="35942"/>
    <cellStyle name="Normal 62 3 17 3" xfId="35943"/>
    <cellStyle name="Normal 62 3 17 3 2" xfId="35944"/>
    <cellStyle name="Normal 62 3 17 3 3" xfId="35945"/>
    <cellStyle name="Normal 62 3 17 3 4" xfId="35946"/>
    <cellStyle name="Normal 62 3 17 3 5" xfId="35947"/>
    <cellStyle name="Normal 62 3 17 3 6" xfId="35948"/>
    <cellStyle name="Normal 62 3 17 4" xfId="35949"/>
    <cellStyle name="Normal 62 3 17 4 2" xfId="35950"/>
    <cellStyle name="Normal 62 3 17 4 3" xfId="35951"/>
    <cellStyle name="Normal 62 3 17 4 4" xfId="35952"/>
    <cellStyle name="Normal 62 3 17 4 5" xfId="35953"/>
    <cellStyle name="Normal 62 3 17 4 6" xfId="35954"/>
    <cellStyle name="Normal 62 3 18" xfId="35955"/>
    <cellStyle name="Normal 62 3 18 2" xfId="35956"/>
    <cellStyle name="Normal 62 3 18 3" xfId="35957"/>
    <cellStyle name="Normal 62 3 18 3 2" xfId="35958"/>
    <cellStyle name="Normal 62 3 18 3 3" xfId="35959"/>
    <cellStyle name="Normal 62 3 18 3 4" xfId="35960"/>
    <cellStyle name="Normal 62 3 18 3 5" xfId="35961"/>
    <cellStyle name="Normal 62 3 18 3 6" xfId="35962"/>
    <cellStyle name="Normal 62 3 18 4" xfId="35963"/>
    <cellStyle name="Normal 62 3 18 4 2" xfId="35964"/>
    <cellStyle name="Normal 62 3 18 4 3" xfId="35965"/>
    <cellStyle name="Normal 62 3 18 4 4" xfId="35966"/>
    <cellStyle name="Normal 62 3 18 4 5" xfId="35967"/>
    <cellStyle name="Normal 62 3 18 4 6" xfId="35968"/>
    <cellStyle name="Normal 62 3 19" xfId="35969"/>
    <cellStyle name="Normal 62 3 19 2" xfId="35970"/>
    <cellStyle name="Normal 62 3 19 3" xfId="35971"/>
    <cellStyle name="Normal 62 3 19 3 2" xfId="35972"/>
    <cellStyle name="Normal 62 3 19 3 3" xfId="35973"/>
    <cellStyle name="Normal 62 3 19 3 4" xfId="35974"/>
    <cellStyle name="Normal 62 3 19 3 5" xfId="35975"/>
    <cellStyle name="Normal 62 3 19 3 6" xfId="35976"/>
    <cellStyle name="Normal 62 3 19 4" xfId="35977"/>
    <cellStyle name="Normal 62 3 19 4 2" xfId="35978"/>
    <cellStyle name="Normal 62 3 19 4 3" xfId="35979"/>
    <cellStyle name="Normal 62 3 19 4 4" xfId="35980"/>
    <cellStyle name="Normal 62 3 19 4 5" xfId="35981"/>
    <cellStyle name="Normal 62 3 19 4 6" xfId="35982"/>
    <cellStyle name="Normal 62 3 2" xfId="35983"/>
    <cellStyle name="Normal 62 3 2 10" xfId="35984"/>
    <cellStyle name="Normal 62 3 2 10 2" xfId="35985"/>
    <cellStyle name="Normal 62 3 2 10 3" xfId="35986"/>
    <cellStyle name="Normal 62 3 2 10 3 2" xfId="35987"/>
    <cellStyle name="Normal 62 3 2 10 3 3" xfId="35988"/>
    <cellStyle name="Normal 62 3 2 10 3 4" xfId="35989"/>
    <cellStyle name="Normal 62 3 2 10 3 5" xfId="35990"/>
    <cellStyle name="Normal 62 3 2 10 3 6" xfId="35991"/>
    <cellStyle name="Normal 62 3 2 10 4" xfId="35992"/>
    <cellStyle name="Normal 62 3 2 10 4 2" xfId="35993"/>
    <cellStyle name="Normal 62 3 2 10 4 3" xfId="35994"/>
    <cellStyle name="Normal 62 3 2 10 4 4" xfId="35995"/>
    <cellStyle name="Normal 62 3 2 10 4 5" xfId="35996"/>
    <cellStyle name="Normal 62 3 2 10 4 6" xfId="35997"/>
    <cellStyle name="Normal 62 3 2 11" xfId="35998"/>
    <cellStyle name="Normal 62 3 2 11 2" xfId="35999"/>
    <cellStyle name="Normal 62 3 2 11 3" xfId="36000"/>
    <cellStyle name="Normal 62 3 2 11 3 2" xfId="36001"/>
    <cellStyle name="Normal 62 3 2 11 3 3" xfId="36002"/>
    <cellStyle name="Normal 62 3 2 11 3 4" xfId="36003"/>
    <cellStyle name="Normal 62 3 2 11 3 5" xfId="36004"/>
    <cellStyle name="Normal 62 3 2 11 3 6" xfId="36005"/>
    <cellStyle name="Normal 62 3 2 11 4" xfId="36006"/>
    <cellStyle name="Normal 62 3 2 11 4 2" xfId="36007"/>
    <cellStyle name="Normal 62 3 2 11 4 3" xfId="36008"/>
    <cellStyle name="Normal 62 3 2 11 4 4" xfId="36009"/>
    <cellStyle name="Normal 62 3 2 11 4 5" xfId="36010"/>
    <cellStyle name="Normal 62 3 2 11 4 6" xfId="36011"/>
    <cellStyle name="Normal 62 3 2 12" xfId="36012"/>
    <cellStyle name="Normal 62 3 2 12 2" xfId="36013"/>
    <cellStyle name="Normal 62 3 2 12 3" xfId="36014"/>
    <cellStyle name="Normal 62 3 2 12 3 2" xfId="36015"/>
    <cellStyle name="Normal 62 3 2 12 3 3" xfId="36016"/>
    <cellStyle name="Normal 62 3 2 12 3 4" xfId="36017"/>
    <cellStyle name="Normal 62 3 2 12 3 5" xfId="36018"/>
    <cellStyle name="Normal 62 3 2 12 3 6" xfId="36019"/>
    <cellStyle name="Normal 62 3 2 12 4" xfId="36020"/>
    <cellStyle name="Normal 62 3 2 12 4 2" xfId="36021"/>
    <cellStyle name="Normal 62 3 2 12 4 3" xfId="36022"/>
    <cellStyle name="Normal 62 3 2 12 4 4" xfId="36023"/>
    <cellStyle name="Normal 62 3 2 12 4 5" xfId="36024"/>
    <cellStyle name="Normal 62 3 2 12 4 6" xfId="36025"/>
    <cellStyle name="Normal 62 3 2 13" xfId="36026"/>
    <cellStyle name="Normal 62 3 2 13 2" xfId="36027"/>
    <cellStyle name="Normal 62 3 2 13 3" xfId="36028"/>
    <cellStyle name="Normal 62 3 2 13 3 2" xfId="36029"/>
    <cellStyle name="Normal 62 3 2 13 3 3" xfId="36030"/>
    <cellStyle name="Normal 62 3 2 13 3 4" xfId="36031"/>
    <cellStyle name="Normal 62 3 2 13 3 5" xfId="36032"/>
    <cellStyle name="Normal 62 3 2 13 3 6" xfId="36033"/>
    <cellStyle name="Normal 62 3 2 13 4" xfId="36034"/>
    <cellStyle name="Normal 62 3 2 13 4 2" xfId="36035"/>
    <cellStyle name="Normal 62 3 2 13 4 3" xfId="36036"/>
    <cellStyle name="Normal 62 3 2 13 4 4" xfId="36037"/>
    <cellStyle name="Normal 62 3 2 13 4 5" xfId="36038"/>
    <cellStyle name="Normal 62 3 2 13 4 6" xfId="36039"/>
    <cellStyle name="Normal 62 3 2 14" xfId="36040"/>
    <cellStyle name="Normal 62 3 2 14 2" xfId="36041"/>
    <cellStyle name="Normal 62 3 2 14 3" xfId="36042"/>
    <cellStyle name="Normal 62 3 2 14 3 2" xfId="36043"/>
    <cellStyle name="Normal 62 3 2 14 3 3" xfId="36044"/>
    <cellStyle name="Normal 62 3 2 14 3 4" xfId="36045"/>
    <cellStyle name="Normal 62 3 2 14 3 5" xfId="36046"/>
    <cellStyle name="Normal 62 3 2 14 3 6" xfId="36047"/>
    <cellStyle name="Normal 62 3 2 14 4" xfId="36048"/>
    <cellStyle name="Normal 62 3 2 14 4 2" xfId="36049"/>
    <cellStyle name="Normal 62 3 2 14 4 3" xfId="36050"/>
    <cellStyle name="Normal 62 3 2 14 4 4" xfId="36051"/>
    <cellStyle name="Normal 62 3 2 14 4 5" xfId="36052"/>
    <cellStyle name="Normal 62 3 2 14 4 6" xfId="36053"/>
    <cellStyle name="Normal 62 3 2 15" xfId="36054"/>
    <cellStyle name="Normal 62 3 2 15 2" xfId="36055"/>
    <cellStyle name="Normal 62 3 2 15 3" xfId="36056"/>
    <cellStyle name="Normal 62 3 2 15 3 2" xfId="36057"/>
    <cellStyle name="Normal 62 3 2 15 3 3" xfId="36058"/>
    <cellStyle name="Normal 62 3 2 15 3 4" xfId="36059"/>
    <cellStyle name="Normal 62 3 2 15 3 5" xfId="36060"/>
    <cellStyle name="Normal 62 3 2 15 3 6" xfId="36061"/>
    <cellStyle name="Normal 62 3 2 15 4" xfId="36062"/>
    <cellStyle name="Normal 62 3 2 15 4 2" xfId="36063"/>
    <cellStyle name="Normal 62 3 2 15 4 3" xfId="36064"/>
    <cellStyle name="Normal 62 3 2 15 4 4" xfId="36065"/>
    <cellStyle name="Normal 62 3 2 15 4 5" xfId="36066"/>
    <cellStyle name="Normal 62 3 2 15 4 6" xfId="36067"/>
    <cellStyle name="Normal 62 3 2 16" xfId="36068"/>
    <cellStyle name="Normal 62 3 2 16 2" xfId="36069"/>
    <cellStyle name="Normal 62 3 2 16 3" xfId="36070"/>
    <cellStyle name="Normal 62 3 2 16 3 2" xfId="36071"/>
    <cellStyle name="Normal 62 3 2 16 3 3" xfId="36072"/>
    <cellStyle name="Normal 62 3 2 16 3 4" xfId="36073"/>
    <cellStyle name="Normal 62 3 2 16 3 5" xfId="36074"/>
    <cellStyle name="Normal 62 3 2 16 3 6" xfId="36075"/>
    <cellStyle name="Normal 62 3 2 16 4" xfId="36076"/>
    <cellStyle name="Normal 62 3 2 16 4 2" xfId="36077"/>
    <cellStyle name="Normal 62 3 2 16 4 3" xfId="36078"/>
    <cellStyle name="Normal 62 3 2 16 4 4" xfId="36079"/>
    <cellStyle name="Normal 62 3 2 16 4 5" xfId="36080"/>
    <cellStyle name="Normal 62 3 2 16 4 6" xfId="36081"/>
    <cellStyle name="Normal 62 3 2 17" xfId="36082"/>
    <cellStyle name="Normal 62 3 2 17 2" xfId="36083"/>
    <cellStyle name="Normal 62 3 2 17 3" xfId="36084"/>
    <cellStyle name="Normal 62 3 2 17 3 2" xfId="36085"/>
    <cellStyle name="Normal 62 3 2 17 3 3" xfId="36086"/>
    <cellStyle name="Normal 62 3 2 17 3 4" xfId="36087"/>
    <cellStyle name="Normal 62 3 2 17 3 5" xfId="36088"/>
    <cellStyle name="Normal 62 3 2 17 3 6" xfId="36089"/>
    <cellStyle name="Normal 62 3 2 17 4" xfId="36090"/>
    <cellStyle name="Normal 62 3 2 17 4 2" xfId="36091"/>
    <cellStyle name="Normal 62 3 2 17 4 3" xfId="36092"/>
    <cellStyle name="Normal 62 3 2 17 4 4" xfId="36093"/>
    <cellStyle name="Normal 62 3 2 17 4 5" xfId="36094"/>
    <cellStyle name="Normal 62 3 2 17 4 6" xfId="36095"/>
    <cellStyle name="Normal 62 3 2 18" xfId="36096"/>
    <cellStyle name="Normal 62 3 2 18 2" xfId="36097"/>
    <cellStyle name="Normal 62 3 2 18 3" xfId="36098"/>
    <cellStyle name="Normal 62 3 2 18 3 2" xfId="36099"/>
    <cellStyle name="Normal 62 3 2 18 3 3" xfId="36100"/>
    <cellStyle name="Normal 62 3 2 18 3 4" xfId="36101"/>
    <cellStyle name="Normal 62 3 2 18 3 5" xfId="36102"/>
    <cellStyle name="Normal 62 3 2 18 3 6" xfId="36103"/>
    <cellStyle name="Normal 62 3 2 18 4" xfId="36104"/>
    <cellStyle name="Normal 62 3 2 18 4 2" xfId="36105"/>
    <cellStyle name="Normal 62 3 2 18 4 3" xfId="36106"/>
    <cellStyle name="Normal 62 3 2 18 4 4" xfId="36107"/>
    <cellStyle name="Normal 62 3 2 18 4 5" xfId="36108"/>
    <cellStyle name="Normal 62 3 2 18 4 6" xfId="36109"/>
    <cellStyle name="Normal 62 3 2 19" xfId="36110"/>
    <cellStyle name="Normal 62 3 2 19 2" xfId="36111"/>
    <cellStyle name="Normal 62 3 2 19 3" xfId="36112"/>
    <cellStyle name="Normal 62 3 2 19 3 2" xfId="36113"/>
    <cellStyle name="Normal 62 3 2 19 3 3" xfId="36114"/>
    <cellStyle name="Normal 62 3 2 19 3 4" xfId="36115"/>
    <cellStyle name="Normal 62 3 2 19 3 5" xfId="36116"/>
    <cellStyle name="Normal 62 3 2 19 3 6" xfId="36117"/>
    <cellStyle name="Normal 62 3 2 19 4" xfId="36118"/>
    <cellStyle name="Normal 62 3 2 19 4 2" xfId="36119"/>
    <cellStyle name="Normal 62 3 2 19 4 3" xfId="36120"/>
    <cellStyle name="Normal 62 3 2 19 4 4" xfId="36121"/>
    <cellStyle name="Normal 62 3 2 19 4 5" xfId="36122"/>
    <cellStyle name="Normal 62 3 2 19 4 6" xfId="36123"/>
    <cellStyle name="Normal 62 3 2 2" xfId="36124"/>
    <cellStyle name="Normal 62 3 2 2 10" xfId="36125"/>
    <cellStyle name="Normal 62 3 2 2 10 2" xfId="36126"/>
    <cellStyle name="Normal 62 3 2 2 10 3" xfId="36127"/>
    <cellStyle name="Normal 62 3 2 2 10 3 2" xfId="36128"/>
    <cellStyle name="Normal 62 3 2 2 10 3 3" xfId="36129"/>
    <cellStyle name="Normal 62 3 2 2 10 3 4" xfId="36130"/>
    <cellStyle name="Normal 62 3 2 2 10 3 5" xfId="36131"/>
    <cellStyle name="Normal 62 3 2 2 10 3 6" xfId="36132"/>
    <cellStyle name="Normal 62 3 2 2 10 4" xfId="36133"/>
    <cellStyle name="Normal 62 3 2 2 10 4 2" xfId="36134"/>
    <cellStyle name="Normal 62 3 2 2 10 4 3" xfId="36135"/>
    <cellStyle name="Normal 62 3 2 2 10 4 4" xfId="36136"/>
    <cellStyle name="Normal 62 3 2 2 10 4 5" xfId="36137"/>
    <cellStyle name="Normal 62 3 2 2 10 4 6" xfId="36138"/>
    <cellStyle name="Normal 62 3 2 2 11" xfId="36139"/>
    <cellStyle name="Normal 62 3 2 2 11 2" xfId="36140"/>
    <cellStyle name="Normal 62 3 2 2 11 3" xfId="36141"/>
    <cellStyle name="Normal 62 3 2 2 11 3 2" xfId="36142"/>
    <cellStyle name="Normal 62 3 2 2 11 3 3" xfId="36143"/>
    <cellStyle name="Normal 62 3 2 2 11 3 4" xfId="36144"/>
    <cellStyle name="Normal 62 3 2 2 11 3 5" xfId="36145"/>
    <cellStyle name="Normal 62 3 2 2 11 3 6" xfId="36146"/>
    <cellStyle name="Normal 62 3 2 2 11 4" xfId="36147"/>
    <cellStyle name="Normal 62 3 2 2 11 4 2" xfId="36148"/>
    <cellStyle name="Normal 62 3 2 2 11 4 3" xfId="36149"/>
    <cellStyle name="Normal 62 3 2 2 11 4 4" xfId="36150"/>
    <cellStyle name="Normal 62 3 2 2 11 4 5" xfId="36151"/>
    <cellStyle name="Normal 62 3 2 2 11 4 6" xfId="36152"/>
    <cellStyle name="Normal 62 3 2 2 12" xfId="36153"/>
    <cellStyle name="Normal 62 3 2 2 12 2" xfId="36154"/>
    <cellStyle name="Normal 62 3 2 2 12 3" xfId="36155"/>
    <cellStyle name="Normal 62 3 2 2 12 3 2" xfId="36156"/>
    <cellStyle name="Normal 62 3 2 2 12 3 3" xfId="36157"/>
    <cellStyle name="Normal 62 3 2 2 12 3 4" xfId="36158"/>
    <cellStyle name="Normal 62 3 2 2 12 3 5" xfId="36159"/>
    <cellStyle name="Normal 62 3 2 2 12 3 6" xfId="36160"/>
    <cellStyle name="Normal 62 3 2 2 12 4" xfId="36161"/>
    <cellStyle name="Normal 62 3 2 2 12 4 2" xfId="36162"/>
    <cellStyle name="Normal 62 3 2 2 12 4 3" xfId="36163"/>
    <cellStyle name="Normal 62 3 2 2 12 4 4" xfId="36164"/>
    <cellStyle name="Normal 62 3 2 2 12 4 5" xfId="36165"/>
    <cellStyle name="Normal 62 3 2 2 12 4 6" xfId="36166"/>
    <cellStyle name="Normal 62 3 2 2 13" xfId="36167"/>
    <cellStyle name="Normal 62 3 2 2 13 2" xfId="36168"/>
    <cellStyle name="Normal 62 3 2 2 13 3" xfId="36169"/>
    <cellStyle name="Normal 62 3 2 2 13 3 2" xfId="36170"/>
    <cellStyle name="Normal 62 3 2 2 13 3 3" xfId="36171"/>
    <cellStyle name="Normal 62 3 2 2 13 3 4" xfId="36172"/>
    <cellStyle name="Normal 62 3 2 2 13 3 5" xfId="36173"/>
    <cellStyle name="Normal 62 3 2 2 13 3 6" xfId="36174"/>
    <cellStyle name="Normal 62 3 2 2 13 4" xfId="36175"/>
    <cellStyle name="Normal 62 3 2 2 13 4 2" xfId="36176"/>
    <cellStyle name="Normal 62 3 2 2 13 4 3" xfId="36177"/>
    <cellStyle name="Normal 62 3 2 2 13 4 4" xfId="36178"/>
    <cellStyle name="Normal 62 3 2 2 13 4 5" xfId="36179"/>
    <cellStyle name="Normal 62 3 2 2 13 4 6" xfId="36180"/>
    <cellStyle name="Normal 62 3 2 2 14" xfId="36181"/>
    <cellStyle name="Normal 62 3 2 2 14 2" xfId="36182"/>
    <cellStyle name="Normal 62 3 2 2 14 3" xfId="36183"/>
    <cellStyle name="Normal 62 3 2 2 14 3 2" xfId="36184"/>
    <cellStyle name="Normal 62 3 2 2 14 3 3" xfId="36185"/>
    <cellStyle name="Normal 62 3 2 2 14 3 4" xfId="36186"/>
    <cellStyle name="Normal 62 3 2 2 14 3 5" xfId="36187"/>
    <cellStyle name="Normal 62 3 2 2 14 3 6" xfId="36188"/>
    <cellStyle name="Normal 62 3 2 2 14 4" xfId="36189"/>
    <cellStyle name="Normal 62 3 2 2 14 4 2" xfId="36190"/>
    <cellStyle name="Normal 62 3 2 2 14 4 3" xfId="36191"/>
    <cellStyle name="Normal 62 3 2 2 14 4 4" xfId="36192"/>
    <cellStyle name="Normal 62 3 2 2 14 4 5" xfId="36193"/>
    <cellStyle name="Normal 62 3 2 2 14 4 6" xfId="36194"/>
    <cellStyle name="Normal 62 3 2 2 15" xfId="36195"/>
    <cellStyle name="Normal 62 3 2 2 15 2" xfId="36196"/>
    <cellStyle name="Normal 62 3 2 2 15 3" xfId="36197"/>
    <cellStyle name="Normal 62 3 2 2 15 3 2" xfId="36198"/>
    <cellStyle name="Normal 62 3 2 2 15 3 3" xfId="36199"/>
    <cellStyle name="Normal 62 3 2 2 15 3 4" xfId="36200"/>
    <cellStyle name="Normal 62 3 2 2 15 3 5" xfId="36201"/>
    <cellStyle name="Normal 62 3 2 2 15 3 6" xfId="36202"/>
    <cellStyle name="Normal 62 3 2 2 15 4" xfId="36203"/>
    <cellStyle name="Normal 62 3 2 2 15 4 2" xfId="36204"/>
    <cellStyle name="Normal 62 3 2 2 15 4 3" xfId="36205"/>
    <cellStyle name="Normal 62 3 2 2 15 4 4" xfId="36206"/>
    <cellStyle name="Normal 62 3 2 2 15 4 5" xfId="36207"/>
    <cellStyle name="Normal 62 3 2 2 15 4 6" xfId="36208"/>
    <cellStyle name="Normal 62 3 2 2 16" xfId="36209"/>
    <cellStyle name="Normal 62 3 2 2 16 2" xfId="36210"/>
    <cellStyle name="Normal 62 3 2 2 16 3" xfId="36211"/>
    <cellStyle name="Normal 62 3 2 2 16 3 2" xfId="36212"/>
    <cellStyle name="Normal 62 3 2 2 16 3 3" xfId="36213"/>
    <cellStyle name="Normal 62 3 2 2 16 3 4" xfId="36214"/>
    <cellStyle name="Normal 62 3 2 2 16 3 5" xfId="36215"/>
    <cellStyle name="Normal 62 3 2 2 16 3 6" xfId="36216"/>
    <cellStyle name="Normal 62 3 2 2 16 4" xfId="36217"/>
    <cellStyle name="Normal 62 3 2 2 16 4 2" xfId="36218"/>
    <cellStyle name="Normal 62 3 2 2 16 4 3" xfId="36219"/>
    <cellStyle name="Normal 62 3 2 2 16 4 4" xfId="36220"/>
    <cellStyle name="Normal 62 3 2 2 16 4 5" xfId="36221"/>
    <cellStyle name="Normal 62 3 2 2 16 4 6" xfId="36222"/>
    <cellStyle name="Normal 62 3 2 2 17" xfId="36223"/>
    <cellStyle name="Normal 62 3 2 2 18" xfId="36224"/>
    <cellStyle name="Normal 62 3 2 2 18 2" xfId="36225"/>
    <cellStyle name="Normal 62 3 2 2 18 3" xfId="36226"/>
    <cellStyle name="Normal 62 3 2 2 18 4" xfId="36227"/>
    <cellStyle name="Normal 62 3 2 2 18 5" xfId="36228"/>
    <cellStyle name="Normal 62 3 2 2 18 6" xfId="36229"/>
    <cellStyle name="Normal 62 3 2 2 19" xfId="36230"/>
    <cellStyle name="Normal 62 3 2 2 19 2" xfId="36231"/>
    <cellStyle name="Normal 62 3 2 2 19 3" xfId="36232"/>
    <cellStyle name="Normal 62 3 2 2 19 4" xfId="36233"/>
    <cellStyle name="Normal 62 3 2 2 19 5" xfId="36234"/>
    <cellStyle name="Normal 62 3 2 2 19 6" xfId="36235"/>
    <cellStyle name="Normal 62 3 2 2 2" xfId="36236"/>
    <cellStyle name="Normal 62 3 2 2 2 2" xfId="36237"/>
    <cellStyle name="Normal 62 3 2 2 2 3" xfId="36238"/>
    <cellStyle name="Normal 62 3 2 2 2 3 2" xfId="36239"/>
    <cellStyle name="Normal 62 3 2 2 2 3 3" xfId="36240"/>
    <cellStyle name="Normal 62 3 2 2 2 3 4" xfId="36241"/>
    <cellStyle name="Normal 62 3 2 2 2 3 5" xfId="36242"/>
    <cellStyle name="Normal 62 3 2 2 2 3 6" xfId="36243"/>
    <cellStyle name="Normal 62 3 2 2 2 4" xfId="36244"/>
    <cellStyle name="Normal 62 3 2 2 2 4 2" xfId="36245"/>
    <cellStyle name="Normal 62 3 2 2 2 4 3" xfId="36246"/>
    <cellStyle name="Normal 62 3 2 2 2 4 4" xfId="36247"/>
    <cellStyle name="Normal 62 3 2 2 2 4 5" xfId="36248"/>
    <cellStyle name="Normal 62 3 2 2 2 4 6" xfId="36249"/>
    <cellStyle name="Normal 62 3 2 2 3" xfId="36250"/>
    <cellStyle name="Normal 62 3 2 2 3 2" xfId="36251"/>
    <cellStyle name="Normal 62 3 2 2 3 3" xfId="36252"/>
    <cellStyle name="Normal 62 3 2 2 3 3 2" xfId="36253"/>
    <cellStyle name="Normal 62 3 2 2 3 3 3" xfId="36254"/>
    <cellStyle name="Normal 62 3 2 2 3 3 4" xfId="36255"/>
    <cellStyle name="Normal 62 3 2 2 3 3 5" xfId="36256"/>
    <cellStyle name="Normal 62 3 2 2 3 3 6" xfId="36257"/>
    <cellStyle name="Normal 62 3 2 2 3 4" xfId="36258"/>
    <cellStyle name="Normal 62 3 2 2 3 4 2" xfId="36259"/>
    <cellStyle name="Normal 62 3 2 2 3 4 3" xfId="36260"/>
    <cellStyle name="Normal 62 3 2 2 3 4 4" xfId="36261"/>
    <cellStyle name="Normal 62 3 2 2 3 4 5" xfId="36262"/>
    <cellStyle name="Normal 62 3 2 2 3 4 6" xfId="36263"/>
    <cellStyle name="Normal 62 3 2 2 4" xfId="36264"/>
    <cellStyle name="Normal 62 3 2 2 4 2" xfId="36265"/>
    <cellStyle name="Normal 62 3 2 2 4 3" xfId="36266"/>
    <cellStyle name="Normal 62 3 2 2 4 3 2" xfId="36267"/>
    <cellStyle name="Normal 62 3 2 2 4 3 3" xfId="36268"/>
    <cellStyle name="Normal 62 3 2 2 4 3 4" xfId="36269"/>
    <cellStyle name="Normal 62 3 2 2 4 3 5" xfId="36270"/>
    <cellStyle name="Normal 62 3 2 2 4 3 6" xfId="36271"/>
    <cellStyle name="Normal 62 3 2 2 4 4" xfId="36272"/>
    <cellStyle name="Normal 62 3 2 2 4 4 2" xfId="36273"/>
    <cellStyle name="Normal 62 3 2 2 4 4 3" xfId="36274"/>
    <cellStyle name="Normal 62 3 2 2 4 4 4" xfId="36275"/>
    <cellStyle name="Normal 62 3 2 2 4 4 5" xfId="36276"/>
    <cellStyle name="Normal 62 3 2 2 4 4 6" xfId="36277"/>
    <cellStyle name="Normal 62 3 2 2 5" xfId="36278"/>
    <cellStyle name="Normal 62 3 2 2 5 2" xfId="36279"/>
    <cellStyle name="Normal 62 3 2 2 5 3" xfId="36280"/>
    <cellStyle name="Normal 62 3 2 2 5 3 2" xfId="36281"/>
    <cellStyle name="Normal 62 3 2 2 5 3 3" xfId="36282"/>
    <cellStyle name="Normal 62 3 2 2 5 3 4" xfId="36283"/>
    <cellStyle name="Normal 62 3 2 2 5 3 5" xfId="36284"/>
    <cellStyle name="Normal 62 3 2 2 5 3 6" xfId="36285"/>
    <cellStyle name="Normal 62 3 2 2 5 4" xfId="36286"/>
    <cellStyle name="Normal 62 3 2 2 5 4 2" xfId="36287"/>
    <cellStyle name="Normal 62 3 2 2 5 4 3" xfId="36288"/>
    <cellStyle name="Normal 62 3 2 2 5 4 4" xfId="36289"/>
    <cellStyle name="Normal 62 3 2 2 5 4 5" xfId="36290"/>
    <cellStyle name="Normal 62 3 2 2 5 4 6" xfId="36291"/>
    <cellStyle name="Normal 62 3 2 2 6" xfId="36292"/>
    <cellStyle name="Normal 62 3 2 2 6 2" xfId="36293"/>
    <cellStyle name="Normal 62 3 2 2 6 3" xfId="36294"/>
    <cellStyle name="Normal 62 3 2 2 6 3 2" xfId="36295"/>
    <cellStyle name="Normal 62 3 2 2 6 3 3" xfId="36296"/>
    <cellStyle name="Normal 62 3 2 2 6 3 4" xfId="36297"/>
    <cellStyle name="Normal 62 3 2 2 6 3 5" xfId="36298"/>
    <cellStyle name="Normal 62 3 2 2 6 3 6" xfId="36299"/>
    <cellStyle name="Normal 62 3 2 2 6 4" xfId="36300"/>
    <cellStyle name="Normal 62 3 2 2 6 4 2" xfId="36301"/>
    <cellStyle name="Normal 62 3 2 2 6 4 3" xfId="36302"/>
    <cellStyle name="Normal 62 3 2 2 6 4 4" xfId="36303"/>
    <cellStyle name="Normal 62 3 2 2 6 4 5" xfId="36304"/>
    <cellStyle name="Normal 62 3 2 2 6 4 6" xfId="36305"/>
    <cellStyle name="Normal 62 3 2 2 7" xfId="36306"/>
    <cellStyle name="Normal 62 3 2 2 7 2" xfId="36307"/>
    <cellStyle name="Normal 62 3 2 2 7 3" xfId="36308"/>
    <cellStyle name="Normal 62 3 2 2 7 3 2" xfId="36309"/>
    <cellStyle name="Normal 62 3 2 2 7 3 3" xfId="36310"/>
    <cellStyle name="Normal 62 3 2 2 7 3 4" xfId="36311"/>
    <cellStyle name="Normal 62 3 2 2 7 3 5" xfId="36312"/>
    <cellStyle name="Normal 62 3 2 2 7 3 6" xfId="36313"/>
    <cellStyle name="Normal 62 3 2 2 7 4" xfId="36314"/>
    <cellStyle name="Normal 62 3 2 2 7 4 2" xfId="36315"/>
    <cellStyle name="Normal 62 3 2 2 7 4 3" xfId="36316"/>
    <cellStyle name="Normal 62 3 2 2 7 4 4" xfId="36317"/>
    <cellStyle name="Normal 62 3 2 2 7 4 5" xfId="36318"/>
    <cellStyle name="Normal 62 3 2 2 7 4 6" xfId="36319"/>
    <cellStyle name="Normal 62 3 2 2 8" xfId="36320"/>
    <cellStyle name="Normal 62 3 2 2 8 2" xfId="36321"/>
    <cellStyle name="Normal 62 3 2 2 8 3" xfId="36322"/>
    <cellStyle name="Normal 62 3 2 2 8 3 2" xfId="36323"/>
    <cellStyle name="Normal 62 3 2 2 8 3 3" xfId="36324"/>
    <cellStyle name="Normal 62 3 2 2 8 3 4" xfId="36325"/>
    <cellStyle name="Normal 62 3 2 2 8 3 5" xfId="36326"/>
    <cellStyle name="Normal 62 3 2 2 8 3 6" xfId="36327"/>
    <cellStyle name="Normal 62 3 2 2 8 4" xfId="36328"/>
    <cellStyle name="Normal 62 3 2 2 8 4 2" xfId="36329"/>
    <cellStyle name="Normal 62 3 2 2 8 4 3" xfId="36330"/>
    <cellStyle name="Normal 62 3 2 2 8 4 4" xfId="36331"/>
    <cellStyle name="Normal 62 3 2 2 8 4 5" xfId="36332"/>
    <cellStyle name="Normal 62 3 2 2 8 4 6" xfId="36333"/>
    <cellStyle name="Normal 62 3 2 2 9" xfId="36334"/>
    <cellStyle name="Normal 62 3 2 2 9 2" xfId="36335"/>
    <cellStyle name="Normal 62 3 2 2 9 3" xfId="36336"/>
    <cellStyle name="Normal 62 3 2 2 9 3 2" xfId="36337"/>
    <cellStyle name="Normal 62 3 2 2 9 3 3" xfId="36338"/>
    <cellStyle name="Normal 62 3 2 2 9 3 4" xfId="36339"/>
    <cellStyle name="Normal 62 3 2 2 9 3 5" xfId="36340"/>
    <cellStyle name="Normal 62 3 2 2 9 3 6" xfId="36341"/>
    <cellStyle name="Normal 62 3 2 2 9 4" xfId="36342"/>
    <cellStyle name="Normal 62 3 2 2 9 4 2" xfId="36343"/>
    <cellStyle name="Normal 62 3 2 2 9 4 3" xfId="36344"/>
    <cellStyle name="Normal 62 3 2 2 9 4 4" xfId="36345"/>
    <cellStyle name="Normal 62 3 2 2 9 4 5" xfId="36346"/>
    <cellStyle name="Normal 62 3 2 2 9 4 6" xfId="36347"/>
    <cellStyle name="Normal 62 3 2 20" xfId="36348"/>
    <cellStyle name="Normal 62 3 2 21" xfId="36349"/>
    <cellStyle name="Normal 62 3 2 21 2" xfId="36350"/>
    <cellStyle name="Normal 62 3 2 21 3" xfId="36351"/>
    <cellStyle name="Normal 62 3 2 21 4" xfId="36352"/>
    <cellStyle name="Normal 62 3 2 21 5" xfId="36353"/>
    <cellStyle name="Normal 62 3 2 21 6" xfId="36354"/>
    <cellStyle name="Normal 62 3 2 22" xfId="36355"/>
    <cellStyle name="Normal 62 3 2 22 2" xfId="36356"/>
    <cellStyle name="Normal 62 3 2 22 3" xfId="36357"/>
    <cellStyle name="Normal 62 3 2 22 4" xfId="36358"/>
    <cellStyle name="Normal 62 3 2 22 5" xfId="36359"/>
    <cellStyle name="Normal 62 3 2 22 6" xfId="36360"/>
    <cellStyle name="Normal 62 3 2 3" xfId="36361"/>
    <cellStyle name="Normal 62 3 2 3 2" xfId="36362"/>
    <cellStyle name="Normal 62 3 2 3 3" xfId="36363"/>
    <cellStyle name="Normal 62 3 2 3 3 2" xfId="36364"/>
    <cellStyle name="Normal 62 3 2 3 3 3" xfId="36365"/>
    <cellStyle name="Normal 62 3 2 3 3 4" xfId="36366"/>
    <cellStyle name="Normal 62 3 2 3 3 5" xfId="36367"/>
    <cellStyle name="Normal 62 3 2 3 3 6" xfId="36368"/>
    <cellStyle name="Normal 62 3 2 3 4" xfId="36369"/>
    <cellStyle name="Normal 62 3 2 3 4 2" xfId="36370"/>
    <cellStyle name="Normal 62 3 2 3 4 3" xfId="36371"/>
    <cellStyle name="Normal 62 3 2 3 4 4" xfId="36372"/>
    <cellStyle name="Normal 62 3 2 3 4 5" xfId="36373"/>
    <cellStyle name="Normal 62 3 2 3 4 6" xfId="36374"/>
    <cellStyle name="Normal 62 3 2 4" xfId="36375"/>
    <cellStyle name="Normal 62 3 2 4 2" xfId="36376"/>
    <cellStyle name="Normal 62 3 2 4 3" xfId="36377"/>
    <cellStyle name="Normal 62 3 2 4 3 2" xfId="36378"/>
    <cellStyle name="Normal 62 3 2 4 3 3" xfId="36379"/>
    <cellStyle name="Normal 62 3 2 4 3 4" xfId="36380"/>
    <cellStyle name="Normal 62 3 2 4 3 5" xfId="36381"/>
    <cellStyle name="Normal 62 3 2 4 3 6" xfId="36382"/>
    <cellStyle name="Normal 62 3 2 4 4" xfId="36383"/>
    <cellStyle name="Normal 62 3 2 4 4 2" xfId="36384"/>
    <cellStyle name="Normal 62 3 2 4 4 3" xfId="36385"/>
    <cellStyle name="Normal 62 3 2 4 4 4" xfId="36386"/>
    <cellStyle name="Normal 62 3 2 4 4 5" xfId="36387"/>
    <cellStyle name="Normal 62 3 2 4 4 6" xfId="36388"/>
    <cellStyle name="Normal 62 3 2 5" xfId="36389"/>
    <cellStyle name="Normal 62 3 2 5 2" xfId="36390"/>
    <cellStyle name="Normal 62 3 2 5 3" xfId="36391"/>
    <cellStyle name="Normal 62 3 2 5 3 2" xfId="36392"/>
    <cellStyle name="Normal 62 3 2 5 3 3" xfId="36393"/>
    <cellStyle name="Normal 62 3 2 5 3 4" xfId="36394"/>
    <cellStyle name="Normal 62 3 2 5 3 5" xfId="36395"/>
    <cellStyle name="Normal 62 3 2 5 3 6" xfId="36396"/>
    <cellStyle name="Normal 62 3 2 5 4" xfId="36397"/>
    <cellStyle name="Normal 62 3 2 5 4 2" xfId="36398"/>
    <cellStyle name="Normal 62 3 2 5 4 3" xfId="36399"/>
    <cellStyle name="Normal 62 3 2 5 4 4" xfId="36400"/>
    <cellStyle name="Normal 62 3 2 5 4 5" xfId="36401"/>
    <cellStyle name="Normal 62 3 2 5 4 6" xfId="36402"/>
    <cellStyle name="Normal 62 3 2 6" xfId="36403"/>
    <cellStyle name="Normal 62 3 2 6 2" xfId="36404"/>
    <cellStyle name="Normal 62 3 2 6 3" xfId="36405"/>
    <cellStyle name="Normal 62 3 2 6 3 2" xfId="36406"/>
    <cellStyle name="Normal 62 3 2 6 3 3" xfId="36407"/>
    <cellStyle name="Normal 62 3 2 6 3 4" xfId="36408"/>
    <cellStyle name="Normal 62 3 2 6 3 5" xfId="36409"/>
    <cellStyle name="Normal 62 3 2 6 3 6" xfId="36410"/>
    <cellStyle name="Normal 62 3 2 6 4" xfId="36411"/>
    <cellStyle name="Normal 62 3 2 6 4 2" xfId="36412"/>
    <cellStyle name="Normal 62 3 2 6 4 3" xfId="36413"/>
    <cellStyle name="Normal 62 3 2 6 4 4" xfId="36414"/>
    <cellStyle name="Normal 62 3 2 6 4 5" xfId="36415"/>
    <cellStyle name="Normal 62 3 2 6 4 6" xfId="36416"/>
    <cellStyle name="Normal 62 3 2 7" xfId="36417"/>
    <cellStyle name="Normal 62 3 2 7 2" xfId="36418"/>
    <cellStyle name="Normal 62 3 2 7 3" xfId="36419"/>
    <cellStyle name="Normal 62 3 2 7 3 2" xfId="36420"/>
    <cellStyle name="Normal 62 3 2 7 3 3" xfId="36421"/>
    <cellStyle name="Normal 62 3 2 7 3 4" xfId="36422"/>
    <cellStyle name="Normal 62 3 2 7 3 5" xfId="36423"/>
    <cellStyle name="Normal 62 3 2 7 3 6" xfId="36424"/>
    <cellStyle name="Normal 62 3 2 7 4" xfId="36425"/>
    <cellStyle name="Normal 62 3 2 7 4 2" xfId="36426"/>
    <cellStyle name="Normal 62 3 2 7 4 3" xfId="36427"/>
    <cellStyle name="Normal 62 3 2 7 4 4" xfId="36428"/>
    <cellStyle name="Normal 62 3 2 7 4 5" xfId="36429"/>
    <cellStyle name="Normal 62 3 2 7 4 6" xfId="36430"/>
    <cellStyle name="Normal 62 3 2 8" xfId="36431"/>
    <cellStyle name="Normal 62 3 2 8 2" xfId="36432"/>
    <cellStyle name="Normal 62 3 2 8 3" xfId="36433"/>
    <cellStyle name="Normal 62 3 2 8 3 2" xfId="36434"/>
    <cellStyle name="Normal 62 3 2 8 3 3" xfId="36435"/>
    <cellStyle name="Normal 62 3 2 8 3 4" xfId="36436"/>
    <cellStyle name="Normal 62 3 2 8 3 5" xfId="36437"/>
    <cellStyle name="Normal 62 3 2 8 3 6" xfId="36438"/>
    <cellStyle name="Normal 62 3 2 8 4" xfId="36439"/>
    <cellStyle name="Normal 62 3 2 8 4 2" xfId="36440"/>
    <cellStyle name="Normal 62 3 2 8 4 3" xfId="36441"/>
    <cellStyle name="Normal 62 3 2 8 4 4" xfId="36442"/>
    <cellStyle name="Normal 62 3 2 8 4 5" xfId="36443"/>
    <cellStyle name="Normal 62 3 2 8 4 6" xfId="36444"/>
    <cellStyle name="Normal 62 3 2 9" xfId="36445"/>
    <cellStyle name="Normal 62 3 2 9 2" xfId="36446"/>
    <cellStyle name="Normal 62 3 2 9 3" xfId="36447"/>
    <cellStyle name="Normal 62 3 2 9 3 2" xfId="36448"/>
    <cellStyle name="Normal 62 3 2 9 3 3" xfId="36449"/>
    <cellStyle name="Normal 62 3 2 9 3 4" xfId="36450"/>
    <cellStyle name="Normal 62 3 2 9 3 5" xfId="36451"/>
    <cellStyle name="Normal 62 3 2 9 3 6" xfId="36452"/>
    <cellStyle name="Normal 62 3 2 9 4" xfId="36453"/>
    <cellStyle name="Normal 62 3 2 9 4 2" xfId="36454"/>
    <cellStyle name="Normal 62 3 2 9 4 3" xfId="36455"/>
    <cellStyle name="Normal 62 3 2 9 4 4" xfId="36456"/>
    <cellStyle name="Normal 62 3 2 9 4 5" xfId="36457"/>
    <cellStyle name="Normal 62 3 2 9 4 6" xfId="36458"/>
    <cellStyle name="Normal 62 3 20" xfId="36459"/>
    <cellStyle name="Normal 62 3 21" xfId="36460"/>
    <cellStyle name="Normal 62 3 21 2" xfId="36461"/>
    <cellStyle name="Normal 62 3 21 3" xfId="36462"/>
    <cellStyle name="Normal 62 3 21 4" xfId="36463"/>
    <cellStyle name="Normal 62 3 21 5" xfId="36464"/>
    <cellStyle name="Normal 62 3 21 6" xfId="36465"/>
    <cellStyle name="Normal 62 3 22" xfId="36466"/>
    <cellStyle name="Normal 62 3 22 2" xfId="36467"/>
    <cellStyle name="Normal 62 3 22 3" xfId="36468"/>
    <cellStyle name="Normal 62 3 22 4" xfId="36469"/>
    <cellStyle name="Normal 62 3 22 5" xfId="36470"/>
    <cellStyle name="Normal 62 3 22 6" xfId="36471"/>
    <cellStyle name="Normal 62 3 3" xfId="36472"/>
    <cellStyle name="Normal 62 3 3 10" xfId="36473"/>
    <cellStyle name="Normal 62 3 3 10 2" xfId="36474"/>
    <cellStyle name="Normal 62 3 3 10 3" xfId="36475"/>
    <cellStyle name="Normal 62 3 3 10 3 2" xfId="36476"/>
    <cellStyle name="Normal 62 3 3 10 3 3" xfId="36477"/>
    <cellStyle name="Normal 62 3 3 10 3 4" xfId="36478"/>
    <cellStyle name="Normal 62 3 3 10 3 5" xfId="36479"/>
    <cellStyle name="Normal 62 3 3 10 3 6" xfId="36480"/>
    <cellStyle name="Normal 62 3 3 10 4" xfId="36481"/>
    <cellStyle name="Normal 62 3 3 10 4 2" xfId="36482"/>
    <cellStyle name="Normal 62 3 3 10 4 3" xfId="36483"/>
    <cellStyle name="Normal 62 3 3 10 4 4" xfId="36484"/>
    <cellStyle name="Normal 62 3 3 10 4 5" xfId="36485"/>
    <cellStyle name="Normal 62 3 3 10 4 6" xfId="36486"/>
    <cellStyle name="Normal 62 3 3 11" xfId="36487"/>
    <cellStyle name="Normal 62 3 3 11 2" xfId="36488"/>
    <cellStyle name="Normal 62 3 3 11 3" xfId="36489"/>
    <cellStyle name="Normal 62 3 3 11 3 2" xfId="36490"/>
    <cellStyle name="Normal 62 3 3 11 3 3" xfId="36491"/>
    <cellStyle name="Normal 62 3 3 11 3 4" xfId="36492"/>
    <cellStyle name="Normal 62 3 3 11 3 5" xfId="36493"/>
    <cellStyle name="Normal 62 3 3 11 3 6" xfId="36494"/>
    <cellStyle name="Normal 62 3 3 11 4" xfId="36495"/>
    <cellStyle name="Normal 62 3 3 11 4 2" xfId="36496"/>
    <cellStyle name="Normal 62 3 3 11 4 3" xfId="36497"/>
    <cellStyle name="Normal 62 3 3 11 4 4" xfId="36498"/>
    <cellStyle name="Normal 62 3 3 11 4 5" xfId="36499"/>
    <cellStyle name="Normal 62 3 3 11 4 6" xfId="36500"/>
    <cellStyle name="Normal 62 3 3 12" xfId="36501"/>
    <cellStyle name="Normal 62 3 3 12 2" xfId="36502"/>
    <cellStyle name="Normal 62 3 3 12 3" xfId="36503"/>
    <cellStyle name="Normal 62 3 3 12 3 2" xfId="36504"/>
    <cellStyle name="Normal 62 3 3 12 3 3" xfId="36505"/>
    <cellStyle name="Normal 62 3 3 12 3 4" xfId="36506"/>
    <cellStyle name="Normal 62 3 3 12 3 5" xfId="36507"/>
    <cellStyle name="Normal 62 3 3 12 3 6" xfId="36508"/>
    <cellStyle name="Normal 62 3 3 12 4" xfId="36509"/>
    <cellStyle name="Normal 62 3 3 12 4 2" xfId="36510"/>
    <cellStyle name="Normal 62 3 3 12 4 3" xfId="36511"/>
    <cellStyle name="Normal 62 3 3 12 4 4" xfId="36512"/>
    <cellStyle name="Normal 62 3 3 12 4 5" xfId="36513"/>
    <cellStyle name="Normal 62 3 3 12 4 6" xfId="36514"/>
    <cellStyle name="Normal 62 3 3 13" xfId="36515"/>
    <cellStyle name="Normal 62 3 3 13 2" xfId="36516"/>
    <cellStyle name="Normal 62 3 3 13 3" xfId="36517"/>
    <cellStyle name="Normal 62 3 3 13 3 2" xfId="36518"/>
    <cellStyle name="Normal 62 3 3 13 3 3" xfId="36519"/>
    <cellStyle name="Normal 62 3 3 13 3 4" xfId="36520"/>
    <cellStyle name="Normal 62 3 3 13 3 5" xfId="36521"/>
    <cellStyle name="Normal 62 3 3 13 3 6" xfId="36522"/>
    <cellStyle name="Normal 62 3 3 13 4" xfId="36523"/>
    <cellStyle name="Normal 62 3 3 13 4 2" xfId="36524"/>
    <cellStyle name="Normal 62 3 3 13 4 3" xfId="36525"/>
    <cellStyle name="Normal 62 3 3 13 4 4" xfId="36526"/>
    <cellStyle name="Normal 62 3 3 13 4 5" xfId="36527"/>
    <cellStyle name="Normal 62 3 3 13 4 6" xfId="36528"/>
    <cellStyle name="Normal 62 3 3 14" xfId="36529"/>
    <cellStyle name="Normal 62 3 3 14 2" xfId="36530"/>
    <cellStyle name="Normal 62 3 3 14 3" xfId="36531"/>
    <cellStyle name="Normal 62 3 3 14 3 2" xfId="36532"/>
    <cellStyle name="Normal 62 3 3 14 3 3" xfId="36533"/>
    <cellStyle name="Normal 62 3 3 14 3 4" xfId="36534"/>
    <cellStyle name="Normal 62 3 3 14 3 5" xfId="36535"/>
    <cellStyle name="Normal 62 3 3 14 3 6" xfId="36536"/>
    <cellStyle name="Normal 62 3 3 14 4" xfId="36537"/>
    <cellStyle name="Normal 62 3 3 14 4 2" xfId="36538"/>
    <cellStyle name="Normal 62 3 3 14 4 3" xfId="36539"/>
    <cellStyle name="Normal 62 3 3 14 4 4" xfId="36540"/>
    <cellStyle name="Normal 62 3 3 14 4 5" xfId="36541"/>
    <cellStyle name="Normal 62 3 3 14 4 6" xfId="36542"/>
    <cellStyle name="Normal 62 3 3 15" xfId="36543"/>
    <cellStyle name="Normal 62 3 3 15 2" xfId="36544"/>
    <cellStyle name="Normal 62 3 3 15 3" xfId="36545"/>
    <cellStyle name="Normal 62 3 3 15 3 2" xfId="36546"/>
    <cellStyle name="Normal 62 3 3 15 3 3" xfId="36547"/>
    <cellStyle name="Normal 62 3 3 15 3 4" xfId="36548"/>
    <cellStyle name="Normal 62 3 3 15 3 5" xfId="36549"/>
    <cellStyle name="Normal 62 3 3 15 3 6" xfId="36550"/>
    <cellStyle name="Normal 62 3 3 15 4" xfId="36551"/>
    <cellStyle name="Normal 62 3 3 15 4 2" xfId="36552"/>
    <cellStyle name="Normal 62 3 3 15 4 3" xfId="36553"/>
    <cellStyle name="Normal 62 3 3 15 4 4" xfId="36554"/>
    <cellStyle name="Normal 62 3 3 15 4 5" xfId="36555"/>
    <cellStyle name="Normal 62 3 3 15 4 6" xfId="36556"/>
    <cellStyle name="Normal 62 3 3 16" xfId="36557"/>
    <cellStyle name="Normal 62 3 3 16 2" xfId="36558"/>
    <cellStyle name="Normal 62 3 3 16 3" xfId="36559"/>
    <cellStyle name="Normal 62 3 3 16 3 2" xfId="36560"/>
    <cellStyle name="Normal 62 3 3 16 3 3" xfId="36561"/>
    <cellStyle name="Normal 62 3 3 16 3 4" xfId="36562"/>
    <cellStyle name="Normal 62 3 3 16 3 5" xfId="36563"/>
    <cellStyle name="Normal 62 3 3 16 3 6" xfId="36564"/>
    <cellStyle name="Normal 62 3 3 16 4" xfId="36565"/>
    <cellStyle name="Normal 62 3 3 16 4 2" xfId="36566"/>
    <cellStyle name="Normal 62 3 3 16 4 3" xfId="36567"/>
    <cellStyle name="Normal 62 3 3 16 4 4" xfId="36568"/>
    <cellStyle name="Normal 62 3 3 16 4 5" xfId="36569"/>
    <cellStyle name="Normal 62 3 3 16 4 6" xfId="36570"/>
    <cellStyle name="Normal 62 3 3 17" xfId="36571"/>
    <cellStyle name="Normal 62 3 3 18" xfId="36572"/>
    <cellStyle name="Normal 62 3 3 18 2" xfId="36573"/>
    <cellStyle name="Normal 62 3 3 18 3" xfId="36574"/>
    <cellStyle name="Normal 62 3 3 18 4" xfId="36575"/>
    <cellStyle name="Normal 62 3 3 18 5" xfId="36576"/>
    <cellStyle name="Normal 62 3 3 18 6" xfId="36577"/>
    <cellStyle name="Normal 62 3 3 19" xfId="36578"/>
    <cellStyle name="Normal 62 3 3 19 2" xfId="36579"/>
    <cellStyle name="Normal 62 3 3 19 3" xfId="36580"/>
    <cellStyle name="Normal 62 3 3 19 4" xfId="36581"/>
    <cellStyle name="Normal 62 3 3 19 5" xfId="36582"/>
    <cellStyle name="Normal 62 3 3 19 6" xfId="36583"/>
    <cellStyle name="Normal 62 3 3 2" xfId="36584"/>
    <cellStyle name="Normal 62 3 3 2 2" xfId="36585"/>
    <cellStyle name="Normal 62 3 3 2 3" xfId="36586"/>
    <cellStyle name="Normal 62 3 3 2 3 2" xfId="36587"/>
    <cellStyle name="Normal 62 3 3 2 3 3" xfId="36588"/>
    <cellStyle name="Normal 62 3 3 2 3 4" xfId="36589"/>
    <cellStyle name="Normal 62 3 3 2 3 5" xfId="36590"/>
    <cellStyle name="Normal 62 3 3 2 3 6" xfId="36591"/>
    <cellStyle name="Normal 62 3 3 2 4" xfId="36592"/>
    <cellStyle name="Normal 62 3 3 2 4 2" xfId="36593"/>
    <cellStyle name="Normal 62 3 3 2 4 3" xfId="36594"/>
    <cellStyle name="Normal 62 3 3 2 4 4" xfId="36595"/>
    <cellStyle name="Normal 62 3 3 2 4 5" xfId="36596"/>
    <cellStyle name="Normal 62 3 3 2 4 6" xfId="36597"/>
    <cellStyle name="Normal 62 3 3 3" xfId="36598"/>
    <cellStyle name="Normal 62 3 3 3 2" xfId="36599"/>
    <cellStyle name="Normal 62 3 3 3 3" xfId="36600"/>
    <cellStyle name="Normal 62 3 3 3 3 2" xfId="36601"/>
    <cellStyle name="Normal 62 3 3 3 3 3" xfId="36602"/>
    <cellStyle name="Normal 62 3 3 3 3 4" xfId="36603"/>
    <cellStyle name="Normal 62 3 3 3 3 5" xfId="36604"/>
    <cellStyle name="Normal 62 3 3 3 3 6" xfId="36605"/>
    <cellStyle name="Normal 62 3 3 3 4" xfId="36606"/>
    <cellStyle name="Normal 62 3 3 3 4 2" xfId="36607"/>
    <cellStyle name="Normal 62 3 3 3 4 3" xfId="36608"/>
    <cellStyle name="Normal 62 3 3 3 4 4" xfId="36609"/>
    <cellStyle name="Normal 62 3 3 3 4 5" xfId="36610"/>
    <cellStyle name="Normal 62 3 3 3 4 6" xfId="36611"/>
    <cellStyle name="Normal 62 3 3 4" xfId="36612"/>
    <cellStyle name="Normal 62 3 3 4 2" xfId="36613"/>
    <cellStyle name="Normal 62 3 3 4 3" xfId="36614"/>
    <cellStyle name="Normal 62 3 3 4 3 2" xfId="36615"/>
    <cellStyle name="Normal 62 3 3 4 3 3" xfId="36616"/>
    <cellStyle name="Normal 62 3 3 4 3 4" xfId="36617"/>
    <cellStyle name="Normal 62 3 3 4 3 5" xfId="36618"/>
    <cellStyle name="Normal 62 3 3 4 3 6" xfId="36619"/>
    <cellStyle name="Normal 62 3 3 4 4" xfId="36620"/>
    <cellStyle name="Normal 62 3 3 4 4 2" xfId="36621"/>
    <cellStyle name="Normal 62 3 3 4 4 3" xfId="36622"/>
    <cellStyle name="Normal 62 3 3 4 4 4" xfId="36623"/>
    <cellStyle name="Normal 62 3 3 4 4 5" xfId="36624"/>
    <cellStyle name="Normal 62 3 3 4 4 6" xfId="36625"/>
    <cellStyle name="Normal 62 3 3 5" xfId="36626"/>
    <cellStyle name="Normal 62 3 3 5 2" xfId="36627"/>
    <cellStyle name="Normal 62 3 3 5 3" xfId="36628"/>
    <cellStyle name="Normal 62 3 3 5 3 2" xfId="36629"/>
    <cellStyle name="Normal 62 3 3 5 3 3" xfId="36630"/>
    <cellStyle name="Normal 62 3 3 5 3 4" xfId="36631"/>
    <cellStyle name="Normal 62 3 3 5 3 5" xfId="36632"/>
    <cellStyle name="Normal 62 3 3 5 3 6" xfId="36633"/>
    <cellStyle name="Normal 62 3 3 5 4" xfId="36634"/>
    <cellStyle name="Normal 62 3 3 5 4 2" xfId="36635"/>
    <cellStyle name="Normal 62 3 3 5 4 3" xfId="36636"/>
    <cellStyle name="Normal 62 3 3 5 4 4" xfId="36637"/>
    <cellStyle name="Normal 62 3 3 5 4 5" xfId="36638"/>
    <cellStyle name="Normal 62 3 3 5 4 6" xfId="36639"/>
    <cellStyle name="Normal 62 3 3 6" xfId="36640"/>
    <cellStyle name="Normal 62 3 3 6 2" xfId="36641"/>
    <cellStyle name="Normal 62 3 3 6 3" xfId="36642"/>
    <cellStyle name="Normal 62 3 3 6 3 2" xfId="36643"/>
    <cellStyle name="Normal 62 3 3 6 3 3" xfId="36644"/>
    <cellStyle name="Normal 62 3 3 6 3 4" xfId="36645"/>
    <cellStyle name="Normal 62 3 3 6 3 5" xfId="36646"/>
    <cellStyle name="Normal 62 3 3 6 3 6" xfId="36647"/>
    <cellStyle name="Normal 62 3 3 6 4" xfId="36648"/>
    <cellStyle name="Normal 62 3 3 6 4 2" xfId="36649"/>
    <cellStyle name="Normal 62 3 3 6 4 3" xfId="36650"/>
    <cellStyle name="Normal 62 3 3 6 4 4" xfId="36651"/>
    <cellStyle name="Normal 62 3 3 6 4 5" xfId="36652"/>
    <cellStyle name="Normal 62 3 3 6 4 6" xfId="36653"/>
    <cellStyle name="Normal 62 3 3 7" xfId="36654"/>
    <cellStyle name="Normal 62 3 3 7 2" xfId="36655"/>
    <cellStyle name="Normal 62 3 3 7 3" xfId="36656"/>
    <cellStyle name="Normal 62 3 3 7 3 2" xfId="36657"/>
    <cellStyle name="Normal 62 3 3 7 3 3" xfId="36658"/>
    <cellStyle name="Normal 62 3 3 7 3 4" xfId="36659"/>
    <cellStyle name="Normal 62 3 3 7 3 5" xfId="36660"/>
    <cellStyle name="Normal 62 3 3 7 3 6" xfId="36661"/>
    <cellStyle name="Normal 62 3 3 7 4" xfId="36662"/>
    <cellStyle name="Normal 62 3 3 7 4 2" xfId="36663"/>
    <cellStyle name="Normal 62 3 3 7 4 3" xfId="36664"/>
    <cellStyle name="Normal 62 3 3 7 4 4" xfId="36665"/>
    <cellStyle name="Normal 62 3 3 7 4 5" xfId="36666"/>
    <cellStyle name="Normal 62 3 3 7 4 6" xfId="36667"/>
    <cellStyle name="Normal 62 3 3 8" xfId="36668"/>
    <cellStyle name="Normal 62 3 3 8 2" xfId="36669"/>
    <cellStyle name="Normal 62 3 3 8 3" xfId="36670"/>
    <cellStyle name="Normal 62 3 3 8 3 2" xfId="36671"/>
    <cellStyle name="Normal 62 3 3 8 3 3" xfId="36672"/>
    <cellStyle name="Normal 62 3 3 8 3 4" xfId="36673"/>
    <cellStyle name="Normal 62 3 3 8 3 5" xfId="36674"/>
    <cellStyle name="Normal 62 3 3 8 3 6" xfId="36675"/>
    <cellStyle name="Normal 62 3 3 8 4" xfId="36676"/>
    <cellStyle name="Normal 62 3 3 8 4 2" xfId="36677"/>
    <cellStyle name="Normal 62 3 3 8 4 3" xfId="36678"/>
    <cellStyle name="Normal 62 3 3 8 4 4" xfId="36679"/>
    <cellStyle name="Normal 62 3 3 8 4 5" xfId="36680"/>
    <cellStyle name="Normal 62 3 3 8 4 6" xfId="36681"/>
    <cellStyle name="Normal 62 3 3 9" xfId="36682"/>
    <cellStyle name="Normal 62 3 3 9 2" xfId="36683"/>
    <cellStyle name="Normal 62 3 3 9 3" xfId="36684"/>
    <cellStyle name="Normal 62 3 3 9 3 2" xfId="36685"/>
    <cellStyle name="Normal 62 3 3 9 3 3" xfId="36686"/>
    <cellStyle name="Normal 62 3 3 9 3 4" xfId="36687"/>
    <cellStyle name="Normal 62 3 3 9 3 5" xfId="36688"/>
    <cellStyle name="Normal 62 3 3 9 3 6" xfId="36689"/>
    <cellStyle name="Normal 62 3 3 9 4" xfId="36690"/>
    <cellStyle name="Normal 62 3 3 9 4 2" xfId="36691"/>
    <cellStyle name="Normal 62 3 3 9 4 3" xfId="36692"/>
    <cellStyle name="Normal 62 3 3 9 4 4" xfId="36693"/>
    <cellStyle name="Normal 62 3 3 9 4 5" xfId="36694"/>
    <cellStyle name="Normal 62 3 3 9 4 6" xfId="36695"/>
    <cellStyle name="Normal 62 3 4" xfId="36696"/>
    <cellStyle name="Normal 62 3 4 2" xfId="36697"/>
    <cellStyle name="Normal 62 3 4 3" xfId="36698"/>
    <cellStyle name="Normal 62 3 4 3 2" xfId="36699"/>
    <cellStyle name="Normal 62 3 4 3 3" xfId="36700"/>
    <cellStyle name="Normal 62 3 4 3 4" xfId="36701"/>
    <cellStyle name="Normal 62 3 4 3 5" xfId="36702"/>
    <cellStyle name="Normal 62 3 4 3 6" xfId="36703"/>
    <cellStyle name="Normal 62 3 4 4" xfId="36704"/>
    <cellStyle name="Normal 62 3 4 4 2" xfId="36705"/>
    <cellStyle name="Normal 62 3 4 4 3" xfId="36706"/>
    <cellStyle name="Normal 62 3 4 4 4" xfId="36707"/>
    <cellStyle name="Normal 62 3 4 4 5" xfId="36708"/>
    <cellStyle name="Normal 62 3 4 4 6" xfId="36709"/>
    <cellStyle name="Normal 62 3 5" xfId="36710"/>
    <cellStyle name="Normal 62 3 5 2" xfId="36711"/>
    <cellStyle name="Normal 62 3 5 3" xfId="36712"/>
    <cellStyle name="Normal 62 3 5 3 2" xfId="36713"/>
    <cellStyle name="Normal 62 3 5 3 3" xfId="36714"/>
    <cellStyle name="Normal 62 3 5 3 4" xfId="36715"/>
    <cellStyle name="Normal 62 3 5 3 5" xfId="36716"/>
    <cellStyle name="Normal 62 3 5 3 6" xfId="36717"/>
    <cellStyle name="Normal 62 3 5 4" xfId="36718"/>
    <cellStyle name="Normal 62 3 5 4 2" xfId="36719"/>
    <cellStyle name="Normal 62 3 5 4 3" xfId="36720"/>
    <cellStyle name="Normal 62 3 5 4 4" xfId="36721"/>
    <cellStyle name="Normal 62 3 5 4 5" xfId="36722"/>
    <cellStyle name="Normal 62 3 5 4 6" xfId="36723"/>
    <cellStyle name="Normal 62 3 6" xfId="36724"/>
    <cellStyle name="Normal 62 3 6 2" xfId="36725"/>
    <cellStyle name="Normal 62 3 6 3" xfId="36726"/>
    <cellStyle name="Normal 62 3 6 3 2" xfId="36727"/>
    <cellStyle name="Normal 62 3 6 3 3" xfId="36728"/>
    <cellStyle name="Normal 62 3 6 3 4" xfId="36729"/>
    <cellStyle name="Normal 62 3 6 3 5" xfId="36730"/>
    <cellStyle name="Normal 62 3 6 3 6" xfId="36731"/>
    <cellStyle name="Normal 62 3 6 4" xfId="36732"/>
    <cellStyle name="Normal 62 3 6 4 2" xfId="36733"/>
    <cellStyle name="Normal 62 3 6 4 3" xfId="36734"/>
    <cellStyle name="Normal 62 3 6 4 4" xfId="36735"/>
    <cellStyle name="Normal 62 3 6 4 5" xfId="36736"/>
    <cellStyle name="Normal 62 3 6 4 6" xfId="36737"/>
    <cellStyle name="Normal 62 3 7" xfId="36738"/>
    <cellStyle name="Normal 62 3 7 2" xfId="36739"/>
    <cellStyle name="Normal 62 3 7 3" xfId="36740"/>
    <cellStyle name="Normal 62 3 7 3 2" xfId="36741"/>
    <cellStyle name="Normal 62 3 7 3 3" xfId="36742"/>
    <cellStyle name="Normal 62 3 7 3 4" xfId="36743"/>
    <cellStyle name="Normal 62 3 7 3 5" xfId="36744"/>
    <cellStyle name="Normal 62 3 7 3 6" xfId="36745"/>
    <cellStyle name="Normal 62 3 7 4" xfId="36746"/>
    <cellStyle name="Normal 62 3 7 4 2" xfId="36747"/>
    <cellStyle name="Normal 62 3 7 4 3" xfId="36748"/>
    <cellStyle name="Normal 62 3 7 4 4" xfId="36749"/>
    <cellStyle name="Normal 62 3 7 4 5" xfId="36750"/>
    <cellStyle name="Normal 62 3 7 4 6" xfId="36751"/>
    <cellStyle name="Normal 62 3 8" xfId="36752"/>
    <cellStyle name="Normal 62 3 8 2" xfId="36753"/>
    <cellStyle name="Normal 62 3 8 3" xfId="36754"/>
    <cellStyle name="Normal 62 3 8 3 2" xfId="36755"/>
    <cellStyle name="Normal 62 3 8 3 3" xfId="36756"/>
    <cellStyle name="Normal 62 3 8 3 4" xfId="36757"/>
    <cellStyle name="Normal 62 3 8 3 5" xfId="36758"/>
    <cellStyle name="Normal 62 3 8 3 6" xfId="36759"/>
    <cellStyle name="Normal 62 3 8 4" xfId="36760"/>
    <cellStyle name="Normal 62 3 8 4 2" xfId="36761"/>
    <cellStyle name="Normal 62 3 8 4 3" xfId="36762"/>
    <cellStyle name="Normal 62 3 8 4 4" xfId="36763"/>
    <cellStyle name="Normal 62 3 8 4 5" xfId="36764"/>
    <cellStyle name="Normal 62 3 8 4 6" xfId="36765"/>
    <cellStyle name="Normal 62 3 9" xfId="36766"/>
    <cellStyle name="Normal 62 3 9 2" xfId="36767"/>
    <cellStyle name="Normal 62 3 9 3" xfId="36768"/>
    <cellStyle name="Normal 62 3 9 3 2" xfId="36769"/>
    <cellStyle name="Normal 62 3 9 3 3" xfId="36770"/>
    <cellStyle name="Normal 62 3 9 3 4" xfId="36771"/>
    <cellStyle name="Normal 62 3 9 3 5" xfId="36772"/>
    <cellStyle name="Normal 62 3 9 3 6" xfId="36773"/>
    <cellStyle name="Normal 62 3 9 4" xfId="36774"/>
    <cellStyle name="Normal 62 3 9 4 2" xfId="36775"/>
    <cellStyle name="Normal 62 3 9 4 3" xfId="36776"/>
    <cellStyle name="Normal 62 3 9 4 4" xfId="36777"/>
    <cellStyle name="Normal 62 3 9 4 5" xfId="36778"/>
    <cellStyle name="Normal 62 3 9 4 6" xfId="36779"/>
    <cellStyle name="Normal 62 4" xfId="36780"/>
    <cellStyle name="Normal 62 4 2" xfId="36781"/>
    <cellStyle name="Normal 62 4 3" xfId="36782"/>
    <cellStyle name="Normal 62 4 3 2" xfId="36783"/>
    <cellStyle name="Normal 62 4 3 3" xfId="36784"/>
    <cellStyle name="Normal 62 4 3 4" xfId="36785"/>
    <cellStyle name="Normal 62 4 3 5" xfId="36786"/>
    <cellStyle name="Normal 62 4 3 6" xfId="36787"/>
    <cellStyle name="Normal 62 4 4" xfId="36788"/>
    <cellStyle name="Normal 62 4 4 2" xfId="36789"/>
    <cellStyle name="Normal 62 4 4 3" xfId="36790"/>
    <cellStyle name="Normal 62 4 4 4" xfId="36791"/>
    <cellStyle name="Normal 62 4 4 5" xfId="36792"/>
    <cellStyle name="Normal 62 4 4 6" xfId="36793"/>
    <cellStyle name="Normal 62 5" xfId="36794"/>
    <cellStyle name="Normal 62 5 2" xfId="36795"/>
    <cellStyle name="Normal 62 5 3" xfId="36796"/>
    <cellStyle name="Normal 62 5 3 2" xfId="36797"/>
    <cellStyle name="Normal 62 5 3 3" xfId="36798"/>
    <cellStyle name="Normal 62 5 3 4" xfId="36799"/>
    <cellStyle name="Normal 62 5 3 5" xfId="36800"/>
    <cellStyle name="Normal 62 5 3 6" xfId="36801"/>
    <cellStyle name="Normal 62 5 4" xfId="36802"/>
    <cellStyle name="Normal 62 5 4 2" xfId="36803"/>
    <cellStyle name="Normal 62 5 4 3" xfId="36804"/>
    <cellStyle name="Normal 62 5 4 4" xfId="36805"/>
    <cellStyle name="Normal 62 5 4 5" xfId="36806"/>
    <cellStyle name="Normal 62 5 4 6" xfId="36807"/>
    <cellStyle name="Normal 62 6" xfId="36808"/>
    <cellStyle name="Normal 62 6 2" xfId="36809"/>
    <cellStyle name="Normal 62 6 3" xfId="36810"/>
    <cellStyle name="Normal 62 6 3 2" xfId="36811"/>
    <cellStyle name="Normal 62 6 3 3" xfId="36812"/>
    <cellStyle name="Normal 62 6 3 4" xfId="36813"/>
    <cellStyle name="Normal 62 6 3 5" xfId="36814"/>
    <cellStyle name="Normal 62 6 3 6" xfId="36815"/>
    <cellStyle name="Normal 62 6 4" xfId="36816"/>
    <cellStyle name="Normal 62 6 4 2" xfId="36817"/>
    <cellStyle name="Normal 62 6 4 3" xfId="36818"/>
    <cellStyle name="Normal 62 6 4 4" xfId="36819"/>
    <cellStyle name="Normal 62 6 4 5" xfId="36820"/>
    <cellStyle name="Normal 62 6 4 6" xfId="36821"/>
    <cellStyle name="Normal 62 7" xfId="36822"/>
    <cellStyle name="Normal 62 7 2" xfId="36823"/>
    <cellStyle name="Normal 62 7 3" xfId="36824"/>
    <cellStyle name="Normal 62 7 3 2" xfId="36825"/>
    <cellStyle name="Normal 62 7 3 3" xfId="36826"/>
    <cellStyle name="Normal 62 7 3 4" xfId="36827"/>
    <cellStyle name="Normal 62 7 3 5" xfId="36828"/>
    <cellStyle name="Normal 62 7 3 6" xfId="36829"/>
    <cellStyle name="Normal 62 7 4" xfId="36830"/>
    <cellStyle name="Normal 62 7 4 2" xfId="36831"/>
    <cellStyle name="Normal 62 7 4 3" xfId="36832"/>
    <cellStyle name="Normal 62 7 4 4" xfId="36833"/>
    <cellStyle name="Normal 62 7 4 5" xfId="36834"/>
    <cellStyle name="Normal 62 7 4 6" xfId="36835"/>
    <cellStyle name="Normal 62 8" xfId="36836"/>
    <cellStyle name="Normal 62 9" xfId="36837"/>
    <cellStyle name="Normal 62 9 2" xfId="36838"/>
    <cellStyle name="Normal 62 9 3" xfId="36839"/>
    <cellStyle name="Normal 62 9 4" xfId="36840"/>
    <cellStyle name="Normal 62 9 5" xfId="36841"/>
    <cellStyle name="Normal 62 9 6" xfId="36842"/>
    <cellStyle name="Normal 63" xfId="36843"/>
    <cellStyle name="Normal 63 10" xfId="36844"/>
    <cellStyle name="Normal 63 10 2" xfId="36845"/>
    <cellStyle name="Normal 63 10 3" xfId="36846"/>
    <cellStyle name="Normal 63 10 4" xfId="36847"/>
    <cellStyle name="Normal 63 10 5" xfId="36848"/>
    <cellStyle name="Normal 63 10 6" xfId="36849"/>
    <cellStyle name="Normal 63 2" xfId="36850"/>
    <cellStyle name="Normal 63 2 2" xfId="36851"/>
    <cellStyle name="Normal 63 2 2 2" xfId="36852"/>
    <cellStyle name="Normal 63 2 2 2 2" xfId="36853"/>
    <cellStyle name="Normal 63 2 2 2 2 2" xfId="36854"/>
    <cellStyle name="Normal 63 2 2 2 2 3" xfId="36855"/>
    <cellStyle name="Normal 63 2 2 2 2 4" xfId="36856"/>
    <cellStyle name="Normal 63 2 2 2 2 5" xfId="36857"/>
    <cellStyle name="Normal 63 2 2 2 2 6" xfId="36858"/>
    <cellStyle name="Normal 63 2 2 2 3" xfId="36859"/>
    <cellStyle name="Normal 63 2 2 2 3 2" xfId="36860"/>
    <cellStyle name="Normal 63 2 2 2 3 3" xfId="36861"/>
    <cellStyle name="Normal 63 2 2 2 3 4" xfId="36862"/>
    <cellStyle name="Normal 63 2 2 2 3 5" xfId="36863"/>
    <cellStyle name="Normal 63 2 2 2 3 6" xfId="36864"/>
    <cellStyle name="Normal 63 2 2 2 4" xfId="36865"/>
    <cellStyle name="Normal 63 2 2 2 4 2" xfId="36866"/>
    <cellStyle name="Normal 63 2 2 2 4 3" xfId="36867"/>
    <cellStyle name="Normal 63 2 2 2 4 4" xfId="36868"/>
    <cellStyle name="Normal 63 2 2 2 4 5" xfId="36869"/>
    <cellStyle name="Normal 63 2 2 2 4 6" xfId="36870"/>
    <cellStyle name="Normal 63 2 2 3" xfId="36871"/>
    <cellStyle name="Normal 63 2 2 3 2" xfId="36872"/>
    <cellStyle name="Normal 63 2 2 3 3" xfId="36873"/>
    <cellStyle name="Normal 63 2 2 3 4" xfId="36874"/>
    <cellStyle name="Normal 63 2 2 3 5" xfId="36875"/>
    <cellStyle name="Normal 63 2 2 3 6" xfId="36876"/>
    <cellStyle name="Normal 63 2 2 4" xfId="36877"/>
    <cellStyle name="Normal 63 2 2 4 2" xfId="36878"/>
    <cellStyle name="Normal 63 2 2 4 3" xfId="36879"/>
    <cellStyle name="Normal 63 2 2 4 4" xfId="36880"/>
    <cellStyle name="Normal 63 2 2 4 5" xfId="36881"/>
    <cellStyle name="Normal 63 2 2 4 6" xfId="36882"/>
    <cellStyle name="Normal 63 2 2 5" xfId="36883"/>
    <cellStyle name="Normal 63 2 2 5 2" xfId="36884"/>
    <cellStyle name="Normal 63 2 2 5 3" xfId="36885"/>
    <cellStyle name="Normal 63 2 2 5 4" xfId="36886"/>
    <cellStyle name="Normal 63 2 2 5 5" xfId="36887"/>
    <cellStyle name="Normal 63 2 2 5 6" xfId="36888"/>
    <cellStyle name="Normal 63 2 3" xfId="36889"/>
    <cellStyle name="Normal 63 2 3 2" xfId="36890"/>
    <cellStyle name="Normal 63 2 3 2 2" xfId="36891"/>
    <cellStyle name="Normal 63 2 3 2 3" xfId="36892"/>
    <cellStyle name="Normal 63 2 3 2 4" xfId="36893"/>
    <cellStyle name="Normal 63 2 3 2 5" xfId="36894"/>
    <cellStyle name="Normal 63 2 3 2 6" xfId="36895"/>
    <cellStyle name="Normal 63 2 3 3" xfId="36896"/>
    <cellStyle name="Normal 63 2 3 3 2" xfId="36897"/>
    <cellStyle name="Normal 63 2 3 3 3" xfId="36898"/>
    <cellStyle name="Normal 63 2 3 3 4" xfId="36899"/>
    <cellStyle name="Normal 63 2 3 3 5" xfId="36900"/>
    <cellStyle name="Normal 63 2 3 3 6" xfId="36901"/>
    <cellStyle name="Normal 63 2 3 4" xfId="36902"/>
    <cellStyle name="Normal 63 2 3 4 2" xfId="36903"/>
    <cellStyle name="Normal 63 2 3 4 3" xfId="36904"/>
    <cellStyle name="Normal 63 2 3 4 4" xfId="36905"/>
    <cellStyle name="Normal 63 2 3 4 5" xfId="36906"/>
    <cellStyle name="Normal 63 2 3 4 6" xfId="36907"/>
    <cellStyle name="Normal 63 2 4" xfId="36908"/>
    <cellStyle name="Normal 63 2 5" xfId="36909"/>
    <cellStyle name="Normal 63 2 5 2" xfId="36910"/>
    <cellStyle name="Normal 63 2 5 3" xfId="36911"/>
    <cellStyle name="Normal 63 2 5 4" xfId="36912"/>
    <cellStyle name="Normal 63 2 5 5" xfId="36913"/>
    <cellStyle name="Normal 63 2 5 6" xfId="36914"/>
    <cellStyle name="Normal 63 2 6" xfId="36915"/>
    <cellStyle name="Normal 63 2 6 2" xfId="36916"/>
    <cellStyle name="Normal 63 2 6 3" xfId="36917"/>
    <cellStyle name="Normal 63 2 6 4" xfId="36918"/>
    <cellStyle name="Normal 63 2 6 5" xfId="36919"/>
    <cellStyle name="Normal 63 2 6 6" xfId="36920"/>
    <cellStyle name="Normal 63 3" xfId="36921"/>
    <cellStyle name="Normal 63 3 10" xfId="36922"/>
    <cellStyle name="Normal 63 3 10 2" xfId="36923"/>
    <cellStyle name="Normal 63 3 10 2 2" xfId="36924"/>
    <cellStyle name="Normal 63 3 10 2 3" xfId="36925"/>
    <cellStyle name="Normal 63 3 10 2 4" xfId="36926"/>
    <cellStyle name="Normal 63 3 10 2 5" xfId="36927"/>
    <cellStyle name="Normal 63 3 10 2 6" xfId="36928"/>
    <cellStyle name="Normal 63 3 10 3" xfId="36929"/>
    <cellStyle name="Normal 63 3 10 3 2" xfId="36930"/>
    <cellStyle name="Normal 63 3 10 3 3" xfId="36931"/>
    <cellStyle name="Normal 63 3 10 3 4" xfId="36932"/>
    <cellStyle name="Normal 63 3 10 3 5" xfId="36933"/>
    <cellStyle name="Normal 63 3 10 3 6" xfId="36934"/>
    <cellStyle name="Normal 63 3 10 4" xfId="36935"/>
    <cellStyle name="Normal 63 3 10 4 2" xfId="36936"/>
    <cellStyle name="Normal 63 3 10 4 3" xfId="36937"/>
    <cellStyle name="Normal 63 3 10 4 4" xfId="36938"/>
    <cellStyle name="Normal 63 3 10 4 5" xfId="36939"/>
    <cellStyle name="Normal 63 3 10 4 6" xfId="36940"/>
    <cellStyle name="Normal 63 3 11" xfId="36941"/>
    <cellStyle name="Normal 63 3 11 2" xfId="36942"/>
    <cellStyle name="Normal 63 3 11 2 2" xfId="36943"/>
    <cellStyle name="Normal 63 3 11 2 3" xfId="36944"/>
    <cellStyle name="Normal 63 3 11 2 4" xfId="36945"/>
    <cellStyle name="Normal 63 3 11 2 5" xfId="36946"/>
    <cellStyle name="Normal 63 3 11 2 6" xfId="36947"/>
    <cellStyle name="Normal 63 3 11 3" xfId="36948"/>
    <cellStyle name="Normal 63 3 11 3 2" xfId="36949"/>
    <cellStyle name="Normal 63 3 11 3 3" xfId="36950"/>
    <cellStyle name="Normal 63 3 11 3 4" xfId="36951"/>
    <cellStyle name="Normal 63 3 11 3 5" xfId="36952"/>
    <cellStyle name="Normal 63 3 11 3 6" xfId="36953"/>
    <cellStyle name="Normal 63 3 11 4" xfId="36954"/>
    <cellStyle name="Normal 63 3 11 4 2" xfId="36955"/>
    <cellStyle name="Normal 63 3 11 4 3" xfId="36956"/>
    <cellStyle name="Normal 63 3 11 4 4" xfId="36957"/>
    <cellStyle name="Normal 63 3 11 4 5" xfId="36958"/>
    <cellStyle name="Normal 63 3 11 4 6" xfId="36959"/>
    <cellStyle name="Normal 63 3 12" xfId="36960"/>
    <cellStyle name="Normal 63 3 12 2" xfId="36961"/>
    <cellStyle name="Normal 63 3 12 2 2" xfId="36962"/>
    <cellStyle name="Normal 63 3 12 2 3" xfId="36963"/>
    <cellStyle name="Normal 63 3 12 2 4" xfId="36964"/>
    <cellStyle name="Normal 63 3 12 2 5" xfId="36965"/>
    <cellStyle name="Normal 63 3 12 2 6" xfId="36966"/>
    <cellStyle name="Normal 63 3 12 3" xfId="36967"/>
    <cellStyle name="Normal 63 3 12 3 2" xfId="36968"/>
    <cellStyle name="Normal 63 3 12 3 3" xfId="36969"/>
    <cellStyle name="Normal 63 3 12 3 4" xfId="36970"/>
    <cellStyle name="Normal 63 3 12 3 5" xfId="36971"/>
    <cellStyle name="Normal 63 3 12 3 6" xfId="36972"/>
    <cellStyle name="Normal 63 3 12 4" xfId="36973"/>
    <cellStyle name="Normal 63 3 12 4 2" xfId="36974"/>
    <cellStyle name="Normal 63 3 12 4 3" xfId="36975"/>
    <cellStyle name="Normal 63 3 12 4 4" xfId="36976"/>
    <cellStyle name="Normal 63 3 12 4 5" xfId="36977"/>
    <cellStyle name="Normal 63 3 12 4 6" xfId="36978"/>
    <cellStyle name="Normal 63 3 13" xfId="36979"/>
    <cellStyle name="Normal 63 3 13 2" xfId="36980"/>
    <cellStyle name="Normal 63 3 13 2 2" xfId="36981"/>
    <cellStyle name="Normal 63 3 13 2 3" xfId="36982"/>
    <cellStyle name="Normal 63 3 13 2 4" xfId="36983"/>
    <cellStyle name="Normal 63 3 13 2 5" xfId="36984"/>
    <cellStyle name="Normal 63 3 13 2 6" xfId="36985"/>
    <cellStyle name="Normal 63 3 13 3" xfId="36986"/>
    <cellStyle name="Normal 63 3 13 3 2" xfId="36987"/>
    <cellStyle name="Normal 63 3 13 3 3" xfId="36988"/>
    <cellStyle name="Normal 63 3 13 3 4" xfId="36989"/>
    <cellStyle name="Normal 63 3 13 3 5" xfId="36990"/>
    <cellStyle name="Normal 63 3 13 3 6" xfId="36991"/>
    <cellStyle name="Normal 63 3 13 4" xfId="36992"/>
    <cellStyle name="Normal 63 3 13 4 2" xfId="36993"/>
    <cellStyle name="Normal 63 3 13 4 3" xfId="36994"/>
    <cellStyle name="Normal 63 3 13 4 4" xfId="36995"/>
    <cellStyle name="Normal 63 3 13 4 5" xfId="36996"/>
    <cellStyle name="Normal 63 3 13 4 6" xfId="36997"/>
    <cellStyle name="Normal 63 3 14" xfId="36998"/>
    <cellStyle name="Normal 63 3 14 2" xfId="36999"/>
    <cellStyle name="Normal 63 3 14 2 2" xfId="37000"/>
    <cellStyle name="Normal 63 3 14 2 3" xfId="37001"/>
    <cellStyle name="Normal 63 3 14 2 4" xfId="37002"/>
    <cellStyle name="Normal 63 3 14 2 5" xfId="37003"/>
    <cellStyle name="Normal 63 3 14 2 6" xfId="37004"/>
    <cellStyle name="Normal 63 3 14 3" xfId="37005"/>
    <cellStyle name="Normal 63 3 14 3 2" xfId="37006"/>
    <cellStyle name="Normal 63 3 14 3 3" xfId="37007"/>
    <cellStyle name="Normal 63 3 14 3 4" xfId="37008"/>
    <cellStyle name="Normal 63 3 14 3 5" xfId="37009"/>
    <cellStyle name="Normal 63 3 14 3 6" xfId="37010"/>
    <cellStyle name="Normal 63 3 14 4" xfId="37011"/>
    <cellStyle name="Normal 63 3 14 4 2" xfId="37012"/>
    <cellStyle name="Normal 63 3 14 4 3" xfId="37013"/>
    <cellStyle name="Normal 63 3 14 4 4" xfId="37014"/>
    <cellStyle name="Normal 63 3 14 4 5" xfId="37015"/>
    <cellStyle name="Normal 63 3 14 4 6" xfId="37016"/>
    <cellStyle name="Normal 63 3 15" xfId="37017"/>
    <cellStyle name="Normal 63 3 15 2" xfId="37018"/>
    <cellStyle name="Normal 63 3 15 2 2" xfId="37019"/>
    <cellStyle name="Normal 63 3 15 2 3" xfId="37020"/>
    <cellStyle name="Normal 63 3 15 2 4" xfId="37021"/>
    <cellStyle name="Normal 63 3 15 2 5" xfId="37022"/>
    <cellStyle name="Normal 63 3 15 2 6" xfId="37023"/>
    <cellStyle name="Normal 63 3 15 3" xfId="37024"/>
    <cellStyle name="Normal 63 3 15 3 2" xfId="37025"/>
    <cellStyle name="Normal 63 3 15 3 3" xfId="37026"/>
    <cellStyle name="Normal 63 3 15 3 4" xfId="37027"/>
    <cellStyle name="Normal 63 3 15 3 5" xfId="37028"/>
    <cellStyle name="Normal 63 3 15 3 6" xfId="37029"/>
    <cellStyle name="Normal 63 3 15 4" xfId="37030"/>
    <cellStyle name="Normal 63 3 15 4 2" xfId="37031"/>
    <cellStyle name="Normal 63 3 15 4 3" xfId="37032"/>
    <cellStyle name="Normal 63 3 15 4 4" xfId="37033"/>
    <cellStyle name="Normal 63 3 15 4 5" xfId="37034"/>
    <cellStyle name="Normal 63 3 15 4 6" xfId="37035"/>
    <cellStyle name="Normal 63 3 16" xfId="37036"/>
    <cellStyle name="Normal 63 3 16 2" xfId="37037"/>
    <cellStyle name="Normal 63 3 16 2 2" xfId="37038"/>
    <cellStyle name="Normal 63 3 16 2 3" xfId="37039"/>
    <cellStyle name="Normal 63 3 16 2 4" xfId="37040"/>
    <cellStyle name="Normal 63 3 16 2 5" xfId="37041"/>
    <cellStyle name="Normal 63 3 16 2 6" xfId="37042"/>
    <cellStyle name="Normal 63 3 16 3" xfId="37043"/>
    <cellStyle name="Normal 63 3 16 3 2" xfId="37044"/>
    <cellStyle name="Normal 63 3 16 3 3" xfId="37045"/>
    <cellStyle name="Normal 63 3 16 3 4" xfId="37046"/>
    <cellStyle name="Normal 63 3 16 3 5" xfId="37047"/>
    <cellStyle name="Normal 63 3 16 3 6" xfId="37048"/>
    <cellStyle name="Normal 63 3 16 4" xfId="37049"/>
    <cellStyle name="Normal 63 3 16 4 2" xfId="37050"/>
    <cellStyle name="Normal 63 3 16 4 3" xfId="37051"/>
    <cellStyle name="Normal 63 3 16 4 4" xfId="37052"/>
    <cellStyle name="Normal 63 3 16 4 5" xfId="37053"/>
    <cellStyle name="Normal 63 3 16 4 6" xfId="37054"/>
    <cellStyle name="Normal 63 3 17" xfId="37055"/>
    <cellStyle name="Normal 63 3 17 2" xfId="37056"/>
    <cellStyle name="Normal 63 3 17 2 2" xfId="37057"/>
    <cellStyle name="Normal 63 3 17 2 3" xfId="37058"/>
    <cellStyle name="Normal 63 3 17 2 4" xfId="37059"/>
    <cellStyle name="Normal 63 3 17 2 5" xfId="37060"/>
    <cellStyle name="Normal 63 3 17 2 6" xfId="37061"/>
    <cellStyle name="Normal 63 3 17 3" xfId="37062"/>
    <cellStyle name="Normal 63 3 17 3 2" xfId="37063"/>
    <cellStyle name="Normal 63 3 17 3 3" xfId="37064"/>
    <cellStyle name="Normal 63 3 17 3 4" xfId="37065"/>
    <cellStyle name="Normal 63 3 17 3 5" xfId="37066"/>
    <cellStyle name="Normal 63 3 17 3 6" xfId="37067"/>
    <cellStyle name="Normal 63 3 17 4" xfId="37068"/>
    <cellStyle name="Normal 63 3 17 4 2" xfId="37069"/>
    <cellStyle name="Normal 63 3 17 4 3" xfId="37070"/>
    <cellStyle name="Normal 63 3 17 4 4" xfId="37071"/>
    <cellStyle name="Normal 63 3 17 4 5" xfId="37072"/>
    <cellStyle name="Normal 63 3 17 4 6" xfId="37073"/>
    <cellStyle name="Normal 63 3 18" xfId="37074"/>
    <cellStyle name="Normal 63 3 18 2" xfId="37075"/>
    <cellStyle name="Normal 63 3 18 2 2" xfId="37076"/>
    <cellStyle name="Normal 63 3 18 2 3" xfId="37077"/>
    <cellStyle name="Normal 63 3 18 2 4" xfId="37078"/>
    <cellStyle name="Normal 63 3 18 2 5" xfId="37079"/>
    <cellStyle name="Normal 63 3 18 2 6" xfId="37080"/>
    <cellStyle name="Normal 63 3 18 3" xfId="37081"/>
    <cellStyle name="Normal 63 3 18 3 2" xfId="37082"/>
    <cellStyle name="Normal 63 3 18 3 3" xfId="37083"/>
    <cellStyle name="Normal 63 3 18 3 4" xfId="37084"/>
    <cellStyle name="Normal 63 3 18 3 5" xfId="37085"/>
    <cellStyle name="Normal 63 3 18 3 6" xfId="37086"/>
    <cellStyle name="Normal 63 3 18 4" xfId="37087"/>
    <cellStyle name="Normal 63 3 18 4 2" xfId="37088"/>
    <cellStyle name="Normal 63 3 18 4 3" xfId="37089"/>
    <cellStyle name="Normal 63 3 18 4 4" xfId="37090"/>
    <cellStyle name="Normal 63 3 18 4 5" xfId="37091"/>
    <cellStyle name="Normal 63 3 18 4 6" xfId="37092"/>
    <cellStyle name="Normal 63 3 19" xfId="37093"/>
    <cellStyle name="Normal 63 3 19 2" xfId="37094"/>
    <cellStyle name="Normal 63 3 19 2 2" xfId="37095"/>
    <cellStyle name="Normal 63 3 19 2 3" xfId="37096"/>
    <cellStyle name="Normal 63 3 19 2 4" xfId="37097"/>
    <cellStyle name="Normal 63 3 19 2 5" xfId="37098"/>
    <cellStyle name="Normal 63 3 19 2 6" xfId="37099"/>
    <cellStyle name="Normal 63 3 19 3" xfId="37100"/>
    <cellStyle name="Normal 63 3 19 3 2" xfId="37101"/>
    <cellStyle name="Normal 63 3 19 3 3" xfId="37102"/>
    <cellStyle name="Normal 63 3 19 3 4" xfId="37103"/>
    <cellStyle name="Normal 63 3 19 3 5" xfId="37104"/>
    <cellStyle name="Normal 63 3 19 3 6" xfId="37105"/>
    <cellStyle name="Normal 63 3 19 4" xfId="37106"/>
    <cellStyle name="Normal 63 3 19 4 2" xfId="37107"/>
    <cellStyle name="Normal 63 3 19 4 3" xfId="37108"/>
    <cellStyle name="Normal 63 3 19 4 4" xfId="37109"/>
    <cellStyle name="Normal 63 3 19 4 5" xfId="37110"/>
    <cellStyle name="Normal 63 3 19 4 6" xfId="37111"/>
    <cellStyle name="Normal 63 3 2" xfId="37112"/>
    <cellStyle name="Normal 63 3 2 10" xfId="37113"/>
    <cellStyle name="Normal 63 3 2 10 2" xfId="37114"/>
    <cellStyle name="Normal 63 3 2 10 2 2" xfId="37115"/>
    <cellStyle name="Normal 63 3 2 10 2 3" xfId="37116"/>
    <cellStyle name="Normal 63 3 2 10 2 4" xfId="37117"/>
    <cellStyle name="Normal 63 3 2 10 2 5" xfId="37118"/>
    <cellStyle name="Normal 63 3 2 10 2 6" xfId="37119"/>
    <cellStyle name="Normal 63 3 2 10 3" xfId="37120"/>
    <cellStyle name="Normal 63 3 2 10 3 2" xfId="37121"/>
    <cellStyle name="Normal 63 3 2 10 3 3" xfId="37122"/>
    <cellStyle name="Normal 63 3 2 10 3 4" xfId="37123"/>
    <cellStyle name="Normal 63 3 2 10 3 5" xfId="37124"/>
    <cellStyle name="Normal 63 3 2 10 3 6" xfId="37125"/>
    <cellStyle name="Normal 63 3 2 10 4" xfId="37126"/>
    <cellStyle name="Normal 63 3 2 10 4 2" xfId="37127"/>
    <cellStyle name="Normal 63 3 2 10 4 3" xfId="37128"/>
    <cellStyle name="Normal 63 3 2 10 4 4" xfId="37129"/>
    <cellStyle name="Normal 63 3 2 10 4 5" xfId="37130"/>
    <cellStyle name="Normal 63 3 2 10 4 6" xfId="37131"/>
    <cellStyle name="Normal 63 3 2 11" xfId="37132"/>
    <cellStyle name="Normal 63 3 2 11 2" xfId="37133"/>
    <cellStyle name="Normal 63 3 2 11 2 2" xfId="37134"/>
    <cellStyle name="Normal 63 3 2 11 2 3" xfId="37135"/>
    <cellStyle name="Normal 63 3 2 11 2 4" xfId="37136"/>
    <cellStyle name="Normal 63 3 2 11 2 5" xfId="37137"/>
    <cellStyle name="Normal 63 3 2 11 2 6" xfId="37138"/>
    <cellStyle name="Normal 63 3 2 11 3" xfId="37139"/>
    <cellStyle name="Normal 63 3 2 11 3 2" xfId="37140"/>
    <cellStyle name="Normal 63 3 2 11 3 3" xfId="37141"/>
    <cellStyle name="Normal 63 3 2 11 3 4" xfId="37142"/>
    <cellStyle name="Normal 63 3 2 11 3 5" xfId="37143"/>
    <cellStyle name="Normal 63 3 2 11 3 6" xfId="37144"/>
    <cellStyle name="Normal 63 3 2 11 4" xfId="37145"/>
    <cellStyle name="Normal 63 3 2 11 4 2" xfId="37146"/>
    <cellStyle name="Normal 63 3 2 11 4 3" xfId="37147"/>
    <cellStyle name="Normal 63 3 2 11 4 4" xfId="37148"/>
    <cellStyle name="Normal 63 3 2 11 4 5" xfId="37149"/>
    <cellStyle name="Normal 63 3 2 11 4 6" xfId="37150"/>
    <cellStyle name="Normal 63 3 2 12" xfId="37151"/>
    <cellStyle name="Normal 63 3 2 12 2" xfId="37152"/>
    <cellStyle name="Normal 63 3 2 12 2 2" xfId="37153"/>
    <cellStyle name="Normal 63 3 2 12 2 3" xfId="37154"/>
    <cellStyle name="Normal 63 3 2 12 2 4" xfId="37155"/>
    <cellStyle name="Normal 63 3 2 12 2 5" xfId="37156"/>
    <cellStyle name="Normal 63 3 2 12 2 6" xfId="37157"/>
    <cellStyle name="Normal 63 3 2 12 3" xfId="37158"/>
    <cellStyle name="Normal 63 3 2 12 3 2" xfId="37159"/>
    <cellStyle name="Normal 63 3 2 12 3 3" xfId="37160"/>
    <cellStyle name="Normal 63 3 2 12 3 4" xfId="37161"/>
    <cellStyle name="Normal 63 3 2 12 3 5" xfId="37162"/>
    <cellStyle name="Normal 63 3 2 12 3 6" xfId="37163"/>
    <cellStyle name="Normal 63 3 2 12 4" xfId="37164"/>
    <cellStyle name="Normal 63 3 2 12 4 2" xfId="37165"/>
    <cellStyle name="Normal 63 3 2 12 4 3" xfId="37166"/>
    <cellStyle name="Normal 63 3 2 12 4 4" xfId="37167"/>
    <cellStyle name="Normal 63 3 2 12 4 5" xfId="37168"/>
    <cellStyle name="Normal 63 3 2 12 4 6" xfId="37169"/>
    <cellStyle name="Normal 63 3 2 13" xfId="37170"/>
    <cellStyle name="Normal 63 3 2 13 2" xfId="37171"/>
    <cellStyle name="Normal 63 3 2 13 2 2" xfId="37172"/>
    <cellStyle name="Normal 63 3 2 13 2 3" xfId="37173"/>
    <cellStyle name="Normal 63 3 2 13 2 4" xfId="37174"/>
    <cellStyle name="Normal 63 3 2 13 2 5" xfId="37175"/>
    <cellStyle name="Normal 63 3 2 13 2 6" xfId="37176"/>
    <cellStyle name="Normal 63 3 2 13 3" xfId="37177"/>
    <cellStyle name="Normal 63 3 2 13 3 2" xfId="37178"/>
    <cellStyle name="Normal 63 3 2 13 3 3" xfId="37179"/>
    <cellStyle name="Normal 63 3 2 13 3 4" xfId="37180"/>
    <cellStyle name="Normal 63 3 2 13 3 5" xfId="37181"/>
    <cellStyle name="Normal 63 3 2 13 3 6" xfId="37182"/>
    <cellStyle name="Normal 63 3 2 13 4" xfId="37183"/>
    <cellStyle name="Normal 63 3 2 13 4 2" xfId="37184"/>
    <cellStyle name="Normal 63 3 2 13 4 3" xfId="37185"/>
    <cellStyle name="Normal 63 3 2 13 4 4" xfId="37186"/>
    <cellStyle name="Normal 63 3 2 13 4 5" xfId="37187"/>
    <cellStyle name="Normal 63 3 2 13 4 6" xfId="37188"/>
    <cellStyle name="Normal 63 3 2 14" xfId="37189"/>
    <cellStyle name="Normal 63 3 2 14 2" xfId="37190"/>
    <cellStyle name="Normal 63 3 2 14 2 2" xfId="37191"/>
    <cellStyle name="Normal 63 3 2 14 2 3" xfId="37192"/>
    <cellStyle name="Normal 63 3 2 14 2 4" xfId="37193"/>
    <cellStyle name="Normal 63 3 2 14 2 5" xfId="37194"/>
    <cellStyle name="Normal 63 3 2 14 2 6" xfId="37195"/>
    <cellStyle name="Normal 63 3 2 14 3" xfId="37196"/>
    <cellStyle name="Normal 63 3 2 14 3 2" xfId="37197"/>
    <cellStyle name="Normal 63 3 2 14 3 3" xfId="37198"/>
    <cellStyle name="Normal 63 3 2 14 3 4" xfId="37199"/>
    <cellStyle name="Normal 63 3 2 14 3 5" xfId="37200"/>
    <cellStyle name="Normal 63 3 2 14 3 6" xfId="37201"/>
    <cellStyle name="Normal 63 3 2 14 4" xfId="37202"/>
    <cellStyle name="Normal 63 3 2 14 4 2" xfId="37203"/>
    <cellStyle name="Normal 63 3 2 14 4 3" xfId="37204"/>
    <cellStyle name="Normal 63 3 2 14 4 4" xfId="37205"/>
    <cellStyle name="Normal 63 3 2 14 4 5" xfId="37206"/>
    <cellStyle name="Normal 63 3 2 14 4 6" xfId="37207"/>
    <cellStyle name="Normal 63 3 2 15" xfId="37208"/>
    <cellStyle name="Normal 63 3 2 15 2" xfId="37209"/>
    <cellStyle name="Normal 63 3 2 15 2 2" xfId="37210"/>
    <cellStyle name="Normal 63 3 2 15 2 3" xfId="37211"/>
    <cellStyle name="Normal 63 3 2 15 2 4" xfId="37212"/>
    <cellStyle name="Normal 63 3 2 15 2 5" xfId="37213"/>
    <cellStyle name="Normal 63 3 2 15 2 6" xfId="37214"/>
    <cellStyle name="Normal 63 3 2 15 3" xfId="37215"/>
    <cellStyle name="Normal 63 3 2 15 3 2" xfId="37216"/>
    <cellStyle name="Normal 63 3 2 15 3 3" xfId="37217"/>
    <cellStyle name="Normal 63 3 2 15 3 4" xfId="37218"/>
    <cellStyle name="Normal 63 3 2 15 3 5" xfId="37219"/>
    <cellStyle name="Normal 63 3 2 15 3 6" xfId="37220"/>
    <cellStyle name="Normal 63 3 2 15 4" xfId="37221"/>
    <cellStyle name="Normal 63 3 2 15 4 2" xfId="37222"/>
    <cellStyle name="Normal 63 3 2 15 4 3" xfId="37223"/>
    <cellStyle name="Normal 63 3 2 15 4 4" xfId="37224"/>
    <cellStyle name="Normal 63 3 2 15 4 5" xfId="37225"/>
    <cellStyle name="Normal 63 3 2 15 4 6" xfId="37226"/>
    <cellStyle name="Normal 63 3 2 16" xfId="37227"/>
    <cellStyle name="Normal 63 3 2 16 2" xfId="37228"/>
    <cellStyle name="Normal 63 3 2 16 2 2" xfId="37229"/>
    <cellStyle name="Normal 63 3 2 16 2 3" xfId="37230"/>
    <cellStyle name="Normal 63 3 2 16 2 4" xfId="37231"/>
    <cellStyle name="Normal 63 3 2 16 2 5" xfId="37232"/>
    <cellStyle name="Normal 63 3 2 16 2 6" xfId="37233"/>
    <cellStyle name="Normal 63 3 2 16 3" xfId="37234"/>
    <cellStyle name="Normal 63 3 2 16 3 2" xfId="37235"/>
    <cellStyle name="Normal 63 3 2 16 3 3" xfId="37236"/>
    <cellStyle name="Normal 63 3 2 16 3 4" xfId="37237"/>
    <cellStyle name="Normal 63 3 2 16 3 5" xfId="37238"/>
    <cellStyle name="Normal 63 3 2 16 3 6" xfId="37239"/>
    <cellStyle name="Normal 63 3 2 16 4" xfId="37240"/>
    <cellStyle name="Normal 63 3 2 16 4 2" xfId="37241"/>
    <cellStyle name="Normal 63 3 2 16 4 3" xfId="37242"/>
    <cellStyle name="Normal 63 3 2 16 4 4" xfId="37243"/>
    <cellStyle name="Normal 63 3 2 16 4 5" xfId="37244"/>
    <cellStyle name="Normal 63 3 2 16 4 6" xfId="37245"/>
    <cellStyle name="Normal 63 3 2 17" xfId="37246"/>
    <cellStyle name="Normal 63 3 2 17 2" xfId="37247"/>
    <cellStyle name="Normal 63 3 2 17 2 2" xfId="37248"/>
    <cellStyle name="Normal 63 3 2 17 2 3" xfId="37249"/>
    <cellStyle name="Normal 63 3 2 17 2 4" xfId="37250"/>
    <cellStyle name="Normal 63 3 2 17 2 5" xfId="37251"/>
    <cellStyle name="Normal 63 3 2 17 2 6" xfId="37252"/>
    <cellStyle name="Normal 63 3 2 17 3" xfId="37253"/>
    <cellStyle name="Normal 63 3 2 17 3 2" xfId="37254"/>
    <cellStyle name="Normal 63 3 2 17 3 3" xfId="37255"/>
    <cellStyle name="Normal 63 3 2 17 3 4" xfId="37256"/>
    <cellStyle name="Normal 63 3 2 17 3 5" xfId="37257"/>
    <cellStyle name="Normal 63 3 2 17 3 6" xfId="37258"/>
    <cellStyle name="Normal 63 3 2 17 4" xfId="37259"/>
    <cellStyle name="Normal 63 3 2 17 4 2" xfId="37260"/>
    <cellStyle name="Normal 63 3 2 17 4 3" xfId="37261"/>
    <cellStyle name="Normal 63 3 2 17 4 4" xfId="37262"/>
    <cellStyle name="Normal 63 3 2 17 4 5" xfId="37263"/>
    <cellStyle name="Normal 63 3 2 17 4 6" xfId="37264"/>
    <cellStyle name="Normal 63 3 2 18" xfId="37265"/>
    <cellStyle name="Normal 63 3 2 18 2" xfId="37266"/>
    <cellStyle name="Normal 63 3 2 18 2 2" xfId="37267"/>
    <cellStyle name="Normal 63 3 2 18 2 3" xfId="37268"/>
    <cellStyle name="Normal 63 3 2 18 2 4" xfId="37269"/>
    <cellStyle name="Normal 63 3 2 18 2 5" xfId="37270"/>
    <cellStyle name="Normal 63 3 2 18 2 6" xfId="37271"/>
    <cellStyle name="Normal 63 3 2 18 3" xfId="37272"/>
    <cellStyle name="Normal 63 3 2 18 3 2" xfId="37273"/>
    <cellStyle name="Normal 63 3 2 18 3 3" xfId="37274"/>
    <cellStyle name="Normal 63 3 2 18 3 4" xfId="37275"/>
    <cellStyle name="Normal 63 3 2 18 3 5" xfId="37276"/>
    <cellStyle name="Normal 63 3 2 18 3 6" xfId="37277"/>
    <cellStyle name="Normal 63 3 2 18 4" xfId="37278"/>
    <cellStyle name="Normal 63 3 2 18 4 2" xfId="37279"/>
    <cellStyle name="Normal 63 3 2 18 4 3" xfId="37280"/>
    <cellStyle name="Normal 63 3 2 18 4 4" xfId="37281"/>
    <cellStyle name="Normal 63 3 2 18 4 5" xfId="37282"/>
    <cellStyle name="Normal 63 3 2 18 4 6" xfId="37283"/>
    <cellStyle name="Normal 63 3 2 19" xfId="37284"/>
    <cellStyle name="Normal 63 3 2 19 2" xfId="37285"/>
    <cellStyle name="Normal 63 3 2 19 2 2" xfId="37286"/>
    <cellStyle name="Normal 63 3 2 19 2 3" xfId="37287"/>
    <cellStyle name="Normal 63 3 2 19 2 4" xfId="37288"/>
    <cellStyle name="Normal 63 3 2 19 2 5" xfId="37289"/>
    <cellStyle name="Normal 63 3 2 19 2 6" xfId="37290"/>
    <cellStyle name="Normal 63 3 2 19 3" xfId="37291"/>
    <cellStyle name="Normal 63 3 2 19 3 2" xfId="37292"/>
    <cellStyle name="Normal 63 3 2 19 3 3" xfId="37293"/>
    <cellStyle name="Normal 63 3 2 19 3 4" xfId="37294"/>
    <cellStyle name="Normal 63 3 2 19 3 5" xfId="37295"/>
    <cellStyle name="Normal 63 3 2 19 3 6" xfId="37296"/>
    <cellStyle name="Normal 63 3 2 19 4" xfId="37297"/>
    <cellStyle name="Normal 63 3 2 19 4 2" xfId="37298"/>
    <cellStyle name="Normal 63 3 2 19 4 3" xfId="37299"/>
    <cellStyle name="Normal 63 3 2 19 4 4" xfId="37300"/>
    <cellStyle name="Normal 63 3 2 19 4 5" xfId="37301"/>
    <cellStyle name="Normal 63 3 2 19 4 6" xfId="37302"/>
    <cellStyle name="Normal 63 3 2 2" xfId="37303"/>
    <cellStyle name="Normal 63 3 2 2 10" xfId="37304"/>
    <cellStyle name="Normal 63 3 2 2 10 2" xfId="37305"/>
    <cellStyle name="Normal 63 3 2 2 10 2 2" xfId="37306"/>
    <cellStyle name="Normal 63 3 2 2 10 2 3" xfId="37307"/>
    <cellStyle name="Normal 63 3 2 2 10 2 4" xfId="37308"/>
    <cellStyle name="Normal 63 3 2 2 10 2 5" xfId="37309"/>
    <cellStyle name="Normal 63 3 2 2 10 2 6" xfId="37310"/>
    <cellStyle name="Normal 63 3 2 2 10 3" xfId="37311"/>
    <cellStyle name="Normal 63 3 2 2 10 3 2" xfId="37312"/>
    <cellStyle name="Normal 63 3 2 2 10 3 3" xfId="37313"/>
    <cellStyle name="Normal 63 3 2 2 10 3 4" xfId="37314"/>
    <cellStyle name="Normal 63 3 2 2 10 3 5" xfId="37315"/>
    <cellStyle name="Normal 63 3 2 2 10 3 6" xfId="37316"/>
    <cellStyle name="Normal 63 3 2 2 10 4" xfId="37317"/>
    <cellStyle name="Normal 63 3 2 2 10 4 2" xfId="37318"/>
    <cellStyle name="Normal 63 3 2 2 10 4 3" xfId="37319"/>
    <cellStyle name="Normal 63 3 2 2 10 4 4" xfId="37320"/>
    <cellStyle name="Normal 63 3 2 2 10 4 5" xfId="37321"/>
    <cellStyle name="Normal 63 3 2 2 10 4 6" xfId="37322"/>
    <cellStyle name="Normal 63 3 2 2 11" xfId="37323"/>
    <cellStyle name="Normal 63 3 2 2 11 2" xfId="37324"/>
    <cellStyle name="Normal 63 3 2 2 11 2 2" xfId="37325"/>
    <cellStyle name="Normal 63 3 2 2 11 2 3" xfId="37326"/>
    <cellStyle name="Normal 63 3 2 2 11 2 4" xfId="37327"/>
    <cellStyle name="Normal 63 3 2 2 11 2 5" xfId="37328"/>
    <cellStyle name="Normal 63 3 2 2 11 2 6" xfId="37329"/>
    <cellStyle name="Normal 63 3 2 2 11 3" xfId="37330"/>
    <cellStyle name="Normal 63 3 2 2 11 3 2" xfId="37331"/>
    <cellStyle name="Normal 63 3 2 2 11 3 3" xfId="37332"/>
    <cellStyle name="Normal 63 3 2 2 11 3 4" xfId="37333"/>
    <cellStyle name="Normal 63 3 2 2 11 3 5" xfId="37334"/>
    <cellStyle name="Normal 63 3 2 2 11 3 6" xfId="37335"/>
    <cellStyle name="Normal 63 3 2 2 11 4" xfId="37336"/>
    <cellStyle name="Normal 63 3 2 2 11 4 2" xfId="37337"/>
    <cellStyle name="Normal 63 3 2 2 11 4 3" xfId="37338"/>
    <cellStyle name="Normal 63 3 2 2 11 4 4" xfId="37339"/>
    <cellStyle name="Normal 63 3 2 2 11 4 5" xfId="37340"/>
    <cellStyle name="Normal 63 3 2 2 11 4 6" xfId="37341"/>
    <cellStyle name="Normal 63 3 2 2 12" xfId="37342"/>
    <cellStyle name="Normal 63 3 2 2 12 2" xfId="37343"/>
    <cellStyle name="Normal 63 3 2 2 12 2 2" xfId="37344"/>
    <cellStyle name="Normal 63 3 2 2 12 2 3" xfId="37345"/>
    <cellStyle name="Normal 63 3 2 2 12 2 4" xfId="37346"/>
    <cellStyle name="Normal 63 3 2 2 12 2 5" xfId="37347"/>
    <cellStyle name="Normal 63 3 2 2 12 2 6" xfId="37348"/>
    <cellStyle name="Normal 63 3 2 2 12 3" xfId="37349"/>
    <cellStyle name="Normal 63 3 2 2 12 3 2" xfId="37350"/>
    <cellStyle name="Normal 63 3 2 2 12 3 3" xfId="37351"/>
    <cellStyle name="Normal 63 3 2 2 12 3 4" xfId="37352"/>
    <cellStyle name="Normal 63 3 2 2 12 3 5" xfId="37353"/>
    <cellStyle name="Normal 63 3 2 2 12 3 6" xfId="37354"/>
    <cellStyle name="Normal 63 3 2 2 12 4" xfId="37355"/>
    <cellStyle name="Normal 63 3 2 2 12 4 2" xfId="37356"/>
    <cellStyle name="Normal 63 3 2 2 12 4 3" xfId="37357"/>
    <cellStyle name="Normal 63 3 2 2 12 4 4" xfId="37358"/>
    <cellStyle name="Normal 63 3 2 2 12 4 5" xfId="37359"/>
    <cellStyle name="Normal 63 3 2 2 12 4 6" xfId="37360"/>
    <cellStyle name="Normal 63 3 2 2 13" xfId="37361"/>
    <cellStyle name="Normal 63 3 2 2 13 2" xfId="37362"/>
    <cellStyle name="Normal 63 3 2 2 13 2 2" xfId="37363"/>
    <cellStyle name="Normal 63 3 2 2 13 2 3" xfId="37364"/>
    <cellStyle name="Normal 63 3 2 2 13 2 4" xfId="37365"/>
    <cellStyle name="Normal 63 3 2 2 13 2 5" xfId="37366"/>
    <cellStyle name="Normal 63 3 2 2 13 2 6" xfId="37367"/>
    <cellStyle name="Normal 63 3 2 2 13 3" xfId="37368"/>
    <cellStyle name="Normal 63 3 2 2 13 3 2" xfId="37369"/>
    <cellStyle name="Normal 63 3 2 2 13 3 3" xfId="37370"/>
    <cellStyle name="Normal 63 3 2 2 13 3 4" xfId="37371"/>
    <cellStyle name="Normal 63 3 2 2 13 3 5" xfId="37372"/>
    <cellStyle name="Normal 63 3 2 2 13 3 6" xfId="37373"/>
    <cellStyle name="Normal 63 3 2 2 13 4" xfId="37374"/>
    <cellStyle name="Normal 63 3 2 2 13 4 2" xfId="37375"/>
    <cellStyle name="Normal 63 3 2 2 13 4 3" xfId="37376"/>
    <cellStyle name="Normal 63 3 2 2 13 4 4" xfId="37377"/>
    <cellStyle name="Normal 63 3 2 2 13 4 5" xfId="37378"/>
    <cellStyle name="Normal 63 3 2 2 13 4 6" xfId="37379"/>
    <cellStyle name="Normal 63 3 2 2 14" xfId="37380"/>
    <cellStyle name="Normal 63 3 2 2 14 2" xfId="37381"/>
    <cellStyle name="Normal 63 3 2 2 14 2 2" xfId="37382"/>
    <cellStyle name="Normal 63 3 2 2 14 2 3" xfId="37383"/>
    <cellStyle name="Normal 63 3 2 2 14 2 4" xfId="37384"/>
    <cellStyle name="Normal 63 3 2 2 14 2 5" xfId="37385"/>
    <cellStyle name="Normal 63 3 2 2 14 2 6" xfId="37386"/>
    <cellStyle name="Normal 63 3 2 2 14 3" xfId="37387"/>
    <cellStyle name="Normal 63 3 2 2 14 3 2" xfId="37388"/>
    <cellStyle name="Normal 63 3 2 2 14 3 3" xfId="37389"/>
    <cellStyle name="Normal 63 3 2 2 14 3 4" xfId="37390"/>
    <cellStyle name="Normal 63 3 2 2 14 3 5" xfId="37391"/>
    <cellStyle name="Normal 63 3 2 2 14 3 6" xfId="37392"/>
    <cellStyle name="Normal 63 3 2 2 14 4" xfId="37393"/>
    <cellStyle name="Normal 63 3 2 2 14 4 2" xfId="37394"/>
    <cellStyle name="Normal 63 3 2 2 14 4 3" xfId="37395"/>
    <cellStyle name="Normal 63 3 2 2 14 4 4" xfId="37396"/>
    <cellStyle name="Normal 63 3 2 2 14 4 5" xfId="37397"/>
    <cellStyle name="Normal 63 3 2 2 14 4 6" xfId="37398"/>
    <cellStyle name="Normal 63 3 2 2 15" xfId="37399"/>
    <cellStyle name="Normal 63 3 2 2 15 2" xfId="37400"/>
    <cellStyle name="Normal 63 3 2 2 15 2 2" xfId="37401"/>
    <cellStyle name="Normal 63 3 2 2 15 2 3" xfId="37402"/>
    <cellStyle name="Normal 63 3 2 2 15 2 4" xfId="37403"/>
    <cellStyle name="Normal 63 3 2 2 15 2 5" xfId="37404"/>
    <cellStyle name="Normal 63 3 2 2 15 2 6" xfId="37405"/>
    <cellStyle name="Normal 63 3 2 2 15 3" xfId="37406"/>
    <cellStyle name="Normal 63 3 2 2 15 3 2" xfId="37407"/>
    <cellStyle name="Normal 63 3 2 2 15 3 3" xfId="37408"/>
    <cellStyle name="Normal 63 3 2 2 15 3 4" xfId="37409"/>
    <cellStyle name="Normal 63 3 2 2 15 3 5" xfId="37410"/>
    <cellStyle name="Normal 63 3 2 2 15 3 6" xfId="37411"/>
    <cellStyle name="Normal 63 3 2 2 15 4" xfId="37412"/>
    <cellStyle name="Normal 63 3 2 2 15 4 2" xfId="37413"/>
    <cellStyle name="Normal 63 3 2 2 15 4 3" xfId="37414"/>
    <cellStyle name="Normal 63 3 2 2 15 4 4" xfId="37415"/>
    <cellStyle name="Normal 63 3 2 2 15 4 5" xfId="37416"/>
    <cellStyle name="Normal 63 3 2 2 15 4 6" xfId="37417"/>
    <cellStyle name="Normal 63 3 2 2 16" xfId="37418"/>
    <cellStyle name="Normal 63 3 2 2 16 2" xfId="37419"/>
    <cellStyle name="Normal 63 3 2 2 16 2 2" xfId="37420"/>
    <cellStyle name="Normal 63 3 2 2 16 2 3" xfId="37421"/>
    <cellStyle name="Normal 63 3 2 2 16 2 4" xfId="37422"/>
    <cellStyle name="Normal 63 3 2 2 16 2 5" xfId="37423"/>
    <cellStyle name="Normal 63 3 2 2 16 2 6" xfId="37424"/>
    <cellStyle name="Normal 63 3 2 2 16 3" xfId="37425"/>
    <cellStyle name="Normal 63 3 2 2 16 3 2" xfId="37426"/>
    <cellStyle name="Normal 63 3 2 2 16 3 3" xfId="37427"/>
    <cellStyle name="Normal 63 3 2 2 16 3 4" xfId="37428"/>
    <cellStyle name="Normal 63 3 2 2 16 3 5" xfId="37429"/>
    <cellStyle name="Normal 63 3 2 2 16 3 6" xfId="37430"/>
    <cellStyle name="Normal 63 3 2 2 16 4" xfId="37431"/>
    <cellStyle name="Normal 63 3 2 2 16 4 2" xfId="37432"/>
    <cellStyle name="Normal 63 3 2 2 16 4 3" xfId="37433"/>
    <cellStyle name="Normal 63 3 2 2 16 4 4" xfId="37434"/>
    <cellStyle name="Normal 63 3 2 2 16 4 5" xfId="37435"/>
    <cellStyle name="Normal 63 3 2 2 16 4 6" xfId="37436"/>
    <cellStyle name="Normal 63 3 2 2 17" xfId="37437"/>
    <cellStyle name="Normal 63 3 2 2 17 2" xfId="37438"/>
    <cellStyle name="Normal 63 3 2 2 17 3" xfId="37439"/>
    <cellStyle name="Normal 63 3 2 2 17 4" xfId="37440"/>
    <cellStyle name="Normal 63 3 2 2 17 5" xfId="37441"/>
    <cellStyle name="Normal 63 3 2 2 17 6" xfId="37442"/>
    <cellStyle name="Normal 63 3 2 2 18" xfId="37443"/>
    <cellStyle name="Normal 63 3 2 2 18 2" xfId="37444"/>
    <cellStyle name="Normal 63 3 2 2 18 3" xfId="37445"/>
    <cellStyle name="Normal 63 3 2 2 18 4" xfId="37446"/>
    <cellStyle name="Normal 63 3 2 2 18 5" xfId="37447"/>
    <cellStyle name="Normal 63 3 2 2 18 6" xfId="37448"/>
    <cellStyle name="Normal 63 3 2 2 19" xfId="37449"/>
    <cellStyle name="Normal 63 3 2 2 19 2" xfId="37450"/>
    <cellStyle name="Normal 63 3 2 2 19 3" xfId="37451"/>
    <cellStyle name="Normal 63 3 2 2 19 4" xfId="37452"/>
    <cellStyle name="Normal 63 3 2 2 19 5" xfId="37453"/>
    <cellStyle name="Normal 63 3 2 2 19 6" xfId="37454"/>
    <cellStyle name="Normal 63 3 2 2 2" xfId="37455"/>
    <cellStyle name="Normal 63 3 2 2 2 2" xfId="37456"/>
    <cellStyle name="Normal 63 3 2 2 2 2 2" xfId="37457"/>
    <cellStyle name="Normal 63 3 2 2 2 2 3" xfId="37458"/>
    <cellStyle name="Normal 63 3 2 2 2 2 4" xfId="37459"/>
    <cellStyle name="Normal 63 3 2 2 2 2 5" xfId="37460"/>
    <cellStyle name="Normal 63 3 2 2 2 2 6" xfId="37461"/>
    <cellStyle name="Normal 63 3 2 2 2 3" xfId="37462"/>
    <cellStyle name="Normal 63 3 2 2 2 3 2" xfId="37463"/>
    <cellStyle name="Normal 63 3 2 2 2 3 3" xfId="37464"/>
    <cellStyle name="Normal 63 3 2 2 2 3 4" xfId="37465"/>
    <cellStyle name="Normal 63 3 2 2 2 3 5" xfId="37466"/>
    <cellStyle name="Normal 63 3 2 2 2 3 6" xfId="37467"/>
    <cellStyle name="Normal 63 3 2 2 2 4" xfId="37468"/>
    <cellStyle name="Normal 63 3 2 2 2 4 2" xfId="37469"/>
    <cellStyle name="Normal 63 3 2 2 2 4 3" xfId="37470"/>
    <cellStyle name="Normal 63 3 2 2 2 4 4" xfId="37471"/>
    <cellStyle name="Normal 63 3 2 2 2 4 5" xfId="37472"/>
    <cellStyle name="Normal 63 3 2 2 2 4 6" xfId="37473"/>
    <cellStyle name="Normal 63 3 2 2 3" xfId="37474"/>
    <cellStyle name="Normal 63 3 2 2 3 2" xfId="37475"/>
    <cellStyle name="Normal 63 3 2 2 3 2 2" xfId="37476"/>
    <cellStyle name="Normal 63 3 2 2 3 2 3" xfId="37477"/>
    <cellStyle name="Normal 63 3 2 2 3 2 4" xfId="37478"/>
    <cellStyle name="Normal 63 3 2 2 3 2 5" xfId="37479"/>
    <cellStyle name="Normal 63 3 2 2 3 2 6" xfId="37480"/>
    <cellStyle name="Normal 63 3 2 2 3 3" xfId="37481"/>
    <cellStyle name="Normal 63 3 2 2 3 3 2" xfId="37482"/>
    <cellStyle name="Normal 63 3 2 2 3 3 3" xfId="37483"/>
    <cellStyle name="Normal 63 3 2 2 3 3 4" xfId="37484"/>
    <cellStyle name="Normal 63 3 2 2 3 3 5" xfId="37485"/>
    <cellStyle name="Normal 63 3 2 2 3 3 6" xfId="37486"/>
    <cellStyle name="Normal 63 3 2 2 3 4" xfId="37487"/>
    <cellStyle name="Normal 63 3 2 2 3 4 2" xfId="37488"/>
    <cellStyle name="Normal 63 3 2 2 3 4 3" xfId="37489"/>
    <cellStyle name="Normal 63 3 2 2 3 4 4" xfId="37490"/>
    <cellStyle name="Normal 63 3 2 2 3 4 5" xfId="37491"/>
    <cellStyle name="Normal 63 3 2 2 3 4 6" xfId="37492"/>
    <cellStyle name="Normal 63 3 2 2 4" xfId="37493"/>
    <cellStyle name="Normal 63 3 2 2 4 2" xfId="37494"/>
    <cellStyle name="Normal 63 3 2 2 4 2 2" xfId="37495"/>
    <cellStyle name="Normal 63 3 2 2 4 2 3" xfId="37496"/>
    <cellStyle name="Normal 63 3 2 2 4 2 4" xfId="37497"/>
    <cellStyle name="Normal 63 3 2 2 4 2 5" xfId="37498"/>
    <cellStyle name="Normal 63 3 2 2 4 2 6" xfId="37499"/>
    <cellStyle name="Normal 63 3 2 2 4 3" xfId="37500"/>
    <cellStyle name="Normal 63 3 2 2 4 3 2" xfId="37501"/>
    <cellStyle name="Normal 63 3 2 2 4 3 3" xfId="37502"/>
    <cellStyle name="Normal 63 3 2 2 4 3 4" xfId="37503"/>
    <cellStyle name="Normal 63 3 2 2 4 3 5" xfId="37504"/>
    <cellStyle name="Normal 63 3 2 2 4 3 6" xfId="37505"/>
    <cellStyle name="Normal 63 3 2 2 4 4" xfId="37506"/>
    <cellStyle name="Normal 63 3 2 2 4 4 2" xfId="37507"/>
    <cellStyle name="Normal 63 3 2 2 4 4 3" xfId="37508"/>
    <cellStyle name="Normal 63 3 2 2 4 4 4" xfId="37509"/>
    <cellStyle name="Normal 63 3 2 2 4 4 5" xfId="37510"/>
    <cellStyle name="Normal 63 3 2 2 4 4 6" xfId="37511"/>
    <cellStyle name="Normal 63 3 2 2 5" xfId="37512"/>
    <cellStyle name="Normal 63 3 2 2 5 2" xfId="37513"/>
    <cellStyle name="Normal 63 3 2 2 5 2 2" xfId="37514"/>
    <cellStyle name="Normal 63 3 2 2 5 2 3" xfId="37515"/>
    <cellStyle name="Normal 63 3 2 2 5 2 4" xfId="37516"/>
    <cellStyle name="Normal 63 3 2 2 5 2 5" xfId="37517"/>
    <cellStyle name="Normal 63 3 2 2 5 2 6" xfId="37518"/>
    <cellStyle name="Normal 63 3 2 2 5 3" xfId="37519"/>
    <cellStyle name="Normal 63 3 2 2 5 3 2" xfId="37520"/>
    <cellStyle name="Normal 63 3 2 2 5 3 3" xfId="37521"/>
    <cellStyle name="Normal 63 3 2 2 5 3 4" xfId="37522"/>
    <cellStyle name="Normal 63 3 2 2 5 3 5" xfId="37523"/>
    <cellStyle name="Normal 63 3 2 2 5 3 6" xfId="37524"/>
    <cellStyle name="Normal 63 3 2 2 5 4" xfId="37525"/>
    <cellStyle name="Normal 63 3 2 2 5 4 2" xfId="37526"/>
    <cellStyle name="Normal 63 3 2 2 5 4 3" xfId="37527"/>
    <cellStyle name="Normal 63 3 2 2 5 4 4" xfId="37528"/>
    <cellStyle name="Normal 63 3 2 2 5 4 5" xfId="37529"/>
    <cellStyle name="Normal 63 3 2 2 5 4 6" xfId="37530"/>
    <cellStyle name="Normal 63 3 2 2 6" xfId="37531"/>
    <cellStyle name="Normal 63 3 2 2 6 2" xfId="37532"/>
    <cellStyle name="Normal 63 3 2 2 6 2 2" xfId="37533"/>
    <cellStyle name="Normal 63 3 2 2 6 2 3" xfId="37534"/>
    <cellStyle name="Normal 63 3 2 2 6 2 4" xfId="37535"/>
    <cellStyle name="Normal 63 3 2 2 6 2 5" xfId="37536"/>
    <cellStyle name="Normal 63 3 2 2 6 2 6" xfId="37537"/>
    <cellStyle name="Normal 63 3 2 2 6 3" xfId="37538"/>
    <cellStyle name="Normal 63 3 2 2 6 3 2" xfId="37539"/>
    <cellStyle name="Normal 63 3 2 2 6 3 3" xfId="37540"/>
    <cellStyle name="Normal 63 3 2 2 6 3 4" xfId="37541"/>
    <cellStyle name="Normal 63 3 2 2 6 3 5" xfId="37542"/>
    <cellStyle name="Normal 63 3 2 2 6 3 6" xfId="37543"/>
    <cellStyle name="Normal 63 3 2 2 6 4" xfId="37544"/>
    <cellStyle name="Normal 63 3 2 2 6 4 2" xfId="37545"/>
    <cellStyle name="Normal 63 3 2 2 6 4 3" xfId="37546"/>
    <cellStyle name="Normal 63 3 2 2 6 4 4" xfId="37547"/>
    <cellStyle name="Normal 63 3 2 2 6 4 5" xfId="37548"/>
    <cellStyle name="Normal 63 3 2 2 6 4 6" xfId="37549"/>
    <cellStyle name="Normal 63 3 2 2 7" xfId="37550"/>
    <cellStyle name="Normal 63 3 2 2 7 2" xfId="37551"/>
    <cellStyle name="Normal 63 3 2 2 7 2 2" xfId="37552"/>
    <cellStyle name="Normal 63 3 2 2 7 2 3" xfId="37553"/>
    <cellStyle name="Normal 63 3 2 2 7 2 4" xfId="37554"/>
    <cellStyle name="Normal 63 3 2 2 7 2 5" xfId="37555"/>
    <cellStyle name="Normal 63 3 2 2 7 2 6" xfId="37556"/>
    <cellStyle name="Normal 63 3 2 2 7 3" xfId="37557"/>
    <cellStyle name="Normal 63 3 2 2 7 3 2" xfId="37558"/>
    <cellStyle name="Normal 63 3 2 2 7 3 3" xfId="37559"/>
    <cellStyle name="Normal 63 3 2 2 7 3 4" xfId="37560"/>
    <cellStyle name="Normal 63 3 2 2 7 3 5" xfId="37561"/>
    <cellStyle name="Normal 63 3 2 2 7 3 6" xfId="37562"/>
    <cellStyle name="Normal 63 3 2 2 7 4" xfId="37563"/>
    <cellStyle name="Normal 63 3 2 2 7 4 2" xfId="37564"/>
    <cellStyle name="Normal 63 3 2 2 7 4 3" xfId="37565"/>
    <cellStyle name="Normal 63 3 2 2 7 4 4" xfId="37566"/>
    <cellStyle name="Normal 63 3 2 2 7 4 5" xfId="37567"/>
    <cellStyle name="Normal 63 3 2 2 7 4 6" xfId="37568"/>
    <cellStyle name="Normal 63 3 2 2 8" xfId="37569"/>
    <cellStyle name="Normal 63 3 2 2 8 2" xfId="37570"/>
    <cellStyle name="Normal 63 3 2 2 8 2 2" xfId="37571"/>
    <cellStyle name="Normal 63 3 2 2 8 2 3" xfId="37572"/>
    <cellStyle name="Normal 63 3 2 2 8 2 4" xfId="37573"/>
    <cellStyle name="Normal 63 3 2 2 8 2 5" xfId="37574"/>
    <cellStyle name="Normal 63 3 2 2 8 2 6" xfId="37575"/>
    <cellStyle name="Normal 63 3 2 2 8 3" xfId="37576"/>
    <cellStyle name="Normal 63 3 2 2 8 3 2" xfId="37577"/>
    <cellStyle name="Normal 63 3 2 2 8 3 3" xfId="37578"/>
    <cellStyle name="Normal 63 3 2 2 8 3 4" xfId="37579"/>
    <cellStyle name="Normal 63 3 2 2 8 3 5" xfId="37580"/>
    <cellStyle name="Normal 63 3 2 2 8 3 6" xfId="37581"/>
    <cellStyle name="Normal 63 3 2 2 8 4" xfId="37582"/>
    <cellStyle name="Normal 63 3 2 2 8 4 2" xfId="37583"/>
    <cellStyle name="Normal 63 3 2 2 8 4 3" xfId="37584"/>
    <cellStyle name="Normal 63 3 2 2 8 4 4" xfId="37585"/>
    <cellStyle name="Normal 63 3 2 2 8 4 5" xfId="37586"/>
    <cellStyle name="Normal 63 3 2 2 8 4 6" xfId="37587"/>
    <cellStyle name="Normal 63 3 2 2 9" xfId="37588"/>
    <cellStyle name="Normal 63 3 2 2 9 2" xfId="37589"/>
    <cellStyle name="Normal 63 3 2 2 9 2 2" xfId="37590"/>
    <cellStyle name="Normal 63 3 2 2 9 2 3" xfId="37591"/>
    <cellStyle name="Normal 63 3 2 2 9 2 4" xfId="37592"/>
    <cellStyle name="Normal 63 3 2 2 9 2 5" xfId="37593"/>
    <cellStyle name="Normal 63 3 2 2 9 2 6" xfId="37594"/>
    <cellStyle name="Normal 63 3 2 2 9 3" xfId="37595"/>
    <cellStyle name="Normal 63 3 2 2 9 3 2" xfId="37596"/>
    <cellStyle name="Normal 63 3 2 2 9 3 3" xfId="37597"/>
    <cellStyle name="Normal 63 3 2 2 9 3 4" xfId="37598"/>
    <cellStyle name="Normal 63 3 2 2 9 3 5" xfId="37599"/>
    <cellStyle name="Normal 63 3 2 2 9 3 6" xfId="37600"/>
    <cellStyle name="Normal 63 3 2 2 9 4" xfId="37601"/>
    <cellStyle name="Normal 63 3 2 2 9 4 2" xfId="37602"/>
    <cellStyle name="Normal 63 3 2 2 9 4 3" xfId="37603"/>
    <cellStyle name="Normal 63 3 2 2 9 4 4" xfId="37604"/>
    <cellStyle name="Normal 63 3 2 2 9 4 5" xfId="37605"/>
    <cellStyle name="Normal 63 3 2 2 9 4 6" xfId="37606"/>
    <cellStyle name="Normal 63 3 2 20" xfId="37607"/>
    <cellStyle name="Normal 63 3 2 20 2" xfId="37608"/>
    <cellStyle name="Normal 63 3 2 20 3" xfId="37609"/>
    <cellStyle name="Normal 63 3 2 20 4" xfId="37610"/>
    <cellStyle name="Normal 63 3 2 20 5" xfId="37611"/>
    <cellStyle name="Normal 63 3 2 20 6" xfId="37612"/>
    <cellStyle name="Normal 63 3 2 21" xfId="37613"/>
    <cellStyle name="Normal 63 3 2 21 2" xfId="37614"/>
    <cellStyle name="Normal 63 3 2 21 3" xfId="37615"/>
    <cellStyle name="Normal 63 3 2 21 4" xfId="37616"/>
    <cellStyle name="Normal 63 3 2 21 5" xfId="37617"/>
    <cellStyle name="Normal 63 3 2 21 6" xfId="37618"/>
    <cellStyle name="Normal 63 3 2 22" xfId="37619"/>
    <cellStyle name="Normal 63 3 2 22 2" xfId="37620"/>
    <cellStyle name="Normal 63 3 2 22 3" xfId="37621"/>
    <cellStyle name="Normal 63 3 2 22 4" xfId="37622"/>
    <cellStyle name="Normal 63 3 2 22 5" xfId="37623"/>
    <cellStyle name="Normal 63 3 2 22 6" xfId="37624"/>
    <cellStyle name="Normal 63 3 2 3" xfId="37625"/>
    <cellStyle name="Normal 63 3 2 3 2" xfId="37626"/>
    <cellStyle name="Normal 63 3 2 3 2 2" xfId="37627"/>
    <cellStyle name="Normal 63 3 2 3 2 3" xfId="37628"/>
    <cellStyle name="Normal 63 3 2 3 2 4" xfId="37629"/>
    <cellStyle name="Normal 63 3 2 3 2 5" xfId="37630"/>
    <cellStyle name="Normal 63 3 2 3 2 6" xfId="37631"/>
    <cellStyle name="Normal 63 3 2 3 3" xfId="37632"/>
    <cellStyle name="Normal 63 3 2 3 3 2" xfId="37633"/>
    <cellStyle name="Normal 63 3 2 3 3 3" xfId="37634"/>
    <cellStyle name="Normal 63 3 2 3 3 4" xfId="37635"/>
    <cellStyle name="Normal 63 3 2 3 3 5" xfId="37636"/>
    <cellStyle name="Normal 63 3 2 3 3 6" xfId="37637"/>
    <cellStyle name="Normal 63 3 2 3 4" xfId="37638"/>
    <cellStyle name="Normal 63 3 2 3 4 2" xfId="37639"/>
    <cellStyle name="Normal 63 3 2 3 4 3" xfId="37640"/>
    <cellStyle name="Normal 63 3 2 3 4 4" xfId="37641"/>
    <cellStyle name="Normal 63 3 2 3 4 5" xfId="37642"/>
    <cellStyle name="Normal 63 3 2 3 4 6" xfId="37643"/>
    <cellStyle name="Normal 63 3 2 4" xfId="37644"/>
    <cellStyle name="Normal 63 3 2 4 2" xfId="37645"/>
    <cellStyle name="Normal 63 3 2 4 2 2" xfId="37646"/>
    <cellStyle name="Normal 63 3 2 4 2 3" xfId="37647"/>
    <cellStyle name="Normal 63 3 2 4 2 4" xfId="37648"/>
    <cellStyle name="Normal 63 3 2 4 2 5" xfId="37649"/>
    <cellStyle name="Normal 63 3 2 4 2 6" xfId="37650"/>
    <cellStyle name="Normal 63 3 2 4 3" xfId="37651"/>
    <cellStyle name="Normal 63 3 2 4 3 2" xfId="37652"/>
    <cellStyle name="Normal 63 3 2 4 3 3" xfId="37653"/>
    <cellStyle name="Normal 63 3 2 4 3 4" xfId="37654"/>
    <cellStyle name="Normal 63 3 2 4 3 5" xfId="37655"/>
    <cellStyle name="Normal 63 3 2 4 3 6" xfId="37656"/>
    <cellStyle name="Normal 63 3 2 4 4" xfId="37657"/>
    <cellStyle name="Normal 63 3 2 4 4 2" xfId="37658"/>
    <cellStyle name="Normal 63 3 2 4 4 3" xfId="37659"/>
    <cellStyle name="Normal 63 3 2 4 4 4" xfId="37660"/>
    <cellStyle name="Normal 63 3 2 4 4 5" xfId="37661"/>
    <cellStyle name="Normal 63 3 2 4 4 6" xfId="37662"/>
    <cellStyle name="Normal 63 3 2 5" xfId="37663"/>
    <cellStyle name="Normal 63 3 2 5 2" xfId="37664"/>
    <cellStyle name="Normal 63 3 2 5 2 2" xfId="37665"/>
    <cellStyle name="Normal 63 3 2 5 2 3" xfId="37666"/>
    <cellStyle name="Normal 63 3 2 5 2 4" xfId="37667"/>
    <cellStyle name="Normal 63 3 2 5 2 5" xfId="37668"/>
    <cellStyle name="Normal 63 3 2 5 2 6" xfId="37669"/>
    <cellStyle name="Normal 63 3 2 5 3" xfId="37670"/>
    <cellStyle name="Normal 63 3 2 5 3 2" xfId="37671"/>
    <cellStyle name="Normal 63 3 2 5 3 3" xfId="37672"/>
    <cellStyle name="Normal 63 3 2 5 3 4" xfId="37673"/>
    <cellStyle name="Normal 63 3 2 5 3 5" xfId="37674"/>
    <cellStyle name="Normal 63 3 2 5 3 6" xfId="37675"/>
    <cellStyle name="Normal 63 3 2 5 4" xfId="37676"/>
    <cellStyle name="Normal 63 3 2 5 4 2" xfId="37677"/>
    <cellStyle name="Normal 63 3 2 5 4 3" xfId="37678"/>
    <cellStyle name="Normal 63 3 2 5 4 4" xfId="37679"/>
    <cellStyle name="Normal 63 3 2 5 4 5" xfId="37680"/>
    <cellStyle name="Normal 63 3 2 5 4 6" xfId="37681"/>
    <cellStyle name="Normal 63 3 2 6" xfId="37682"/>
    <cellStyle name="Normal 63 3 2 6 2" xfId="37683"/>
    <cellStyle name="Normal 63 3 2 6 2 2" xfId="37684"/>
    <cellStyle name="Normal 63 3 2 6 2 3" xfId="37685"/>
    <cellStyle name="Normal 63 3 2 6 2 4" xfId="37686"/>
    <cellStyle name="Normal 63 3 2 6 2 5" xfId="37687"/>
    <cellStyle name="Normal 63 3 2 6 2 6" xfId="37688"/>
    <cellStyle name="Normal 63 3 2 6 3" xfId="37689"/>
    <cellStyle name="Normal 63 3 2 6 3 2" xfId="37690"/>
    <cellStyle name="Normal 63 3 2 6 3 3" xfId="37691"/>
    <cellStyle name="Normal 63 3 2 6 3 4" xfId="37692"/>
    <cellStyle name="Normal 63 3 2 6 3 5" xfId="37693"/>
    <cellStyle name="Normal 63 3 2 6 3 6" xfId="37694"/>
    <cellStyle name="Normal 63 3 2 6 4" xfId="37695"/>
    <cellStyle name="Normal 63 3 2 6 4 2" xfId="37696"/>
    <cellStyle name="Normal 63 3 2 6 4 3" xfId="37697"/>
    <cellStyle name="Normal 63 3 2 6 4 4" xfId="37698"/>
    <cellStyle name="Normal 63 3 2 6 4 5" xfId="37699"/>
    <cellStyle name="Normal 63 3 2 6 4 6" xfId="37700"/>
    <cellStyle name="Normal 63 3 2 7" xfId="37701"/>
    <cellStyle name="Normal 63 3 2 7 2" xfId="37702"/>
    <cellStyle name="Normal 63 3 2 7 2 2" xfId="37703"/>
    <cellStyle name="Normal 63 3 2 7 2 3" xfId="37704"/>
    <cellStyle name="Normal 63 3 2 7 2 4" xfId="37705"/>
    <cellStyle name="Normal 63 3 2 7 2 5" xfId="37706"/>
    <cellStyle name="Normal 63 3 2 7 2 6" xfId="37707"/>
    <cellStyle name="Normal 63 3 2 7 3" xfId="37708"/>
    <cellStyle name="Normal 63 3 2 7 3 2" xfId="37709"/>
    <cellStyle name="Normal 63 3 2 7 3 3" xfId="37710"/>
    <cellStyle name="Normal 63 3 2 7 3 4" xfId="37711"/>
    <cellStyle name="Normal 63 3 2 7 3 5" xfId="37712"/>
    <cellStyle name="Normal 63 3 2 7 3 6" xfId="37713"/>
    <cellStyle name="Normal 63 3 2 7 4" xfId="37714"/>
    <cellStyle name="Normal 63 3 2 7 4 2" xfId="37715"/>
    <cellStyle name="Normal 63 3 2 7 4 3" xfId="37716"/>
    <cellStyle name="Normal 63 3 2 7 4 4" xfId="37717"/>
    <cellStyle name="Normal 63 3 2 7 4 5" xfId="37718"/>
    <cellStyle name="Normal 63 3 2 7 4 6" xfId="37719"/>
    <cellStyle name="Normal 63 3 2 8" xfId="37720"/>
    <cellStyle name="Normal 63 3 2 8 2" xfId="37721"/>
    <cellStyle name="Normal 63 3 2 8 2 2" xfId="37722"/>
    <cellStyle name="Normal 63 3 2 8 2 3" xfId="37723"/>
    <cellStyle name="Normal 63 3 2 8 2 4" xfId="37724"/>
    <cellStyle name="Normal 63 3 2 8 2 5" xfId="37725"/>
    <cellStyle name="Normal 63 3 2 8 2 6" xfId="37726"/>
    <cellStyle name="Normal 63 3 2 8 3" xfId="37727"/>
    <cellStyle name="Normal 63 3 2 8 3 2" xfId="37728"/>
    <cellStyle name="Normal 63 3 2 8 3 3" xfId="37729"/>
    <cellStyle name="Normal 63 3 2 8 3 4" xfId="37730"/>
    <cellStyle name="Normal 63 3 2 8 3 5" xfId="37731"/>
    <cellStyle name="Normal 63 3 2 8 3 6" xfId="37732"/>
    <cellStyle name="Normal 63 3 2 8 4" xfId="37733"/>
    <cellStyle name="Normal 63 3 2 8 4 2" xfId="37734"/>
    <cellStyle name="Normal 63 3 2 8 4 3" xfId="37735"/>
    <cellStyle name="Normal 63 3 2 8 4 4" xfId="37736"/>
    <cellStyle name="Normal 63 3 2 8 4 5" xfId="37737"/>
    <cellStyle name="Normal 63 3 2 8 4 6" xfId="37738"/>
    <cellStyle name="Normal 63 3 2 9" xfId="37739"/>
    <cellStyle name="Normal 63 3 2 9 2" xfId="37740"/>
    <cellStyle name="Normal 63 3 2 9 2 2" xfId="37741"/>
    <cellStyle name="Normal 63 3 2 9 2 3" xfId="37742"/>
    <cellStyle name="Normal 63 3 2 9 2 4" xfId="37743"/>
    <cellStyle name="Normal 63 3 2 9 2 5" xfId="37744"/>
    <cellStyle name="Normal 63 3 2 9 2 6" xfId="37745"/>
    <cellStyle name="Normal 63 3 2 9 3" xfId="37746"/>
    <cellStyle name="Normal 63 3 2 9 3 2" xfId="37747"/>
    <cellStyle name="Normal 63 3 2 9 3 3" xfId="37748"/>
    <cellStyle name="Normal 63 3 2 9 3 4" xfId="37749"/>
    <cellStyle name="Normal 63 3 2 9 3 5" xfId="37750"/>
    <cellStyle name="Normal 63 3 2 9 3 6" xfId="37751"/>
    <cellStyle name="Normal 63 3 2 9 4" xfId="37752"/>
    <cellStyle name="Normal 63 3 2 9 4 2" xfId="37753"/>
    <cellStyle name="Normal 63 3 2 9 4 3" xfId="37754"/>
    <cellStyle name="Normal 63 3 2 9 4 4" xfId="37755"/>
    <cellStyle name="Normal 63 3 2 9 4 5" xfId="37756"/>
    <cellStyle name="Normal 63 3 2 9 4 6" xfId="37757"/>
    <cellStyle name="Normal 63 3 20" xfId="37758"/>
    <cellStyle name="Normal 63 3 20 2" xfId="37759"/>
    <cellStyle name="Normal 63 3 20 3" xfId="37760"/>
    <cellStyle name="Normal 63 3 20 4" xfId="37761"/>
    <cellStyle name="Normal 63 3 20 5" xfId="37762"/>
    <cellStyle name="Normal 63 3 20 6" xfId="37763"/>
    <cellStyle name="Normal 63 3 21" xfId="37764"/>
    <cellStyle name="Normal 63 3 21 2" xfId="37765"/>
    <cellStyle name="Normal 63 3 21 3" xfId="37766"/>
    <cellStyle name="Normal 63 3 21 4" xfId="37767"/>
    <cellStyle name="Normal 63 3 21 5" xfId="37768"/>
    <cellStyle name="Normal 63 3 21 6" xfId="37769"/>
    <cellStyle name="Normal 63 3 22" xfId="37770"/>
    <cellStyle name="Normal 63 3 22 2" xfId="37771"/>
    <cellStyle name="Normal 63 3 22 3" xfId="37772"/>
    <cellStyle name="Normal 63 3 22 4" xfId="37773"/>
    <cellStyle name="Normal 63 3 22 5" xfId="37774"/>
    <cellStyle name="Normal 63 3 22 6" xfId="37775"/>
    <cellStyle name="Normal 63 3 3" xfId="37776"/>
    <cellStyle name="Normal 63 3 3 10" xfId="37777"/>
    <cellStyle name="Normal 63 3 3 10 2" xfId="37778"/>
    <cellStyle name="Normal 63 3 3 10 2 2" xfId="37779"/>
    <cellStyle name="Normal 63 3 3 10 2 3" xfId="37780"/>
    <cellStyle name="Normal 63 3 3 10 2 4" xfId="37781"/>
    <cellStyle name="Normal 63 3 3 10 2 5" xfId="37782"/>
    <cellStyle name="Normal 63 3 3 10 2 6" xfId="37783"/>
    <cellStyle name="Normal 63 3 3 10 3" xfId="37784"/>
    <cellStyle name="Normal 63 3 3 10 3 2" xfId="37785"/>
    <cellStyle name="Normal 63 3 3 10 3 3" xfId="37786"/>
    <cellStyle name="Normal 63 3 3 10 3 4" xfId="37787"/>
    <cellStyle name="Normal 63 3 3 10 3 5" xfId="37788"/>
    <cellStyle name="Normal 63 3 3 10 3 6" xfId="37789"/>
    <cellStyle name="Normal 63 3 3 10 4" xfId="37790"/>
    <cellStyle name="Normal 63 3 3 10 4 2" xfId="37791"/>
    <cellStyle name="Normal 63 3 3 10 4 3" xfId="37792"/>
    <cellStyle name="Normal 63 3 3 10 4 4" xfId="37793"/>
    <cellStyle name="Normal 63 3 3 10 4 5" xfId="37794"/>
    <cellStyle name="Normal 63 3 3 10 4 6" xfId="37795"/>
    <cellStyle name="Normal 63 3 3 11" xfId="37796"/>
    <cellStyle name="Normal 63 3 3 11 2" xfId="37797"/>
    <cellStyle name="Normal 63 3 3 11 2 2" xfId="37798"/>
    <cellStyle name="Normal 63 3 3 11 2 3" xfId="37799"/>
    <cellStyle name="Normal 63 3 3 11 2 4" xfId="37800"/>
    <cellStyle name="Normal 63 3 3 11 2 5" xfId="37801"/>
    <cellStyle name="Normal 63 3 3 11 2 6" xfId="37802"/>
    <cellStyle name="Normal 63 3 3 11 3" xfId="37803"/>
    <cellStyle name="Normal 63 3 3 11 3 2" xfId="37804"/>
    <cellStyle name="Normal 63 3 3 11 3 3" xfId="37805"/>
    <cellStyle name="Normal 63 3 3 11 3 4" xfId="37806"/>
    <cellStyle name="Normal 63 3 3 11 3 5" xfId="37807"/>
    <cellStyle name="Normal 63 3 3 11 3 6" xfId="37808"/>
    <cellStyle name="Normal 63 3 3 11 4" xfId="37809"/>
    <cellStyle name="Normal 63 3 3 11 4 2" xfId="37810"/>
    <cellStyle name="Normal 63 3 3 11 4 3" xfId="37811"/>
    <cellStyle name="Normal 63 3 3 11 4 4" xfId="37812"/>
    <cellStyle name="Normal 63 3 3 11 4 5" xfId="37813"/>
    <cellStyle name="Normal 63 3 3 11 4 6" xfId="37814"/>
    <cellStyle name="Normal 63 3 3 12" xfId="37815"/>
    <cellStyle name="Normal 63 3 3 12 2" xfId="37816"/>
    <cellStyle name="Normal 63 3 3 12 2 2" xfId="37817"/>
    <cellStyle name="Normal 63 3 3 12 2 3" xfId="37818"/>
    <cellStyle name="Normal 63 3 3 12 2 4" xfId="37819"/>
    <cellStyle name="Normal 63 3 3 12 2 5" xfId="37820"/>
    <cellStyle name="Normal 63 3 3 12 2 6" xfId="37821"/>
    <cellStyle name="Normal 63 3 3 12 3" xfId="37822"/>
    <cellStyle name="Normal 63 3 3 12 3 2" xfId="37823"/>
    <cellStyle name="Normal 63 3 3 12 3 3" xfId="37824"/>
    <cellStyle name="Normal 63 3 3 12 3 4" xfId="37825"/>
    <cellStyle name="Normal 63 3 3 12 3 5" xfId="37826"/>
    <cellStyle name="Normal 63 3 3 12 3 6" xfId="37827"/>
    <cellStyle name="Normal 63 3 3 12 4" xfId="37828"/>
    <cellStyle name="Normal 63 3 3 12 4 2" xfId="37829"/>
    <cellStyle name="Normal 63 3 3 12 4 3" xfId="37830"/>
    <cellStyle name="Normal 63 3 3 12 4 4" xfId="37831"/>
    <cellStyle name="Normal 63 3 3 12 4 5" xfId="37832"/>
    <cellStyle name="Normal 63 3 3 12 4 6" xfId="37833"/>
    <cellStyle name="Normal 63 3 3 13" xfId="37834"/>
    <cellStyle name="Normal 63 3 3 13 2" xfId="37835"/>
    <cellStyle name="Normal 63 3 3 13 2 2" xfId="37836"/>
    <cellStyle name="Normal 63 3 3 13 2 3" xfId="37837"/>
    <cellStyle name="Normal 63 3 3 13 2 4" xfId="37838"/>
    <cellStyle name="Normal 63 3 3 13 2 5" xfId="37839"/>
    <cellStyle name="Normal 63 3 3 13 2 6" xfId="37840"/>
    <cellStyle name="Normal 63 3 3 13 3" xfId="37841"/>
    <cellStyle name="Normal 63 3 3 13 3 2" xfId="37842"/>
    <cellStyle name="Normal 63 3 3 13 3 3" xfId="37843"/>
    <cellStyle name="Normal 63 3 3 13 3 4" xfId="37844"/>
    <cellStyle name="Normal 63 3 3 13 3 5" xfId="37845"/>
    <cellStyle name="Normal 63 3 3 13 3 6" xfId="37846"/>
    <cellStyle name="Normal 63 3 3 13 4" xfId="37847"/>
    <cellStyle name="Normal 63 3 3 13 4 2" xfId="37848"/>
    <cellStyle name="Normal 63 3 3 13 4 3" xfId="37849"/>
    <cellStyle name="Normal 63 3 3 13 4 4" xfId="37850"/>
    <cellStyle name="Normal 63 3 3 13 4 5" xfId="37851"/>
    <cellStyle name="Normal 63 3 3 13 4 6" xfId="37852"/>
    <cellStyle name="Normal 63 3 3 14" xfId="37853"/>
    <cellStyle name="Normal 63 3 3 14 2" xfId="37854"/>
    <cellStyle name="Normal 63 3 3 14 2 2" xfId="37855"/>
    <cellStyle name="Normal 63 3 3 14 2 3" xfId="37856"/>
    <cellStyle name="Normal 63 3 3 14 2 4" xfId="37857"/>
    <cellStyle name="Normal 63 3 3 14 2 5" xfId="37858"/>
    <cellStyle name="Normal 63 3 3 14 2 6" xfId="37859"/>
    <cellStyle name="Normal 63 3 3 14 3" xfId="37860"/>
    <cellStyle name="Normal 63 3 3 14 3 2" xfId="37861"/>
    <cellStyle name="Normal 63 3 3 14 3 3" xfId="37862"/>
    <cellStyle name="Normal 63 3 3 14 3 4" xfId="37863"/>
    <cellStyle name="Normal 63 3 3 14 3 5" xfId="37864"/>
    <cellStyle name="Normal 63 3 3 14 3 6" xfId="37865"/>
    <cellStyle name="Normal 63 3 3 14 4" xfId="37866"/>
    <cellStyle name="Normal 63 3 3 14 4 2" xfId="37867"/>
    <cellStyle name="Normal 63 3 3 14 4 3" xfId="37868"/>
    <cellStyle name="Normal 63 3 3 14 4 4" xfId="37869"/>
    <cellStyle name="Normal 63 3 3 14 4 5" xfId="37870"/>
    <cellStyle name="Normal 63 3 3 14 4 6" xfId="37871"/>
    <cellStyle name="Normal 63 3 3 15" xfId="37872"/>
    <cellStyle name="Normal 63 3 3 15 2" xfId="37873"/>
    <cellStyle name="Normal 63 3 3 15 2 2" xfId="37874"/>
    <cellStyle name="Normal 63 3 3 15 2 3" xfId="37875"/>
    <cellStyle name="Normal 63 3 3 15 2 4" xfId="37876"/>
    <cellStyle name="Normal 63 3 3 15 2 5" xfId="37877"/>
    <cellStyle name="Normal 63 3 3 15 2 6" xfId="37878"/>
    <cellStyle name="Normal 63 3 3 15 3" xfId="37879"/>
    <cellStyle name="Normal 63 3 3 15 3 2" xfId="37880"/>
    <cellStyle name="Normal 63 3 3 15 3 3" xfId="37881"/>
    <cellStyle name="Normal 63 3 3 15 3 4" xfId="37882"/>
    <cellStyle name="Normal 63 3 3 15 3 5" xfId="37883"/>
    <cellStyle name="Normal 63 3 3 15 3 6" xfId="37884"/>
    <cellStyle name="Normal 63 3 3 15 4" xfId="37885"/>
    <cellStyle name="Normal 63 3 3 15 4 2" xfId="37886"/>
    <cellStyle name="Normal 63 3 3 15 4 3" xfId="37887"/>
    <cellStyle name="Normal 63 3 3 15 4 4" xfId="37888"/>
    <cellStyle name="Normal 63 3 3 15 4 5" xfId="37889"/>
    <cellStyle name="Normal 63 3 3 15 4 6" xfId="37890"/>
    <cellStyle name="Normal 63 3 3 16" xfId="37891"/>
    <cellStyle name="Normal 63 3 3 16 2" xfId="37892"/>
    <cellStyle name="Normal 63 3 3 16 2 2" xfId="37893"/>
    <cellStyle name="Normal 63 3 3 16 2 3" xfId="37894"/>
    <cellStyle name="Normal 63 3 3 16 2 4" xfId="37895"/>
    <cellStyle name="Normal 63 3 3 16 2 5" xfId="37896"/>
    <cellStyle name="Normal 63 3 3 16 2 6" xfId="37897"/>
    <cellStyle name="Normal 63 3 3 16 3" xfId="37898"/>
    <cellStyle name="Normal 63 3 3 16 3 2" xfId="37899"/>
    <cellStyle name="Normal 63 3 3 16 3 3" xfId="37900"/>
    <cellStyle name="Normal 63 3 3 16 3 4" xfId="37901"/>
    <cellStyle name="Normal 63 3 3 16 3 5" xfId="37902"/>
    <cellStyle name="Normal 63 3 3 16 3 6" xfId="37903"/>
    <cellStyle name="Normal 63 3 3 16 4" xfId="37904"/>
    <cellStyle name="Normal 63 3 3 16 4 2" xfId="37905"/>
    <cellStyle name="Normal 63 3 3 16 4 3" xfId="37906"/>
    <cellStyle name="Normal 63 3 3 16 4 4" xfId="37907"/>
    <cellStyle name="Normal 63 3 3 16 4 5" xfId="37908"/>
    <cellStyle name="Normal 63 3 3 16 4 6" xfId="37909"/>
    <cellStyle name="Normal 63 3 3 17" xfId="37910"/>
    <cellStyle name="Normal 63 3 3 17 2" xfId="37911"/>
    <cellStyle name="Normal 63 3 3 17 3" xfId="37912"/>
    <cellStyle name="Normal 63 3 3 17 4" xfId="37913"/>
    <cellStyle name="Normal 63 3 3 17 5" xfId="37914"/>
    <cellStyle name="Normal 63 3 3 17 6" xfId="37915"/>
    <cellStyle name="Normal 63 3 3 18" xfId="37916"/>
    <cellStyle name="Normal 63 3 3 18 2" xfId="37917"/>
    <cellStyle name="Normal 63 3 3 18 3" xfId="37918"/>
    <cellStyle name="Normal 63 3 3 18 4" xfId="37919"/>
    <cellStyle name="Normal 63 3 3 18 5" xfId="37920"/>
    <cellStyle name="Normal 63 3 3 18 6" xfId="37921"/>
    <cellStyle name="Normal 63 3 3 19" xfId="37922"/>
    <cellStyle name="Normal 63 3 3 19 2" xfId="37923"/>
    <cellStyle name="Normal 63 3 3 19 3" xfId="37924"/>
    <cellStyle name="Normal 63 3 3 19 4" xfId="37925"/>
    <cellStyle name="Normal 63 3 3 19 5" xfId="37926"/>
    <cellStyle name="Normal 63 3 3 19 6" xfId="37927"/>
    <cellStyle name="Normal 63 3 3 2" xfId="37928"/>
    <cellStyle name="Normal 63 3 3 2 2" xfId="37929"/>
    <cellStyle name="Normal 63 3 3 2 2 2" xfId="37930"/>
    <cellStyle name="Normal 63 3 3 2 2 3" xfId="37931"/>
    <cellStyle name="Normal 63 3 3 2 2 4" xfId="37932"/>
    <cellStyle name="Normal 63 3 3 2 2 5" xfId="37933"/>
    <cellStyle name="Normal 63 3 3 2 2 6" xfId="37934"/>
    <cellStyle name="Normal 63 3 3 2 3" xfId="37935"/>
    <cellStyle name="Normal 63 3 3 2 3 2" xfId="37936"/>
    <cellStyle name="Normal 63 3 3 2 3 3" xfId="37937"/>
    <cellStyle name="Normal 63 3 3 2 3 4" xfId="37938"/>
    <cellStyle name="Normal 63 3 3 2 3 5" xfId="37939"/>
    <cellStyle name="Normal 63 3 3 2 3 6" xfId="37940"/>
    <cellStyle name="Normal 63 3 3 2 4" xfId="37941"/>
    <cellStyle name="Normal 63 3 3 2 4 2" xfId="37942"/>
    <cellStyle name="Normal 63 3 3 2 4 3" xfId="37943"/>
    <cellStyle name="Normal 63 3 3 2 4 4" xfId="37944"/>
    <cellStyle name="Normal 63 3 3 2 4 5" xfId="37945"/>
    <cellStyle name="Normal 63 3 3 2 4 6" xfId="37946"/>
    <cellStyle name="Normal 63 3 3 3" xfId="37947"/>
    <cellStyle name="Normal 63 3 3 3 2" xfId="37948"/>
    <cellStyle name="Normal 63 3 3 3 2 2" xfId="37949"/>
    <cellStyle name="Normal 63 3 3 3 2 3" xfId="37950"/>
    <cellStyle name="Normal 63 3 3 3 2 4" xfId="37951"/>
    <cellStyle name="Normal 63 3 3 3 2 5" xfId="37952"/>
    <cellStyle name="Normal 63 3 3 3 2 6" xfId="37953"/>
    <cellStyle name="Normal 63 3 3 3 3" xfId="37954"/>
    <cellStyle name="Normal 63 3 3 3 3 2" xfId="37955"/>
    <cellStyle name="Normal 63 3 3 3 3 3" xfId="37956"/>
    <cellStyle name="Normal 63 3 3 3 3 4" xfId="37957"/>
    <cellStyle name="Normal 63 3 3 3 3 5" xfId="37958"/>
    <cellStyle name="Normal 63 3 3 3 3 6" xfId="37959"/>
    <cellStyle name="Normal 63 3 3 3 4" xfId="37960"/>
    <cellStyle name="Normal 63 3 3 3 4 2" xfId="37961"/>
    <cellStyle name="Normal 63 3 3 3 4 3" xfId="37962"/>
    <cellStyle name="Normal 63 3 3 3 4 4" xfId="37963"/>
    <cellStyle name="Normal 63 3 3 3 4 5" xfId="37964"/>
    <cellStyle name="Normal 63 3 3 3 4 6" xfId="37965"/>
    <cellStyle name="Normal 63 3 3 4" xfId="37966"/>
    <cellStyle name="Normal 63 3 3 4 2" xfId="37967"/>
    <cellStyle name="Normal 63 3 3 4 2 2" xfId="37968"/>
    <cellStyle name="Normal 63 3 3 4 2 3" xfId="37969"/>
    <cellStyle name="Normal 63 3 3 4 2 4" xfId="37970"/>
    <cellStyle name="Normal 63 3 3 4 2 5" xfId="37971"/>
    <cellStyle name="Normal 63 3 3 4 2 6" xfId="37972"/>
    <cellStyle name="Normal 63 3 3 4 3" xfId="37973"/>
    <cellStyle name="Normal 63 3 3 4 3 2" xfId="37974"/>
    <cellStyle name="Normal 63 3 3 4 3 3" xfId="37975"/>
    <cellStyle name="Normal 63 3 3 4 3 4" xfId="37976"/>
    <cellStyle name="Normal 63 3 3 4 3 5" xfId="37977"/>
    <cellStyle name="Normal 63 3 3 4 3 6" xfId="37978"/>
    <cellStyle name="Normal 63 3 3 4 4" xfId="37979"/>
    <cellStyle name="Normal 63 3 3 4 4 2" xfId="37980"/>
    <cellStyle name="Normal 63 3 3 4 4 3" xfId="37981"/>
    <cellStyle name="Normal 63 3 3 4 4 4" xfId="37982"/>
    <cellStyle name="Normal 63 3 3 4 4 5" xfId="37983"/>
    <cellStyle name="Normal 63 3 3 4 4 6" xfId="37984"/>
    <cellStyle name="Normal 63 3 3 5" xfId="37985"/>
    <cellStyle name="Normal 63 3 3 5 2" xfId="37986"/>
    <cellStyle name="Normal 63 3 3 5 2 2" xfId="37987"/>
    <cellStyle name="Normal 63 3 3 5 2 3" xfId="37988"/>
    <cellStyle name="Normal 63 3 3 5 2 4" xfId="37989"/>
    <cellStyle name="Normal 63 3 3 5 2 5" xfId="37990"/>
    <cellStyle name="Normal 63 3 3 5 2 6" xfId="37991"/>
    <cellStyle name="Normal 63 3 3 5 3" xfId="37992"/>
    <cellStyle name="Normal 63 3 3 5 3 2" xfId="37993"/>
    <cellStyle name="Normal 63 3 3 5 3 3" xfId="37994"/>
    <cellStyle name="Normal 63 3 3 5 3 4" xfId="37995"/>
    <cellStyle name="Normal 63 3 3 5 3 5" xfId="37996"/>
    <cellStyle name="Normal 63 3 3 5 3 6" xfId="37997"/>
    <cellStyle name="Normal 63 3 3 5 4" xfId="37998"/>
    <cellStyle name="Normal 63 3 3 5 4 2" xfId="37999"/>
    <cellStyle name="Normal 63 3 3 5 4 3" xfId="38000"/>
    <cellStyle name="Normal 63 3 3 5 4 4" xfId="38001"/>
    <cellStyle name="Normal 63 3 3 5 4 5" xfId="38002"/>
    <cellStyle name="Normal 63 3 3 5 4 6" xfId="38003"/>
    <cellStyle name="Normal 63 3 3 6" xfId="38004"/>
    <cellStyle name="Normal 63 3 3 6 2" xfId="38005"/>
    <cellStyle name="Normal 63 3 3 6 2 2" xfId="38006"/>
    <cellStyle name="Normal 63 3 3 6 2 3" xfId="38007"/>
    <cellStyle name="Normal 63 3 3 6 2 4" xfId="38008"/>
    <cellStyle name="Normal 63 3 3 6 2 5" xfId="38009"/>
    <cellStyle name="Normal 63 3 3 6 2 6" xfId="38010"/>
    <cellStyle name="Normal 63 3 3 6 3" xfId="38011"/>
    <cellStyle name="Normal 63 3 3 6 3 2" xfId="38012"/>
    <cellStyle name="Normal 63 3 3 6 3 3" xfId="38013"/>
    <cellStyle name="Normal 63 3 3 6 3 4" xfId="38014"/>
    <cellStyle name="Normal 63 3 3 6 3 5" xfId="38015"/>
    <cellStyle name="Normal 63 3 3 6 3 6" xfId="38016"/>
    <cellStyle name="Normal 63 3 3 6 4" xfId="38017"/>
    <cellStyle name="Normal 63 3 3 6 4 2" xfId="38018"/>
    <cellStyle name="Normal 63 3 3 6 4 3" xfId="38019"/>
    <cellStyle name="Normal 63 3 3 6 4 4" xfId="38020"/>
    <cellStyle name="Normal 63 3 3 6 4 5" xfId="38021"/>
    <cellStyle name="Normal 63 3 3 6 4 6" xfId="38022"/>
    <cellStyle name="Normal 63 3 3 7" xfId="38023"/>
    <cellStyle name="Normal 63 3 3 7 2" xfId="38024"/>
    <cellStyle name="Normal 63 3 3 7 2 2" xfId="38025"/>
    <cellStyle name="Normal 63 3 3 7 2 3" xfId="38026"/>
    <cellStyle name="Normal 63 3 3 7 2 4" xfId="38027"/>
    <cellStyle name="Normal 63 3 3 7 2 5" xfId="38028"/>
    <cellStyle name="Normal 63 3 3 7 2 6" xfId="38029"/>
    <cellStyle name="Normal 63 3 3 7 3" xfId="38030"/>
    <cellStyle name="Normal 63 3 3 7 3 2" xfId="38031"/>
    <cellStyle name="Normal 63 3 3 7 3 3" xfId="38032"/>
    <cellStyle name="Normal 63 3 3 7 3 4" xfId="38033"/>
    <cellStyle name="Normal 63 3 3 7 3 5" xfId="38034"/>
    <cellStyle name="Normal 63 3 3 7 3 6" xfId="38035"/>
    <cellStyle name="Normal 63 3 3 7 4" xfId="38036"/>
    <cellStyle name="Normal 63 3 3 7 4 2" xfId="38037"/>
    <cellStyle name="Normal 63 3 3 7 4 3" xfId="38038"/>
    <cellStyle name="Normal 63 3 3 7 4 4" xfId="38039"/>
    <cellStyle name="Normal 63 3 3 7 4 5" xfId="38040"/>
    <cellStyle name="Normal 63 3 3 7 4 6" xfId="38041"/>
    <cellStyle name="Normal 63 3 3 8" xfId="38042"/>
    <cellStyle name="Normal 63 3 3 8 2" xfId="38043"/>
    <cellStyle name="Normal 63 3 3 8 2 2" xfId="38044"/>
    <cellStyle name="Normal 63 3 3 8 2 3" xfId="38045"/>
    <cellStyle name="Normal 63 3 3 8 2 4" xfId="38046"/>
    <cellStyle name="Normal 63 3 3 8 2 5" xfId="38047"/>
    <cellStyle name="Normal 63 3 3 8 2 6" xfId="38048"/>
    <cellStyle name="Normal 63 3 3 8 3" xfId="38049"/>
    <cellStyle name="Normal 63 3 3 8 3 2" xfId="38050"/>
    <cellStyle name="Normal 63 3 3 8 3 3" xfId="38051"/>
    <cellStyle name="Normal 63 3 3 8 3 4" xfId="38052"/>
    <cellStyle name="Normal 63 3 3 8 3 5" xfId="38053"/>
    <cellStyle name="Normal 63 3 3 8 3 6" xfId="38054"/>
    <cellStyle name="Normal 63 3 3 8 4" xfId="38055"/>
    <cellStyle name="Normal 63 3 3 8 4 2" xfId="38056"/>
    <cellStyle name="Normal 63 3 3 8 4 3" xfId="38057"/>
    <cellStyle name="Normal 63 3 3 8 4 4" xfId="38058"/>
    <cellStyle name="Normal 63 3 3 8 4 5" xfId="38059"/>
    <cellStyle name="Normal 63 3 3 8 4 6" xfId="38060"/>
    <cellStyle name="Normal 63 3 3 9" xfId="38061"/>
    <cellStyle name="Normal 63 3 3 9 2" xfId="38062"/>
    <cellStyle name="Normal 63 3 3 9 2 2" xfId="38063"/>
    <cellStyle name="Normal 63 3 3 9 2 3" xfId="38064"/>
    <cellStyle name="Normal 63 3 3 9 2 4" xfId="38065"/>
    <cellStyle name="Normal 63 3 3 9 2 5" xfId="38066"/>
    <cellStyle name="Normal 63 3 3 9 2 6" xfId="38067"/>
    <cellStyle name="Normal 63 3 3 9 3" xfId="38068"/>
    <cellStyle name="Normal 63 3 3 9 3 2" xfId="38069"/>
    <cellStyle name="Normal 63 3 3 9 3 3" xfId="38070"/>
    <cellStyle name="Normal 63 3 3 9 3 4" xfId="38071"/>
    <cellStyle name="Normal 63 3 3 9 3 5" xfId="38072"/>
    <cellStyle name="Normal 63 3 3 9 3 6" xfId="38073"/>
    <cellStyle name="Normal 63 3 3 9 4" xfId="38074"/>
    <cellStyle name="Normal 63 3 3 9 4 2" xfId="38075"/>
    <cellStyle name="Normal 63 3 3 9 4 3" xfId="38076"/>
    <cellStyle name="Normal 63 3 3 9 4 4" xfId="38077"/>
    <cellStyle name="Normal 63 3 3 9 4 5" xfId="38078"/>
    <cellStyle name="Normal 63 3 3 9 4 6" xfId="38079"/>
    <cellStyle name="Normal 63 3 4" xfId="38080"/>
    <cellStyle name="Normal 63 3 4 2" xfId="38081"/>
    <cellStyle name="Normal 63 3 4 2 2" xfId="38082"/>
    <cellStyle name="Normal 63 3 4 2 3" xfId="38083"/>
    <cellStyle name="Normal 63 3 4 2 4" xfId="38084"/>
    <cellStyle name="Normal 63 3 4 2 5" xfId="38085"/>
    <cellStyle name="Normal 63 3 4 2 6" xfId="38086"/>
    <cellStyle name="Normal 63 3 4 3" xfId="38087"/>
    <cellStyle name="Normal 63 3 4 3 2" xfId="38088"/>
    <cellStyle name="Normal 63 3 4 3 3" xfId="38089"/>
    <cellStyle name="Normal 63 3 4 3 4" xfId="38090"/>
    <cellStyle name="Normal 63 3 4 3 5" xfId="38091"/>
    <cellStyle name="Normal 63 3 4 3 6" xfId="38092"/>
    <cellStyle name="Normal 63 3 4 4" xfId="38093"/>
    <cellStyle name="Normal 63 3 4 4 2" xfId="38094"/>
    <cellStyle name="Normal 63 3 4 4 3" xfId="38095"/>
    <cellStyle name="Normal 63 3 4 4 4" xfId="38096"/>
    <cellStyle name="Normal 63 3 4 4 5" xfId="38097"/>
    <cellStyle name="Normal 63 3 4 4 6" xfId="38098"/>
    <cellStyle name="Normal 63 3 5" xfId="38099"/>
    <cellStyle name="Normal 63 3 5 2" xfId="38100"/>
    <cellStyle name="Normal 63 3 5 2 2" xfId="38101"/>
    <cellStyle name="Normal 63 3 5 2 3" xfId="38102"/>
    <cellStyle name="Normal 63 3 5 2 4" xfId="38103"/>
    <cellStyle name="Normal 63 3 5 2 5" xfId="38104"/>
    <cellStyle name="Normal 63 3 5 2 6" xfId="38105"/>
    <cellStyle name="Normal 63 3 5 3" xfId="38106"/>
    <cellStyle name="Normal 63 3 5 3 2" xfId="38107"/>
    <cellStyle name="Normal 63 3 5 3 3" xfId="38108"/>
    <cellStyle name="Normal 63 3 5 3 4" xfId="38109"/>
    <cellStyle name="Normal 63 3 5 3 5" xfId="38110"/>
    <cellStyle name="Normal 63 3 5 3 6" xfId="38111"/>
    <cellStyle name="Normal 63 3 5 4" xfId="38112"/>
    <cellStyle name="Normal 63 3 5 4 2" xfId="38113"/>
    <cellStyle name="Normal 63 3 5 4 3" xfId="38114"/>
    <cellStyle name="Normal 63 3 5 4 4" xfId="38115"/>
    <cellStyle name="Normal 63 3 5 4 5" xfId="38116"/>
    <cellStyle name="Normal 63 3 5 4 6" xfId="38117"/>
    <cellStyle name="Normal 63 3 6" xfId="38118"/>
    <cellStyle name="Normal 63 3 6 2" xfId="38119"/>
    <cellStyle name="Normal 63 3 6 2 2" xfId="38120"/>
    <cellStyle name="Normal 63 3 6 2 3" xfId="38121"/>
    <cellStyle name="Normal 63 3 6 2 4" xfId="38122"/>
    <cellStyle name="Normal 63 3 6 2 5" xfId="38123"/>
    <cellStyle name="Normal 63 3 6 2 6" xfId="38124"/>
    <cellStyle name="Normal 63 3 6 3" xfId="38125"/>
    <cellStyle name="Normal 63 3 6 3 2" xfId="38126"/>
    <cellStyle name="Normal 63 3 6 3 3" xfId="38127"/>
    <cellStyle name="Normal 63 3 6 3 4" xfId="38128"/>
    <cellStyle name="Normal 63 3 6 3 5" xfId="38129"/>
    <cellStyle name="Normal 63 3 6 3 6" xfId="38130"/>
    <cellStyle name="Normal 63 3 6 4" xfId="38131"/>
    <cellStyle name="Normal 63 3 6 4 2" xfId="38132"/>
    <cellStyle name="Normal 63 3 6 4 3" xfId="38133"/>
    <cellStyle name="Normal 63 3 6 4 4" xfId="38134"/>
    <cellStyle name="Normal 63 3 6 4 5" xfId="38135"/>
    <cellStyle name="Normal 63 3 6 4 6" xfId="38136"/>
    <cellStyle name="Normal 63 3 7" xfId="38137"/>
    <cellStyle name="Normal 63 3 7 2" xfId="38138"/>
    <cellStyle name="Normal 63 3 7 2 2" xfId="38139"/>
    <cellStyle name="Normal 63 3 7 2 3" xfId="38140"/>
    <cellStyle name="Normal 63 3 7 2 4" xfId="38141"/>
    <cellStyle name="Normal 63 3 7 2 5" xfId="38142"/>
    <cellStyle name="Normal 63 3 7 2 6" xfId="38143"/>
    <cellStyle name="Normal 63 3 7 3" xfId="38144"/>
    <cellStyle name="Normal 63 3 7 3 2" xfId="38145"/>
    <cellStyle name="Normal 63 3 7 3 3" xfId="38146"/>
    <cellStyle name="Normal 63 3 7 3 4" xfId="38147"/>
    <cellStyle name="Normal 63 3 7 3 5" xfId="38148"/>
    <cellStyle name="Normal 63 3 7 3 6" xfId="38149"/>
    <cellStyle name="Normal 63 3 7 4" xfId="38150"/>
    <cellStyle name="Normal 63 3 7 4 2" xfId="38151"/>
    <cellStyle name="Normal 63 3 7 4 3" xfId="38152"/>
    <cellStyle name="Normal 63 3 7 4 4" xfId="38153"/>
    <cellStyle name="Normal 63 3 7 4 5" xfId="38154"/>
    <cellStyle name="Normal 63 3 7 4 6" xfId="38155"/>
    <cellStyle name="Normal 63 3 8" xfId="38156"/>
    <cellStyle name="Normal 63 3 8 2" xfId="38157"/>
    <cellStyle name="Normal 63 3 8 2 2" xfId="38158"/>
    <cellStyle name="Normal 63 3 8 2 3" xfId="38159"/>
    <cellStyle name="Normal 63 3 8 2 4" xfId="38160"/>
    <cellStyle name="Normal 63 3 8 2 5" xfId="38161"/>
    <cellStyle name="Normal 63 3 8 2 6" xfId="38162"/>
    <cellStyle name="Normal 63 3 8 3" xfId="38163"/>
    <cellStyle name="Normal 63 3 8 3 2" xfId="38164"/>
    <cellStyle name="Normal 63 3 8 3 3" xfId="38165"/>
    <cellStyle name="Normal 63 3 8 3 4" xfId="38166"/>
    <cellStyle name="Normal 63 3 8 3 5" xfId="38167"/>
    <cellStyle name="Normal 63 3 8 3 6" xfId="38168"/>
    <cellStyle name="Normal 63 3 8 4" xfId="38169"/>
    <cellStyle name="Normal 63 3 8 4 2" xfId="38170"/>
    <cellStyle name="Normal 63 3 8 4 3" xfId="38171"/>
    <cellStyle name="Normal 63 3 8 4 4" xfId="38172"/>
    <cellStyle name="Normal 63 3 8 4 5" xfId="38173"/>
    <cellStyle name="Normal 63 3 8 4 6" xfId="38174"/>
    <cellStyle name="Normal 63 3 9" xfId="38175"/>
    <cellStyle name="Normal 63 3 9 2" xfId="38176"/>
    <cellStyle name="Normal 63 3 9 2 2" xfId="38177"/>
    <cellStyle name="Normal 63 3 9 2 3" xfId="38178"/>
    <cellStyle name="Normal 63 3 9 2 4" xfId="38179"/>
    <cellStyle name="Normal 63 3 9 2 5" xfId="38180"/>
    <cellStyle name="Normal 63 3 9 2 6" xfId="38181"/>
    <cellStyle name="Normal 63 3 9 3" xfId="38182"/>
    <cellStyle name="Normal 63 3 9 3 2" xfId="38183"/>
    <cellStyle name="Normal 63 3 9 3 3" xfId="38184"/>
    <cellStyle name="Normal 63 3 9 3 4" xfId="38185"/>
    <cellStyle name="Normal 63 3 9 3 5" xfId="38186"/>
    <cellStyle name="Normal 63 3 9 3 6" xfId="38187"/>
    <cellStyle name="Normal 63 3 9 4" xfId="38188"/>
    <cellStyle name="Normal 63 3 9 4 2" xfId="38189"/>
    <cellStyle name="Normal 63 3 9 4 3" xfId="38190"/>
    <cellStyle name="Normal 63 3 9 4 4" xfId="38191"/>
    <cellStyle name="Normal 63 3 9 4 5" xfId="38192"/>
    <cellStyle name="Normal 63 3 9 4 6" xfId="38193"/>
    <cellStyle name="Normal 63 4" xfId="38194"/>
    <cellStyle name="Normal 63 4 2" xfId="38195"/>
    <cellStyle name="Normal 63 4 2 2" xfId="38196"/>
    <cellStyle name="Normal 63 4 2 3" xfId="38197"/>
    <cellStyle name="Normal 63 4 2 4" xfId="38198"/>
    <cellStyle name="Normal 63 4 2 5" xfId="38199"/>
    <cellStyle name="Normal 63 4 2 6" xfId="38200"/>
    <cellStyle name="Normal 63 4 3" xfId="38201"/>
    <cellStyle name="Normal 63 4 3 2" xfId="38202"/>
    <cellStyle name="Normal 63 4 3 3" xfId="38203"/>
    <cellStyle name="Normal 63 4 3 4" xfId="38204"/>
    <cellStyle name="Normal 63 4 3 5" xfId="38205"/>
    <cellStyle name="Normal 63 4 3 6" xfId="38206"/>
    <cellStyle name="Normal 63 4 4" xfId="38207"/>
    <cellStyle name="Normal 63 4 4 2" xfId="38208"/>
    <cellStyle name="Normal 63 4 4 3" xfId="38209"/>
    <cellStyle name="Normal 63 4 4 4" xfId="38210"/>
    <cellStyle name="Normal 63 4 4 5" xfId="38211"/>
    <cellStyle name="Normal 63 4 4 6" xfId="38212"/>
    <cellStyle name="Normal 63 5" xfId="38213"/>
    <cellStyle name="Normal 63 5 2" xfId="38214"/>
    <cellStyle name="Normal 63 5 2 2" xfId="38215"/>
    <cellStyle name="Normal 63 5 2 3" xfId="38216"/>
    <cellStyle name="Normal 63 5 2 4" xfId="38217"/>
    <cellStyle name="Normal 63 5 2 5" xfId="38218"/>
    <cellStyle name="Normal 63 5 2 6" xfId="38219"/>
    <cellStyle name="Normal 63 5 3" xfId="38220"/>
    <cellStyle name="Normal 63 5 3 2" xfId="38221"/>
    <cellStyle name="Normal 63 5 3 3" xfId="38222"/>
    <cellStyle name="Normal 63 5 3 4" xfId="38223"/>
    <cellStyle name="Normal 63 5 3 5" xfId="38224"/>
    <cellStyle name="Normal 63 5 3 6" xfId="38225"/>
    <cellStyle name="Normal 63 5 4" xfId="38226"/>
    <cellStyle name="Normal 63 5 4 2" xfId="38227"/>
    <cellStyle name="Normal 63 5 4 3" xfId="38228"/>
    <cellStyle name="Normal 63 5 4 4" xfId="38229"/>
    <cellStyle name="Normal 63 5 4 5" xfId="38230"/>
    <cellStyle name="Normal 63 5 4 6" xfId="38231"/>
    <cellStyle name="Normal 63 6" xfId="38232"/>
    <cellStyle name="Normal 63 6 2" xfId="38233"/>
    <cellStyle name="Normal 63 6 2 2" xfId="38234"/>
    <cellStyle name="Normal 63 6 2 3" xfId="38235"/>
    <cellStyle name="Normal 63 6 2 4" xfId="38236"/>
    <cellStyle name="Normal 63 6 2 5" xfId="38237"/>
    <cellStyle name="Normal 63 6 2 6" xfId="38238"/>
    <cellStyle name="Normal 63 6 3" xfId="38239"/>
    <cellStyle name="Normal 63 6 3 2" xfId="38240"/>
    <cellStyle name="Normal 63 6 3 3" xfId="38241"/>
    <cellStyle name="Normal 63 6 3 4" xfId="38242"/>
    <cellStyle name="Normal 63 6 3 5" xfId="38243"/>
    <cellStyle name="Normal 63 6 3 6" xfId="38244"/>
    <cellStyle name="Normal 63 6 4" xfId="38245"/>
    <cellStyle name="Normal 63 6 4 2" xfId="38246"/>
    <cellStyle name="Normal 63 6 4 3" xfId="38247"/>
    <cellStyle name="Normal 63 6 4 4" xfId="38248"/>
    <cellStyle name="Normal 63 6 4 5" xfId="38249"/>
    <cellStyle name="Normal 63 6 4 6" xfId="38250"/>
    <cellStyle name="Normal 63 7" xfId="38251"/>
    <cellStyle name="Normal 63 7 2" xfId="38252"/>
    <cellStyle name="Normal 63 7 2 2" xfId="38253"/>
    <cellStyle name="Normal 63 7 2 3" xfId="38254"/>
    <cellStyle name="Normal 63 7 2 4" xfId="38255"/>
    <cellStyle name="Normal 63 7 2 5" xfId="38256"/>
    <cellStyle name="Normal 63 7 2 6" xfId="38257"/>
    <cellStyle name="Normal 63 7 3" xfId="38258"/>
    <cellStyle name="Normal 63 7 3 2" xfId="38259"/>
    <cellStyle name="Normal 63 7 3 3" xfId="38260"/>
    <cellStyle name="Normal 63 7 3 4" xfId="38261"/>
    <cellStyle name="Normal 63 7 3 5" xfId="38262"/>
    <cellStyle name="Normal 63 7 3 6" xfId="38263"/>
    <cellStyle name="Normal 63 7 4" xfId="38264"/>
    <cellStyle name="Normal 63 7 4 2" xfId="38265"/>
    <cellStyle name="Normal 63 7 4 3" xfId="38266"/>
    <cellStyle name="Normal 63 7 4 4" xfId="38267"/>
    <cellStyle name="Normal 63 7 4 5" xfId="38268"/>
    <cellStyle name="Normal 63 7 4 6" xfId="38269"/>
    <cellStyle name="Normal 63 8" xfId="38270"/>
    <cellStyle name="Normal 63 9" xfId="38271"/>
    <cellStyle name="Normal 63 9 2" xfId="38272"/>
    <cellStyle name="Normal 63 9 3" xfId="38273"/>
    <cellStyle name="Normal 63 9 4" xfId="38274"/>
    <cellStyle name="Normal 63 9 5" xfId="38275"/>
    <cellStyle name="Normal 63 9 6" xfId="38276"/>
    <cellStyle name="Normal 64" xfId="38277"/>
    <cellStyle name="Normal 64 10" xfId="38278"/>
    <cellStyle name="Normal 64 10 2" xfId="38279"/>
    <cellStyle name="Normal 64 10 3" xfId="38280"/>
    <cellStyle name="Normal 64 10 4" xfId="38281"/>
    <cellStyle name="Normal 64 10 5" xfId="38282"/>
    <cellStyle name="Normal 64 10 6" xfId="38283"/>
    <cellStyle name="Normal 64 2" xfId="38284"/>
    <cellStyle name="Normal 64 2 2" xfId="38285"/>
    <cellStyle name="Normal 64 2 2 2" xfId="38286"/>
    <cellStyle name="Normal 64 2 2 3" xfId="38287"/>
    <cellStyle name="Normal 64 2 2 4" xfId="38288"/>
    <cellStyle name="Normal 64 2 2 5" xfId="38289"/>
    <cellStyle name="Normal 64 2 2 6" xfId="38290"/>
    <cellStyle name="Normal 64 2 3" xfId="38291"/>
    <cellStyle name="Normal 64 2 3 2" xfId="38292"/>
    <cellStyle name="Normal 64 2 3 3" xfId="38293"/>
    <cellStyle name="Normal 64 2 3 4" xfId="38294"/>
    <cellStyle name="Normal 64 2 3 5" xfId="38295"/>
    <cellStyle name="Normal 64 2 3 6" xfId="38296"/>
    <cellStyle name="Normal 64 2 4" xfId="38297"/>
    <cellStyle name="Normal 64 2 4 2" xfId="38298"/>
    <cellStyle name="Normal 64 2 4 3" xfId="38299"/>
    <cellStyle name="Normal 64 2 4 4" xfId="38300"/>
    <cellStyle name="Normal 64 2 4 5" xfId="38301"/>
    <cellStyle name="Normal 64 2 4 6" xfId="38302"/>
    <cellStyle name="Normal 64 3" xfId="38303"/>
    <cellStyle name="Normal 64 3 10" xfId="38304"/>
    <cellStyle name="Normal 64 3 10 2" xfId="38305"/>
    <cellStyle name="Normal 64 3 10 2 2" xfId="38306"/>
    <cellStyle name="Normal 64 3 10 2 3" xfId="38307"/>
    <cellStyle name="Normal 64 3 10 2 4" xfId="38308"/>
    <cellStyle name="Normal 64 3 10 2 5" xfId="38309"/>
    <cellStyle name="Normal 64 3 10 2 6" xfId="38310"/>
    <cellStyle name="Normal 64 3 10 3" xfId="38311"/>
    <cellStyle name="Normal 64 3 10 3 2" xfId="38312"/>
    <cellStyle name="Normal 64 3 10 3 3" xfId="38313"/>
    <cellStyle name="Normal 64 3 10 3 4" xfId="38314"/>
    <cellStyle name="Normal 64 3 10 3 5" xfId="38315"/>
    <cellStyle name="Normal 64 3 10 3 6" xfId="38316"/>
    <cellStyle name="Normal 64 3 10 4" xfId="38317"/>
    <cellStyle name="Normal 64 3 10 4 2" xfId="38318"/>
    <cellStyle name="Normal 64 3 10 4 3" xfId="38319"/>
    <cellStyle name="Normal 64 3 10 4 4" xfId="38320"/>
    <cellStyle name="Normal 64 3 10 4 5" xfId="38321"/>
    <cellStyle name="Normal 64 3 10 4 6" xfId="38322"/>
    <cellStyle name="Normal 64 3 11" xfId="38323"/>
    <cellStyle name="Normal 64 3 11 2" xfId="38324"/>
    <cellStyle name="Normal 64 3 11 2 2" xfId="38325"/>
    <cellStyle name="Normal 64 3 11 2 3" xfId="38326"/>
    <cellStyle name="Normal 64 3 11 2 4" xfId="38327"/>
    <cellStyle name="Normal 64 3 11 2 5" xfId="38328"/>
    <cellStyle name="Normal 64 3 11 2 6" xfId="38329"/>
    <cellStyle name="Normal 64 3 11 3" xfId="38330"/>
    <cellStyle name="Normal 64 3 11 3 2" xfId="38331"/>
    <cellStyle name="Normal 64 3 11 3 3" xfId="38332"/>
    <cellStyle name="Normal 64 3 11 3 4" xfId="38333"/>
    <cellStyle name="Normal 64 3 11 3 5" xfId="38334"/>
    <cellStyle name="Normal 64 3 11 3 6" xfId="38335"/>
    <cellStyle name="Normal 64 3 11 4" xfId="38336"/>
    <cellStyle name="Normal 64 3 11 4 2" xfId="38337"/>
    <cellStyle name="Normal 64 3 11 4 3" xfId="38338"/>
    <cellStyle name="Normal 64 3 11 4 4" xfId="38339"/>
    <cellStyle name="Normal 64 3 11 4 5" xfId="38340"/>
    <cellStyle name="Normal 64 3 11 4 6" xfId="38341"/>
    <cellStyle name="Normal 64 3 12" xfId="38342"/>
    <cellStyle name="Normal 64 3 12 2" xfId="38343"/>
    <cellStyle name="Normal 64 3 12 2 2" xfId="38344"/>
    <cellStyle name="Normal 64 3 12 2 3" xfId="38345"/>
    <cellStyle name="Normal 64 3 12 2 4" xfId="38346"/>
    <cellStyle name="Normal 64 3 12 2 5" xfId="38347"/>
    <cellStyle name="Normal 64 3 12 2 6" xfId="38348"/>
    <cellStyle name="Normal 64 3 12 3" xfId="38349"/>
    <cellStyle name="Normal 64 3 12 3 2" xfId="38350"/>
    <cellStyle name="Normal 64 3 12 3 3" xfId="38351"/>
    <cellStyle name="Normal 64 3 12 3 4" xfId="38352"/>
    <cellStyle name="Normal 64 3 12 3 5" xfId="38353"/>
    <cellStyle name="Normal 64 3 12 3 6" xfId="38354"/>
    <cellStyle name="Normal 64 3 12 4" xfId="38355"/>
    <cellStyle name="Normal 64 3 12 4 2" xfId="38356"/>
    <cellStyle name="Normal 64 3 12 4 3" xfId="38357"/>
    <cellStyle name="Normal 64 3 12 4 4" xfId="38358"/>
    <cellStyle name="Normal 64 3 12 4 5" xfId="38359"/>
    <cellStyle name="Normal 64 3 12 4 6" xfId="38360"/>
    <cellStyle name="Normal 64 3 13" xfId="38361"/>
    <cellStyle name="Normal 64 3 13 2" xfId="38362"/>
    <cellStyle name="Normal 64 3 13 2 2" xfId="38363"/>
    <cellStyle name="Normal 64 3 13 2 3" xfId="38364"/>
    <cellStyle name="Normal 64 3 13 2 4" xfId="38365"/>
    <cellStyle name="Normal 64 3 13 2 5" xfId="38366"/>
    <cellStyle name="Normal 64 3 13 2 6" xfId="38367"/>
    <cellStyle name="Normal 64 3 13 3" xfId="38368"/>
    <cellStyle name="Normal 64 3 13 3 2" xfId="38369"/>
    <cellStyle name="Normal 64 3 13 3 3" xfId="38370"/>
    <cellStyle name="Normal 64 3 13 3 4" xfId="38371"/>
    <cellStyle name="Normal 64 3 13 3 5" xfId="38372"/>
    <cellStyle name="Normal 64 3 13 3 6" xfId="38373"/>
    <cellStyle name="Normal 64 3 13 4" xfId="38374"/>
    <cellStyle name="Normal 64 3 13 4 2" xfId="38375"/>
    <cellStyle name="Normal 64 3 13 4 3" xfId="38376"/>
    <cellStyle name="Normal 64 3 13 4 4" xfId="38377"/>
    <cellStyle name="Normal 64 3 13 4 5" xfId="38378"/>
    <cellStyle name="Normal 64 3 13 4 6" xfId="38379"/>
    <cellStyle name="Normal 64 3 14" xfId="38380"/>
    <cellStyle name="Normal 64 3 14 2" xfId="38381"/>
    <cellStyle name="Normal 64 3 14 2 2" xfId="38382"/>
    <cellStyle name="Normal 64 3 14 2 3" xfId="38383"/>
    <cellStyle name="Normal 64 3 14 2 4" xfId="38384"/>
    <cellStyle name="Normal 64 3 14 2 5" xfId="38385"/>
    <cellStyle name="Normal 64 3 14 2 6" xfId="38386"/>
    <cellStyle name="Normal 64 3 14 3" xfId="38387"/>
    <cellStyle name="Normal 64 3 14 3 2" xfId="38388"/>
    <cellStyle name="Normal 64 3 14 3 3" xfId="38389"/>
    <cellStyle name="Normal 64 3 14 3 4" xfId="38390"/>
    <cellStyle name="Normal 64 3 14 3 5" xfId="38391"/>
    <cellStyle name="Normal 64 3 14 3 6" xfId="38392"/>
    <cellStyle name="Normal 64 3 14 4" xfId="38393"/>
    <cellStyle name="Normal 64 3 14 4 2" xfId="38394"/>
    <cellStyle name="Normal 64 3 14 4 3" xfId="38395"/>
    <cellStyle name="Normal 64 3 14 4 4" xfId="38396"/>
    <cellStyle name="Normal 64 3 14 4 5" xfId="38397"/>
    <cellStyle name="Normal 64 3 14 4 6" xfId="38398"/>
    <cellStyle name="Normal 64 3 15" xfId="38399"/>
    <cellStyle name="Normal 64 3 15 2" xfId="38400"/>
    <cellStyle name="Normal 64 3 15 2 2" xfId="38401"/>
    <cellStyle name="Normal 64 3 15 2 3" xfId="38402"/>
    <cellStyle name="Normal 64 3 15 2 4" xfId="38403"/>
    <cellStyle name="Normal 64 3 15 2 5" xfId="38404"/>
    <cellStyle name="Normal 64 3 15 2 6" xfId="38405"/>
    <cellStyle name="Normal 64 3 15 3" xfId="38406"/>
    <cellStyle name="Normal 64 3 15 3 2" xfId="38407"/>
    <cellStyle name="Normal 64 3 15 3 3" xfId="38408"/>
    <cellStyle name="Normal 64 3 15 3 4" xfId="38409"/>
    <cellStyle name="Normal 64 3 15 3 5" xfId="38410"/>
    <cellStyle name="Normal 64 3 15 3 6" xfId="38411"/>
    <cellStyle name="Normal 64 3 15 4" xfId="38412"/>
    <cellStyle name="Normal 64 3 15 4 2" xfId="38413"/>
    <cellStyle name="Normal 64 3 15 4 3" xfId="38414"/>
    <cellStyle name="Normal 64 3 15 4 4" xfId="38415"/>
    <cellStyle name="Normal 64 3 15 4 5" xfId="38416"/>
    <cellStyle name="Normal 64 3 15 4 6" xfId="38417"/>
    <cellStyle name="Normal 64 3 16" xfId="38418"/>
    <cellStyle name="Normal 64 3 16 2" xfId="38419"/>
    <cellStyle name="Normal 64 3 16 2 2" xfId="38420"/>
    <cellStyle name="Normal 64 3 16 2 3" xfId="38421"/>
    <cellStyle name="Normal 64 3 16 2 4" xfId="38422"/>
    <cellStyle name="Normal 64 3 16 2 5" xfId="38423"/>
    <cellStyle name="Normal 64 3 16 2 6" xfId="38424"/>
    <cellStyle name="Normal 64 3 16 3" xfId="38425"/>
    <cellStyle name="Normal 64 3 16 3 2" xfId="38426"/>
    <cellStyle name="Normal 64 3 16 3 3" xfId="38427"/>
    <cellStyle name="Normal 64 3 16 3 4" xfId="38428"/>
    <cellStyle name="Normal 64 3 16 3 5" xfId="38429"/>
    <cellStyle name="Normal 64 3 16 3 6" xfId="38430"/>
    <cellStyle name="Normal 64 3 16 4" xfId="38431"/>
    <cellStyle name="Normal 64 3 16 4 2" xfId="38432"/>
    <cellStyle name="Normal 64 3 16 4 3" xfId="38433"/>
    <cellStyle name="Normal 64 3 16 4 4" xfId="38434"/>
    <cellStyle name="Normal 64 3 16 4 5" xfId="38435"/>
    <cellStyle name="Normal 64 3 16 4 6" xfId="38436"/>
    <cellStyle name="Normal 64 3 17" xfId="38437"/>
    <cellStyle name="Normal 64 3 17 2" xfId="38438"/>
    <cellStyle name="Normal 64 3 17 2 2" xfId="38439"/>
    <cellStyle name="Normal 64 3 17 2 3" xfId="38440"/>
    <cellStyle name="Normal 64 3 17 2 4" xfId="38441"/>
    <cellStyle name="Normal 64 3 17 2 5" xfId="38442"/>
    <cellStyle name="Normal 64 3 17 2 6" xfId="38443"/>
    <cellStyle name="Normal 64 3 17 3" xfId="38444"/>
    <cellStyle name="Normal 64 3 17 3 2" xfId="38445"/>
    <cellStyle name="Normal 64 3 17 3 3" xfId="38446"/>
    <cellStyle name="Normal 64 3 17 3 4" xfId="38447"/>
    <cellStyle name="Normal 64 3 17 3 5" xfId="38448"/>
    <cellStyle name="Normal 64 3 17 3 6" xfId="38449"/>
    <cellStyle name="Normal 64 3 17 4" xfId="38450"/>
    <cellStyle name="Normal 64 3 17 4 2" xfId="38451"/>
    <cellStyle name="Normal 64 3 17 4 3" xfId="38452"/>
    <cellStyle name="Normal 64 3 17 4 4" xfId="38453"/>
    <cellStyle name="Normal 64 3 17 4 5" xfId="38454"/>
    <cellStyle name="Normal 64 3 17 4 6" xfId="38455"/>
    <cellStyle name="Normal 64 3 18" xfId="38456"/>
    <cellStyle name="Normal 64 3 18 2" xfId="38457"/>
    <cellStyle name="Normal 64 3 18 2 2" xfId="38458"/>
    <cellStyle name="Normal 64 3 18 2 3" xfId="38459"/>
    <cellStyle name="Normal 64 3 18 2 4" xfId="38460"/>
    <cellStyle name="Normal 64 3 18 2 5" xfId="38461"/>
    <cellStyle name="Normal 64 3 18 2 6" xfId="38462"/>
    <cellStyle name="Normal 64 3 18 3" xfId="38463"/>
    <cellStyle name="Normal 64 3 18 3 2" xfId="38464"/>
    <cellStyle name="Normal 64 3 18 3 3" xfId="38465"/>
    <cellStyle name="Normal 64 3 18 3 4" xfId="38466"/>
    <cellStyle name="Normal 64 3 18 3 5" xfId="38467"/>
    <cellStyle name="Normal 64 3 18 3 6" xfId="38468"/>
    <cellStyle name="Normal 64 3 18 4" xfId="38469"/>
    <cellStyle name="Normal 64 3 18 4 2" xfId="38470"/>
    <cellStyle name="Normal 64 3 18 4 3" xfId="38471"/>
    <cellStyle name="Normal 64 3 18 4 4" xfId="38472"/>
    <cellStyle name="Normal 64 3 18 4 5" xfId="38473"/>
    <cellStyle name="Normal 64 3 18 4 6" xfId="38474"/>
    <cellStyle name="Normal 64 3 19" xfId="38475"/>
    <cellStyle name="Normal 64 3 19 2" xfId="38476"/>
    <cellStyle name="Normal 64 3 19 2 2" xfId="38477"/>
    <cellStyle name="Normal 64 3 19 2 3" xfId="38478"/>
    <cellStyle name="Normal 64 3 19 2 4" xfId="38479"/>
    <cellStyle name="Normal 64 3 19 2 5" xfId="38480"/>
    <cellStyle name="Normal 64 3 19 2 6" xfId="38481"/>
    <cellStyle name="Normal 64 3 19 3" xfId="38482"/>
    <cellStyle name="Normal 64 3 19 3 2" xfId="38483"/>
    <cellStyle name="Normal 64 3 19 3 3" xfId="38484"/>
    <cellStyle name="Normal 64 3 19 3 4" xfId="38485"/>
    <cellStyle name="Normal 64 3 19 3 5" xfId="38486"/>
    <cellStyle name="Normal 64 3 19 3 6" xfId="38487"/>
    <cellStyle name="Normal 64 3 19 4" xfId="38488"/>
    <cellStyle name="Normal 64 3 19 4 2" xfId="38489"/>
    <cellStyle name="Normal 64 3 19 4 3" xfId="38490"/>
    <cellStyle name="Normal 64 3 19 4 4" xfId="38491"/>
    <cellStyle name="Normal 64 3 19 4 5" xfId="38492"/>
    <cellStyle name="Normal 64 3 19 4 6" xfId="38493"/>
    <cellStyle name="Normal 64 3 2" xfId="38494"/>
    <cellStyle name="Normal 64 3 2 10" xfId="38495"/>
    <cellStyle name="Normal 64 3 2 10 2" xfId="38496"/>
    <cellStyle name="Normal 64 3 2 10 2 2" xfId="38497"/>
    <cellStyle name="Normal 64 3 2 10 2 3" xfId="38498"/>
    <cellStyle name="Normal 64 3 2 10 2 4" xfId="38499"/>
    <cellStyle name="Normal 64 3 2 10 2 5" xfId="38500"/>
    <cellStyle name="Normal 64 3 2 10 2 6" xfId="38501"/>
    <cellStyle name="Normal 64 3 2 10 3" xfId="38502"/>
    <cellStyle name="Normal 64 3 2 10 3 2" xfId="38503"/>
    <cellStyle name="Normal 64 3 2 10 3 3" xfId="38504"/>
    <cellStyle name="Normal 64 3 2 10 3 4" xfId="38505"/>
    <cellStyle name="Normal 64 3 2 10 3 5" xfId="38506"/>
    <cellStyle name="Normal 64 3 2 10 3 6" xfId="38507"/>
    <cellStyle name="Normal 64 3 2 10 4" xfId="38508"/>
    <cellStyle name="Normal 64 3 2 10 4 2" xfId="38509"/>
    <cellStyle name="Normal 64 3 2 10 4 3" xfId="38510"/>
    <cellStyle name="Normal 64 3 2 10 4 4" xfId="38511"/>
    <cellStyle name="Normal 64 3 2 10 4 5" xfId="38512"/>
    <cellStyle name="Normal 64 3 2 10 4 6" xfId="38513"/>
    <cellStyle name="Normal 64 3 2 11" xfId="38514"/>
    <cellStyle name="Normal 64 3 2 11 2" xfId="38515"/>
    <cellStyle name="Normal 64 3 2 11 2 2" xfId="38516"/>
    <cellStyle name="Normal 64 3 2 11 2 3" xfId="38517"/>
    <cellStyle name="Normal 64 3 2 11 2 4" xfId="38518"/>
    <cellStyle name="Normal 64 3 2 11 2 5" xfId="38519"/>
    <cellStyle name="Normal 64 3 2 11 2 6" xfId="38520"/>
    <cellStyle name="Normal 64 3 2 11 3" xfId="38521"/>
    <cellStyle name="Normal 64 3 2 11 3 2" xfId="38522"/>
    <cellStyle name="Normal 64 3 2 11 3 3" xfId="38523"/>
    <cellStyle name="Normal 64 3 2 11 3 4" xfId="38524"/>
    <cellStyle name="Normal 64 3 2 11 3 5" xfId="38525"/>
    <cellStyle name="Normal 64 3 2 11 3 6" xfId="38526"/>
    <cellStyle name="Normal 64 3 2 11 4" xfId="38527"/>
    <cellStyle name="Normal 64 3 2 11 4 2" xfId="38528"/>
    <cellStyle name="Normal 64 3 2 11 4 3" xfId="38529"/>
    <cellStyle name="Normal 64 3 2 11 4 4" xfId="38530"/>
    <cellStyle name="Normal 64 3 2 11 4 5" xfId="38531"/>
    <cellStyle name="Normal 64 3 2 11 4 6" xfId="38532"/>
    <cellStyle name="Normal 64 3 2 12" xfId="38533"/>
    <cellStyle name="Normal 64 3 2 12 2" xfId="38534"/>
    <cellStyle name="Normal 64 3 2 12 2 2" xfId="38535"/>
    <cellStyle name="Normal 64 3 2 12 2 3" xfId="38536"/>
    <cellStyle name="Normal 64 3 2 12 2 4" xfId="38537"/>
    <cellStyle name="Normal 64 3 2 12 2 5" xfId="38538"/>
    <cellStyle name="Normal 64 3 2 12 2 6" xfId="38539"/>
    <cellStyle name="Normal 64 3 2 12 3" xfId="38540"/>
    <cellStyle name="Normal 64 3 2 12 3 2" xfId="38541"/>
    <cellStyle name="Normal 64 3 2 12 3 3" xfId="38542"/>
    <cellStyle name="Normal 64 3 2 12 3 4" xfId="38543"/>
    <cellStyle name="Normal 64 3 2 12 3 5" xfId="38544"/>
    <cellStyle name="Normal 64 3 2 12 3 6" xfId="38545"/>
    <cellStyle name="Normal 64 3 2 12 4" xfId="38546"/>
    <cellStyle name="Normal 64 3 2 12 4 2" xfId="38547"/>
    <cellStyle name="Normal 64 3 2 12 4 3" xfId="38548"/>
    <cellStyle name="Normal 64 3 2 12 4 4" xfId="38549"/>
    <cellStyle name="Normal 64 3 2 12 4 5" xfId="38550"/>
    <cellStyle name="Normal 64 3 2 12 4 6" xfId="38551"/>
    <cellStyle name="Normal 64 3 2 13" xfId="38552"/>
    <cellStyle name="Normal 64 3 2 13 2" xfId="38553"/>
    <cellStyle name="Normal 64 3 2 13 2 2" xfId="38554"/>
    <cellStyle name="Normal 64 3 2 13 2 3" xfId="38555"/>
    <cellStyle name="Normal 64 3 2 13 2 4" xfId="38556"/>
    <cellStyle name="Normal 64 3 2 13 2 5" xfId="38557"/>
    <cellStyle name="Normal 64 3 2 13 2 6" xfId="38558"/>
    <cellStyle name="Normal 64 3 2 13 3" xfId="38559"/>
    <cellStyle name="Normal 64 3 2 13 3 2" xfId="38560"/>
    <cellStyle name="Normal 64 3 2 13 3 3" xfId="38561"/>
    <cellStyle name="Normal 64 3 2 13 3 4" xfId="38562"/>
    <cellStyle name="Normal 64 3 2 13 3 5" xfId="38563"/>
    <cellStyle name="Normal 64 3 2 13 3 6" xfId="38564"/>
    <cellStyle name="Normal 64 3 2 13 4" xfId="38565"/>
    <cellStyle name="Normal 64 3 2 13 4 2" xfId="38566"/>
    <cellStyle name="Normal 64 3 2 13 4 3" xfId="38567"/>
    <cellStyle name="Normal 64 3 2 13 4 4" xfId="38568"/>
    <cellStyle name="Normal 64 3 2 13 4 5" xfId="38569"/>
    <cellStyle name="Normal 64 3 2 13 4 6" xfId="38570"/>
    <cellStyle name="Normal 64 3 2 14" xfId="38571"/>
    <cellStyle name="Normal 64 3 2 14 2" xfId="38572"/>
    <cellStyle name="Normal 64 3 2 14 2 2" xfId="38573"/>
    <cellStyle name="Normal 64 3 2 14 2 3" xfId="38574"/>
    <cellStyle name="Normal 64 3 2 14 2 4" xfId="38575"/>
    <cellStyle name="Normal 64 3 2 14 2 5" xfId="38576"/>
    <cellStyle name="Normal 64 3 2 14 2 6" xfId="38577"/>
    <cellStyle name="Normal 64 3 2 14 3" xfId="38578"/>
    <cellStyle name="Normal 64 3 2 14 3 2" xfId="38579"/>
    <cellStyle name="Normal 64 3 2 14 3 3" xfId="38580"/>
    <cellStyle name="Normal 64 3 2 14 3 4" xfId="38581"/>
    <cellStyle name="Normal 64 3 2 14 3 5" xfId="38582"/>
    <cellStyle name="Normal 64 3 2 14 3 6" xfId="38583"/>
    <cellStyle name="Normal 64 3 2 14 4" xfId="38584"/>
    <cellStyle name="Normal 64 3 2 14 4 2" xfId="38585"/>
    <cellStyle name="Normal 64 3 2 14 4 3" xfId="38586"/>
    <cellStyle name="Normal 64 3 2 14 4 4" xfId="38587"/>
    <cellStyle name="Normal 64 3 2 14 4 5" xfId="38588"/>
    <cellStyle name="Normal 64 3 2 14 4 6" xfId="38589"/>
    <cellStyle name="Normal 64 3 2 15" xfId="38590"/>
    <cellStyle name="Normal 64 3 2 15 2" xfId="38591"/>
    <cellStyle name="Normal 64 3 2 15 2 2" xfId="38592"/>
    <cellStyle name="Normal 64 3 2 15 2 3" xfId="38593"/>
    <cellStyle name="Normal 64 3 2 15 2 4" xfId="38594"/>
    <cellStyle name="Normal 64 3 2 15 2 5" xfId="38595"/>
    <cellStyle name="Normal 64 3 2 15 2 6" xfId="38596"/>
    <cellStyle name="Normal 64 3 2 15 3" xfId="38597"/>
    <cellStyle name="Normal 64 3 2 15 3 2" xfId="38598"/>
    <cellStyle name="Normal 64 3 2 15 3 3" xfId="38599"/>
    <cellStyle name="Normal 64 3 2 15 3 4" xfId="38600"/>
    <cellStyle name="Normal 64 3 2 15 3 5" xfId="38601"/>
    <cellStyle name="Normal 64 3 2 15 3 6" xfId="38602"/>
    <cellStyle name="Normal 64 3 2 15 4" xfId="38603"/>
    <cellStyle name="Normal 64 3 2 15 4 2" xfId="38604"/>
    <cellStyle name="Normal 64 3 2 15 4 3" xfId="38605"/>
    <cellStyle name="Normal 64 3 2 15 4 4" xfId="38606"/>
    <cellStyle name="Normal 64 3 2 15 4 5" xfId="38607"/>
    <cellStyle name="Normal 64 3 2 15 4 6" xfId="38608"/>
    <cellStyle name="Normal 64 3 2 16" xfId="38609"/>
    <cellStyle name="Normal 64 3 2 16 2" xfId="38610"/>
    <cellStyle name="Normal 64 3 2 16 2 2" xfId="38611"/>
    <cellStyle name="Normal 64 3 2 16 2 3" xfId="38612"/>
    <cellStyle name="Normal 64 3 2 16 2 4" xfId="38613"/>
    <cellStyle name="Normal 64 3 2 16 2 5" xfId="38614"/>
    <cellStyle name="Normal 64 3 2 16 2 6" xfId="38615"/>
    <cellStyle name="Normal 64 3 2 16 3" xfId="38616"/>
    <cellStyle name="Normal 64 3 2 16 3 2" xfId="38617"/>
    <cellStyle name="Normal 64 3 2 16 3 3" xfId="38618"/>
    <cellStyle name="Normal 64 3 2 16 3 4" xfId="38619"/>
    <cellStyle name="Normal 64 3 2 16 3 5" xfId="38620"/>
    <cellStyle name="Normal 64 3 2 16 3 6" xfId="38621"/>
    <cellStyle name="Normal 64 3 2 16 4" xfId="38622"/>
    <cellStyle name="Normal 64 3 2 16 4 2" xfId="38623"/>
    <cellStyle name="Normal 64 3 2 16 4 3" xfId="38624"/>
    <cellStyle name="Normal 64 3 2 16 4 4" xfId="38625"/>
    <cellStyle name="Normal 64 3 2 16 4 5" xfId="38626"/>
    <cellStyle name="Normal 64 3 2 16 4 6" xfId="38627"/>
    <cellStyle name="Normal 64 3 2 17" xfId="38628"/>
    <cellStyle name="Normal 64 3 2 17 2" xfId="38629"/>
    <cellStyle name="Normal 64 3 2 17 3" xfId="38630"/>
    <cellStyle name="Normal 64 3 2 17 4" xfId="38631"/>
    <cellStyle name="Normal 64 3 2 17 5" xfId="38632"/>
    <cellStyle name="Normal 64 3 2 17 6" xfId="38633"/>
    <cellStyle name="Normal 64 3 2 18" xfId="38634"/>
    <cellStyle name="Normal 64 3 2 18 2" xfId="38635"/>
    <cellStyle name="Normal 64 3 2 18 3" xfId="38636"/>
    <cellStyle name="Normal 64 3 2 18 4" xfId="38637"/>
    <cellStyle name="Normal 64 3 2 18 5" xfId="38638"/>
    <cellStyle name="Normal 64 3 2 18 6" xfId="38639"/>
    <cellStyle name="Normal 64 3 2 19" xfId="38640"/>
    <cellStyle name="Normal 64 3 2 19 2" xfId="38641"/>
    <cellStyle name="Normal 64 3 2 19 3" xfId="38642"/>
    <cellStyle name="Normal 64 3 2 19 4" xfId="38643"/>
    <cellStyle name="Normal 64 3 2 19 5" xfId="38644"/>
    <cellStyle name="Normal 64 3 2 19 6" xfId="38645"/>
    <cellStyle name="Normal 64 3 2 2" xfId="38646"/>
    <cellStyle name="Normal 64 3 2 2 2" xfId="38647"/>
    <cellStyle name="Normal 64 3 2 2 2 2" xfId="38648"/>
    <cellStyle name="Normal 64 3 2 2 2 3" xfId="38649"/>
    <cellStyle name="Normal 64 3 2 2 2 4" xfId="38650"/>
    <cellStyle name="Normal 64 3 2 2 2 5" xfId="38651"/>
    <cellStyle name="Normal 64 3 2 2 2 6" xfId="38652"/>
    <cellStyle name="Normal 64 3 2 2 3" xfId="38653"/>
    <cellStyle name="Normal 64 3 2 2 3 2" xfId="38654"/>
    <cellStyle name="Normal 64 3 2 2 3 3" xfId="38655"/>
    <cellStyle name="Normal 64 3 2 2 3 4" xfId="38656"/>
    <cellStyle name="Normal 64 3 2 2 3 5" xfId="38657"/>
    <cellStyle name="Normal 64 3 2 2 3 6" xfId="38658"/>
    <cellStyle name="Normal 64 3 2 2 4" xfId="38659"/>
    <cellStyle name="Normal 64 3 2 2 4 2" xfId="38660"/>
    <cellStyle name="Normal 64 3 2 2 4 3" xfId="38661"/>
    <cellStyle name="Normal 64 3 2 2 4 4" xfId="38662"/>
    <cellStyle name="Normal 64 3 2 2 4 5" xfId="38663"/>
    <cellStyle name="Normal 64 3 2 2 4 6" xfId="38664"/>
    <cellStyle name="Normal 64 3 2 3" xfId="38665"/>
    <cellStyle name="Normal 64 3 2 3 2" xfId="38666"/>
    <cellStyle name="Normal 64 3 2 3 2 2" xfId="38667"/>
    <cellStyle name="Normal 64 3 2 3 2 3" xfId="38668"/>
    <cellStyle name="Normal 64 3 2 3 2 4" xfId="38669"/>
    <cellStyle name="Normal 64 3 2 3 2 5" xfId="38670"/>
    <cellStyle name="Normal 64 3 2 3 2 6" xfId="38671"/>
    <cellStyle name="Normal 64 3 2 3 3" xfId="38672"/>
    <cellStyle name="Normal 64 3 2 3 3 2" xfId="38673"/>
    <cellStyle name="Normal 64 3 2 3 3 3" xfId="38674"/>
    <cellStyle name="Normal 64 3 2 3 3 4" xfId="38675"/>
    <cellStyle name="Normal 64 3 2 3 3 5" xfId="38676"/>
    <cellStyle name="Normal 64 3 2 3 3 6" xfId="38677"/>
    <cellStyle name="Normal 64 3 2 3 4" xfId="38678"/>
    <cellStyle name="Normal 64 3 2 3 4 2" xfId="38679"/>
    <cellStyle name="Normal 64 3 2 3 4 3" xfId="38680"/>
    <cellStyle name="Normal 64 3 2 3 4 4" xfId="38681"/>
    <cellStyle name="Normal 64 3 2 3 4 5" xfId="38682"/>
    <cellStyle name="Normal 64 3 2 3 4 6" xfId="38683"/>
    <cellStyle name="Normal 64 3 2 4" xfId="38684"/>
    <cellStyle name="Normal 64 3 2 4 2" xfId="38685"/>
    <cellStyle name="Normal 64 3 2 4 2 2" xfId="38686"/>
    <cellStyle name="Normal 64 3 2 4 2 3" xfId="38687"/>
    <cellStyle name="Normal 64 3 2 4 2 4" xfId="38688"/>
    <cellStyle name="Normal 64 3 2 4 2 5" xfId="38689"/>
    <cellStyle name="Normal 64 3 2 4 2 6" xfId="38690"/>
    <cellStyle name="Normal 64 3 2 4 3" xfId="38691"/>
    <cellStyle name="Normal 64 3 2 4 3 2" xfId="38692"/>
    <cellStyle name="Normal 64 3 2 4 3 3" xfId="38693"/>
    <cellStyle name="Normal 64 3 2 4 3 4" xfId="38694"/>
    <cellStyle name="Normal 64 3 2 4 3 5" xfId="38695"/>
    <cellStyle name="Normal 64 3 2 4 3 6" xfId="38696"/>
    <cellStyle name="Normal 64 3 2 4 4" xfId="38697"/>
    <cellStyle name="Normal 64 3 2 4 4 2" xfId="38698"/>
    <cellStyle name="Normal 64 3 2 4 4 3" xfId="38699"/>
    <cellStyle name="Normal 64 3 2 4 4 4" xfId="38700"/>
    <cellStyle name="Normal 64 3 2 4 4 5" xfId="38701"/>
    <cellStyle name="Normal 64 3 2 4 4 6" xfId="38702"/>
    <cellStyle name="Normal 64 3 2 5" xfId="38703"/>
    <cellStyle name="Normal 64 3 2 5 2" xfId="38704"/>
    <cellStyle name="Normal 64 3 2 5 2 2" xfId="38705"/>
    <cellStyle name="Normal 64 3 2 5 2 3" xfId="38706"/>
    <cellStyle name="Normal 64 3 2 5 2 4" xfId="38707"/>
    <cellStyle name="Normal 64 3 2 5 2 5" xfId="38708"/>
    <cellStyle name="Normal 64 3 2 5 2 6" xfId="38709"/>
    <cellStyle name="Normal 64 3 2 5 3" xfId="38710"/>
    <cellStyle name="Normal 64 3 2 5 3 2" xfId="38711"/>
    <cellStyle name="Normal 64 3 2 5 3 3" xfId="38712"/>
    <cellStyle name="Normal 64 3 2 5 3 4" xfId="38713"/>
    <cellStyle name="Normal 64 3 2 5 3 5" xfId="38714"/>
    <cellStyle name="Normal 64 3 2 5 3 6" xfId="38715"/>
    <cellStyle name="Normal 64 3 2 5 4" xfId="38716"/>
    <cellStyle name="Normal 64 3 2 5 4 2" xfId="38717"/>
    <cellStyle name="Normal 64 3 2 5 4 3" xfId="38718"/>
    <cellStyle name="Normal 64 3 2 5 4 4" xfId="38719"/>
    <cellStyle name="Normal 64 3 2 5 4 5" xfId="38720"/>
    <cellStyle name="Normal 64 3 2 5 4 6" xfId="38721"/>
    <cellStyle name="Normal 64 3 2 6" xfId="38722"/>
    <cellStyle name="Normal 64 3 2 6 2" xfId="38723"/>
    <cellStyle name="Normal 64 3 2 6 2 2" xfId="38724"/>
    <cellStyle name="Normal 64 3 2 6 2 3" xfId="38725"/>
    <cellStyle name="Normal 64 3 2 6 2 4" xfId="38726"/>
    <cellStyle name="Normal 64 3 2 6 2 5" xfId="38727"/>
    <cellStyle name="Normal 64 3 2 6 2 6" xfId="38728"/>
    <cellStyle name="Normal 64 3 2 6 3" xfId="38729"/>
    <cellStyle name="Normal 64 3 2 6 3 2" xfId="38730"/>
    <cellStyle name="Normal 64 3 2 6 3 3" xfId="38731"/>
    <cellStyle name="Normal 64 3 2 6 3 4" xfId="38732"/>
    <cellStyle name="Normal 64 3 2 6 3 5" xfId="38733"/>
    <cellStyle name="Normal 64 3 2 6 3 6" xfId="38734"/>
    <cellStyle name="Normal 64 3 2 6 4" xfId="38735"/>
    <cellStyle name="Normal 64 3 2 6 4 2" xfId="38736"/>
    <cellStyle name="Normal 64 3 2 6 4 3" xfId="38737"/>
    <cellStyle name="Normal 64 3 2 6 4 4" xfId="38738"/>
    <cellStyle name="Normal 64 3 2 6 4 5" xfId="38739"/>
    <cellStyle name="Normal 64 3 2 6 4 6" xfId="38740"/>
    <cellStyle name="Normal 64 3 2 7" xfId="38741"/>
    <cellStyle name="Normal 64 3 2 7 2" xfId="38742"/>
    <cellStyle name="Normal 64 3 2 7 2 2" xfId="38743"/>
    <cellStyle name="Normal 64 3 2 7 2 3" xfId="38744"/>
    <cellStyle name="Normal 64 3 2 7 2 4" xfId="38745"/>
    <cellStyle name="Normal 64 3 2 7 2 5" xfId="38746"/>
    <cellStyle name="Normal 64 3 2 7 2 6" xfId="38747"/>
    <cellStyle name="Normal 64 3 2 7 3" xfId="38748"/>
    <cellStyle name="Normal 64 3 2 7 3 2" xfId="38749"/>
    <cellStyle name="Normal 64 3 2 7 3 3" xfId="38750"/>
    <cellStyle name="Normal 64 3 2 7 3 4" xfId="38751"/>
    <cellStyle name="Normal 64 3 2 7 3 5" xfId="38752"/>
    <cellStyle name="Normal 64 3 2 7 3 6" xfId="38753"/>
    <cellStyle name="Normal 64 3 2 7 4" xfId="38754"/>
    <cellStyle name="Normal 64 3 2 7 4 2" xfId="38755"/>
    <cellStyle name="Normal 64 3 2 7 4 3" xfId="38756"/>
    <cellStyle name="Normal 64 3 2 7 4 4" xfId="38757"/>
    <cellStyle name="Normal 64 3 2 7 4 5" xfId="38758"/>
    <cellStyle name="Normal 64 3 2 7 4 6" xfId="38759"/>
    <cellStyle name="Normal 64 3 2 8" xfId="38760"/>
    <cellStyle name="Normal 64 3 2 8 2" xfId="38761"/>
    <cellStyle name="Normal 64 3 2 8 2 2" xfId="38762"/>
    <cellStyle name="Normal 64 3 2 8 2 3" xfId="38763"/>
    <cellStyle name="Normal 64 3 2 8 2 4" xfId="38764"/>
    <cellStyle name="Normal 64 3 2 8 2 5" xfId="38765"/>
    <cellStyle name="Normal 64 3 2 8 2 6" xfId="38766"/>
    <cellStyle name="Normal 64 3 2 8 3" xfId="38767"/>
    <cellStyle name="Normal 64 3 2 8 3 2" xfId="38768"/>
    <cellStyle name="Normal 64 3 2 8 3 3" xfId="38769"/>
    <cellStyle name="Normal 64 3 2 8 3 4" xfId="38770"/>
    <cellStyle name="Normal 64 3 2 8 3 5" xfId="38771"/>
    <cellStyle name="Normal 64 3 2 8 3 6" xfId="38772"/>
    <cellStyle name="Normal 64 3 2 8 4" xfId="38773"/>
    <cellStyle name="Normal 64 3 2 8 4 2" xfId="38774"/>
    <cellStyle name="Normal 64 3 2 8 4 3" xfId="38775"/>
    <cellStyle name="Normal 64 3 2 8 4 4" xfId="38776"/>
    <cellStyle name="Normal 64 3 2 8 4 5" xfId="38777"/>
    <cellStyle name="Normal 64 3 2 8 4 6" xfId="38778"/>
    <cellStyle name="Normal 64 3 2 9" xfId="38779"/>
    <cellStyle name="Normal 64 3 2 9 2" xfId="38780"/>
    <cellStyle name="Normal 64 3 2 9 2 2" xfId="38781"/>
    <cellStyle name="Normal 64 3 2 9 2 3" xfId="38782"/>
    <cellStyle name="Normal 64 3 2 9 2 4" xfId="38783"/>
    <cellStyle name="Normal 64 3 2 9 2 5" xfId="38784"/>
    <cellStyle name="Normal 64 3 2 9 2 6" xfId="38785"/>
    <cellStyle name="Normal 64 3 2 9 3" xfId="38786"/>
    <cellStyle name="Normal 64 3 2 9 3 2" xfId="38787"/>
    <cellStyle name="Normal 64 3 2 9 3 3" xfId="38788"/>
    <cellStyle name="Normal 64 3 2 9 3 4" xfId="38789"/>
    <cellStyle name="Normal 64 3 2 9 3 5" xfId="38790"/>
    <cellStyle name="Normal 64 3 2 9 3 6" xfId="38791"/>
    <cellStyle name="Normal 64 3 2 9 4" xfId="38792"/>
    <cellStyle name="Normal 64 3 2 9 4 2" xfId="38793"/>
    <cellStyle name="Normal 64 3 2 9 4 3" xfId="38794"/>
    <cellStyle name="Normal 64 3 2 9 4 4" xfId="38795"/>
    <cellStyle name="Normal 64 3 2 9 4 5" xfId="38796"/>
    <cellStyle name="Normal 64 3 2 9 4 6" xfId="38797"/>
    <cellStyle name="Normal 64 3 20" xfId="38798"/>
    <cellStyle name="Normal 64 3 20 2" xfId="38799"/>
    <cellStyle name="Normal 64 3 20 3" xfId="38800"/>
    <cellStyle name="Normal 64 3 20 4" xfId="38801"/>
    <cellStyle name="Normal 64 3 20 5" xfId="38802"/>
    <cellStyle name="Normal 64 3 20 6" xfId="38803"/>
    <cellStyle name="Normal 64 3 21" xfId="38804"/>
    <cellStyle name="Normal 64 3 21 2" xfId="38805"/>
    <cellStyle name="Normal 64 3 21 3" xfId="38806"/>
    <cellStyle name="Normal 64 3 21 4" xfId="38807"/>
    <cellStyle name="Normal 64 3 21 5" xfId="38808"/>
    <cellStyle name="Normal 64 3 21 6" xfId="38809"/>
    <cellStyle name="Normal 64 3 22" xfId="38810"/>
    <cellStyle name="Normal 64 3 22 2" xfId="38811"/>
    <cellStyle name="Normal 64 3 22 3" xfId="38812"/>
    <cellStyle name="Normal 64 3 22 4" xfId="38813"/>
    <cellStyle name="Normal 64 3 22 5" xfId="38814"/>
    <cellStyle name="Normal 64 3 22 6" xfId="38815"/>
    <cellStyle name="Normal 64 3 3" xfId="38816"/>
    <cellStyle name="Normal 64 3 3 2" xfId="38817"/>
    <cellStyle name="Normal 64 3 3 2 2" xfId="38818"/>
    <cellStyle name="Normal 64 3 3 2 3" xfId="38819"/>
    <cellStyle name="Normal 64 3 3 2 4" xfId="38820"/>
    <cellStyle name="Normal 64 3 3 2 5" xfId="38821"/>
    <cellStyle name="Normal 64 3 3 2 6" xfId="38822"/>
    <cellStyle name="Normal 64 3 3 3" xfId="38823"/>
    <cellStyle name="Normal 64 3 3 3 2" xfId="38824"/>
    <cellStyle name="Normal 64 3 3 3 3" xfId="38825"/>
    <cellStyle name="Normal 64 3 3 3 4" xfId="38826"/>
    <cellStyle name="Normal 64 3 3 3 5" xfId="38827"/>
    <cellStyle name="Normal 64 3 3 3 6" xfId="38828"/>
    <cellStyle name="Normal 64 3 3 4" xfId="38829"/>
    <cellStyle name="Normal 64 3 3 4 2" xfId="38830"/>
    <cellStyle name="Normal 64 3 3 4 3" xfId="38831"/>
    <cellStyle name="Normal 64 3 3 4 4" xfId="38832"/>
    <cellStyle name="Normal 64 3 3 4 5" xfId="38833"/>
    <cellStyle name="Normal 64 3 3 4 6" xfId="38834"/>
    <cellStyle name="Normal 64 3 4" xfId="38835"/>
    <cellStyle name="Normal 64 3 4 2" xfId="38836"/>
    <cellStyle name="Normal 64 3 4 2 2" xfId="38837"/>
    <cellStyle name="Normal 64 3 4 2 3" xfId="38838"/>
    <cellStyle name="Normal 64 3 4 2 4" xfId="38839"/>
    <cellStyle name="Normal 64 3 4 2 5" xfId="38840"/>
    <cellStyle name="Normal 64 3 4 2 6" xfId="38841"/>
    <cellStyle name="Normal 64 3 4 3" xfId="38842"/>
    <cellStyle name="Normal 64 3 4 3 2" xfId="38843"/>
    <cellStyle name="Normal 64 3 4 3 3" xfId="38844"/>
    <cellStyle name="Normal 64 3 4 3 4" xfId="38845"/>
    <cellStyle name="Normal 64 3 4 3 5" xfId="38846"/>
    <cellStyle name="Normal 64 3 4 3 6" xfId="38847"/>
    <cellStyle name="Normal 64 3 4 4" xfId="38848"/>
    <cellStyle name="Normal 64 3 4 4 2" xfId="38849"/>
    <cellStyle name="Normal 64 3 4 4 3" xfId="38850"/>
    <cellStyle name="Normal 64 3 4 4 4" xfId="38851"/>
    <cellStyle name="Normal 64 3 4 4 5" xfId="38852"/>
    <cellStyle name="Normal 64 3 4 4 6" xfId="38853"/>
    <cellStyle name="Normal 64 3 5" xfId="38854"/>
    <cellStyle name="Normal 64 3 5 2" xfId="38855"/>
    <cellStyle name="Normal 64 3 5 2 2" xfId="38856"/>
    <cellStyle name="Normal 64 3 5 2 3" xfId="38857"/>
    <cellStyle name="Normal 64 3 5 2 4" xfId="38858"/>
    <cellStyle name="Normal 64 3 5 2 5" xfId="38859"/>
    <cellStyle name="Normal 64 3 5 2 6" xfId="38860"/>
    <cellStyle name="Normal 64 3 5 3" xfId="38861"/>
    <cellStyle name="Normal 64 3 5 3 2" xfId="38862"/>
    <cellStyle name="Normal 64 3 5 3 3" xfId="38863"/>
    <cellStyle name="Normal 64 3 5 3 4" xfId="38864"/>
    <cellStyle name="Normal 64 3 5 3 5" xfId="38865"/>
    <cellStyle name="Normal 64 3 5 3 6" xfId="38866"/>
    <cellStyle name="Normal 64 3 5 4" xfId="38867"/>
    <cellStyle name="Normal 64 3 5 4 2" xfId="38868"/>
    <cellStyle name="Normal 64 3 5 4 3" xfId="38869"/>
    <cellStyle name="Normal 64 3 5 4 4" xfId="38870"/>
    <cellStyle name="Normal 64 3 5 4 5" xfId="38871"/>
    <cellStyle name="Normal 64 3 5 4 6" xfId="38872"/>
    <cellStyle name="Normal 64 3 6" xfId="38873"/>
    <cellStyle name="Normal 64 3 6 2" xfId="38874"/>
    <cellStyle name="Normal 64 3 6 2 2" xfId="38875"/>
    <cellStyle name="Normal 64 3 6 2 3" xfId="38876"/>
    <cellStyle name="Normal 64 3 6 2 4" xfId="38877"/>
    <cellStyle name="Normal 64 3 6 2 5" xfId="38878"/>
    <cellStyle name="Normal 64 3 6 2 6" xfId="38879"/>
    <cellStyle name="Normal 64 3 6 3" xfId="38880"/>
    <cellStyle name="Normal 64 3 6 3 2" xfId="38881"/>
    <cellStyle name="Normal 64 3 6 3 3" xfId="38882"/>
    <cellStyle name="Normal 64 3 6 3 4" xfId="38883"/>
    <cellStyle name="Normal 64 3 6 3 5" xfId="38884"/>
    <cellStyle name="Normal 64 3 6 3 6" xfId="38885"/>
    <cellStyle name="Normal 64 3 6 4" xfId="38886"/>
    <cellStyle name="Normal 64 3 6 4 2" xfId="38887"/>
    <cellStyle name="Normal 64 3 6 4 3" xfId="38888"/>
    <cellStyle name="Normal 64 3 6 4 4" xfId="38889"/>
    <cellStyle name="Normal 64 3 6 4 5" xfId="38890"/>
    <cellStyle name="Normal 64 3 6 4 6" xfId="38891"/>
    <cellStyle name="Normal 64 3 7" xfId="38892"/>
    <cellStyle name="Normal 64 3 7 2" xfId="38893"/>
    <cellStyle name="Normal 64 3 7 2 2" xfId="38894"/>
    <cellStyle name="Normal 64 3 7 2 3" xfId="38895"/>
    <cellStyle name="Normal 64 3 7 2 4" xfId="38896"/>
    <cellStyle name="Normal 64 3 7 2 5" xfId="38897"/>
    <cellStyle name="Normal 64 3 7 2 6" xfId="38898"/>
    <cellStyle name="Normal 64 3 7 3" xfId="38899"/>
    <cellStyle name="Normal 64 3 7 3 2" xfId="38900"/>
    <cellStyle name="Normal 64 3 7 3 3" xfId="38901"/>
    <cellStyle name="Normal 64 3 7 3 4" xfId="38902"/>
    <cellStyle name="Normal 64 3 7 3 5" xfId="38903"/>
    <cellStyle name="Normal 64 3 7 3 6" xfId="38904"/>
    <cellStyle name="Normal 64 3 7 4" xfId="38905"/>
    <cellStyle name="Normal 64 3 7 4 2" xfId="38906"/>
    <cellStyle name="Normal 64 3 7 4 3" xfId="38907"/>
    <cellStyle name="Normal 64 3 7 4 4" xfId="38908"/>
    <cellStyle name="Normal 64 3 7 4 5" xfId="38909"/>
    <cellStyle name="Normal 64 3 7 4 6" xfId="38910"/>
    <cellStyle name="Normal 64 3 8" xfId="38911"/>
    <cellStyle name="Normal 64 3 8 2" xfId="38912"/>
    <cellStyle name="Normal 64 3 8 2 2" xfId="38913"/>
    <cellStyle name="Normal 64 3 8 2 3" xfId="38914"/>
    <cellStyle name="Normal 64 3 8 2 4" xfId="38915"/>
    <cellStyle name="Normal 64 3 8 2 5" xfId="38916"/>
    <cellStyle name="Normal 64 3 8 2 6" xfId="38917"/>
    <cellStyle name="Normal 64 3 8 3" xfId="38918"/>
    <cellStyle name="Normal 64 3 8 3 2" xfId="38919"/>
    <cellStyle name="Normal 64 3 8 3 3" xfId="38920"/>
    <cellStyle name="Normal 64 3 8 3 4" xfId="38921"/>
    <cellStyle name="Normal 64 3 8 3 5" xfId="38922"/>
    <cellStyle name="Normal 64 3 8 3 6" xfId="38923"/>
    <cellStyle name="Normal 64 3 8 4" xfId="38924"/>
    <cellStyle name="Normal 64 3 8 4 2" xfId="38925"/>
    <cellStyle name="Normal 64 3 8 4 3" xfId="38926"/>
    <cellStyle name="Normal 64 3 8 4 4" xfId="38927"/>
    <cellStyle name="Normal 64 3 8 4 5" xfId="38928"/>
    <cellStyle name="Normal 64 3 8 4 6" xfId="38929"/>
    <cellStyle name="Normal 64 3 9" xfId="38930"/>
    <cellStyle name="Normal 64 3 9 2" xfId="38931"/>
    <cellStyle name="Normal 64 3 9 2 2" xfId="38932"/>
    <cellStyle name="Normal 64 3 9 2 3" xfId="38933"/>
    <cellStyle name="Normal 64 3 9 2 4" xfId="38934"/>
    <cellStyle name="Normal 64 3 9 2 5" xfId="38935"/>
    <cellStyle name="Normal 64 3 9 2 6" xfId="38936"/>
    <cellStyle name="Normal 64 3 9 3" xfId="38937"/>
    <cellStyle name="Normal 64 3 9 3 2" xfId="38938"/>
    <cellStyle name="Normal 64 3 9 3 3" xfId="38939"/>
    <cellStyle name="Normal 64 3 9 3 4" xfId="38940"/>
    <cellStyle name="Normal 64 3 9 3 5" xfId="38941"/>
    <cellStyle name="Normal 64 3 9 3 6" xfId="38942"/>
    <cellStyle name="Normal 64 3 9 4" xfId="38943"/>
    <cellStyle name="Normal 64 3 9 4 2" xfId="38944"/>
    <cellStyle name="Normal 64 3 9 4 3" xfId="38945"/>
    <cellStyle name="Normal 64 3 9 4 4" xfId="38946"/>
    <cellStyle name="Normal 64 3 9 4 5" xfId="38947"/>
    <cellStyle name="Normal 64 3 9 4 6" xfId="38948"/>
    <cellStyle name="Normal 64 4" xfId="38949"/>
    <cellStyle name="Normal 64 4 2" xfId="38950"/>
    <cellStyle name="Normal 64 4 2 2" xfId="38951"/>
    <cellStyle name="Normal 64 4 2 3" xfId="38952"/>
    <cellStyle name="Normal 64 4 2 4" xfId="38953"/>
    <cellStyle name="Normal 64 4 2 5" xfId="38954"/>
    <cellStyle name="Normal 64 4 2 6" xfId="38955"/>
    <cellStyle name="Normal 64 4 3" xfId="38956"/>
    <cellStyle name="Normal 64 4 3 2" xfId="38957"/>
    <cellStyle name="Normal 64 4 3 3" xfId="38958"/>
    <cellStyle name="Normal 64 4 3 4" xfId="38959"/>
    <cellStyle name="Normal 64 4 3 5" xfId="38960"/>
    <cellStyle name="Normal 64 4 3 6" xfId="38961"/>
    <cellStyle name="Normal 64 4 4" xfId="38962"/>
    <cellStyle name="Normal 64 4 4 2" xfId="38963"/>
    <cellStyle name="Normal 64 4 4 3" xfId="38964"/>
    <cellStyle name="Normal 64 4 4 4" xfId="38965"/>
    <cellStyle name="Normal 64 4 4 5" xfId="38966"/>
    <cellStyle name="Normal 64 4 4 6" xfId="38967"/>
    <cellStyle name="Normal 64 5" xfId="38968"/>
    <cellStyle name="Normal 64 5 2" xfId="38969"/>
    <cellStyle name="Normal 64 5 2 2" xfId="38970"/>
    <cellStyle name="Normal 64 5 2 3" xfId="38971"/>
    <cellStyle name="Normal 64 5 2 4" xfId="38972"/>
    <cellStyle name="Normal 64 5 2 5" xfId="38973"/>
    <cellStyle name="Normal 64 5 2 6" xfId="38974"/>
    <cellStyle name="Normal 64 5 3" xfId="38975"/>
    <cellStyle name="Normal 64 5 3 2" xfId="38976"/>
    <cellStyle name="Normal 64 5 3 3" xfId="38977"/>
    <cellStyle name="Normal 64 5 3 4" xfId="38978"/>
    <cellStyle name="Normal 64 5 3 5" xfId="38979"/>
    <cellStyle name="Normal 64 5 3 6" xfId="38980"/>
    <cellStyle name="Normal 64 5 4" xfId="38981"/>
    <cellStyle name="Normal 64 5 4 2" xfId="38982"/>
    <cellStyle name="Normal 64 5 4 3" xfId="38983"/>
    <cellStyle name="Normal 64 5 4 4" xfId="38984"/>
    <cellStyle name="Normal 64 5 4 5" xfId="38985"/>
    <cellStyle name="Normal 64 5 4 6" xfId="38986"/>
    <cellStyle name="Normal 64 6" xfId="38987"/>
    <cellStyle name="Normal 64 6 2" xfId="38988"/>
    <cellStyle name="Normal 64 6 2 2" xfId="38989"/>
    <cellStyle name="Normal 64 6 2 3" xfId="38990"/>
    <cellStyle name="Normal 64 6 2 4" xfId="38991"/>
    <cellStyle name="Normal 64 6 2 5" xfId="38992"/>
    <cellStyle name="Normal 64 6 2 6" xfId="38993"/>
    <cellStyle name="Normal 64 6 3" xfId="38994"/>
    <cellStyle name="Normal 64 6 3 2" xfId="38995"/>
    <cellStyle name="Normal 64 6 3 3" xfId="38996"/>
    <cellStyle name="Normal 64 6 3 4" xfId="38997"/>
    <cellStyle name="Normal 64 6 3 5" xfId="38998"/>
    <cellStyle name="Normal 64 6 3 6" xfId="38999"/>
    <cellStyle name="Normal 64 6 4" xfId="39000"/>
    <cellStyle name="Normal 64 6 4 2" xfId="39001"/>
    <cellStyle name="Normal 64 6 4 3" xfId="39002"/>
    <cellStyle name="Normal 64 6 4 4" xfId="39003"/>
    <cellStyle name="Normal 64 6 4 5" xfId="39004"/>
    <cellStyle name="Normal 64 6 4 6" xfId="39005"/>
    <cellStyle name="Normal 64 7" xfId="39006"/>
    <cellStyle name="Normal 64 7 2" xfId="39007"/>
    <cellStyle name="Normal 64 7 2 2" xfId="39008"/>
    <cellStyle name="Normal 64 7 2 3" xfId="39009"/>
    <cellStyle name="Normal 64 7 2 4" xfId="39010"/>
    <cellStyle name="Normal 64 7 2 5" xfId="39011"/>
    <cellStyle name="Normal 64 7 2 6" xfId="39012"/>
    <cellStyle name="Normal 64 7 3" xfId="39013"/>
    <cellStyle name="Normal 64 7 3 2" xfId="39014"/>
    <cellStyle name="Normal 64 7 3 3" xfId="39015"/>
    <cellStyle name="Normal 64 7 3 4" xfId="39016"/>
    <cellStyle name="Normal 64 7 3 5" xfId="39017"/>
    <cellStyle name="Normal 64 7 3 6" xfId="39018"/>
    <cellStyle name="Normal 64 7 4" xfId="39019"/>
    <cellStyle name="Normal 64 7 4 2" xfId="39020"/>
    <cellStyle name="Normal 64 7 4 3" xfId="39021"/>
    <cellStyle name="Normal 64 7 4 4" xfId="39022"/>
    <cellStyle name="Normal 64 7 4 5" xfId="39023"/>
    <cellStyle name="Normal 64 7 4 6" xfId="39024"/>
    <cellStyle name="Normal 64 8" xfId="39025"/>
    <cellStyle name="Normal 64 8 2" xfId="39026"/>
    <cellStyle name="Normal 64 8 3" xfId="39027"/>
    <cellStyle name="Normal 64 8 4" xfId="39028"/>
    <cellStyle name="Normal 64 8 5" xfId="39029"/>
    <cellStyle name="Normal 64 8 6" xfId="39030"/>
    <cellStyle name="Normal 64 9" xfId="39031"/>
    <cellStyle name="Normal 64 9 2" xfId="39032"/>
    <cellStyle name="Normal 64 9 3" xfId="39033"/>
    <cellStyle name="Normal 64 9 4" xfId="39034"/>
    <cellStyle name="Normal 64 9 5" xfId="39035"/>
    <cellStyle name="Normal 64 9 6" xfId="39036"/>
    <cellStyle name="Normal 65" xfId="39037"/>
    <cellStyle name="Normal 65 10" xfId="39038"/>
    <cellStyle name="Normal 65 10 2" xfId="39039"/>
    <cellStyle name="Normal 65 10 3" xfId="39040"/>
    <cellStyle name="Normal 65 10 4" xfId="39041"/>
    <cellStyle name="Normal 65 10 5" xfId="39042"/>
    <cellStyle name="Normal 65 10 6" xfId="39043"/>
    <cellStyle name="Normal 65 2" xfId="39044"/>
    <cellStyle name="Normal 65 2 2" xfId="39045"/>
    <cellStyle name="Normal 65 2 2 2" xfId="39046"/>
    <cellStyle name="Normal 65 2 2 2 2" xfId="39047"/>
    <cellStyle name="Normal 65 2 2 2 2 2" xfId="39048"/>
    <cellStyle name="Normal 65 2 2 2 2 3" xfId="39049"/>
    <cellStyle name="Normal 65 2 2 2 2 4" xfId="39050"/>
    <cellStyle name="Normal 65 2 2 2 2 5" xfId="39051"/>
    <cellStyle name="Normal 65 2 2 2 2 6" xfId="39052"/>
    <cellStyle name="Normal 65 2 2 2 3" xfId="39053"/>
    <cellStyle name="Normal 65 2 2 2 3 2" xfId="39054"/>
    <cellStyle name="Normal 65 2 2 2 3 3" xfId="39055"/>
    <cellStyle name="Normal 65 2 2 2 3 4" xfId="39056"/>
    <cellStyle name="Normal 65 2 2 2 3 5" xfId="39057"/>
    <cellStyle name="Normal 65 2 2 2 3 6" xfId="39058"/>
    <cellStyle name="Normal 65 2 2 2 4" xfId="39059"/>
    <cellStyle name="Normal 65 2 2 2 4 2" xfId="39060"/>
    <cellStyle name="Normal 65 2 2 2 4 3" xfId="39061"/>
    <cellStyle name="Normal 65 2 2 2 4 4" xfId="39062"/>
    <cellStyle name="Normal 65 2 2 2 4 5" xfId="39063"/>
    <cellStyle name="Normal 65 2 2 2 4 6" xfId="39064"/>
    <cellStyle name="Normal 65 2 2 3" xfId="39065"/>
    <cellStyle name="Normal 65 2 2 3 2" xfId="39066"/>
    <cellStyle name="Normal 65 2 2 3 3" xfId="39067"/>
    <cellStyle name="Normal 65 2 2 3 4" xfId="39068"/>
    <cellStyle name="Normal 65 2 2 3 5" xfId="39069"/>
    <cellStyle name="Normal 65 2 2 3 6" xfId="39070"/>
    <cellStyle name="Normal 65 2 2 4" xfId="39071"/>
    <cellStyle name="Normal 65 2 2 4 2" xfId="39072"/>
    <cellStyle name="Normal 65 2 2 4 3" xfId="39073"/>
    <cellStyle name="Normal 65 2 2 4 4" xfId="39074"/>
    <cellStyle name="Normal 65 2 2 4 5" xfId="39075"/>
    <cellStyle name="Normal 65 2 2 4 6" xfId="39076"/>
    <cellStyle name="Normal 65 2 2 5" xfId="39077"/>
    <cellStyle name="Normal 65 2 2 5 2" xfId="39078"/>
    <cellStyle name="Normal 65 2 2 5 3" xfId="39079"/>
    <cellStyle name="Normal 65 2 2 5 4" xfId="39080"/>
    <cellStyle name="Normal 65 2 2 5 5" xfId="39081"/>
    <cellStyle name="Normal 65 2 2 5 6" xfId="39082"/>
    <cellStyle name="Normal 65 2 3" xfId="39083"/>
    <cellStyle name="Normal 65 2 3 2" xfId="39084"/>
    <cellStyle name="Normal 65 2 3 2 2" xfId="39085"/>
    <cellStyle name="Normal 65 2 3 2 3" xfId="39086"/>
    <cellStyle name="Normal 65 2 3 2 4" xfId="39087"/>
    <cellStyle name="Normal 65 2 3 2 5" xfId="39088"/>
    <cellStyle name="Normal 65 2 3 2 6" xfId="39089"/>
    <cellStyle name="Normal 65 2 3 3" xfId="39090"/>
    <cellStyle name="Normal 65 2 3 3 2" xfId="39091"/>
    <cellStyle name="Normal 65 2 3 3 3" xfId="39092"/>
    <cellStyle name="Normal 65 2 3 3 4" xfId="39093"/>
    <cellStyle name="Normal 65 2 3 3 5" xfId="39094"/>
    <cellStyle name="Normal 65 2 3 3 6" xfId="39095"/>
    <cellStyle name="Normal 65 2 3 4" xfId="39096"/>
    <cellStyle name="Normal 65 2 3 4 2" xfId="39097"/>
    <cellStyle name="Normal 65 2 3 4 3" xfId="39098"/>
    <cellStyle name="Normal 65 2 3 4 4" xfId="39099"/>
    <cellStyle name="Normal 65 2 3 4 5" xfId="39100"/>
    <cellStyle name="Normal 65 2 3 4 6" xfId="39101"/>
    <cellStyle name="Normal 65 2 4" xfId="39102"/>
    <cellStyle name="Normal 65 2 4 2" xfId="39103"/>
    <cellStyle name="Normal 65 2 4 3" xfId="39104"/>
    <cellStyle name="Normal 65 2 4 4" xfId="39105"/>
    <cellStyle name="Normal 65 2 4 5" xfId="39106"/>
    <cellStyle name="Normal 65 2 4 6" xfId="39107"/>
    <cellStyle name="Normal 65 2 5" xfId="39108"/>
    <cellStyle name="Normal 65 2 5 2" xfId="39109"/>
    <cellStyle name="Normal 65 2 5 3" xfId="39110"/>
    <cellStyle name="Normal 65 2 5 4" xfId="39111"/>
    <cellStyle name="Normal 65 2 5 5" xfId="39112"/>
    <cellStyle name="Normal 65 2 5 6" xfId="39113"/>
    <cellStyle name="Normal 65 2 6" xfId="39114"/>
    <cellStyle name="Normal 65 2 6 2" xfId="39115"/>
    <cellStyle name="Normal 65 2 6 3" xfId="39116"/>
    <cellStyle name="Normal 65 2 6 4" xfId="39117"/>
    <cellStyle name="Normal 65 2 6 5" xfId="39118"/>
    <cellStyle name="Normal 65 2 6 6" xfId="39119"/>
    <cellStyle name="Normal 65 3" xfId="39120"/>
    <cellStyle name="Normal 65 3 10" xfId="39121"/>
    <cellStyle name="Normal 65 3 10 2" xfId="39122"/>
    <cellStyle name="Normal 65 3 10 2 2" xfId="39123"/>
    <cellStyle name="Normal 65 3 10 2 3" xfId="39124"/>
    <cellStyle name="Normal 65 3 10 2 4" xfId="39125"/>
    <cellStyle name="Normal 65 3 10 2 5" xfId="39126"/>
    <cellStyle name="Normal 65 3 10 2 6" xfId="39127"/>
    <cellStyle name="Normal 65 3 10 3" xfId="39128"/>
    <cellStyle name="Normal 65 3 10 3 2" xfId="39129"/>
    <cellStyle name="Normal 65 3 10 3 3" xfId="39130"/>
    <cellStyle name="Normal 65 3 10 3 4" xfId="39131"/>
    <cellStyle name="Normal 65 3 10 3 5" xfId="39132"/>
    <cellStyle name="Normal 65 3 10 3 6" xfId="39133"/>
    <cellStyle name="Normal 65 3 10 4" xfId="39134"/>
    <cellStyle name="Normal 65 3 10 4 2" xfId="39135"/>
    <cellStyle name="Normal 65 3 10 4 3" xfId="39136"/>
    <cellStyle name="Normal 65 3 10 4 4" xfId="39137"/>
    <cellStyle name="Normal 65 3 10 4 5" xfId="39138"/>
    <cellStyle name="Normal 65 3 10 4 6" xfId="39139"/>
    <cellStyle name="Normal 65 3 11" xfId="39140"/>
    <cellStyle name="Normal 65 3 11 2" xfId="39141"/>
    <cellStyle name="Normal 65 3 11 2 2" xfId="39142"/>
    <cellStyle name="Normal 65 3 11 2 3" xfId="39143"/>
    <cellStyle name="Normal 65 3 11 2 4" xfId="39144"/>
    <cellStyle name="Normal 65 3 11 2 5" xfId="39145"/>
    <cellStyle name="Normal 65 3 11 2 6" xfId="39146"/>
    <cellStyle name="Normal 65 3 11 3" xfId="39147"/>
    <cellStyle name="Normal 65 3 11 3 2" xfId="39148"/>
    <cellStyle name="Normal 65 3 11 3 3" xfId="39149"/>
    <cellStyle name="Normal 65 3 11 3 4" xfId="39150"/>
    <cellStyle name="Normal 65 3 11 3 5" xfId="39151"/>
    <cellStyle name="Normal 65 3 11 3 6" xfId="39152"/>
    <cellStyle name="Normal 65 3 11 4" xfId="39153"/>
    <cellStyle name="Normal 65 3 11 4 2" xfId="39154"/>
    <cellStyle name="Normal 65 3 11 4 3" xfId="39155"/>
    <cellStyle name="Normal 65 3 11 4 4" xfId="39156"/>
    <cellStyle name="Normal 65 3 11 4 5" xfId="39157"/>
    <cellStyle name="Normal 65 3 11 4 6" xfId="39158"/>
    <cellStyle name="Normal 65 3 12" xfId="39159"/>
    <cellStyle name="Normal 65 3 12 2" xfId="39160"/>
    <cellStyle name="Normal 65 3 12 2 2" xfId="39161"/>
    <cellStyle name="Normal 65 3 12 2 3" xfId="39162"/>
    <cellStyle name="Normal 65 3 12 2 4" xfId="39163"/>
    <cellStyle name="Normal 65 3 12 2 5" xfId="39164"/>
    <cellStyle name="Normal 65 3 12 2 6" xfId="39165"/>
    <cellStyle name="Normal 65 3 12 3" xfId="39166"/>
    <cellStyle name="Normal 65 3 12 3 2" xfId="39167"/>
    <cellStyle name="Normal 65 3 12 3 3" xfId="39168"/>
    <cellStyle name="Normal 65 3 12 3 4" xfId="39169"/>
    <cellStyle name="Normal 65 3 12 3 5" xfId="39170"/>
    <cellStyle name="Normal 65 3 12 3 6" xfId="39171"/>
    <cellStyle name="Normal 65 3 12 4" xfId="39172"/>
    <cellStyle name="Normal 65 3 12 4 2" xfId="39173"/>
    <cellStyle name="Normal 65 3 12 4 3" xfId="39174"/>
    <cellStyle name="Normal 65 3 12 4 4" xfId="39175"/>
    <cellStyle name="Normal 65 3 12 4 5" xfId="39176"/>
    <cellStyle name="Normal 65 3 12 4 6" xfId="39177"/>
    <cellStyle name="Normal 65 3 13" xfId="39178"/>
    <cellStyle name="Normal 65 3 13 2" xfId="39179"/>
    <cellStyle name="Normal 65 3 13 2 2" xfId="39180"/>
    <cellStyle name="Normal 65 3 13 2 3" xfId="39181"/>
    <cellStyle name="Normal 65 3 13 2 4" xfId="39182"/>
    <cellStyle name="Normal 65 3 13 2 5" xfId="39183"/>
    <cellStyle name="Normal 65 3 13 2 6" xfId="39184"/>
    <cellStyle name="Normal 65 3 13 3" xfId="39185"/>
    <cellStyle name="Normal 65 3 13 3 2" xfId="39186"/>
    <cellStyle name="Normal 65 3 13 3 3" xfId="39187"/>
    <cellStyle name="Normal 65 3 13 3 4" xfId="39188"/>
    <cellStyle name="Normal 65 3 13 3 5" xfId="39189"/>
    <cellStyle name="Normal 65 3 13 3 6" xfId="39190"/>
    <cellStyle name="Normal 65 3 13 4" xfId="39191"/>
    <cellStyle name="Normal 65 3 13 4 2" xfId="39192"/>
    <cellStyle name="Normal 65 3 13 4 3" xfId="39193"/>
    <cellStyle name="Normal 65 3 13 4 4" xfId="39194"/>
    <cellStyle name="Normal 65 3 13 4 5" xfId="39195"/>
    <cellStyle name="Normal 65 3 13 4 6" xfId="39196"/>
    <cellStyle name="Normal 65 3 14" xfId="39197"/>
    <cellStyle name="Normal 65 3 14 2" xfId="39198"/>
    <cellStyle name="Normal 65 3 14 2 2" xfId="39199"/>
    <cellStyle name="Normal 65 3 14 2 3" xfId="39200"/>
    <cellStyle name="Normal 65 3 14 2 4" xfId="39201"/>
    <cellStyle name="Normal 65 3 14 2 5" xfId="39202"/>
    <cellStyle name="Normal 65 3 14 2 6" xfId="39203"/>
    <cellStyle name="Normal 65 3 14 3" xfId="39204"/>
    <cellStyle name="Normal 65 3 14 3 2" xfId="39205"/>
    <cellStyle name="Normal 65 3 14 3 3" xfId="39206"/>
    <cellStyle name="Normal 65 3 14 3 4" xfId="39207"/>
    <cellStyle name="Normal 65 3 14 3 5" xfId="39208"/>
    <cellStyle name="Normal 65 3 14 3 6" xfId="39209"/>
    <cellStyle name="Normal 65 3 14 4" xfId="39210"/>
    <cellStyle name="Normal 65 3 14 4 2" xfId="39211"/>
    <cellStyle name="Normal 65 3 14 4 3" xfId="39212"/>
    <cellStyle name="Normal 65 3 14 4 4" xfId="39213"/>
    <cellStyle name="Normal 65 3 14 4 5" xfId="39214"/>
    <cellStyle name="Normal 65 3 14 4 6" xfId="39215"/>
    <cellStyle name="Normal 65 3 15" xfId="39216"/>
    <cellStyle name="Normal 65 3 15 2" xfId="39217"/>
    <cellStyle name="Normal 65 3 15 2 2" xfId="39218"/>
    <cellStyle name="Normal 65 3 15 2 3" xfId="39219"/>
    <cellStyle name="Normal 65 3 15 2 4" xfId="39220"/>
    <cellStyle name="Normal 65 3 15 2 5" xfId="39221"/>
    <cellStyle name="Normal 65 3 15 2 6" xfId="39222"/>
    <cellStyle name="Normal 65 3 15 3" xfId="39223"/>
    <cellStyle name="Normal 65 3 15 3 2" xfId="39224"/>
    <cellStyle name="Normal 65 3 15 3 3" xfId="39225"/>
    <cellStyle name="Normal 65 3 15 3 4" xfId="39226"/>
    <cellStyle name="Normal 65 3 15 3 5" xfId="39227"/>
    <cellStyle name="Normal 65 3 15 3 6" xfId="39228"/>
    <cellStyle name="Normal 65 3 15 4" xfId="39229"/>
    <cellStyle name="Normal 65 3 15 4 2" xfId="39230"/>
    <cellStyle name="Normal 65 3 15 4 3" xfId="39231"/>
    <cellStyle name="Normal 65 3 15 4 4" xfId="39232"/>
    <cellStyle name="Normal 65 3 15 4 5" xfId="39233"/>
    <cellStyle name="Normal 65 3 15 4 6" xfId="39234"/>
    <cellStyle name="Normal 65 3 16" xfId="39235"/>
    <cellStyle name="Normal 65 3 16 2" xfId="39236"/>
    <cellStyle name="Normal 65 3 16 2 2" xfId="39237"/>
    <cellStyle name="Normal 65 3 16 2 3" xfId="39238"/>
    <cellStyle name="Normal 65 3 16 2 4" xfId="39239"/>
    <cellStyle name="Normal 65 3 16 2 5" xfId="39240"/>
    <cellStyle name="Normal 65 3 16 2 6" xfId="39241"/>
    <cellStyle name="Normal 65 3 16 3" xfId="39242"/>
    <cellStyle name="Normal 65 3 16 3 2" xfId="39243"/>
    <cellStyle name="Normal 65 3 16 3 3" xfId="39244"/>
    <cellStyle name="Normal 65 3 16 3 4" xfId="39245"/>
    <cellStyle name="Normal 65 3 16 3 5" xfId="39246"/>
    <cellStyle name="Normal 65 3 16 3 6" xfId="39247"/>
    <cellStyle name="Normal 65 3 16 4" xfId="39248"/>
    <cellStyle name="Normal 65 3 16 4 2" xfId="39249"/>
    <cellStyle name="Normal 65 3 16 4 3" xfId="39250"/>
    <cellStyle name="Normal 65 3 16 4 4" xfId="39251"/>
    <cellStyle name="Normal 65 3 16 4 5" xfId="39252"/>
    <cellStyle name="Normal 65 3 16 4 6" xfId="39253"/>
    <cellStyle name="Normal 65 3 17" xfId="39254"/>
    <cellStyle name="Normal 65 3 17 2" xfId="39255"/>
    <cellStyle name="Normal 65 3 17 2 2" xfId="39256"/>
    <cellStyle name="Normal 65 3 17 2 3" xfId="39257"/>
    <cellStyle name="Normal 65 3 17 2 4" xfId="39258"/>
    <cellStyle name="Normal 65 3 17 2 5" xfId="39259"/>
    <cellStyle name="Normal 65 3 17 2 6" xfId="39260"/>
    <cellStyle name="Normal 65 3 17 3" xfId="39261"/>
    <cellStyle name="Normal 65 3 17 3 2" xfId="39262"/>
    <cellStyle name="Normal 65 3 17 3 3" xfId="39263"/>
    <cellStyle name="Normal 65 3 17 3 4" xfId="39264"/>
    <cellStyle name="Normal 65 3 17 3 5" xfId="39265"/>
    <cellStyle name="Normal 65 3 17 3 6" xfId="39266"/>
    <cellStyle name="Normal 65 3 17 4" xfId="39267"/>
    <cellStyle name="Normal 65 3 17 4 2" xfId="39268"/>
    <cellStyle name="Normal 65 3 17 4 3" xfId="39269"/>
    <cellStyle name="Normal 65 3 17 4 4" xfId="39270"/>
    <cellStyle name="Normal 65 3 17 4 5" xfId="39271"/>
    <cellStyle name="Normal 65 3 17 4 6" xfId="39272"/>
    <cellStyle name="Normal 65 3 18" xfId="39273"/>
    <cellStyle name="Normal 65 3 18 2" xfId="39274"/>
    <cellStyle name="Normal 65 3 18 2 2" xfId="39275"/>
    <cellStyle name="Normal 65 3 18 2 3" xfId="39276"/>
    <cellStyle name="Normal 65 3 18 2 4" xfId="39277"/>
    <cellStyle name="Normal 65 3 18 2 5" xfId="39278"/>
    <cellStyle name="Normal 65 3 18 2 6" xfId="39279"/>
    <cellStyle name="Normal 65 3 18 3" xfId="39280"/>
    <cellStyle name="Normal 65 3 18 3 2" xfId="39281"/>
    <cellStyle name="Normal 65 3 18 3 3" xfId="39282"/>
    <cellStyle name="Normal 65 3 18 3 4" xfId="39283"/>
    <cellStyle name="Normal 65 3 18 3 5" xfId="39284"/>
    <cellStyle name="Normal 65 3 18 3 6" xfId="39285"/>
    <cellStyle name="Normal 65 3 18 4" xfId="39286"/>
    <cellStyle name="Normal 65 3 18 4 2" xfId="39287"/>
    <cellStyle name="Normal 65 3 18 4 3" xfId="39288"/>
    <cellStyle name="Normal 65 3 18 4 4" xfId="39289"/>
    <cellStyle name="Normal 65 3 18 4 5" xfId="39290"/>
    <cellStyle name="Normal 65 3 18 4 6" xfId="39291"/>
    <cellStyle name="Normal 65 3 19" xfId="39292"/>
    <cellStyle name="Normal 65 3 19 2" xfId="39293"/>
    <cellStyle name="Normal 65 3 19 2 2" xfId="39294"/>
    <cellStyle name="Normal 65 3 19 2 3" xfId="39295"/>
    <cellStyle name="Normal 65 3 19 2 4" xfId="39296"/>
    <cellStyle name="Normal 65 3 19 2 5" xfId="39297"/>
    <cellStyle name="Normal 65 3 19 2 6" xfId="39298"/>
    <cellStyle name="Normal 65 3 19 3" xfId="39299"/>
    <cellStyle name="Normal 65 3 19 3 2" xfId="39300"/>
    <cellStyle name="Normal 65 3 19 3 3" xfId="39301"/>
    <cellStyle name="Normal 65 3 19 3 4" xfId="39302"/>
    <cellStyle name="Normal 65 3 19 3 5" xfId="39303"/>
    <cellStyle name="Normal 65 3 19 3 6" xfId="39304"/>
    <cellStyle name="Normal 65 3 19 4" xfId="39305"/>
    <cellStyle name="Normal 65 3 19 4 2" xfId="39306"/>
    <cellStyle name="Normal 65 3 19 4 3" xfId="39307"/>
    <cellStyle name="Normal 65 3 19 4 4" xfId="39308"/>
    <cellStyle name="Normal 65 3 19 4 5" xfId="39309"/>
    <cellStyle name="Normal 65 3 19 4 6" xfId="39310"/>
    <cellStyle name="Normal 65 3 2" xfId="39311"/>
    <cellStyle name="Normal 65 3 2 10" xfId="39312"/>
    <cellStyle name="Normal 65 3 2 10 2" xfId="39313"/>
    <cellStyle name="Normal 65 3 2 10 2 2" xfId="39314"/>
    <cellStyle name="Normal 65 3 2 10 2 3" xfId="39315"/>
    <cellStyle name="Normal 65 3 2 10 2 4" xfId="39316"/>
    <cellStyle name="Normal 65 3 2 10 2 5" xfId="39317"/>
    <cellStyle name="Normal 65 3 2 10 2 6" xfId="39318"/>
    <cellStyle name="Normal 65 3 2 10 3" xfId="39319"/>
    <cellStyle name="Normal 65 3 2 10 3 2" xfId="39320"/>
    <cellStyle name="Normal 65 3 2 10 3 3" xfId="39321"/>
    <cellStyle name="Normal 65 3 2 10 3 4" xfId="39322"/>
    <cellStyle name="Normal 65 3 2 10 3 5" xfId="39323"/>
    <cellStyle name="Normal 65 3 2 10 3 6" xfId="39324"/>
    <cellStyle name="Normal 65 3 2 10 4" xfId="39325"/>
    <cellStyle name="Normal 65 3 2 10 4 2" xfId="39326"/>
    <cellStyle name="Normal 65 3 2 10 4 3" xfId="39327"/>
    <cellStyle name="Normal 65 3 2 10 4 4" xfId="39328"/>
    <cellStyle name="Normal 65 3 2 10 4 5" xfId="39329"/>
    <cellStyle name="Normal 65 3 2 10 4 6" xfId="39330"/>
    <cellStyle name="Normal 65 3 2 11" xfId="39331"/>
    <cellStyle name="Normal 65 3 2 11 2" xfId="39332"/>
    <cellStyle name="Normal 65 3 2 11 2 2" xfId="39333"/>
    <cellStyle name="Normal 65 3 2 11 2 3" xfId="39334"/>
    <cellStyle name="Normal 65 3 2 11 2 4" xfId="39335"/>
    <cellStyle name="Normal 65 3 2 11 2 5" xfId="39336"/>
    <cellStyle name="Normal 65 3 2 11 2 6" xfId="39337"/>
    <cellStyle name="Normal 65 3 2 11 3" xfId="39338"/>
    <cellStyle name="Normal 65 3 2 11 3 2" xfId="39339"/>
    <cellStyle name="Normal 65 3 2 11 3 3" xfId="39340"/>
    <cellStyle name="Normal 65 3 2 11 3 4" xfId="39341"/>
    <cellStyle name="Normal 65 3 2 11 3 5" xfId="39342"/>
    <cellStyle name="Normal 65 3 2 11 3 6" xfId="39343"/>
    <cellStyle name="Normal 65 3 2 11 4" xfId="39344"/>
    <cellStyle name="Normal 65 3 2 11 4 2" xfId="39345"/>
    <cellStyle name="Normal 65 3 2 11 4 3" xfId="39346"/>
    <cellStyle name="Normal 65 3 2 11 4 4" xfId="39347"/>
    <cellStyle name="Normal 65 3 2 11 4 5" xfId="39348"/>
    <cellStyle name="Normal 65 3 2 11 4 6" xfId="39349"/>
    <cellStyle name="Normal 65 3 2 12" xfId="39350"/>
    <cellStyle name="Normal 65 3 2 12 2" xfId="39351"/>
    <cellStyle name="Normal 65 3 2 12 2 2" xfId="39352"/>
    <cellStyle name="Normal 65 3 2 12 2 3" xfId="39353"/>
    <cellStyle name="Normal 65 3 2 12 2 4" xfId="39354"/>
    <cellStyle name="Normal 65 3 2 12 2 5" xfId="39355"/>
    <cellStyle name="Normal 65 3 2 12 2 6" xfId="39356"/>
    <cellStyle name="Normal 65 3 2 12 3" xfId="39357"/>
    <cellStyle name="Normal 65 3 2 12 3 2" xfId="39358"/>
    <cellStyle name="Normal 65 3 2 12 3 3" xfId="39359"/>
    <cellStyle name="Normal 65 3 2 12 3 4" xfId="39360"/>
    <cellStyle name="Normal 65 3 2 12 3 5" xfId="39361"/>
    <cellStyle name="Normal 65 3 2 12 3 6" xfId="39362"/>
    <cellStyle name="Normal 65 3 2 12 4" xfId="39363"/>
    <cellStyle name="Normal 65 3 2 12 4 2" xfId="39364"/>
    <cellStyle name="Normal 65 3 2 12 4 3" xfId="39365"/>
    <cellStyle name="Normal 65 3 2 12 4 4" xfId="39366"/>
    <cellStyle name="Normal 65 3 2 12 4 5" xfId="39367"/>
    <cellStyle name="Normal 65 3 2 12 4 6" xfId="39368"/>
    <cellStyle name="Normal 65 3 2 13" xfId="39369"/>
    <cellStyle name="Normal 65 3 2 13 2" xfId="39370"/>
    <cellStyle name="Normal 65 3 2 13 2 2" xfId="39371"/>
    <cellStyle name="Normal 65 3 2 13 2 3" xfId="39372"/>
    <cellStyle name="Normal 65 3 2 13 2 4" xfId="39373"/>
    <cellStyle name="Normal 65 3 2 13 2 5" xfId="39374"/>
    <cellStyle name="Normal 65 3 2 13 2 6" xfId="39375"/>
    <cellStyle name="Normal 65 3 2 13 3" xfId="39376"/>
    <cellStyle name="Normal 65 3 2 13 3 2" xfId="39377"/>
    <cellStyle name="Normal 65 3 2 13 3 3" xfId="39378"/>
    <cellStyle name="Normal 65 3 2 13 3 4" xfId="39379"/>
    <cellStyle name="Normal 65 3 2 13 3 5" xfId="39380"/>
    <cellStyle name="Normal 65 3 2 13 3 6" xfId="39381"/>
    <cellStyle name="Normal 65 3 2 13 4" xfId="39382"/>
    <cellStyle name="Normal 65 3 2 13 4 2" xfId="39383"/>
    <cellStyle name="Normal 65 3 2 13 4 3" xfId="39384"/>
    <cellStyle name="Normal 65 3 2 13 4 4" xfId="39385"/>
    <cellStyle name="Normal 65 3 2 13 4 5" xfId="39386"/>
    <cellStyle name="Normal 65 3 2 13 4 6" xfId="39387"/>
    <cellStyle name="Normal 65 3 2 14" xfId="39388"/>
    <cellStyle name="Normal 65 3 2 14 2" xfId="39389"/>
    <cellStyle name="Normal 65 3 2 14 2 2" xfId="39390"/>
    <cellStyle name="Normal 65 3 2 14 2 3" xfId="39391"/>
    <cellStyle name="Normal 65 3 2 14 2 4" xfId="39392"/>
    <cellStyle name="Normal 65 3 2 14 2 5" xfId="39393"/>
    <cellStyle name="Normal 65 3 2 14 2 6" xfId="39394"/>
    <cellStyle name="Normal 65 3 2 14 3" xfId="39395"/>
    <cellStyle name="Normal 65 3 2 14 3 2" xfId="39396"/>
    <cellStyle name="Normal 65 3 2 14 3 3" xfId="39397"/>
    <cellStyle name="Normal 65 3 2 14 3 4" xfId="39398"/>
    <cellStyle name="Normal 65 3 2 14 3 5" xfId="39399"/>
    <cellStyle name="Normal 65 3 2 14 3 6" xfId="39400"/>
    <cellStyle name="Normal 65 3 2 14 4" xfId="39401"/>
    <cellStyle name="Normal 65 3 2 14 4 2" xfId="39402"/>
    <cellStyle name="Normal 65 3 2 14 4 3" xfId="39403"/>
    <cellStyle name="Normal 65 3 2 14 4 4" xfId="39404"/>
    <cellStyle name="Normal 65 3 2 14 4 5" xfId="39405"/>
    <cellStyle name="Normal 65 3 2 14 4 6" xfId="39406"/>
    <cellStyle name="Normal 65 3 2 15" xfId="39407"/>
    <cellStyle name="Normal 65 3 2 15 2" xfId="39408"/>
    <cellStyle name="Normal 65 3 2 15 2 2" xfId="39409"/>
    <cellStyle name="Normal 65 3 2 15 2 3" xfId="39410"/>
    <cellStyle name="Normal 65 3 2 15 2 4" xfId="39411"/>
    <cellStyle name="Normal 65 3 2 15 2 5" xfId="39412"/>
    <cellStyle name="Normal 65 3 2 15 2 6" xfId="39413"/>
    <cellStyle name="Normal 65 3 2 15 3" xfId="39414"/>
    <cellStyle name="Normal 65 3 2 15 3 2" xfId="39415"/>
    <cellStyle name="Normal 65 3 2 15 3 3" xfId="39416"/>
    <cellStyle name="Normal 65 3 2 15 3 4" xfId="39417"/>
    <cellStyle name="Normal 65 3 2 15 3 5" xfId="39418"/>
    <cellStyle name="Normal 65 3 2 15 3 6" xfId="39419"/>
    <cellStyle name="Normal 65 3 2 15 4" xfId="39420"/>
    <cellStyle name="Normal 65 3 2 15 4 2" xfId="39421"/>
    <cellStyle name="Normal 65 3 2 15 4 3" xfId="39422"/>
    <cellStyle name="Normal 65 3 2 15 4 4" xfId="39423"/>
    <cellStyle name="Normal 65 3 2 15 4 5" xfId="39424"/>
    <cellStyle name="Normal 65 3 2 15 4 6" xfId="39425"/>
    <cellStyle name="Normal 65 3 2 16" xfId="39426"/>
    <cellStyle name="Normal 65 3 2 16 2" xfId="39427"/>
    <cellStyle name="Normal 65 3 2 16 2 2" xfId="39428"/>
    <cellStyle name="Normal 65 3 2 16 2 3" xfId="39429"/>
    <cellStyle name="Normal 65 3 2 16 2 4" xfId="39430"/>
    <cellStyle name="Normal 65 3 2 16 2 5" xfId="39431"/>
    <cellStyle name="Normal 65 3 2 16 2 6" xfId="39432"/>
    <cellStyle name="Normal 65 3 2 16 3" xfId="39433"/>
    <cellStyle name="Normal 65 3 2 16 3 2" xfId="39434"/>
    <cellStyle name="Normal 65 3 2 16 3 3" xfId="39435"/>
    <cellStyle name="Normal 65 3 2 16 3 4" xfId="39436"/>
    <cellStyle name="Normal 65 3 2 16 3 5" xfId="39437"/>
    <cellStyle name="Normal 65 3 2 16 3 6" xfId="39438"/>
    <cellStyle name="Normal 65 3 2 16 4" xfId="39439"/>
    <cellStyle name="Normal 65 3 2 16 4 2" xfId="39440"/>
    <cellStyle name="Normal 65 3 2 16 4 3" xfId="39441"/>
    <cellStyle name="Normal 65 3 2 16 4 4" xfId="39442"/>
    <cellStyle name="Normal 65 3 2 16 4 5" xfId="39443"/>
    <cellStyle name="Normal 65 3 2 16 4 6" xfId="39444"/>
    <cellStyle name="Normal 65 3 2 17" xfId="39445"/>
    <cellStyle name="Normal 65 3 2 17 2" xfId="39446"/>
    <cellStyle name="Normal 65 3 2 17 2 2" xfId="39447"/>
    <cellStyle name="Normal 65 3 2 17 2 3" xfId="39448"/>
    <cellStyle name="Normal 65 3 2 17 2 4" xfId="39449"/>
    <cellStyle name="Normal 65 3 2 17 2 5" xfId="39450"/>
    <cellStyle name="Normal 65 3 2 17 2 6" xfId="39451"/>
    <cellStyle name="Normal 65 3 2 17 3" xfId="39452"/>
    <cellStyle name="Normal 65 3 2 17 3 2" xfId="39453"/>
    <cellStyle name="Normal 65 3 2 17 3 3" xfId="39454"/>
    <cellStyle name="Normal 65 3 2 17 3 4" xfId="39455"/>
    <cellStyle name="Normal 65 3 2 17 3 5" xfId="39456"/>
    <cellStyle name="Normal 65 3 2 17 3 6" xfId="39457"/>
    <cellStyle name="Normal 65 3 2 17 4" xfId="39458"/>
    <cellStyle name="Normal 65 3 2 17 4 2" xfId="39459"/>
    <cellStyle name="Normal 65 3 2 17 4 3" xfId="39460"/>
    <cellStyle name="Normal 65 3 2 17 4 4" xfId="39461"/>
    <cellStyle name="Normal 65 3 2 17 4 5" xfId="39462"/>
    <cellStyle name="Normal 65 3 2 17 4 6" xfId="39463"/>
    <cellStyle name="Normal 65 3 2 18" xfId="39464"/>
    <cellStyle name="Normal 65 3 2 18 2" xfId="39465"/>
    <cellStyle name="Normal 65 3 2 18 2 2" xfId="39466"/>
    <cellStyle name="Normal 65 3 2 18 2 3" xfId="39467"/>
    <cellStyle name="Normal 65 3 2 18 2 4" xfId="39468"/>
    <cellStyle name="Normal 65 3 2 18 2 5" xfId="39469"/>
    <cellStyle name="Normal 65 3 2 18 2 6" xfId="39470"/>
    <cellStyle name="Normal 65 3 2 18 3" xfId="39471"/>
    <cellStyle name="Normal 65 3 2 18 3 2" xfId="39472"/>
    <cellStyle name="Normal 65 3 2 18 3 3" xfId="39473"/>
    <cellStyle name="Normal 65 3 2 18 3 4" xfId="39474"/>
    <cellStyle name="Normal 65 3 2 18 3 5" xfId="39475"/>
    <cellStyle name="Normal 65 3 2 18 3 6" xfId="39476"/>
    <cellStyle name="Normal 65 3 2 18 4" xfId="39477"/>
    <cellStyle name="Normal 65 3 2 18 4 2" xfId="39478"/>
    <cellStyle name="Normal 65 3 2 18 4 3" xfId="39479"/>
    <cellStyle name="Normal 65 3 2 18 4 4" xfId="39480"/>
    <cellStyle name="Normal 65 3 2 18 4 5" xfId="39481"/>
    <cellStyle name="Normal 65 3 2 18 4 6" xfId="39482"/>
    <cellStyle name="Normal 65 3 2 19" xfId="39483"/>
    <cellStyle name="Normal 65 3 2 19 2" xfId="39484"/>
    <cellStyle name="Normal 65 3 2 19 2 2" xfId="39485"/>
    <cellStyle name="Normal 65 3 2 19 2 3" xfId="39486"/>
    <cellStyle name="Normal 65 3 2 19 2 4" xfId="39487"/>
    <cellStyle name="Normal 65 3 2 19 2 5" xfId="39488"/>
    <cellStyle name="Normal 65 3 2 19 2 6" xfId="39489"/>
    <cellStyle name="Normal 65 3 2 19 3" xfId="39490"/>
    <cellStyle name="Normal 65 3 2 19 3 2" xfId="39491"/>
    <cellStyle name="Normal 65 3 2 19 3 3" xfId="39492"/>
    <cellStyle name="Normal 65 3 2 19 3 4" xfId="39493"/>
    <cellStyle name="Normal 65 3 2 19 3 5" xfId="39494"/>
    <cellStyle name="Normal 65 3 2 19 3 6" xfId="39495"/>
    <cellStyle name="Normal 65 3 2 19 4" xfId="39496"/>
    <cellStyle name="Normal 65 3 2 19 4 2" xfId="39497"/>
    <cellStyle name="Normal 65 3 2 19 4 3" xfId="39498"/>
    <cellStyle name="Normal 65 3 2 19 4 4" xfId="39499"/>
    <cellStyle name="Normal 65 3 2 19 4 5" xfId="39500"/>
    <cellStyle name="Normal 65 3 2 19 4 6" xfId="39501"/>
    <cellStyle name="Normal 65 3 2 2" xfId="39502"/>
    <cellStyle name="Normal 65 3 2 2 10" xfId="39503"/>
    <cellStyle name="Normal 65 3 2 2 10 2" xfId="39504"/>
    <cellStyle name="Normal 65 3 2 2 10 2 2" xfId="39505"/>
    <cellStyle name="Normal 65 3 2 2 10 2 3" xfId="39506"/>
    <cellStyle name="Normal 65 3 2 2 10 2 4" xfId="39507"/>
    <cellStyle name="Normal 65 3 2 2 10 2 5" xfId="39508"/>
    <cellStyle name="Normal 65 3 2 2 10 2 6" xfId="39509"/>
    <cellStyle name="Normal 65 3 2 2 10 3" xfId="39510"/>
    <cellStyle name="Normal 65 3 2 2 10 3 2" xfId="39511"/>
    <cellStyle name="Normal 65 3 2 2 10 3 3" xfId="39512"/>
    <cellStyle name="Normal 65 3 2 2 10 3 4" xfId="39513"/>
    <cellStyle name="Normal 65 3 2 2 10 3 5" xfId="39514"/>
    <cellStyle name="Normal 65 3 2 2 10 3 6" xfId="39515"/>
    <cellStyle name="Normal 65 3 2 2 10 4" xfId="39516"/>
    <cellStyle name="Normal 65 3 2 2 10 4 2" xfId="39517"/>
    <cellStyle name="Normal 65 3 2 2 10 4 3" xfId="39518"/>
    <cellStyle name="Normal 65 3 2 2 10 4 4" xfId="39519"/>
    <cellStyle name="Normal 65 3 2 2 10 4 5" xfId="39520"/>
    <cellStyle name="Normal 65 3 2 2 10 4 6" xfId="39521"/>
    <cellStyle name="Normal 65 3 2 2 11" xfId="39522"/>
    <cellStyle name="Normal 65 3 2 2 11 2" xfId="39523"/>
    <cellStyle name="Normal 65 3 2 2 11 2 2" xfId="39524"/>
    <cellStyle name="Normal 65 3 2 2 11 2 3" xfId="39525"/>
    <cellStyle name="Normal 65 3 2 2 11 2 4" xfId="39526"/>
    <cellStyle name="Normal 65 3 2 2 11 2 5" xfId="39527"/>
    <cellStyle name="Normal 65 3 2 2 11 2 6" xfId="39528"/>
    <cellStyle name="Normal 65 3 2 2 11 3" xfId="39529"/>
    <cellStyle name="Normal 65 3 2 2 11 3 2" xfId="39530"/>
    <cellStyle name="Normal 65 3 2 2 11 3 3" xfId="39531"/>
    <cellStyle name="Normal 65 3 2 2 11 3 4" xfId="39532"/>
    <cellStyle name="Normal 65 3 2 2 11 3 5" xfId="39533"/>
    <cellStyle name="Normal 65 3 2 2 11 3 6" xfId="39534"/>
    <cellStyle name="Normal 65 3 2 2 11 4" xfId="39535"/>
    <cellStyle name="Normal 65 3 2 2 11 4 2" xfId="39536"/>
    <cellStyle name="Normal 65 3 2 2 11 4 3" xfId="39537"/>
    <cellStyle name="Normal 65 3 2 2 11 4 4" xfId="39538"/>
    <cellStyle name="Normal 65 3 2 2 11 4 5" xfId="39539"/>
    <cellStyle name="Normal 65 3 2 2 11 4 6" xfId="39540"/>
    <cellStyle name="Normal 65 3 2 2 12" xfId="39541"/>
    <cellStyle name="Normal 65 3 2 2 12 2" xfId="39542"/>
    <cellStyle name="Normal 65 3 2 2 12 2 2" xfId="39543"/>
    <cellStyle name="Normal 65 3 2 2 12 2 3" xfId="39544"/>
    <cellStyle name="Normal 65 3 2 2 12 2 4" xfId="39545"/>
    <cellStyle name="Normal 65 3 2 2 12 2 5" xfId="39546"/>
    <cellStyle name="Normal 65 3 2 2 12 2 6" xfId="39547"/>
    <cellStyle name="Normal 65 3 2 2 12 3" xfId="39548"/>
    <cellStyle name="Normal 65 3 2 2 12 3 2" xfId="39549"/>
    <cellStyle name="Normal 65 3 2 2 12 3 3" xfId="39550"/>
    <cellStyle name="Normal 65 3 2 2 12 3 4" xfId="39551"/>
    <cellStyle name="Normal 65 3 2 2 12 3 5" xfId="39552"/>
    <cellStyle name="Normal 65 3 2 2 12 3 6" xfId="39553"/>
    <cellStyle name="Normal 65 3 2 2 12 4" xfId="39554"/>
    <cellStyle name="Normal 65 3 2 2 12 4 2" xfId="39555"/>
    <cellStyle name="Normal 65 3 2 2 12 4 3" xfId="39556"/>
    <cellStyle name="Normal 65 3 2 2 12 4 4" xfId="39557"/>
    <cellStyle name="Normal 65 3 2 2 12 4 5" xfId="39558"/>
    <cellStyle name="Normal 65 3 2 2 12 4 6" xfId="39559"/>
    <cellStyle name="Normal 65 3 2 2 13" xfId="39560"/>
    <cellStyle name="Normal 65 3 2 2 13 2" xfId="39561"/>
    <cellStyle name="Normal 65 3 2 2 13 2 2" xfId="39562"/>
    <cellStyle name="Normal 65 3 2 2 13 2 3" xfId="39563"/>
    <cellStyle name="Normal 65 3 2 2 13 2 4" xfId="39564"/>
    <cellStyle name="Normal 65 3 2 2 13 2 5" xfId="39565"/>
    <cellStyle name="Normal 65 3 2 2 13 2 6" xfId="39566"/>
    <cellStyle name="Normal 65 3 2 2 13 3" xfId="39567"/>
    <cellStyle name="Normal 65 3 2 2 13 3 2" xfId="39568"/>
    <cellStyle name="Normal 65 3 2 2 13 3 3" xfId="39569"/>
    <cellStyle name="Normal 65 3 2 2 13 3 4" xfId="39570"/>
    <cellStyle name="Normal 65 3 2 2 13 3 5" xfId="39571"/>
    <cellStyle name="Normal 65 3 2 2 13 3 6" xfId="39572"/>
    <cellStyle name="Normal 65 3 2 2 13 4" xfId="39573"/>
    <cellStyle name="Normal 65 3 2 2 13 4 2" xfId="39574"/>
    <cellStyle name="Normal 65 3 2 2 13 4 3" xfId="39575"/>
    <cellStyle name="Normal 65 3 2 2 13 4 4" xfId="39576"/>
    <cellStyle name="Normal 65 3 2 2 13 4 5" xfId="39577"/>
    <cellStyle name="Normal 65 3 2 2 13 4 6" xfId="39578"/>
    <cellStyle name="Normal 65 3 2 2 14" xfId="39579"/>
    <cellStyle name="Normal 65 3 2 2 14 2" xfId="39580"/>
    <cellStyle name="Normal 65 3 2 2 14 2 2" xfId="39581"/>
    <cellStyle name="Normal 65 3 2 2 14 2 3" xfId="39582"/>
    <cellStyle name="Normal 65 3 2 2 14 2 4" xfId="39583"/>
    <cellStyle name="Normal 65 3 2 2 14 2 5" xfId="39584"/>
    <cellStyle name="Normal 65 3 2 2 14 2 6" xfId="39585"/>
    <cellStyle name="Normal 65 3 2 2 14 3" xfId="39586"/>
    <cellStyle name="Normal 65 3 2 2 14 3 2" xfId="39587"/>
    <cellStyle name="Normal 65 3 2 2 14 3 3" xfId="39588"/>
    <cellStyle name="Normal 65 3 2 2 14 3 4" xfId="39589"/>
    <cellStyle name="Normal 65 3 2 2 14 3 5" xfId="39590"/>
    <cellStyle name="Normal 65 3 2 2 14 3 6" xfId="39591"/>
    <cellStyle name="Normal 65 3 2 2 14 4" xfId="39592"/>
    <cellStyle name="Normal 65 3 2 2 14 4 2" xfId="39593"/>
    <cellStyle name="Normal 65 3 2 2 14 4 3" xfId="39594"/>
    <cellStyle name="Normal 65 3 2 2 14 4 4" xfId="39595"/>
    <cellStyle name="Normal 65 3 2 2 14 4 5" xfId="39596"/>
    <cellStyle name="Normal 65 3 2 2 14 4 6" xfId="39597"/>
    <cellStyle name="Normal 65 3 2 2 15" xfId="39598"/>
    <cellStyle name="Normal 65 3 2 2 15 2" xfId="39599"/>
    <cellStyle name="Normal 65 3 2 2 15 2 2" xfId="39600"/>
    <cellStyle name="Normal 65 3 2 2 15 2 3" xfId="39601"/>
    <cellStyle name="Normal 65 3 2 2 15 2 4" xfId="39602"/>
    <cellStyle name="Normal 65 3 2 2 15 2 5" xfId="39603"/>
    <cellStyle name="Normal 65 3 2 2 15 2 6" xfId="39604"/>
    <cellStyle name="Normal 65 3 2 2 15 3" xfId="39605"/>
    <cellStyle name="Normal 65 3 2 2 15 3 2" xfId="39606"/>
    <cellStyle name="Normal 65 3 2 2 15 3 3" xfId="39607"/>
    <cellStyle name="Normal 65 3 2 2 15 3 4" xfId="39608"/>
    <cellStyle name="Normal 65 3 2 2 15 3 5" xfId="39609"/>
    <cellStyle name="Normal 65 3 2 2 15 3 6" xfId="39610"/>
    <cellStyle name="Normal 65 3 2 2 15 4" xfId="39611"/>
    <cellStyle name="Normal 65 3 2 2 15 4 2" xfId="39612"/>
    <cellStyle name="Normal 65 3 2 2 15 4 3" xfId="39613"/>
    <cellStyle name="Normal 65 3 2 2 15 4 4" xfId="39614"/>
    <cellStyle name="Normal 65 3 2 2 15 4 5" xfId="39615"/>
    <cellStyle name="Normal 65 3 2 2 15 4 6" xfId="39616"/>
    <cellStyle name="Normal 65 3 2 2 16" xfId="39617"/>
    <cellStyle name="Normal 65 3 2 2 16 2" xfId="39618"/>
    <cellStyle name="Normal 65 3 2 2 16 2 2" xfId="39619"/>
    <cellStyle name="Normal 65 3 2 2 16 2 3" xfId="39620"/>
    <cellStyle name="Normal 65 3 2 2 16 2 4" xfId="39621"/>
    <cellStyle name="Normal 65 3 2 2 16 2 5" xfId="39622"/>
    <cellStyle name="Normal 65 3 2 2 16 2 6" xfId="39623"/>
    <cellStyle name="Normal 65 3 2 2 16 3" xfId="39624"/>
    <cellStyle name="Normal 65 3 2 2 16 3 2" xfId="39625"/>
    <cellStyle name="Normal 65 3 2 2 16 3 3" xfId="39626"/>
    <cellStyle name="Normal 65 3 2 2 16 3 4" xfId="39627"/>
    <cellStyle name="Normal 65 3 2 2 16 3 5" xfId="39628"/>
    <cellStyle name="Normal 65 3 2 2 16 3 6" xfId="39629"/>
    <cellStyle name="Normal 65 3 2 2 16 4" xfId="39630"/>
    <cellStyle name="Normal 65 3 2 2 16 4 2" xfId="39631"/>
    <cellStyle name="Normal 65 3 2 2 16 4 3" xfId="39632"/>
    <cellStyle name="Normal 65 3 2 2 16 4 4" xfId="39633"/>
    <cellStyle name="Normal 65 3 2 2 16 4 5" xfId="39634"/>
    <cellStyle name="Normal 65 3 2 2 16 4 6" xfId="39635"/>
    <cellStyle name="Normal 65 3 2 2 17" xfId="39636"/>
    <cellStyle name="Normal 65 3 2 2 17 2" xfId="39637"/>
    <cellStyle name="Normal 65 3 2 2 17 3" xfId="39638"/>
    <cellStyle name="Normal 65 3 2 2 17 4" xfId="39639"/>
    <cellStyle name="Normal 65 3 2 2 17 5" xfId="39640"/>
    <cellStyle name="Normal 65 3 2 2 17 6" xfId="39641"/>
    <cellStyle name="Normal 65 3 2 2 18" xfId="39642"/>
    <cellStyle name="Normal 65 3 2 2 18 2" xfId="39643"/>
    <cellStyle name="Normal 65 3 2 2 18 3" xfId="39644"/>
    <cellStyle name="Normal 65 3 2 2 18 4" xfId="39645"/>
    <cellStyle name="Normal 65 3 2 2 18 5" xfId="39646"/>
    <cellStyle name="Normal 65 3 2 2 18 6" xfId="39647"/>
    <cellStyle name="Normal 65 3 2 2 19" xfId="39648"/>
    <cellStyle name="Normal 65 3 2 2 19 2" xfId="39649"/>
    <cellStyle name="Normal 65 3 2 2 19 3" xfId="39650"/>
    <cellStyle name="Normal 65 3 2 2 19 4" xfId="39651"/>
    <cellStyle name="Normal 65 3 2 2 19 5" xfId="39652"/>
    <cellStyle name="Normal 65 3 2 2 19 6" xfId="39653"/>
    <cellStyle name="Normal 65 3 2 2 2" xfId="39654"/>
    <cellStyle name="Normal 65 3 2 2 2 2" xfId="39655"/>
    <cellStyle name="Normal 65 3 2 2 2 2 2" xfId="39656"/>
    <cellStyle name="Normal 65 3 2 2 2 2 3" xfId="39657"/>
    <cellStyle name="Normal 65 3 2 2 2 2 4" xfId="39658"/>
    <cellStyle name="Normal 65 3 2 2 2 2 5" xfId="39659"/>
    <cellStyle name="Normal 65 3 2 2 2 2 6" xfId="39660"/>
    <cellStyle name="Normal 65 3 2 2 2 3" xfId="39661"/>
    <cellStyle name="Normal 65 3 2 2 2 3 2" xfId="39662"/>
    <cellStyle name="Normal 65 3 2 2 2 3 3" xfId="39663"/>
    <cellStyle name="Normal 65 3 2 2 2 3 4" xfId="39664"/>
    <cellStyle name="Normal 65 3 2 2 2 3 5" xfId="39665"/>
    <cellStyle name="Normal 65 3 2 2 2 3 6" xfId="39666"/>
    <cellStyle name="Normal 65 3 2 2 2 4" xfId="39667"/>
    <cellStyle name="Normal 65 3 2 2 2 4 2" xfId="39668"/>
    <cellStyle name="Normal 65 3 2 2 2 4 3" xfId="39669"/>
    <cellStyle name="Normal 65 3 2 2 2 4 4" xfId="39670"/>
    <cellStyle name="Normal 65 3 2 2 2 4 5" xfId="39671"/>
    <cellStyle name="Normal 65 3 2 2 2 4 6" xfId="39672"/>
    <cellStyle name="Normal 65 3 2 2 3" xfId="39673"/>
    <cellStyle name="Normal 65 3 2 2 3 2" xfId="39674"/>
    <cellStyle name="Normal 65 3 2 2 3 2 2" xfId="39675"/>
    <cellStyle name="Normal 65 3 2 2 3 2 3" xfId="39676"/>
    <cellStyle name="Normal 65 3 2 2 3 2 4" xfId="39677"/>
    <cellStyle name="Normal 65 3 2 2 3 2 5" xfId="39678"/>
    <cellStyle name="Normal 65 3 2 2 3 2 6" xfId="39679"/>
    <cellStyle name="Normal 65 3 2 2 3 3" xfId="39680"/>
    <cellStyle name="Normal 65 3 2 2 3 3 2" xfId="39681"/>
    <cellStyle name="Normal 65 3 2 2 3 3 3" xfId="39682"/>
    <cellStyle name="Normal 65 3 2 2 3 3 4" xfId="39683"/>
    <cellStyle name="Normal 65 3 2 2 3 3 5" xfId="39684"/>
    <cellStyle name="Normal 65 3 2 2 3 3 6" xfId="39685"/>
    <cellStyle name="Normal 65 3 2 2 3 4" xfId="39686"/>
    <cellStyle name="Normal 65 3 2 2 3 4 2" xfId="39687"/>
    <cellStyle name="Normal 65 3 2 2 3 4 3" xfId="39688"/>
    <cellStyle name="Normal 65 3 2 2 3 4 4" xfId="39689"/>
    <cellStyle name="Normal 65 3 2 2 3 4 5" xfId="39690"/>
    <cellStyle name="Normal 65 3 2 2 3 4 6" xfId="39691"/>
    <cellStyle name="Normal 65 3 2 2 4" xfId="39692"/>
    <cellStyle name="Normal 65 3 2 2 4 2" xfId="39693"/>
    <cellStyle name="Normal 65 3 2 2 4 2 2" xfId="39694"/>
    <cellStyle name="Normal 65 3 2 2 4 2 3" xfId="39695"/>
    <cellStyle name="Normal 65 3 2 2 4 2 4" xfId="39696"/>
    <cellStyle name="Normal 65 3 2 2 4 2 5" xfId="39697"/>
    <cellStyle name="Normal 65 3 2 2 4 2 6" xfId="39698"/>
    <cellStyle name="Normal 65 3 2 2 4 3" xfId="39699"/>
    <cellStyle name="Normal 65 3 2 2 4 3 2" xfId="39700"/>
    <cellStyle name="Normal 65 3 2 2 4 3 3" xfId="39701"/>
    <cellStyle name="Normal 65 3 2 2 4 3 4" xfId="39702"/>
    <cellStyle name="Normal 65 3 2 2 4 3 5" xfId="39703"/>
    <cellStyle name="Normal 65 3 2 2 4 3 6" xfId="39704"/>
    <cellStyle name="Normal 65 3 2 2 4 4" xfId="39705"/>
    <cellStyle name="Normal 65 3 2 2 4 4 2" xfId="39706"/>
    <cellStyle name="Normal 65 3 2 2 4 4 3" xfId="39707"/>
    <cellStyle name="Normal 65 3 2 2 4 4 4" xfId="39708"/>
    <cellStyle name="Normal 65 3 2 2 4 4 5" xfId="39709"/>
    <cellStyle name="Normal 65 3 2 2 4 4 6" xfId="39710"/>
    <cellStyle name="Normal 65 3 2 2 5" xfId="39711"/>
    <cellStyle name="Normal 65 3 2 2 5 2" xfId="39712"/>
    <cellStyle name="Normal 65 3 2 2 5 2 2" xfId="39713"/>
    <cellStyle name="Normal 65 3 2 2 5 2 3" xfId="39714"/>
    <cellStyle name="Normal 65 3 2 2 5 2 4" xfId="39715"/>
    <cellStyle name="Normal 65 3 2 2 5 2 5" xfId="39716"/>
    <cellStyle name="Normal 65 3 2 2 5 2 6" xfId="39717"/>
    <cellStyle name="Normal 65 3 2 2 5 3" xfId="39718"/>
    <cellStyle name="Normal 65 3 2 2 5 3 2" xfId="39719"/>
    <cellStyle name="Normal 65 3 2 2 5 3 3" xfId="39720"/>
    <cellStyle name="Normal 65 3 2 2 5 3 4" xfId="39721"/>
    <cellStyle name="Normal 65 3 2 2 5 3 5" xfId="39722"/>
    <cellStyle name="Normal 65 3 2 2 5 3 6" xfId="39723"/>
    <cellStyle name="Normal 65 3 2 2 5 4" xfId="39724"/>
    <cellStyle name="Normal 65 3 2 2 5 4 2" xfId="39725"/>
    <cellStyle name="Normal 65 3 2 2 5 4 3" xfId="39726"/>
    <cellStyle name="Normal 65 3 2 2 5 4 4" xfId="39727"/>
    <cellStyle name="Normal 65 3 2 2 5 4 5" xfId="39728"/>
    <cellStyle name="Normal 65 3 2 2 5 4 6" xfId="39729"/>
    <cellStyle name="Normal 65 3 2 2 6" xfId="39730"/>
    <cellStyle name="Normal 65 3 2 2 6 2" xfId="39731"/>
    <cellStyle name="Normal 65 3 2 2 6 2 2" xfId="39732"/>
    <cellStyle name="Normal 65 3 2 2 6 2 3" xfId="39733"/>
    <cellStyle name="Normal 65 3 2 2 6 2 4" xfId="39734"/>
    <cellStyle name="Normal 65 3 2 2 6 2 5" xfId="39735"/>
    <cellStyle name="Normal 65 3 2 2 6 2 6" xfId="39736"/>
    <cellStyle name="Normal 65 3 2 2 6 3" xfId="39737"/>
    <cellStyle name="Normal 65 3 2 2 6 3 2" xfId="39738"/>
    <cellStyle name="Normal 65 3 2 2 6 3 3" xfId="39739"/>
    <cellStyle name="Normal 65 3 2 2 6 3 4" xfId="39740"/>
    <cellStyle name="Normal 65 3 2 2 6 3 5" xfId="39741"/>
    <cellStyle name="Normal 65 3 2 2 6 3 6" xfId="39742"/>
    <cellStyle name="Normal 65 3 2 2 6 4" xfId="39743"/>
    <cellStyle name="Normal 65 3 2 2 6 4 2" xfId="39744"/>
    <cellStyle name="Normal 65 3 2 2 6 4 3" xfId="39745"/>
    <cellStyle name="Normal 65 3 2 2 6 4 4" xfId="39746"/>
    <cellStyle name="Normal 65 3 2 2 6 4 5" xfId="39747"/>
    <cellStyle name="Normal 65 3 2 2 6 4 6" xfId="39748"/>
    <cellStyle name="Normal 65 3 2 2 7" xfId="39749"/>
    <cellStyle name="Normal 65 3 2 2 7 2" xfId="39750"/>
    <cellStyle name="Normal 65 3 2 2 7 2 2" xfId="39751"/>
    <cellStyle name="Normal 65 3 2 2 7 2 3" xfId="39752"/>
    <cellStyle name="Normal 65 3 2 2 7 2 4" xfId="39753"/>
    <cellStyle name="Normal 65 3 2 2 7 2 5" xfId="39754"/>
    <cellStyle name="Normal 65 3 2 2 7 2 6" xfId="39755"/>
    <cellStyle name="Normal 65 3 2 2 7 3" xfId="39756"/>
    <cellStyle name="Normal 65 3 2 2 7 3 2" xfId="39757"/>
    <cellStyle name="Normal 65 3 2 2 7 3 3" xfId="39758"/>
    <cellStyle name="Normal 65 3 2 2 7 3 4" xfId="39759"/>
    <cellStyle name="Normal 65 3 2 2 7 3 5" xfId="39760"/>
    <cellStyle name="Normal 65 3 2 2 7 3 6" xfId="39761"/>
    <cellStyle name="Normal 65 3 2 2 7 4" xfId="39762"/>
    <cellStyle name="Normal 65 3 2 2 7 4 2" xfId="39763"/>
    <cellStyle name="Normal 65 3 2 2 7 4 3" xfId="39764"/>
    <cellStyle name="Normal 65 3 2 2 7 4 4" xfId="39765"/>
    <cellStyle name="Normal 65 3 2 2 7 4 5" xfId="39766"/>
    <cellStyle name="Normal 65 3 2 2 7 4 6" xfId="39767"/>
    <cellStyle name="Normal 65 3 2 2 8" xfId="39768"/>
    <cellStyle name="Normal 65 3 2 2 8 2" xfId="39769"/>
    <cellStyle name="Normal 65 3 2 2 8 2 2" xfId="39770"/>
    <cellStyle name="Normal 65 3 2 2 8 2 3" xfId="39771"/>
    <cellStyle name="Normal 65 3 2 2 8 2 4" xfId="39772"/>
    <cellStyle name="Normal 65 3 2 2 8 2 5" xfId="39773"/>
    <cellStyle name="Normal 65 3 2 2 8 2 6" xfId="39774"/>
    <cellStyle name="Normal 65 3 2 2 8 3" xfId="39775"/>
    <cellStyle name="Normal 65 3 2 2 8 3 2" xfId="39776"/>
    <cellStyle name="Normal 65 3 2 2 8 3 3" xfId="39777"/>
    <cellStyle name="Normal 65 3 2 2 8 3 4" xfId="39778"/>
    <cellStyle name="Normal 65 3 2 2 8 3 5" xfId="39779"/>
    <cellStyle name="Normal 65 3 2 2 8 3 6" xfId="39780"/>
    <cellStyle name="Normal 65 3 2 2 8 4" xfId="39781"/>
    <cellStyle name="Normal 65 3 2 2 8 4 2" xfId="39782"/>
    <cellStyle name="Normal 65 3 2 2 8 4 3" xfId="39783"/>
    <cellStyle name="Normal 65 3 2 2 8 4 4" xfId="39784"/>
    <cellStyle name="Normal 65 3 2 2 8 4 5" xfId="39785"/>
    <cellStyle name="Normal 65 3 2 2 8 4 6" xfId="39786"/>
    <cellStyle name="Normal 65 3 2 2 9" xfId="39787"/>
    <cellStyle name="Normal 65 3 2 2 9 2" xfId="39788"/>
    <cellStyle name="Normal 65 3 2 2 9 2 2" xfId="39789"/>
    <cellStyle name="Normal 65 3 2 2 9 2 3" xfId="39790"/>
    <cellStyle name="Normal 65 3 2 2 9 2 4" xfId="39791"/>
    <cellStyle name="Normal 65 3 2 2 9 2 5" xfId="39792"/>
    <cellStyle name="Normal 65 3 2 2 9 2 6" xfId="39793"/>
    <cellStyle name="Normal 65 3 2 2 9 3" xfId="39794"/>
    <cellStyle name="Normal 65 3 2 2 9 3 2" xfId="39795"/>
    <cellStyle name="Normal 65 3 2 2 9 3 3" xfId="39796"/>
    <cellStyle name="Normal 65 3 2 2 9 3 4" xfId="39797"/>
    <cellStyle name="Normal 65 3 2 2 9 3 5" xfId="39798"/>
    <cellStyle name="Normal 65 3 2 2 9 3 6" xfId="39799"/>
    <cellStyle name="Normal 65 3 2 2 9 4" xfId="39800"/>
    <cellStyle name="Normal 65 3 2 2 9 4 2" xfId="39801"/>
    <cellStyle name="Normal 65 3 2 2 9 4 3" xfId="39802"/>
    <cellStyle name="Normal 65 3 2 2 9 4 4" xfId="39803"/>
    <cellStyle name="Normal 65 3 2 2 9 4 5" xfId="39804"/>
    <cellStyle name="Normal 65 3 2 2 9 4 6" xfId="39805"/>
    <cellStyle name="Normal 65 3 2 20" xfId="39806"/>
    <cellStyle name="Normal 65 3 2 20 2" xfId="39807"/>
    <cellStyle name="Normal 65 3 2 20 3" xfId="39808"/>
    <cellStyle name="Normal 65 3 2 20 4" xfId="39809"/>
    <cellStyle name="Normal 65 3 2 20 5" xfId="39810"/>
    <cellStyle name="Normal 65 3 2 20 6" xfId="39811"/>
    <cellStyle name="Normal 65 3 2 21" xfId="39812"/>
    <cellStyle name="Normal 65 3 2 21 2" xfId="39813"/>
    <cellStyle name="Normal 65 3 2 21 3" xfId="39814"/>
    <cellStyle name="Normal 65 3 2 21 4" xfId="39815"/>
    <cellStyle name="Normal 65 3 2 21 5" xfId="39816"/>
    <cellStyle name="Normal 65 3 2 21 6" xfId="39817"/>
    <cellStyle name="Normal 65 3 2 22" xfId="39818"/>
    <cellStyle name="Normal 65 3 2 22 2" xfId="39819"/>
    <cellStyle name="Normal 65 3 2 22 3" xfId="39820"/>
    <cellStyle name="Normal 65 3 2 22 4" xfId="39821"/>
    <cellStyle name="Normal 65 3 2 22 5" xfId="39822"/>
    <cellStyle name="Normal 65 3 2 22 6" xfId="39823"/>
    <cellStyle name="Normal 65 3 2 3" xfId="39824"/>
    <cellStyle name="Normal 65 3 2 3 2" xfId="39825"/>
    <cellStyle name="Normal 65 3 2 3 2 2" xfId="39826"/>
    <cellStyle name="Normal 65 3 2 3 2 3" xfId="39827"/>
    <cellStyle name="Normal 65 3 2 3 2 4" xfId="39828"/>
    <cellStyle name="Normal 65 3 2 3 2 5" xfId="39829"/>
    <cellStyle name="Normal 65 3 2 3 2 6" xfId="39830"/>
    <cellStyle name="Normal 65 3 2 3 3" xfId="39831"/>
    <cellStyle name="Normal 65 3 2 3 3 2" xfId="39832"/>
    <cellStyle name="Normal 65 3 2 3 3 3" xfId="39833"/>
    <cellStyle name="Normal 65 3 2 3 3 4" xfId="39834"/>
    <cellStyle name="Normal 65 3 2 3 3 5" xfId="39835"/>
    <cellStyle name="Normal 65 3 2 3 3 6" xfId="39836"/>
    <cellStyle name="Normal 65 3 2 3 4" xfId="39837"/>
    <cellStyle name="Normal 65 3 2 3 4 2" xfId="39838"/>
    <cellStyle name="Normal 65 3 2 3 4 3" xfId="39839"/>
    <cellStyle name="Normal 65 3 2 3 4 4" xfId="39840"/>
    <cellStyle name="Normal 65 3 2 3 4 5" xfId="39841"/>
    <cellStyle name="Normal 65 3 2 3 4 6" xfId="39842"/>
    <cellStyle name="Normal 65 3 2 4" xfId="39843"/>
    <cellStyle name="Normal 65 3 2 4 2" xfId="39844"/>
    <cellStyle name="Normal 65 3 2 4 2 2" xfId="39845"/>
    <cellStyle name="Normal 65 3 2 4 2 3" xfId="39846"/>
    <cellStyle name="Normal 65 3 2 4 2 4" xfId="39847"/>
    <cellStyle name="Normal 65 3 2 4 2 5" xfId="39848"/>
    <cellStyle name="Normal 65 3 2 4 2 6" xfId="39849"/>
    <cellStyle name="Normal 65 3 2 4 3" xfId="39850"/>
    <cellStyle name="Normal 65 3 2 4 3 2" xfId="39851"/>
    <cellStyle name="Normal 65 3 2 4 3 3" xfId="39852"/>
    <cellStyle name="Normal 65 3 2 4 3 4" xfId="39853"/>
    <cellStyle name="Normal 65 3 2 4 3 5" xfId="39854"/>
    <cellStyle name="Normal 65 3 2 4 3 6" xfId="39855"/>
    <cellStyle name="Normal 65 3 2 4 4" xfId="39856"/>
    <cellStyle name="Normal 65 3 2 4 4 2" xfId="39857"/>
    <cellStyle name="Normal 65 3 2 4 4 3" xfId="39858"/>
    <cellStyle name="Normal 65 3 2 4 4 4" xfId="39859"/>
    <cellStyle name="Normal 65 3 2 4 4 5" xfId="39860"/>
    <cellStyle name="Normal 65 3 2 4 4 6" xfId="39861"/>
    <cellStyle name="Normal 65 3 2 5" xfId="39862"/>
    <cellStyle name="Normal 65 3 2 5 2" xfId="39863"/>
    <cellStyle name="Normal 65 3 2 5 2 2" xfId="39864"/>
    <cellStyle name="Normal 65 3 2 5 2 3" xfId="39865"/>
    <cellStyle name="Normal 65 3 2 5 2 4" xfId="39866"/>
    <cellStyle name="Normal 65 3 2 5 2 5" xfId="39867"/>
    <cellStyle name="Normal 65 3 2 5 2 6" xfId="39868"/>
    <cellStyle name="Normal 65 3 2 5 3" xfId="39869"/>
    <cellStyle name="Normal 65 3 2 5 3 2" xfId="39870"/>
    <cellStyle name="Normal 65 3 2 5 3 3" xfId="39871"/>
    <cellStyle name="Normal 65 3 2 5 3 4" xfId="39872"/>
    <cellStyle name="Normal 65 3 2 5 3 5" xfId="39873"/>
    <cellStyle name="Normal 65 3 2 5 3 6" xfId="39874"/>
    <cellStyle name="Normal 65 3 2 5 4" xfId="39875"/>
    <cellStyle name="Normal 65 3 2 5 4 2" xfId="39876"/>
    <cellStyle name="Normal 65 3 2 5 4 3" xfId="39877"/>
    <cellStyle name="Normal 65 3 2 5 4 4" xfId="39878"/>
    <cellStyle name="Normal 65 3 2 5 4 5" xfId="39879"/>
    <cellStyle name="Normal 65 3 2 5 4 6" xfId="39880"/>
    <cellStyle name="Normal 65 3 2 6" xfId="39881"/>
    <cellStyle name="Normal 65 3 2 6 2" xfId="39882"/>
    <cellStyle name="Normal 65 3 2 6 2 2" xfId="39883"/>
    <cellStyle name="Normal 65 3 2 6 2 3" xfId="39884"/>
    <cellStyle name="Normal 65 3 2 6 2 4" xfId="39885"/>
    <cellStyle name="Normal 65 3 2 6 2 5" xfId="39886"/>
    <cellStyle name="Normal 65 3 2 6 2 6" xfId="39887"/>
    <cellStyle name="Normal 65 3 2 6 3" xfId="39888"/>
    <cellStyle name="Normal 65 3 2 6 3 2" xfId="39889"/>
    <cellStyle name="Normal 65 3 2 6 3 3" xfId="39890"/>
    <cellStyle name="Normal 65 3 2 6 3 4" xfId="39891"/>
    <cellStyle name="Normal 65 3 2 6 3 5" xfId="39892"/>
    <cellStyle name="Normal 65 3 2 6 3 6" xfId="39893"/>
    <cellStyle name="Normal 65 3 2 6 4" xfId="39894"/>
    <cellStyle name="Normal 65 3 2 6 4 2" xfId="39895"/>
    <cellStyle name="Normal 65 3 2 6 4 3" xfId="39896"/>
    <cellStyle name="Normal 65 3 2 6 4 4" xfId="39897"/>
    <cellStyle name="Normal 65 3 2 6 4 5" xfId="39898"/>
    <cellStyle name="Normal 65 3 2 6 4 6" xfId="39899"/>
    <cellStyle name="Normal 65 3 2 7" xfId="39900"/>
    <cellStyle name="Normal 65 3 2 7 2" xfId="39901"/>
    <cellStyle name="Normal 65 3 2 7 2 2" xfId="39902"/>
    <cellStyle name="Normal 65 3 2 7 2 3" xfId="39903"/>
    <cellStyle name="Normal 65 3 2 7 2 4" xfId="39904"/>
    <cellStyle name="Normal 65 3 2 7 2 5" xfId="39905"/>
    <cellStyle name="Normal 65 3 2 7 2 6" xfId="39906"/>
    <cellStyle name="Normal 65 3 2 7 3" xfId="39907"/>
    <cellStyle name="Normal 65 3 2 7 3 2" xfId="39908"/>
    <cellStyle name="Normal 65 3 2 7 3 3" xfId="39909"/>
    <cellStyle name="Normal 65 3 2 7 3 4" xfId="39910"/>
    <cellStyle name="Normal 65 3 2 7 3 5" xfId="39911"/>
    <cellStyle name="Normal 65 3 2 7 3 6" xfId="39912"/>
    <cellStyle name="Normal 65 3 2 7 4" xfId="39913"/>
    <cellStyle name="Normal 65 3 2 7 4 2" xfId="39914"/>
    <cellStyle name="Normal 65 3 2 7 4 3" xfId="39915"/>
    <cellStyle name="Normal 65 3 2 7 4 4" xfId="39916"/>
    <cellStyle name="Normal 65 3 2 7 4 5" xfId="39917"/>
    <cellStyle name="Normal 65 3 2 7 4 6" xfId="39918"/>
    <cellStyle name="Normal 65 3 2 8" xfId="39919"/>
    <cellStyle name="Normal 65 3 2 8 2" xfId="39920"/>
    <cellStyle name="Normal 65 3 2 8 2 2" xfId="39921"/>
    <cellStyle name="Normal 65 3 2 8 2 3" xfId="39922"/>
    <cellStyle name="Normal 65 3 2 8 2 4" xfId="39923"/>
    <cellStyle name="Normal 65 3 2 8 2 5" xfId="39924"/>
    <cellStyle name="Normal 65 3 2 8 2 6" xfId="39925"/>
    <cellStyle name="Normal 65 3 2 8 3" xfId="39926"/>
    <cellStyle name="Normal 65 3 2 8 3 2" xfId="39927"/>
    <cellStyle name="Normal 65 3 2 8 3 3" xfId="39928"/>
    <cellStyle name="Normal 65 3 2 8 3 4" xfId="39929"/>
    <cellStyle name="Normal 65 3 2 8 3 5" xfId="39930"/>
    <cellStyle name="Normal 65 3 2 8 3 6" xfId="39931"/>
    <cellStyle name="Normal 65 3 2 8 4" xfId="39932"/>
    <cellStyle name="Normal 65 3 2 8 4 2" xfId="39933"/>
    <cellStyle name="Normal 65 3 2 8 4 3" xfId="39934"/>
    <cellStyle name="Normal 65 3 2 8 4 4" xfId="39935"/>
    <cellStyle name="Normal 65 3 2 8 4 5" xfId="39936"/>
    <cellStyle name="Normal 65 3 2 8 4 6" xfId="39937"/>
    <cellStyle name="Normal 65 3 2 9" xfId="39938"/>
    <cellStyle name="Normal 65 3 2 9 2" xfId="39939"/>
    <cellStyle name="Normal 65 3 2 9 2 2" xfId="39940"/>
    <cellStyle name="Normal 65 3 2 9 2 3" xfId="39941"/>
    <cellStyle name="Normal 65 3 2 9 2 4" xfId="39942"/>
    <cellStyle name="Normal 65 3 2 9 2 5" xfId="39943"/>
    <cellStyle name="Normal 65 3 2 9 2 6" xfId="39944"/>
    <cellStyle name="Normal 65 3 2 9 3" xfId="39945"/>
    <cellStyle name="Normal 65 3 2 9 3 2" xfId="39946"/>
    <cellStyle name="Normal 65 3 2 9 3 3" xfId="39947"/>
    <cellStyle name="Normal 65 3 2 9 3 4" xfId="39948"/>
    <cellStyle name="Normal 65 3 2 9 3 5" xfId="39949"/>
    <cellStyle name="Normal 65 3 2 9 3 6" xfId="39950"/>
    <cellStyle name="Normal 65 3 2 9 4" xfId="39951"/>
    <cellStyle name="Normal 65 3 2 9 4 2" xfId="39952"/>
    <cellStyle name="Normal 65 3 2 9 4 3" xfId="39953"/>
    <cellStyle name="Normal 65 3 2 9 4 4" xfId="39954"/>
    <cellStyle name="Normal 65 3 2 9 4 5" xfId="39955"/>
    <cellStyle name="Normal 65 3 2 9 4 6" xfId="39956"/>
    <cellStyle name="Normal 65 3 20" xfId="39957"/>
    <cellStyle name="Normal 65 3 20 2" xfId="39958"/>
    <cellStyle name="Normal 65 3 20 3" xfId="39959"/>
    <cellStyle name="Normal 65 3 20 4" xfId="39960"/>
    <cellStyle name="Normal 65 3 20 5" xfId="39961"/>
    <cellStyle name="Normal 65 3 20 6" xfId="39962"/>
    <cellStyle name="Normal 65 3 21" xfId="39963"/>
    <cellStyle name="Normal 65 3 21 2" xfId="39964"/>
    <cellStyle name="Normal 65 3 21 3" xfId="39965"/>
    <cellStyle name="Normal 65 3 21 4" xfId="39966"/>
    <cellStyle name="Normal 65 3 21 5" xfId="39967"/>
    <cellStyle name="Normal 65 3 21 6" xfId="39968"/>
    <cellStyle name="Normal 65 3 22" xfId="39969"/>
    <cellStyle name="Normal 65 3 22 2" xfId="39970"/>
    <cellStyle name="Normal 65 3 22 3" xfId="39971"/>
    <cellStyle name="Normal 65 3 22 4" xfId="39972"/>
    <cellStyle name="Normal 65 3 22 5" xfId="39973"/>
    <cellStyle name="Normal 65 3 22 6" xfId="39974"/>
    <cellStyle name="Normal 65 3 3" xfId="39975"/>
    <cellStyle name="Normal 65 3 3 10" xfId="39976"/>
    <cellStyle name="Normal 65 3 3 10 2" xfId="39977"/>
    <cellStyle name="Normal 65 3 3 10 2 2" xfId="39978"/>
    <cellStyle name="Normal 65 3 3 10 2 3" xfId="39979"/>
    <cellStyle name="Normal 65 3 3 10 2 4" xfId="39980"/>
    <cellStyle name="Normal 65 3 3 10 2 5" xfId="39981"/>
    <cellStyle name="Normal 65 3 3 10 2 6" xfId="39982"/>
    <cellStyle name="Normal 65 3 3 10 3" xfId="39983"/>
    <cellStyle name="Normal 65 3 3 10 3 2" xfId="39984"/>
    <cellStyle name="Normal 65 3 3 10 3 3" xfId="39985"/>
    <cellStyle name="Normal 65 3 3 10 3 4" xfId="39986"/>
    <cellStyle name="Normal 65 3 3 10 3 5" xfId="39987"/>
    <cellStyle name="Normal 65 3 3 10 3 6" xfId="39988"/>
    <cellStyle name="Normal 65 3 3 10 4" xfId="39989"/>
    <cellStyle name="Normal 65 3 3 10 4 2" xfId="39990"/>
    <cellStyle name="Normal 65 3 3 10 4 3" xfId="39991"/>
    <cellStyle name="Normal 65 3 3 10 4 4" xfId="39992"/>
    <cellStyle name="Normal 65 3 3 10 4 5" xfId="39993"/>
    <cellStyle name="Normal 65 3 3 10 4 6" xfId="39994"/>
    <cellStyle name="Normal 65 3 3 11" xfId="39995"/>
    <cellStyle name="Normal 65 3 3 11 2" xfId="39996"/>
    <cellStyle name="Normal 65 3 3 11 2 2" xfId="39997"/>
    <cellStyle name="Normal 65 3 3 11 2 3" xfId="39998"/>
    <cellStyle name="Normal 65 3 3 11 2 4" xfId="39999"/>
    <cellStyle name="Normal 65 3 3 11 2 5" xfId="40000"/>
    <cellStyle name="Normal 65 3 3 11 2 6" xfId="40001"/>
    <cellStyle name="Normal 65 3 3 11 3" xfId="40002"/>
    <cellStyle name="Normal 65 3 3 11 3 2" xfId="40003"/>
    <cellStyle name="Normal 65 3 3 11 3 3" xfId="40004"/>
    <cellStyle name="Normal 65 3 3 11 3 4" xfId="40005"/>
    <cellStyle name="Normal 65 3 3 11 3 5" xfId="40006"/>
    <cellStyle name="Normal 65 3 3 11 3 6" xfId="40007"/>
    <cellStyle name="Normal 65 3 3 11 4" xfId="40008"/>
    <cellStyle name="Normal 65 3 3 11 4 2" xfId="40009"/>
    <cellStyle name="Normal 65 3 3 11 4 3" xfId="40010"/>
    <cellStyle name="Normal 65 3 3 11 4 4" xfId="40011"/>
    <cellStyle name="Normal 65 3 3 11 4 5" xfId="40012"/>
    <cellStyle name="Normal 65 3 3 11 4 6" xfId="40013"/>
    <cellStyle name="Normal 65 3 3 12" xfId="40014"/>
    <cellStyle name="Normal 65 3 3 12 2" xfId="40015"/>
    <cellStyle name="Normal 65 3 3 12 2 2" xfId="40016"/>
    <cellStyle name="Normal 65 3 3 12 2 3" xfId="40017"/>
    <cellStyle name="Normal 65 3 3 12 2 4" xfId="40018"/>
    <cellStyle name="Normal 65 3 3 12 2 5" xfId="40019"/>
    <cellStyle name="Normal 65 3 3 12 2 6" xfId="40020"/>
    <cellStyle name="Normal 65 3 3 12 3" xfId="40021"/>
    <cellStyle name="Normal 65 3 3 12 3 2" xfId="40022"/>
    <cellStyle name="Normal 65 3 3 12 3 3" xfId="40023"/>
    <cellStyle name="Normal 65 3 3 12 3 4" xfId="40024"/>
    <cellStyle name="Normal 65 3 3 12 3 5" xfId="40025"/>
    <cellStyle name="Normal 65 3 3 12 3 6" xfId="40026"/>
    <cellStyle name="Normal 65 3 3 12 4" xfId="40027"/>
    <cellStyle name="Normal 65 3 3 12 4 2" xfId="40028"/>
    <cellStyle name="Normal 65 3 3 12 4 3" xfId="40029"/>
    <cellStyle name="Normal 65 3 3 12 4 4" xfId="40030"/>
    <cellStyle name="Normal 65 3 3 12 4 5" xfId="40031"/>
    <cellStyle name="Normal 65 3 3 12 4 6" xfId="40032"/>
    <cellStyle name="Normal 65 3 3 13" xfId="40033"/>
    <cellStyle name="Normal 65 3 3 13 2" xfId="40034"/>
    <cellStyle name="Normal 65 3 3 13 2 2" xfId="40035"/>
    <cellStyle name="Normal 65 3 3 13 2 3" xfId="40036"/>
    <cellStyle name="Normal 65 3 3 13 2 4" xfId="40037"/>
    <cellStyle name="Normal 65 3 3 13 2 5" xfId="40038"/>
    <cellStyle name="Normal 65 3 3 13 2 6" xfId="40039"/>
    <cellStyle name="Normal 65 3 3 13 3" xfId="40040"/>
    <cellStyle name="Normal 65 3 3 13 3 2" xfId="40041"/>
    <cellStyle name="Normal 65 3 3 13 3 3" xfId="40042"/>
    <cellStyle name="Normal 65 3 3 13 3 4" xfId="40043"/>
    <cellStyle name="Normal 65 3 3 13 3 5" xfId="40044"/>
    <cellStyle name="Normal 65 3 3 13 3 6" xfId="40045"/>
    <cellStyle name="Normal 65 3 3 13 4" xfId="40046"/>
    <cellStyle name="Normal 65 3 3 13 4 2" xfId="40047"/>
    <cellStyle name="Normal 65 3 3 13 4 3" xfId="40048"/>
    <cellStyle name="Normal 65 3 3 13 4 4" xfId="40049"/>
    <cellStyle name="Normal 65 3 3 13 4 5" xfId="40050"/>
    <cellStyle name="Normal 65 3 3 13 4 6" xfId="40051"/>
    <cellStyle name="Normal 65 3 3 14" xfId="40052"/>
    <cellStyle name="Normal 65 3 3 14 2" xfId="40053"/>
    <cellStyle name="Normal 65 3 3 14 2 2" xfId="40054"/>
    <cellStyle name="Normal 65 3 3 14 2 3" xfId="40055"/>
    <cellStyle name="Normal 65 3 3 14 2 4" xfId="40056"/>
    <cellStyle name="Normal 65 3 3 14 2 5" xfId="40057"/>
    <cellStyle name="Normal 65 3 3 14 2 6" xfId="40058"/>
    <cellStyle name="Normal 65 3 3 14 3" xfId="40059"/>
    <cellStyle name="Normal 65 3 3 14 3 2" xfId="40060"/>
    <cellStyle name="Normal 65 3 3 14 3 3" xfId="40061"/>
    <cellStyle name="Normal 65 3 3 14 3 4" xfId="40062"/>
    <cellStyle name="Normal 65 3 3 14 3 5" xfId="40063"/>
    <cellStyle name="Normal 65 3 3 14 3 6" xfId="40064"/>
    <cellStyle name="Normal 65 3 3 14 4" xfId="40065"/>
    <cellStyle name="Normal 65 3 3 14 4 2" xfId="40066"/>
    <cellStyle name="Normal 65 3 3 14 4 3" xfId="40067"/>
    <cellStyle name="Normal 65 3 3 14 4 4" xfId="40068"/>
    <cellStyle name="Normal 65 3 3 14 4 5" xfId="40069"/>
    <cellStyle name="Normal 65 3 3 14 4 6" xfId="40070"/>
    <cellStyle name="Normal 65 3 3 15" xfId="40071"/>
    <cellStyle name="Normal 65 3 3 15 2" xfId="40072"/>
    <cellStyle name="Normal 65 3 3 15 2 2" xfId="40073"/>
    <cellStyle name="Normal 65 3 3 15 2 3" xfId="40074"/>
    <cellStyle name="Normal 65 3 3 15 2 4" xfId="40075"/>
    <cellStyle name="Normal 65 3 3 15 2 5" xfId="40076"/>
    <cellStyle name="Normal 65 3 3 15 2 6" xfId="40077"/>
    <cellStyle name="Normal 65 3 3 15 3" xfId="40078"/>
    <cellStyle name="Normal 65 3 3 15 3 2" xfId="40079"/>
    <cellStyle name="Normal 65 3 3 15 3 3" xfId="40080"/>
    <cellStyle name="Normal 65 3 3 15 3 4" xfId="40081"/>
    <cellStyle name="Normal 65 3 3 15 3 5" xfId="40082"/>
    <cellStyle name="Normal 65 3 3 15 3 6" xfId="40083"/>
    <cellStyle name="Normal 65 3 3 15 4" xfId="40084"/>
    <cellStyle name="Normal 65 3 3 15 4 2" xfId="40085"/>
    <cellStyle name="Normal 65 3 3 15 4 3" xfId="40086"/>
    <cellStyle name="Normal 65 3 3 15 4 4" xfId="40087"/>
    <cellStyle name="Normal 65 3 3 15 4 5" xfId="40088"/>
    <cellStyle name="Normal 65 3 3 15 4 6" xfId="40089"/>
    <cellStyle name="Normal 65 3 3 16" xfId="40090"/>
    <cellStyle name="Normal 65 3 3 16 2" xfId="40091"/>
    <cellStyle name="Normal 65 3 3 16 2 2" xfId="40092"/>
    <cellStyle name="Normal 65 3 3 16 2 3" xfId="40093"/>
    <cellStyle name="Normal 65 3 3 16 2 4" xfId="40094"/>
    <cellStyle name="Normal 65 3 3 16 2 5" xfId="40095"/>
    <cellStyle name="Normal 65 3 3 16 2 6" xfId="40096"/>
    <cellStyle name="Normal 65 3 3 16 3" xfId="40097"/>
    <cellStyle name="Normal 65 3 3 16 3 2" xfId="40098"/>
    <cellStyle name="Normal 65 3 3 16 3 3" xfId="40099"/>
    <cellStyle name="Normal 65 3 3 16 3 4" xfId="40100"/>
    <cellStyle name="Normal 65 3 3 16 3 5" xfId="40101"/>
    <cellStyle name="Normal 65 3 3 16 3 6" xfId="40102"/>
    <cellStyle name="Normal 65 3 3 16 4" xfId="40103"/>
    <cellStyle name="Normal 65 3 3 16 4 2" xfId="40104"/>
    <cellStyle name="Normal 65 3 3 16 4 3" xfId="40105"/>
    <cellStyle name="Normal 65 3 3 16 4 4" xfId="40106"/>
    <cellStyle name="Normal 65 3 3 16 4 5" xfId="40107"/>
    <cellStyle name="Normal 65 3 3 16 4 6" xfId="40108"/>
    <cellStyle name="Normal 65 3 3 17" xfId="40109"/>
    <cellStyle name="Normal 65 3 3 17 2" xfId="40110"/>
    <cellStyle name="Normal 65 3 3 17 3" xfId="40111"/>
    <cellStyle name="Normal 65 3 3 17 4" xfId="40112"/>
    <cellStyle name="Normal 65 3 3 17 5" xfId="40113"/>
    <cellStyle name="Normal 65 3 3 17 6" xfId="40114"/>
    <cellStyle name="Normal 65 3 3 18" xfId="40115"/>
    <cellStyle name="Normal 65 3 3 18 2" xfId="40116"/>
    <cellStyle name="Normal 65 3 3 18 3" xfId="40117"/>
    <cellStyle name="Normal 65 3 3 18 4" xfId="40118"/>
    <cellStyle name="Normal 65 3 3 18 5" xfId="40119"/>
    <cellStyle name="Normal 65 3 3 18 6" xfId="40120"/>
    <cellStyle name="Normal 65 3 3 19" xfId="40121"/>
    <cellStyle name="Normal 65 3 3 19 2" xfId="40122"/>
    <cellStyle name="Normal 65 3 3 19 3" xfId="40123"/>
    <cellStyle name="Normal 65 3 3 19 4" xfId="40124"/>
    <cellStyle name="Normal 65 3 3 19 5" xfId="40125"/>
    <cellStyle name="Normal 65 3 3 19 6" xfId="40126"/>
    <cellStyle name="Normal 65 3 3 2" xfId="40127"/>
    <cellStyle name="Normal 65 3 3 2 2" xfId="40128"/>
    <cellStyle name="Normal 65 3 3 2 2 2" xfId="40129"/>
    <cellStyle name="Normal 65 3 3 2 2 3" xfId="40130"/>
    <cellStyle name="Normal 65 3 3 2 2 4" xfId="40131"/>
    <cellStyle name="Normal 65 3 3 2 2 5" xfId="40132"/>
    <cellStyle name="Normal 65 3 3 2 2 6" xfId="40133"/>
    <cellStyle name="Normal 65 3 3 2 3" xfId="40134"/>
    <cellStyle name="Normal 65 3 3 2 3 2" xfId="40135"/>
    <cellStyle name="Normal 65 3 3 2 3 3" xfId="40136"/>
    <cellStyle name="Normal 65 3 3 2 3 4" xfId="40137"/>
    <cellStyle name="Normal 65 3 3 2 3 5" xfId="40138"/>
    <cellStyle name="Normal 65 3 3 2 3 6" xfId="40139"/>
    <cellStyle name="Normal 65 3 3 2 4" xfId="40140"/>
    <cellStyle name="Normal 65 3 3 2 4 2" xfId="40141"/>
    <cellStyle name="Normal 65 3 3 2 4 3" xfId="40142"/>
    <cellStyle name="Normal 65 3 3 2 4 4" xfId="40143"/>
    <cellStyle name="Normal 65 3 3 2 4 5" xfId="40144"/>
    <cellStyle name="Normal 65 3 3 2 4 6" xfId="40145"/>
    <cellStyle name="Normal 65 3 3 3" xfId="40146"/>
    <cellStyle name="Normal 65 3 3 3 2" xfId="40147"/>
    <cellStyle name="Normal 65 3 3 3 2 2" xfId="40148"/>
    <cellStyle name="Normal 65 3 3 3 2 3" xfId="40149"/>
    <cellStyle name="Normal 65 3 3 3 2 4" xfId="40150"/>
    <cellStyle name="Normal 65 3 3 3 2 5" xfId="40151"/>
    <cellStyle name="Normal 65 3 3 3 2 6" xfId="40152"/>
    <cellStyle name="Normal 65 3 3 3 3" xfId="40153"/>
    <cellStyle name="Normal 65 3 3 3 3 2" xfId="40154"/>
    <cellStyle name="Normal 65 3 3 3 3 3" xfId="40155"/>
    <cellStyle name="Normal 65 3 3 3 3 4" xfId="40156"/>
    <cellStyle name="Normal 65 3 3 3 3 5" xfId="40157"/>
    <cellStyle name="Normal 65 3 3 3 3 6" xfId="40158"/>
    <cellStyle name="Normal 65 3 3 3 4" xfId="40159"/>
    <cellStyle name="Normal 65 3 3 3 4 2" xfId="40160"/>
    <cellStyle name="Normal 65 3 3 3 4 3" xfId="40161"/>
    <cellStyle name="Normal 65 3 3 3 4 4" xfId="40162"/>
    <cellStyle name="Normal 65 3 3 3 4 5" xfId="40163"/>
    <cellStyle name="Normal 65 3 3 3 4 6" xfId="40164"/>
    <cellStyle name="Normal 65 3 3 4" xfId="40165"/>
    <cellStyle name="Normal 65 3 3 4 2" xfId="40166"/>
    <cellStyle name="Normal 65 3 3 4 2 2" xfId="40167"/>
    <cellStyle name="Normal 65 3 3 4 2 3" xfId="40168"/>
    <cellStyle name="Normal 65 3 3 4 2 4" xfId="40169"/>
    <cellStyle name="Normal 65 3 3 4 2 5" xfId="40170"/>
    <cellStyle name="Normal 65 3 3 4 2 6" xfId="40171"/>
    <cellStyle name="Normal 65 3 3 4 3" xfId="40172"/>
    <cellStyle name="Normal 65 3 3 4 3 2" xfId="40173"/>
    <cellStyle name="Normal 65 3 3 4 3 3" xfId="40174"/>
    <cellStyle name="Normal 65 3 3 4 3 4" xfId="40175"/>
    <cellStyle name="Normal 65 3 3 4 3 5" xfId="40176"/>
    <cellStyle name="Normal 65 3 3 4 3 6" xfId="40177"/>
    <cellStyle name="Normal 65 3 3 4 4" xfId="40178"/>
    <cellStyle name="Normal 65 3 3 4 4 2" xfId="40179"/>
    <cellStyle name="Normal 65 3 3 4 4 3" xfId="40180"/>
    <cellStyle name="Normal 65 3 3 4 4 4" xfId="40181"/>
    <cellStyle name="Normal 65 3 3 4 4 5" xfId="40182"/>
    <cellStyle name="Normal 65 3 3 4 4 6" xfId="40183"/>
    <cellStyle name="Normal 65 3 3 5" xfId="40184"/>
    <cellStyle name="Normal 65 3 3 5 2" xfId="40185"/>
    <cellStyle name="Normal 65 3 3 5 2 2" xfId="40186"/>
    <cellStyle name="Normal 65 3 3 5 2 3" xfId="40187"/>
    <cellStyle name="Normal 65 3 3 5 2 4" xfId="40188"/>
    <cellStyle name="Normal 65 3 3 5 2 5" xfId="40189"/>
    <cellStyle name="Normal 65 3 3 5 2 6" xfId="40190"/>
    <cellStyle name="Normal 65 3 3 5 3" xfId="40191"/>
    <cellStyle name="Normal 65 3 3 5 3 2" xfId="40192"/>
    <cellStyle name="Normal 65 3 3 5 3 3" xfId="40193"/>
    <cellStyle name="Normal 65 3 3 5 3 4" xfId="40194"/>
    <cellStyle name="Normal 65 3 3 5 3 5" xfId="40195"/>
    <cellStyle name="Normal 65 3 3 5 3 6" xfId="40196"/>
    <cellStyle name="Normal 65 3 3 5 4" xfId="40197"/>
    <cellStyle name="Normal 65 3 3 5 4 2" xfId="40198"/>
    <cellStyle name="Normal 65 3 3 5 4 3" xfId="40199"/>
    <cellStyle name="Normal 65 3 3 5 4 4" xfId="40200"/>
    <cellStyle name="Normal 65 3 3 5 4 5" xfId="40201"/>
    <cellStyle name="Normal 65 3 3 5 4 6" xfId="40202"/>
    <cellStyle name="Normal 65 3 3 6" xfId="40203"/>
    <cellStyle name="Normal 65 3 3 6 2" xfId="40204"/>
    <cellStyle name="Normal 65 3 3 6 2 2" xfId="40205"/>
    <cellStyle name="Normal 65 3 3 6 2 3" xfId="40206"/>
    <cellStyle name="Normal 65 3 3 6 2 4" xfId="40207"/>
    <cellStyle name="Normal 65 3 3 6 2 5" xfId="40208"/>
    <cellStyle name="Normal 65 3 3 6 2 6" xfId="40209"/>
    <cellStyle name="Normal 65 3 3 6 3" xfId="40210"/>
    <cellStyle name="Normal 65 3 3 6 3 2" xfId="40211"/>
    <cellStyle name="Normal 65 3 3 6 3 3" xfId="40212"/>
    <cellStyle name="Normal 65 3 3 6 3 4" xfId="40213"/>
    <cellStyle name="Normal 65 3 3 6 3 5" xfId="40214"/>
    <cellStyle name="Normal 65 3 3 6 3 6" xfId="40215"/>
    <cellStyle name="Normal 65 3 3 6 4" xfId="40216"/>
    <cellStyle name="Normal 65 3 3 6 4 2" xfId="40217"/>
    <cellStyle name="Normal 65 3 3 6 4 3" xfId="40218"/>
    <cellStyle name="Normal 65 3 3 6 4 4" xfId="40219"/>
    <cellStyle name="Normal 65 3 3 6 4 5" xfId="40220"/>
    <cellStyle name="Normal 65 3 3 6 4 6" xfId="40221"/>
    <cellStyle name="Normal 65 3 3 7" xfId="40222"/>
    <cellStyle name="Normal 65 3 3 7 2" xfId="40223"/>
    <cellStyle name="Normal 65 3 3 7 2 2" xfId="40224"/>
    <cellStyle name="Normal 65 3 3 7 2 3" xfId="40225"/>
    <cellStyle name="Normal 65 3 3 7 2 4" xfId="40226"/>
    <cellStyle name="Normal 65 3 3 7 2 5" xfId="40227"/>
    <cellStyle name="Normal 65 3 3 7 2 6" xfId="40228"/>
    <cellStyle name="Normal 65 3 3 7 3" xfId="40229"/>
    <cellStyle name="Normal 65 3 3 7 3 2" xfId="40230"/>
    <cellStyle name="Normal 65 3 3 7 3 3" xfId="40231"/>
    <cellStyle name="Normal 65 3 3 7 3 4" xfId="40232"/>
    <cellStyle name="Normal 65 3 3 7 3 5" xfId="40233"/>
    <cellStyle name="Normal 65 3 3 7 3 6" xfId="40234"/>
    <cellStyle name="Normal 65 3 3 7 4" xfId="40235"/>
    <cellStyle name="Normal 65 3 3 7 4 2" xfId="40236"/>
    <cellStyle name="Normal 65 3 3 7 4 3" xfId="40237"/>
    <cellStyle name="Normal 65 3 3 7 4 4" xfId="40238"/>
    <cellStyle name="Normal 65 3 3 7 4 5" xfId="40239"/>
    <cellStyle name="Normal 65 3 3 7 4 6" xfId="40240"/>
    <cellStyle name="Normal 65 3 3 8" xfId="40241"/>
    <cellStyle name="Normal 65 3 3 8 2" xfId="40242"/>
    <cellStyle name="Normal 65 3 3 8 2 2" xfId="40243"/>
    <cellStyle name="Normal 65 3 3 8 2 3" xfId="40244"/>
    <cellStyle name="Normal 65 3 3 8 2 4" xfId="40245"/>
    <cellStyle name="Normal 65 3 3 8 2 5" xfId="40246"/>
    <cellStyle name="Normal 65 3 3 8 2 6" xfId="40247"/>
    <cellStyle name="Normal 65 3 3 8 3" xfId="40248"/>
    <cellStyle name="Normal 65 3 3 8 3 2" xfId="40249"/>
    <cellStyle name="Normal 65 3 3 8 3 3" xfId="40250"/>
    <cellStyle name="Normal 65 3 3 8 3 4" xfId="40251"/>
    <cellStyle name="Normal 65 3 3 8 3 5" xfId="40252"/>
    <cellStyle name="Normal 65 3 3 8 3 6" xfId="40253"/>
    <cellStyle name="Normal 65 3 3 8 4" xfId="40254"/>
    <cellStyle name="Normal 65 3 3 8 4 2" xfId="40255"/>
    <cellStyle name="Normal 65 3 3 8 4 3" xfId="40256"/>
    <cellStyle name="Normal 65 3 3 8 4 4" xfId="40257"/>
    <cellStyle name="Normal 65 3 3 8 4 5" xfId="40258"/>
    <cellStyle name="Normal 65 3 3 8 4 6" xfId="40259"/>
    <cellStyle name="Normal 65 3 3 9" xfId="40260"/>
    <cellStyle name="Normal 65 3 3 9 2" xfId="40261"/>
    <cellStyle name="Normal 65 3 3 9 2 2" xfId="40262"/>
    <cellStyle name="Normal 65 3 3 9 2 3" xfId="40263"/>
    <cellStyle name="Normal 65 3 3 9 2 4" xfId="40264"/>
    <cellStyle name="Normal 65 3 3 9 2 5" xfId="40265"/>
    <cellStyle name="Normal 65 3 3 9 2 6" xfId="40266"/>
    <cellStyle name="Normal 65 3 3 9 3" xfId="40267"/>
    <cellStyle name="Normal 65 3 3 9 3 2" xfId="40268"/>
    <cellStyle name="Normal 65 3 3 9 3 3" xfId="40269"/>
    <cellStyle name="Normal 65 3 3 9 3 4" xfId="40270"/>
    <cellStyle name="Normal 65 3 3 9 3 5" xfId="40271"/>
    <cellStyle name="Normal 65 3 3 9 3 6" xfId="40272"/>
    <cellStyle name="Normal 65 3 3 9 4" xfId="40273"/>
    <cellStyle name="Normal 65 3 3 9 4 2" xfId="40274"/>
    <cellStyle name="Normal 65 3 3 9 4 3" xfId="40275"/>
    <cellStyle name="Normal 65 3 3 9 4 4" xfId="40276"/>
    <cellStyle name="Normal 65 3 3 9 4 5" xfId="40277"/>
    <cellStyle name="Normal 65 3 3 9 4 6" xfId="40278"/>
    <cellStyle name="Normal 65 3 4" xfId="40279"/>
    <cellStyle name="Normal 65 3 4 2" xfId="40280"/>
    <cellStyle name="Normal 65 3 4 2 2" xfId="40281"/>
    <cellStyle name="Normal 65 3 4 2 3" xfId="40282"/>
    <cellStyle name="Normal 65 3 4 2 4" xfId="40283"/>
    <cellStyle name="Normal 65 3 4 2 5" xfId="40284"/>
    <cellStyle name="Normal 65 3 4 2 6" xfId="40285"/>
    <cellStyle name="Normal 65 3 4 3" xfId="40286"/>
    <cellStyle name="Normal 65 3 4 3 2" xfId="40287"/>
    <cellStyle name="Normal 65 3 4 3 3" xfId="40288"/>
    <cellStyle name="Normal 65 3 4 3 4" xfId="40289"/>
    <cellStyle name="Normal 65 3 4 3 5" xfId="40290"/>
    <cellStyle name="Normal 65 3 4 3 6" xfId="40291"/>
    <cellStyle name="Normal 65 3 4 4" xfId="40292"/>
    <cellStyle name="Normal 65 3 4 4 2" xfId="40293"/>
    <cellStyle name="Normal 65 3 4 4 3" xfId="40294"/>
    <cellStyle name="Normal 65 3 4 4 4" xfId="40295"/>
    <cellStyle name="Normal 65 3 4 4 5" xfId="40296"/>
    <cellStyle name="Normal 65 3 4 4 6" xfId="40297"/>
    <cellStyle name="Normal 65 3 5" xfId="40298"/>
    <cellStyle name="Normal 65 3 5 2" xfId="40299"/>
    <cellStyle name="Normal 65 3 5 2 2" xfId="40300"/>
    <cellStyle name="Normal 65 3 5 2 3" xfId="40301"/>
    <cellStyle name="Normal 65 3 5 2 4" xfId="40302"/>
    <cellStyle name="Normal 65 3 5 2 5" xfId="40303"/>
    <cellStyle name="Normal 65 3 5 2 6" xfId="40304"/>
    <cellStyle name="Normal 65 3 5 3" xfId="40305"/>
    <cellStyle name="Normal 65 3 5 3 2" xfId="40306"/>
    <cellStyle name="Normal 65 3 5 3 3" xfId="40307"/>
    <cellStyle name="Normal 65 3 5 3 4" xfId="40308"/>
    <cellStyle name="Normal 65 3 5 3 5" xfId="40309"/>
    <cellStyle name="Normal 65 3 5 3 6" xfId="40310"/>
    <cellStyle name="Normal 65 3 5 4" xfId="40311"/>
    <cellStyle name="Normal 65 3 5 4 2" xfId="40312"/>
    <cellStyle name="Normal 65 3 5 4 3" xfId="40313"/>
    <cellStyle name="Normal 65 3 5 4 4" xfId="40314"/>
    <cellStyle name="Normal 65 3 5 4 5" xfId="40315"/>
    <cellStyle name="Normal 65 3 5 4 6" xfId="40316"/>
    <cellStyle name="Normal 65 3 6" xfId="40317"/>
    <cellStyle name="Normal 65 3 6 2" xfId="40318"/>
    <cellStyle name="Normal 65 3 6 2 2" xfId="40319"/>
    <cellStyle name="Normal 65 3 6 2 3" xfId="40320"/>
    <cellStyle name="Normal 65 3 6 2 4" xfId="40321"/>
    <cellStyle name="Normal 65 3 6 2 5" xfId="40322"/>
    <cellStyle name="Normal 65 3 6 2 6" xfId="40323"/>
    <cellStyle name="Normal 65 3 6 3" xfId="40324"/>
    <cellStyle name="Normal 65 3 6 3 2" xfId="40325"/>
    <cellStyle name="Normal 65 3 6 3 3" xfId="40326"/>
    <cellStyle name="Normal 65 3 6 3 4" xfId="40327"/>
    <cellStyle name="Normal 65 3 6 3 5" xfId="40328"/>
    <cellStyle name="Normal 65 3 6 3 6" xfId="40329"/>
    <cellStyle name="Normal 65 3 6 4" xfId="40330"/>
    <cellStyle name="Normal 65 3 6 4 2" xfId="40331"/>
    <cellStyle name="Normal 65 3 6 4 3" xfId="40332"/>
    <cellStyle name="Normal 65 3 6 4 4" xfId="40333"/>
    <cellStyle name="Normal 65 3 6 4 5" xfId="40334"/>
    <cellStyle name="Normal 65 3 6 4 6" xfId="40335"/>
    <cellStyle name="Normal 65 3 7" xfId="40336"/>
    <cellStyle name="Normal 65 3 7 2" xfId="40337"/>
    <cellStyle name="Normal 65 3 7 2 2" xfId="40338"/>
    <cellStyle name="Normal 65 3 7 2 3" xfId="40339"/>
    <cellStyle name="Normal 65 3 7 2 4" xfId="40340"/>
    <cellStyle name="Normal 65 3 7 2 5" xfId="40341"/>
    <cellStyle name="Normal 65 3 7 2 6" xfId="40342"/>
    <cellStyle name="Normal 65 3 7 3" xfId="40343"/>
    <cellStyle name="Normal 65 3 7 3 2" xfId="40344"/>
    <cellStyle name="Normal 65 3 7 3 3" xfId="40345"/>
    <cellStyle name="Normal 65 3 7 3 4" xfId="40346"/>
    <cellStyle name="Normal 65 3 7 3 5" xfId="40347"/>
    <cellStyle name="Normal 65 3 7 3 6" xfId="40348"/>
    <cellStyle name="Normal 65 3 7 4" xfId="40349"/>
    <cellStyle name="Normal 65 3 7 4 2" xfId="40350"/>
    <cellStyle name="Normal 65 3 7 4 3" xfId="40351"/>
    <cellStyle name="Normal 65 3 7 4 4" xfId="40352"/>
    <cellStyle name="Normal 65 3 7 4 5" xfId="40353"/>
    <cellStyle name="Normal 65 3 7 4 6" xfId="40354"/>
    <cellStyle name="Normal 65 3 8" xfId="40355"/>
    <cellStyle name="Normal 65 3 8 2" xfId="40356"/>
    <cellStyle name="Normal 65 3 8 2 2" xfId="40357"/>
    <cellStyle name="Normal 65 3 8 2 3" xfId="40358"/>
    <cellStyle name="Normal 65 3 8 2 4" xfId="40359"/>
    <cellStyle name="Normal 65 3 8 2 5" xfId="40360"/>
    <cellStyle name="Normal 65 3 8 2 6" xfId="40361"/>
    <cellStyle name="Normal 65 3 8 3" xfId="40362"/>
    <cellStyle name="Normal 65 3 8 3 2" xfId="40363"/>
    <cellStyle name="Normal 65 3 8 3 3" xfId="40364"/>
    <cellStyle name="Normal 65 3 8 3 4" xfId="40365"/>
    <cellStyle name="Normal 65 3 8 3 5" xfId="40366"/>
    <cellStyle name="Normal 65 3 8 3 6" xfId="40367"/>
    <cellStyle name="Normal 65 3 8 4" xfId="40368"/>
    <cellStyle name="Normal 65 3 8 4 2" xfId="40369"/>
    <cellStyle name="Normal 65 3 8 4 3" xfId="40370"/>
    <cellStyle name="Normal 65 3 8 4 4" xfId="40371"/>
    <cellStyle name="Normal 65 3 8 4 5" xfId="40372"/>
    <cellStyle name="Normal 65 3 8 4 6" xfId="40373"/>
    <cellStyle name="Normal 65 3 9" xfId="40374"/>
    <cellStyle name="Normal 65 3 9 2" xfId="40375"/>
    <cellStyle name="Normal 65 3 9 2 2" xfId="40376"/>
    <cellStyle name="Normal 65 3 9 2 3" xfId="40377"/>
    <cellStyle name="Normal 65 3 9 2 4" xfId="40378"/>
    <cellStyle name="Normal 65 3 9 2 5" xfId="40379"/>
    <cellStyle name="Normal 65 3 9 2 6" xfId="40380"/>
    <cellStyle name="Normal 65 3 9 3" xfId="40381"/>
    <cellStyle name="Normal 65 3 9 3 2" xfId="40382"/>
    <cellStyle name="Normal 65 3 9 3 3" xfId="40383"/>
    <cellStyle name="Normal 65 3 9 3 4" xfId="40384"/>
    <cellStyle name="Normal 65 3 9 3 5" xfId="40385"/>
    <cellStyle name="Normal 65 3 9 3 6" xfId="40386"/>
    <cellStyle name="Normal 65 3 9 4" xfId="40387"/>
    <cellStyle name="Normal 65 3 9 4 2" xfId="40388"/>
    <cellStyle name="Normal 65 3 9 4 3" xfId="40389"/>
    <cellStyle name="Normal 65 3 9 4 4" xfId="40390"/>
    <cellStyle name="Normal 65 3 9 4 5" xfId="40391"/>
    <cellStyle name="Normal 65 3 9 4 6" xfId="40392"/>
    <cellStyle name="Normal 65 4" xfId="40393"/>
    <cellStyle name="Normal 65 4 2" xfId="40394"/>
    <cellStyle name="Normal 65 4 2 2" xfId="40395"/>
    <cellStyle name="Normal 65 4 2 3" xfId="40396"/>
    <cellStyle name="Normal 65 4 2 4" xfId="40397"/>
    <cellStyle name="Normal 65 4 2 5" xfId="40398"/>
    <cellStyle name="Normal 65 4 2 6" xfId="40399"/>
    <cellStyle name="Normal 65 4 3" xfId="40400"/>
    <cellStyle name="Normal 65 4 3 2" xfId="40401"/>
    <cellStyle name="Normal 65 4 3 3" xfId="40402"/>
    <cellStyle name="Normal 65 4 3 4" xfId="40403"/>
    <cellStyle name="Normal 65 4 3 5" xfId="40404"/>
    <cellStyle name="Normal 65 4 3 6" xfId="40405"/>
    <cellStyle name="Normal 65 4 4" xfId="40406"/>
    <cellStyle name="Normal 65 4 4 2" xfId="40407"/>
    <cellStyle name="Normal 65 4 4 3" xfId="40408"/>
    <cellStyle name="Normal 65 4 4 4" xfId="40409"/>
    <cellStyle name="Normal 65 4 4 5" xfId="40410"/>
    <cellStyle name="Normal 65 4 4 6" xfId="40411"/>
    <cellStyle name="Normal 65 5" xfId="40412"/>
    <cellStyle name="Normal 65 5 2" xfId="40413"/>
    <cellStyle name="Normal 65 5 2 2" xfId="40414"/>
    <cellStyle name="Normal 65 5 2 3" xfId="40415"/>
    <cellStyle name="Normal 65 5 2 4" xfId="40416"/>
    <cellStyle name="Normal 65 5 2 5" xfId="40417"/>
    <cellStyle name="Normal 65 5 2 6" xfId="40418"/>
    <cellStyle name="Normal 65 5 3" xfId="40419"/>
    <cellStyle name="Normal 65 5 3 2" xfId="40420"/>
    <cellStyle name="Normal 65 5 3 3" xfId="40421"/>
    <cellStyle name="Normal 65 5 3 4" xfId="40422"/>
    <cellStyle name="Normal 65 5 3 5" xfId="40423"/>
    <cellStyle name="Normal 65 5 3 6" xfId="40424"/>
    <cellStyle name="Normal 65 5 4" xfId="40425"/>
    <cellStyle name="Normal 65 5 4 2" xfId="40426"/>
    <cellStyle name="Normal 65 5 4 3" xfId="40427"/>
    <cellStyle name="Normal 65 5 4 4" xfId="40428"/>
    <cellStyle name="Normal 65 5 4 5" xfId="40429"/>
    <cellStyle name="Normal 65 5 4 6" xfId="40430"/>
    <cellStyle name="Normal 65 6" xfId="40431"/>
    <cellStyle name="Normal 65 6 2" xfId="40432"/>
    <cellStyle name="Normal 65 6 2 2" xfId="40433"/>
    <cellStyle name="Normal 65 6 2 3" xfId="40434"/>
    <cellStyle name="Normal 65 6 2 4" xfId="40435"/>
    <cellStyle name="Normal 65 6 2 5" xfId="40436"/>
    <cellStyle name="Normal 65 6 2 6" xfId="40437"/>
    <cellStyle name="Normal 65 6 3" xfId="40438"/>
    <cellStyle name="Normal 65 6 3 2" xfId="40439"/>
    <cellStyle name="Normal 65 6 3 3" xfId="40440"/>
    <cellStyle name="Normal 65 6 3 4" xfId="40441"/>
    <cellStyle name="Normal 65 6 3 5" xfId="40442"/>
    <cellStyle name="Normal 65 6 3 6" xfId="40443"/>
    <cellStyle name="Normal 65 6 4" xfId="40444"/>
    <cellStyle name="Normal 65 6 4 2" xfId="40445"/>
    <cellStyle name="Normal 65 6 4 3" xfId="40446"/>
    <cellStyle name="Normal 65 6 4 4" xfId="40447"/>
    <cellStyle name="Normal 65 6 4 5" xfId="40448"/>
    <cellStyle name="Normal 65 6 4 6" xfId="40449"/>
    <cellStyle name="Normal 65 7" xfId="40450"/>
    <cellStyle name="Normal 65 7 2" xfId="40451"/>
    <cellStyle name="Normal 65 7 2 2" xfId="40452"/>
    <cellStyle name="Normal 65 7 2 3" xfId="40453"/>
    <cellStyle name="Normal 65 7 2 4" xfId="40454"/>
    <cellStyle name="Normal 65 7 2 5" xfId="40455"/>
    <cellStyle name="Normal 65 7 2 6" xfId="40456"/>
    <cellStyle name="Normal 65 7 3" xfId="40457"/>
    <cellStyle name="Normal 65 7 3 2" xfId="40458"/>
    <cellStyle name="Normal 65 7 3 3" xfId="40459"/>
    <cellStyle name="Normal 65 7 3 4" xfId="40460"/>
    <cellStyle name="Normal 65 7 3 5" xfId="40461"/>
    <cellStyle name="Normal 65 7 3 6" xfId="40462"/>
    <cellStyle name="Normal 65 7 4" xfId="40463"/>
    <cellStyle name="Normal 65 7 4 2" xfId="40464"/>
    <cellStyle name="Normal 65 7 4 3" xfId="40465"/>
    <cellStyle name="Normal 65 7 4 4" xfId="40466"/>
    <cellStyle name="Normal 65 7 4 5" xfId="40467"/>
    <cellStyle name="Normal 65 7 4 6" xfId="40468"/>
    <cellStyle name="Normal 65 8" xfId="40469"/>
    <cellStyle name="Normal 65 8 2" xfId="40470"/>
    <cellStyle name="Normal 65 8 3" xfId="40471"/>
    <cellStyle name="Normal 65 8 4" xfId="40472"/>
    <cellStyle name="Normal 65 8 5" xfId="40473"/>
    <cellStyle name="Normal 65 8 6" xfId="40474"/>
    <cellStyle name="Normal 65 9" xfId="40475"/>
    <cellStyle name="Normal 65 9 2" xfId="40476"/>
    <cellStyle name="Normal 65 9 3" xfId="40477"/>
    <cellStyle name="Normal 65 9 4" xfId="40478"/>
    <cellStyle name="Normal 65 9 5" xfId="40479"/>
    <cellStyle name="Normal 65 9 6" xfId="40480"/>
    <cellStyle name="Normal 66" xfId="40481"/>
    <cellStyle name="Normal 66 2" xfId="40482"/>
    <cellStyle name="Normal 66 2 2" xfId="40483"/>
    <cellStyle name="Normal 66 2 2 2" xfId="40484"/>
    <cellStyle name="Normal 66 2 2 2 2" xfId="40485"/>
    <cellStyle name="Normal 66 2 2 2 3" xfId="40486"/>
    <cellStyle name="Normal 66 2 2 2 4" xfId="40487"/>
    <cellStyle name="Normal 66 2 2 2 5" xfId="40488"/>
    <cellStyle name="Normal 66 2 2 2 6" xfId="40489"/>
    <cellStyle name="Normal 66 2 2 3" xfId="40490"/>
    <cellStyle name="Normal 66 2 2 3 2" xfId="40491"/>
    <cellStyle name="Normal 66 2 2 3 3" xfId="40492"/>
    <cellStyle name="Normal 66 2 2 3 4" xfId="40493"/>
    <cellStyle name="Normal 66 2 2 3 5" xfId="40494"/>
    <cellStyle name="Normal 66 2 2 3 6" xfId="40495"/>
    <cellStyle name="Normal 66 2 2 4" xfId="40496"/>
    <cellStyle name="Normal 66 2 2 4 2" xfId="40497"/>
    <cellStyle name="Normal 66 2 2 4 3" xfId="40498"/>
    <cellStyle name="Normal 66 2 2 4 4" xfId="40499"/>
    <cellStyle name="Normal 66 2 2 4 5" xfId="40500"/>
    <cellStyle name="Normal 66 2 2 4 6" xfId="40501"/>
    <cellStyle name="Normal 66 2 3" xfId="40502"/>
    <cellStyle name="Normal 66 2 3 2" xfId="40503"/>
    <cellStyle name="Normal 66 2 3 2 2" xfId="40504"/>
    <cellStyle name="Normal 66 2 3 2 3" xfId="40505"/>
    <cellStyle name="Normal 66 2 3 2 4" xfId="40506"/>
    <cellStyle name="Normal 66 2 3 2 5" xfId="40507"/>
    <cellStyle name="Normal 66 2 3 2 6" xfId="40508"/>
    <cellStyle name="Normal 66 2 3 3" xfId="40509"/>
    <cellStyle name="Normal 66 2 3 3 2" xfId="40510"/>
    <cellStyle name="Normal 66 2 3 3 3" xfId="40511"/>
    <cellStyle name="Normal 66 2 3 3 4" xfId="40512"/>
    <cellStyle name="Normal 66 2 3 3 5" xfId="40513"/>
    <cellStyle name="Normal 66 2 3 3 6" xfId="40514"/>
    <cellStyle name="Normal 66 2 3 4" xfId="40515"/>
    <cellStyle name="Normal 66 2 3 4 2" xfId="40516"/>
    <cellStyle name="Normal 66 2 3 4 3" xfId="40517"/>
    <cellStyle name="Normal 66 2 3 4 4" xfId="40518"/>
    <cellStyle name="Normal 66 2 3 4 5" xfId="40519"/>
    <cellStyle name="Normal 66 2 3 4 6" xfId="40520"/>
    <cellStyle name="Normal 66 2 4" xfId="40521"/>
    <cellStyle name="Normal 66 2 4 2" xfId="40522"/>
    <cellStyle name="Normal 66 2 4 3" xfId="40523"/>
    <cellStyle name="Normal 66 2 4 4" xfId="40524"/>
    <cellStyle name="Normal 66 2 4 5" xfId="40525"/>
    <cellStyle name="Normal 66 2 4 6" xfId="40526"/>
    <cellStyle name="Normal 66 2 5" xfId="40527"/>
    <cellStyle name="Normal 66 2 5 2" xfId="40528"/>
    <cellStyle name="Normal 66 2 5 3" xfId="40529"/>
    <cellStyle name="Normal 66 2 5 4" xfId="40530"/>
    <cellStyle name="Normal 66 2 5 5" xfId="40531"/>
    <cellStyle name="Normal 66 2 5 6" xfId="40532"/>
    <cellStyle name="Normal 66 2 6" xfId="40533"/>
    <cellStyle name="Normal 66 2 6 2" xfId="40534"/>
    <cellStyle name="Normal 66 2 6 3" xfId="40535"/>
    <cellStyle name="Normal 66 2 6 4" xfId="40536"/>
    <cellStyle name="Normal 66 2 6 5" xfId="40537"/>
    <cellStyle name="Normal 66 2 6 6" xfId="40538"/>
    <cellStyle name="Normal 66 3" xfId="40539"/>
    <cellStyle name="Normal 66 3 2" xfId="40540"/>
    <cellStyle name="Normal 66 3 2 2" xfId="40541"/>
    <cellStyle name="Normal 66 3 2 3" xfId="40542"/>
    <cellStyle name="Normal 66 3 2 4" xfId="40543"/>
    <cellStyle name="Normal 66 3 2 5" xfId="40544"/>
    <cellStyle name="Normal 66 3 2 6" xfId="40545"/>
    <cellStyle name="Normal 66 3 3" xfId="40546"/>
    <cellStyle name="Normal 66 3 3 2" xfId="40547"/>
    <cellStyle name="Normal 66 3 3 3" xfId="40548"/>
    <cellStyle name="Normal 66 3 3 4" xfId="40549"/>
    <cellStyle name="Normal 66 3 3 5" xfId="40550"/>
    <cellStyle name="Normal 66 3 3 6" xfId="40551"/>
    <cellStyle name="Normal 66 3 4" xfId="40552"/>
    <cellStyle name="Normal 66 3 4 2" xfId="40553"/>
    <cellStyle name="Normal 66 3 4 3" xfId="40554"/>
    <cellStyle name="Normal 66 3 4 4" xfId="40555"/>
    <cellStyle name="Normal 66 3 4 5" xfId="40556"/>
    <cellStyle name="Normal 66 3 4 6" xfId="40557"/>
    <cellStyle name="Normal 66 4" xfId="40558"/>
    <cellStyle name="Normal 66 4 2" xfId="40559"/>
    <cellStyle name="Normal 66 4 2 2" xfId="40560"/>
    <cellStyle name="Normal 66 4 2 3" xfId="40561"/>
    <cellStyle name="Normal 66 4 2 4" xfId="40562"/>
    <cellStyle name="Normal 66 4 2 5" xfId="40563"/>
    <cellStyle name="Normal 66 4 2 6" xfId="40564"/>
    <cellStyle name="Normal 66 4 3" xfId="40565"/>
    <cellStyle name="Normal 66 4 3 2" xfId="40566"/>
    <cellStyle name="Normal 66 4 3 3" xfId="40567"/>
    <cellStyle name="Normal 66 4 3 4" xfId="40568"/>
    <cellStyle name="Normal 66 4 3 5" xfId="40569"/>
    <cellStyle name="Normal 66 4 3 6" xfId="40570"/>
    <cellStyle name="Normal 66 4 4" xfId="40571"/>
    <cellStyle name="Normal 66 4 4 2" xfId="40572"/>
    <cellStyle name="Normal 66 4 4 3" xfId="40573"/>
    <cellStyle name="Normal 66 4 4 4" xfId="40574"/>
    <cellStyle name="Normal 66 4 4 5" xfId="40575"/>
    <cellStyle name="Normal 66 4 4 6" xfId="40576"/>
    <cellStyle name="Normal 66 5" xfId="40577"/>
    <cellStyle name="Normal 66 5 2" xfId="40578"/>
    <cellStyle name="Normal 66 5 2 2" xfId="40579"/>
    <cellStyle name="Normal 66 5 2 3" xfId="40580"/>
    <cellStyle name="Normal 66 5 2 4" xfId="40581"/>
    <cellStyle name="Normal 66 5 2 5" xfId="40582"/>
    <cellStyle name="Normal 66 5 2 6" xfId="40583"/>
    <cellStyle name="Normal 66 5 3" xfId="40584"/>
    <cellStyle name="Normal 66 5 3 2" xfId="40585"/>
    <cellStyle name="Normal 66 5 3 3" xfId="40586"/>
    <cellStyle name="Normal 66 5 3 4" xfId="40587"/>
    <cellStyle name="Normal 66 5 3 5" xfId="40588"/>
    <cellStyle name="Normal 66 5 3 6" xfId="40589"/>
    <cellStyle name="Normal 66 5 4" xfId="40590"/>
    <cellStyle name="Normal 66 5 4 2" xfId="40591"/>
    <cellStyle name="Normal 66 5 4 3" xfId="40592"/>
    <cellStyle name="Normal 66 5 4 4" xfId="40593"/>
    <cellStyle name="Normal 66 5 4 5" xfId="40594"/>
    <cellStyle name="Normal 66 5 4 6" xfId="40595"/>
    <cellStyle name="Normal 66 6" xfId="40596"/>
    <cellStyle name="Normal 66 6 2" xfId="40597"/>
    <cellStyle name="Normal 66 6 2 2" xfId="40598"/>
    <cellStyle name="Normal 66 6 2 3" xfId="40599"/>
    <cellStyle name="Normal 66 6 2 4" xfId="40600"/>
    <cellStyle name="Normal 66 6 2 5" xfId="40601"/>
    <cellStyle name="Normal 66 6 2 6" xfId="40602"/>
    <cellStyle name="Normal 66 6 3" xfId="40603"/>
    <cellStyle name="Normal 66 6 3 2" xfId="40604"/>
    <cellStyle name="Normal 66 6 3 3" xfId="40605"/>
    <cellStyle name="Normal 66 6 3 4" xfId="40606"/>
    <cellStyle name="Normal 66 6 3 5" xfId="40607"/>
    <cellStyle name="Normal 66 6 3 6" xfId="40608"/>
    <cellStyle name="Normal 66 6 4" xfId="40609"/>
    <cellStyle name="Normal 66 6 4 2" xfId="40610"/>
    <cellStyle name="Normal 66 6 4 3" xfId="40611"/>
    <cellStyle name="Normal 66 6 4 4" xfId="40612"/>
    <cellStyle name="Normal 66 6 4 5" xfId="40613"/>
    <cellStyle name="Normal 66 6 4 6" xfId="40614"/>
    <cellStyle name="Normal 66 7" xfId="40615"/>
    <cellStyle name="Normal 66 7 2" xfId="40616"/>
    <cellStyle name="Normal 66 7 3" xfId="40617"/>
    <cellStyle name="Normal 66 7 4" xfId="40618"/>
    <cellStyle name="Normal 66 7 5" xfId="40619"/>
    <cellStyle name="Normal 66 7 6" xfId="40620"/>
    <cellStyle name="Normal 66 8" xfId="40621"/>
    <cellStyle name="Normal 66 8 2" xfId="40622"/>
    <cellStyle name="Normal 66 8 3" xfId="40623"/>
    <cellStyle name="Normal 66 8 4" xfId="40624"/>
    <cellStyle name="Normal 66 8 5" xfId="40625"/>
    <cellStyle name="Normal 66 8 6" xfId="40626"/>
    <cellStyle name="Normal 66 9" xfId="40627"/>
    <cellStyle name="Normal 66 9 2" xfId="40628"/>
    <cellStyle name="Normal 66 9 3" xfId="40629"/>
    <cellStyle name="Normal 66 9 4" xfId="40630"/>
    <cellStyle name="Normal 66 9 5" xfId="40631"/>
    <cellStyle name="Normal 66 9 6" xfId="40632"/>
    <cellStyle name="Normal 67" xfId="40633"/>
    <cellStyle name="Normal 67 2" xfId="40634"/>
    <cellStyle name="Normal 67 2 2" xfId="40635"/>
    <cellStyle name="Normal 67 2 2 2" xfId="40636"/>
    <cellStyle name="Normal 67 2 2 2 2" xfId="40637"/>
    <cellStyle name="Normal 67 2 2 2 3" xfId="40638"/>
    <cellStyle name="Normal 67 2 2 2 4" xfId="40639"/>
    <cellStyle name="Normal 67 2 2 2 5" xfId="40640"/>
    <cellStyle name="Normal 67 2 2 2 6" xfId="40641"/>
    <cellStyle name="Normal 67 2 2 3" xfId="40642"/>
    <cellStyle name="Normal 67 2 2 3 2" xfId="40643"/>
    <cellStyle name="Normal 67 2 2 3 3" xfId="40644"/>
    <cellStyle name="Normal 67 2 2 3 4" xfId="40645"/>
    <cellStyle name="Normal 67 2 2 3 5" xfId="40646"/>
    <cellStyle name="Normal 67 2 2 3 6" xfId="40647"/>
    <cellStyle name="Normal 67 2 2 4" xfId="40648"/>
    <cellStyle name="Normal 67 2 2 4 2" xfId="40649"/>
    <cellStyle name="Normal 67 2 2 4 3" xfId="40650"/>
    <cellStyle name="Normal 67 2 2 4 4" xfId="40651"/>
    <cellStyle name="Normal 67 2 2 4 5" xfId="40652"/>
    <cellStyle name="Normal 67 2 2 4 6" xfId="40653"/>
    <cellStyle name="Normal 67 2 3" xfId="40654"/>
    <cellStyle name="Normal 67 2 3 2" xfId="40655"/>
    <cellStyle name="Normal 67 2 3 2 2" xfId="40656"/>
    <cellStyle name="Normal 67 2 3 2 3" xfId="40657"/>
    <cellStyle name="Normal 67 2 3 2 4" xfId="40658"/>
    <cellStyle name="Normal 67 2 3 2 5" xfId="40659"/>
    <cellStyle name="Normal 67 2 3 2 6" xfId="40660"/>
    <cellStyle name="Normal 67 2 3 3" xfId="40661"/>
    <cellStyle name="Normal 67 2 3 3 2" xfId="40662"/>
    <cellStyle name="Normal 67 2 3 3 3" xfId="40663"/>
    <cellStyle name="Normal 67 2 3 3 4" xfId="40664"/>
    <cellStyle name="Normal 67 2 3 3 5" xfId="40665"/>
    <cellStyle name="Normal 67 2 3 3 6" xfId="40666"/>
    <cellStyle name="Normal 67 2 3 4" xfId="40667"/>
    <cellStyle name="Normal 67 2 3 4 2" xfId="40668"/>
    <cellStyle name="Normal 67 2 3 4 3" xfId="40669"/>
    <cellStyle name="Normal 67 2 3 4 4" xfId="40670"/>
    <cellStyle name="Normal 67 2 3 4 5" xfId="40671"/>
    <cellStyle name="Normal 67 2 3 4 6" xfId="40672"/>
    <cellStyle name="Normal 67 2 4" xfId="40673"/>
    <cellStyle name="Normal 67 2 4 2" xfId="40674"/>
    <cellStyle name="Normal 67 2 4 3" xfId="40675"/>
    <cellStyle name="Normal 67 2 4 4" xfId="40676"/>
    <cellStyle name="Normal 67 2 4 5" xfId="40677"/>
    <cellStyle name="Normal 67 2 4 6" xfId="40678"/>
    <cellStyle name="Normal 67 2 5" xfId="40679"/>
    <cellStyle name="Normal 67 2 5 2" xfId="40680"/>
    <cellStyle name="Normal 67 2 5 3" xfId="40681"/>
    <cellStyle name="Normal 67 2 5 4" xfId="40682"/>
    <cellStyle name="Normal 67 2 5 5" xfId="40683"/>
    <cellStyle name="Normal 67 2 5 6" xfId="40684"/>
    <cellStyle name="Normal 67 2 6" xfId="40685"/>
    <cellStyle name="Normal 67 2 6 2" xfId="40686"/>
    <cellStyle name="Normal 67 2 6 3" xfId="40687"/>
    <cellStyle name="Normal 67 2 6 4" xfId="40688"/>
    <cellStyle name="Normal 67 2 6 5" xfId="40689"/>
    <cellStyle name="Normal 67 2 6 6" xfId="40690"/>
    <cellStyle name="Normal 67 3" xfId="40691"/>
    <cellStyle name="Normal 67 3 2" xfId="40692"/>
    <cellStyle name="Normal 67 3 2 2" xfId="40693"/>
    <cellStyle name="Normal 67 3 2 3" xfId="40694"/>
    <cellStyle name="Normal 67 3 2 4" xfId="40695"/>
    <cellStyle name="Normal 67 3 2 5" xfId="40696"/>
    <cellStyle name="Normal 67 3 2 6" xfId="40697"/>
    <cellStyle name="Normal 67 3 3" xfId="40698"/>
    <cellStyle name="Normal 67 3 3 2" xfId="40699"/>
    <cellStyle name="Normal 67 3 3 3" xfId="40700"/>
    <cellStyle name="Normal 67 3 3 4" xfId="40701"/>
    <cellStyle name="Normal 67 3 3 5" xfId="40702"/>
    <cellStyle name="Normal 67 3 3 6" xfId="40703"/>
    <cellStyle name="Normal 67 3 4" xfId="40704"/>
    <cellStyle name="Normal 67 3 4 2" xfId="40705"/>
    <cellStyle name="Normal 67 3 4 3" xfId="40706"/>
    <cellStyle name="Normal 67 3 4 4" xfId="40707"/>
    <cellStyle name="Normal 67 3 4 5" xfId="40708"/>
    <cellStyle name="Normal 67 3 4 6" xfId="40709"/>
    <cellStyle name="Normal 67 4" xfId="40710"/>
    <cellStyle name="Normal 67 4 2" xfId="40711"/>
    <cellStyle name="Normal 67 4 2 2" xfId="40712"/>
    <cellStyle name="Normal 67 4 2 3" xfId="40713"/>
    <cellStyle name="Normal 67 4 2 4" xfId="40714"/>
    <cellStyle name="Normal 67 4 2 5" xfId="40715"/>
    <cellStyle name="Normal 67 4 2 6" xfId="40716"/>
    <cellStyle name="Normal 67 4 3" xfId="40717"/>
    <cellStyle name="Normal 67 4 3 2" xfId="40718"/>
    <cellStyle name="Normal 67 4 3 3" xfId="40719"/>
    <cellStyle name="Normal 67 4 3 4" xfId="40720"/>
    <cellStyle name="Normal 67 4 3 5" xfId="40721"/>
    <cellStyle name="Normal 67 4 3 6" xfId="40722"/>
    <cellStyle name="Normal 67 4 4" xfId="40723"/>
    <cellStyle name="Normal 67 4 4 2" xfId="40724"/>
    <cellStyle name="Normal 67 4 4 3" xfId="40725"/>
    <cellStyle name="Normal 67 4 4 4" xfId="40726"/>
    <cellStyle name="Normal 67 4 4 5" xfId="40727"/>
    <cellStyle name="Normal 67 4 4 6" xfId="40728"/>
    <cellStyle name="Normal 67 5" xfId="40729"/>
    <cellStyle name="Normal 67 5 2" xfId="40730"/>
    <cellStyle name="Normal 67 5 2 2" xfId="40731"/>
    <cellStyle name="Normal 67 5 2 3" xfId="40732"/>
    <cellStyle name="Normal 67 5 2 4" xfId="40733"/>
    <cellStyle name="Normal 67 5 2 5" xfId="40734"/>
    <cellStyle name="Normal 67 5 2 6" xfId="40735"/>
    <cellStyle name="Normal 67 5 3" xfId="40736"/>
    <cellStyle name="Normal 67 5 3 2" xfId="40737"/>
    <cellStyle name="Normal 67 5 3 3" xfId="40738"/>
    <cellStyle name="Normal 67 5 3 4" xfId="40739"/>
    <cellStyle name="Normal 67 5 3 5" xfId="40740"/>
    <cellStyle name="Normal 67 5 3 6" xfId="40741"/>
    <cellStyle name="Normal 67 5 4" xfId="40742"/>
    <cellStyle name="Normal 67 5 4 2" xfId="40743"/>
    <cellStyle name="Normal 67 5 4 3" xfId="40744"/>
    <cellStyle name="Normal 67 5 4 4" xfId="40745"/>
    <cellStyle name="Normal 67 5 4 5" xfId="40746"/>
    <cellStyle name="Normal 67 5 4 6" xfId="40747"/>
    <cellStyle name="Normal 67 6" xfId="40748"/>
    <cellStyle name="Normal 67 6 2" xfId="40749"/>
    <cellStyle name="Normal 67 6 2 2" xfId="40750"/>
    <cellStyle name="Normal 67 6 2 3" xfId="40751"/>
    <cellStyle name="Normal 67 6 2 4" xfId="40752"/>
    <cellStyle name="Normal 67 6 2 5" xfId="40753"/>
    <cellStyle name="Normal 67 6 2 6" xfId="40754"/>
    <cellStyle name="Normal 67 6 3" xfId="40755"/>
    <cellStyle name="Normal 67 6 3 2" xfId="40756"/>
    <cellStyle name="Normal 67 6 3 3" xfId="40757"/>
    <cellStyle name="Normal 67 6 3 4" xfId="40758"/>
    <cellStyle name="Normal 67 6 3 5" xfId="40759"/>
    <cellStyle name="Normal 67 6 3 6" xfId="40760"/>
    <cellStyle name="Normal 67 6 4" xfId="40761"/>
    <cellStyle name="Normal 67 6 4 2" xfId="40762"/>
    <cellStyle name="Normal 67 6 4 3" xfId="40763"/>
    <cellStyle name="Normal 67 6 4 4" xfId="40764"/>
    <cellStyle name="Normal 67 6 4 5" xfId="40765"/>
    <cellStyle name="Normal 67 6 4 6" xfId="40766"/>
    <cellStyle name="Normal 67 7" xfId="40767"/>
    <cellStyle name="Normal 67 7 2" xfId="40768"/>
    <cellStyle name="Normal 67 7 3" xfId="40769"/>
    <cellStyle name="Normal 67 7 4" xfId="40770"/>
    <cellStyle name="Normal 67 7 5" xfId="40771"/>
    <cellStyle name="Normal 67 7 6" xfId="40772"/>
    <cellStyle name="Normal 67 8" xfId="40773"/>
    <cellStyle name="Normal 67 8 2" xfId="40774"/>
    <cellStyle name="Normal 67 8 3" xfId="40775"/>
    <cellStyle name="Normal 67 8 4" xfId="40776"/>
    <cellStyle name="Normal 67 8 5" xfId="40777"/>
    <cellStyle name="Normal 67 8 6" xfId="40778"/>
    <cellStyle name="Normal 67 9" xfId="40779"/>
    <cellStyle name="Normal 67 9 2" xfId="40780"/>
    <cellStyle name="Normal 67 9 3" xfId="40781"/>
    <cellStyle name="Normal 67 9 4" xfId="40782"/>
    <cellStyle name="Normal 67 9 5" xfId="40783"/>
    <cellStyle name="Normal 67 9 6" xfId="40784"/>
    <cellStyle name="Normal 68" xfId="40785"/>
    <cellStyle name="Normal 68 2" xfId="40786"/>
    <cellStyle name="Normal 68 2 2" xfId="40787"/>
    <cellStyle name="Normal 68 2 2 2" xfId="40788"/>
    <cellStyle name="Normal 68 2 2 2 2" xfId="40789"/>
    <cellStyle name="Normal 68 2 2 2 3" xfId="40790"/>
    <cellStyle name="Normal 68 2 2 2 4" xfId="40791"/>
    <cellStyle name="Normal 68 2 2 2 5" xfId="40792"/>
    <cellStyle name="Normal 68 2 2 2 6" xfId="40793"/>
    <cellStyle name="Normal 68 2 2 3" xfId="40794"/>
    <cellStyle name="Normal 68 2 2 3 2" xfId="40795"/>
    <cellStyle name="Normal 68 2 2 3 3" xfId="40796"/>
    <cellStyle name="Normal 68 2 2 3 4" xfId="40797"/>
    <cellStyle name="Normal 68 2 2 3 5" xfId="40798"/>
    <cellStyle name="Normal 68 2 2 3 6" xfId="40799"/>
    <cellStyle name="Normal 68 2 2 4" xfId="40800"/>
    <cellStyle name="Normal 68 2 2 4 2" xfId="40801"/>
    <cellStyle name="Normal 68 2 2 4 3" xfId="40802"/>
    <cellStyle name="Normal 68 2 2 4 4" xfId="40803"/>
    <cellStyle name="Normal 68 2 2 4 5" xfId="40804"/>
    <cellStyle name="Normal 68 2 2 4 6" xfId="40805"/>
    <cellStyle name="Normal 68 2 3" xfId="40806"/>
    <cellStyle name="Normal 68 2 3 2" xfId="40807"/>
    <cellStyle name="Normal 68 2 3 2 2" xfId="40808"/>
    <cellStyle name="Normal 68 2 3 2 3" xfId="40809"/>
    <cellStyle name="Normal 68 2 3 2 4" xfId="40810"/>
    <cellStyle name="Normal 68 2 3 2 5" xfId="40811"/>
    <cellStyle name="Normal 68 2 3 2 6" xfId="40812"/>
    <cellStyle name="Normal 68 2 3 3" xfId="40813"/>
    <cellStyle name="Normal 68 2 3 3 2" xfId="40814"/>
    <cellStyle name="Normal 68 2 3 3 3" xfId="40815"/>
    <cellStyle name="Normal 68 2 3 3 4" xfId="40816"/>
    <cellStyle name="Normal 68 2 3 3 5" xfId="40817"/>
    <cellStyle name="Normal 68 2 3 3 6" xfId="40818"/>
    <cellStyle name="Normal 68 2 3 4" xfId="40819"/>
    <cellStyle name="Normal 68 2 3 4 2" xfId="40820"/>
    <cellStyle name="Normal 68 2 3 4 3" xfId="40821"/>
    <cellStyle name="Normal 68 2 3 4 4" xfId="40822"/>
    <cellStyle name="Normal 68 2 3 4 5" xfId="40823"/>
    <cellStyle name="Normal 68 2 3 4 6" xfId="40824"/>
    <cellStyle name="Normal 68 2 4" xfId="40825"/>
    <cellStyle name="Normal 68 2 4 2" xfId="40826"/>
    <cellStyle name="Normal 68 2 4 3" xfId="40827"/>
    <cellStyle name="Normal 68 2 4 4" xfId="40828"/>
    <cellStyle name="Normal 68 2 4 5" xfId="40829"/>
    <cellStyle name="Normal 68 2 4 6" xfId="40830"/>
    <cellStyle name="Normal 68 2 5" xfId="40831"/>
    <cellStyle name="Normal 68 2 5 2" xfId="40832"/>
    <cellStyle name="Normal 68 2 5 3" xfId="40833"/>
    <cellStyle name="Normal 68 2 5 4" xfId="40834"/>
    <cellStyle name="Normal 68 2 5 5" xfId="40835"/>
    <cellStyle name="Normal 68 2 5 6" xfId="40836"/>
    <cellStyle name="Normal 68 2 6" xfId="40837"/>
    <cellStyle name="Normal 68 2 6 2" xfId="40838"/>
    <cellStyle name="Normal 68 2 6 3" xfId="40839"/>
    <cellStyle name="Normal 68 2 6 4" xfId="40840"/>
    <cellStyle name="Normal 68 2 6 5" xfId="40841"/>
    <cellStyle name="Normal 68 2 6 6" xfId="40842"/>
    <cellStyle name="Normal 68 3" xfId="40843"/>
    <cellStyle name="Normal 68 3 2" xfId="40844"/>
    <cellStyle name="Normal 68 3 2 2" xfId="40845"/>
    <cellStyle name="Normal 68 3 2 3" xfId="40846"/>
    <cellStyle name="Normal 68 3 2 4" xfId="40847"/>
    <cellStyle name="Normal 68 3 2 5" xfId="40848"/>
    <cellStyle name="Normal 68 3 2 6" xfId="40849"/>
    <cellStyle name="Normal 68 3 3" xfId="40850"/>
    <cellStyle name="Normal 68 3 3 2" xfId="40851"/>
    <cellStyle name="Normal 68 3 3 3" xfId="40852"/>
    <cellStyle name="Normal 68 3 3 4" xfId="40853"/>
    <cellStyle name="Normal 68 3 3 5" xfId="40854"/>
    <cellStyle name="Normal 68 3 3 6" xfId="40855"/>
    <cellStyle name="Normal 68 3 4" xfId="40856"/>
    <cellStyle name="Normal 68 3 4 2" xfId="40857"/>
    <cellStyle name="Normal 68 3 4 3" xfId="40858"/>
    <cellStyle name="Normal 68 3 4 4" xfId="40859"/>
    <cellStyle name="Normal 68 3 4 5" xfId="40860"/>
    <cellStyle name="Normal 68 3 4 6" xfId="40861"/>
    <cellStyle name="Normal 68 4" xfId="40862"/>
    <cellStyle name="Normal 68 4 2" xfId="40863"/>
    <cellStyle name="Normal 68 4 2 2" xfId="40864"/>
    <cellStyle name="Normal 68 4 2 3" xfId="40865"/>
    <cellStyle name="Normal 68 4 2 4" xfId="40866"/>
    <cellStyle name="Normal 68 4 2 5" xfId="40867"/>
    <cellStyle name="Normal 68 4 2 6" xfId="40868"/>
    <cellStyle name="Normal 68 4 3" xfId="40869"/>
    <cellStyle name="Normal 68 4 3 2" xfId="40870"/>
    <cellStyle name="Normal 68 4 3 3" xfId="40871"/>
    <cellStyle name="Normal 68 4 3 4" xfId="40872"/>
    <cellStyle name="Normal 68 4 3 5" xfId="40873"/>
    <cellStyle name="Normal 68 4 3 6" xfId="40874"/>
    <cellStyle name="Normal 68 4 4" xfId="40875"/>
    <cellStyle name="Normal 68 4 4 2" xfId="40876"/>
    <cellStyle name="Normal 68 4 4 3" xfId="40877"/>
    <cellStyle name="Normal 68 4 4 4" xfId="40878"/>
    <cellStyle name="Normal 68 4 4 5" xfId="40879"/>
    <cellStyle name="Normal 68 4 4 6" xfId="40880"/>
    <cellStyle name="Normal 68 5" xfId="40881"/>
    <cellStyle name="Normal 68 5 2" xfId="40882"/>
    <cellStyle name="Normal 68 5 2 2" xfId="40883"/>
    <cellStyle name="Normal 68 5 2 3" xfId="40884"/>
    <cellStyle name="Normal 68 5 2 4" xfId="40885"/>
    <cellStyle name="Normal 68 5 2 5" xfId="40886"/>
    <cellStyle name="Normal 68 5 2 6" xfId="40887"/>
    <cellStyle name="Normal 68 5 3" xfId="40888"/>
    <cellStyle name="Normal 68 5 3 2" xfId="40889"/>
    <cellStyle name="Normal 68 5 3 3" xfId="40890"/>
    <cellStyle name="Normal 68 5 3 4" xfId="40891"/>
    <cellStyle name="Normal 68 5 3 5" xfId="40892"/>
    <cellStyle name="Normal 68 5 3 6" xfId="40893"/>
    <cellStyle name="Normal 68 5 4" xfId="40894"/>
    <cellStyle name="Normal 68 5 4 2" xfId="40895"/>
    <cellStyle name="Normal 68 5 4 3" xfId="40896"/>
    <cellStyle name="Normal 68 5 4 4" xfId="40897"/>
    <cellStyle name="Normal 68 5 4 5" xfId="40898"/>
    <cellStyle name="Normal 68 5 4 6" xfId="40899"/>
    <cellStyle name="Normal 68 6" xfId="40900"/>
    <cellStyle name="Normal 68 6 2" xfId="40901"/>
    <cellStyle name="Normal 68 6 2 2" xfId="40902"/>
    <cellStyle name="Normal 68 6 2 3" xfId="40903"/>
    <cellStyle name="Normal 68 6 2 4" xfId="40904"/>
    <cellStyle name="Normal 68 6 2 5" xfId="40905"/>
    <cellStyle name="Normal 68 6 2 6" xfId="40906"/>
    <cellStyle name="Normal 68 6 3" xfId="40907"/>
    <cellStyle name="Normal 68 6 3 2" xfId="40908"/>
    <cellStyle name="Normal 68 6 3 3" xfId="40909"/>
    <cellStyle name="Normal 68 6 3 4" xfId="40910"/>
    <cellStyle name="Normal 68 6 3 5" xfId="40911"/>
    <cellStyle name="Normal 68 6 3 6" xfId="40912"/>
    <cellStyle name="Normal 68 6 4" xfId="40913"/>
    <cellStyle name="Normal 68 6 4 2" xfId="40914"/>
    <cellStyle name="Normal 68 6 4 3" xfId="40915"/>
    <cellStyle name="Normal 68 6 4 4" xfId="40916"/>
    <cellStyle name="Normal 68 6 4 5" xfId="40917"/>
    <cellStyle name="Normal 68 6 4 6" xfId="40918"/>
    <cellStyle name="Normal 68 7" xfId="40919"/>
    <cellStyle name="Normal 68 7 2" xfId="40920"/>
    <cellStyle name="Normal 68 7 3" xfId="40921"/>
    <cellStyle name="Normal 68 7 4" xfId="40922"/>
    <cellStyle name="Normal 68 7 5" xfId="40923"/>
    <cellStyle name="Normal 68 7 6" xfId="40924"/>
    <cellStyle name="Normal 68 8" xfId="40925"/>
    <cellStyle name="Normal 68 8 2" xfId="40926"/>
    <cellStyle name="Normal 68 8 3" xfId="40927"/>
    <cellStyle name="Normal 68 8 4" xfId="40928"/>
    <cellStyle name="Normal 68 8 5" xfId="40929"/>
    <cellStyle name="Normal 68 8 6" xfId="40930"/>
    <cellStyle name="Normal 68 9" xfId="40931"/>
    <cellStyle name="Normal 68 9 2" xfId="40932"/>
    <cellStyle name="Normal 68 9 3" xfId="40933"/>
    <cellStyle name="Normal 68 9 4" xfId="40934"/>
    <cellStyle name="Normal 68 9 5" xfId="40935"/>
    <cellStyle name="Normal 68 9 6" xfId="40936"/>
    <cellStyle name="Normal 69" xfId="40937"/>
    <cellStyle name="Normal 69 2" xfId="40938"/>
    <cellStyle name="Normal 69 2 2" xfId="40939"/>
    <cellStyle name="Normal 69 2 2 2" xfId="40940"/>
    <cellStyle name="Normal 69 2 2 2 2" xfId="40941"/>
    <cellStyle name="Normal 69 2 2 2 3" xfId="40942"/>
    <cellStyle name="Normal 69 2 2 2 4" xfId="40943"/>
    <cellStyle name="Normal 69 2 2 2 5" xfId="40944"/>
    <cellStyle name="Normal 69 2 2 2 6" xfId="40945"/>
    <cellStyle name="Normal 69 2 2 3" xfId="40946"/>
    <cellStyle name="Normal 69 2 2 3 2" xfId="40947"/>
    <cellStyle name="Normal 69 2 2 3 3" xfId="40948"/>
    <cellStyle name="Normal 69 2 2 3 4" xfId="40949"/>
    <cellStyle name="Normal 69 2 2 3 5" xfId="40950"/>
    <cellStyle name="Normal 69 2 2 3 6" xfId="40951"/>
    <cellStyle name="Normal 69 2 2 4" xfId="40952"/>
    <cellStyle name="Normal 69 2 2 4 2" xfId="40953"/>
    <cellStyle name="Normal 69 2 2 4 3" xfId="40954"/>
    <cellStyle name="Normal 69 2 2 4 4" xfId="40955"/>
    <cellStyle name="Normal 69 2 2 4 5" xfId="40956"/>
    <cellStyle name="Normal 69 2 2 4 6" xfId="40957"/>
    <cellStyle name="Normal 69 2 3" xfId="40958"/>
    <cellStyle name="Normal 69 2 3 2" xfId="40959"/>
    <cellStyle name="Normal 69 2 3 2 2" xfId="40960"/>
    <cellStyle name="Normal 69 2 3 2 3" xfId="40961"/>
    <cellStyle name="Normal 69 2 3 2 4" xfId="40962"/>
    <cellStyle name="Normal 69 2 3 2 5" xfId="40963"/>
    <cellStyle name="Normal 69 2 3 2 6" xfId="40964"/>
    <cellStyle name="Normal 69 2 3 3" xfId="40965"/>
    <cellStyle name="Normal 69 2 3 3 2" xfId="40966"/>
    <cellStyle name="Normal 69 2 3 3 3" xfId="40967"/>
    <cellStyle name="Normal 69 2 3 3 4" xfId="40968"/>
    <cellStyle name="Normal 69 2 3 3 5" xfId="40969"/>
    <cellStyle name="Normal 69 2 3 3 6" xfId="40970"/>
    <cellStyle name="Normal 69 2 3 4" xfId="40971"/>
    <cellStyle name="Normal 69 2 3 4 2" xfId="40972"/>
    <cellStyle name="Normal 69 2 3 4 3" xfId="40973"/>
    <cellStyle name="Normal 69 2 3 4 4" xfId="40974"/>
    <cellStyle name="Normal 69 2 3 4 5" xfId="40975"/>
    <cellStyle name="Normal 69 2 3 4 6" xfId="40976"/>
    <cellStyle name="Normal 69 2 4" xfId="40977"/>
    <cellStyle name="Normal 69 2 4 2" xfId="40978"/>
    <cellStyle name="Normal 69 2 4 3" xfId="40979"/>
    <cellStyle name="Normal 69 2 4 4" xfId="40980"/>
    <cellStyle name="Normal 69 2 4 5" xfId="40981"/>
    <cellStyle name="Normal 69 2 4 6" xfId="40982"/>
    <cellStyle name="Normal 69 2 5" xfId="40983"/>
    <cellStyle name="Normal 69 2 5 2" xfId="40984"/>
    <cellStyle name="Normal 69 2 5 3" xfId="40985"/>
    <cellStyle name="Normal 69 2 5 4" xfId="40986"/>
    <cellStyle name="Normal 69 2 5 5" xfId="40987"/>
    <cellStyle name="Normal 69 2 5 6" xfId="40988"/>
    <cellStyle name="Normal 69 2 6" xfId="40989"/>
    <cellStyle name="Normal 69 2 6 2" xfId="40990"/>
    <cellStyle name="Normal 69 2 6 3" xfId="40991"/>
    <cellStyle name="Normal 69 2 6 4" xfId="40992"/>
    <cellStyle name="Normal 69 2 6 5" xfId="40993"/>
    <cellStyle name="Normal 69 2 6 6" xfId="40994"/>
    <cellStyle name="Normal 69 3" xfId="40995"/>
    <cellStyle name="Normal 69 3 2" xfId="40996"/>
    <cellStyle name="Normal 69 3 2 2" xfId="40997"/>
    <cellStyle name="Normal 69 3 2 3" xfId="40998"/>
    <cellStyle name="Normal 69 3 2 4" xfId="40999"/>
    <cellStyle name="Normal 69 3 2 5" xfId="41000"/>
    <cellStyle name="Normal 69 3 2 6" xfId="41001"/>
    <cellStyle name="Normal 69 3 3" xfId="41002"/>
    <cellStyle name="Normal 69 3 3 2" xfId="41003"/>
    <cellStyle name="Normal 69 3 3 3" xfId="41004"/>
    <cellStyle name="Normal 69 3 3 4" xfId="41005"/>
    <cellStyle name="Normal 69 3 3 5" xfId="41006"/>
    <cellStyle name="Normal 69 3 3 6" xfId="41007"/>
    <cellStyle name="Normal 69 3 4" xfId="41008"/>
    <cellStyle name="Normal 69 3 4 2" xfId="41009"/>
    <cellStyle name="Normal 69 3 4 3" xfId="41010"/>
    <cellStyle name="Normal 69 3 4 4" xfId="41011"/>
    <cellStyle name="Normal 69 3 4 5" xfId="41012"/>
    <cellStyle name="Normal 69 3 4 6" xfId="41013"/>
    <cellStyle name="Normal 69 4" xfId="41014"/>
    <cellStyle name="Normal 69 4 2" xfId="41015"/>
    <cellStyle name="Normal 69 4 2 2" xfId="41016"/>
    <cellStyle name="Normal 69 4 2 3" xfId="41017"/>
    <cellStyle name="Normal 69 4 2 4" xfId="41018"/>
    <cellStyle name="Normal 69 4 2 5" xfId="41019"/>
    <cellStyle name="Normal 69 4 2 6" xfId="41020"/>
    <cellStyle name="Normal 69 4 3" xfId="41021"/>
    <cellStyle name="Normal 69 4 3 2" xfId="41022"/>
    <cellStyle name="Normal 69 4 3 3" xfId="41023"/>
    <cellStyle name="Normal 69 4 3 4" xfId="41024"/>
    <cellStyle name="Normal 69 4 3 5" xfId="41025"/>
    <cellStyle name="Normal 69 4 3 6" xfId="41026"/>
    <cellStyle name="Normal 69 4 4" xfId="41027"/>
    <cellStyle name="Normal 69 4 4 2" xfId="41028"/>
    <cellStyle name="Normal 69 4 4 3" xfId="41029"/>
    <cellStyle name="Normal 69 4 4 4" xfId="41030"/>
    <cellStyle name="Normal 69 4 4 5" xfId="41031"/>
    <cellStyle name="Normal 69 4 4 6" xfId="41032"/>
    <cellStyle name="Normal 69 5" xfId="41033"/>
    <cellStyle name="Normal 69 5 2" xfId="41034"/>
    <cellStyle name="Normal 69 5 2 2" xfId="41035"/>
    <cellStyle name="Normal 69 5 2 3" xfId="41036"/>
    <cellStyle name="Normal 69 5 2 4" xfId="41037"/>
    <cellStyle name="Normal 69 5 2 5" xfId="41038"/>
    <cellStyle name="Normal 69 5 2 6" xfId="41039"/>
    <cellStyle name="Normal 69 5 3" xfId="41040"/>
    <cellStyle name="Normal 69 5 3 2" xfId="41041"/>
    <cellStyle name="Normal 69 5 3 3" xfId="41042"/>
    <cellStyle name="Normal 69 5 3 4" xfId="41043"/>
    <cellStyle name="Normal 69 5 3 5" xfId="41044"/>
    <cellStyle name="Normal 69 5 3 6" xfId="41045"/>
    <cellStyle name="Normal 69 5 4" xfId="41046"/>
    <cellStyle name="Normal 69 5 4 2" xfId="41047"/>
    <cellStyle name="Normal 69 5 4 3" xfId="41048"/>
    <cellStyle name="Normal 69 5 4 4" xfId="41049"/>
    <cellStyle name="Normal 69 5 4 5" xfId="41050"/>
    <cellStyle name="Normal 69 5 4 6" xfId="41051"/>
    <cellStyle name="Normal 69 6" xfId="41052"/>
    <cellStyle name="Normal 69 6 2" xfId="41053"/>
    <cellStyle name="Normal 69 6 2 2" xfId="41054"/>
    <cellStyle name="Normal 69 6 2 3" xfId="41055"/>
    <cellStyle name="Normal 69 6 2 4" xfId="41056"/>
    <cellStyle name="Normal 69 6 2 5" xfId="41057"/>
    <cellStyle name="Normal 69 6 2 6" xfId="41058"/>
    <cellStyle name="Normal 69 6 3" xfId="41059"/>
    <cellStyle name="Normal 69 6 3 2" xfId="41060"/>
    <cellStyle name="Normal 69 6 3 3" xfId="41061"/>
    <cellStyle name="Normal 69 6 3 4" xfId="41062"/>
    <cellStyle name="Normal 69 6 3 5" xfId="41063"/>
    <cellStyle name="Normal 69 6 3 6" xfId="41064"/>
    <cellStyle name="Normal 69 6 4" xfId="41065"/>
    <cellStyle name="Normal 69 6 4 2" xfId="41066"/>
    <cellStyle name="Normal 69 6 4 3" xfId="41067"/>
    <cellStyle name="Normal 69 6 4 4" xfId="41068"/>
    <cellStyle name="Normal 69 6 4 5" xfId="41069"/>
    <cellStyle name="Normal 69 6 4 6" xfId="41070"/>
    <cellStyle name="Normal 69 7" xfId="41071"/>
    <cellStyle name="Normal 69 7 2" xfId="41072"/>
    <cellStyle name="Normal 69 7 3" xfId="41073"/>
    <cellStyle name="Normal 69 7 4" xfId="41074"/>
    <cellStyle name="Normal 69 7 5" xfId="41075"/>
    <cellStyle name="Normal 69 7 6" xfId="41076"/>
    <cellStyle name="Normal 69 8" xfId="41077"/>
    <cellStyle name="Normal 69 8 2" xfId="41078"/>
    <cellStyle name="Normal 69 8 3" xfId="41079"/>
    <cellStyle name="Normal 69 8 4" xfId="41080"/>
    <cellStyle name="Normal 69 8 5" xfId="41081"/>
    <cellStyle name="Normal 69 8 6" xfId="41082"/>
    <cellStyle name="Normal 69 9" xfId="41083"/>
    <cellStyle name="Normal 69 9 2" xfId="41084"/>
    <cellStyle name="Normal 69 9 3" xfId="41085"/>
    <cellStyle name="Normal 69 9 4" xfId="41086"/>
    <cellStyle name="Normal 69 9 5" xfId="41087"/>
    <cellStyle name="Normal 69 9 6" xfId="41088"/>
    <cellStyle name="Normal 7" xfId="41089"/>
    <cellStyle name="Normal 7 10" xfId="41090"/>
    <cellStyle name="Normal 7 10 2" xfId="41091"/>
    <cellStyle name="Normal 7 10 3" xfId="41092"/>
    <cellStyle name="Normal 7 10 4" xfId="41093"/>
    <cellStyle name="Normal 7 10 5" xfId="41094"/>
    <cellStyle name="Normal 7 10 6" xfId="41095"/>
    <cellStyle name="Normal 7 11" xfId="41096"/>
    <cellStyle name="Normal 7 11 2" xfId="41097"/>
    <cellStyle name="Normal 7 11 3" xfId="41098"/>
    <cellStyle name="Normal 7 11 4" xfId="41099"/>
    <cellStyle name="Normal 7 11 5" xfId="41100"/>
    <cellStyle name="Normal 7 11 6" xfId="41101"/>
    <cellStyle name="Normal 7 2" xfId="41102"/>
    <cellStyle name="Normal 7 2 2" xfId="41103"/>
    <cellStyle name="Normal 7 2 2 2" xfId="41104"/>
    <cellStyle name="Normal 7 2 2 3" xfId="41105"/>
    <cellStyle name="Normal 7 2 2 4" xfId="41106"/>
    <cellStyle name="Normal 7 2 2 5" xfId="41107"/>
    <cellStyle name="Normal 7 2 2 6" xfId="41108"/>
    <cellStyle name="Normal 7 2 3" xfId="41109"/>
    <cellStyle name="Normal 7 2 3 2" xfId="41110"/>
    <cellStyle name="Normal 7 2 3 3" xfId="41111"/>
    <cellStyle name="Normal 7 2 3 4" xfId="41112"/>
    <cellStyle name="Normal 7 2 3 5" xfId="41113"/>
    <cellStyle name="Normal 7 2 3 6" xfId="41114"/>
    <cellStyle name="Normal 7 2 4" xfId="41115"/>
    <cellStyle name="Normal 7 2 4 2" xfId="41116"/>
    <cellStyle name="Normal 7 2 4 3" xfId="41117"/>
    <cellStyle name="Normal 7 2 4 4" xfId="41118"/>
    <cellStyle name="Normal 7 2 4 5" xfId="41119"/>
    <cellStyle name="Normal 7 2 4 6" xfId="41120"/>
    <cellStyle name="Normal 7 3" xfId="41121"/>
    <cellStyle name="Normal 7 3 2" xfId="41122"/>
    <cellStyle name="Normal 7 3 2 2" xfId="41123"/>
    <cellStyle name="Normal 7 3 2 3" xfId="41124"/>
    <cellStyle name="Normal 7 3 2 4" xfId="41125"/>
    <cellStyle name="Normal 7 3 2 5" xfId="41126"/>
    <cellStyle name="Normal 7 3 2 6" xfId="41127"/>
    <cellStyle name="Normal 7 3 3" xfId="41128"/>
    <cellStyle name="Normal 7 3 3 2" xfId="41129"/>
    <cellStyle name="Normal 7 3 3 3" xfId="41130"/>
    <cellStyle name="Normal 7 3 3 4" xfId="41131"/>
    <cellStyle name="Normal 7 3 3 5" xfId="41132"/>
    <cellStyle name="Normal 7 3 3 6" xfId="41133"/>
    <cellStyle name="Normal 7 3 4" xfId="41134"/>
    <cellStyle name="Normal 7 3 4 2" xfId="41135"/>
    <cellStyle name="Normal 7 3 4 3" xfId="41136"/>
    <cellStyle name="Normal 7 3 4 4" xfId="41137"/>
    <cellStyle name="Normal 7 3 4 5" xfId="41138"/>
    <cellStyle name="Normal 7 3 4 6" xfId="41139"/>
    <cellStyle name="Normal 7 4" xfId="41140"/>
    <cellStyle name="Normal 7 4 2" xfId="41141"/>
    <cellStyle name="Normal 7 4 2 2" xfId="41142"/>
    <cellStyle name="Normal 7 4 2 3" xfId="41143"/>
    <cellStyle name="Normal 7 4 2 4" xfId="41144"/>
    <cellStyle name="Normal 7 4 2 5" xfId="41145"/>
    <cellStyle name="Normal 7 4 2 6" xfId="41146"/>
    <cellStyle name="Normal 7 4 3" xfId="41147"/>
    <cellStyle name="Normal 7 4 3 2" xfId="41148"/>
    <cellStyle name="Normal 7 4 3 3" xfId="41149"/>
    <cellStyle name="Normal 7 4 3 4" xfId="41150"/>
    <cellStyle name="Normal 7 4 3 5" xfId="41151"/>
    <cellStyle name="Normal 7 4 3 6" xfId="41152"/>
    <cellStyle name="Normal 7 4 4" xfId="41153"/>
    <cellStyle name="Normal 7 4 4 2" xfId="41154"/>
    <cellStyle name="Normal 7 4 4 3" xfId="41155"/>
    <cellStyle name="Normal 7 4 4 4" xfId="41156"/>
    <cellStyle name="Normal 7 4 4 5" xfId="41157"/>
    <cellStyle name="Normal 7 4 4 6" xfId="41158"/>
    <cellStyle name="Normal 7 5" xfId="41159"/>
    <cellStyle name="Normal 7 5 2" xfId="41160"/>
    <cellStyle name="Normal 7 5 2 2" xfId="41161"/>
    <cellStyle name="Normal 7 5 2 3" xfId="41162"/>
    <cellStyle name="Normal 7 5 2 4" xfId="41163"/>
    <cellStyle name="Normal 7 5 2 5" xfId="41164"/>
    <cellStyle name="Normal 7 5 2 6" xfId="41165"/>
    <cellStyle name="Normal 7 5 3" xfId="41166"/>
    <cellStyle name="Normal 7 5 3 2" xfId="41167"/>
    <cellStyle name="Normal 7 5 3 3" xfId="41168"/>
    <cellStyle name="Normal 7 5 3 4" xfId="41169"/>
    <cellStyle name="Normal 7 5 3 5" xfId="41170"/>
    <cellStyle name="Normal 7 5 3 6" xfId="41171"/>
    <cellStyle name="Normal 7 5 4" xfId="41172"/>
    <cellStyle name="Normal 7 5 4 2" xfId="41173"/>
    <cellStyle name="Normal 7 5 4 3" xfId="41174"/>
    <cellStyle name="Normal 7 5 4 4" xfId="41175"/>
    <cellStyle name="Normal 7 5 4 5" xfId="41176"/>
    <cellStyle name="Normal 7 5 4 6" xfId="41177"/>
    <cellStyle name="Normal 7 6" xfId="41178"/>
    <cellStyle name="Normal 7 6 2" xfId="41179"/>
    <cellStyle name="Normal 7 6 2 2" xfId="41180"/>
    <cellStyle name="Normal 7 6 2 3" xfId="41181"/>
    <cellStyle name="Normal 7 6 2 4" xfId="41182"/>
    <cellStyle name="Normal 7 6 2 5" xfId="41183"/>
    <cellStyle name="Normal 7 6 2 6" xfId="41184"/>
    <cellStyle name="Normal 7 6 3" xfId="41185"/>
    <cellStyle name="Normal 7 6 3 2" xfId="41186"/>
    <cellStyle name="Normal 7 6 3 3" xfId="41187"/>
    <cellStyle name="Normal 7 6 3 4" xfId="41188"/>
    <cellStyle name="Normal 7 6 3 5" xfId="41189"/>
    <cellStyle name="Normal 7 6 3 6" xfId="41190"/>
    <cellStyle name="Normal 7 6 4" xfId="41191"/>
    <cellStyle name="Normal 7 6 4 2" xfId="41192"/>
    <cellStyle name="Normal 7 6 4 3" xfId="41193"/>
    <cellStyle name="Normal 7 6 4 4" xfId="41194"/>
    <cellStyle name="Normal 7 6 4 5" xfId="41195"/>
    <cellStyle name="Normal 7 6 4 6" xfId="41196"/>
    <cellStyle name="Normal 7 7" xfId="41197"/>
    <cellStyle name="Normal 7 7 2" xfId="41198"/>
    <cellStyle name="Normal 7 7 2 2" xfId="41199"/>
    <cellStyle name="Normal 7 7 2 3" xfId="41200"/>
    <cellStyle name="Normal 7 7 2 4" xfId="41201"/>
    <cellStyle name="Normal 7 7 2 5" xfId="41202"/>
    <cellStyle name="Normal 7 7 2 6" xfId="41203"/>
    <cellStyle name="Normal 7 7 3" xfId="41204"/>
    <cellStyle name="Normal 7 7 3 2" xfId="41205"/>
    <cellStyle name="Normal 7 7 3 3" xfId="41206"/>
    <cellStyle name="Normal 7 7 3 4" xfId="41207"/>
    <cellStyle name="Normal 7 7 3 5" xfId="41208"/>
    <cellStyle name="Normal 7 7 3 6" xfId="41209"/>
    <cellStyle name="Normal 7 7 4" xfId="41210"/>
    <cellStyle name="Normal 7 7 4 2" xfId="41211"/>
    <cellStyle name="Normal 7 7 4 3" xfId="41212"/>
    <cellStyle name="Normal 7 7 4 4" xfId="41213"/>
    <cellStyle name="Normal 7 7 4 5" xfId="41214"/>
    <cellStyle name="Normal 7 7 4 6" xfId="41215"/>
    <cellStyle name="Normal 7 8" xfId="41216"/>
    <cellStyle name="Normal 7 8 2" xfId="41217"/>
    <cellStyle name="Normal 7 8 2 2" xfId="41218"/>
    <cellStyle name="Normal 7 8 2 3" xfId="41219"/>
    <cellStyle name="Normal 7 8 2 4" xfId="41220"/>
    <cellStyle name="Normal 7 8 2 5" xfId="41221"/>
    <cellStyle name="Normal 7 8 2 6" xfId="41222"/>
    <cellStyle name="Normal 7 8 3" xfId="41223"/>
    <cellStyle name="Normal 7 8 3 2" xfId="41224"/>
    <cellStyle name="Normal 7 8 3 3" xfId="41225"/>
    <cellStyle name="Normal 7 8 3 4" xfId="41226"/>
    <cellStyle name="Normal 7 8 3 5" xfId="41227"/>
    <cellStyle name="Normal 7 8 3 6" xfId="41228"/>
    <cellStyle name="Normal 7 8 4" xfId="41229"/>
    <cellStyle name="Normal 7 8 4 2" xfId="41230"/>
    <cellStyle name="Normal 7 8 4 3" xfId="41231"/>
    <cellStyle name="Normal 7 8 4 4" xfId="41232"/>
    <cellStyle name="Normal 7 8 4 5" xfId="41233"/>
    <cellStyle name="Normal 7 8 4 6" xfId="41234"/>
    <cellStyle name="Normal 7 9" xfId="41235"/>
    <cellStyle name="Normal 7 9 2" xfId="41236"/>
    <cellStyle name="Normal 7 9 3" xfId="41237"/>
    <cellStyle name="Normal 7 9 4" xfId="41238"/>
    <cellStyle name="Normal 7 9 5" xfId="41239"/>
    <cellStyle name="Normal 7 9 6" xfId="41240"/>
    <cellStyle name="Normal 70" xfId="41241"/>
    <cellStyle name="Normal 70 2" xfId="41242"/>
    <cellStyle name="Normal 70 2 2" xfId="41243"/>
    <cellStyle name="Normal 70 2 2 2" xfId="41244"/>
    <cellStyle name="Normal 70 2 2 2 2" xfId="41245"/>
    <cellStyle name="Normal 70 2 2 2 3" xfId="41246"/>
    <cellStyle name="Normal 70 2 2 2 4" xfId="41247"/>
    <cellStyle name="Normal 70 2 2 2 5" xfId="41248"/>
    <cellStyle name="Normal 70 2 2 2 6" xfId="41249"/>
    <cellStyle name="Normal 70 2 2 3" xfId="41250"/>
    <cellStyle name="Normal 70 2 2 3 2" xfId="41251"/>
    <cellStyle name="Normal 70 2 2 3 3" xfId="41252"/>
    <cellStyle name="Normal 70 2 2 3 4" xfId="41253"/>
    <cellStyle name="Normal 70 2 2 3 5" xfId="41254"/>
    <cellStyle name="Normal 70 2 2 3 6" xfId="41255"/>
    <cellStyle name="Normal 70 2 2 4" xfId="41256"/>
    <cellStyle name="Normal 70 2 2 4 2" xfId="41257"/>
    <cellStyle name="Normal 70 2 2 4 3" xfId="41258"/>
    <cellStyle name="Normal 70 2 2 4 4" xfId="41259"/>
    <cellStyle name="Normal 70 2 2 4 5" xfId="41260"/>
    <cellStyle name="Normal 70 2 2 4 6" xfId="41261"/>
    <cellStyle name="Normal 70 2 3" xfId="41262"/>
    <cellStyle name="Normal 70 2 3 2" xfId="41263"/>
    <cellStyle name="Normal 70 2 3 2 2" xfId="41264"/>
    <cellStyle name="Normal 70 2 3 2 3" xfId="41265"/>
    <cellStyle name="Normal 70 2 3 2 4" xfId="41266"/>
    <cellStyle name="Normal 70 2 3 2 5" xfId="41267"/>
    <cellStyle name="Normal 70 2 3 2 6" xfId="41268"/>
    <cellStyle name="Normal 70 2 3 3" xfId="41269"/>
    <cellStyle name="Normal 70 2 3 3 2" xfId="41270"/>
    <cellStyle name="Normal 70 2 3 3 3" xfId="41271"/>
    <cellStyle name="Normal 70 2 3 3 4" xfId="41272"/>
    <cellStyle name="Normal 70 2 3 3 5" xfId="41273"/>
    <cellStyle name="Normal 70 2 3 3 6" xfId="41274"/>
    <cellStyle name="Normal 70 2 3 4" xfId="41275"/>
    <cellStyle name="Normal 70 2 3 4 2" xfId="41276"/>
    <cellStyle name="Normal 70 2 3 4 3" xfId="41277"/>
    <cellStyle name="Normal 70 2 3 4 4" xfId="41278"/>
    <cellStyle name="Normal 70 2 3 4 5" xfId="41279"/>
    <cellStyle name="Normal 70 2 3 4 6" xfId="41280"/>
    <cellStyle name="Normal 70 2 4" xfId="41281"/>
    <cellStyle name="Normal 70 2 4 2" xfId="41282"/>
    <cellStyle name="Normal 70 2 4 3" xfId="41283"/>
    <cellStyle name="Normal 70 2 4 4" xfId="41284"/>
    <cellStyle name="Normal 70 2 4 5" xfId="41285"/>
    <cellStyle name="Normal 70 2 4 6" xfId="41286"/>
    <cellStyle name="Normal 70 2 5" xfId="41287"/>
    <cellStyle name="Normal 70 2 5 2" xfId="41288"/>
    <cellStyle name="Normal 70 2 5 3" xfId="41289"/>
    <cellStyle name="Normal 70 2 5 4" xfId="41290"/>
    <cellStyle name="Normal 70 2 5 5" xfId="41291"/>
    <cellStyle name="Normal 70 2 5 6" xfId="41292"/>
    <cellStyle name="Normal 70 2 6" xfId="41293"/>
    <cellStyle name="Normal 70 2 6 2" xfId="41294"/>
    <cellStyle name="Normal 70 2 6 3" xfId="41295"/>
    <cellStyle name="Normal 70 2 6 4" xfId="41296"/>
    <cellStyle name="Normal 70 2 6 5" xfId="41297"/>
    <cellStyle name="Normal 70 2 6 6" xfId="41298"/>
    <cellStyle name="Normal 70 3" xfId="41299"/>
    <cellStyle name="Normal 70 3 2" xfId="41300"/>
    <cellStyle name="Normal 70 3 2 2" xfId="41301"/>
    <cellStyle name="Normal 70 3 2 3" xfId="41302"/>
    <cellStyle name="Normal 70 3 2 4" xfId="41303"/>
    <cellStyle name="Normal 70 3 2 5" xfId="41304"/>
    <cellStyle name="Normal 70 3 2 6" xfId="41305"/>
    <cellStyle name="Normal 70 3 3" xfId="41306"/>
    <cellStyle name="Normal 70 3 3 2" xfId="41307"/>
    <cellStyle name="Normal 70 3 3 3" xfId="41308"/>
    <cellStyle name="Normal 70 3 3 4" xfId="41309"/>
    <cellStyle name="Normal 70 3 3 5" xfId="41310"/>
    <cellStyle name="Normal 70 3 3 6" xfId="41311"/>
    <cellStyle name="Normal 70 3 4" xfId="41312"/>
    <cellStyle name="Normal 70 3 4 2" xfId="41313"/>
    <cellStyle name="Normal 70 3 4 3" xfId="41314"/>
    <cellStyle name="Normal 70 3 4 4" xfId="41315"/>
    <cellStyle name="Normal 70 3 4 5" xfId="41316"/>
    <cellStyle name="Normal 70 3 4 6" xfId="41317"/>
    <cellStyle name="Normal 70 4" xfId="41318"/>
    <cellStyle name="Normal 70 4 2" xfId="41319"/>
    <cellStyle name="Normal 70 4 2 2" xfId="41320"/>
    <cellStyle name="Normal 70 4 2 3" xfId="41321"/>
    <cellStyle name="Normal 70 4 2 4" xfId="41322"/>
    <cellStyle name="Normal 70 4 2 5" xfId="41323"/>
    <cellStyle name="Normal 70 4 2 6" xfId="41324"/>
    <cellStyle name="Normal 70 4 3" xfId="41325"/>
    <cellStyle name="Normal 70 4 3 2" xfId="41326"/>
    <cellStyle name="Normal 70 4 3 3" xfId="41327"/>
    <cellStyle name="Normal 70 4 3 4" xfId="41328"/>
    <cellStyle name="Normal 70 4 3 5" xfId="41329"/>
    <cellStyle name="Normal 70 4 3 6" xfId="41330"/>
    <cellStyle name="Normal 70 4 4" xfId="41331"/>
    <cellStyle name="Normal 70 4 4 2" xfId="41332"/>
    <cellStyle name="Normal 70 4 4 3" xfId="41333"/>
    <cellStyle name="Normal 70 4 4 4" xfId="41334"/>
    <cellStyle name="Normal 70 4 4 5" xfId="41335"/>
    <cellStyle name="Normal 70 4 4 6" xfId="41336"/>
    <cellStyle name="Normal 70 5" xfId="41337"/>
    <cellStyle name="Normal 70 5 2" xfId="41338"/>
    <cellStyle name="Normal 70 5 2 2" xfId="41339"/>
    <cellStyle name="Normal 70 5 2 3" xfId="41340"/>
    <cellStyle name="Normal 70 5 2 4" xfId="41341"/>
    <cellStyle name="Normal 70 5 2 5" xfId="41342"/>
    <cellStyle name="Normal 70 5 2 6" xfId="41343"/>
    <cellStyle name="Normal 70 5 3" xfId="41344"/>
    <cellStyle name="Normal 70 5 3 2" xfId="41345"/>
    <cellStyle name="Normal 70 5 3 3" xfId="41346"/>
    <cellStyle name="Normal 70 5 3 4" xfId="41347"/>
    <cellStyle name="Normal 70 5 3 5" xfId="41348"/>
    <cellStyle name="Normal 70 5 3 6" xfId="41349"/>
    <cellStyle name="Normal 70 5 4" xfId="41350"/>
    <cellStyle name="Normal 70 5 4 2" xfId="41351"/>
    <cellStyle name="Normal 70 5 4 3" xfId="41352"/>
    <cellStyle name="Normal 70 5 4 4" xfId="41353"/>
    <cellStyle name="Normal 70 5 4 5" xfId="41354"/>
    <cellStyle name="Normal 70 5 4 6" xfId="41355"/>
    <cellStyle name="Normal 70 6" xfId="41356"/>
    <cellStyle name="Normal 70 6 2" xfId="41357"/>
    <cellStyle name="Normal 70 6 2 2" xfId="41358"/>
    <cellStyle name="Normal 70 6 2 3" xfId="41359"/>
    <cellStyle name="Normal 70 6 2 4" xfId="41360"/>
    <cellStyle name="Normal 70 6 2 5" xfId="41361"/>
    <cellStyle name="Normal 70 6 2 6" xfId="41362"/>
    <cellStyle name="Normal 70 6 3" xfId="41363"/>
    <cellStyle name="Normal 70 6 3 2" xfId="41364"/>
    <cellStyle name="Normal 70 6 3 3" xfId="41365"/>
    <cellStyle name="Normal 70 6 3 4" xfId="41366"/>
    <cellStyle name="Normal 70 6 3 5" xfId="41367"/>
    <cellStyle name="Normal 70 6 3 6" xfId="41368"/>
    <cellStyle name="Normal 70 6 4" xfId="41369"/>
    <cellStyle name="Normal 70 6 4 2" xfId="41370"/>
    <cellStyle name="Normal 70 6 4 3" xfId="41371"/>
    <cellStyle name="Normal 70 6 4 4" xfId="41372"/>
    <cellStyle name="Normal 70 6 4 5" xfId="41373"/>
    <cellStyle name="Normal 70 6 4 6" xfId="41374"/>
    <cellStyle name="Normal 70 7" xfId="41375"/>
    <cellStyle name="Normal 70 7 2" xfId="41376"/>
    <cellStyle name="Normal 70 7 3" xfId="41377"/>
    <cellStyle name="Normal 70 7 4" xfId="41378"/>
    <cellStyle name="Normal 70 7 5" xfId="41379"/>
    <cellStyle name="Normal 70 7 6" xfId="41380"/>
    <cellStyle name="Normal 70 8" xfId="41381"/>
    <cellStyle name="Normal 70 8 2" xfId="41382"/>
    <cellStyle name="Normal 70 8 3" xfId="41383"/>
    <cellStyle name="Normal 70 8 4" xfId="41384"/>
    <cellStyle name="Normal 70 8 5" xfId="41385"/>
    <cellStyle name="Normal 70 8 6" xfId="41386"/>
    <cellStyle name="Normal 70 9" xfId="41387"/>
    <cellStyle name="Normal 70 9 2" xfId="41388"/>
    <cellStyle name="Normal 70 9 3" xfId="41389"/>
    <cellStyle name="Normal 70 9 4" xfId="41390"/>
    <cellStyle name="Normal 70 9 5" xfId="41391"/>
    <cellStyle name="Normal 70 9 6" xfId="41392"/>
    <cellStyle name="Normal 71" xfId="41393"/>
    <cellStyle name="Normal 71 10" xfId="41394"/>
    <cellStyle name="Normal 71 10 2" xfId="41395"/>
    <cellStyle name="Normal 71 10 3" xfId="41396"/>
    <cellStyle name="Normal 71 10 4" xfId="41397"/>
    <cellStyle name="Normal 71 10 5" xfId="41398"/>
    <cellStyle name="Normal 71 10 6" xfId="41399"/>
    <cellStyle name="Normal 71 2" xfId="41400"/>
    <cellStyle name="Normal 71 2 2" xfId="41401"/>
    <cellStyle name="Normal 71 2 2 2" xfId="41402"/>
    <cellStyle name="Normal 71 2 2 3" xfId="41403"/>
    <cellStyle name="Normal 71 2 2 4" xfId="41404"/>
    <cellStyle name="Normal 71 2 2 5" xfId="41405"/>
    <cellStyle name="Normal 71 2 2 6" xfId="41406"/>
    <cellStyle name="Normal 71 2 3" xfId="41407"/>
    <cellStyle name="Normal 71 2 3 2" xfId="41408"/>
    <cellStyle name="Normal 71 2 3 3" xfId="41409"/>
    <cellStyle name="Normal 71 2 3 4" xfId="41410"/>
    <cellStyle name="Normal 71 2 3 5" xfId="41411"/>
    <cellStyle name="Normal 71 2 3 6" xfId="41412"/>
    <cellStyle name="Normal 71 2 4" xfId="41413"/>
    <cellStyle name="Normal 71 2 4 2" xfId="41414"/>
    <cellStyle name="Normal 71 2 4 3" xfId="41415"/>
    <cellStyle name="Normal 71 2 4 4" xfId="41416"/>
    <cellStyle name="Normal 71 2 4 5" xfId="41417"/>
    <cellStyle name="Normal 71 2 4 6" xfId="41418"/>
    <cellStyle name="Normal 71 3" xfId="41419"/>
    <cellStyle name="Normal 71 3 10" xfId="41420"/>
    <cellStyle name="Normal 71 3 10 2" xfId="41421"/>
    <cellStyle name="Normal 71 3 10 2 2" xfId="41422"/>
    <cellStyle name="Normal 71 3 10 2 3" xfId="41423"/>
    <cellStyle name="Normal 71 3 10 2 4" xfId="41424"/>
    <cellStyle name="Normal 71 3 10 2 5" xfId="41425"/>
    <cellStyle name="Normal 71 3 10 2 6" xfId="41426"/>
    <cellStyle name="Normal 71 3 10 3" xfId="41427"/>
    <cellStyle name="Normal 71 3 10 3 2" xfId="41428"/>
    <cellStyle name="Normal 71 3 10 3 3" xfId="41429"/>
    <cellStyle name="Normal 71 3 10 3 4" xfId="41430"/>
    <cellStyle name="Normal 71 3 10 3 5" xfId="41431"/>
    <cellStyle name="Normal 71 3 10 3 6" xfId="41432"/>
    <cellStyle name="Normal 71 3 10 4" xfId="41433"/>
    <cellStyle name="Normal 71 3 10 4 2" xfId="41434"/>
    <cellStyle name="Normal 71 3 10 4 3" xfId="41435"/>
    <cellStyle name="Normal 71 3 10 4 4" xfId="41436"/>
    <cellStyle name="Normal 71 3 10 4 5" xfId="41437"/>
    <cellStyle name="Normal 71 3 10 4 6" xfId="41438"/>
    <cellStyle name="Normal 71 3 11" xfId="41439"/>
    <cellStyle name="Normal 71 3 11 2" xfId="41440"/>
    <cellStyle name="Normal 71 3 11 2 2" xfId="41441"/>
    <cellStyle name="Normal 71 3 11 2 3" xfId="41442"/>
    <cellStyle name="Normal 71 3 11 2 4" xfId="41443"/>
    <cellStyle name="Normal 71 3 11 2 5" xfId="41444"/>
    <cellStyle name="Normal 71 3 11 2 6" xfId="41445"/>
    <cellStyle name="Normal 71 3 11 3" xfId="41446"/>
    <cellStyle name="Normal 71 3 11 3 2" xfId="41447"/>
    <cellStyle name="Normal 71 3 11 3 3" xfId="41448"/>
    <cellStyle name="Normal 71 3 11 3 4" xfId="41449"/>
    <cellStyle name="Normal 71 3 11 3 5" xfId="41450"/>
    <cellStyle name="Normal 71 3 11 3 6" xfId="41451"/>
    <cellStyle name="Normal 71 3 11 4" xfId="41452"/>
    <cellStyle name="Normal 71 3 11 4 2" xfId="41453"/>
    <cellStyle name="Normal 71 3 11 4 3" xfId="41454"/>
    <cellStyle name="Normal 71 3 11 4 4" xfId="41455"/>
    <cellStyle name="Normal 71 3 11 4 5" xfId="41456"/>
    <cellStyle name="Normal 71 3 11 4 6" xfId="41457"/>
    <cellStyle name="Normal 71 3 12" xfId="41458"/>
    <cellStyle name="Normal 71 3 12 2" xfId="41459"/>
    <cellStyle name="Normal 71 3 12 2 2" xfId="41460"/>
    <cellStyle name="Normal 71 3 12 2 3" xfId="41461"/>
    <cellStyle name="Normal 71 3 12 2 4" xfId="41462"/>
    <cellStyle name="Normal 71 3 12 2 5" xfId="41463"/>
    <cellStyle name="Normal 71 3 12 2 6" xfId="41464"/>
    <cellStyle name="Normal 71 3 12 3" xfId="41465"/>
    <cellStyle name="Normal 71 3 12 3 2" xfId="41466"/>
    <cellStyle name="Normal 71 3 12 3 3" xfId="41467"/>
    <cellStyle name="Normal 71 3 12 3 4" xfId="41468"/>
    <cellStyle name="Normal 71 3 12 3 5" xfId="41469"/>
    <cellStyle name="Normal 71 3 12 3 6" xfId="41470"/>
    <cellStyle name="Normal 71 3 12 4" xfId="41471"/>
    <cellStyle name="Normal 71 3 12 4 2" xfId="41472"/>
    <cellStyle name="Normal 71 3 12 4 3" xfId="41473"/>
    <cellStyle name="Normal 71 3 12 4 4" xfId="41474"/>
    <cellStyle name="Normal 71 3 12 4 5" xfId="41475"/>
    <cellStyle name="Normal 71 3 12 4 6" xfId="41476"/>
    <cellStyle name="Normal 71 3 13" xfId="41477"/>
    <cellStyle name="Normal 71 3 13 2" xfId="41478"/>
    <cellStyle name="Normal 71 3 13 2 2" xfId="41479"/>
    <cellStyle name="Normal 71 3 13 2 3" xfId="41480"/>
    <cellStyle name="Normal 71 3 13 2 4" xfId="41481"/>
    <cellStyle name="Normal 71 3 13 2 5" xfId="41482"/>
    <cellStyle name="Normal 71 3 13 2 6" xfId="41483"/>
    <cellStyle name="Normal 71 3 13 3" xfId="41484"/>
    <cellStyle name="Normal 71 3 13 3 2" xfId="41485"/>
    <cellStyle name="Normal 71 3 13 3 3" xfId="41486"/>
    <cellStyle name="Normal 71 3 13 3 4" xfId="41487"/>
    <cellStyle name="Normal 71 3 13 3 5" xfId="41488"/>
    <cellStyle name="Normal 71 3 13 3 6" xfId="41489"/>
    <cellStyle name="Normal 71 3 13 4" xfId="41490"/>
    <cellStyle name="Normal 71 3 13 4 2" xfId="41491"/>
    <cellStyle name="Normal 71 3 13 4 3" xfId="41492"/>
    <cellStyle name="Normal 71 3 13 4 4" xfId="41493"/>
    <cellStyle name="Normal 71 3 13 4 5" xfId="41494"/>
    <cellStyle name="Normal 71 3 13 4 6" xfId="41495"/>
    <cellStyle name="Normal 71 3 14" xfId="41496"/>
    <cellStyle name="Normal 71 3 14 2" xfId="41497"/>
    <cellStyle name="Normal 71 3 14 2 2" xfId="41498"/>
    <cellStyle name="Normal 71 3 14 2 3" xfId="41499"/>
    <cellStyle name="Normal 71 3 14 2 4" xfId="41500"/>
    <cellStyle name="Normal 71 3 14 2 5" xfId="41501"/>
    <cellStyle name="Normal 71 3 14 2 6" xfId="41502"/>
    <cellStyle name="Normal 71 3 14 3" xfId="41503"/>
    <cellStyle name="Normal 71 3 14 3 2" xfId="41504"/>
    <cellStyle name="Normal 71 3 14 3 3" xfId="41505"/>
    <cellStyle name="Normal 71 3 14 3 4" xfId="41506"/>
    <cellStyle name="Normal 71 3 14 3 5" xfId="41507"/>
    <cellStyle name="Normal 71 3 14 3 6" xfId="41508"/>
    <cellStyle name="Normal 71 3 14 4" xfId="41509"/>
    <cellStyle name="Normal 71 3 14 4 2" xfId="41510"/>
    <cellStyle name="Normal 71 3 14 4 3" xfId="41511"/>
    <cellStyle name="Normal 71 3 14 4 4" xfId="41512"/>
    <cellStyle name="Normal 71 3 14 4 5" xfId="41513"/>
    <cellStyle name="Normal 71 3 14 4 6" xfId="41514"/>
    <cellStyle name="Normal 71 3 15" xfId="41515"/>
    <cellStyle name="Normal 71 3 15 2" xfId="41516"/>
    <cellStyle name="Normal 71 3 15 2 2" xfId="41517"/>
    <cellStyle name="Normal 71 3 15 2 3" xfId="41518"/>
    <cellStyle name="Normal 71 3 15 2 4" xfId="41519"/>
    <cellStyle name="Normal 71 3 15 2 5" xfId="41520"/>
    <cellStyle name="Normal 71 3 15 2 6" xfId="41521"/>
    <cellStyle name="Normal 71 3 15 3" xfId="41522"/>
    <cellStyle name="Normal 71 3 15 3 2" xfId="41523"/>
    <cellStyle name="Normal 71 3 15 3 3" xfId="41524"/>
    <cellStyle name="Normal 71 3 15 3 4" xfId="41525"/>
    <cellStyle name="Normal 71 3 15 3 5" xfId="41526"/>
    <cellStyle name="Normal 71 3 15 3 6" xfId="41527"/>
    <cellStyle name="Normal 71 3 15 4" xfId="41528"/>
    <cellStyle name="Normal 71 3 15 4 2" xfId="41529"/>
    <cellStyle name="Normal 71 3 15 4 3" xfId="41530"/>
    <cellStyle name="Normal 71 3 15 4 4" xfId="41531"/>
    <cellStyle name="Normal 71 3 15 4 5" xfId="41532"/>
    <cellStyle name="Normal 71 3 15 4 6" xfId="41533"/>
    <cellStyle name="Normal 71 3 16" xfId="41534"/>
    <cellStyle name="Normal 71 3 16 2" xfId="41535"/>
    <cellStyle name="Normal 71 3 16 2 2" xfId="41536"/>
    <cellStyle name="Normal 71 3 16 2 3" xfId="41537"/>
    <cellStyle name="Normal 71 3 16 2 4" xfId="41538"/>
    <cellStyle name="Normal 71 3 16 2 5" xfId="41539"/>
    <cellStyle name="Normal 71 3 16 2 6" xfId="41540"/>
    <cellStyle name="Normal 71 3 16 3" xfId="41541"/>
    <cellStyle name="Normal 71 3 16 3 2" xfId="41542"/>
    <cellStyle name="Normal 71 3 16 3 3" xfId="41543"/>
    <cellStyle name="Normal 71 3 16 3 4" xfId="41544"/>
    <cellStyle name="Normal 71 3 16 3 5" xfId="41545"/>
    <cellStyle name="Normal 71 3 16 3 6" xfId="41546"/>
    <cellStyle name="Normal 71 3 16 4" xfId="41547"/>
    <cellStyle name="Normal 71 3 16 4 2" xfId="41548"/>
    <cellStyle name="Normal 71 3 16 4 3" xfId="41549"/>
    <cellStyle name="Normal 71 3 16 4 4" xfId="41550"/>
    <cellStyle name="Normal 71 3 16 4 5" xfId="41551"/>
    <cellStyle name="Normal 71 3 16 4 6" xfId="41552"/>
    <cellStyle name="Normal 71 3 17" xfId="41553"/>
    <cellStyle name="Normal 71 3 17 2" xfId="41554"/>
    <cellStyle name="Normal 71 3 17 2 2" xfId="41555"/>
    <cellStyle name="Normal 71 3 17 2 3" xfId="41556"/>
    <cellStyle name="Normal 71 3 17 2 4" xfId="41557"/>
    <cellStyle name="Normal 71 3 17 2 5" xfId="41558"/>
    <cellStyle name="Normal 71 3 17 2 6" xfId="41559"/>
    <cellStyle name="Normal 71 3 17 3" xfId="41560"/>
    <cellStyle name="Normal 71 3 17 3 2" xfId="41561"/>
    <cellStyle name="Normal 71 3 17 3 3" xfId="41562"/>
    <cellStyle name="Normal 71 3 17 3 4" xfId="41563"/>
    <cellStyle name="Normal 71 3 17 3 5" xfId="41564"/>
    <cellStyle name="Normal 71 3 17 3 6" xfId="41565"/>
    <cellStyle name="Normal 71 3 17 4" xfId="41566"/>
    <cellStyle name="Normal 71 3 17 4 2" xfId="41567"/>
    <cellStyle name="Normal 71 3 17 4 3" xfId="41568"/>
    <cellStyle name="Normal 71 3 17 4 4" xfId="41569"/>
    <cellStyle name="Normal 71 3 17 4 5" xfId="41570"/>
    <cellStyle name="Normal 71 3 17 4 6" xfId="41571"/>
    <cellStyle name="Normal 71 3 18" xfId="41572"/>
    <cellStyle name="Normal 71 3 18 2" xfId="41573"/>
    <cellStyle name="Normal 71 3 18 2 2" xfId="41574"/>
    <cellStyle name="Normal 71 3 18 2 3" xfId="41575"/>
    <cellStyle name="Normal 71 3 18 2 4" xfId="41576"/>
    <cellStyle name="Normal 71 3 18 2 5" xfId="41577"/>
    <cellStyle name="Normal 71 3 18 2 6" xfId="41578"/>
    <cellStyle name="Normal 71 3 18 3" xfId="41579"/>
    <cellStyle name="Normal 71 3 18 3 2" xfId="41580"/>
    <cellStyle name="Normal 71 3 18 3 3" xfId="41581"/>
    <cellStyle name="Normal 71 3 18 3 4" xfId="41582"/>
    <cellStyle name="Normal 71 3 18 3 5" xfId="41583"/>
    <cellStyle name="Normal 71 3 18 3 6" xfId="41584"/>
    <cellStyle name="Normal 71 3 18 4" xfId="41585"/>
    <cellStyle name="Normal 71 3 18 4 2" xfId="41586"/>
    <cellStyle name="Normal 71 3 18 4 3" xfId="41587"/>
    <cellStyle name="Normal 71 3 18 4 4" xfId="41588"/>
    <cellStyle name="Normal 71 3 18 4 5" xfId="41589"/>
    <cellStyle name="Normal 71 3 18 4 6" xfId="41590"/>
    <cellStyle name="Normal 71 3 19" xfId="41591"/>
    <cellStyle name="Normal 71 3 19 2" xfId="41592"/>
    <cellStyle name="Normal 71 3 19 2 2" xfId="41593"/>
    <cellStyle name="Normal 71 3 19 2 3" xfId="41594"/>
    <cellStyle name="Normal 71 3 19 2 4" xfId="41595"/>
    <cellStyle name="Normal 71 3 19 2 5" xfId="41596"/>
    <cellStyle name="Normal 71 3 19 2 6" xfId="41597"/>
    <cellStyle name="Normal 71 3 19 3" xfId="41598"/>
    <cellStyle name="Normal 71 3 19 3 2" xfId="41599"/>
    <cellStyle name="Normal 71 3 19 3 3" xfId="41600"/>
    <cellStyle name="Normal 71 3 19 3 4" xfId="41601"/>
    <cellStyle name="Normal 71 3 19 3 5" xfId="41602"/>
    <cellStyle name="Normal 71 3 19 3 6" xfId="41603"/>
    <cellStyle name="Normal 71 3 19 4" xfId="41604"/>
    <cellStyle name="Normal 71 3 19 4 2" xfId="41605"/>
    <cellStyle name="Normal 71 3 19 4 3" xfId="41606"/>
    <cellStyle name="Normal 71 3 19 4 4" xfId="41607"/>
    <cellStyle name="Normal 71 3 19 4 5" xfId="41608"/>
    <cellStyle name="Normal 71 3 19 4 6" xfId="41609"/>
    <cellStyle name="Normal 71 3 2" xfId="41610"/>
    <cellStyle name="Normal 71 3 2 10" xfId="41611"/>
    <cellStyle name="Normal 71 3 2 10 2" xfId="41612"/>
    <cellStyle name="Normal 71 3 2 10 2 2" xfId="41613"/>
    <cellStyle name="Normal 71 3 2 10 2 3" xfId="41614"/>
    <cellStyle name="Normal 71 3 2 10 2 4" xfId="41615"/>
    <cellStyle name="Normal 71 3 2 10 2 5" xfId="41616"/>
    <cellStyle name="Normal 71 3 2 10 2 6" xfId="41617"/>
    <cellStyle name="Normal 71 3 2 10 3" xfId="41618"/>
    <cellStyle name="Normal 71 3 2 10 3 2" xfId="41619"/>
    <cellStyle name="Normal 71 3 2 10 3 3" xfId="41620"/>
    <cellStyle name="Normal 71 3 2 10 3 4" xfId="41621"/>
    <cellStyle name="Normal 71 3 2 10 3 5" xfId="41622"/>
    <cellStyle name="Normal 71 3 2 10 3 6" xfId="41623"/>
    <cellStyle name="Normal 71 3 2 10 4" xfId="41624"/>
    <cellStyle name="Normal 71 3 2 10 4 2" xfId="41625"/>
    <cellStyle name="Normal 71 3 2 10 4 3" xfId="41626"/>
    <cellStyle name="Normal 71 3 2 10 4 4" xfId="41627"/>
    <cellStyle name="Normal 71 3 2 10 4 5" xfId="41628"/>
    <cellStyle name="Normal 71 3 2 10 4 6" xfId="41629"/>
    <cellStyle name="Normal 71 3 2 11" xfId="41630"/>
    <cellStyle name="Normal 71 3 2 11 2" xfId="41631"/>
    <cellStyle name="Normal 71 3 2 11 2 2" xfId="41632"/>
    <cellStyle name="Normal 71 3 2 11 2 3" xfId="41633"/>
    <cellStyle name="Normal 71 3 2 11 2 4" xfId="41634"/>
    <cellStyle name="Normal 71 3 2 11 2 5" xfId="41635"/>
    <cellStyle name="Normal 71 3 2 11 2 6" xfId="41636"/>
    <cellStyle name="Normal 71 3 2 11 3" xfId="41637"/>
    <cellStyle name="Normal 71 3 2 11 3 2" xfId="41638"/>
    <cellStyle name="Normal 71 3 2 11 3 3" xfId="41639"/>
    <cellStyle name="Normal 71 3 2 11 3 4" xfId="41640"/>
    <cellStyle name="Normal 71 3 2 11 3 5" xfId="41641"/>
    <cellStyle name="Normal 71 3 2 11 3 6" xfId="41642"/>
    <cellStyle name="Normal 71 3 2 11 4" xfId="41643"/>
    <cellStyle name="Normal 71 3 2 11 4 2" xfId="41644"/>
    <cellStyle name="Normal 71 3 2 11 4 3" xfId="41645"/>
    <cellStyle name="Normal 71 3 2 11 4 4" xfId="41646"/>
    <cellStyle name="Normal 71 3 2 11 4 5" xfId="41647"/>
    <cellStyle name="Normal 71 3 2 11 4 6" xfId="41648"/>
    <cellStyle name="Normal 71 3 2 12" xfId="41649"/>
    <cellStyle name="Normal 71 3 2 12 2" xfId="41650"/>
    <cellStyle name="Normal 71 3 2 12 2 2" xfId="41651"/>
    <cellStyle name="Normal 71 3 2 12 2 3" xfId="41652"/>
    <cellStyle name="Normal 71 3 2 12 2 4" xfId="41653"/>
    <cellStyle name="Normal 71 3 2 12 2 5" xfId="41654"/>
    <cellStyle name="Normal 71 3 2 12 2 6" xfId="41655"/>
    <cellStyle name="Normal 71 3 2 12 3" xfId="41656"/>
    <cellStyle name="Normal 71 3 2 12 3 2" xfId="41657"/>
    <cellStyle name="Normal 71 3 2 12 3 3" xfId="41658"/>
    <cellStyle name="Normal 71 3 2 12 3 4" xfId="41659"/>
    <cellStyle name="Normal 71 3 2 12 3 5" xfId="41660"/>
    <cellStyle name="Normal 71 3 2 12 3 6" xfId="41661"/>
    <cellStyle name="Normal 71 3 2 12 4" xfId="41662"/>
    <cellStyle name="Normal 71 3 2 12 4 2" xfId="41663"/>
    <cellStyle name="Normal 71 3 2 12 4 3" xfId="41664"/>
    <cellStyle name="Normal 71 3 2 12 4 4" xfId="41665"/>
    <cellStyle name="Normal 71 3 2 12 4 5" xfId="41666"/>
    <cellStyle name="Normal 71 3 2 12 4 6" xfId="41667"/>
    <cellStyle name="Normal 71 3 2 13" xfId="41668"/>
    <cellStyle name="Normal 71 3 2 13 2" xfId="41669"/>
    <cellStyle name="Normal 71 3 2 13 2 2" xfId="41670"/>
    <cellStyle name="Normal 71 3 2 13 2 3" xfId="41671"/>
    <cellStyle name="Normal 71 3 2 13 2 4" xfId="41672"/>
    <cellStyle name="Normal 71 3 2 13 2 5" xfId="41673"/>
    <cellStyle name="Normal 71 3 2 13 2 6" xfId="41674"/>
    <cellStyle name="Normal 71 3 2 13 3" xfId="41675"/>
    <cellStyle name="Normal 71 3 2 13 3 2" xfId="41676"/>
    <cellStyle name="Normal 71 3 2 13 3 3" xfId="41677"/>
    <cellStyle name="Normal 71 3 2 13 3 4" xfId="41678"/>
    <cellStyle name="Normal 71 3 2 13 3 5" xfId="41679"/>
    <cellStyle name="Normal 71 3 2 13 3 6" xfId="41680"/>
    <cellStyle name="Normal 71 3 2 13 4" xfId="41681"/>
    <cellStyle name="Normal 71 3 2 13 4 2" xfId="41682"/>
    <cellStyle name="Normal 71 3 2 13 4 3" xfId="41683"/>
    <cellStyle name="Normal 71 3 2 13 4 4" xfId="41684"/>
    <cellStyle name="Normal 71 3 2 13 4 5" xfId="41685"/>
    <cellStyle name="Normal 71 3 2 13 4 6" xfId="41686"/>
    <cellStyle name="Normal 71 3 2 14" xfId="41687"/>
    <cellStyle name="Normal 71 3 2 14 2" xfId="41688"/>
    <cellStyle name="Normal 71 3 2 14 2 2" xfId="41689"/>
    <cellStyle name="Normal 71 3 2 14 2 3" xfId="41690"/>
    <cellStyle name="Normal 71 3 2 14 2 4" xfId="41691"/>
    <cellStyle name="Normal 71 3 2 14 2 5" xfId="41692"/>
    <cellStyle name="Normal 71 3 2 14 2 6" xfId="41693"/>
    <cellStyle name="Normal 71 3 2 14 3" xfId="41694"/>
    <cellStyle name="Normal 71 3 2 14 3 2" xfId="41695"/>
    <cellStyle name="Normal 71 3 2 14 3 3" xfId="41696"/>
    <cellStyle name="Normal 71 3 2 14 3 4" xfId="41697"/>
    <cellStyle name="Normal 71 3 2 14 3 5" xfId="41698"/>
    <cellStyle name="Normal 71 3 2 14 3 6" xfId="41699"/>
    <cellStyle name="Normal 71 3 2 14 4" xfId="41700"/>
    <cellStyle name="Normal 71 3 2 14 4 2" xfId="41701"/>
    <cellStyle name="Normal 71 3 2 14 4 3" xfId="41702"/>
    <cellStyle name="Normal 71 3 2 14 4 4" xfId="41703"/>
    <cellStyle name="Normal 71 3 2 14 4 5" xfId="41704"/>
    <cellStyle name="Normal 71 3 2 14 4 6" xfId="41705"/>
    <cellStyle name="Normal 71 3 2 15" xfId="41706"/>
    <cellStyle name="Normal 71 3 2 15 2" xfId="41707"/>
    <cellStyle name="Normal 71 3 2 15 2 2" xfId="41708"/>
    <cellStyle name="Normal 71 3 2 15 2 3" xfId="41709"/>
    <cellStyle name="Normal 71 3 2 15 2 4" xfId="41710"/>
    <cellStyle name="Normal 71 3 2 15 2 5" xfId="41711"/>
    <cellStyle name="Normal 71 3 2 15 2 6" xfId="41712"/>
    <cellStyle name="Normal 71 3 2 15 3" xfId="41713"/>
    <cellStyle name="Normal 71 3 2 15 3 2" xfId="41714"/>
    <cellStyle name="Normal 71 3 2 15 3 3" xfId="41715"/>
    <cellStyle name="Normal 71 3 2 15 3 4" xfId="41716"/>
    <cellStyle name="Normal 71 3 2 15 3 5" xfId="41717"/>
    <cellStyle name="Normal 71 3 2 15 3 6" xfId="41718"/>
    <cellStyle name="Normal 71 3 2 15 4" xfId="41719"/>
    <cellStyle name="Normal 71 3 2 15 4 2" xfId="41720"/>
    <cellStyle name="Normal 71 3 2 15 4 3" xfId="41721"/>
    <cellStyle name="Normal 71 3 2 15 4 4" xfId="41722"/>
    <cellStyle name="Normal 71 3 2 15 4 5" xfId="41723"/>
    <cellStyle name="Normal 71 3 2 15 4 6" xfId="41724"/>
    <cellStyle name="Normal 71 3 2 16" xfId="41725"/>
    <cellStyle name="Normal 71 3 2 16 2" xfId="41726"/>
    <cellStyle name="Normal 71 3 2 16 2 2" xfId="41727"/>
    <cellStyle name="Normal 71 3 2 16 2 3" xfId="41728"/>
    <cellStyle name="Normal 71 3 2 16 2 4" xfId="41729"/>
    <cellStyle name="Normal 71 3 2 16 2 5" xfId="41730"/>
    <cellStyle name="Normal 71 3 2 16 2 6" xfId="41731"/>
    <cellStyle name="Normal 71 3 2 16 3" xfId="41732"/>
    <cellStyle name="Normal 71 3 2 16 3 2" xfId="41733"/>
    <cellStyle name="Normal 71 3 2 16 3 3" xfId="41734"/>
    <cellStyle name="Normal 71 3 2 16 3 4" xfId="41735"/>
    <cellStyle name="Normal 71 3 2 16 3 5" xfId="41736"/>
    <cellStyle name="Normal 71 3 2 16 3 6" xfId="41737"/>
    <cellStyle name="Normal 71 3 2 16 4" xfId="41738"/>
    <cellStyle name="Normal 71 3 2 16 4 2" xfId="41739"/>
    <cellStyle name="Normal 71 3 2 16 4 3" xfId="41740"/>
    <cellStyle name="Normal 71 3 2 16 4 4" xfId="41741"/>
    <cellStyle name="Normal 71 3 2 16 4 5" xfId="41742"/>
    <cellStyle name="Normal 71 3 2 16 4 6" xfId="41743"/>
    <cellStyle name="Normal 71 3 2 17" xfId="41744"/>
    <cellStyle name="Normal 71 3 2 17 2" xfId="41745"/>
    <cellStyle name="Normal 71 3 2 17 3" xfId="41746"/>
    <cellStyle name="Normal 71 3 2 17 4" xfId="41747"/>
    <cellStyle name="Normal 71 3 2 17 5" xfId="41748"/>
    <cellStyle name="Normal 71 3 2 17 6" xfId="41749"/>
    <cellStyle name="Normal 71 3 2 18" xfId="41750"/>
    <cellStyle name="Normal 71 3 2 18 2" xfId="41751"/>
    <cellStyle name="Normal 71 3 2 18 3" xfId="41752"/>
    <cellStyle name="Normal 71 3 2 18 4" xfId="41753"/>
    <cellStyle name="Normal 71 3 2 18 5" xfId="41754"/>
    <cellStyle name="Normal 71 3 2 18 6" xfId="41755"/>
    <cellStyle name="Normal 71 3 2 19" xfId="41756"/>
    <cellStyle name="Normal 71 3 2 19 2" xfId="41757"/>
    <cellStyle name="Normal 71 3 2 19 3" xfId="41758"/>
    <cellStyle name="Normal 71 3 2 19 4" xfId="41759"/>
    <cellStyle name="Normal 71 3 2 19 5" xfId="41760"/>
    <cellStyle name="Normal 71 3 2 19 6" xfId="41761"/>
    <cellStyle name="Normal 71 3 2 2" xfId="41762"/>
    <cellStyle name="Normal 71 3 2 2 2" xfId="41763"/>
    <cellStyle name="Normal 71 3 2 2 2 2" xfId="41764"/>
    <cellStyle name="Normal 71 3 2 2 2 3" xfId="41765"/>
    <cellStyle name="Normal 71 3 2 2 2 4" xfId="41766"/>
    <cellStyle name="Normal 71 3 2 2 2 5" xfId="41767"/>
    <cellStyle name="Normal 71 3 2 2 2 6" xfId="41768"/>
    <cellStyle name="Normal 71 3 2 2 3" xfId="41769"/>
    <cellStyle name="Normal 71 3 2 2 3 2" xfId="41770"/>
    <cellStyle name="Normal 71 3 2 2 3 3" xfId="41771"/>
    <cellStyle name="Normal 71 3 2 2 3 4" xfId="41772"/>
    <cellStyle name="Normal 71 3 2 2 3 5" xfId="41773"/>
    <cellStyle name="Normal 71 3 2 2 3 6" xfId="41774"/>
    <cellStyle name="Normal 71 3 2 2 4" xfId="41775"/>
    <cellStyle name="Normal 71 3 2 2 4 2" xfId="41776"/>
    <cellStyle name="Normal 71 3 2 2 4 3" xfId="41777"/>
    <cellStyle name="Normal 71 3 2 2 4 4" xfId="41778"/>
    <cellStyle name="Normal 71 3 2 2 4 5" xfId="41779"/>
    <cellStyle name="Normal 71 3 2 2 4 6" xfId="41780"/>
    <cellStyle name="Normal 71 3 2 3" xfId="41781"/>
    <cellStyle name="Normal 71 3 2 3 2" xfId="41782"/>
    <cellStyle name="Normal 71 3 2 3 2 2" xfId="41783"/>
    <cellStyle name="Normal 71 3 2 3 2 3" xfId="41784"/>
    <cellStyle name="Normal 71 3 2 3 2 4" xfId="41785"/>
    <cellStyle name="Normal 71 3 2 3 2 5" xfId="41786"/>
    <cellStyle name="Normal 71 3 2 3 2 6" xfId="41787"/>
    <cellStyle name="Normal 71 3 2 3 3" xfId="41788"/>
    <cellStyle name="Normal 71 3 2 3 3 2" xfId="41789"/>
    <cellStyle name="Normal 71 3 2 3 3 3" xfId="41790"/>
    <cellStyle name="Normal 71 3 2 3 3 4" xfId="41791"/>
    <cellStyle name="Normal 71 3 2 3 3 5" xfId="41792"/>
    <cellStyle name="Normal 71 3 2 3 3 6" xfId="41793"/>
    <cellStyle name="Normal 71 3 2 3 4" xfId="41794"/>
    <cellStyle name="Normal 71 3 2 3 4 2" xfId="41795"/>
    <cellStyle name="Normal 71 3 2 3 4 3" xfId="41796"/>
    <cellStyle name="Normal 71 3 2 3 4 4" xfId="41797"/>
    <cellStyle name="Normal 71 3 2 3 4 5" xfId="41798"/>
    <cellStyle name="Normal 71 3 2 3 4 6" xfId="41799"/>
    <cellStyle name="Normal 71 3 2 4" xfId="41800"/>
    <cellStyle name="Normal 71 3 2 4 2" xfId="41801"/>
    <cellStyle name="Normal 71 3 2 4 2 2" xfId="41802"/>
    <cellStyle name="Normal 71 3 2 4 2 3" xfId="41803"/>
    <cellStyle name="Normal 71 3 2 4 2 4" xfId="41804"/>
    <cellStyle name="Normal 71 3 2 4 2 5" xfId="41805"/>
    <cellStyle name="Normal 71 3 2 4 2 6" xfId="41806"/>
    <cellStyle name="Normal 71 3 2 4 3" xfId="41807"/>
    <cellStyle name="Normal 71 3 2 4 3 2" xfId="41808"/>
    <cellStyle name="Normal 71 3 2 4 3 3" xfId="41809"/>
    <cellStyle name="Normal 71 3 2 4 3 4" xfId="41810"/>
    <cellStyle name="Normal 71 3 2 4 3 5" xfId="41811"/>
    <cellStyle name="Normal 71 3 2 4 3 6" xfId="41812"/>
    <cellStyle name="Normal 71 3 2 4 4" xfId="41813"/>
    <cellStyle name="Normal 71 3 2 4 4 2" xfId="41814"/>
    <cellStyle name="Normal 71 3 2 4 4 3" xfId="41815"/>
    <cellStyle name="Normal 71 3 2 4 4 4" xfId="41816"/>
    <cellStyle name="Normal 71 3 2 4 4 5" xfId="41817"/>
    <cellStyle name="Normal 71 3 2 4 4 6" xfId="41818"/>
    <cellStyle name="Normal 71 3 2 5" xfId="41819"/>
    <cellStyle name="Normal 71 3 2 5 2" xfId="41820"/>
    <cellStyle name="Normal 71 3 2 5 2 2" xfId="41821"/>
    <cellStyle name="Normal 71 3 2 5 2 3" xfId="41822"/>
    <cellStyle name="Normal 71 3 2 5 2 4" xfId="41823"/>
    <cellStyle name="Normal 71 3 2 5 2 5" xfId="41824"/>
    <cellStyle name="Normal 71 3 2 5 2 6" xfId="41825"/>
    <cellStyle name="Normal 71 3 2 5 3" xfId="41826"/>
    <cellStyle name="Normal 71 3 2 5 3 2" xfId="41827"/>
    <cellStyle name="Normal 71 3 2 5 3 3" xfId="41828"/>
    <cellStyle name="Normal 71 3 2 5 3 4" xfId="41829"/>
    <cellStyle name="Normal 71 3 2 5 3 5" xfId="41830"/>
    <cellStyle name="Normal 71 3 2 5 3 6" xfId="41831"/>
    <cellStyle name="Normal 71 3 2 5 4" xfId="41832"/>
    <cellStyle name="Normal 71 3 2 5 4 2" xfId="41833"/>
    <cellStyle name="Normal 71 3 2 5 4 3" xfId="41834"/>
    <cellStyle name="Normal 71 3 2 5 4 4" xfId="41835"/>
    <cellStyle name="Normal 71 3 2 5 4 5" xfId="41836"/>
    <cellStyle name="Normal 71 3 2 5 4 6" xfId="41837"/>
    <cellStyle name="Normal 71 3 2 6" xfId="41838"/>
    <cellStyle name="Normal 71 3 2 6 2" xfId="41839"/>
    <cellStyle name="Normal 71 3 2 6 2 2" xfId="41840"/>
    <cellStyle name="Normal 71 3 2 6 2 3" xfId="41841"/>
    <cellStyle name="Normal 71 3 2 6 2 4" xfId="41842"/>
    <cellStyle name="Normal 71 3 2 6 2 5" xfId="41843"/>
    <cellStyle name="Normal 71 3 2 6 2 6" xfId="41844"/>
    <cellStyle name="Normal 71 3 2 6 3" xfId="41845"/>
    <cellStyle name="Normal 71 3 2 6 3 2" xfId="41846"/>
    <cellStyle name="Normal 71 3 2 6 3 3" xfId="41847"/>
    <cellStyle name="Normal 71 3 2 6 3 4" xfId="41848"/>
    <cellStyle name="Normal 71 3 2 6 3 5" xfId="41849"/>
    <cellStyle name="Normal 71 3 2 6 3 6" xfId="41850"/>
    <cellStyle name="Normal 71 3 2 6 4" xfId="41851"/>
    <cellStyle name="Normal 71 3 2 6 4 2" xfId="41852"/>
    <cellStyle name="Normal 71 3 2 6 4 3" xfId="41853"/>
    <cellStyle name="Normal 71 3 2 6 4 4" xfId="41854"/>
    <cellStyle name="Normal 71 3 2 6 4 5" xfId="41855"/>
    <cellStyle name="Normal 71 3 2 6 4 6" xfId="41856"/>
    <cellStyle name="Normal 71 3 2 7" xfId="41857"/>
    <cellStyle name="Normal 71 3 2 7 2" xfId="41858"/>
    <cellStyle name="Normal 71 3 2 7 2 2" xfId="41859"/>
    <cellStyle name="Normal 71 3 2 7 2 3" xfId="41860"/>
    <cellStyle name="Normal 71 3 2 7 2 4" xfId="41861"/>
    <cellStyle name="Normal 71 3 2 7 2 5" xfId="41862"/>
    <cellStyle name="Normal 71 3 2 7 2 6" xfId="41863"/>
    <cellStyle name="Normal 71 3 2 7 3" xfId="41864"/>
    <cellStyle name="Normal 71 3 2 7 3 2" xfId="41865"/>
    <cellStyle name="Normal 71 3 2 7 3 3" xfId="41866"/>
    <cellStyle name="Normal 71 3 2 7 3 4" xfId="41867"/>
    <cellStyle name="Normal 71 3 2 7 3 5" xfId="41868"/>
    <cellStyle name="Normal 71 3 2 7 3 6" xfId="41869"/>
    <cellStyle name="Normal 71 3 2 7 4" xfId="41870"/>
    <cellStyle name="Normal 71 3 2 7 4 2" xfId="41871"/>
    <cellStyle name="Normal 71 3 2 7 4 3" xfId="41872"/>
    <cellStyle name="Normal 71 3 2 7 4 4" xfId="41873"/>
    <cellStyle name="Normal 71 3 2 7 4 5" xfId="41874"/>
    <cellStyle name="Normal 71 3 2 7 4 6" xfId="41875"/>
    <cellStyle name="Normal 71 3 2 8" xfId="41876"/>
    <cellStyle name="Normal 71 3 2 8 2" xfId="41877"/>
    <cellStyle name="Normal 71 3 2 8 2 2" xfId="41878"/>
    <cellStyle name="Normal 71 3 2 8 2 3" xfId="41879"/>
    <cellStyle name="Normal 71 3 2 8 2 4" xfId="41880"/>
    <cellStyle name="Normal 71 3 2 8 2 5" xfId="41881"/>
    <cellStyle name="Normal 71 3 2 8 2 6" xfId="41882"/>
    <cellStyle name="Normal 71 3 2 8 3" xfId="41883"/>
    <cellStyle name="Normal 71 3 2 8 3 2" xfId="41884"/>
    <cellStyle name="Normal 71 3 2 8 3 3" xfId="41885"/>
    <cellStyle name="Normal 71 3 2 8 3 4" xfId="41886"/>
    <cellStyle name="Normal 71 3 2 8 3 5" xfId="41887"/>
    <cellStyle name="Normal 71 3 2 8 3 6" xfId="41888"/>
    <cellStyle name="Normal 71 3 2 8 4" xfId="41889"/>
    <cellStyle name="Normal 71 3 2 8 4 2" xfId="41890"/>
    <cellStyle name="Normal 71 3 2 8 4 3" xfId="41891"/>
    <cellStyle name="Normal 71 3 2 8 4 4" xfId="41892"/>
    <cellStyle name="Normal 71 3 2 8 4 5" xfId="41893"/>
    <cellStyle name="Normal 71 3 2 8 4 6" xfId="41894"/>
    <cellStyle name="Normal 71 3 2 9" xfId="41895"/>
    <cellStyle name="Normal 71 3 2 9 2" xfId="41896"/>
    <cellStyle name="Normal 71 3 2 9 2 2" xfId="41897"/>
    <cellStyle name="Normal 71 3 2 9 2 3" xfId="41898"/>
    <cellStyle name="Normal 71 3 2 9 2 4" xfId="41899"/>
    <cellStyle name="Normal 71 3 2 9 2 5" xfId="41900"/>
    <cellStyle name="Normal 71 3 2 9 2 6" xfId="41901"/>
    <cellStyle name="Normal 71 3 2 9 3" xfId="41902"/>
    <cellStyle name="Normal 71 3 2 9 3 2" xfId="41903"/>
    <cellStyle name="Normal 71 3 2 9 3 3" xfId="41904"/>
    <cellStyle name="Normal 71 3 2 9 3 4" xfId="41905"/>
    <cellStyle name="Normal 71 3 2 9 3 5" xfId="41906"/>
    <cellStyle name="Normal 71 3 2 9 3 6" xfId="41907"/>
    <cellStyle name="Normal 71 3 2 9 4" xfId="41908"/>
    <cellStyle name="Normal 71 3 2 9 4 2" xfId="41909"/>
    <cellStyle name="Normal 71 3 2 9 4 3" xfId="41910"/>
    <cellStyle name="Normal 71 3 2 9 4 4" xfId="41911"/>
    <cellStyle name="Normal 71 3 2 9 4 5" xfId="41912"/>
    <cellStyle name="Normal 71 3 2 9 4 6" xfId="41913"/>
    <cellStyle name="Normal 71 3 20" xfId="41914"/>
    <cellStyle name="Normal 71 3 20 2" xfId="41915"/>
    <cellStyle name="Normal 71 3 20 3" xfId="41916"/>
    <cellStyle name="Normal 71 3 20 4" xfId="41917"/>
    <cellStyle name="Normal 71 3 20 5" xfId="41918"/>
    <cellStyle name="Normal 71 3 20 6" xfId="41919"/>
    <cellStyle name="Normal 71 3 21" xfId="41920"/>
    <cellStyle name="Normal 71 3 21 2" xfId="41921"/>
    <cellStyle name="Normal 71 3 21 3" xfId="41922"/>
    <cellStyle name="Normal 71 3 21 4" xfId="41923"/>
    <cellStyle name="Normal 71 3 21 5" xfId="41924"/>
    <cellStyle name="Normal 71 3 21 6" xfId="41925"/>
    <cellStyle name="Normal 71 3 22" xfId="41926"/>
    <cellStyle name="Normal 71 3 22 2" xfId="41927"/>
    <cellStyle name="Normal 71 3 22 3" xfId="41928"/>
    <cellStyle name="Normal 71 3 22 4" xfId="41929"/>
    <cellStyle name="Normal 71 3 22 5" xfId="41930"/>
    <cellStyle name="Normal 71 3 22 6" xfId="41931"/>
    <cellStyle name="Normal 71 3 3" xfId="41932"/>
    <cellStyle name="Normal 71 3 3 2" xfId="41933"/>
    <cellStyle name="Normal 71 3 3 2 2" xfId="41934"/>
    <cellStyle name="Normal 71 3 3 2 3" xfId="41935"/>
    <cellStyle name="Normal 71 3 3 2 4" xfId="41936"/>
    <cellStyle name="Normal 71 3 3 2 5" xfId="41937"/>
    <cellStyle name="Normal 71 3 3 2 6" xfId="41938"/>
    <cellStyle name="Normal 71 3 3 3" xfId="41939"/>
    <cellStyle name="Normal 71 3 3 3 2" xfId="41940"/>
    <cellStyle name="Normal 71 3 3 3 3" xfId="41941"/>
    <cellStyle name="Normal 71 3 3 3 4" xfId="41942"/>
    <cellStyle name="Normal 71 3 3 3 5" xfId="41943"/>
    <cellStyle name="Normal 71 3 3 3 6" xfId="41944"/>
    <cellStyle name="Normal 71 3 3 4" xfId="41945"/>
    <cellStyle name="Normal 71 3 3 4 2" xfId="41946"/>
    <cellStyle name="Normal 71 3 3 4 3" xfId="41947"/>
    <cellStyle name="Normal 71 3 3 4 4" xfId="41948"/>
    <cellStyle name="Normal 71 3 3 4 5" xfId="41949"/>
    <cellStyle name="Normal 71 3 3 4 6" xfId="41950"/>
    <cellStyle name="Normal 71 3 4" xfId="41951"/>
    <cellStyle name="Normal 71 3 4 2" xfId="41952"/>
    <cellStyle name="Normal 71 3 4 2 2" xfId="41953"/>
    <cellStyle name="Normal 71 3 4 2 3" xfId="41954"/>
    <cellStyle name="Normal 71 3 4 2 4" xfId="41955"/>
    <cellStyle name="Normal 71 3 4 2 5" xfId="41956"/>
    <cellStyle name="Normal 71 3 4 2 6" xfId="41957"/>
    <cellStyle name="Normal 71 3 4 3" xfId="41958"/>
    <cellStyle name="Normal 71 3 4 3 2" xfId="41959"/>
    <cellStyle name="Normal 71 3 4 3 3" xfId="41960"/>
    <cellStyle name="Normal 71 3 4 3 4" xfId="41961"/>
    <cellStyle name="Normal 71 3 4 3 5" xfId="41962"/>
    <cellStyle name="Normal 71 3 4 3 6" xfId="41963"/>
    <cellStyle name="Normal 71 3 4 4" xfId="41964"/>
    <cellStyle name="Normal 71 3 4 4 2" xfId="41965"/>
    <cellStyle name="Normal 71 3 4 4 3" xfId="41966"/>
    <cellStyle name="Normal 71 3 4 4 4" xfId="41967"/>
    <cellStyle name="Normal 71 3 4 4 5" xfId="41968"/>
    <cellStyle name="Normal 71 3 4 4 6" xfId="41969"/>
    <cellStyle name="Normal 71 3 5" xfId="41970"/>
    <cellStyle name="Normal 71 3 5 2" xfId="41971"/>
    <cellStyle name="Normal 71 3 5 2 2" xfId="41972"/>
    <cellStyle name="Normal 71 3 5 2 3" xfId="41973"/>
    <cellStyle name="Normal 71 3 5 2 4" xfId="41974"/>
    <cellStyle name="Normal 71 3 5 2 5" xfId="41975"/>
    <cellStyle name="Normal 71 3 5 2 6" xfId="41976"/>
    <cellStyle name="Normal 71 3 5 3" xfId="41977"/>
    <cellStyle name="Normal 71 3 5 3 2" xfId="41978"/>
    <cellStyle name="Normal 71 3 5 3 3" xfId="41979"/>
    <cellStyle name="Normal 71 3 5 3 4" xfId="41980"/>
    <cellStyle name="Normal 71 3 5 3 5" xfId="41981"/>
    <cellStyle name="Normal 71 3 5 3 6" xfId="41982"/>
    <cellStyle name="Normal 71 3 5 4" xfId="41983"/>
    <cellStyle name="Normal 71 3 5 4 2" xfId="41984"/>
    <cellStyle name="Normal 71 3 5 4 3" xfId="41985"/>
    <cellStyle name="Normal 71 3 5 4 4" xfId="41986"/>
    <cellStyle name="Normal 71 3 5 4 5" xfId="41987"/>
    <cellStyle name="Normal 71 3 5 4 6" xfId="41988"/>
    <cellStyle name="Normal 71 3 6" xfId="41989"/>
    <cellStyle name="Normal 71 3 6 2" xfId="41990"/>
    <cellStyle name="Normal 71 3 6 2 2" xfId="41991"/>
    <cellStyle name="Normal 71 3 6 2 3" xfId="41992"/>
    <cellStyle name="Normal 71 3 6 2 4" xfId="41993"/>
    <cellStyle name="Normal 71 3 6 2 5" xfId="41994"/>
    <cellStyle name="Normal 71 3 6 2 6" xfId="41995"/>
    <cellStyle name="Normal 71 3 6 3" xfId="41996"/>
    <cellStyle name="Normal 71 3 6 3 2" xfId="41997"/>
    <cellStyle name="Normal 71 3 6 3 3" xfId="41998"/>
    <cellStyle name="Normal 71 3 6 3 4" xfId="41999"/>
    <cellStyle name="Normal 71 3 6 3 5" xfId="42000"/>
    <cellStyle name="Normal 71 3 6 3 6" xfId="42001"/>
    <cellStyle name="Normal 71 3 6 4" xfId="42002"/>
    <cellStyle name="Normal 71 3 6 4 2" xfId="42003"/>
    <cellStyle name="Normal 71 3 6 4 3" xfId="42004"/>
    <cellStyle name="Normal 71 3 6 4 4" xfId="42005"/>
    <cellStyle name="Normal 71 3 6 4 5" xfId="42006"/>
    <cellStyle name="Normal 71 3 6 4 6" xfId="42007"/>
    <cellStyle name="Normal 71 3 7" xfId="42008"/>
    <cellStyle name="Normal 71 3 7 2" xfId="42009"/>
    <cellStyle name="Normal 71 3 7 2 2" xfId="42010"/>
    <cellStyle name="Normal 71 3 7 2 3" xfId="42011"/>
    <cellStyle name="Normal 71 3 7 2 4" xfId="42012"/>
    <cellStyle name="Normal 71 3 7 2 5" xfId="42013"/>
    <cellStyle name="Normal 71 3 7 2 6" xfId="42014"/>
    <cellStyle name="Normal 71 3 7 3" xfId="42015"/>
    <cellStyle name="Normal 71 3 7 3 2" xfId="42016"/>
    <cellStyle name="Normal 71 3 7 3 3" xfId="42017"/>
    <cellStyle name="Normal 71 3 7 3 4" xfId="42018"/>
    <cellStyle name="Normal 71 3 7 3 5" xfId="42019"/>
    <cellStyle name="Normal 71 3 7 3 6" xfId="42020"/>
    <cellStyle name="Normal 71 3 7 4" xfId="42021"/>
    <cellStyle name="Normal 71 3 7 4 2" xfId="42022"/>
    <cellStyle name="Normal 71 3 7 4 3" xfId="42023"/>
    <cellStyle name="Normal 71 3 7 4 4" xfId="42024"/>
    <cellStyle name="Normal 71 3 7 4 5" xfId="42025"/>
    <cellStyle name="Normal 71 3 7 4 6" xfId="42026"/>
    <cellStyle name="Normal 71 3 8" xfId="42027"/>
    <cellStyle name="Normal 71 3 8 2" xfId="42028"/>
    <cellStyle name="Normal 71 3 8 2 2" xfId="42029"/>
    <cellStyle name="Normal 71 3 8 2 3" xfId="42030"/>
    <cellStyle name="Normal 71 3 8 2 4" xfId="42031"/>
    <cellStyle name="Normal 71 3 8 2 5" xfId="42032"/>
    <cellStyle name="Normal 71 3 8 2 6" xfId="42033"/>
    <cellStyle name="Normal 71 3 8 3" xfId="42034"/>
    <cellStyle name="Normal 71 3 8 3 2" xfId="42035"/>
    <cellStyle name="Normal 71 3 8 3 3" xfId="42036"/>
    <cellStyle name="Normal 71 3 8 3 4" xfId="42037"/>
    <cellStyle name="Normal 71 3 8 3 5" xfId="42038"/>
    <cellStyle name="Normal 71 3 8 3 6" xfId="42039"/>
    <cellStyle name="Normal 71 3 8 4" xfId="42040"/>
    <cellStyle name="Normal 71 3 8 4 2" xfId="42041"/>
    <cellStyle name="Normal 71 3 8 4 3" xfId="42042"/>
    <cellStyle name="Normal 71 3 8 4 4" xfId="42043"/>
    <cellStyle name="Normal 71 3 8 4 5" xfId="42044"/>
    <cellStyle name="Normal 71 3 8 4 6" xfId="42045"/>
    <cellStyle name="Normal 71 3 9" xfId="42046"/>
    <cellStyle name="Normal 71 3 9 2" xfId="42047"/>
    <cellStyle name="Normal 71 3 9 2 2" xfId="42048"/>
    <cellStyle name="Normal 71 3 9 2 3" xfId="42049"/>
    <cellStyle name="Normal 71 3 9 2 4" xfId="42050"/>
    <cellStyle name="Normal 71 3 9 2 5" xfId="42051"/>
    <cellStyle name="Normal 71 3 9 2 6" xfId="42052"/>
    <cellStyle name="Normal 71 3 9 3" xfId="42053"/>
    <cellStyle name="Normal 71 3 9 3 2" xfId="42054"/>
    <cellStyle name="Normal 71 3 9 3 3" xfId="42055"/>
    <cellStyle name="Normal 71 3 9 3 4" xfId="42056"/>
    <cellStyle name="Normal 71 3 9 3 5" xfId="42057"/>
    <cellStyle name="Normal 71 3 9 3 6" xfId="42058"/>
    <cellStyle name="Normal 71 3 9 4" xfId="42059"/>
    <cellStyle name="Normal 71 3 9 4 2" xfId="42060"/>
    <cellStyle name="Normal 71 3 9 4 3" xfId="42061"/>
    <cellStyle name="Normal 71 3 9 4 4" xfId="42062"/>
    <cellStyle name="Normal 71 3 9 4 5" xfId="42063"/>
    <cellStyle name="Normal 71 3 9 4 6" xfId="42064"/>
    <cellStyle name="Normal 71 4" xfId="42065"/>
    <cellStyle name="Normal 71 4 2" xfId="42066"/>
    <cellStyle name="Normal 71 4 2 2" xfId="42067"/>
    <cellStyle name="Normal 71 4 2 3" xfId="42068"/>
    <cellStyle name="Normal 71 4 2 4" xfId="42069"/>
    <cellStyle name="Normal 71 4 2 5" xfId="42070"/>
    <cellStyle name="Normal 71 4 2 6" xfId="42071"/>
    <cellStyle name="Normal 71 4 3" xfId="42072"/>
    <cellStyle name="Normal 71 4 3 2" xfId="42073"/>
    <cellStyle name="Normal 71 4 3 3" xfId="42074"/>
    <cellStyle name="Normal 71 4 3 4" xfId="42075"/>
    <cellStyle name="Normal 71 4 3 5" xfId="42076"/>
    <cellStyle name="Normal 71 4 3 6" xfId="42077"/>
    <cellStyle name="Normal 71 4 4" xfId="42078"/>
    <cellStyle name="Normal 71 4 4 2" xfId="42079"/>
    <cellStyle name="Normal 71 4 4 3" xfId="42080"/>
    <cellStyle name="Normal 71 4 4 4" xfId="42081"/>
    <cellStyle name="Normal 71 4 4 5" xfId="42082"/>
    <cellStyle name="Normal 71 4 4 6" xfId="42083"/>
    <cellStyle name="Normal 71 5" xfId="42084"/>
    <cellStyle name="Normal 71 5 2" xfId="42085"/>
    <cellStyle name="Normal 71 5 2 2" xfId="42086"/>
    <cellStyle name="Normal 71 5 2 3" xfId="42087"/>
    <cellStyle name="Normal 71 5 2 4" xfId="42088"/>
    <cellStyle name="Normal 71 5 2 5" xfId="42089"/>
    <cellStyle name="Normal 71 5 2 6" xfId="42090"/>
    <cellStyle name="Normal 71 5 3" xfId="42091"/>
    <cellStyle name="Normal 71 5 3 2" xfId="42092"/>
    <cellStyle name="Normal 71 5 3 3" xfId="42093"/>
    <cellStyle name="Normal 71 5 3 4" xfId="42094"/>
    <cellStyle name="Normal 71 5 3 5" xfId="42095"/>
    <cellStyle name="Normal 71 5 3 6" xfId="42096"/>
    <cellStyle name="Normal 71 5 4" xfId="42097"/>
    <cellStyle name="Normal 71 5 4 2" xfId="42098"/>
    <cellStyle name="Normal 71 5 4 3" xfId="42099"/>
    <cellStyle name="Normal 71 5 4 4" xfId="42100"/>
    <cellStyle name="Normal 71 5 4 5" xfId="42101"/>
    <cellStyle name="Normal 71 5 4 6" xfId="42102"/>
    <cellStyle name="Normal 71 6" xfId="42103"/>
    <cellStyle name="Normal 71 6 2" xfId="42104"/>
    <cellStyle name="Normal 71 6 2 2" xfId="42105"/>
    <cellStyle name="Normal 71 6 2 3" xfId="42106"/>
    <cellStyle name="Normal 71 6 2 4" xfId="42107"/>
    <cellStyle name="Normal 71 6 2 5" xfId="42108"/>
    <cellStyle name="Normal 71 6 2 6" xfId="42109"/>
    <cellStyle name="Normal 71 6 3" xfId="42110"/>
    <cellStyle name="Normal 71 6 3 2" xfId="42111"/>
    <cellStyle name="Normal 71 6 3 3" xfId="42112"/>
    <cellStyle name="Normal 71 6 3 4" xfId="42113"/>
    <cellStyle name="Normal 71 6 3 5" xfId="42114"/>
    <cellStyle name="Normal 71 6 3 6" xfId="42115"/>
    <cellStyle name="Normal 71 6 4" xfId="42116"/>
    <cellStyle name="Normal 71 6 4 2" xfId="42117"/>
    <cellStyle name="Normal 71 6 4 3" xfId="42118"/>
    <cellStyle name="Normal 71 6 4 4" xfId="42119"/>
    <cellStyle name="Normal 71 6 4 5" xfId="42120"/>
    <cellStyle name="Normal 71 6 4 6" xfId="42121"/>
    <cellStyle name="Normal 71 7" xfId="42122"/>
    <cellStyle name="Normal 71 7 2" xfId="42123"/>
    <cellStyle name="Normal 71 7 2 2" xfId="42124"/>
    <cellStyle name="Normal 71 7 2 3" xfId="42125"/>
    <cellStyle name="Normal 71 7 2 4" xfId="42126"/>
    <cellStyle name="Normal 71 7 2 5" xfId="42127"/>
    <cellStyle name="Normal 71 7 2 6" xfId="42128"/>
    <cellStyle name="Normal 71 7 3" xfId="42129"/>
    <cellStyle name="Normal 71 7 3 2" xfId="42130"/>
    <cellStyle name="Normal 71 7 3 3" xfId="42131"/>
    <cellStyle name="Normal 71 7 3 4" xfId="42132"/>
    <cellStyle name="Normal 71 7 3 5" xfId="42133"/>
    <cellStyle name="Normal 71 7 3 6" xfId="42134"/>
    <cellStyle name="Normal 71 7 4" xfId="42135"/>
    <cellStyle name="Normal 71 7 4 2" xfId="42136"/>
    <cellStyle name="Normal 71 7 4 3" xfId="42137"/>
    <cellStyle name="Normal 71 7 4 4" xfId="42138"/>
    <cellStyle name="Normal 71 7 4 5" xfId="42139"/>
    <cellStyle name="Normal 71 7 4 6" xfId="42140"/>
    <cellStyle name="Normal 71 8" xfId="42141"/>
    <cellStyle name="Normal 71 8 2" xfId="42142"/>
    <cellStyle name="Normal 71 8 3" xfId="42143"/>
    <cellStyle name="Normal 71 8 4" xfId="42144"/>
    <cellStyle name="Normal 71 8 5" xfId="42145"/>
    <cellStyle name="Normal 71 8 6" xfId="42146"/>
    <cellStyle name="Normal 71 9" xfId="42147"/>
    <cellStyle name="Normal 71 9 2" xfId="42148"/>
    <cellStyle name="Normal 71 9 3" xfId="42149"/>
    <cellStyle name="Normal 71 9 4" xfId="42150"/>
    <cellStyle name="Normal 71 9 5" xfId="42151"/>
    <cellStyle name="Normal 71 9 6" xfId="42152"/>
    <cellStyle name="Normal 72" xfId="42153"/>
    <cellStyle name="Normal 72 10" xfId="42154"/>
    <cellStyle name="Normal 72 10 2" xfId="42155"/>
    <cellStyle name="Normal 72 10 3" xfId="42156"/>
    <cellStyle name="Normal 72 10 4" xfId="42157"/>
    <cellStyle name="Normal 72 10 5" xfId="42158"/>
    <cellStyle name="Normal 72 10 6" xfId="42159"/>
    <cellStyle name="Normal 72 2" xfId="42160"/>
    <cellStyle name="Normal 72 2 2" xfId="42161"/>
    <cellStyle name="Normal 72 2 2 2" xfId="42162"/>
    <cellStyle name="Normal 72 2 2 2 2" xfId="42163"/>
    <cellStyle name="Normal 72 2 2 2 2 2" xfId="42164"/>
    <cellStyle name="Normal 72 2 2 2 2 3" xfId="42165"/>
    <cellStyle name="Normal 72 2 2 2 2 4" xfId="42166"/>
    <cellStyle name="Normal 72 2 2 2 2 5" xfId="42167"/>
    <cellStyle name="Normal 72 2 2 2 2 6" xfId="42168"/>
    <cellStyle name="Normal 72 2 2 2 3" xfId="42169"/>
    <cellStyle name="Normal 72 2 2 2 3 2" xfId="42170"/>
    <cellStyle name="Normal 72 2 2 2 3 3" xfId="42171"/>
    <cellStyle name="Normal 72 2 2 2 3 4" xfId="42172"/>
    <cellStyle name="Normal 72 2 2 2 3 5" xfId="42173"/>
    <cellStyle name="Normal 72 2 2 2 3 6" xfId="42174"/>
    <cellStyle name="Normal 72 2 2 2 4" xfId="42175"/>
    <cellStyle name="Normal 72 2 2 2 4 2" xfId="42176"/>
    <cellStyle name="Normal 72 2 2 2 4 3" xfId="42177"/>
    <cellStyle name="Normal 72 2 2 2 4 4" xfId="42178"/>
    <cellStyle name="Normal 72 2 2 2 4 5" xfId="42179"/>
    <cellStyle name="Normal 72 2 2 2 4 6" xfId="42180"/>
    <cellStyle name="Normal 72 2 2 3" xfId="42181"/>
    <cellStyle name="Normal 72 2 2 3 2" xfId="42182"/>
    <cellStyle name="Normal 72 2 2 3 3" xfId="42183"/>
    <cellStyle name="Normal 72 2 2 3 4" xfId="42184"/>
    <cellStyle name="Normal 72 2 2 3 5" xfId="42185"/>
    <cellStyle name="Normal 72 2 2 3 6" xfId="42186"/>
    <cellStyle name="Normal 72 2 2 4" xfId="42187"/>
    <cellStyle name="Normal 72 2 2 4 2" xfId="42188"/>
    <cellStyle name="Normal 72 2 2 4 3" xfId="42189"/>
    <cellStyle name="Normal 72 2 2 4 4" xfId="42190"/>
    <cellStyle name="Normal 72 2 2 4 5" xfId="42191"/>
    <cellStyle name="Normal 72 2 2 4 6" xfId="42192"/>
    <cellStyle name="Normal 72 2 2 5" xfId="42193"/>
    <cellStyle name="Normal 72 2 2 5 2" xfId="42194"/>
    <cellStyle name="Normal 72 2 2 5 3" xfId="42195"/>
    <cellStyle name="Normal 72 2 2 5 4" xfId="42196"/>
    <cellStyle name="Normal 72 2 2 5 5" xfId="42197"/>
    <cellStyle name="Normal 72 2 2 5 6" xfId="42198"/>
    <cellStyle name="Normal 72 2 3" xfId="42199"/>
    <cellStyle name="Normal 72 2 3 2" xfId="42200"/>
    <cellStyle name="Normal 72 2 3 2 2" xfId="42201"/>
    <cellStyle name="Normal 72 2 3 2 3" xfId="42202"/>
    <cellStyle name="Normal 72 2 3 2 4" xfId="42203"/>
    <cellStyle name="Normal 72 2 3 2 5" xfId="42204"/>
    <cellStyle name="Normal 72 2 3 2 6" xfId="42205"/>
    <cellStyle name="Normal 72 2 3 3" xfId="42206"/>
    <cellStyle name="Normal 72 2 3 3 2" xfId="42207"/>
    <cellStyle name="Normal 72 2 3 3 3" xfId="42208"/>
    <cellStyle name="Normal 72 2 3 3 4" xfId="42209"/>
    <cellStyle name="Normal 72 2 3 3 5" xfId="42210"/>
    <cellStyle name="Normal 72 2 3 3 6" xfId="42211"/>
    <cellStyle name="Normal 72 2 3 4" xfId="42212"/>
    <cellStyle name="Normal 72 2 3 4 2" xfId="42213"/>
    <cellStyle name="Normal 72 2 3 4 3" xfId="42214"/>
    <cellStyle name="Normal 72 2 3 4 4" xfId="42215"/>
    <cellStyle name="Normal 72 2 3 4 5" xfId="42216"/>
    <cellStyle name="Normal 72 2 3 4 6" xfId="42217"/>
    <cellStyle name="Normal 72 2 4" xfId="42218"/>
    <cellStyle name="Normal 72 2 4 2" xfId="42219"/>
    <cellStyle name="Normal 72 2 4 3" xfId="42220"/>
    <cellStyle name="Normal 72 2 4 4" xfId="42221"/>
    <cellStyle name="Normal 72 2 4 5" xfId="42222"/>
    <cellStyle name="Normal 72 2 4 6" xfId="42223"/>
    <cellStyle name="Normal 72 2 5" xfId="42224"/>
    <cellStyle name="Normal 72 2 5 2" xfId="42225"/>
    <cellStyle name="Normal 72 2 5 3" xfId="42226"/>
    <cellStyle name="Normal 72 2 5 4" xfId="42227"/>
    <cellStyle name="Normal 72 2 5 5" xfId="42228"/>
    <cellStyle name="Normal 72 2 5 6" xfId="42229"/>
    <cellStyle name="Normal 72 2 6" xfId="42230"/>
    <cellStyle name="Normal 72 2 6 2" xfId="42231"/>
    <cellStyle name="Normal 72 2 6 3" xfId="42232"/>
    <cellStyle name="Normal 72 2 6 4" xfId="42233"/>
    <cellStyle name="Normal 72 2 6 5" xfId="42234"/>
    <cellStyle name="Normal 72 2 6 6" xfId="42235"/>
    <cellStyle name="Normal 72 3" xfId="42236"/>
    <cellStyle name="Normal 72 3 10" xfId="42237"/>
    <cellStyle name="Normal 72 3 10 2" xfId="42238"/>
    <cellStyle name="Normal 72 3 10 2 2" xfId="42239"/>
    <cellStyle name="Normal 72 3 10 2 3" xfId="42240"/>
    <cellStyle name="Normal 72 3 10 2 4" xfId="42241"/>
    <cellStyle name="Normal 72 3 10 2 5" xfId="42242"/>
    <cellStyle name="Normal 72 3 10 2 6" xfId="42243"/>
    <cellStyle name="Normal 72 3 10 3" xfId="42244"/>
    <cellStyle name="Normal 72 3 10 3 2" xfId="42245"/>
    <cellStyle name="Normal 72 3 10 3 3" xfId="42246"/>
    <cellStyle name="Normal 72 3 10 3 4" xfId="42247"/>
    <cellStyle name="Normal 72 3 10 3 5" xfId="42248"/>
    <cellStyle name="Normal 72 3 10 3 6" xfId="42249"/>
    <cellStyle name="Normal 72 3 10 4" xfId="42250"/>
    <cellStyle name="Normal 72 3 10 4 2" xfId="42251"/>
    <cellStyle name="Normal 72 3 10 4 3" xfId="42252"/>
    <cellStyle name="Normal 72 3 10 4 4" xfId="42253"/>
    <cellStyle name="Normal 72 3 10 4 5" xfId="42254"/>
    <cellStyle name="Normal 72 3 10 4 6" xfId="42255"/>
    <cellStyle name="Normal 72 3 11" xfId="42256"/>
    <cellStyle name="Normal 72 3 11 2" xfId="42257"/>
    <cellStyle name="Normal 72 3 11 2 2" xfId="42258"/>
    <cellStyle name="Normal 72 3 11 2 3" xfId="42259"/>
    <cellStyle name="Normal 72 3 11 2 4" xfId="42260"/>
    <cellStyle name="Normal 72 3 11 2 5" xfId="42261"/>
    <cellStyle name="Normal 72 3 11 2 6" xfId="42262"/>
    <cellStyle name="Normal 72 3 11 3" xfId="42263"/>
    <cellStyle name="Normal 72 3 11 3 2" xfId="42264"/>
    <cellStyle name="Normal 72 3 11 3 3" xfId="42265"/>
    <cellStyle name="Normal 72 3 11 3 4" xfId="42266"/>
    <cellStyle name="Normal 72 3 11 3 5" xfId="42267"/>
    <cellStyle name="Normal 72 3 11 3 6" xfId="42268"/>
    <cellStyle name="Normal 72 3 11 4" xfId="42269"/>
    <cellStyle name="Normal 72 3 11 4 2" xfId="42270"/>
    <cellStyle name="Normal 72 3 11 4 3" xfId="42271"/>
    <cellStyle name="Normal 72 3 11 4 4" xfId="42272"/>
    <cellStyle name="Normal 72 3 11 4 5" xfId="42273"/>
    <cellStyle name="Normal 72 3 11 4 6" xfId="42274"/>
    <cellStyle name="Normal 72 3 12" xfId="42275"/>
    <cellStyle name="Normal 72 3 12 2" xfId="42276"/>
    <cellStyle name="Normal 72 3 12 2 2" xfId="42277"/>
    <cellStyle name="Normal 72 3 12 2 3" xfId="42278"/>
    <cellStyle name="Normal 72 3 12 2 4" xfId="42279"/>
    <cellStyle name="Normal 72 3 12 2 5" xfId="42280"/>
    <cellStyle name="Normal 72 3 12 2 6" xfId="42281"/>
    <cellStyle name="Normal 72 3 12 3" xfId="42282"/>
    <cellStyle name="Normal 72 3 12 3 2" xfId="42283"/>
    <cellStyle name="Normal 72 3 12 3 3" xfId="42284"/>
    <cellStyle name="Normal 72 3 12 3 4" xfId="42285"/>
    <cellStyle name="Normal 72 3 12 3 5" xfId="42286"/>
    <cellStyle name="Normal 72 3 12 3 6" xfId="42287"/>
    <cellStyle name="Normal 72 3 12 4" xfId="42288"/>
    <cellStyle name="Normal 72 3 12 4 2" xfId="42289"/>
    <cellStyle name="Normal 72 3 12 4 3" xfId="42290"/>
    <cellStyle name="Normal 72 3 12 4 4" xfId="42291"/>
    <cellStyle name="Normal 72 3 12 4 5" xfId="42292"/>
    <cellStyle name="Normal 72 3 12 4 6" xfId="42293"/>
    <cellStyle name="Normal 72 3 13" xfId="42294"/>
    <cellStyle name="Normal 72 3 13 2" xfId="42295"/>
    <cellStyle name="Normal 72 3 13 2 2" xfId="42296"/>
    <cellStyle name="Normal 72 3 13 2 3" xfId="42297"/>
    <cellStyle name="Normal 72 3 13 2 4" xfId="42298"/>
    <cellStyle name="Normal 72 3 13 2 5" xfId="42299"/>
    <cellStyle name="Normal 72 3 13 2 6" xfId="42300"/>
    <cellStyle name="Normal 72 3 13 3" xfId="42301"/>
    <cellStyle name="Normal 72 3 13 3 2" xfId="42302"/>
    <cellStyle name="Normal 72 3 13 3 3" xfId="42303"/>
    <cellStyle name="Normal 72 3 13 3 4" xfId="42304"/>
    <cellStyle name="Normal 72 3 13 3 5" xfId="42305"/>
    <cellStyle name="Normal 72 3 13 3 6" xfId="42306"/>
    <cellStyle name="Normal 72 3 13 4" xfId="42307"/>
    <cellStyle name="Normal 72 3 13 4 2" xfId="42308"/>
    <cellStyle name="Normal 72 3 13 4 3" xfId="42309"/>
    <cellStyle name="Normal 72 3 13 4 4" xfId="42310"/>
    <cellStyle name="Normal 72 3 13 4 5" xfId="42311"/>
    <cellStyle name="Normal 72 3 13 4 6" xfId="42312"/>
    <cellStyle name="Normal 72 3 14" xfId="42313"/>
    <cellStyle name="Normal 72 3 14 2" xfId="42314"/>
    <cellStyle name="Normal 72 3 14 2 2" xfId="42315"/>
    <cellStyle name="Normal 72 3 14 2 3" xfId="42316"/>
    <cellStyle name="Normal 72 3 14 2 4" xfId="42317"/>
    <cellStyle name="Normal 72 3 14 2 5" xfId="42318"/>
    <cellStyle name="Normal 72 3 14 2 6" xfId="42319"/>
    <cellStyle name="Normal 72 3 14 3" xfId="42320"/>
    <cellStyle name="Normal 72 3 14 3 2" xfId="42321"/>
    <cellStyle name="Normal 72 3 14 3 3" xfId="42322"/>
    <cellStyle name="Normal 72 3 14 3 4" xfId="42323"/>
    <cellStyle name="Normal 72 3 14 3 5" xfId="42324"/>
    <cellStyle name="Normal 72 3 14 3 6" xfId="42325"/>
    <cellStyle name="Normal 72 3 14 4" xfId="42326"/>
    <cellStyle name="Normal 72 3 14 4 2" xfId="42327"/>
    <cellStyle name="Normal 72 3 14 4 3" xfId="42328"/>
    <cellStyle name="Normal 72 3 14 4 4" xfId="42329"/>
    <cellStyle name="Normal 72 3 14 4 5" xfId="42330"/>
    <cellStyle name="Normal 72 3 14 4 6" xfId="42331"/>
    <cellStyle name="Normal 72 3 15" xfId="42332"/>
    <cellStyle name="Normal 72 3 15 2" xfId="42333"/>
    <cellStyle name="Normal 72 3 15 2 2" xfId="42334"/>
    <cellStyle name="Normal 72 3 15 2 3" xfId="42335"/>
    <cellStyle name="Normal 72 3 15 2 4" xfId="42336"/>
    <cellStyle name="Normal 72 3 15 2 5" xfId="42337"/>
    <cellStyle name="Normal 72 3 15 2 6" xfId="42338"/>
    <cellStyle name="Normal 72 3 15 3" xfId="42339"/>
    <cellStyle name="Normal 72 3 15 3 2" xfId="42340"/>
    <cellStyle name="Normal 72 3 15 3 3" xfId="42341"/>
    <cellStyle name="Normal 72 3 15 3 4" xfId="42342"/>
    <cellStyle name="Normal 72 3 15 3 5" xfId="42343"/>
    <cellStyle name="Normal 72 3 15 3 6" xfId="42344"/>
    <cellStyle name="Normal 72 3 15 4" xfId="42345"/>
    <cellStyle name="Normal 72 3 15 4 2" xfId="42346"/>
    <cellStyle name="Normal 72 3 15 4 3" xfId="42347"/>
    <cellStyle name="Normal 72 3 15 4 4" xfId="42348"/>
    <cellStyle name="Normal 72 3 15 4 5" xfId="42349"/>
    <cellStyle name="Normal 72 3 15 4 6" xfId="42350"/>
    <cellStyle name="Normal 72 3 16" xfId="42351"/>
    <cellStyle name="Normal 72 3 16 2" xfId="42352"/>
    <cellStyle name="Normal 72 3 16 2 2" xfId="42353"/>
    <cellStyle name="Normal 72 3 16 2 3" xfId="42354"/>
    <cellStyle name="Normal 72 3 16 2 4" xfId="42355"/>
    <cellStyle name="Normal 72 3 16 2 5" xfId="42356"/>
    <cellStyle name="Normal 72 3 16 2 6" xfId="42357"/>
    <cellStyle name="Normal 72 3 16 3" xfId="42358"/>
    <cellStyle name="Normal 72 3 16 3 2" xfId="42359"/>
    <cellStyle name="Normal 72 3 16 3 3" xfId="42360"/>
    <cellStyle name="Normal 72 3 16 3 4" xfId="42361"/>
    <cellStyle name="Normal 72 3 16 3 5" xfId="42362"/>
    <cellStyle name="Normal 72 3 16 3 6" xfId="42363"/>
    <cellStyle name="Normal 72 3 16 4" xfId="42364"/>
    <cellStyle name="Normal 72 3 16 4 2" xfId="42365"/>
    <cellStyle name="Normal 72 3 16 4 3" xfId="42366"/>
    <cellStyle name="Normal 72 3 16 4 4" xfId="42367"/>
    <cellStyle name="Normal 72 3 16 4 5" xfId="42368"/>
    <cellStyle name="Normal 72 3 16 4 6" xfId="42369"/>
    <cellStyle name="Normal 72 3 17" xfId="42370"/>
    <cellStyle name="Normal 72 3 17 2" xfId="42371"/>
    <cellStyle name="Normal 72 3 17 2 2" xfId="42372"/>
    <cellStyle name="Normal 72 3 17 2 3" xfId="42373"/>
    <cellStyle name="Normal 72 3 17 2 4" xfId="42374"/>
    <cellStyle name="Normal 72 3 17 2 5" xfId="42375"/>
    <cellStyle name="Normal 72 3 17 2 6" xfId="42376"/>
    <cellStyle name="Normal 72 3 17 3" xfId="42377"/>
    <cellStyle name="Normal 72 3 17 3 2" xfId="42378"/>
    <cellStyle name="Normal 72 3 17 3 3" xfId="42379"/>
    <cellStyle name="Normal 72 3 17 3 4" xfId="42380"/>
    <cellStyle name="Normal 72 3 17 3 5" xfId="42381"/>
    <cellStyle name="Normal 72 3 17 3 6" xfId="42382"/>
    <cellStyle name="Normal 72 3 17 4" xfId="42383"/>
    <cellStyle name="Normal 72 3 17 4 2" xfId="42384"/>
    <cellStyle name="Normal 72 3 17 4 3" xfId="42385"/>
    <cellStyle name="Normal 72 3 17 4 4" xfId="42386"/>
    <cellStyle name="Normal 72 3 17 4 5" xfId="42387"/>
    <cellStyle name="Normal 72 3 17 4 6" xfId="42388"/>
    <cellStyle name="Normal 72 3 18" xfId="42389"/>
    <cellStyle name="Normal 72 3 18 2" xfId="42390"/>
    <cellStyle name="Normal 72 3 18 2 2" xfId="42391"/>
    <cellStyle name="Normal 72 3 18 2 3" xfId="42392"/>
    <cellStyle name="Normal 72 3 18 2 4" xfId="42393"/>
    <cellStyle name="Normal 72 3 18 2 5" xfId="42394"/>
    <cellStyle name="Normal 72 3 18 2 6" xfId="42395"/>
    <cellStyle name="Normal 72 3 18 3" xfId="42396"/>
    <cellStyle name="Normal 72 3 18 3 2" xfId="42397"/>
    <cellStyle name="Normal 72 3 18 3 3" xfId="42398"/>
    <cellStyle name="Normal 72 3 18 3 4" xfId="42399"/>
    <cellStyle name="Normal 72 3 18 3 5" xfId="42400"/>
    <cellStyle name="Normal 72 3 18 3 6" xfId="42401"/>
    <cellStyle name="Normal 72 3 18 4" xfId="42402"/>
    <cellStyle name="Normal 72 3 18 4 2" xfId="42403"/>
    <cellStyle name="Normal 72 3 18 4 3" xfId="42404"/>
    <cellStyle name="Normal 72 3 18 4 4" xfId="42405"/>
    <cellStyle name="Normal 72 3 18 4 5" xfId="42406"/>
    <cellStyle name="Normal 72 3 18 4 6" xfId="42407"/>
    <cellStyle name="Normal 72 3 19" xfId="42408"/>
    <cellStyle name="Normal 72 3 19 2" xfId="42409"/>
    <cellStyle name="Normal 72 3 19 2 2" xfId="42410"/>
    <cellStyle name="Normal 72 3 19 2 3" xfId="42411"/>
    <cellStyle name="Normal 72 3 19 2 4" xfId="42412"/>
    <cellStyle name="Normal 72 3 19 2 5" xfId="42413"/>
    <cellStyle name="Normal 72 3 19 2 6" xfId="42414"/>
    <cellStyle name="Normal 72 3 19 3" xfId="42415"/>
    <cellStyle name="Normal 72 3 19 3 2" xfId="42416"/>
    <cellStyle name="Normal 72 3 19 3 3" xfId="42417"/>
    <cellStyle name="Normal 72 3 19 3 4" xfId="42418"/>
    <cellStyle name="Normal 72 3 19 3 5" xfId="42419"/>
    <cellStyle name="Normal 72 3 19 3 6" xfId="42420"/>
    <cellStyle name="Normal 72 3 19 4" xfId="42421"/>
    <cellStyle name="Normal 72 3 19 4 2" xfId="42422"/>
    <cellStyle name="Normal 72 3 19 4 3" xfId="42423"/>
    <cellStyle name="Normal 72 3 19 4 4" xfId="42424"/>
    <cellStyle name="Normal 72 3 19 4 5" xfId="42425"/>
    <cellStyle name="Normal 72 3 19 4 6" xfId="42426"/>
    <cellStyle name="Normal 72 3 2" xfId="42427"/>
    <cellStyle name="Normal 72 3 2 10" xfId="42428"/>
    <cellStyle name="Normal 72 3 2 10 2" xfId="42429"/>
    <cellStyle name="Normal 72 3 2 10 2 2" xfId="42430"/>
    <cellStyle name="Normal 72 3 2 10 2 3" xfId="42431"/>
    <cellStyle name="Normal 72 3 2 10 2 4" xfId="42432"/>
    <cellStyle name="Normal 72 3 2 10 2 5" xfId="42433"/>
    <cellStyle name="Normal 72 3 2 10 2 6" xfId="42434"/>
    <cellStyle name="Normal 72 3 2 10 3" xfId="42435"/>
    <cellStyle name="Normal 72 3 2 10 3 2" xfId="42436"/>
    <cellStyle name="Normal 72 3 2 10 3 3" xfId="42437"/>
    <cellStyle name="Normal 72 3 2 10 3 4" xfId="42438"/>
    <cellStyle name="Normal 72 3 2 10 3 5" xfId="42439"/>
    <cellStyle name="Normal 72 3 2 10 3 6" xfId="42440"/>
    <cellStyle name="Normal 72 3 2 10 4" xfId="42441"/>
    <cellStyle name="Normal 72 3 2 10 4 2" xfId="42442"/>
    <cellStyle name="Normal 72 3 2 10 4 3" xfId="42443"/>
    <cellStyle name="Normal 72 3 2 10 4 4" xfId="42444"/>
    <cellStyle name="Normal 72 3 2 10 4 5" xfId="42445"/>
    <cellStyle name="Normal 72 3 2 10 4 6" xfId="42446"/>
    <cellStyle name="Normal 72 3 2 11" xfId="42447"/>
    <cellStyle name="Normal 72 3 2 11 2" xfId="42448"/>
    <cellStyle name="Normal 72 3 2 11 2 2" xfId="42449"/>
    <cellStyle name="Normal 72 3 2 11 2 3" xfId="42450"/>
    <cellStyle name="Normal 72 3 2 11 2 4" xfId="42451"/>
    <cellStyle name="Normal 72 3 2 11 2 5" xfId="42452"/>
    <cellStyle name="Normal 72 3 2 11 2 6" xfId="42453"/>
    <cellStyle name="Normal 72 3 2 11 3" xfId="42454"/>
    <cellStyle name="Normal 72 3 2 11 3 2" xfId="42455"/>
    <cellStyle name="Normal 72 3 2 11 3 3" xfId="42456"/>
    <cellStyle name="Normal 72 3 2 11 3 4" xfId="42457"/>
    <cellStyle name="Normal 72 3 2 11 3 5" xfId="42458"/>
    <cellStyle name="Normal 72 3 2 11 3 6" xfId="42459"/>
    <cellStyle name="Normal 72 3 2 11 4" xfId="42460"/>
    <cellStyle name="Normal 72 3 2 11 4 2" xfId="42461"/>
    <cellStyle name="Normal 72 3 2 11 4 3" xfId="42462"/>
    <cellStyle name="Normal 72 3 2 11 4 4" xfId="42463"/>
    <cellStyle name="Normal 72 3 2 11 4 5" xfId="42464"/>
    <cellStyle name="Normal 72 3 2 11 4 6" xfId="42465"/>
    <cellStyle name="Normal 72 3 2 12" xfId="42466"/>
    <cellStyle name="Normal 72 3 2 12 2" xfId="42467"/>
    <cellStyle name="Normal 72 3 2 12 2 2" xfId="42468"/>
    <cellStyle name="Normal 72 3 2 12 2 3" xfId="42469"/>
    <cellStyle name="Normal 72 3 2 12 2 4" xfId="42470"/>
    <cellStyle name="Normal 72 3 2 12 2 5" xfId="42471"/>
    <cellStyle name="Normal 72 3 2 12 2 6" xfId="42472"/>
    <cellStyle name="Normal 72 3 2 12 3" xfId="42473"/>
    <cellStyle name="Normal 72 3 2 12 3 2" xfId="42474"/>
    <cellStyle name="Normal 72 3 2 12 3 3" xfId="42475"/>
    <cellStyle name="Normal 72 3 2 12 3 4" xfId="42476"/>
    <cellStyle name="Normal 72 3 2 12 3 5" xfId="42477"/>
    <cellStyle name="Normal 72 3 2 12 3 6" xfId="42478"/>
    <cellStyle name="Normal 72 3 2 12 4" xfId="42479"/>
    <cellStyle name="Normal 72 3 2 12 4 2" xfId="42480"/>
    <cellStyle name="Normal 72 3 2 12 4 3" xfId="42481"/>
    <cellStyle name="Normal 72 3 2 12 4 4" xfId="42482"/>
    <cellStyle name="Normal 72 3 2 12 4 5" xfId="42483"/>
    <cellStyle name="Normal 72 3 2 12 4 6" xfId="42484"/>
    <cellStyle name="Normal 72 3 2 13" xfId="42485"/>
    <cellStyle name="Normal 72 3 2 13 2" xfId="42486"/>
    <cellStyle name="Normal 72 3 2 13 2 2" xfId="42487"/>
    <cellStyle name="Normal 72 3 2 13 2 3" xfId="42488"/>
    <cellStyle name="Normal 72 3 2 13 2 4" xfId="42489"/>
    <cellStyle name="Normal 72 3 2 13 2 5" xfId="42490"/>
    <cellStyle name="Normal 72 3 2 13 2 6" xfId="42491"/>
    <cellStyle name="Normal 72 3 2 13 3" xfId="42492"/>
    <cellStyle name="Normal 72 3 2 13 3 2" xfId="42493"/>
    <cellStyle name="Normal 72 3 2 13 3 3" xfId="42494"/>
    <cellStyle name="Normal 72 3 2 13 3 4" xfId="42495"/>
    <cellStyle name="Normal 72 3 2 13 3 5" xfId="42496"/>
    <cellStyle name="Normal 72 3 2 13 3 6" xfId="42497"/>
    <cellStyle name="Normal 72 3 2 13 4" xfId="42498"/>
    <cellStyle name="Normal 72 3 2 13 4 2" xfId="42499"/>
    <cellStyle name="Normal 72 3 2 13 4 3" xfId="42500"/>
    <cellStyle name="Normal 72 3 2 13 4 4" xfId="42501"/>
    <cellStyle name="Normal 72 3 2 13 4 5" xfId="42502"/>
    <cellStyle name="Normal 72 3 2 13 4 6" xfId="42503"/>
    <cellStyle name="Normal 72 3 2 14" xfId="42504"/>
    <cellStyle name="Normal 72 3 2 14 2" xfId="42505"/>
    <cellStyle name="Normal 72 3 2 14 2 2" xfId="42506"/>
    <cellStyle name="Normal 72 3 2 14 2 3" xfId="42507"/>
    <cellStyle name="Normal 72 3 2 14 2 4" xfId="42508"/>
    <cellStyle name="Normal 72 3 2 14 2 5" xfId="42509"/>
    <cellStyle name="Normal 72 3 2 14 2 6" xfId="42510"/>
    <cellStyle name="Normal 72 3 2 14 3" xfId="42511"/>
    <cellStyle name="Normal 72 3 2 14 3 2" xfId="42512"/>
    <cellStyle name="Normal 72 3 2 14 3 3" xfId="42513"/>
    <cellStyle name="Normal 72 3 2 14 3 4" xfId="42514"/>
    <cellStyle name="Normal 72 3 2 14 3 5" xfId="42515"/>
    <cellStyle name="Normal 72 3 2 14 3 6" xfId="42516"/>
    <cellStyle name="Normal 72 3 2 14 4" xfId="42517"/>
    <cellStyle name="Normal 72 3 2 14 4 2" xfId="42518"/>
    <cellStyle name="Normal 72 3 2 14 4 3" xfId="42519"/>
    <cellStyle name="Normal 72 3 2 14 4 4" xfId="42520"/>
    <cellStyle name="Normal 72 3 2 14 4 5" xfId="42521"/>
    <cellStyle name="Normal 72 3 2 14 4 6" xfId="42522"/>
    <cellStyle name="Normal 72 3 2 15" xfId="42523"/>
    <cellStyle name="Normal 72 3 2 15 2" xfId="42524"/>
    <cellStyle name="Normal 72 3 2 15 2 2" xfId="42525"/>
    <cellStyle name="Normal 72 3 2 15 2 3" xfId="42526"/>
    <cellStyle name="Normal 72 3 2 15 2 4" xfId="42527"/>
    <cellStyle name="Normal 72 3 2 15 2 5" xfId="42528"/>
    <cellStyle name="Normal 72 3 2 15 2 6" xfId="42529"/>
    <cellStyle name="Normal 72 3 2 15 3" xfId="42530"/>
    <cellStyle name="Normal 72 3 2 15 3 2" xfId="42531"/>
    <cellStyle name="Normal 72 3 2 15 3 3" xfId="42532"/>
    <cellStyle name="Normal 72 3 2 15 3 4" xfId="42533"/>
    <cellStyle name="Normal 72 3 2 15 3 5" xfId="42534"/>
    <cellStyle name="Normal 72 3 2 15 3 6" xfId="42535"/>
    <cellStyle name="Normal 72 3 2 15 4" xfId="42536"/>
    <cellStyle name="Normal 72 3 2 15 4 2" xfId="42537"/>
    <cellStyle name="Normal 72 3 2 15 4 3" xfId="42538"/>
    <cellStyle name="Normal 72 3 2 15 4 4" xfId="42539"/>
    <cellStyle name="Normal 72 3 2 15 4 5" xfId="42540"/>
    <cellStyle name="Normal 72 3 2 15 4 6" xfId="42541"/>
    <cellStyle name="Normal 72 3 2 16" xfId="42542"/>
    <cellStyle name="Normal 72 3 2 16 2" xfId="42543"/>
    <cellStyle name="Normal 72 3 2 16 2 2" xfId="42544"/>
    <cellStyle name="Normal 72 3 2 16 2 3" xfId="42545"/>
    <cellStyle name="Normal 72 3 2 16 2 4" xfId="42546"/>
    <cellStyle name="Normal 72 3 2 16 2 5" xfId="42547"/>
    <cellStyle name="Normal 72 3 2 16 2 6" xfId="42548"/>
    <cellStyle name="Normal 72 3 2 16 3" xfId="42549"/>
    <cellStyle name="Normal 72 3 2 16 3 2" xfId="42550"/>
    <cellStyle name="Normal 72 3 2 16 3 3" xfId="42551"/>
    <cellStyle name="Normal 72 3 2 16 3 4" xfId="42552"/>
    <cellStyle name="Normal 72 3 2 16 3 5" xfId="42553"/>
    <cellStyle name="Normal 72 3 2 16 3 6" xfId="42554"/>
    <cellStyle name="Normal 72 3 2 16 4" xfId="42555"/>
    <cellStyle name="Normal 72 3 2 16 4 2" xfId="42556"/>
    <cellStyle name="Normal 72 3 2 16 4 3" xfId="42557"/>
    <cellStyle name="Normal 72 3 2 16 4 4" xfId="42558"/>
    <cellStyle name="Normal 72 3 2 16 4 5" xfId="42559"/>
    <cellStyle name="Normal 72 3 2 16 4 6" xfId="42560"/>
    <cellStyle name="Normal 72 3 2 17" xfId="42561"/>
    <cellStyle name="Normal 72 3 2 17 2" xfId="42562"/>
    <cellStyle name="Normal 72 3 2 17 2 2" xfId="42563"/>
    <cellStyle name="Normal 72 3 2 17 2 3" xfId="42564"/>
    <cellStyle name="Normal 72 3 2 17 2 4" xfId="42565"/>
    <cellStyle name="Normal 72 3 2 17 2 5" xfId="42566"/>
    <cellStyle name="Normal 72 3 2 17 2 6" xfId="42567"/>
    <cellStyle name="Normal 72 3 2 17 3" xfId="42568"/>
    <cellStyle name="Normal 72 3 2 17 3 2" xfId="42569"/>
    <cellStyle name="Normal 72 3 2 17 3 3" xfId="42570"/>
    <cellStyle name="Normal 72 3 2 17 3 4" xfId="42571"/>
    <cellStyle name="Normal 72 3 2 17 3 5" xfId="42572"/>
    <cellStyle name="Normal 72 3 2 17 3 6" xfId="42573"/>
    <cellStyle name="Normal 72 3 2 17 4" xfId="42574"/>
    <cellStyle name="Normal 72 3 2 17 4 2" xfId="42575"/>
    <cellStyle name="Normal 72 3 2 17 4 3" xfId="42576"/>
    <cellStyle name="Normal 72 3 2 17 4 4" xfId="42577"/>
    <cellStyle name="Normal 72 3 2 17 4 5" xfId="42578"/>
    <cellStyle name="Normal 72 3 2 17 4 6" xfId="42579"/>
    <cellStyle name="Normal 72 3 2 18" xfId="42580"/>
    <cellStyle name="Normal 72 3 2 18 2" xfId="42581"/>
    <cellStyle name="Normal 72 3 2 18 2 2" xfId="42582"/>
    <cellStyle name="Normal 72 3 2 18 2 3" xfId="42583"/>
    <cellStyle name="Normal 72 3 2 18 2 4" xfId="42584"/>
    <cellStyle name="Normal 72 3 2 18 2 5" xfId="42585"/>
    <cellStyle name="Normal 72 3 2 18 2 6" xfId="42586"/>
    <cellStyle name="Normal 72 3 2 18 3" xfId="42587"/>
    <cellStyle name="Normal 72 3 2 18 3 2" xfId="42588"/>
    <cellStyle name="Normal 72 3 2 18 3 3" xfId="42589"/>
    <cellStyle name="Normal 72 3 2 18 3 4" xfId="42590"/>
    <cellStyle name="Normal 72 3 2 18 3 5" xfId="42591"/>
    <cellStyle name="Normal 72 3 2 18 3 6" xfId="42592"/>
    <cellStyle name="Normal 72 3 2 18 4" xfId="42593"/>
    <cellStyle name="Normal 72 3 2 18 4 2" xfId="42594"/>
    <cellStyle name="Normal 72 3 2 18 4 3" xfId="42595"/>
    <cellStyle name="Normal 72 3 2 18 4 4" xfId="42596"/>
    <cellStyle name="Normal 72 3 2 18 4 5" xfId="42597"/>
    <cellStyle name="Normal 72 3 2 18 4 6" xfId="42598"/>
    <cellStyle name="Normal 72 3 2 19" xfId="42599"/>
    <cellStyle name="Normal 72 3 2 19 2" xfId="42600"/>
    <cellStyle name="Normal 72 3 2 19 2 2" xfId="42601"/>
    <cellStyle name="Normal 72 3 2 19 2 3" xfId="42602"/>
    <cellStyle name="Normal 72 3 2 19 2 4" xfId="42603"/>
    <cellStyle name="Normal 72 3 2 19 2 5" xfId="42604"/>
    <cellStyle name="Normal 72 3 2 19 2 6" xfId="42605"/>
    <cellStyle name="Normal 72 3 2 19 3" xfId="42606"/>
    <cellStyle name="Normal 72 3 2 19 3 2" xfId="42607"/>
    <cellStyle name="Normal 72 3 2 19 3 3" xfId="42608"/>
    <cellStyle name="Normal 72 3 2 19 3 4" xfId="42609"/>
    <cellStyle name="Normal 72 3 2 19 3 5" xfId="42610"/>
    <cellStyle name="Normal 72 3 2 19 3 6" xfId="42611"/>
    <cellStyle name="Normal 72 3 2 19 4" xfId="42612"/>
    <cellStyle name="Normal 72 3 2 19 4 2" xfId="42613"/>
    <cellStyle name="Normal 72 3 2 19 4 3" xfId="42614"/>
    <cellStyle name="Normal 72 3 2 19 4 4" xfId="42615"/>
    <cellStyle name="Normal 72 3 2 19 4 5" xfId="42616"/>
    <cellStyle name="Normal 72 3 2 19 4 6" xfId="42617"/>
    <cellStyle name="Normal 72 3 2 2" xfId="42618"/>
    <cellStyle name="Normal 72 3 2 2 10" xfId="42619"/>
    <cellStyle name="Normal 72 3 2 2 10 2" xfId="42620"/>
    <cellStyle name="Normal 72 3 2 2 10 2 2" xfId="42621"/>
    <cellStyle name="Normal 72 3 2 2 10 2 3" xfId="42622"/>
    <cellStyle name="Normal 72 3 2 2 10 2 4" xfId="42623"/>
    <cellStyle name="Normal 72 3 2 2 10 2 5" xfId="42624"/>
    <cellStyle name="Normal 72 3 2 2 10 2 6" xfId="42625"/>
    <cellStyle name="Normal 72 3 2 2 10 3" xfId="42626"/>
    <cellStyle name="Normal 72 3 2 2 10 3 2" xfId="42627"/>
    <cellStyle name="Normal 72 3 2 2 10 3 3" xfId="42628"/>
    <cellStyle name="Normal 72 3 2 2 10 3 4" xfId="42629"/>
    <cellStyle name="Normal 72 3 2 2 10 3 5" xfId="42630"/>
    <cellStyle name="Normal 72 3 2 2 10 3 6" xfId="42631"/>
    <cellStyle name="Normal 72 3 2 2 10 4" xfId="42632"/>
    <cellStyle name="Normal 72 3 2 2 10 4 2" xfId="42633"/>
    <cellStyle name="Normal 72 3 2 2 10 4 3" xfId="42634"/>
    <cellStyle name="Normal 72 3 2 2 10 4 4" xfId="42635"/>
    <cellStyle name="Normal 72 3 2 2 10 4 5" xfId="42636"/>
    <cellStyle name="Normal 72 3 2 2 10 4 6" xfId="42637"/>
    <cellStyle name="Normal 72 3 2 2 11" xfId="42638"/>
    <cellStyle name="Normal 72 3 2 2 11 2" xfId="42639"/>
    <cellStyle name="Normal 72 3 2 2 11 2 2" xfId="42640"/>
    <cellStyle name="Normal 72 3 2 2 11 2 3" xfId="42641"/>
    <cellStyle name="Normal 72 3 2 2 11 2 4" xfId="42642"/>
    <cellStyle name="Normal 72 3 2 2 11 2 5" xfId="42643"/>
    <cellStyle name="Normal 72 3 2 2 11 2 6" xfId="42644"/>
    <cellStyle name="Normal 72 3 2 2 11 3" xfId="42645"/>
    <cellStyle name="Normal 72 3 2 2 11 3 2" xfId="42646"/>
    <cellStyle name="Normal 72 3 2 2 11 3 3" xfId="42647"/>
    <cellStyle name="Normal 72 3 2 2 11 3 4" xfId="42648"/>
    <cellStyle name="Normal 72 3 2 2 11 3 5" xfId="42649"/>
    <cellStyle name="Normal 72 3 2 2 11 3 6" xfId="42650"/>
    <cellStyle name="Normal 72 3 2 2 11 4" xfId="42651"/>
    <cellStyle name="Normal 72 3 2 2 11 4 2" xfId="42652"/>
    <cellStyle name="Normal 72 3 2 2 11 4 3" xfId="42653"/>
    <cellStyle name="Normal 72 3 2 2 11 4 4" xfId="42654"/>
    <cellStyle name="Normal 72 3 2 2 11 4 5" xfId="42655"/>
    <cellStyle name="Normal 72 3 2 2 11 4 6" xfId="42656"/>
    <cellStyle name="Normal 72 3 2 2 12" xfId="42657"/>
    <cellStyle name="Normal 72 3 2 2 12 2" xfId="42658"/>
    <cellStyle name="Normal 72 3 2 2 12 2 2" xfId="42659"/>
    <cellStyle name="Normal 72 3 2 2 12 2 3" xfId="42660"/>
    <cellStyle name="Normal 72 3 2 2 12 2 4" xfId="42661"/>
    <cellStyle name="Normal 72 3 2 2 12 2 5" xfId="42662"/>
    <cellStyle name="Normal 72 3 2 2 12 2 6" xfId="42663"/>
    <cellStyle name="Normal 72 3 2 2 12 3" xfId="42664"/>
    <cellStyle name="Normal 72 3 2 2 12 3 2" xfId="42665"/>
    <cellStyle name="Normal 72 3 2 2 12 3 3" xfId="42666"/>
    <cellStyle name="Normal 72 3 2 2 12 3 4" xfId="42667"/>
    <cellStyle name="Normal 72 3 2 2 12 3 5" xfId="42668"/>
    <cellStyle name="Normal 72 3 2 2 12 3 6" xfId="42669"/>
    <cellStyle name="Normal 72 3 2 2 12 4" xfId="42670"/>
    <cellStyle name="Normal 72 3 2 2 12 4 2" xfId="42671"/>
    <cellStyle name="Normal 72 3 2 2 12 4 3" xfId="42672"/>
    <cellStyle name="Normal 72 3 2 2 12 4 4" xfId="42673"/>
    <cellStyle name="Normal 72 3 2 2 12 4 5" xfId="42674"/>
    <cellStyle name="Normal 72 3 2 2 12 4 6" xfId="42675"/>
    <cellStyle name="Normal 72 3 2 2 13" xfId="42676"/>
    <cellStyle name="Normal 72 3 2 2 13 2" xfId="42677"/>
    <cellStyle name="Normal 72 3 2 2 13 2 2" xfId="42678"/>
    <cellStyle name="Normal 72 3 2 2 13 2 3" xfId="42679"/>
    <cellStyle name="Normal 72 3 2 2 13 2 4" xfId="42680"/>
    <cellStyle name="Normal 72 3 2 2 13 2 5" xfId="42681"/>
    <cellStyle name="Normal 72 3 2 2 13 2 6" xfId="42682"/>
    <cellStyle name="Normal 72 3 2 2 13 3" xfId="42683"/>
    <cellStyle name="Normal 72 3 2 2 13 3 2" xfId="42684"/>
    <cellStyle name="Normal 72 3 2 2 13 3 3" xfId="42685"/>
    <cellStyle name="Normal 72 3 2 2 13 3 4" xfId="42686"/>
    <cellStyle name="Normal 72 3 2 2 13 3 5" xfId="42687"/>
    <cellStyle name="Normal 72 3 2 2 13 3 6" xfId="42688"/>
    <cellStyle name="Normal 72 3 2 2 13 4" xfId="42689"/>
    <cellStyle name="Normal 72 3 2 2 13 4 2" xfId="42690"/>
    <cellStyle name="Normal 72 3 2 2 13 4 3" xfId="42691"/>
    <cellStyle name="Normal 72 3 2 2 13 4 4" xfId="42692"/>
    <cellStyle name="Normal 72 3 2 2 13 4 5" xfId="42693"/>
    <cellStyle name="Normal 72 3 2 2 13 4 6" xfId="42694"/>
    <cellStyle name="Normal 72 3 2 2 14" xfId="42695"/>
    <cellStyle name="Normal 72 3 2 2 14 2" xfId="42696"/>
    <cellStyle name="Normal 72 3 2 2 14 2 2" xfId="42697"/>
    <cellStyle name="Normal 72 3 2 2 14 2 3" xfId="42698"/>
    <cellStyle name="Normal 72 3 2 2 14 2 4" xfId="42699"/>
    <cellStyle name="Normal 72 3 2 2 14 2 5" xfId="42700"/>
    <cellStyle name="Normal 72 3 2 2 14 2 6" xfId="42701"/>
    <cellStyle name="Normal 72 3 2 2 14 3" xfId="42702"/>
    <cellStyle name="Normal 72 3 2 2 14 3 2" xfId="42703"/>
    <cellStyle name="Normal 72 3 2 2 14 3 3" xfId="42704"/>
    <cellStyle name="Normal 72 3 2 2 14 3 4" xfId="42705"/>
    <cellStyle name="Normal 72 3 2 2 14 3 5" xfId="42706"/>
    <cellStyle name="Normal 72 3 2 2 14 3 6" xfId="42707"/>
    <cellStyle name="Normal 72 3 2 2 14 4" xfId="42708"/>
    <cellStyle name="Normal 72 3 2 2 14 4 2" xfId="42709"/>
    <cellStyle name="Normal 72 3 2 2 14 4 3" xfId="42710"/>
    <cellStyle name="Normal 72 3 2 2 14 4 4" xfId="42711"/>
    <cellStyle name="Normal 72 3 2 2 14 4 5" xfId="42712"/>
    <cellStyle name="Normal 72 3 2 2 14 4 6" xfId="42713"/>
    <cellStyle name="Normal 72 3 2 2 15" xfId="42714"/>
    <cellStyle name="Normal 72 3 2 2 15 2" xfId="42715"/>
    <cellStyle name="Normal 72 3 2 2 15 2 2" xfId="42716"/>
    <cellStyle name="Normal 72 3 2 2 15 2 3" xfId="42717"/>
    <cellStyle name="Normal 72 3 2 2 15 2 4" xfId="42718"/>
    <cellStyle name="Normal 72 3 2 2 15 2 5" xfId="42719"/>
    <cellStyle name="Normal 72 3 2 2 15 2 6" xfId="42720"/>
    <cellStyle name="Normal 72 3 2 2 15 3" xfId="42721"/>
    <cellStyle name="Normal 72 3 2 2 15 3 2" xfId="42722"/>
    <cellStyle name="Normal 72 3 2 2 15 3 3" xfId="42723"/>
    <cellStyle name="Normal 72 3 2 2 15 3 4" xfId="42724"/>
    <cellStyle name="Normal 72 3 2 2 15 3 5" xfId="42725"/>
    <cellStyle name="Normal 72 3 2 2 15 3 6" xfId="42726"/>
    <cellStyle name="Normal 72 3 2 2 15 4" xfId="42727"/>
    <cellStyle name="Normal 72 3 2 2 15 4 2" xfId="42728"/>
    <cellStyle name="Normal 72 3 2 2 15 4 3" xfId="42729"/>
    <cellStyle name="Normal 72 3 2 2 15 4 4" xfId="42730"/>
    <cellStyle name="Normal 72 3 2 2 15 4 5" xfId="42731"/>
    <cellStyle name="Normal 72 3 2 2 15 4 6" xfId="42732"/>
    <cellStyle name="Normal 72 3 2 2 16" xfId="42733"/>
    <cellStyle name="Normal 72 3 2 2 16 2" xfId="42734"/>
    <cellStyle name="Normal 72 3 2 2 16 2 2" xfId="42735"/>
    <cellStyle name="Normal 72 3 2 2 16 2 3" xfId="42736"/>
    <cellStyle name="Normal 72 3 2 2 16 2 4" xfId="42737"/>
    <cellStyle name="Normal 72 3 2 2 16 2 5" xfId="42738"/>
    <cellStyle name="Normal 72 3 2 2 16 2 6" xfId="42739"/>
    <cellStyle name="Normal 72 3 2 2 16 3" xfId="42740"/>
    <cellStyle name="Normal 72 3 2 2 16 3 2" xfId="42741"/>
    <cellStyle name="Normal 72 3 2 2 16 3 3" xfId="42742"/>
    <cellStyle name="Normal 72 3 2 2 16 3 4" xfId="42743"/>
    <cellStyle name="Normal 72 3 2 2 16 3 5" xfId="42744"/>
    <cellStyle name="Normal 72 3 2 2 16 3 6" xfId="42745"/>
    <cellStyle name="Normal 72 3 2 2 16 4" xfId="42746"/>
    <cellStyle name="Normal 72 3 2 2 16 4 2" xfId="42747"/>
    <cellStyle name="Normal 72 3 2 2 16 4 3" xfId="42748"/>
    <cellStyle name="Normal 72 3 2 2 16 4 4" xfId="42749"/>
    <cellStyle name="Normal 72 3 2 2 16 4 5" xfId="42750"/>
    <cellStyle name="Normal 72 3 2 2 16 4 6" xfId="42751"/>
    <cellStyle name="Normal 72 3 2 2 17" xfId="42752"/>
    <cellStyle name="Normal 72 3 2 2 17 2" xfId="42753"/>
    <cellStyle name="Normal 72 3 2 2 17 3" xfId="42754"/>
    <cellStyle name="Normal 72 3 2 2 17 4" xfId="42755"/>
    <cellStyle name="Normal 72 3 2 2 17 5" xfId="42756"/>
    <cellStyle name="Normal 72 3 2 2 17 6" xfId="42757"/>
    <cellStyle name="Normal 72 3 2 2 18" xfId="42758"/>
    <cellStyle name="Normal 72 3 2 2 18 2" xfId="42759"/>
    <cellStyle name="Normal 72 3 2 2 18 3" xfId="42760"/>
    <cellStyle name="Normal 72 3 2 2 18 4" xfId="42761"/>
    <cellStyle name="Normal 72 3 2 2 18 5" xfId="42762"/>
    <cellStyle name="Normal 72 3 2 2 18 6" xfId="42763"/>
    <cellStyle name="Normal 72 3 2 2 19" xfId="42764"/>
    <cellStyle name="Normal 72 3 2 2 19 2" xfId="42765"/>
    <cellStyle name="Normal 72 3 2 2 19 3" xfId="42766"/>
    <cellStyle name="Normal 72 3 2 2 19 4" xfId="42767"/>
    <cellStyle name="Normal 72 3 2 2 19 5" xfId="42768"/>
    <cellStyle name="Normal 72 3 2 2 19 6" xfId="42769"/>
    <cellStyle name="Normal 72 3 2 2 2" xfId="42770"/>
    <cellStyle name="Normal 72 3 2 2 2 2" xfId="42771"/>
    <cellStyle name="Normal 72 3 2 2 2 2 2" xfId="42772"/>
    <cellStyle name="Normal 72 3 2 2 2 2 3" xfId="42773"/>
    <cellStyle name="Normal 72 3 2 2 2 2 4" xfId="42774"/>
    <cellStyle name="Normal 72 3 2 2 2 2 5" xfId="42775"/>
    <cellStyle name="Normal 72 3 2 2 2 2 6" xfId="42776"/>
    <cellStyle name="Normal 72 3 2 2 2 3" xfId="42777"/>
    <cellStyle name="Normal 72 3 2 2 2 3 2" xfId="42778"/>
    <cellStyle name="Normal 72 3 2 2 2 3 3" xfId="42779"/>
    <cellStyle name="Normal 72 3 2 2 2 3 4" xfId="42780"/>
    <cellStyle name="Normal 72 3 2 2 2 3 5" xfId="42781"/>
    <cellStyle name="Normal 72 3 2 2 2 3 6" xfId="42782"/>
    <cellStyle name="Normal 72 3 2 2 2 4" xfId="42783"/>
    <cellStyle name="Normal 72 3 2 2 2 4 2" xfId="42784"/>
    <cellStyle name="Normal 72 3 2 2 2 4 3" xfId="42785"/>
    <cellStyle name="Normal 72 3 2 2 2 4 4" xfId="42786"/>
    <cellStyle name="Normal 72 3 2 2 2 4 5" xfId="42787"/>
    <cellStyle name="Normal 72 3 2 2 2 4 6" xfId="42788"/>
    <cellStyle name="Normal 72 3 2 2 3" xfId="42789"/>
    <cellStyle name="Normal 72 3 2 2 3 2" xfId="42790"/>
    <cellStyle name="Normal 72 3 2 2 3 2 2" xfId="42791"/>
    <cellStyle name="Normal 72 3 2 2 3 2 3" xfId="42792"/>
    <cellStyle name="Normal 72 3 2 2 3 2 4" xfId="42793"/>
    <cellStyle name="Normal 72 3 2 2 3 2 5" xfId="42794"/>
    <cellStyle name="Normal 72 3 2 2 3 2 6" xfId="42795"/>
    <cellStyle name="Normal 72 3 2 2 3 3" xfId="42796"/>
    <cellStyle name="Normal 72 3 2 2 3 3 2" xfId="42797"/>
    <cellStyle name="Normal 72 3 2 2 3 3 3" xfId="42798"/>
    <cellStyle name="Normal 72 3 2 2 3 3 4" xfId="42799"/>
    <cellStyle name="Normal 72 3 2 2 3 3 5" xfId="42800"/>
    <cellStyle name="Normal 72 3 2 2 3 3 6" xfId="42801"/>
    <cellStyle name="Normal 72 3 2 2 3 4" xfId="42802"/>
    <cellStyle name="Normal 72 3 2 2 3 4 2" xfId="42803"/>
    <cellStyle name="Normal 72 3 2 2 3 4 3" xfId="42804"/>
    <cellStyle name="Normal 72 3 2 2 3 4 4" xfId="42805"/>
    <cellStyle name="Normal 72 3 2 2 3 4 5" xfId="42806"/>
    <cellStyle name="Normal 72 3 2 2 3 4 6" xfId="42807"/>
    <cellStyle name="Normal 72 3 2 2 4" xfId="42808"/>
    <cellStyle name="Normal 72 3 2 2 4 2" xfId="42809"/>
    <cellStyle name="Normal 72 3 2 2 4 2 2" xfId="42810"/>
    <cellStyle name="Normal 72 3 2 2 4 2 3" xfId="42811"/>
    <cellStyle name="Normal 72 3 2 2 4 2 4" xfId="42812"/>
    <cellStyle name="Normal 72 3 2 2 4 2 5" xfId="42813"/>
    <cellStyle name="Normal 72 3 2 2 4 2 6" xfId="42814"/>
    <cellStyle name="Normal 72 3 2 2 4 3" xfId="42815"/>
    <cellStyle name="Normal 72 3 2 2 4 3 2" xfId="42816"/>
    <cellStyle name="Normal 72 3 2 2 4 3 3" xfId="42817"/>
    <cellStyle name="Normal 72 3 2 2 4 3 4" xfId="42818"/>
    <cellStyle name="Normal 72 3 2 2 4 3 5" xfId="42819"/>
    <cellStyle name="Normal 72 3 2 2 4 3 6" xfId="42820"/>
    <cellStyle name="Normal 72 3 2 2 4 4" xfId="42821"/>
    <cellStyle name="Normal 72 3 2 2 4 4 2" xfId="42822"/>
    <cellStyle name="Normal 72 3 2 2 4 4 3" xfId="42823"/>
    <cellStyle name="Normal 72 3 2 2 4 4 4" xfId="42824"/>
    <cellStyle name="Normal 72 3 2 2 4 4 5" xfId="42825"/>
    <cellStyle name="Normal 72 3 2 2 4 4 6" xfId="42826"/>
    <cellStyle name="Normal 72 3 2 2 5" xfId="42827"/>
    <cellStyle name="Normal 72 3 2 2 5 2" xfId="42828"/>
    <cellStyle name="Normal 72 3 2 2 5 2 2" xfId="42829"/>
    <cellStyle name="Normal 72 3 2 2 5 2 3" xfId="42830"/>
    <cellStyle name="Normal 72 3 2 2 5 2 4" xfId="42831"/>
    <cellStyle name="Normal 72 3 2 2 5 2 5" xfId="42832"/>
    <cellStyle name="Normal 72 3 2 2 5 2 6" xfId="42833"/>
    <cellStyle name="Normal 72 3 2 2 5 3" xfId="42834"/>
    <cellStyle name="Normal 72 3 2 2 5 3 2" xfId="42835"/>
    <cellStyle name="Normal 72 3 2 2 5 3 3" xfId="42836"/>
    <cellStyle name="Normal 72 3 2 2 5 3 4" xfId="42837"/>
    <cellStyle name="Normal 72 3 2 2 5 3 5" xfId="42838"/>
    <cellStyle name="Normal 72 3 2 2 5 3 6" xfId="42839"/>
    <cellStyle name="Normal 72 3 2 2 5 4" xfId="42840"/>
    <cellStyle name="Normal 72 3 2 2 5 4 2" xfId="42841"/>
    <cellStyle name="Normal 72 3 2 2 5 4 3" xfId="42842"/>
    <cellStyle name="Normal 72 3 2 2 5 4 4" xfId="42843"/>
    <cellStyle name="Normal 72 3 2 2 5 4 5" xfId="42844"/>
    <cellStyle name="Normal 72 3 2 2 5 4 6" xfId="42845"/>
    <cellStyle name="Normal 72 3 2 2 6" xfId="42846"/>
    <cellStyle name="Normal 72 3 2 2 6 2" xfId="42847"/>
    <cellStyle name="Normal 72 3 2 2 6 2 2" xfId="42848"/>
    <cellStyle name="Normal 72 3 2 2 6 2 3" xfId="42849"/>
    <cellStyle name="Normal 72 3 2 2 6 2 4" xfId="42850"/>
    <cellStyle name="Normal 72 3 2 2 6 2 5" xfId="42851"/>
    <cellStyle name="Normal 72 3 2 2 6 2 6" xfId="42852"/>
    <cellStyle name="Normal 72 3 2 2 6 3" xfId="42853"/>
    <cellStyle name="Normal 72 3 2 2 6 3 2" xfId="42854"/>
    <cellStyle name="Normal 72 3 2 2 6 3 3" xfId="42855"/>
    <cellStyle name="Normal 72 3 2 2 6 3 4" xfId="42856"/>
    <cellStyle name="Normal 72 3 2 2 6 3 5" xfId="42857"/>
    <cellStyle name="Normal 72 3 2 2 6 3 6" xfId="42858"/>
    <cellStyle name="Normal 72 3 2 2 6 4" xfId="42859"/>
    <cellStyle name="Normal 72 3 2 2 6 4 2" xfId="42860"/>
    <cellStyle name="Normal 72 3 2 2 6 4 3" xfId="42861"/>
    <cellStyle name="Normal 72 3 2 2 6 4 4" xfId="42862"/>
    <cellStyle name="Normal 72 3 2 2 6 4 5" xfId="42863"/>
    <cellStyle name="Normal 72 3 2 2 6 4 6" xfId="42864"/>
    <cellStyle name="Normal 72 3 2 2 7" xfId="42865"/>
    <cellStyle name="Normal 72 3 2 2 7 2" xfId="42866"/>
    <cellStyle name="Normal 72 3 2 2 7 2 2" xfId="42867"/>
    <cellStyle name="Normal 72 3 2 2 7 2 3" xfId="42868"/>
    <cellStyle name="Normal 72 3 2 2 7 2 4" xfId="42869"/>
    <cellStyle name="Normal 72 3 2 2 7 2 5" xfId="42870"/>
    <cellStyle name="Normal 72 3 2 2 7 2 6" xfId="42871"/>
    <cellStyle name="Normal 72 3 2 2 7 3" xfId="42872"/>
    <cellStyle name="Normal 72 3 2 2 7 3 2" xfId="42873"/>
    <cellStyle name="Normal 72 3 2 2 7 3 3" xfId="42874"/>
    <cellStyle name="Normal 72 3 2 2 7 3 4" xfId="42875"/>
    <cellStyle name="Normal 72 3 2 2 7 3 5" xfId="42876"/>
    <cellStyle name="Normal 72 3 2 2 7 3 6" xfId="42877"/>
    <cellStyle name="Normal 72 3 2 2 7 4" xfId="42878"/>
    <cellStyle name="Normal 72 3 2 2 7 4 2" xfId="42879"/>
    <cellStyle name="Normal 72 3 2 2 7 4 3" xfId="42880"/>
    <cellStyle name="Normal 72 3 2 2 7 4 4" xfId="42881"/>
    <cellStyle name="Normal 72 3 2 2 7 4 5" xfId="42882"/>
    <cellStyle name="Normal 72 3 2 2 7 4 6" xfId="42883"/>
    <cellStyle name="Normal 72 3 2 2 8" xfId="42884"/>
    <cellStyle name="Normal 72 3 2 2 8 2" xfId="42885"/>
    <cellStyle name="Normal 72 3 2 2 8 2 2" xfId="42886"/>
    <cellStyle name="Normal 72 3 2 2 8 2 3" xfId="42887"/>
    <cellStyle name="Normal 72 3 2 2 8 2 4" xfId="42888"/>
    <cellStyle name="Normal 72 3 2 2 8 2 5" xfId="42889"/>
    <cellStyle name="Normal 72 3 2 2 8 2 6" xfId="42890"/>
    <cellStyle name="Normal 72 3 2 2 8 3" xfId="42891"/>
    <cellStyle name="Normal 72 3 2 2 8 3 2" xfId="42892"/>
    <cellStyle name="Normal 72 3 2 2 8 3 3" xfId="42893"/>
    <cellStyle name="Normal 72 3 2 2 8 3 4" xfId="42894"/>
    <cellStyle name="Normal 72 3 2 2 8 3 5" xfId="42895"/>
    <cellStyle name="Normal 72 3 2 2 8 3 6" xfId="42896"/>
    <cellStyle name="Normal 72 3 2 2 8 4" xfId="42897"/>
    <cellStyle name="Normal 72 3 2 2 8 4 2" xfId="42898"/>
    <cellStyle name="Normal 72 3 2 2 8 4 3" xfId="42899"/>
    <cellStyle name="Normal 72 3 2 2 8 4 4" xfId="42900"/>
    <cellStyle name="Normal 72 3 2 2 8 4 5" xfId="42901"/>
    <cellStyle name="Normal 72 3 2 2 8 4 6" xfId="42902"/>
    <cellStyle name="Normal 72 3 2 2 9" xfId="42903"/>
    <cellStyle name="Normal 72 3 2 2 9 2" xfId="42904"/>
    <cellStyle name="Normal 72 3 2 2 9 2 2" xfId="42905"/>
    <cellStyle name="Normal 72 3 2 2 9 2 3" xfId="42906"/>
    <cellStyle name="Normal 72 3 2 2 9 2 4" xfId="42907"/>
    <cellStyle name="Normal 72 3 2 2 9 2 5" xfId="42908"/>
    <cellStyle name="Normal 72 3 2 2 9 2 6" xfId="42909"/>
    <cellStyle name="Normal 72 3 2 2 9 3" xfId="42910"/>
    <cellStyle name="Normal 72 3 2 2 9 3 2" xfId="42911"/>
    <cellStyle name="Normal 72 3 2 2 9 3 3" xfId="42912"/>
    <cellStyle name="Normal 72 3 2 2 9 3 4" xfId="42913"/>
    <cellStyle name="Normal 72 3 2 2 9 3 5" xfId="42914"/>
    <cellStyle name="Normal 72 3 2 2 9 3 6" xfId="42915"/>
    <cellStyle name="Normal 72 3 2 2 9 4" xfId="42916"/>
    <cellStyle name="Normal 72 3 2 2 9 4 2" xfId="42917"/>
    <cellStyle name="Normal 72 3 2 2 9 4 3" xfId="42918"/>
    <cellStyle name="Normal 72 3 2 2 9 4 4" xfId="42919"/>
    <cellStyle name="Normal 72 3 2 2 9 4 5" xfId="42920"/>
    <cellStyle name="Normal 72 3 2 2 9 4 6" xfId="42921"/>
    <cellStyle name="Normal 72 3 2 20" xfId="42922"/>
    <cellStyle name="Normal 72 3 2 20 2" xfId="42923"/>
    <cellStyle name="Normal 72 3 2 20 3" xfId="42924"/>
    <cellStyle name="Normal 72 3 2 20 4" xfId="42925"/>
    <cellStyle name="Normal 72 3 2 20 5" xfId="42926"/>
    <cellStyle name="Normal 72 3 2 20 6" xfId="42927"/>
    <cellStyle name="Normal 72 3 2 21" xfId="42928"/>
    <cellStyle name="Normal 72 3 2 21 2" xfId="42929"/>
    <cellStyle name="Normal 72 3 2 21 3" xfId="42930"/>
    <cellStyle name="Normal 72 3 2 21 4" xfId="42931"/>
    <cellStyle name="Normal 72 3 2 21 5" xfId="42932"/>
    <cellStyle name="Normal 72 3 2 21 6" xfId="42933"/>
    <cellStyle name="Normal 72 3 2 22" xfId="42934"/>
    <cellStyle name="Normal 72 3 2 22 2" xfId="42935"/>
    <cellStyle name="Normal 72 3 2 22 3" xfId="42936"/>
    <cellStyle name="Normal 72 3 2 22 4" xfId="42937"/>
    <cellStyle name="Normal 72 3 2 22 5" xfId="42938"/>
    <cellStyle name="Normal 72 3 2 22 6" xfId="42939"/>
    <cellStyle name="Normal 72 3 2 3" xfId="42940"/>
    <cellStyle name="Normal 72 3 2 3 2" xfId="42941"/>
    <cellStyle name="Normal 72 3 2 3 2 2" xfId="42942"/>
    <cellStyle name="Normal 72 3 2 3 2 3" xfId="42943"/>
    <cellStyle name="Normal 72 3 2 3 2 4" xfId="42944"/>
    <cellStyle name="Normal 72 3 2 3 2 5" xfId="42945"/>
    <cellStyle name="Normal 72 3 2 3 2 6" xfId="42946"/>
    <cellStyle name="Normal 72 3 2 3 3" xfId="42947"/>
    <cellStyle name="Normal 72 3 2 3 3 2" xfId="42948"/>
    <cellStyle name="Normal 72 3 2 3 3 3" xfId="42949"/>
    <cellStyle name="Normal 72 3 2 3 3 4" xfId="42950"/>
    <cellStyle name="Normal 72 3 2 3 3 5" xfId="42951"/>
    <cellStyle name="Normal 72 3 2 3 3 6" xfId="42952"/>
    <cellStyle name="Normal 72 3 2 3 4" xfId="42953"/>
    <cellStyle name="Normal 72 3 2 3 4 2" xfId="42954"/>
    <cellStyle name="Normal 72 3 2 3 4 3" xfId="42955"/>
    <cellStyle name="Normal 72 3 2 3 4 4" xfId="42956"/>
    <cellStyle name="Normal 72 3 2 3 4 5" xfId="42957"/>
    <cellStyle name="Normal 72 3 2 3 4 6" xfId="42958"/>
    <cellStyle name="Normal 72 3 2 4" xfId="42959"/>
    <cellStyle name="Normal 72 3 2 4 2" xfId="42960"/>
    <cellStyle name="Normal 72 3 2 4 2 2" xfId="42961"/>
    <cellStyle name="Normal 72 3 2 4 2 3" xfId="42962"/>
    <cellStyle name="Normal 72 3 2 4 2 4" xfId="42963"/>
    <cellStyle name="Normal 72 3 2 4 2 5" xfId="42964"/>
    <cellStyle name="Normal 72 3 2 4 2 6" xfId="42965"/>
    <cellStyle name="Normal 72 3 2 4 3" xfId="42966"/>
    <cellStyle name="Normal 72 3 2 4 3 2" xfId="42967"/>
    <cellStyle name="Normal 72 3 2 4 3 3" xfId="42968"/>
    <cellStyle name="Normal 72 3 2 4 3 4" xfId="42969"/>
    <cellStyle name="Normal 72 3 2 4 3 5" xfId="42970"/>
    <cellStyle name="Normal 72 3 2 4 3 6" xfId="42971"/>
    <cellStyle name="Normal 72 3 2 4 4" xfId="42972"/>
    <cellStyle name="Normal 72 3 2 4 4 2" xfId="42973"/>
    <cellStyle name="Normal 72 3 2 4 4 3" xfId="42974"/>
    <cellStyle name="Normal 72 3 2 4 4 4" xfId="42975"/>
    <cellStyle name="Normal 72 3 2 4 4 5" xfId="42976"/>
    <cellStyle name="Normal 72 3 2 4 4 6" xfId="42977"/>
    <cellStyle name="Normal 72 3 2 5" xfId="42978"/>
    <cellStyle name="Normal 72 3 2 5 2" xfId="42979"/>
    <cellStyle name="Normal 72 3 2 5 2 2" xfId="42980"/>
    <cellStyle name="Normal 72 3 2 5 2 3" xfId="42981"/>
    <cellStyle name="Normal 72 3 2 5 2 4" xfId="42982"/>
    <cellStyle name="Normal 72 3 2 5 2 5" xfId="42983"/>
    <cellStyle name="Normal 72 3 2 5 2 6" xfId="42984"/>
    <cellStyle name="Normal 72 3 2 5 3" xfId="42985"/>
    <cellStyle name="Normal 72 3 2 5 3 2" xfId="42986"/>
    <cellStyle name="Normal 72 3 2 5 3 3" xfId="42987"/>
    <cellStyle name="Normal 72 3 2 5 3 4" xfId="42988"/>
    <cellStyle name="Normal 72 3 2 5 3 5" xfId="42989"/>
    <cellStyle name="Normal 72 3 2 5 3 6" xfId="42990"/>
    <cellStyle name="Normal 72 3 2 5 4" xfId="42991"/>
    <cellStyle name="Normal 72 3 2 5 4 2" xfId="42992"/>
    <cellStyle name="Normal 72 3 2 5 4 3" xfId="42993"/>
    <cellStyle name="Normal 72 3 2 5 4 4" xfId="42994"/>
    <cellStyle name="Normal 72 3 2 5 4 5" xfId="42995"/>
    <cellStyle name="Normal 72 3 2 5 4 6" xfId="42996"/>
    <cellStyle name="Normal 72 3 2 6" xfId="42997"/>
    <cellStyle name="Normal 72 3 2 6 2" xfId="42998"/>
    <cellStyle name="Normal 72 3 2 6 2 2" xfId="42999"/>
    <cellStyle name="Normal 72 3 2 6 2 3" xfId="43000"/>
    <cellStyle name="Normal 72 3 2 6 2 4" xfId="43001"/>
    <cellStyle name="Normal 72 3 2 6 2 5" xfId="43002"/>
    <cellStyle name="Normal 72 3 2 6 2 6" xfId="43003"/>
    <cellStyle name="Normal 72 3 2 6 3" xfId="43004"/>
    <cellStyle name="Normal 72 3 2 6 3 2" xfId="43005"/>
    <cellStyle name="Normal 72 3 2 6 3 3" xfId="43006"/>
    <cellStyle name="Normal 72 3 2 6 3 4" xfId="43007"/>
    <cellStyle name="Normal 72 3 2 6 3 5" xfId="43008"/>
    <cellStyle name="Normal 72 3 2 6 3 6" xfId="43009"/>
    <cellStyle name="Normal 72 3 2 6 4" xfId="43010"/>
    <cellStyle name="Normal 72 3 2 6 4 2" xfId="43011"/>
    <cellStyle name="Normal 72 3 2 6 4 3" xfId="43012"/>
    <cellStyle name="Normal 72 3 2 6 4 4" xfId="43013"/>
    <cellStyle name="Normal 72 3 2 6 4 5" xfId="43014"/>
    <cellStyle name="Normal 72 3 2 6 4 6" xfId="43015"/>
    <cellStyle name="Normal 72 3 2 7" xfId="43016"/>
    <cellStyle name="Normal 72 3 2 7 2" xfId="43017"/>
    <cellStyle name="Normal 72 3 2 7 2 2" xfId="43018"/>
    <cellStyle name="Normal 72 3 2 7 2 3" xfId="43019"/>
    <cellStyle name="Normal 72 3 2 7 2 4" xfId="43020"/>
    <cellStyle name="Normal 72 3 2 7 2 5" xfId="43021"/>
    <cellStyle name="Normal 72 3 2 7 2 6" xfId="43022"/>
    <cellStyle name="Normal 72 3 2 7 3" xfId="43023"/>
    <cellStyle name="Normal 72 3 2 7 3 2" xfId="43024"/>
    <cellStyle name="Normal 72 3 2 7 3 3" xfId="43025"/>
    <cellStyle name="Normal 72 3 2 7 3 4" xfId="43026"/>
    <cellStyle name="Normal 72 3 2 7 3 5" xfId="43027"/>
    <cellStyle name="Normal 72 3 2 7 3 6" xfId="43028"/>
    <cellStyle name="Normal 72 3 2 7 4" xfId="43029"/>
    <cellStyle name="Normal 72 3 2 7 4 2" xfId="43030"/>
    <cellStyle name="Normal 72 3 2 7 4 3" xfId="43031"/>
    <cellStyle name="Normal 72 3 2 7 4 4" xfId="43032"/>
    <cellStyle name="Normal 72 3 2 7 4 5" xfId="43033"/>
    <cellStyle name="Normal 72 3 2 7 4 6" xfId="43034"/>
    <cellStyle name="Normal 72 3 2 8" xfId="43035"/>
    <cellStyle name="Normal 72 3 2 8 2" xfId="43036"/>
    <cellStyle name="Normal 72 3 2 8 2 2" xfId="43037"/>
    <cellStyle name="Normal 72 3 2 8 2 3" xfId="43038"/>
    <cellStyle name="Normal 72 3 2 8 2 4" xfId="43039"/>
    <cellStyle name="Normal 72 3 2 8 2 5" xfId="43040"/>
    <cellStyle name="Normal 72 3 2 8 2 6" xfId="43041"/>
    <cellStyle name="Normal 72 3 2 8 3" xfId="43042"/>
    <cellStyle name="Normal 72 3 2 8 3 2" xfId="43043"/>
    <cellStyle name="Normal 72 3 2 8 3 3" xfId="43044"/>
    <cellStyle name="Normal 72 3 2 8 3 4" xfId="43045"/>
    <cellStyle name="Normal 72 3 2 8 3 5" xfId="43046"/>
    <cellStyle name="Normal 72 3 2 8 3 6" xfId="43047"/>
    <cellStyle name="Normal 72 3 2 8 4" xfId="43048"/>
    <cellStyle name="Normal 72 3 2 8 4 2" xfId="43049"/>
    <cellStyle name="Normal 72 3 2 8 4 3" xfId="43050"/>
    <cellStyle name="Normal 72 3 2 8 4 4" xfId="43051"/>
    <cellStyle name="Normal 72 3 2 8 4 5" xfId="43052"/>
    <cellStyle name="Normal 72 3 2 8 4 6" xfId="43053"/>
    <cellStyle name="Normal 72 3 2 9" xfId="43054"/>
    <cellStyle name="Normal 72 3 2 9 2" xfId="43055"/>
    <cellStyle name="Normal 72 3 2 9 2 2" xfId="43056"/>
    <cellStyle name="Normal 72 3 2 9 2 3" xfId="43057"/>
    <cellStyle name="Normal 72 3 2 9 2 4" xfId="43058"/>
    <cellStyle name="Normal 72 3 2 9 2 5" xfId="43059"/>
    <cellStyle name="Normal 72 3 2 9 2 6" xfId="43060"/>
    <cellStyle name="Normal 72 3 2 9 3" xfId="43061"/>
    <cellStyle name="Normal 72 3 2 9 3 2" xfId="43062"/>
    <cellStyle name="Normal 72 3 2 9 3 3" xfId="43063"/>
    <cellStyle name="Normal 72 3 2 9 3 4" xfId="43064"/>
    <cellStyle name="Normal 72 3 2 9 3 5" xfId="43065"/>
    <cellStyle name="Normal 72 3 2 9 3 6" xfId="43066"/>
    <cellStyle name="Normal 72 3 2 9 4" xfId="43067"/>
    <cellStyle name="Normal 72 3 2 9 4 2" xfId="43068"/>
    <cellStyle name="Normal 72 3 2 9 4 3" xfId="43069"/>
    <cellStyle name="Normal 72 3 2 9 4 4" xfId="43070"/>
    <cellStyle name="Normal 72 3 2 9 4 5" xfId="43071"/>
    <cellStyle name="Normal 72 3 2 9 4 6" xfId="43072"/>
    <cellStyle name="Normal 72 3 20" xfId="43073"/>
    <cellStyle name="Normal 72 3 20 2" xfId="43074"/>
    <cellStyle name="Normal 72 3 20 3" xfId="43075"/>
    <cellStyle name="Normal 72 3 20 4" xfId="43076"/>
    <cellStyle name="Normal 72 3 20 5" xfId="43077"/>
    <cellStyle name="Normal 72 3 20 6" xfId="43078"/>
    <cellStyle name="Normal 72 3 21" xfId="43079"/>
    <cellStyle name="Normal 72 3 21 2" xfId="43080"/>
    <cellStyle name="Normal 72 3 21 3" xfId="43081"/>
    <cellStyle name="Normal 72 3 21 4" xfId="43082"/>
    <cellStyle name="Normal 72 3 21 5" xfId="43083"/>
    <cellStyle name="Normal 72 3 21 6" xfId="43084"/>
    <cellStyle name="Normal 72 3 22" xfId="43085"/>
    <cellStyle name="Normal 72 3 22 2" xfId="43086"/>
    <cellStyle name="Normal 72 3 22 3" xfId="43087"/>
    <cellStyle name="Normal 72 3 22 4" xfId="43088"/>
    <cellStyle name="Normal 72 3 22 5" xfId="43089"/>
    <cellStyle name="Normal 72 3 22 6" xfId="43090"/>
    <cellStyle name="Normal 72 3 3" xfId="43091"/>
    <cellStyle name="Normal 72 3 3 10" xfId="43092"/>
    <cellStyle name="Normal 72 3 3 10 2" xfId="43093"/>
    <cellStyle name="Normal 72 3 3 10 2 2" xfId="43094"/>
    <cellStyle name="Normal 72 3 3 10 2 3" xfId="43095"/>
    <cellStyle name="Normal 72 3 3 10 2 4" xfId="43096"/>
    <cellStyle name="Normal 72 3 3 10 2 5" xfId="43097"/>
    <cellStyle name="Normal 72 3 3 10 2 6" xfId="43098"/>
    <cellStyle name="Normal 72 3 3 10 3" xfId="43099"/>
    <cellStyle name="Normal 72 3 3 10 3 2" xfId="43100"/>
    <cellStyle name="Normal 72 3 3 10 3 3" xfId="43101"/>
    <cellStyle name="Normal 72 3 3 10 3 4" xfId="43102"/>
    <cellStyle name="Normal 72 3 3 10 3 5" xfId="43103"/>
    <cellStyle name="Normal 72 3 3 10 3 6" xfId="43104"/>
    <cellStyle name="Normal 72 3 3 10 4" xfId="43105"/>
    <cellStyle name="Normal 72 3 3 10 4 2" xfId="43106"/>
    <cellStyle name="Normal 72 3 3 10 4 3" xfId="43107"/>
    <cellStyle name="Normal 72 3 3 10 4 4" xfId="43108"/>
    <cellStyle name="Normal 72 3 3 10 4 5" xfId="43109"/>
    <cellStyle name="Normal 72 3 3 10 4 6" xfId="43110"/>
    <cellStyle name="Normal 72 3 3 11" xfId="43111"/>
    <cellStyle name="Normal 72 3 3 11 2" xfId="43112"/>
    <cellStyle name="Normal 72 3 3 11 2 2" xfId="43113"/>
    <cellStyle name="Normal 72 3 3 11 2 3" xfId="43114"/>
    <cellStyle name="Normal 72 3 3 11 2 4" xfId="43115"/>
    <cellStyle name="Normal 72 3 3 11 2 5" xfId="43116"/>
    <cellStyle name="Normal 72 3 3 11 2 6" xfId="43117"/>
    <cellStyle name="Normal 72 3 3 11 3" xfId="43118"/>
    <cellStyle name="Normal 72 3 3 11 3 2" xfId="43119"/>
    <cellStyle name="Normal 72 3 3 11 3 3" xfId="43120"/>
    <cellStyle name="Normal 72 3 3 11 3 4" xfId="43121"/>
    <cellStyle name="Normal 72 3 3 11 3 5" xfId="43122"/>
    <cellStyle name="Normal 72 3 3 11 3 6" xfId="43123"/>
    <cellStyle name="Normal 72 3 3 11 4" xfId="43124"/>
    <cellStyle name="Normal 72 3 3 11 4 2" xfId="43125"/>
    <cellStyle name="Normal 72 3 3 11 4 3" xfId="43126"/>
    <cellStyle name="Normal 72 3 3 11 4 4" xfId="43127"/>
    <cellStyle name="Normal 72 3 3 11 4 5" xfId="43128"/>
    <cellStyle name="Normal 72 3 3 11 4 6" xfId="43129"/>
    <cellStyle name="Normal 72 3 3 12" xfId="43130"/>
    <cellStyle name="Normal 72 3 3 12 2" xfId="43131"/>
    <cellStyle name="Normal 72 3 3 12 2 2" xfId="43132"/>
    <cellStyle name="Normal 72 3 3 12 2 3" xfId="43133"/>
    <cellStyle name="Normal 72 3 3 12 2 4" xfId="43134"/>
    <cellStyle name="Normal 72 3 3 12 2 5" xfId="43135"/>
    <cellStyle name="Normal 72 3 3 12 2 6" xfId="43136"/>
    <cellStyle name="Normal 72 3 3 12 3" xfId="43137"/>
    <cellStyle name="Normal 72 3 3 12 3 2" xfId="43138"/>
    <cellStyle name="Normal 72 3 3 12 3 3" xfId="43139"/>
    <cellStyle name="Normal 72 3 3 12 3 4" xfId="43140"/>
    <cellStyle name="Normal 72 3 3 12 3 5" xfId="43141"/>
    <cellStyle name="Normal 72 3 3 12 3 6" xfId="43142"/>
    <cellStyle name="Normal 72 3 3 12 4" xfId="43143"/>
    <cellStyle name="Normal 72 3 3 12 4 2" xfId="43144"/>
    <cellStyle name="Normal 72 3 3 12 4 3" xfId="43145"/>
    <cellStyle name="Normal 72 3 3 12 4 4" xfId="43146"/>
    <cellStyle name="Normal 72 3 3 12 4 5" xfId="43147"/>
    <cellStyle name="Normal 72 3 3 12 4 6" xfId="43148"/>
    <cellStyle name="Normal 72 3 3 13" xfId="43149"/>
    <cellStyle name="Normal 72 3 3 13 2" xfId="43150"/>
    <cellStyle name="Normal 72 3 3 13 2 2" xfId="43151"/>
    <cellStyle name="Normal 72 3 3 13 2 3" xfId="43152"/>
    <cellStyle name="Normal 72 3 3 13 2 4" xfId="43153"/>
    <cellStyle name="Normal 72 3 3 13 2 5" xfId="43154"/>
    <cellStyle name="Normal 72 3 3 13 2 6" xfId="43155"/>
    <cellStyle name="Normal 72 3 3 13 3" xfId="43156"/>
    <cellStyle name="Normal 72 3 3 13 3 2" xfId="43157"/>
    <cellStyle name="Normal 72 3 3 13 3 3" xfId="43158"/>
    <cellStyle name="Normal 72 3 3 13 3 4" xfId="43159"/>
    <cellStyle name="Normal 72 3 3 13 3 5" xfId="43160"/>
    <cellStyle name="Normal 72 3 3 13 3 6" xfId="43161"/>
    <cellStyle name="Normal 72 3 3 13 4" xfId="43162"/>
    <cellStyle name="Normal 72 3 3 13 4 2" xfId="43163"/>
    <cellStyle name="Normal 72 3 3 13 4 3" xfId="43164"/>
    <cellStyle name="Normal 72 3 3 13 4 4" xfId="43165"/>
    <cellStyle name="Normal 72 3 3 13 4 5" xfId="43166"/>
    <cellStyle name="Normal 72 3 3 13 4 6" xfId="43167"/>
    <cellStyle name="Normal 72 3 3 14" xfId="43168"/>
    <cellStyle name="Normal 72 3 3 14 2" xfId="43169"/>
    <cellStyle name="Normal 72 3 3 14 2 2" xfId="43170"/>
    <cellStyle name="Normal 72 3 3 14 2 3" xfId="43171"/>
    <cellStyle name="Normal 72 3 3 14 2 4" xfId="43172"/>
    <cellStyle name="Normal 72 3 3 14 2 5" xfId="43173"/>
    <cellStyle name="Normal 72 3 3 14 2 6" xfId="43174"/>
    <cellStyle name="Normal 72 3 3 14 3" xfId="43175"/>
    <cellStyle name="Normal 72 3 3 14 3 2" xfId="43176"/>
    <cellStyle name="Normal 72 3 3 14 3 3" xfId="43177"/>
    <cellStyle name="Normal 72 3 3 14 3 4" xfId="43178"/>
    <cellStyle name="Normal 72 3 3 14 3 5" xfId="43179"/>
    <cellStyle name="Normal 72 3 3 14 3 6" xfId="43180"/>
    <cellStyle name="Normal 72 3 3 14 4" xfId="43181"/>
    <cellStyle name="Normal 72 3 3 14 4 2" xfId="43182"/>
    <cellStyle name="Normal 72 3 3 14 4 3" xfId="43183"/>
    <cellStyle name="Normal 72 3 3 14 4 4" xfId="43184"/>
    <cellStyle name="Normal 72 3 3 14 4 5" xfId="43185"/>
    <cellStyle name="Normal 72 3 3 14 4 6" xfId="43186"/>
    <cellStyle name="Normal 72 3 3 15" xfId="43187"/>
    <cellStyle name="Normal 72 3 3 15 2" xfId="43188"/>
    <cellStyle name="Normal 72 3 3 15 2 2" xfId="43189"/>
    <cellStyle name="Normal 72 3 3 15 2 3" xfId="43190"/>
    <cellStyle name="Normal 72 3 3 15 2 4" xfId="43191"/>
    <cellStyle name="Normal 72 3 3 15 2 5" xfId="43192"/>
    <cellStyle name="Normal 72 3 3 15 2 6" xfId="43193"/>
    <cellStyle name="Normal 72 3 3 15 3" xfId="43194"/>
    <cellStyle name="Normal 72 3 3 15 3 2" xfId="43195"/>
    <cellStyle name="Normal 72 3 3 15 3 3" xfId="43196"/>
    <cellStyle name="Normal 72 3 3 15 3 4" xfId="43197"/>
    <cellStyle name="Normal 72 3 3 15 3 5" xfId="43198"/>
    <cellStyle name="Normal 72 3 3 15 3 6" xfId="43199"/>
    <cellStyle name="Normal 72 3 3 15 4" xfId="43200"/>
    <cellStyle name="Normal 72 3 3 15 4 2" xfId="43201"/>
    <cellStyle name="Normal 72 3 3 15 4 3" xfId="43202"/>
    <cellStyle name="Normal 72 3 3 15 4 4" xfId="43203"/>
    <cellStyle name="Normal 72 3 3 15 4 5" xfId="43204"/>
    <cellStyle name="Normal 72 3 3 15 4 6" xfId="43205"/>
    <cellStyle name="Normal 72 3 3 16" xfId="43206"/>
    <cellStyle name="Normal 72 3 3 16 2" xfId="43207"/>
    <cellStyle name="Normal 72 3 3 16 2 2" xfId="43208"/>
    <cellStyle name="Normal 72 3 3 16 2 3" xfId="43209"/>
    <cellStyle name="Normal 72 3 3 16 2 4" xfId="43210"/>
    <cellStyle name="Normal 72 3 3 16 2 5" xfId="43211"/>
    <cellStyle name="Normal 72 3 3 16 2 6" xfId="43212"/>
    <cellStyle name="Normal 72 3 3 16 3" xfId="43213"/>
    <cellStyle name="Normal 72 3 3 16 3 2" xfId="43214"/>
    <cellStyle name="Normal 72 3 3 16 3 3" xfId="43215"/>
    <cellStyle name="Normal 72 3 3 16 3 4" xfId="43216"/>
    <cellStyle name="Normal 72 3 3 16 3 5" xfId="43217"/>
    <cellStyle name="Normal 72 3 3 16 3 6" xfId="43218"/>
    <cellStyle name="Normal 72 3 3 16 4" xfId="43219"/>
    <cellStyle name="Normal 72 3 3 16 4 2" xfId="43220"/>
    <cellStyle name="Normal 72 3 3 16 4 3" xfId="43221"/>
    <cellStyle name="Normal 72 3 3 16 4 4" xfId="43222"/>
    <cellStyle name="Normal 72 3 3 16 4 5" xfId="43223"/>
    <cellStyle name="Normal 72 3 3 16 4 6" xfId="43224"/>
    <cellStyle name="Normal 72 3 3 17" xfId="43225"/>
    <cellStyle name="Normal 72 3 3 17 2" xfId="43226"/>
    <cellStyle name="Normal 72 3 3 17 3" xfId="43227"/>
    <cellStyle name="Normal 72 3 3 17 4" xfId="43228"/>
    <cellStyle name="Normal 72 3 3 17 5" xfId="43229"/>
    <cellStyle name="Normal 72 3 3 17 6" xfId="43230"/>
    <cellStyle name="Normal 72 3 3 18" xfId="43231"/>
    <cellStyle name="Normal 72 3 3 18 2" xfId="43232"/>
    <cellStyle name="Normal 72 3 3 18 3" xfId="43233"/>
    <cellStyle name="Normal 72 3 3 18 4" xfId="43234"/>
    <cellStyle name="Normal 72 3 3 18 5" xfId="43235"/>
    <cellStyle name="Normal 72 3 3 18 6" xfId="43236"/>
    <cellStyle name="Normal 72 3 3 19" xfId="43237"/>
    <cellStyle name="Normal 72 3 3 19 2" xfId="43238"/>
    <cellStyle name="Normal 72 3 3 19 3" xfId="43239"/>
    <cellStyle name="Normal 72 3 3 19 4" xfId="43240"/>
    <cellStyle name="Normal 72 3 3 19 5" xfId="43241"/>
    <cellStyle name="Normal 72 3 3 19 6" xfId="43242"/>
    <cellStyle name="Normal 72 3 3 2" xfId="43243"/>
    <cellStyle name="Normal 72 3 3 2 2" xfId="43244"/>
    <cellStyle name="Normal 72 3 3 2 2 2" xfId="43245"/>
    <cellStyle name="Normal 72 3 3 2 2 3" xfId="43246"/>
    <cellStyle name="Normal 72 3 3 2 2 4" xfId="43247"/>
    <cellStyle name="Normal 72 3 3 2 2 5" xfId="43248"/>
    <cellStyle name="Normal 72 3 3 2 2 6" xfId="43249"/>
    <cellStyle name="Normal 72 3 3 2 3" xfId="43250"/>
    <cellStyle name="Normal 72 3 3 2 3 2" xfId="43251"/>
    <cellStyle name="Normal 72 3 3 2 3 3" xfId="43252"/>
    <cellStyle name="Normal 72 3 3 2 3 4" xfId="43253"/>
    <cellStyle name="Normal 72 3 3 2 3 5" xfId="43254"/>
    <cellStyle name="Normal 72 3 3 2 3 6" xfId="43255"/>
    <cellStyle name="Normal 72 3 3 2 4" xfId="43256"/>
    <cellStyle name="Normal 72 3 3 2 4 2" xfId="43257"/>
    <cellStyle name="Normal 72 3 3 2 4 3" xfId="43258"/>
    <cellStyle name="Normal 72 3 3 2 4 4" xfId="43259"/>
    <cellStyle name="Normal 72 3 3 2 4 5" xfId="43260"/>
    <cellStyle name="Normal 72 3 3 2 4 6" xfId="43261"/>
    <cellStyle name="Normal 72 3 3 3" xfId="43262"/>
    <cellStyle name="Normal 72 3 3 3 2" xfId="43263"/>
    <cellStyle name="Normal 72 3 3 3 2 2" xfId="43264"/>
    <cellStyle name="Normal 72 3 3 3 2 3" xfId="43265"/>
    <cellStyle name="Normal 72 3 3 3 2 4" xfId="43266"/>
    <cellStyle name="Normal 72 3 3 3 2 5" xfId="43267"/>
    <cellStyle name="Normal 72 3 3 3 2 6" xfId="43268"/>
    <cellStyle name="Normal 72 3 3 3 3" xfId="43269"/>
    <cellStyle name="Normal 72 3 3 3 3 2" xfId="43270"/>
    <cellStyle name="Normal 72 3 3 3 3 3" xfId="43271"/>
    <cellStyle name="Normal 72 3 3 3 3 4" xfId="43272"/>
    <cellStyle name="Normal 72 3 3 3 3 5" xfId="43273"/>
    <cellStyle name="Normal 72 3 3 3 3 6" xfId="43274"/>
    <cellStyle name="Normal 72 3 3 3 4" xfId="43275"/>
    <cellStyle name="Normal 72 3 3 3 4 2" xfId="43276"/>
    <cellStyle name="Normal 72 3 3 3 4 3" xfId="43277"/>
    <cellStyle name="Normal 72 3 3 3 4 4" xfId="43278"/>
    <cellStyle name="Normal 72 3 3 3 4 5" xfId="43279"/>
    <cellStyle name="Normal 72 3 3 3 4 6" xfId="43280"/>
    <cellStyle name="Normal 72 3 3 4" xfId="43281"/>
    <cellStyle name="Normal 72 3 3 4 2" xfId="43282"/>
    <cellStyle name="Normal 72 3 3 4 2 2" xfId="43283"/>
    <cellStyle name="Normal 72 3 3 4 2 3" xfId="43284"/>
    <cellStyle name="Normal 72 3 3 4 2 4" xfId="43285"/>
    <cellStyle name="Normal 72 3 3 4 2 5" xfId="43286"/>
    <cellStyle name="Normal 72 3 3 4 2 6" xfId="43287"/>
    <cellStyle name="Normal 72 3 3 4 3" xfId="43288"/>
    <cellStyle name="Normal 72 3 3 4 3 2" xfId="43289"/>
    <cellStyle name="Normal 72 3 3 4 3 3" xfId="43290"/>
    <cellStyle name="Normal 72 3 3 4 3 4" xfId="43291"/>
    <cellStyle name="Normal 72 3 3 4 3 5" xfId="43292"/>
    <cellStyle name="Normal 72 3 3 4 3 6" xfId="43293"/>
    <cellStyle name="Normal 72 3 3 4 4" xfId="43294"/>
    <cellStyle name="Normal 72 3 3 4 4 2" xfId="43295"/>
    <cellStyle name="Normal 72 3 3 4 4 3" xfId="43296"/>
    <cellStyle name="Normal 72 3 3 4 4 4" xfId="43297"/>
    <cellStyle name="Normal 72 3 3 4 4 5" xfId="43298"/>
    <cellStyle name="Normal 72 3 3 4 4 6" xfId="43299"/>
    <cellStyle name="Normal 72 3 3 5" xfId="43300"/>
    <cellStyle name="Normal 72 3 3 5 2" xfId="43301"/>
    <cellStyle name="Normal 72 3 3 5 2 2" xfId="43302"/>
    <cellStyle name="Normal 72 3 3 5 2 3" xfId="43303"/>
    <cellStyle name="Normal 72 3 3 5 2 4" xfId="43304"/>
    <cellStyle name="Normal 72 3 3 5 2 5" xfId="43305"/>
    <cellStyle name="Normal 72 3 3 5 2 6" xfId="43306"/>
    <cellStyle name="Normal 72 3 3 5 3" xfId="43307"/>
    <cellStyle name="Normal 72 3 3 5 3 2" xfId="43308"/>
    <cellStyle name="Normal 72 3 3 5 3 3" xfId="43309"/>
    <cellStyle name="Normal 72 3 3 5 3 4" xfId="43310"/>
    <cellStyle name="Normal 72 3 3 5 3 5" xfId="43311"/>
    <cellStyle name="Normal 72 3 3 5 3 6" xfId="43312"/>
    <cellStyle name="Normal 72 3 3 5 4" xfId="43313"/>
    <cellStyle name="Normal 72 3 3 5 4 2" xfId="43314"/>
    <cellStyle name="Normal 72 3 3 5 4 3" xfId="43315"/>
    <cellStyle name="Normal 72 3 3 5 4 4" xfId="43316"/>
    <cellStyle name="Normal 72 3 3 5 4 5" xfId="43317"/>
    <cellStyle name="Normal 72 3 3 5 4 6" xfId="43318"/>
    <cellStyle name="Normal 72 3 3 6" xfId="43319"/>
    <cellStyle name="Normal 72 3 3 6 2" xfId="43320"/>
    <cellStyle name="Normal 72 3 3 6 2 2" xfId="43321"/>
    <cellStyle name="Normal 72 3 3 6 2 3" xfId="43322"/>
    <cellStyle name="Normal 72 3 3 6 2 4" xfId="43323"/>
    <cellStyle name="Normal 72 3 3 6 2 5" xfId="43324"/>
    <cellStyle name="Normal 72 3 3 6 2 6" xfId="43325"/>
    <cellStyle name="Normal 72 3 3 6 3" xfId="43326"/>
    <cellStyle name="Normal 72 3 3 6 3 2" xfId="43327"/>
    <cellStyle name="Normal 72 3 3 6 3 3" xfId="43328"/>
    <cellStyle name="Normal 72 3 3 6 3 4" xfId="43329"/>
    <cellStyle name="Normal 72 3 3 6 3 5" xfId="43330"/>
    <cellStyle name="Normal 72 3 3 6 3 6" xfId="43331"/>
    <cellStyle name="Normal 72 3 3 6 4" xfId="43332"/>
    <cellStyle name="Normal 72 3 3 6 4 2" xfId="43333"/>
    <cellStyle name="Normal 72 3 3 6 4 3" xfId="43334"/>
    <cellStyle name="Normal 72 3 3 6 4 4" xfId="43335"/>
    <cellStyle name="Normal 72 3 3 6 4 5" xfId="43336"/>
    <cellStyle name="Normal 72 3 3 6 4 6" xfId="43337"/>
    <cellStyle name="Normal 72 3 3 7" xfId="43338"/>
    <cellStyle name="Normal 72 3 3 7 2" xfId="43339"/>
    <cellStyle name="Normal 72 3 3 7 2 2" xfId="43340"/>
    <cellStyle name="Normal 72 3 3 7 2 3" xfId="43341"/>
    <cellStyle name="Normal 72 3 3 7 2 4" xfId="43342"/>
    <cellStyle name="Normal 72 3 3 7 2 5" xfId="43343"/>
    <cellStyle name="Normal 72 3 3 7 2 6" xfId="43344"/>
    <cellStyle name="Normal 72 3 3 7 3" xfId="43345"/>
    <cellStyle name="Normal 72 3 3 7 3 2" xfId="43346"/>
    <cellStyle name="Normal 72 3 3 7 3 3" xfId="43347"/>
    <cellStyle name="Normal 72 3 3 7 3 4" xfId="43348"/>
    <cellStyle name="Normal 72 3 3 7 3 5" xfId="43349"/>
    <cellStyle name="Normal 72 3 3 7 3 6" xfId="43350"/>
    <cellStyle name="Normal 72 3 3 7 4" xfId="43351"/>
    <cellStyle name="Normal 72 3 3 7 4 2" xfId="43352"/>
    <cellStyle name="Normal 72 3 3 7 4 3" xfId="43353"/>
    <cellStyle name="Normal 72 3 3 7 4 4" xfId="43354"/>
    <cellStyle name="Normal 72 3 3 7 4 5" xfId="43355"/>
    <cellStyle name="Normal 72 3 3 7 4 6" xfId="43356"/>
    <cellStyle name="Normal 72 3 3 8" xfId="43357"/>
    <cellStyle name="Normal 72 3 3 8 2" xfId="43358"/>
    <cellStyle name="Normal 72 3 3 8 2 2" xfId="43359"/>
    <cellStyle name="Normal 72 3 3 8 2 3" xfId="43360"/>
    <cellStyle name="Normal 72 3 3 8 2 4" xfId="43361"/>
    <cellStyle name="Normal 72 3 3 8 2 5" xfId="43362"/>
    <cellStyle name="Normal 72 3 3 8 2 6" xfId="43363"/>
    <cellStyle name="Normal 72 3 3 8 3" xfId="43364"/>
    <cellStyle name="Normal 72 3 3 8 3 2" xfId="43365"/>
    <cellStyle name="Normal 72 3 3 8 3 3" xfId="43366"/>
    <cellStyle name="Normal 72 3 3 8 3 4" xfId="43367"/>
    <cellStyle name="Normal 72 3 3 8 3 5" xfId="43368"/>
    <cellStyle name="Normal 72 3 3 8 3 6" xfId="43369"/>
    <cellStyle name="Normal 72 3 3 8 4" xfId="43370"/>
    <cellStyle name="Normal 72 3 3 8 4 2" xfId="43371"/>
    <cellStyle name="Normal 72 3 3 8 4 3" xfId="43372"/>
    <cellStyle name="Normal 72 3 3 8 4 4" xfId="43373"/>
    <cellStyle name="Normal 72 3 3 8 4 5" xfId="43374"/>
    <cellStyle name="Normal 72 3 3 8 4 6" xfId="43375"/>
    <cellStyle name="Normal 72 3 3 9" xfId="43376"/>
    <cellStyle name="Normal 72 3 3 9 2" xfId="43377"/>
    <cellStyle name="Normal 72 3 3 9 2 2" xfId="43378"/>
    <cellStyle name="Normal 72 3 3 9 2 3" xfId="43379"/>
    <cellStyle name="Normal 72 3 3 9 2 4" xfId="43380"/>
    <cellStyle name="Normal 72 3 3 9 2 5" xfId="43381"/>
    <cellStyle name="Normal 72 3 3 9 2 6" xfId="43382"/>
    <cellStyle name="Normal 72 3 3 9 3" xfId="43383"/>
    <cellStyle name="Normal 72 3 3 9 3 2" xfId="43384"/>
    <cellStyle name="Normal 72 3 3 9 3 3" xfId="43385"/>
    <cellStyle name="Normal 72 3 3 9 3 4" xfId="43386"/>
    <cellStyle name="Normal 72 3 3 9 3 5" xfId="43387"/>
    <cellStyle name="Normal 72 3 3 9 3 6" xfId="43388"/>
    <cellStyle name="Normal 72 3 3 9 4" xfId="43389"/>
    <cellStyle name="Normal 72 3 3 9 4 2" xfId="43390"/>
    <cellStyle name="Normal 72 3 3 9 4 3" xfId="43391"/>
    <cellStyle name="Normal 72 3 3 9 4 4" xfId="43392"/>
    <cellStyle name="Normal 72 3 3 9 4 5" xfId="43393"/>
    <cellStyle name="Normal 72 3 3 9 4 6" xfId="43394"/>
    <cellStyle name="Normal 72 3 4" xfId="43395"/>
    <cellStyle name="Normal 72 3 4 2" xfId="43396"/>
    <cellStyle name="Normal 72 3 4 2 2" xfId="43397"/>
    <cellStyle name="Normal 72 3 4 2 3" xfId="43398"/>
    <cellStyle name="Normal 72 3 4 2 4" xfId="43399"/>
    <cellStyle name="Normal 72 3 4 2 5" xfId="43400"/>
    <cellStyle name="Normal 72 3 4 2 6" xfId="43401"/>
    <cellStyle name="Normal 72 3 4 3" xfId="43402"/>
    <cellStyle name="Normal 72 3 4 3 2" xfId="43403"/>
    <cellStyle name="Normal 72 3 4 3 3" xfId="43404"/>
    <cellStyle name="Normal 72 3 4 3 4" xfId="43405"/>
    <cellStyle name="Normal 72 3 4 3 5" xfId="43406"/>
    <cellStyle name="Normal 72 3 4 3 6" xfId="43407"/>
    <cellStyle name="Normal 72 3 4 4" xfId="43408"/>
    <cellStyle name="Normal 72 3 4 4 2" xfId="43409"/>
    <cellStyle name="Normal 72 3 4 4 3" xfId="43410"/>
    <cellStyle name="Normal 72 3 4 4 4" xfId="43411"/>
    <cellStyle name="Normal 72 3 4 4 5" xfId="43412"/>
    <cellStyle name="Normal 72 3 4 4 6" xfId="43413"/>
    <cellStyle name="Normal 72 3 5" xfId="43414"/>
    <cellStyle name="Normal 72 3 5 2" xfId="43415"/>
    <cellStyle name="Normal 72 3 5 2 2" xfId="43416"/>
    <cellStyle name="Normal 72 3 5 2 3" xfId="43417"/>
    <cellStyle name="Normal 72 3 5 2 4" xfId="43418"/>
    <cellStyle name="Normal 72 3 5 2 5" xfId="43419"/>
    <cellStyle name="Normal 72 3 5 2 6" xfId="43420"/>
    <cellStyle name="Normal 72 3 5 3" xfId="43421"/>
    <cellStyle name="Normal 72 3 5 3 2" xfId="43422"/>
    <cellStyle name="Normal 72 3 5 3 3" xfId="43423"/>
    <cellStyle name="Normal 72 3 5 3 4" xfId="43424"/>
    <cellStyle name="Normal 72 3 5 3 5" xfId="43425"/>
    <cellStyle name="Normal 72 3 5 3 6" xfId="43426"/>
    <cellStyle name="Normal 72 3 5 4" xfId="43427"/>
    <cellStyle name="Normal 72 3 5 4 2" xfId="43428"/>
    <cellStyle name="Normal 72 3 5 4 3" xfId="43429"/>
    <cellStyle name="Normal 72 3 5 4 4" xfId="43430"/>
    <cellStyle name="Normal 72 3 5 4 5" xfId="43431"/>
    <cellStyle name="Normal 72 3 5 4 6" xfId="43432"/>
    <cellStyle name="Normal 72 3 6" xfId="43433"/>
    <cellStyle name="Normal 72 3 6 2" xfId="43434"/>
    <cellStyle name="Normal 72 3 6 2 2" xfId="43435"/>
    <cellStyle name="Normal 72 3 6 2 3" xfId="43436"/>
    <cellStyle name="Normal 72 3 6 2 4" xfId="43437"/>
    <cellStyle name="Normal 72 3 6 2 5" xfId="43438"/>
    <cellStyle name="Normal 72 3 6 2 6" xfId="43439"/>
    <cellStyle name="Normal 72 3 6 3" xfId="43440"/>
    <cellStyle name="Normal 72 3 6 3 2" xfId="43441"/>
    <cellStyle name="Normal 72 3 6 3 3" xfId="43442"/>
    <cellStyle name="Normal 72 3 6 3 4" xfId="43443"/>
    <cellStyle name="Normal 72 3 6 3 5" xfId="43444"/>
    <cellStyle name="Normal 72 3 6 3 6" xfId="43445"/>
    <cellStyle name="Normal 72 3 6 4" xfId="43446"/>
    <cellStyle name="Normal 72 3 6 4 2" xfId="43447"/>
    <cellStyle name="Normal 72 3 6 4 3" xfId="43448"/>
    <cellStyle name="Normal 72 3 6 4 4" xfId="43449"/>
    <cellStyle name="Normal 72 3 6 4 5" xfId="43450"/>
    <cellStyle name="Normal 72 3 6 4 6" xfId="43451"/>
    <cellStyle name="Normal 72 3 7" xfId="43452"/>
    <cellStyle name="Normal 72 3 7 2" xfId="43453"/>
    <cellStyle name="Normal 72 3 7 2 2" xfId="43454"/>
    <cellStyle name="Normal 72 3 7 2 3" xfId="43455"/>
    <cellStyle name="Normal 72 3 7 2 4" xfId="43456"/>
    <cellStyle name="Normal 72 3 7 2 5" xfId="43457"/>
    <cellStyle name="Normal 72 3 7 2 6" xfId="43458"/>
    <cellStyle name="Normal 72 3 7 3" xfId="43459"/>
    <cellStyle name="Normal 72 3 7 3 2" xfId="43460"/>
    <cellStyle name="Normal 72 3 7 3 3" xfId="43461"/>
    <cellStyle name="Normal 72 3 7 3 4" xfId="43462"/>
    <cellStyle name="Normal 72 3 7 3 5" xfId="43463"/>
    <cellStyle name="Normal 72 3 7 3 6" xfId="43464"/>
    <cellStyle name="Normal 72 3 7 4" xfId="43465"/>
    <cellStyle name="Normal 72 3 7 4 2" xfId="43466"/>
    <cellStyle name="Normal 72 3 7 4 3" xfId="43467"/>
    <cellStyle name="Normal 72 3 7 4 4" xfId="43468"/>
    <cellStyle name="Normal 72 3 7 4 5" xfId="43469"/>
    <cellStyle name="Normal 72 3 7 4 6" xfId="43470"/>
    <cellStyle name="Normal 72 3 8" xfId="43471"/>
    <cellStyle name="Normal 72 3 8 2" xfId="43472"/>
    <cellStyle name="Normal 72 3 8 2 2" xfId="43473"/>
    <cellStyle name="Normal 72 3 8 2 3" xfId="43474"/>
    <cellStyle name="Normal 72 3 8 2 4" xfId="43475"/>
    <cellStyle name="Normal 72 3 8 2 5" xfId="43476"/>
    <cellStyle name="Normal 72 3 8 2 6" xfId="43477"/>
    <cellStyle name="Normal 72 3 8 3" xfId="43478"/>
    <cellStyle name="Normal 72 3 8 3 2" xfId="43479"/>
    <cellStyle name="Normal 72 3 8 3 3" xfId="43480"/>
    <cellStyle name="Normal 72 3 8 3 4" xfId="43481"/>
    <cellStyle name="Normal 72 3 8 3 5" xfId="43482"/>
    <cellStyle name="Normal 72 3 8 3 6" xfId="43483"/>
    <cellStyle name="Normal 72 3 8 4" xfId="43484"/>
    <cellStyle name="Normal 72 3 8 4 2" xfId="43485"/>
    <cellStyle name="Normal 72 3 8 4 3" xfId="43486"/>
    <cellStyle name="Normal 72 3 8 4 4" xfId="43487"/>
    <cellStyle name="Normal 72 3 8 4 5" xfId="43488"/>
    <cellStyle name="Normal 72 3 8 4 6" xfId="43489"/>
    <cellStyle name="Normal 72 3 9" xfId="43490"/>
    <cellStyle name="Normal 72 3 9 2" xfId="43491"/>
    <cellStyle name="Normal 72 3 9 2 2" xfId="43492"/>
    <cellStyle name="Normal 72 3 9 2 3" xfId="43493"/>
    <cellStyle name="Normal 72 3 9 2 4" xfId="43494"/>
    <cellStyle name="Normal 72 3 9 2 5" xfId="43495"/>
    <cellStyle name="Normal 72 3 9 2 6" xfId="43496"/>
    <cellStyle name="Normal 72 3 9 3" xfId="43497"/>
    <cellStyle name="Normal 72 3 9 3 2" xfId="43498"/>
    <cellStyle name="Normal 72 3 9 3 3" xfId="43499"/>
    <cellStyle name="Normal 72 3 9 3 4" xfId="43500"/>
    <cellStyle name="Normal 72 3 9 3 5" xfId="43501"/>
    <cellStyle name="Normal 72 3 9 3 6" xfId="43502"/>
    <cellStyle name="Normal 72 3 9 4" xfId="43503"/>
    <cellStyle name="Normal 72 3 9 4 2" xfId="43504"/>
    <cellStyle name="Normal 72 3 9 4 3" xfId="43505"/>
    <cellStyle name="Normal 72 3 9 4 4" xfId="43506"/>
    <cellStyle name="Normal 72 3 9 4 5" xfId="43507"/>
    <cellStyle name="Normal 72 3 9 4 6" xfId="43508"/>
    <cellStyle name="Normal 72 4" xfId="43509"/>
    <cellStyle name="Normal 72 4 2" xfId="43510"/>
    <cellStyle name="Normal 72 4 2 2" xfId="43511"/>
    <cellStyle name="Normal 72 4 2 3" xfId="43512"/>
    <cellStyle name="Normal 72 4 2 4" xfId="43513"/>
    <cellStyle name="Normal 72 4 2 5" xfId="43514"/>
    <cellStyle name="Normal 72 4 2 6" xfId="43515"/>
    <cellStyle name="Normal 72 4 3" xfId="43516"/>
    <cellStyle name="Normal 72 4 3 2" xfId="43517"/>
    <cellStyle name="Normal 72 4 3 3" xfId="43518"/>
    <cellStyle name="Normal 72 4 3 4" xfId="43519"/>
    <cellStyle name="Normal 72 4 3 5" xfId="43520"/>
    <cellStyle name="Normal 72 4 3 6" xfId="43521"/>
    <cellStyle name="Normal 72 4 4" xfId="43522"/>
    <cellStyle name="Normal 72 4 4 2" xfId="43523"/>
    <cellStyle name="Normal 72 4 4 3" xfId="43524"/>
    <cellStyle name="Normal 72 4 4 4" xfId="43525"/>
    <cellStyle name="Normal 72 4 4 5" xfId="43526"/>
    <cellStyle name="Normal 72 4 4 6" xfId="43527"/>
    <cellStyle name="Normal 72 5" xfId="43528"/>
    <cellStyle name="Normal 72 5 2" xfId="43529"/>
    <cellStyle name="Normal 72 5 2 2" xfId="43530"/>
    <cellStyle name="Normal 72 5 2 3" xfId="43531"/>
    <cellStyle name="Normal 72 5 2 4" xfId="43532"/>
    <cellStyle name="Normal 72 5 2 5" xfId="43533"/>
    <cellStyle name="Normal 72 5 2 6" xfId="43534"/>
    <cellStyle name="Normal 72 5 3" xfId="43535"/>
    <cellStyle name="Normal 72 5 3 2" xfId="43536"/>
    <cellStyle name="Normal 72 5 3 3" xfId="43537"/>
    <cellStyle name="Normal 72 5 3 4" xfId="43538"/>
    <cellStyle name="Normal 72 5 3 5" xfId="43539"/>
    <cellStyle name="Normal 72 5 3 6" xfId="43540"/>
    <cellStyle name="Normal 72 5 4" xfId="43541"/>
    <cellStyle name="Normal 72 5 4 2" xfId="43542"/>
    <cellStyle name="Normal 72 5 4 3" xfId="43543"/>
    <cellStyle name="Normal 72 5 4 4" xfId="43544"/>
    <cellStyle name="Normal 72 5 4 5" xfId="43545"/>
    <cellStyle name="Normal 72 5 4 6" xfId="43546"/>
    <cellStyle name="Normal 72 6" xfId="43547"/>
    <cellStyle name="Normal 72 6 2" xfId="43548"/>
    <cellStyle name="Normal 72 6 2 2" xfId="43549"/>
    <cellStyle name="Normal 72 6 2 3" xfId="43550"/>
    <cellStyle name="Normal 72 6 2 4" xfId="43551"/>
    <cellStyle name="Normal 72 6 2 5" xfId="43552"/>
    <cellStyle name="Normal 72 6 2 6" xfId="43553"/>
    <cellStyle name="Normal 72 6 3" xfId="43554"/>
    <cellStyle name="Normal 72 6 3 2" xfId="43555"/>
    <cellStyle name="Normal 72 6 3 3" xfId="43556"/>
    <cellStyle name="Normal 72 6 3 4" xfId="43557"/>
    <cellStyle name="Normal 72 6 3 5" xfId="43558"/>
    <cellStyle name="Normal 72 6 3 6" xfId="43559"/>
    <cellStyle name="Normal 72 6 4" xfId="43560"/>
    <cellStyle name="Normal 72 6 4 2" xfId="43561"/>
    <cellStyle name="Normal 72 6 4 3" xfId="43562"/>
    <cellStyle name="Normal 72 6 4 4" xfId="43563"/>
    <cellStyle name="Normal 72 6 4 5" xfId="43564"/>
    <cellStyle name="Normal 72 6 4 6" xfId="43565"/>
    <cellStyle name="Normal 72 7" xfId="43566"/>
    <cellStyle name="Normal 72 7 2" xfId="43567"/>
    <cellStyle name="Normal 72 7 2 2" xfId="43568"/>
    <cellStyle name="Normal 72 7 2 3" xfId="43569"/>
    <cellStyle name="Normal 72 7 2 4" xfId="43570"/>
    <cellStyle name="Normal 72 7 2 5" xfId="43571"/>
    <cellStyle name="Normal 72 7 2 6" xfId="43572"/>
    <cellStyle name="Normal 72 7 3" xfId="43573"/>
    <cellStyle name="Normal 72 7 3 2" xfId="43574"/>
    <cellStyle name="Normal 72 7 3 3" xfId="43575"/>
    <cellStyle name="Normal 72 7 3 4" xfId="43576"/>
    <cellStyle name="Normal 72 7 3 5" xfId="43577"/>
    <cellStyle name="Normal 72 7 3 6" xfId="43578"/>
    <cellStyle name="Normal 72 7 4" xfId="43579"/>
    <cellStyle name="Normal 72 7 4 2" xfId="43580"/>
    <cellStyle name="Normal 72 7 4 3" xfId="43581"/>
    <cellStyle name="Normal 72 7 4 4" xfId="43582"/>
    <cellStyle name="Normal 72 7 4 5" xfId="43583"/>
    <cellStyle name="Normal 72 7 4 6" xfId="43584"/>
    <cellStyle name="Normal 72 8" xfId="43585"/>
    <cellStyle name="Normal 72 8 2" xfId="43586"/>
    <cellStyle name="Normal 72 8 3" xfId="43587"/>
    <cellStyle name="Normal 72 8 4" xfId="43588"/>
    <cellStyle name="Normal 72 8 5" xfId="43589"/>
    <cellStyle name="Normal 72 8 6" xfId="43590"/>
    <cellStyle name="Normal 72 9" xfId="43591"/>
    <cellStyle name="Normal 72 9 2" xfId="43592"/>
    <cellStyle name="Normal 72 9 3" xfId="43593"/>
    <cellStyle name="Normal 72 9 4" xfId="43594"/>
    <cellStyle name="Normal 72 9 5" xfId="43595"/>
    <cellStyle name="Normal 72 9 6" xfId="43596"/>
    <cellStyle name="Normal 73" xfId="43597"/>
    <cellStyle name="Normal 73 10" xfId="43598"/>
    <cellStyle name="Normal 73 10 2" xfId="43599"/>
    <cellStyle name="Normal 73 10 3" xfId="43600"/>
    <cellStyle name="Normal 73 10 4" xfId="43601"/>
    <cellStyle name="Normal 73 10 5" xfId="43602"/>
    <cellStyle name="Normal 73 10 6" xfId="43603"/>
    <cellStyle name="Normal 73 2" xfId="43604"/>
    <cellStyle name="Normal 73 2 2" xfId="43605"/>
    <cellStyle name="Normal 73 2 2 2" xfId="43606"/>
    <cellStyle name="Normal 73 2 2 2 2" xfId="43607"/>
    <cellStyle name="Normal 73 2 2 2 2 2" xfId="43608"/>
    <cellStyle name="Normal 73 2 2 2 2 3" xfId="43609"/>
    <cellStyle name="Normal 73 2 2 2 2 4" xfId="43610"/>
    <cellStyle name="Normal 73 2 2 2 2 5" xfId="43611"/>
    <cellStyle name="Normal 73 2 2 2 2 6" xfId="43612"/>
    <cellStyle name="Normal 73 2 2 2 3" xfId="43613"/>
    <cellStyle name="Normal 73 2 2 2 3 2" xfId="43614"/>
    <cellStyle name="Normal 73 2 2 2 3 3" xfId="43615"/>
    <cellStyle name="Normal 73 2 2 2 3 4" xfId="43616"/>
    <cellStyle name="Normal 73 2 2 2 3 5" xfId="43617"/>
    <cellStyle name="Normal 73 2 2 2 3 6" xfId="43618"/>
    <cellStyle name="Normal 73 2 2 2 4" xfId="43619"/>
    <cellStyle name="Normal 73 2 2 2 4 2" xfId="43620"/>
    <cellStyle name="Normal 73 2 2 2 4 3" xfId="43621"/>
    <cellStyle name="Normal 73 2 2 2 4 4" xfId="43622"/>
    <cellStyle name="Normal 73 2 2 2 4 5" xfId="43623"/>
    <cellStyle name="Normal 73 2 2 2 4 6" xfId="43624"/>
    <cellStyle name="Normal 73 2 2 3" xfId="43625"/>
    <cellStyle name="Normal 73 2 2 3 2" xfId="43626"/>
    <cellStyle name="Normal 73 2 2 3 3" xfId="43627"/>
    <cellStyle name="Normal 73 2 2 3 4" xfId="43628"/>
    <cellStyle name="Normal 73 2 2 3 5" xfId="43629"/>
    <cellStyle name="Normal 73 2 2 3 6" xfId="43630"/>
    <cellStyle name="Normal 73 2 2 4" xfId="43631"/>
    <cellStyle name="Normal 73 2 2 4 2" xfId="43632"/>
    <cellStyle name="Normal 73 2 2 4 3" xfId="43633"/>
    <cellStyle name="Normal 73 2 2 4 4" xfId="43634"/>
    <cellStyle name="Normal 73 2 2 4 5" xfId="43635"/>
    <cellStyle name="Normal 73 2 2 4 6" xfId="43636"/>
    <cellStyle name="Normal 73 2 2 5" xfId="43637"/>
    <cellStyle name="Normal 73 2 2 5 2" xfId="43638"/>
    <cellStyle name="Normal 73 2 2 5 3" xfId="43639"/>
    <cellStyle name="Normal 73 2 2 5 4" xfId="43640"/>
    <cellStyle name="Normal 73 2 2 5 5" xfId="43641"/>
    <cellStyle name="Normal 73 2 2 5 6" xfId="43642"/>
    <cellStyle name="Normal 73 2 3" xfId="43643"/>
    <cellStyle name="Normal 73 2 3 2" xfId="43644"/>
    <cellStyle name="Normal 73 2 3 2 2" xfId="43645"/>
    <cellStyle name="Normal 73 2 3 2 3" xfId="43646"/>
    <cellStyle name="Normal 73 2 3 2 4" xfId="43647"/>
    <cellStyle name="Normal 73 2 3 2 5" xfId="43648"/>
    <cellStyle name="Normal 73 2 3 2 6" xfId="43649"/>
    <cellStyle name="Normal 73 2 3 3" xfId="43650"/>
    <cellStyle name="Normal 73 2 3 3 2" xfId="43651"/>
    <cellStyle name="Normal 73 2 3 3 3" xfId="43652"/>
    <cellStyle name="Normal 73 2 3 3 4" xfId="43653"/>
    <cellStyle name="Normal 73 2 3 3 5" xfId="43654"/>
    <cellStyle name="Normal 73 2 3 3 6" xfId="43655"/>
    <cellStyle name="Normal 73 2 3 4" xfId="43656"/>
    <cellStyle name="Normal 73 2 3 4 2" xfId="43657"/>
    <cellStyle name="Normal 73 2 3 4 3" xfId="43658"/>
    <cellStyle name="Normal 73 2 3 4 4" xfId="43659"/>
    <cellStyle name="Normal 73 2 3 4 5" xfId="43660"/>
    <cellStyle name="Normal 73 2 3 4 6" xfId="43661"/>
    <cellStyle name="Normal 73 2 4" xfId="43662"/>
    <cellStyle name="Normal 73 2 4 2" xfId="43663"/>
    <cellStyle name="Normal 73 2 4 3" xfId="43664"/>
    <cellStyle name="Normal 73 2 4 4" xfId="43665"/>
    <cellStyle name="Normal 73 2 4 5" xfId="43666"/>
    <cellStyle name="Normal 73 2 4 6" xfId="43667"/>
    <cellStyle name="Normal 73 2 5" xfId="43668"/>
    <cellStyle name="Normal 73 2 5 2" xfId="43669"/>
    <cellStyle name="Normal 73 2 5 3" xfId="43670"/>
    <cellStyle name="Normal 73 2 5 4" xfId="43671"/>
    <cellStyle name="Normal 73 2 5 5" xfId="43672"/>
    <cellStyle name="Normal 73 2 5 6" xfId="43673"/>
    <cellStyle name="Normal 73 2 6" xfId="43674"/>
    <cellStyle name="Normal 73 2 6 2" xfId="43675"/>
    <cellStyle name="Normal 73 2 6 3" xfId="43676"/>
    <cellStyle name="Normal 73 2 6 4" xfId="43677"/>
    <cellStyle name="Normal 73 2 6 5" xfId="43678"/>
    <cellStyle name="Normal 73 2 6 6" xfId="43679"/>
    <cellStyle name="Normal 73 3" xfId="43680"/>
    <cellStyle name="Normal 73 3 10" xfId="43681"/>
    <cellStyle name="Normal 73 3 10 2" xfId="43682"/>
    <cellStyle name="Normal 73 3 10 2 2" xfId="43683"/>
    <cellStyle name="Normal 73 3 10 2 3" xfId="43684"/>
    <cellStyle name="Normal 73 3 10 2 4" xfId="43685"/>
    <cellStyle name="Normal 73 3 10 2 5" xfId="43686"/>
    <cellStyle name="Normal 73 3 10 2 6" xfId="43687"/>
    <cellStyle name="Normal 73 3 10 3" xfId="43688"/>
    <cellStyle name="Normal 73 3 10 3 2" xfId="43689"/>
    <cellStyle name="Normal 73 3 10 3 3" xfId="43690"/>
    <cellStyle name="Normal 73 3 10 3 4" xfId="43691"/>
    <cellStyle name="Normal 73 3 10 3 5" xfId="43692"/>
    <cellStyle name="Normal 73 3 10 3 6" xfId="43693"/>
    <cellStyle name="Normal 73 3 10 4" xfId="43694"/>
    <cellStyle name="Normal 73 3 10 4 2" xfId="43695"/>
    <cellStyle name="Normal 73 3 10 4 3" xfId="43696"/>
    <cellStyle name="Normal 73 3 10 4 4" xfId="43697"/>
    <cellStyle name="Normal 73 3 10 4 5" xfId="43698"/>
    <cellStyle name="Normal 73 3 10 4 6" xfId="43699"/>
    <cellStyle name="Normal 73 3 11" xfId="43700"/>
    <cellStyle name="Normal 73 3 11 2" xfId="43701"/>
    <cellStyle name="Normal 73 3 11 2 2" xfId="43702"/>
    <cellStyle name="Normal 73 3 11 2 3" xfId="43703"/>
    <cellStyle name="Normal 73 3 11 2 4" xfId="43704"/>
    <cellStyle name="Normal 73 3 11 2 5" xfId="43705"/>
    <cellStyle name="Normal 73 3 11 2 6" xfId="43706"/>
    <cellStyle name="Normal 73 3 11 3" xfId="43707"/>
    <cellStyle name="Normal 73 3 11 3 2" xfId="43708"/>
    <cellStyle name="Normal 73 3 11 3 3" xfId="43709"/>
    <cellStyle name="Normal 73 3 11 3 4" xfId="43710"/>
    <cellStyle name="Normal 73 3 11 3 5" xfId="43711"/>
    <cellStyle name="Normal 73 3 11 3 6" xfId="43712"/>
    <cellStyle name="Normal 73 3 11 4" xfId="43713"/>
    <cellStyle name="Normal 73 3 11 4 2" xfId="43714"/>
    <cellStyle name="Normal 73 3 11 4 3" xfId="43715"/>
    <cellStyle name="Normal 73 3 11 4 4" xfId="43716"/>
    <cellStyle name="Normal 73 3 11 4 5" xfId="43717"/>
    <cellStyle name="Normal 73 3 11 4 6" xfId="43718"/>
    <cellStyle name="Normal 73 3 12" xfId="43719"/>
    <cellStyle name="Normal 73 3 12 2" xfId="43720"/>
    <cellStyle name="Normal 73 3 12 2 2" xfId="43721"/>
    <cellStyle name="Normal 73 3 12 2 3" xfId="43722"/>
    <cellStyle name="Normal 73 3 12 2 4" xfId="43723"/>
    <cellStyle name="Normal 73 3 12 2 5" xfId="43724"/>
    <cellStyle name="Normal 73 3 12 2 6" xfId="43725"/>
    <cellStyle name="Normal 73 3 12 3" xfId="43726"/>
    <cellStyle name="Normal 73 3 12 3 2" xfId="43727"/>
    <cellStyle name="Normal 73 3 12 3 3" xfId="43728"/>
    <cellStyle name="Normal 73 3 12 3 4" xfId="43729"/>
    <cellStyle name="Normal 73 3 12 3 5" xfId="43730"/>
    <cellStyle name="Normal 73 3 12 3 6" xfId="43731"/>
    <cellStyle name="Normal 73 3 12 4" xfId="43732"/>
    <cellStyle name="Normal 73 3 12 4 2" xfId="43733"/>
    <cellStyle name="Normal 73 3 12 4 3" xfId="43734"/>
    <cellStyle name="Normal 73 3 12 4 4" xfId="43735"/>
    <cellStyle name="Normal 73 3 12 4 5" xfId="43736"/>
    <cellStyle name="Normal 73 3 12 4 6" xfId="43737"/>
    <cellStyle name="Normal 73 3 13" xfId="43738"/>
    <cellStyle name="Normal 73 3 13 2" xfId="43739"/>
    <cellStyle name="Normal 73 3 13 2 2" xfId="43740"/>
    <cellStyle name="Normal 73 3 13 2 3" xfId="43741"/>
    <cellStyle name="Normal 73 3 13 2 4" xfId="43742"/>
    <cellStyle name="Normal 73 3 13 2 5" xfId="43743"/>
    <cellStyle name="Normal 73 3 13 2 6" xfId="43744"/>
    <cellStyle name="Normal 73 3 13 3" xfId="43745"/>
    <cellStyle name="Normal 73 3 13 3 2" xfId="43746"/>
    <cellStyle name="Normal 73 3 13 3 3" xfId="43747"/>
    <cellStyle name="Normal 73 3 13 3 4" xfId="43748"/>
    <cellStyle name="Normal 73 3 13 3 5" xfId="43749"/>
    <cellStyle name="Normal 73 3 13 3 6" xfId="43750"/>
    <cellStyle name="Normal 73 3 13 4" xfId="43751"/>
    <cellStyle name="Normal 73 3 13 4 2" xfId="43752"/>
    <cellStyle name="Normal 73 3 13 4 3" xfId="43753"/>
    <cellStyle name="Normal 73 3 13 4 4" xfId="43754"/>
    <cellStyle name="Normal 73 3 13 4 5" xfId="43755"/>
    <cellStyle name="Normal 73 3 13 4 6" xfId="43756"/>
    <cellStyle name="Normal 73 3 14" xfId="43757"/>
    <cellStyle name="Normal 73 3 14 2" xfId="43758"/>
    <cellStyle name="Normal 73 3 14 2 2" xfId="43759"/>
    <cellStyle name="Normal 73 3 14 2 3" xfId="43760"/>
    <cellStyle name="Normal 73 3 14 2 4" xfId="43761"/>
    <cellStyle name="Normal 73 3 14 2 5" xfId="43762"/>
    <cellStyle name="Normal 73 3 14 2 6" xfId="43763"/>
    <cellStyle name="Normal 73 3 14 3" xfId="43764"/>
    <cellStyle name="Normal 73 3 14 3 2" xfId="43765"/>
    <cellStyle name="Normal 73 3 14 3 3" xfId="43766"/>
    <cellStyle name="Normal 73 3 14 3 4" xfId="43767"/>
    <cellStyle name="Normal 73 3 14 3 5" xfId="43768"/>
    <cellStyle name="Normal 73 3 14 3 6" xfId="43769"/>
    <cellStyle name="Normal 73 3 14 4" xfId="43770"/>
    <cellStyle name="Normal 73 3 14 4 2" xfId="43771"/>
    <cellStyle name="Normal 73 3 14 4 3" xfId="43772"/>
    <cellStyle name="Normal 73 3 14 4 4" xfId="43773"/>
    <cellStyle name="Normal 73 3 14 4 5" xfId="43774"/>
    <cellStyle name="Normal 73 3 14 4 6" xfId="43775"/>
    <cellStyle name="Normal 73 3 15" xfId="43776"/>
    <cellStyle name="Normal 73 3 15 2" xfId="43777"/>
    <cellStyle name="Normal 73 3 15 2 2" xfId="43778"/>
    <cellStyle name="Normal 73 3 15 2 3" xfId="43779"/>
    <cellStyle name="Normal 73 3 15 2 4" xfId="43780"/>
    <cellStyle name="Normal 73 3 15 2 5" xfId="43781"/>
    <cellStyle name="Normal 73 3 15 2 6" xfId="43782"/>
    <cellStyle name="Normal 73 3 15 3" xfId="43783"/>
    <cellStyle name="Normal 73 3 15 3 2" xfId="43784"/>
    <cellStyle name="Normal 73 3 15 3 3" xfId="43785"/>
    <cellStyle name="Normal 73 3 15 3 4" xfId="43786"/>
    <cellStyle name="Normal 73 3 15 3 5" xfId="43787"/>
    <cellStyle name="Normal 73 3 15 3 6" xfId="43788"/>
    <cellStyle name="Normal 73 3 15 4" xfId="43789"/>
    <cellStyle name="Normal 73 3 15 4 2" xfId="43790"/>
    <cellStyle name="Normal 73 3 15 4 3" xfId="43791"/>
    <cellStyle name="Normal 73 3 15 4 4" xfId="43792"/>
    <cellStyle name="Normal 73 3 15 4 5" xfId="43793"/>
    <cellStyle name="Normal 73 3 15 4 6" xfId="43794"/>
    <cellStyle name="Normal 73 3 16" xfId="43795"/>
    <cellStyle name="Normal 73 3 16 2" xfId="43796"/>
    <cellStyle name="Normal 73 3 16 2 2" xfId="43797"/>
    <cellStyle name="Normal 73 3 16 2 3" xfId="43798"/>
    <cellStyle name="Normal 73 3 16 2 4" xfId="43799"/>
    <cellStyle name="Normal 73 3 16 2 5" xfId="43800"/>
    <cellStyle name="Normal 73 3 16 2 6" xfId="43801"/>
    <cellStyle name="Normal 73 3 16 3" xfId="43802"/>
    <cellStyle name="Normal 73 3 16 3 2" xfId="43803"/>
    <cellStyle name="Normal 73 3 16 3 3" xfId="43804"/>
    <cellStyle name="Normal 73 3 16 3 4" xfId="43805"/>
    <cellStyle name="Normal 73 3 16 3 5" xfId="43806"/>
    <cellStyle name="Normal 73 3 16 3 6" xfId="43807"/>
    <cellStyle name="Normal 73 3 16 4" xfId="43808"/>
    <cellStyle name="Normal 73 3 16 4 2" xfId="43809"/>
    <cellStyle name="Normal 73 3 16 4 3" xfId="43810"/>
    <cellStyle name="Normal 73 3 16 4 4" xfId="43811"/>
    <cellStyle name="Normal 73 3 16 4 5" xfId="43812"/>
    <cellStyle name="Normal 73 3 16 4 6" xfId="43813"/>
    <cellStyle name="Normal 73 3 17" xfId="43814"/>
    <cellStyle name="Normal 73 3 17 2" xfId="43815"/>
    <cellStyle name="Normal 73 3 17 2 2" xfId="43816"/>
    <cellStyle name="Normal 73 3 17 2 3" xfId="43817"/>
    <cellStyle name="Normal 73 3 17 2 4" xfId="43818"/>
    <cellStyle name="Normal 73 3 17 2 5" xfId="43819"/>
    <cellStyle name="Normal 73 3 17 2 6" xfId="43820"/>
    <cellStyle name="Normal 73 3 17 3" xfId="43821"/>
    <cellStyle name="Normal 73 3 17 3 2" xfId="43822"/>
    <cellStyle name="Normal 73 3 17 3 3" xfId="43823"/>
    <cellStyle name="Normal 73 3 17 3 4" xfId="43824"/>
    <cellStyle name="Normal 73 3 17 3 5" xfId="43825"/>
    <cellStyle name="Normal 73 3 17 3 6" xfId="43826"/>
    <cellStyle name="Normal 73 3 17 4" xfId="43827"/>
    <cellStyle name="Normal 73 3 17 4 2" xfId="43828"/>
    <cellStyle name="Normal 73 3 17 4 3" xfId="43829"/>
    <cellStyle name="Normal 73 3 17 4 4" xfId="43830"/>
    <cellStyle name="Normal 73 3 17 4 5" xfId="43831"/>
    <cellStyle name="Normal 73 3 17 4 6" xfId="43832"/>
    <cellStyle name="Normal 73 3 18" xfId="43833"/>
    <cellStyle name="Normal 73 3 18 2" xfId="43834"/>
    <cellStyle name="Normal 73 3 18 2 2" xfId="43835"/>
    <cellStyle name="Normal 73 3 18 2 3" xfId="43836"/>
    <cellStyle name="Normal 73 3 18 2 4" xfId="43837"/>
    <cellStyle name="Normal 73 3 18 2 5" xfId="43838"/>
    <cellStyle name="Normal 73 3 18 2 6" xfId="43839"/>
    <cellStyle name="Normal 73 3 18 3" xfId="43840"/>
    <cellStyle name="Normal 73 3 18 3 2" xfId="43841"/>
    <cellStyle name="Normal 73 3 18 3 3" xfId="43842"/>
    <cellStyle name="Normal 73 3 18 3 4" xfId="43843"/>
    <cellStyle name="Normal 73 3 18 3 5" xfId="43844"/>
    <cellStyle name="Normal 73 3 18 3 6" xfId="43845"/>
    <cellStyle name="Normal 73 3 18 4" xfId="43846"/>
    <cellStyle name="Normal 73 3 18 4 2" xfId="43847"/>
    <cellStyle name="Normal 73 3 18 4 3" xfId="43848"/>
    <cellStyle name="Normal 73 3 18 4 4" xfId="43849"/>
    <cellStyle name="Normal 73 3 18 4 5" xfId="43850"/>
    <cellStyle name="Normal 73 3 18 4 6" xfId="43851"/>
    <cellStyle name="Normal 73 3 19" xfId="43852"/>
    <cellStyle name="Normal 73 3 19 2" xfId="43853"/>
    <cellStyle name="Normal 73 3 19 2 2" xfId="43854"/>
    <cellStyle name="Normal 73 3 19 2 3" xfId="43855"/>
    <cellStyle name="Normal 73 3 19 2 4" xfId="43856"/>
    <cellStyle name="Normal 73 3 19 2 5" xfId="43857"/>
    <cellStyle name="Normal 73 3 19 2 6" xfId="43858"/>
    <cellStyle name="Normal 73 3 19 3" xfId="43859"/>
    <cellStyle name="Normal 73 3 19 3 2" xfId="43860"/>
    <cellStyle name="Normal 73 3 19 3 3" xfId="43861"/>
    <cellStyle name="Normal 73 3 19 3 4" xfId="43862"/>
    <cellStyle name="Normal 73 3 19 3 5" xfId="43863"/>
    <cellStyle name="Normal 73 3 19 3 6" xfId="43864"/>
    <cellStyle name="Normal 73 3 19 4" xfId="43865"/>
    <cellStyle name="Normal 73 3 19 4 2" xfId="43866"/>
    <cellStyle name="Normal 73 3 19 4 3" xfId="43867"/>
    <cellStyle name="Normal 73 3 19 4 4" xfId="43868"/>
    <cellStyle name="Normal 73 3 19 4 5" xfId="43869"/>
    <cellStyle name="Normal 73 3 19 4 6" xfId="43870"/>
    <cellStyle name="Normal 73 3 2" xfId="43871"/>
    <cellStyle name="Normal 73 3 2 10" xfId="43872"/>
    <cellStyle name="Normal 73 3 2 10 2" xfId="43873"/>
    <cellStyle name="Normal 73 3 2 10 2 2" xfId="43874"/>
    <cellStyle name="Normal 73 3 2 10 2 3" xfId="43875"/>
    <cellStyle name="Normal 73 3 2 10 2 4" xfId="43876"/>
    <cellStyle name="Normal 73 3 2 10 2 5" xfId="43877"/>
    <cellStyle name="Normal 73 3 2 10 2 6" xfId="43878"/>
    <cellStyle name="Normal 73 3 2 10 3" xfId="43879"/>
    <cellStyle name="Normal 73 3 2 10 3 2" xfId="43880"/>
    <cellStyle name="Normal 73 3 2 10 3 3" xfId="43881"/>
    <cellStyle name="Normal 73 3 2 10 3 4" xfId="43882"/>
    <cellStyle name="Normal 73 3 2 10 3 5" xfId="43883"/>
    <cellStyle name="Normal 73 3 2 10 3 6" xfId="43884"/>
    <cellStyle name="Normal 73 3 2 10 4" xfId="43885"/>
    <cellStyle name="Normal 73 3 2 10 4 2" xfId="43886"/>
    <cellStyle name="Normal 73 3 2 10 4 3" xfId="43887"/>
    <cellStyle name="Normal 73 3 2 10 4 4" xfId="43888"/>
    <cellStyle name="Normal 73 3 2 10 4 5" xfId="43889"/>
    <cellStyle name="Normal 73 3 2 10 4 6" xfId="43890"/>
    <cellStyle name="Normal 73 3 2 11" xfId="43891"/>
    <cellStyle name="Normal 73 3 2 11 2" xfId="43892"/>
    <cellStyle name="Normal 73 3 2 11 2 2" xfId="43893"/>
    <cellStyle name="Normal 73 3 2 11 2 3" xfId="43894"/>
    <cellStyle name="Normal 73 3 2 11 2 4" xfId="43895"/>
    <cellStyle name="Normal 73 3 2 11 2 5" xfId="43896"/>
    <cellStyle name="Normal 73 3 2 11 2 6" xfId="43897"/>
    <cellStyle name="Normal 73 3 2 11 3" xfId="43898"/>
    <cellStyle name="Normal 73 3 2 11 3 2" xfId="43899"/>
    <cellStyle name="Normal 73 3 2 11 3 3" xfId="43900"/>
    <cellStyle name="Normal 73 3 2 11 3 4" xfId="43901"/>
    <cellStyle name="Normal 73 3 2 11 3 5" xfId="43902"/>
    <cellStyle name="Normal 73 3 2 11 3 6" xfId="43903"/>
    <cellStyle name="Normal 73 3 2 11 4" xfId="43904"/>
    <cellStyle name="Normal 73 3 2 11 4 2" xfId="43905"/>
    <cellStyle name="Normal 73 3 2 11 4 3" xfId="43906"/>
    <cellStyle name="Normal 73 3 2 11 4 4" xfId="43907"/>
    <cellStyle name="Normal 73 3 2 11 4 5" xfId="43908"/>
    <cellStyle name="Normal 73 3 2 11 4 6" xfId="43909"/>
    <cellStyle name="Normal 73 3 2 12" xfId="43910"/>
    <cellStyle name="Normal 73 3 2 12 2" xfId="43911"/>
    <cellStyle name="Normal 73 3 2 12 2 2" xfId="43912"/>
    <cellStyle name="Normal 73 3 2 12 2 3" xfId="43913"/>
    <cellStyle name="Normal 73 3 2 12 2 4" xfId="43914"/>
    <cellStyle name="Normal 73 3 2 12 2 5" xfId="43915"/>
    <cellStyle name="Normal 73 3 2 12 2 6" xfId="43916"/>
    <cellStyle name="Normal 73 3 2 12 3" xfId="43917"/>
    <cellStyle name="Normal 73 3 2 12 3 2" xfId="43918"/>
    <cellStyle name="Normal 73 3 2 12 3 3" xfId="43919"/>
    <cellStyle name="Normal 73 3 2 12 3 4" xfId="43920"/>
    <cellStyle name="Normal 73 3 2 12 3 5" xfId="43921"/>
    <cellStyle name="Normal 73 3 2 12 3 6" xfId="43922"/>
    <cellStyle name="Normal 73 3 2 12 4" xfId="43923"/>
    <cellStyle name="Normal 73 3 2 12 4 2" xfId="43924"/>
    <cellStyle name="Normal 73 3 2 12 4 3" xfId="43925"/>
    <cellStyle name="Normal 73 3 2 12 4 4" xfId="43926"/>
    <cellStyle name="Normal 73 3 2 12 4 5" xfId="43927"/>
    <cellStyle name="Normal 73 3 2 12 4 6" xfId="43928"/>
    <cellStyle name="Normal 73 3 2 13" xfId="43929"/>
    <cellStyle name="Normal 73 3 2 13 2" xfId="43930"/>
    <cellStyle name="Normal 73 3 2 13 2 2" xfId="43931"/>
    <cellStyle name="Normal 73 3 2 13 2 3" xfId="43932"/>
    <cellStyle name="Normal 73 3 2 13 2 4" xfId="43933"/>
    <cellStyle name="Normal 73 3 2 13 2 5" xfId="43934"/>
    <cellStyle name="Normal 73 3 2 13 2 6" xfId="43935"/>
    <cellStyle name="Normal 73 3 2 13 3" xfId="43936"/>
    <cellStyle name="Normal 73 3 2 13 3 2" xfId="43937"/>
    <cellStyle name="Normal 73 3 2 13 3 3" xfId="43938"/>
    <cellStyle name="Normal 73 3 2 13 3 4" xfId="43939"/>
    <cellStyle name="Normal 73 3 2 13 3 5" xfId="43940"/>
    <cellStyle name="Normal 73 3 2 13 3 6" xfId="43941"/>
    <cellStyle name="Normal 73 3 2 13 4" xfId="43942"/>
    <cellStyle name="Normal 73 3 2 13 4 2" xfId="43943"/>
    <cellStyle name="Normal 73 3 2 13 4 3" xfId="43944"/>
    <cellStyle name="Normal 73 3 2 13 4 4" xfId="43945"/>
    <cellStyle name="Normal 73 3 2 13 4 5" xfId="43946"/>
    <cellStyle name="Normal 73 3 2 13 4 6" xfId="43947"/>
    <cellStyle name="Normal 73 3 2 14" xfId="43948"/>
    <cellStyle name="Normal 73 3 2 14 2" xfId="43949"/>
    <cellStyle name="Normal 73 3 2 14 2 2" xfId="43950"/>
    <cellStyle name="Normal 73 3 2 14 2 3" xfId="43951"/>
    <cellStyle name="Normal 73 3 2 14 2 4" xfId="43952"/>
    <cellStyle name="Normal 73 3 2 14 2 5" xfId="43953"/>
    <cellStyle name="Normal 73 3 2 14 2 6" xfId="43954"/>
    <cellStyle name="Normal 73 3 2 14 3" xfId="43955"/>
    <cellStyle name="Normal 73 3 2 14 3 2" xfId="43956"/>
    <cellStyle name="Normal 73 3 2 14 3 3" xfId="43957"/>
    <cellStyle name="Normal 73 3 2 14 3 4" xfId="43958"/>
    <cellStyle name="Normal 73 3 2 14 3 5" xfId="43959"/>
    <cellStyle name="Normal 73 3 2 14 3 6" xfId="43960"/>
    <cellStyle name="Normal 73 3 2 14 4" xfId="43961"/>
    <cellStyle name="Normal 73 3 2 14 4 2" xfId="43962"/>
    <cellStyle name="Normal 73 3 2 14 4 3" xfId="43963"/>
    <cellStyle name="Normal 73 3 2 14 4 4" xfId="43964"/>
    <cellStyle name="Normal 73 3 2 14 4 5" xfId="43965"/>
    <cellStyle name="Normal 73 3 2 14 4 6" xfId="43966"/>
    <cellStyle name="Normal 73 3 2 15" xfId="43967"/>
    <cellStyle name="Normal 73 3 2 15 2" xfId="43968"/>
    <cellStyle name="Normal 73 3 2 15 2 2" xfId="43969"/>
    <cellStyle name="Normal 73 3 2 15 2 3" xfId="43970"/>
    <cellStyle name="Normal 73 3 2 15 2 4" xfId="43971"/>
    <cellStyle name="Normal 73 3 2 15 2 5" xfId="43972"/>
    <cellStyle name="Normal 73 3 2 15 2 6" xfId="43973"/>
    <cellStyle name="Normal 73 3 2 15 3" xfId="43974"/>
    <cellStyle name="Normal 73 3 2 15 3 2" xfId="43975"/>
    <cellStyle name="Normal 73 3 2 15 3 3" xfId="43976"/>
    <cellStyle name="Normal 73 3 2 15 3 4" xfId="43977"/>
    <cellStyle name="Normal 73 3 2 15 3 5" xfId="43978"/>
    <cellStyle name="Normal 73 3 2 15 3 6" xfId="43979"/>
    <cellStyle name="Normal 73 3 2 15 4" xfId="43980"/>
    <cellStyle name="Normal 73 3 2 15 4 2" xfId="43981"/>
    <cellStyle name="Normal 73 3 2 15 4 3" xfId="43982"/>
    <cellStyle name="Normal 73 3 2 15 4 4" xfId="43983"/>
    <cellStyle name="Normal 73 3 2 15 4 5" xfId="43984"/>
    <cellStyle name="Normal 73 3 2 15 4 6" xfId="43985"/>
    <cellStyle name="Normal 73 3 2 16" xfId="43986"/>
    <cellStyle name="Normal 73 3 2 16 2" xfId="43987"/>
    <cellStyle name="Normal 73 3 2 16 2 2" xfId="43988"/>
    <cellStyle name="Normal 73 3 2 16 2 3" xfId="43989"/>
    <cellStyle name="Normal 73 3 2 16 2 4" xfId="43990"/>
    <cellStyle name="Normal 73 3 2 16 2 5" xfId="43991"/>
    <cellStyle name="Normal 73 3 2 16 2 6" xfId="43992"/>
    <cellStyle name="Normal 73 3 2 16 3" xfId="43993"/>
    <cellStyle name="Normal 73 3 2 16 3 2" xfId="43994"/>
    <cellStyle name="Normal 73 3 2 16 3 3" xfId="43995"/>
    <cellStyle name="Normal 73 3 2 16 3 4" xfId="43996"/>
    <cellStyle name="Normal 73 3 2 16 3 5" xfId="43997"/>
    <cellStyle name="Normal 73 3 2 16 3 6" xfId="43998"/>
    <cellStyle name="Normal 73 3 2 16 4" xfId="43999"/>
    <cellStyle name="Normal 73 3 2 16 4 2" xfId="44000"/>
    <cellStyle name="Normal 73 3 2 16 4 3" xfId="44001"/>
    <cellStyle name="Normal 73 3 2 16 4 4" xfId="44002"/>
    <cellStyle name="Normal 73 3 2 16 4 5" xfId="44003"/>
    <cellStyle name="Normal 73 3 2 16 4 6" xfId="44004"/>
    <cellStyle name="Normal 73 3 2 17" xfId="44005"/>
    <cellStyle name="Normal 73 3 2 17 2" xfId="44006"/>
    <cellStyle name="Normal 73 3 2 17 2 2" xfId="44007"/>
    <cellStyle name="Normal 73 3 2 17 2 3" xfId="44008"/>
    <cellStyle name="Normal 73 3 2 17 2 4" xfId="44009"/>
    <cellStyle name="Normal 73 3 2 17 2 5" xfId="44010"/>
    <cellStyle name="Normal 73 3 2 17 2 6" xfId="44011"/>
    <cellStyle name="Normal 73 3 2 17 3" xfId="44012"/>
    <cellStyle name="Normal 73 3 2 17 3 2" xfId="44013"/>
    <cellStyle name="Normal 73 3 2 17 3 3" xfId="44014"/>
    <cellStyle name="Normal 73 3 2 17 3 4" xfId="44015"/>
    <cellStyle name="Normal 73 3 2 17 3 5" xfId="44016"/>
    <cellStyle name="Normal 73 3 2 17 3 6" xfId="44017"/>
    <cellStyle name="Normal 73 3 2 17 4" xfId="44018"/>
    <cellStyle name="Normal 73 3 2 17 4 2" xfId="44019"/>
    <cellStyle name="Normal 73 3 2 17 4 3" xfId="44020"/>
    <cellStyle name="Normal 73 3 2 17 4 4" xfId="44021"/>
    <cellStyle name="Normal 73 3 2 17 4 5" xfId="44022"/>
    <cellStyle name="Normal 73 3 2 17 4 6" xfId="44023"/>
    <cellStyle name="Normal 73 3 2 18" xfId="44024"/>
    <cellStyle name="Normal 73 3 2 18 2" xfId="44025"/>
    <cellStyle name="Normal 73 3 2 18 2 2" xfId="44026"/>
    <cellStyle name="Normal 73 3 2 18 2 3" xfId="44027"/>
    <cellStyle name="Normal 73 3 2 18 2 4" xfId="44028"/>
    <cellStyle name="Normal 73 3 2 18 2 5" xfId="44029"/>
    <cellStyle name="Normal 73 3 2 18 2 6" xfId="44030"/>
    <cellStyle name="Normal 73 3 2 18 3" xfId="44031"/>
    <cellStyle name="Normal 73 3 2 18 3 2" xfId="44032"/>
    <cellStyle name="Normal 73 3 2 18 3 3" xfId="44033"/>
    <cellStyle name="Normal 73 3 2 18 3 4" xfId="44034"/>
    <cellStyle name="Normal 73 3 2 18 3 5" xfId="44035"/>
    <cellStyle name="Normal 73 3 2 18 3 6" xfId="44036"/>
    <cellStyle name="Normal 73 3 2 18 4" xfId="44037"/>
    <cellStyle name="Normal 73 3 2 18 4 2" xfId="44038"/>
    <cellStyle name="Normal 73 3 2 18 4 3" xfId="44039"/>
    <cellStyle name="Normal 73 3 2 18 4 4" xfId="44040"/>
    <cellStyle name="Normal 73 3 2 18 4 5" xfId="44041"/>
    <cellStyle name="Normal 73 3 2 18 4 6" xfId="44042"/>
    <cellStyle name="Normal 73 3 2 19" xfId="44043"/>
    <cellStyle name="Normal 73 3 2 19 2" xfId="44044"/>
    <cellStyle name="Normal 73 3 2 19 2 2" xfId="44045"/>
    <cellStyle name="Normal 73 3 2 19 2 3" xfId="44046"/>
    <cellStyle name="Normal 73 3 2 19 2 4" xfId="44047"/>
    <cellStyle name="Normal 73 3 2 19 2 5" xfId="44048"/>
    <cellStyle name="Normal 73 3 2 19 2 6" xfId="44049"/>
    <cellStyle name="Normal 73 3 2 19 3" xfId="44050"/>
    <cellStyle name="Normal 73 3 2 19 3 2" xfId="44051"/>
    <cellStyle name="Normal 73 3 2 19 3 3" xfId="44052"/>
    <cellStyle name="Normal 73 3 2 19 3 4" xfId="44053"/>
    <cellStyle name="Normal 73 3 2 19 3 5" xfId="44054"/>
    <cellStyle name="Normal 73 3 2 19 3 6" xfId="44055"/>
    <cellStyle name="Normal 73 3 2 19 4" xfId="44056"/>
    <cellStyle name="Normal 73 3 2 19 4 2" xfId="44057"/>
    <cellStyle name="Normal 73 3 2 19 4 3" xfId="44058"/>
    <cellStyle name="Normal 73 3 2 19 4 4" xfId="44059"/>
    <cellStyle name="Normal 73 3 2 19 4 5" xfId="44060"/>
    <cellStyle name="Normal 73 3 2 19 4 6" xfId="44061"/>
    <cellStyle name="Normal 73 3 2 2" xfId="44062"/>
    <cellStyle name="Normal 73 3 2 2 10" xfId="44063"/>
    <cellStyle name="Normal 73 3 2 2 10 2" xfId="44064"/>
    <cellStyle name="Normal 73 3 2 2 10 2 2" xfId="44065"/>
    <cellStyle name="Normal 73 3 2 2 10 2 3" xfId="44066"/>
    <cellStyle name="Normal 73 3 2 2 10 2 4" xfId="44067"/>
    <cellStyle name="Normal 73 3 2 2 10 2 5" xfId="44068"/>
    <cellStyle name="Normal 73 3 2 2 10 2 6" xfId="44069"/>
    <cellStyle name="Normal 73 3 2 2 10 3" xfId="44070"/>
    <cellStyle name="Normal 73 3 2 2 10 3 2" xfId="44071"/>
    <cellStyle name="Normal 73 3 2 2 10 3 3" xfId="44072"/>
    <cellStyle name="Normal 73 3 2 2 10 3 4" xfId="44073"/>
    <cellStyle name="Normal 73 3 2 2 10 3 5" xfId="44074"/>
    <cellStyle name="Normal 73 3 2 2 10 3 6" xfId="44075"/>
    <cellStyle name="Normal 73 3 2 2 10 4" xfId="44076"/>
    <cellStyle name="Normal 73 3 2 2 10 4 2" xfId="44077"/>
    <cellStyle name="Normal 73 3 2 2 10 4 3" xfId="44078"/>
    <cellStyle name="Normal 73 3 2 2 10 4 4" xfId="44079"/>
    <cellStyle name="Normal 73 3 2 2 10 4 5" xfId="44080"/>
    <cellStyle name="Normal 73 3 2 2 10 4 6" xfId="44081"/>
    <cellStyle name="Normal 73 3 2 2 11" xfId="44082"/>
    <cellStyle name="Normal 73 3 2 2 11 2" xfId="44083"/>
    <cellStyle name="Normal 73 3 2 2 11 2 2" xfId="44084"/>
    <cellStyle name="Normal 73 3 2 2 11 2 3" xfId="44085"/>
    <cellStyle name="Normal 73 3 2 2 11 2 4" xfId="44086"/>
    <cellStyle name="Normal 73 3 2 2 11 2 5" xfId="44087"/>
    <cellStyle name="Normal 73 3 2 2 11 2 6" xfId="44088"/>
    <cellStyle name="Normal 73 3 2 2 11 3" xfId="44089"/>
    <cellStyle name="Normal 73 3 2 2 11 3 2" xfId="44090"/>
    <cellStyle name="Normal 73 3 2 2 11 3 3" xfId="44091"/>
    <cellStyle name="Normal 73 3 2 2 11 3 4" xfId="44092"/>
    <cellStyle name="Normal 73 3 2 2 11 3 5" xfId="44093"/>
    <cellStyle name="Normal 73 3 2 2 11 3 6" xfId="44094"/>
    <cellStyle name="Normal 73 3 2 2 11 4" xfId="44095"/>
    <cellStyle name="Normal 73 3 2 2 11 4 2" xfId="44096"/>
    <cellStyle name="Normal 73 3 2 2 11 4 3" xfId="44097"/>
    <cellStyle name="Normal 73 3 2 2 11 4 4" xfId="44098"/>
    <cellStyle name="Normal 73 3 2 2 11 4 5" xfId="44099"/>
    <cellStyle name="Normal 73 3 2 2 11 4 6" xfId="44100"/>
    <cellStyle name="Normal 73 3 2 2 12" xfId="44101"/>
    <cellStyle name="Normal 73 3 2 2 12 2" xfId="44102"/>
    <cellStyle name="Normal 73 3 2 2 12 2 2" xfId="44103"/>
    <cellStyle name="Normal 73 3 2 2 12 2 3" xfId="44104"/>
    <cellStyle name="Normal 73 3 2 2 12 2 4" xfId="44105"/>
    <cellStyle name="Normal 73 3 2 2 12 2 5" xfId="44106"/>
    <cellStyle name="Normal 73 3 2 2 12 2 6" xfId="44107"/>
    <cellStyle name="Normal 73 3 2 2 12 3" xfId="44108"/>
    <cellStyle name="Normal 73 3 2 2 12 3 2" xfId="44109"/>
    <cellStyle name="Normal 73 3 2 2 12 3 3" xfId="44110"/>
    <cellStyle name="Normal 73 3 2 2 12 3 4" xfId="44111"/>
    <cellStyle name="Normal 73 3 2 2 12 3 5" xfId="44112"/>
    <cellStyle name="Normal 73 3 2 2 12 3 6" xfId="44113"/>
    <cellStyle name="Normal 73 3 2 2 12 4" xfId="44114"/>
    <cellStyle name="Normal 73 3 2 2 12 4 2" xfId="44115"/>
    <cellStyle name="Normal 73 3 2 2 12 4 3" xfId="44116"/>
    <cellStyle name="Normal 73 3 2 2 12 4 4" xfId="44117"/>
    <cellStyle name="Normal 73 3 2 2 12 4 5" xfId="44118"/>
    <cellStyle name="Normal 73 3 2 2 12 4 6" xfId="44119"/>
    <cellStyle name="Normal 73 3 2 2 13" xfId="44120"/>
    <cellStyle name="Normal 73 3 2 2 13 2" xfId="44121"/>
    <cellStyle name="Normal 73 3 2 2 13 2 2" xfId="44122"/>
    <cellStyle name="Normal 73 3 2 2 13 2 3" xfId="44123"/>
    <cellStyle name="Normal 73 3 2 2 13 2 4" xfId="44124"/>
    <cellStyle name="Normal 73 3 2 2 13 2 5" xfId="44125"/>
    <cellStyle name="Normal 73 3 2 2 13 2 6" xfId="44126"/>
    <cellStyle name="Normal 73 3 2 2 13 3" xfId="44127"/>
    <cellStyle name="Normal 73 3 2 2 13 3 2" xfId="44128"/>
    <cellStyle name="Normal 73 3 2 2 13 3 3" xfId="44129"/>
    <cellStyle name="Normal 73 3 2 2 13 3 4" xfId="44130"/>
    <cellStyle name="Normal 73 3 2 2 13 3 5" xfId="44131"/>
    <cellStyle name="Normal 73 3 2 2 13 3 6" xfId="44132"/>
    <cellStyle name="Normal 73 3 2 2 13 4" xfId="44133"/>
    <cellStyle name="Normal 73 3 2 2 13 4 2" xfId="44134"/>
    <cellStyle name="Normal 73 3 2 2 13 4 3" xfId="44135"/>
    <cellStyle name="Normal 73 3 2 2 13 4 4" xfId="44136"/>
    <cellStyle name="Normal 73 3 2 2 13 4 5" xfId="44137"/>
    <cellStyle name="Normal 73 3 2 2 13 4 6" xfId="44138"/>
    <cellStyle name="Normal 73 3 2 2 14" xfId="44139"/>
    <cellStyle name="Normal 73 3 2 2 14 2" xfId="44140"/>
    <cellStyle name="Normal 73 3 2 2 14 2 2" xfId="44141"/>
    <cellStyle name="Normal 73 3 2 2 14 2 3" xfId="44142"/>
    <cellStyle name="Normal 73 3 2 2 14 2 4" xfId="44143"/>
    <cellStyle name="Normal 73 3 2 2 14 2 5" xfId="44144"/>
    <cellStyle name="Normal 73 3 2 2 14 2 6" xfId="44145"/>
    <cellStyle name="Normal 73 3 2 2 14 3" xfId="44146"/>
    <cellStyle name="Normal 73 3 2 2 14 3 2" xfId="44147"/>
    <cellStyle name="Normal 73 3 2 2 14 3 3" xfId="44148"/>
    <cellStyle name="Normal 73 3 2 2 14 3 4" xfId="44149"/>
    <cellStyle name="Normal 73 3 2 2 14 3 5" xfId="44150"/>
    <cellStyle name="Normal 73 3 2 2 14 3 6" xfId="44151"/>
    <cellStyle name="Normal 73 3 2 2 14 4" xfId="44152"/>
    <cellStyle name="Normal 73 3 2 2 14 4 2" xfId="44153"/>
    <cellStyle name="Normal 73 3 2 2 14 4 3" xfId="44154"/>
    <cellStyle name="Normal 73 3 2 2 14 4 4" xfId="44155"/>
    <cellStyle name="Normal 73 3 2 2 14 4 5" xfId="44156"/>
    <cellStyle name="Normal 73 3 2 2 14 4 6" xfId="44157"/>
    <cellStyle name="Normal 73 3 2 2 15" xfId="44158"/>
    <cellStyle name="Normal 73 3 2 2 15 2" xfId="44159"/>
    <cellStyle name="Normal 73 3 2 2 15 2 2" xfId="44160"/>
    <cellStyle name="Normal 73 3 2 2 15 2 3" xfId="44161"/>
    <cellStyle name="Normal 73 3 2 2 15 2 4" xfId="44162"/>
    <cellStyle name="Normal 73 3 2 2 15 2 5" xfId="44163"/>
    <cellStyle name="Normal 73 3 2 2 15 2 6" xfId="44164"/>
    <cellStyle name="Normal 73 3 2 2 15 3" xfId="44165"/>
    <cellStyle name="Normal 73 3 2 2 15 3 2" xfId="44166"/>
    <cellStyle name="Normal 73 3 2 2 15 3 3" xfId="44167"/>
    <cellStyle name="Normal 73 3 2 2 15 3 4" xfId="44168"/>
    <cellStyle name="Normal 73 3 2 2 15 3 5" xfId="44169"/>
    <cellStyle name="Normal 73 3 2 2 15 3 6" xfId="44170"/>
    <cellStyle name="Normal 73 3 2 2 15 4" xfId="44171"/>
    <cellStyle name="Normal 73 3 2 2 15 4 2" xfId="44172"/>
    <cellStyle name="Normal 73 3 2 2 15 4 3" xfId="44173"/>
    <cellStyle name="Normal 73 3 2 2 15 4 4" xfId="44174"/>
    <cellStyle name="Normal 73 3 2 2 15 4 5" xfId="44175"/>
    <cellStyle name="Normal 73 3 2 2 15 4 6" xfId="44176"/>
    <cellStyle name="Normal 73 3 2 2 16" xfId="44177"/>
    <cellStyle name="Normal 73 3 2 2 16 2" xfId="44178"/>
    <cellStyle name="Normal 73 3 2 2 16 2 2" xfId="44179"/>
    <cellStyle name="Normal 73 3 2 2 16 2 3" xfId="44180"/>
    <cellStyle name="Normal 73 3 2 2 16 2 4" xfId="44181"/>
    <cellStyle name="Normal 73 3 2 2 16 2 5" xfId="44182"/>
    <cellStyle name="Normal 73 3 2 2 16 2 6" xfId="44183"/>
    <cellStyle name="Normal 73 3 2 2 16 3" xfId="44184"/>
    <cellStyle name="Normal 73 3 2 2 16 3 2" xfId="44185"/>
    <cellStyle name="Normal 73 3 2 2 16 3 3" xfId="44186"/>
    <cellStyle name="Normal 73 3 2 2 16 3 4" xfId="44187"/>
    <cellStyle name="Normal 73 3 2 2 16 3 5" xfId="44188"/>
    <cellStyle name="Normal 73 3 2 2 16 3 6" xfId="44189"/>
    <cellStyle name="Normal 73 3 2 2 16 4" xfId="44190"/>
    <cellStyle name="Normal 73 3 2 2 16 4 2" xfId="44191"/>
    <cellStyle name="Normal 73 3 2 2 16 4 3" xfId="44192"/>
    <cellStyle name="Normal 73 3 2 2 16 4 4" xfId="44193"/>
    <cellStyle name="Normal 73 3 2 2 16 4 5" xfId="44194"/>
    <cellStyle name="Normal 73 3 2 2 16 4 6" xfId="44195"/>
    <cellStyle name="Normal 73 3 2 2 17" xfId="44196"/>
    <cellStyle name="Normal 73 3 2 2 17 2" xfId="44197"/>
    <cellStyle name="Normal 73 3 2 2 17 3" xfId="44198"/>
    <cellStyle name="Normal 73 3 2 2 17 4" xfId="44199"/>
    <cellStyle name="Normal 73 3 2 2 17 5" xfId="44200"/>
    <cellStyle name="Normal 73 3 2 2 17 6" xfId="44201"/>
    <cellStyle name="Normal 73 3 2 2 18" xfId="44202"/>
    <cellStyle name="Normal 73 3 2 2 18 2" xfId="44203"/>
    <cellStyle name="Normal 73 3 2 2 18 3" xfId="44204"/>
    <cellStyle name="Normal 73 3 2 2 18 4" xfId="44205"/>
    <cellStyle name="Normal 73 3 2 2 18 5" xfId="44206"/>
    <cellStyle name="Normal 73 3 2 2 18 6" xfId="44207"/>
    <cellStyle name="Normal 73 3 2 2 19" xfId="44208"/>
    <cellStyle name="Normal 73 3 2 2 19 2" xfId="44209"/>
    <cellStyle name="Normal 73 3 2 2 19 3" xfId="44210"/>
    <cellStyle name="Normal 73 3 2 2 19 4" xfId="44211"/>
    <cellStyle name="Normal 73 3 2 2 19 5" xfId="44212"/>
    <cellStyle name="Normal 73 3 2 2 19 6" xfId="44213"/>
    <cellStyle name="Normal 73 3 2 2 2" xfId="44214"/>
    <cellStyle name="Normal 73 3 2 2 2 2" xfId="44215"/>
    <cellStyle name="Normal 73 3 2 2 2 2 2" xfId="44216"/>
    <cellStyle name="Normal 73 3 2 2 2 2 3" xfId="44217"/>
    <cellStyle name="Normal 73 3 2 2 2 2 4" xfId="44218"/>
    <cellStyle name="Normal 73 3 2 2 2 2 5" xfId="44219"/>
    <cellStyle name="Normal 73 3 2 2 2 2 6" xfId="44220"/>
    <cellStyle name="Normal 73 3 2 2 2 3" xfId="44221"/>
    <cellStyle name="Normal 73 3 2 2 2 3 2" xfId="44222"/>
    <cellStyle name="Normal 73 3 2 2 2 3 3" xfId="44223"/>
    <cellStyle name="Normal 73 3 2 2 2 3 4" xfId="44224"/>
    <cellStyle name="Normal 73 3 2 2 2 3 5" xfId="44225"/>
    <cellStyle name="Normal 73 3 2 2 2 3 6" xfId="44226"/>
    <cellStyle name="Normal 73 3 2 2 2 4" xfId="44227"/>
    <cellStyle name="Normal 73 3 2 2 2 4 2" xfId="44228"/>
    <cellStyle name="Normal 73 3 2 2 2 4 3" xfId="44229"/>
    <cellStyle name="Normal 73 3 2 2 2 4 4" xfId="44230"/>
    <cellStyle name="Normal 73 3 2 2 2 4 5" xfId="44231"/>
    <cellStyle name="Normal 73 3 2 2 2 4 6" xfId="44232"/>
    <cellStyle name="Normal 73 3 2 2 3" xfId="44233"/>
    <cellStyle name="Normal 73 3 2 2 3 2" xfId="44234"/>
    <cellStyle name="Normal 73 3 2 2 3 2 2" xfId="44235"/>
    <cellStyle name="Normal 73 3 2 2 3 2 3" xfId="44236"/>
    <cellStyle name="Normal 73 3 2 2 3 2 4" xfId="44237"/>
    <cellStyle name="Normal 73 3 2 2 3 2 5" xfId="44238"/>
    <cellStyle name="Normal 73 3 2 2 3 2 6" xfId="44239"/>
    <cellStyle name="Normal 73 3 2 2 3 3" xfId="44240"/>
    <cellStyle name="Normal 73 3 2 2 3 3 2" xfId="44241"/>
    <cellStyle name="Normal 73 3 2 2 3 3 3" xfId="44242"/>
    <cellStyle name="Normal 73 3 2 2 3 3 4" xfId="44243"/>
    <cellStyle name="Normal 73 3 2 2 3 3 5" xfId="44244"/>
    <cellStyle name="Normal 73 3 2 2 3 3 6" xfId="44245"/>
    <cellStyle name="Normal 73 3 2 2 3 4" xfId="44246"/>
    <cellStyle name="Normal 73 3 2 2 3 4 2" xfId="44247"/>
    <cellStyle name="Normal 73 3 2 2 3 4 3" xfId="44248"/>
    <cellStyle name="Normal 73 3 2 2 3 4 4" xfId="44249"/>
    <cellStyle name="Normal 73 3 2 2 3 4 5" xfId="44250"/>
    <cellStyle name="Normal 73 3 2 2 3 4 6" xfId="44251"/>
    <cellStyle name="Normal 73 3 2 2 4" xfId="44252"/>
    <cellStyle name="Normal 73 3 2 2 4 2" xfId="44253"/>
    <cellStyle name="Normal 73 3 2 2 4 2 2" xfId="44254"/>
    <cellStyle name="Normal 73 3 2 2 4 2 3" xfId="44255"/>
    <cellStyle name="Normal 73 3 2 2 4 2 4" xfId="44256"/>
    <cellStyle name="Normal 73 3 2 2 4 2 5" xfId="44257"/>
    <cellStyle name="Normal 73 3 2 2 4 2 6" xfId="44258"/>
    <cellStyle name="Normal 73 3 2 2 4 3" xfId="44259"/>
    <cellStyle name="Normal 73 3 2 2 4 3 2" xfId="44260"/>
    <cellStyle name="Normal 73 3 2 2 4 3 3" xfId="44261"/>
    <cellStyle name="Normal 73 3 2 2 4 3 4" xfId="44262"/>
    <cellStyle name="Normal 73 3 2 2 4 3 5" xfId="44263"/>
    <cellStyle name="Normal 73 3 2 2 4 3 6" xfId="44264"/>
    <cellStyle name="Normal 73 3 2 2 4 4" xfId="44265"/>
    <cellStyle name="Normal 73 3 2 2 4 4 2" xfId="44266"/>
    <cellStyle name="Normal 73 3 2 2 4 4 3" xfId="44267"/>
    <cellStyle name="Normal 73 3 2 2 4 4 4" xfId="44268"/>
    <cellStyle name="Normal 73 3 2 2 4 4 5" xfId="44269"/>
    <cellStyle name="Normal 73 3 2 2 4 4 6" xfId="44270"/>
    <cellStyle name="Normal 73 3 2 2 5" xfId="44271"/>
    <cellStyle name="Normal 73 3 2 2 5 2" xfId="44272"/>
    <cellStyle name="Normal 73 3 2 2 5 2 2" xfId="44273"/>
    <cellStyle name="Normal 73 3 2 2 5 2 3" xfId="44274"/>
    <cellStyle name="Normal 73 3 2 2 5 2 4" xfId="44275"/>
    <cellStyle name="Normal 73 3 2 2 5 2 5" xfId="44276"/>
    <cellStyle name="Normal 73 3 2 2 5 2 6" xfId="44277"/>
    <cellStyle name="Normal 73 3 2 2 5 3" xfId="44278"/>
    <cellStyle name="Normal 73 3 2 2 5 3 2" xfId="44279"/>
    <cellStyle name="Normal 73 3 2 2 5 3 3" xfId="44280"/>
    <cellStyle name="Normal 73 3 2 2 5 3 4" xfId="44281"/>
    <cellStyle name="Normal 73 3 2 2 5 3 5" xfId="44282"/>
    <cellStyle name="Normal 73 3 2 2 5 3 6" xfId="44283"/>
    <cellStyle name="Normal 73 3 2 2 5 4" xfId="44284"/>
    <cellStyle name="Normal 73 3 2 2 5 4 2" xfId="44285"/>
    <cellStyle name="Normal 73 3 2 2 5 4 3" xfId="44286"/>
    <cellStyle name="Normal 73 3 2 2 5 4 4" xfId="44287"/>
    <cellStyle name="Normal 73 3 2 2 5 4 5" xfId="44288"/>
    <cellStyle name="Normal 73 3 2 2 5 4 6" xfId="44289"/>
    <cellStyle name="Normal 73 3 2 2 6" xfId="44290"/>
    <cellStyle name="Normal 73 3 2 2 6 2" xfId="44291"/>
    <cellStyle name="Normal 73 3 2 2 6 2 2" xfId="44292"/>
    <cellStyle name="Normal 73 3 2 2 6 2 3" xfId="44293"/>
    <cellStyle name="Normal 73 3 2 2 6 2 4" xfId="44294"/>
    <cellStyle name="Normal 73 3 2 2 6 2 5" xfId="44295"/>
    <cellStyle name="Normal 73 3 2 2 6 2 6" xfId="44296"/>
    <cellStyle name="Normal 73 3 2 2 6 3" xfId="44297"/>
    <cellStyle name="Normal 73 3 2 2 6 3 2" xfId="44298"/>
    <cellStyle name="Normal 73 3 2 2 6 3 3" xfId="44299"/>
    <cellStyle name="Normal 73 3 2 2 6 3 4" xfId="44300"/>
    <cellStyle name="Normal 73 3 2 2 6 3 5" xfId="44301"/>
    <cellStyle name="Normal 73 3 2 2 6 3 6" xfId="44302"/>
    <cellStyle name="Normal 73 3 2 2 6 4" xfId="44303"/>
    <cellStyle name="Normal 73 3 2 2 6 4 2" xfId="44304"/>
    <cellStyle name="Normal 73 3 2 2 6 4 3" xfId="44305"/>
    <cellStyle name="Normal 73 3 2 2 6 4 4" xfId="44306"/>
    <cellStyle name="Normal 73 3 2 2 6 4 5" xfId="44307"/>
    <cellStyle name="Normal 73 3 2 2 6 4 6" xfId="44308"/>
    <cellStyle name="Normal 73 3 2 2 7" xfId="44309"/>
    <cellStyle name="Normal 73 3 2 2 7 2" xfId="44310"/>
    <cellStyle name="Normal 73 3 2 2 7 2 2" xfId="44311"/>
    <cellStyle name="Normal 73 3 2 2 7 2 3" xfId="44312"/>
    <cellStyle name="Normal 73 3 2 2 7 2 4" xfId="44313"/>
    <cellStyle name="Normal 73 3 2 2 7 2 5" xfId="44314"/>
    <cellStyle name="Normal 73 3 2 2 7 2 6" xfId="44315"/>
    <cellStyle name="Normal 73 3 2 2 7 3" xfId="44316"/>
    <cellStyle name="Normal 73 3 2 2 7 3 2" xfId="44317"/>
    <cellStyle name="Normal 73 3 2 2 7 3 3" xfId="44318"/>
    <cellStyle name="Normal 73 3 2 2 7 3 4" xfId="44319"/>
    <cellStyle name="Normal 73 3 2 2 7 3 5" xfId="44320"/>
    <cellStyle name="Normal 73 3 2 2 7 3 6" xfId="44321"/>
    <cellStyle name="Normal 73 3 2 2 7 4" xfId="44322"/>
    <cellStyle name="Normal 73 3 2 2 7 4 2" xfId="44323"/>
    <cellStyle name="Normal 73 3 2 2 7 4 3" xfId="44324"/>
    <cellStyle name="Normal 73 3 2 2 7 4 4" xfId="44325"/>
    <cellStyle name="Normal 73 3 2 2 7 4 5" xfId="44326"/>
    <cellStyle name="Normal 73 3 2 2 7 4 6" xfId="44327"/>
    <cellStyle name="Normal 73 3 2 2 8" xfId="44328"/>
    <cellStyle name="Normal 73 3 2 2 8 2" xfId="44329"/>
    <cellStyle name="Normal 73 3 2 2 8 2 2" xfId="44330"/>
    <cellStyle name="Normal 73 3 2 2 8 2 3" xfId="44331"/>
    <cellStyle name="Normal 73 3 2 2 8 2 4" xfId="44332"/>
    <cellStyle name="Normal 73 3 2 2 8 2 5" xfId="44333"/>
    <cellStyle name="Normal 73 3 2 2 8 2 6" xfId="44334"/>
    <cellStyle name="Normal 73 3 2 2 8 3" xfId="44335"/>
    <cellStyle name="Normal 73 3 2 2 8 3 2" xfId="44336"/>
    <cellStyle name="Normal 73 3 2 2 8 3 3" xfId="44337"/>
    <cellStyle name="Normal 73 3 2 2 8 3 4" xfId="44338"/>
    <cellStyle name="Normal 73 3 2 2 8 3 5" xfId="44339"/>
    <cellStyle name="Normal 73 3 2 2 8 3 6" xfId="44340"/>
    <cellStyle name="Normal 73 3 2 2 8 4" xfId="44341"/>
    <cellStyle name="Normal 73 3 2 2 8 4 2" xfId="44342"/>
    <cellStyle name="Normal 73 3 2 2 8 4 3" xfId="44343"/>
    <cellStyle name="Normal 73 3 2 2 8 4 4" xfId="44344"/>
    <cellStyle name="Normal 73 3 2 2 8 4 5" xfId="44345"/>
    <cellStyle name="Normal 73 3 2 2 8 4 6" xfId="44346"/>
    <cellStyle name="Normal 73 3 2 2 9" xfId="44347"/>
    <cellStyle name="Normal 73 3 2 2 9 2" xfId="44348"/>
    <cellStyle name="Normal 73 3 2 2 9 2 2" xfId="44349"/>
    <cellStyle name="Normal 73 3 2 2 9 2 3" xfId="44350"/>
    <cellStyle name="Normal 73 3 2 2 9 2 4" xfId="44351"/>
    <cellStyle name="Normal 73 3 2 2 9 2 5" xfId="44352"/>
    <cellStyle name="Normal 73 3 2 2 9 2 6" xfId="44353"/>
    <cellStyle name="Normal 73 3 2 2 9 3" xfId="44354"/>
    <cellStyle name="Normal 73 3 2 2 9 3 2" xfId="44355"/>
    <cellStyle name="Normal 73 3 2 2 9 3 3" xfId="44356"/>
    <cellStyle name="Normal 73 3 2 2 9 3 4" xfId="44357"/>
    <cellStyle name="Normal 73 3 2 2 9 3 5" xfId="44358"/>
    <cellStyle name="Normal 73 3 2 2 9 3 6" xfId="44359"/>
    <cellStyle name="Normal 73 3 2 2 9 4" xfId="44360"/>
    <cellStyle name="Normal 73 3 2 2 9 4 2" xfId="44361"/>
    <cellStyle name="Normal 73 3 2 2 9 4 3" xfId="44362"/>
    <cellStyle name="Normal 73 3 2 2 9 4 4" xfId="44363"/>
    <cellStyle name="Normal 73 3 2 2 9 4 5" xfId="44364"/>
    <cellStyle name="Normal 73 3 2 2 9 4 6" xfId="44365"/>
    <cellStyle name="Normal 73 3 2 20" xfId="44366"/>
    <cellStyle name="Normal 73 3 2 20 2" xfId="44367"/>
    <cellStyle name="Normal 73 3 2 20 3" xfId="44368"/>
    <cellStyle name="Normal 73 3 2 20 4" xfId="44369"/>
    <cellStyle name="Normal 73 3 2 20 5" xfId="44370"/>
    <cellStyle name="Normal 73 3 2 20 6" xfId="44371"/>
    <cellStyle name="Normal 73 3 2 21" xfId="44372"/>
    <cellStyle name="Normal 73 3 2 21 2" xfId="44373"/>
    <cellStyle name="Normal 73 3 2 21 3" xfId="44374"/>
    <cellStyle name="Normal 73 3 2 21 4" xfId="44375"/>
    <cellStyle name="Normal 73 3 2 21 5" xfId="44376"/>
    <cellStyle name="Normal 73 3 2 21 6" xfId="44377"/>
    <cellStyle name="Normal 73 3 2 22" xfId="44378"/>
    <cellStyle name="Normal 73 3 2 22 2" xfId="44379"/>
    <cellStyle name="Normal 73 3 2 22 3" xfId="44380"/>
    <cellStyle name="Normal 73 3 2 22 4" xfId="44381"/>
    <cellStyle name="Normal 73 3 2 22 5" xfId="44382"/>
    <cellStyle name="Normal 73 3 2 22 6" xfId="44383"/>
    <cellStyle name="Normal 73 3 2 3" xfId="44384"/>
    <cellStyle name="Normal 73 3 2 3 2" xfId="44385"/>
    <cellStyle name="Normal 73 3 2 3 2 2" xfId="44386"/>
    <cellStyle name="Normal 73 3 2 3 2 3" xfId="44387"/>
    <cellStyle name="Normal 73 3 2 3 2 4" xfId="44388"/>
    <cellStyle name="Normal 73 3 2 3 2 5" xfId="44389"/>
    <cellStyle name="Normal 73 3 2 3 2 6" xfId="44390"/>
    <cellStyle name="Normal 73 3 2 3 3" xfId="44391"/>
    <cellStyle name="Normal 73 3 2 3 3 2" xfId="44392"/>
    <cellStyle name="Normal 73 3 2 3 3 3" xfId="44393"/>
    <cellStyle name="Normal 73 3 2 3 3 4" xfId="44394"/>
    <cellStyle name="Normal 73 3 2 3 3 5" xfId="44395"/>
    <cellStyle name="Normal 73 3 2 3 3 6" xfId="44396"/>
    <cellStyle name="Normal 73 3 2 3 4" xfId="44397"/>
    <cellStyle name="Normal 73 3 2 3 4 2" xfId="44398"/>
    <cellStyle name="Normal 73 3 2 3 4 3" xfId="44399"/>
    <cellStyle name="Normal 73 3 2 3 4 4" xfId="44400"/>
    <cellStyle name="Normal 73 3 2 3 4 5" xfId="44401"/>
    <cellStyle name="Normal 73 3 2 3 4 6" xfId="44402"/>
    <cellStyle name="Normal 73 3 2 4" xfId="44403"/>
    <cellStyle name="Normal 73 3 2 4 2" xfId="44404"/>
    <cellStyle name="Normal 73 3 2 4 2 2" xfId="44405"/>
    <cellStyle name="Normal 73 3 2 4 2 3" xfId="44406"/>
    <cellStyle name="Normal 73 3 2 4 2 4" xfId="44407"/>
    <cellStyle name="Normal 73 3 2 4 2 5" xfId="44408"/>
    <cellStyle name="Normal 73 3 2 4 2 6" xfId="44409"/>
    <cellStyle name="Normal 73 3 2 4 3" xfId="44410"/>
    <cellStyle name="Normal 73 3 2 4 3 2" xfId="44411"/>
    <cellStyle name="Normal 73 3 2 4 3 3" xfId="44412"/>
    <cellStyle name="Normal 73 3 2 4 3 4" xfId="44413"/>
    <cellStyle name="Normal 73 3 2 4 3 5" xfId="44414"/>
    <cellStyle name="Normal 73 3 2 4 3 6" xfId="44415"/>
    <cellStyle name="Normal 73 3 2 4 4" xfId="44416"/>
    <cellStyle name="Normal 73 3 2 4 4 2" xfId="44417"/>
    <cellStyle name="Normal 73 3 2 4 4 3" xfId="44418"/>
    <cellStyle name="Normal 73 3 2 4 4 4" xfId="44419"/>
    <cellStyle name="Normal 73 3 2 4 4 5" xfId="44420"/>
    <cellStyle name="Normal 73 3 2 4 4 6" xfId="44421"/>
    <cellStyle name="Normal 73 3 2 5" xfId="44422"/>
    <cellStyle name="Normal 73 3 2 5 2" xfId="44423"/>
    <cellStyle name="Normal 73 3 2 5 2 2" xfId="44424"/>
    <cellStyle name="Normal 73 3 2 5 2 3" xfId="44425"/>
    <cellStyle name="Normal 73 3 2 5 2 4" xfId="44426"/>
    <cellStyle name="Normal 73 3 2 5 2 5" xfId="44427"/>
    <cellStyle name="Normal 73 3 2 5 2 6" xfId="44428"/>
    <cellStyle name="Normal 73 3 2 5 3" xfId="44429"/>
    <cellStyle name="Normal 73 3 2 5 3 2" xfId="44430"/>
    <cellStyle name="Normal 73 3 2 5 3 3" xfId="44431"/>
    <cellStyle name="Normal 73 3 2 5 3 4" xfId="44432"/>
    <cellStyle name="Normal 73 3 2 5 3 5" xfId="44433"/>
    <cellStyle name="Normal 73 3 2 5 3 6" xfId="44434"/>
    <cellStyle name="Normal 73 3 2 5 4" xfId="44435"/>
    <cellStyle name="Normal 73 3 2 5 4 2" xfId="44436"/>
    <cellStyle name="Normal 73 3 2 5 4 3" xfId="44437"/>
    <cellStyle name="Normal 73 3 2 5 4 4" xfId="44438"/>
    <cellStyle name="Normal 73 3 2 5 4 5" xfId="44439"/>
    <cellStyle name="Normal 73 3 2 5 4 6" xfId="44440"/>
    <cellStyle name="Normal 73 3 2 6" xfId="44441"/>
    <cellStyle name="Normal 73 3 2 6 2" xfId="44442"/>
    <cellStyle name="Normal 73 3 2 6 2 2" xfId="44443"/>
    <cellStyle name="Normal 73 3 2 6 2 3" xfId="44444"/>
    <cellStyle name="Normal 73 3 2 6 2 4" xfId="44445"/>
    <cellStyle name="Normal 73 3 2 6 2 5" xfId="44446"/>
    <cellStyle name="Normal 73 3 2 6 2 6" xfId="44447"/>
    <cellStyle name="Normal 73 3 2 6 3" xfId="44448"/>
    <cellStyle name="Normal 73 3 2 6 3 2" xfId="44449"/>
    <cellStyle name="Normal 73 3 2 6 3 3" xfId="44450"/>
    <cellStyle name="Normal 73 3 2 6 3 4" xfId="44451"/>
    <cellStyle name="Normal 73 3 2 6 3 5" xfId="44452"/>
    <cellStyle name="Normal 73 3 2 6 3 6" xfId="44453"/>
    <cellStyle name="Normal 73 3 2 6 4" xfId="44454"/>
    <cellStyle name="Normal 73 3 2 6 4 2" xfId="44455"/>
    <cellStyle name="Normal 73 3 2 6 4 3" xfId="44456"/>
    <cellStyle name="Normal 73 3 2 6 4 4" xfId="44457"/>
    <cellStyle name="Normal 73 3 2 6 4 5" xfId="44458"/>
    <cellStyle name="Normal 73 3 2 6 4 6" xfId="44459"/>
    <cellStyle name="Normal 73 3 2 7" xfId="44460"/>
    <cellStyle name="Normal 73 3 2 7 2" xfId="44461"/>
    <cellStyle name="Normal 73 3 2 7 2 2" xfId="44462"/>
    <cellStyle name="Normal 73 3 2 7 2 3" xfId="44463"/>
    <cellStyle name="Normal 73 3 2 7 2 4" xfId="44464"/>
    <cellStyle name="Normal 73 3 2 7 2 5" xfId="44465"/>
    <cellStyle name="Normal 73 3 2 7 2 6" xfId="44466"/>
    <cellStyle name="Normal 73 3 2 7 3" xfId="44467"/>
    <cellStyle name="Normal 73 3 2 7 3 2" xfId="44468"/>
    <cellStyle name="Normal 73 3 2 7 3 3" xfId="44469"/>
    <cellStyle name="Normal 73 3 2 7 3 4" xfId="44470"/>
    <cellStyle name="Normal 73 3 2 7 3 5" xfId="44471"/>
    <cellStyle name="Normal 73 3 2 7 3 6" xfId="44472"/>
    <cellStyle name="Normal 73 3 2 7 4" xfId="44473"/>
    <cellStyle name="Normal 73 3 2 7 4 2" xfId="44474"/>
    <cellStyle name="Normal 73 3 2 7 4 3" xfId="44475"/>
    <cellStyle name="Normal 73 3 2 7 4 4" xfId="44476"/>
    <cellStyle name="Normal 73 3 2 7 4 5" xfId="44477"/>
    <cellStyle name="Normal 73 3 2 7 4 6" xfId="44478"/>
    <cellStyle name="Normal 73 3 2 8" xfId="44479"/>
    <cellStyle name="Normal 73 3 2 8 2" xfId="44480"/>
    <cellStyle name="Normal 73 3 2 8 2 2" xfId="44481"/>
    <cellStyle name="Normal 73 3 2 8 2 3" xfId="44482"/>
    <cellStyle name="Normal 73 3 2 8 2 4" xfId="44483"/>
    <cellStyle name="Normal 73 3 2 8 2 5" xfId="44484"/>
    <cellStyle name="Normal 73 3 2 8 2 6" xfId="44485"/>
    <cellStyle name="Normal 73 3 2 8 3" xfId="44486"/>
    <cellStyle name="Normal 73 3 2 8 3 2" xfId="44487"/>
    <cellStyle name="Normal 73 3 2 8 3 3" xfId="44488"/>
    <cellStyle name="Normal 73 3 2 8 3 4" xfId="44489"/>
    <cellStyle name="Normal 73 3 2 8 3 5" xfId="44490"/>
    <cellStyle name="Normal 73 3 2 8 3 6" xfId="44491"/>
    <cellStyle name="Normal 73 3 2 8 4" xfId="44492"/>
    <cellStyle name="Normal 73 3 2 8 4 2" xfId="44493"/>
    <cellStyle name="Normal 73 3 2 8 4 3" xfId="44494"/>
    <cellStyle name="Normal 73 3 2 8 4 4" xfId="44495"/>
    <cellStyle name="Normal 73 3 2 8 4 5" xfId="44496"/>
    <cellStyle name="Normal 73 3 2 8 4 6" xfId="44497"/>
    <cellStyle name="Normal 73 3 2 9" xfId="44498"/>
    <cellStyle name="Normal 73 3 2 9 2" xfId="44499"/>
    <cellStyle name="Normal 73 3 2 9 2 2" xfId="44500"/>
    <cellStyle name="Normal 73 3 2 9 2 3" xfId="44501"/>
    <cellStyle name="Normal 73 3 2 9 2 4" xfId="44502"/>
    <cellStyle name="Normal 73 3 2 9 2 5" xfId="44503"/>
    <cellStyle name="Normal 73 3 2 9 2 6" xfId="44504"/>
    <cellStyle name="Normal 73 3 2 9 3" xfId="44505"/>
    <cellStyle name="Normal 73 3 2 9 3 2" xfId="44506"/>
    <cellStyle name="Normal 73 3 2 9 3 3" xfId="44507"/>
    <cellStyle name="Normal 73 3 2 9 3 4" xfId="44508"/>
    <cellStyle name="Normal 73 3 2 9 3 5" xfId="44509"/>
    <cellStyle name="Normal 73 3 2 9 3 6" xfId="44510"/>
    <cellStyle name="Normal 73 3 2 9 4" xfId="44511"/>
    <cellStyle name="Normal 73 3 2 9 4 2" xfId="44512"/>
    <cellStyle name="Normal 73 3 2 9 4 3" xfId="44513"/>
    <cellStyle name="Normal 73 3 2 9 4 4" xfId="44514"/>
    <cellStyle name="Normal 73 3 2 9 4 5" xfId="44515"/>
    <cellStyle name="Normal 73 3 2 9 4 6" xfId="44516"/>
    <cellStyle name="Normal 73 3 20" xfId="44517"/>
    <cellStyle name="Normal 73 3 20 2" xfId="44518"/>
    <cellStyle name="Normal 73 3 20 3" xfId="44519"/>
    <cellStyle name="Normal 73 3 20 4" xfId="44520"/>
    <cellStyle name="Normal 73 3 20 5" xfId="44521"/>
    <cellStyle name="Normal 73 3 20 6" xfId="44522"/>
    <cellStyle name="Normal 73 3 21" xfId="44523"/>
    <cellStyle name="Normal 73 3 21 2" xfId="44524"/>
    <cellStyle name="Normal 73 3 21 3" xfId="44525"/>
    <cellStyle name="Normal 73 3 21 4" xfId="44526"/>
    <cellStyle name="Normal 73 3 21 5" xfId="44527"/>
    <cellStyle name="Normal 73 3 21 6" xfId="44528"/>
    <cellStyle name="Normal 73 3 22" xfId="44529"/>
    <cellStyle name="Normal 73 3 22 2" xfId="44530"/>
    <cellStyle name="Normal 73 3 22 3" xfId="44531"/>
    <cellStyle name="Normal 73 3 22 4" xfId="44532"/>
    <cellStyle name="Normal 73 3 22 5" xfId="44533"/>
    <cellStyle name="Normal 73 3 22 6" xfId="44534"/>
    <cellStyle name="Normal 73 3 3" xfId="44535"/>
    <cellStyle name="Normal 73 3 3 10" xfId="44536"/>
    <cellStyle name="Normal 73 3 3 10 2" xfId="44537"/>
    <cellStyle name="Normal 73 3 3 10 2 2" xfId="44538"/>
    <cellStyle name="Normal 73 3 3 10 2 3" xfId="44539"/>
    <cellStyle name="Normal 73 3 3 10 2 4" xfId="44540"/>
    <cellStyle name="Normal 73 3 3 10 2 5" xfId="44541"/>
    <cellStyle name="Normal 73 3 3 10 2 6" xfId="44542"/>
    <cellStyle name="Normal 73 3 3 10 3" xfId="44543"/>
    <cellStyle name="Normal 73 3 3 10 3 2" xfId="44544"/>
    <cellStyle name="Normal 73 3 3 10 3 3" xfId="44545"/>
    <cellStyle name="Normal 73 3 3 10 3 4" xfId="44546"/>
    <cellStyle name="Normal 73 3 3 10 3 5" xfId="44547"/>
    <cellStyle name="Normal 73 3 3 10 3 6" xfId="44548"/>
    <cellStyle name="Normal 73 3 3 10 4" xfId="44549"/>
    <cellStyle name="Normal 73 3 3 10 4 2" xfId="44550"/>
    <cellStyle name="Normal 73 3 3 10 4 3" xfId="44551"/>
    <cellStyle name="Normal 73 3 3 10 4 4" xfId="44552"/>
    <cellStyle name="Normal 73 3 3 10 4 5" xfId="44553"/>
    <cellStyle name="Normal 73 3 3 10 4 6" xfId="44554"/>
    <cellStyle name="Normal 73 3 3 11" xfId="44555"/>
    <cellStyle name="Normal 73 3 3 11 2" xfId="44556"/>
    <cellStyle name="Normal 73 3 3 11 2 2" xfId="44557"/>
    <cellStyle name="Normal 73 3 3 11 2 3" xfId="44558"/>
    <cellStyle name="Normal 73 3 3 11 2 4" xfId="44559"/>
    <cellStyle name="Normal 73 3 3 11 2 5" xfId="44560"/>
    <cellStyle name="Normal 73 3 3 11 2 6" xfId="44561"/>
    <cellStyle name="Normal 73 3 3 11 3" xfId="44562"/>
    <cellStyle name="Normal 73 3 3 11 3 2" xfId="44563"/>
    <cellStyle name="Normal 73 3 3 11 3 3" xfId="44564"/>
    <cellStyle name="Normal 73 3 3 11 3 4" xfId="44565"/>
    <cellStyle name="Normal 73 3 3 11 3 5" xfId="44566"/>
    <cellStyle name="Normal 73 3 3 11 3 6" xfId="44567"/>
    <cellStyle name="Normal 73 3 3 11 4" xfId="44568"/>
    <cellStyle name="Normal 73 3 3 11 4 2" xfId="44569"/>
    <cellStyle name="Normal 73 3 3 11 4 3" xfId="44570"/>
    <cellStyle name="Normal 73 3 3 11 4 4" xfId="44571"/>
    <cellStyle name="Normal 73 3 3 11 4 5" xfId="44572"/>
    <cellStyle name="Normal 73 3 3 11 4 6" xfId="44573"/>
    <cellStyle name="Normal 73 3 3 12" xfId="44574"/>
    <cellStyle name="Normal 73 3 3 12 2" xfId="44575"/>
    <cellStyle name="Normal 73 3 3 12 2 2" xfId="44576"/>
    <cellStyle name="Normal 73 3 3 12 2 3" xfId="44577"/>
    <cellStyle name="Normal 73 3 3 12 2 4" xfId="44578"/>
    <cellStyle name="Normal 73 3 3 12 2 5" xfId="44579"/>
    <cellStyle name="Normal 73 3 3 12 2 6" xfId="44580"/>
    <cellStyle name="Normal 73 3 3 12 3" xfId="44581"/>
    <cellStyle name="Normal 73 3 3 12 3 2" xfId="44582"/>
    <cellStyle name="Normal 73 3 3 12 3 3" xfId="44583"/>
    <cellStyle name="Normal 73 3 3 12 3 4" xfId="44584"/>
    <cellStyle name="Normal 73 3 3 12 3 5" xfId="44585"/>
    <cellStyle name="Normal 73 3 3 12 3 6" xfId="44586"/>
    <cellStyle name="Normal 73 3 3 12 4" xfId="44587"/>
    <cellStyle name="Normal 73 3 3 12 4 2" xfId="44588"/>
    <cellStyle name="Normal 73 3 3 12 4 3" xfId="44589"/>
    <cellStyle name="Normal 73 3 3 12 4 4" xfId="44590"/>
    <cellStyle name="Normal 73 3 3 12 4 5" xfId="44591"/>
    <cellStyle name="Normal 73 3 3 12 4 6" xfId="44592"/>
    <cellStyle name="Normal 73 3 3 13" xfId="44593"/>
    <cellStyle name="Normal 73 3 3 13 2" xfId="44594"/>
    <cellStyle name="Normal 73 3 3 13 2 2" xfId="44595"/>
    <cellStyle name="Normal 73 3 3 13 2 3" xfId="44596"/>
    <cellStyle name="Normal 73 3 3 13 2 4" xfId="44597"/>
    <cellStyle name="Normal 73 3 3 13 2 5" xfId="44598"/>
    <cellStyle name="Normal 73 3 3 13 2 6" xfId="44599"/>
    <cellStyle name="Normal 73 3 3 13 3" xfId="44600"/>
    <cellStyle name="Normal 73 3 3 13 3 2" xfId="44601"/>
    <cellStyle name="Normal 73 3 3 13 3 3" xfId="44602"/>
    <cellStyle name="Normal 73 3 3 13 3 4" xfId="44603"/>
    <cellStyle name="Normal 73 3 3 13 3 5" xfId="44604"/>
    <cellStyle name="Normal 73 3 3 13 3 6" xfId="44605"/>
    <cellStyle name="Normal 73 3 3 13 4" xfId="44606"/>
    <cellStyle name="Normal 73 3 3 13 4 2" xfId="44607"/>
    <cellStyle name="Normal 73 3 3 13 4 3" xfId="44608"/>
    <cellStyle name="Normal 73 3 3 13 4 4" xfId="44609"/>
    <cellStyle name="Normal 73 3 3 13 4 5" xfId="44610"/>
    <cellStyle name="Normal 73 3 3 13 4 6" xfId="44611"/>
    <cellStyle name="Normal 73 3 3 14" xfId="44612"/>
    <cellStyle name="Normal 73 3 3 14 2" xfId="44613"/>
    <cellStyle name="Normal 73 3 3 14 2 2" xfId="44614"/>
    <cellStyle name="Normal 73 3 3 14 2 3" xfId="44615"/>
    <cellStyle name="Normal 73 3 3 14 2 4" xfId="44616"/>
    <cellStyle name="Normal 73 3 3 14 2 5" xfId="44617"/>
    <cellStyle name="Normal 73 3 3 14 2 6" xfId="44618"/>
    <cellStyle name="Normal 73 3 3 14 3" xfId="44619"/>
    <cellStyle name="Normal 73 3 3 14 3 2" xfId="44620"/>
    <cellStyle name="Normal 73 3 3 14 3 3" xfId="44621"/>
    <cellStyle name="Normal 73 3 3 14 3 4" xfId="44622"/>
    <cellStyle name="Normal 73 3 3 14 3 5" xfId="44623"/>
    <cellStyle name="Normal 73 3 3 14 3 6" xfId="44624"/>
    <cellStyle name="Normal 73 3 3 14 4" xfId="44625"/>
    <cellStyle name="Normal 73 3 3 14 4 2" xfId="44626"/>
    <cellStyle name="Normal 73 3 3 14 4 3" xfId="44627"/>
    <cellStyle name="Normal 73 3 3 14 4 4" xfId="44628"/>
    <cellStyle name="Normal 73 3 3 14 4 5" xfId="44629"/>
    <cellStyle name="Normal 73 3 3 14 4 6" xfId="44630"/>
    <cellStyle name="Normal 73 3 3 15" xfId="44631"/>
    <cellStyle name="Normal 73 3 3 15 2" xfId="44632"/>
    <cellStyle name="Normal 73 3 3 15 2 2" xfId="44633"/>
    <cellStyle name="Normal 73 3 3 15 2 3" xfId="44634"/>
    <cellStyle name="Normal 73 3 3 15 2 4" xfId="44635"/>
    <cellStyle name="Normal 73 3 3 15 2 5" xfId="44636"/>
    <cellStyle name="Normal 73 3 3 15 2 6" xfId="44637"/>
    <cellStyle name="Normal 73 3 3 15 3" xfId="44638"/>
    <cellStyle name="Normal 73 3 3 15 3 2" xfId="44639"/>
    <cellStyle name="Normal 73 3 3 15 3 3" xfId="44640"/>
    <cellStyle name="Normal 73 3 3 15 3 4" xfId="44641"/>
    <cellStyle name="Normal 73 3 3 15 3 5" xfId="44642"/>
    <cellStyle name="Normal 73 3 3 15 3 6" xfId="44643"/>
    <cellStyle name="Normal 73 3 3 15 4" xfId="44644"/>
    <cellStyle name="Normal 73 3 3 15 4 2" xfId="44645"/>
    <cellStyle name="Normal 73 3 3 15 4 3" xfId="44646"/>
    <cellStyle name="Normal 73 3 3 15 4 4" xfId="44647"/>
    <cellStyle name="Normal 73 3 3 15 4 5" xfId="44648"/>
    <cellStyle name="Normal 73 3 3 15 4 6" xfId="44649"/>
    <cellStyle name="Normal 73 3 3 16" xfId="44650"/>
    <cellStyle name="Normal 73 3 3 16 2" xfId="44651"/>
    <cellStyle name="Normal 73 3 3 16 2 2" xfId="44652"/>
    <cellStyle name="Normal 73 3 3 16 2 3" xfId="44653"/>
    <cellStyle name="Normal 73 3 3 16 2 4" xfId="44654"/>
    <cellStyle name="Normal 73 3 3 16 2 5" xfId="44655"/>
    <cellStyle name="Normal 73 3 3 16 2 6" xfId="44656"/>
    <cellStyle name="Normal 73 3 3 16 3" xfId="44657"/>
    <cellStyle name="Normal 73 3 3 16 3 2" xfId="44658"/>
    <cellStyle name="Normal 73 3 3 16 3 3" xfId="44659"/>
    <cellStyle name="Normal 73 3 3 16 3 4" xfId="44660"/>
    <cellStyle name="Normal 73 3 3 16 3 5" xfId="44661"/>
    <cellStyle name="Normal 73 3 3 16 3 6" xfId="44662"/>
    <cellStyle name="Normal 73 3 3 16 4" xfId="44663"/>
    <cellStyle name="Normal 73 3 3 16 4 2" xfId="44664"/>
    <cellStyle name="Normal 73 3 3 16 4 3" xfId="44665"/>
    <cellStyle name="Normal 73 3 3 16 4 4" xfId="44666"/>
    <cellStyle name="Normal 73 3 3 16 4 5" xfId="44667"/>
    <cellStyle name="Normal 73 3 3 16 4 6" xfId="44668"/>
    <cellStyle name="Normal 73 3 3 17" xfId="44669"/>
    <cellStyle name="Normal 73 3 3 17 2" xfId="44670"/>
    <cellStyle name="Normal 73 3 3 17 3" xfId="44671"/>
    <cellStyle name="Normal 73 3 3 17 4" xfId="44672"/>
    <cellStyle name="Normal 73 3 3 17 5" xfId="44673"/>
    <cellStyle name="Normal 73 3 3 17 6" xfId="44674"/>
    <cellStyle name="Normal 73 3 3 18" xfId="44675"/>
    <cellStyle name="Normal 73 3 3 18 2" xfId="44676"/>
    <cellStyle name="Normal 73 3 3 18 3" xfId="44677"/>
    <cellStyle name="Normal 73 3 3 18 4" xfId="44678"/>
    <cellStyle name="Normal 73 3 3 18 5" xfId="44679"/>
    <cellStyle name="Normal 73 3 3 18 6" xfId="44680"/>
    <cellStyle name="Normal 73 3 3 19" xfId="44681"/>
    <cellStyle name="Normal 73 3 3 19 2" xfId="44682"/>
    <cellStyle name="Normal 73 3 3 19 3" xfId="44683"/>
    <cellStyle name="Normal 73 3 3 19 4" xfId="44684"/>
    <cellStyle name="Normal 73 3 3 19 5" xfId="44685"/>
    <cellStyle name="Normal 73 3 3 19 6" xfId="44686"/>
    <cellStyle name="Normal 73 3 3 2" xfId="44687"/>
    <cellStyle name="Normal 73 3 3 2 2" xfId="44688"/>
    <cellStyle name="Normal 73 3 3 2 2 2" xfId="44689"/>
    <cellStyle name="Normal 73 3 3 2 2 3" xfId="44690"/>
    <cellStyle name="Normal 73 3 3 2 2 4" xfId="44691"/>
    <cellStyle name="Normal 73 3 3 2 2 5" xfId="44692"/>
    <cellStyle name="Normal 73 3 3 2 2 6" xfId="44693"/>
    <cellStyle name="Normal 73 3 3 2 3" xfId="44694"/>
    <cellStyle name="Normal 73 3 3 2 3 2" xfId="44695"/>
    <cellStyle name="Normal 73 3 3 2 3 3" xfId="44696"/>
    <cellStyle name="Normal 73 3 3 2 3 4" xfId="44697"/>
    <cellStyle name="Normal 73 3 3 2 3 5" xfId="44698"/>
    <cellStyle name="Normal 73 3 3 2 3 6" xfId="44699"/>
    <cellStyle name="Normal 73 3 3 2 4" xfId="44700"/>
    <cellStyle name="Normal 73 3 3 2 4 2" xfId="44701"/>
    <cellStyle name="Normal 73 3 3 2 4 3" xfId="44702"/>
    <cellStyle name="Normal 73 3 3 2 4 4" xfId="44703"/>
    <cellStyle name="Normal 73 3 3 2 4 5" xfId="44704"/>
    <cellStyle name="Normal 73 3 3 2 4 6" xfId="44705"/>
    <cellStyle name="Normal 73 3 3 3" xfId="44706"/>
    <cellStyle name="Normal 73 3 3 3 2" xfId="44707"/>
    <cellStyle name="Normal 73 3 3 3 2 2" xfId="44708"/>
    <cellStyle name="Normal 73 3 3 3 2 3" xfId="44709"/>
    <cellStyle name="Normal 73 3 3 3 2 4" xfId="44710"/>
    <cellStyle name="Normal 73 3 3 3 2 5" xfId="44711"/>
    <cellStyle name="Normal 73 3 3 3 2 6" xfId="44712"/>
    <cellStyle name="Normal 73 3 3 3 3" xfId="44713"/>
    <cellStyle name="Normal 73 3 3 3 3 2" xfId="44714"/>
    <cellStyle name="Normal 73 3 3 3 3 3" xfId="44715"/>
    <cellStyle name="Normal 73 3 3 3 3 4" xfId="44716"/>
    <cellStyle name="Normal 73 3 3 3 3 5" xfId="44717"/>
    <cellStyle name="Normal 73 3 3 3 3 6" xfId="44718"/>
    <cellStyle name="Normal 73 3 3 3 4" xfId="44719"/>
    <cellStyle name="Normal 73 3 3 3 4 2" xfId="44720"/>
    <cellStyle name="Normal 73 3 3 3 4 3" xfId="44721"/>
    <cellStyle name="Normal 73 3 3 3 4 4" xfId="44722"/>
    <cellStyle name="Normal 73 3 3 3 4 5" xfId="44723"/>
    <cellStyle name="Normal 73 3 3 3 4 6" xfId="44724"/>
    <cellStyle name="Normal 73 3 3 4" xfId="44725"/>
    <cellStyle name="Normal 73 3 3 4 2" xfId="44726"/>
    <cellStyle name="Normal 73 3 3 4 2 2" xfId="44727"/>
    <cellStyle name="Normal 73 3 3 4 2 3" xfId="44728"/>
    <cellStyle name="Normal 73 3 3 4 2 4" xfId="44729"/>
    <cellStyle name="Normal 73 3 3 4 2 5" xfId="44730"/>
    <cellStyle name="Normal 73 3 3 4 2 6" xfId="44731"/>
    <cellStyle name="Normal 73 3 3 4 3" xfId="44732"/>
    <cellStyle name="Normal 73 3 3 4 3 2" xfId="44733"/>
    <cellStyle name="Normal 73 3 3 4 3 3" xfId="44734"/>
    <cellStyle name="Normal 73 3 3 4 3 4" xfId="44735"/>
    <cellStyle name="Normal 73 3 3 4 3 5" xfId="44736"/>
    <cellStyle name="Normal 73 3 3 4 3 6" xfId="44737"/>
    <cellStyle name="Normal 73 3 3 4 4" xfId="44738"/>
    <cellStyle name="Normal 73 3 3 4 4 2" xfId="44739"/>
    <cellStyle name="Normal 73 3 3 4 4 3" xfId="44740"/>
    <cellStyle name="Normal 73 3 3 4 4 4" xfId="44741"/>
    <cellStyle name="Normal 73 3 3 4 4 5" xfId="44742"/>
    <cellStyle name="Normal 73 3 3 4 4 6" xfId="44743"/>
    <cellStyle name="Normal 73 3 3 5" xfId="44744"/>
    <cellStyle name="Normal 73 3 3 5 2" xfId="44745"/>
    <cellStyle name="Normal 73 3 3 5 2 2" xfId="44746"/>
    <cellStyle name="Normal 73 3 3 5 2 3" xfId="44747"/>
    <cellStyle name="Normal 73 3 3 5 2 4" xfId="44748"/>
    <cellStyle name="Normal 73 3 3 5 2 5" xfId="44749"/>
    <cellStyle name="Normal 73 3 3 5 2 6" xfId="44750"/>
    <cellStyle name="Normal 73 3 3 5 3" xfId="44751"/>
    <cellStyle name="Normal 73 3 3 5 3 2" xfId="44752"/>
    <cellStyle name="Normal 73 3 3 5 3 3" xfId="44753"/>
    <cellStyle name="Normal 73 3 3 5 3 4" xfId="44754"/>
    <cellStyle name="Normal 73 3 3 5 3 5" xfId="44755"/>
    <cellStyle name="Normal 73 3 3 5 3 6" xfId="44756"/>
    <cellStyle name="Normal 73 3 3 5 4" xfId="44757"/>
    <cellStyle name="Normal 73 3 3 5 4 2" xfId="44758"/>
    <cellStyle name="Normal 73 3 3 5 4 3" xfId="44759"/>
    <cellStyle name="Normal 73 3 3 5 4 4" xfId="44760"/>
    <cellStyle name="Normal 73 3 3 5 4 5" xfId="44761"/>
    <cellStyle name="Normal 73 3 3 5 4 6" xfId="44762"/>
    <cellStyle name="Normal 73 3 3 6" xfId="44763"/>
    <cellStyle name="Normal 73 3 3 6 2" xfId="44764"/>
    <cellStyle name="Normal 73 3 3 6 2 2" xfId="44765"/>
    <cellStyle name="Normal 73 3 3 6 2 3" xfId="44766"/>
    <cellStyle name="Normal 73 3 3 6 2 4" xfId="44767"/>
    <cellStyle name="Normal 73 3 3 6 2 5" xfId="44768"/>
    <cellStyle name="Normal 73 3 3 6 2 6" xfId="44769"/>
    <cellStyle name="Normal 73 3 3 6 3" xfId="44770"/>
    <cellStyle name="Normal 73 3 3 6 3 2" xfId="44771"/>
    <cellStyle name="Normal 73 3 3 6 3 3" xfId="44772"/>
    <cellStyle name="Normal 73 3 3 6 3 4" xfId="44773"/>
    <cellStyle name="Normal 73 3 3 6 3 5" xfId="44774"/>
    <cellStyle name="Normal 73 3 3 6 3 6" xfId="44775"/>
    <cellStyle name="Normal 73 3 3 6 4" xfId="44776"/>
    <cellStyle name="Normal 73 3 3 6 4 2" xfId="44777"/>
    <cellStyle name="Normal 73 3 3 6 4 3" xfId="44778"/>
    <cellStyle name="Normal 73 3 3 6 4 4" xfId="44779"/>
    <cellStyle name="Normal 73 3 3 6 4 5" xfId="44780"/>
    <cellStyle name="Normal 73 3 3 6 4 6" xfId="44781"/>
    <cellStyle name="Normal 73 3 3 7" xfId="44782"/>
    <cellStyle name="Normal 73 3 3 7 2" xfId="44783"/>
    <cellStyle name="Normal 73 3 3 7 2 2" xfId="44784"/>
    <cellStyle name="Normal 73 3 3 7 2 3" xfId="44785"/>
    <cellStyle name="Normal 73 3 3 7 2 4" xfId="44786"/>
    <cellStyle name="Normal 73 3 3 7 2 5" xfId="44787"/>
    <cellStyle name="Normal 73 3 3 7 2 6" xfId="44788"/>
    <cellStyle name="Normal 73 3 3 7 3" xfId="44789"/>
    <cellStyle name="Normal 73 3 3 7 3 2" xfId="44790"/>
    <cellStyle name="Normal 73 3 3 7 3 3" xfId="44791"/>
    <cellStyle name="Normal 73 3 3 7 3 4" xfId="44792"/>
    <cellStyle name="Normal 73 3 3 7 3 5" xfId="44793"/>
    <cellStyle name="Normal 73 3 3 7 3 6" xfId="44794"/>
    <cellStyle name="Normal 73 3 3 7 4" xfId="44795"/>
    <cellStyle name="Normal 73 3 3 7 4 2" xfId="44796"/>
    <cellStyle name="Normal 73 3 3 7 4 3" xfId="44797"/>
    <cellStyle name="Normal 73 3 3 7 4 4" xfId="44798"/>
    <cellStyle name="Normal 73 3 3 7 4 5" xfId="44799"/>
    <cellStyle name="Normal 73 3 3 7 4 6" xfId="44800"/>
    <cellStyle name="Normal 73 3 3 8" xfId="44801"/>
    <cellStyle name="Normal 73 3 3 8 2" xfId="44802"/>
    <cellStyle name="Normal 73 3 3 8 2 2" xfId="44803"/>
    <cellStyle name="Normal 73 3 3 8 2 3" xfId="44804"/>
    <cellStyle name="Normal 73 3 3 8 2 4" xfId="44805"/>
    <cellStyle name="Normal 73 3 3 8 2 5" xfId="44806"/>
    <cellStyle name="Normal 73 3 3 8 2 6" xfId="44807"/>
    <cellStyle name="Normal 73 3 3 8 3" xfId="44808"/>
    <cellStyle name="Normal 73 3 3 8 3 2" xfId="44809"/>
    <cellStyle name="Normal 73 3 3 8 3 3" xfId="44810"/>
    <cellStyle name="Normal 73 3 3 8 3 4" xfId="44811"/>
    <cellStyle name="Normal 73 3 3 8 3 5" xfId="44812"/>
    <cellStyle name="Normal 73 3 3 8 3 6" xfId="44813"/>
    <cellStyle name="Normal 73 3 3 8 4" xfId="44814"/>
    <cellStyle name="Normal 73 3 3 8 4 2" xfId="44815"/>
    <cellStyle name="Normal 73 3 3 8 4 3" xfId="44816"/>
    <cellStyle name="Normal 73 3 3 8 4 4" xfId="44817"/>
    <cellStyle name="Normal 73 3 3 8 4 5" xfId="44818"/>
    <cellStyle name="Normal 73 3 3 8 4 6" xfId="44819"/>
    <cellStyle name="Normal 73 3 3 9" xfId="44820"/>
    <cellStyle name="Normal 73 3 3 9 2" xfId="44821"/>
    <cellStyle name="Normal 73 3 3 9 2 2" xfId="44822"/>
    <cellStyle name="Normal 73 3 3 9 2 3" xfId="44823"/>
    <cellStyle name="Normal 73 3 3 9 2 4" xfId="44824"/>
    <cellStyle name="Normal 73 3 3 9 2 5" xfId="44825"/>
    <cellStyle name="Normal 73 3 3 9 2 6" xfId="44826"/>
    <cellStyle name="Normal 73 3 3 9 3" xfId="44827"/>
    <cellStyle name="Normal 73 3 3 9 3 2" xfId="44828"/>
    <cellStyle name="Normal 73 3 3 9 3 3" xfId="44829"/>
    <cellStyle name="Normal 73 3 3 9 3 4" xfId="44830"/>
    <cellStyle name="Normal 73 3 3 9 3 5" xfId="44831"/>
    <cellStyle name="Normal 73 3 3 9 3 6" xfId="44832"/>
    <cellStyle name="Normal 73 3 3 9 4" xfId="44833"/>
    <cellStyle name="Normal 73 3 3 9 4 2" xfId="44834"/>
    <cellStyle name="Normal 73 3 3 9 4 3" xfId="44835"/>
    <cellStyle name="Normal 73 3 3 9 4 4" xfId="44836"/>
    <cellStyle name="Normal 73 3 3 9 4 5" xfId="44837"/>
    <cellStyle name="Normal 73 3 3 9 4 6" xfId="44838"/>
    <cellStyle name="Normal 73 3 4" xfId="44839"/>
    <cellStyle name="Normal 73 3 4 2" xfId="44840"/>
    <cellStyle name="Normal 73 3 4 2 2" xfId="44841"/>
    <cellStyle name="Normal 73 3 4 2 3" xfId="44842"/>
    <cellStyle name="Normal 73 3 4 2 4" xfId="44843"/>
    <cellStyle name="Normal 73 3 4 2 5" xfId="44844"/>
    <cellStyle name="Normal 73 3 4 2 6" xfId="44845"/>
    <cellStyle name="Normal 73 3 4 3" xfId="44846"/>
    <cellStyle name="Normal 73 3 4 3 2" xfId="44847"/>
    <cellStyle name="Normal 73 3 4 3 3" xfId="44848"/>
    <cellStyle name="Normal 73 3 4 3 4" xfId="44849"/>
    <cellStyle name="Normal 73 3 4 3 5" xfId="44850"/>
    <cellStyle name="Normal 73 3 4 3 6" xfId="44851"/>
    <cellStyle name="Normal 73 3 4 4" xfId="44852"/>
    <cellStyle name="Normal 73 3 4 4 2" xfId="44853"/>
    <cellStyle name="Normal 73 3 4 4 3" xfId="44854"/>
    <cellStyle name="Normal 73 3 4 4 4" xfId="44855"/>
    <cellStyle name="Normal 73 3 4 4 5" xfId="44856"/>
    <cellStyle name="Normal 73 3 4 4 6" xfId="44857"/>
    <cellStyle name="Normal 73 3 5" xfId="44858"/>
    <cellStyle name="Normal 73 3 5 2" xfId="44859"/>
    <cellStyle name="Normal 73 3 5 2 2" xfId="44860"/>
    <cellStyle name="Normal 73 3 5 2 3" xfId="44861"/>
    <cellStyle name="Normal 73 3 5 2 4" xfId="44862"/>
    <cellStyle name="Normal 73 3 5 2 5" xfId="44863"/>
    <cellStyle name="Normal 73 3 5 2 6" xfId="44864"/>
    <cellStyle name="Normal 73 3 5 3" xfId="44865"/>
    <cellStyle name="Normal 73 3 5 3 2" xfId="44866"/>
    <cellStyle name="Normal 73 3 5 3 3" xfId="44867"/>
    <cellStyle name="Normal 73 3 5 3 4" xfId="44868"/>
    <cellStyle name="Normal 73 3 5 3 5" xfId="44869"/>
    <cellStyle name="Normal 73 3 5 3 6" xfId="44870"/>
    <cellStyle name="Normal 73 3 5 4" xfId="44871"/>
    <cellStyle name="Normal 73 3 5 4 2" xfId="44872"/>
    <cellStyle name="Normal 73 3 5 4 3" xfId="44873"/>
    <cellStyle name="Normal 73 3 5 4 4" xfId="44874"/>
    <cellStyle name="Normal 73 3 5 4 5" xfId="44875"/>
    <cellStyle name="Normal 73 3 5 4 6" xfId="44876"/>
    <cellStyle name="Normal 73 3 6" xfId="44877"/>
    <cellStyle name="Normal 73 3 6 2" xfId="44878"/>
    <cellStyle name="Normal 73 3 6 2 2" xfId="44879"/>
    <cellStyle name="Normal 73 3 6 2 3" xfId="44880"/>
    <cellStyle name="Normal 73 3 6 2 4" xfId="44881"/>
    <cellStyle name="Normal 73 3 6 2 5" xfId="44882"/>
    <cellStyle name="Normal 73 3 6 2 6" xfId="44883"/>
    <cellStyle name="Normal 73 3 6 3" xfId="44884"/>
    <cellStyle name="Normal 73 3 6 3 2" xfId="44885"/>
    <cellStyle name="Normal 73 3 6 3 3" xfId="44886"/>
    <cellStyle name="Normal 73 3 6 3 4" xfId="44887"/>
    <cellStyle name="Normal 73 3 6 3 5" xfId="44888"/>
    <cellStyle name="Normal 73 3 6 3 6" xfId="44889"/>
    <cellStyle name="Normal 73 3 6 4" xfId="44890"/>
    <cellStyle name="Normal 73 3 6 4 2" xfId="44891"/>
    <cellStyle name="Normal 73 3 6 4 3" xfId="44892"/>
    <cellStyle name="Normal 73 3 6 4 4" xfId="44893"/>
    <cellStyle name="Normal 73 3 6 4 5" xfId="44894"/>
    <cellStyle name="Normal 73 3 6 4 6" xfId="44895"/>
    <cellStyle name="Normal 73 3 7" xfId="44896"/>
    <cellStyle name="Normal 73 3 7 2" xfId="44897"/>
    <cellStyle name="Normal 73 3 7 2 2" xfId="44898"/>
    <cellStyle name="Normal 73 3 7 2 3" xfId="44899"/>
    <cellStyle name="Normal 73 3 7 2 4" xfId="44900"/>
    <cellStyle name="Normal 73 3 7 2 5" xfId="44901"/>
    <cellStyle name="Normal 73 3 7 2 6" xfId="44902"/>
    <cellStyle name="Normal 73 3 7 3" xfId="44903"/>
    <cellStyle name="Normal 73 3 7 3 2" xfId="44904"/>
    <cellStyle name="Normal 73 3 7 3 3" xfId="44905"/>
    <cellStyle name="Normal 73 3 7 3 4" xfId="44906"/>
    <cellStyle name="Normal 73 3 7 3 5" xfId="44907"/>
    <cellStyle name="Normal 73 3 7 3 6" xfId="44908"/>
    <cellStyle name="Normal 73 3 7 4" xfId="44909"/>
    <cellStyle name="Normal 73 3 7 4 2" xfId="44910"/>
    <cellStyle name="Normal 73 3 7 4 3" xfId="44911"/>
    <cellStyle name="Normal 73 3 7 4 4" xfId="44912"/>
    <cellStyle name="Normal 73 3 7 4 5" xfId="44913"/>
    <cellStyle name="Normal 73 3 7 4 6" xfId="44914"/>
    <cellStyle name="Normal 73 3 8" xfId="44915"/>
    <cellStyle name="Normal 73 3 8 2" xfId="44916"/>
    <cellStyle name="Normal 73 3 8 2 2" xfId="44917"/>
    <cellStyle name="Normal 73 3 8 2 3" xfId="44918"/>
    <cellStyle name="Normal 73 3 8 2 4" xfId="44919"/>
    <cellStyle name="Normal 73 3 8 2 5" xfId="44920"/>
    <cellStyle name="Normal 73 3 8 2 6" xfId="44921"/>
    <cellStyle name="Normal 73 3 8 3" xfId="44922"/>
    <cellStyle name="Normal 73 3 8 3 2" xfId="44923"/>
    <cellStyle name="Normal 73 3 8 3 3" xfId="44924"/>
    <cellStyle name="Normal 73 3 8 3 4" xfId="44925"/>
    <cellStyle name="Normal 73 3 8 3 5" xfId="44926"/>
    <cellStyle name="Normal 73 3 8 3 6" xfId="44927"/>
    <cellStyle name="Normal 73 3 8 4" xfId="44928"/>
    <cellStyle name="Normal 73 3 8 4 2" xfId="44929"/>
    <cellStyle name="Normal 73 3 8 4 3" xfId="44930"/>
    <cellStyle name="Normal 73 3 8 4 4" xfId="44931"/>
    <cellStyle name="Normal 73 3 8 4 5" xfId="44932"/>
    <cellStyle name="Normal 73 3 8 4 6" xfId="44933"/>
    <cellStyle name="Normal 73 3 9" xfId="44934"/>
    <cellStyle name="Normal 73 3 9 2" xfId="44935"/>
    <cellStyle name="Normal 73 3 9 2 2" xfId="44936"/>
    <cellStyle name="Normal 73 3 9 2 3" xfId="44937"/>
    <cellStyle name="Normal 73 3 9 2 4" xfId="44938"/>
    <cellStyle name="Normal 73 3 9 2 5" xfId="44939"/>
    <cellStyle name="Normal 73 3 9 2 6" xfId="44940"/>
    <cellStyle name="Normal 73 3 9 3" xfId="44941"/>
    <cellStyle name="Normal 73 3 9 3 2" xfId="44942"/>
    <cellStyle name="Normal 73 3 9 3 3" xfId="44943"/>
    <cellStyle name="Normal 73 3 9 3 4" xfId="44944"/>
    <cellStyle name="Normal 73 3 9 3 5" xfId="44945"/>
    <cellStyle name="Normal 73 3 9 3 6" xfId="44946"/>
    <cellStyle name="Normal 73 3 9 4" xfId="44947"/>
    <cellStyle name="Normal 73 3 9 4 2" xfId="44948"/>
    <cellStyle name="Normal 73 3 9 4 3" xfId="44949"/>
    <cellStyle name="Normal 73 3 9 4 4" xfId="44950"/>
    <cellStyle name="Normal 73 3 9 4 5" xfId="44951"/>
    <cellStyle name="Normal 73 3 9 4 6" xfId="44952"/>
    <cellStyle name="Normal 73 4" xfId="44953"/>
    <cellStyle name="Normal 73 4 2" xfId="44954"/>
    <cellStyle name="Normal 73 4 2 2" xfId="44955"/>
    <cellStyle name="Normal 73 4 2 3" xfId="44956"/>
    <cellStyle name="Normal 73 4 2 4" xfId="44957"/>
    <cellStyle name="Normal 73 4 2 5" xfId="44958"/>
    <cellStyle name="Normal 73 4 2 6" xfId="44959"/>
    <cellStyle name="Normal 73 4 3" xfId="44960"/>
    <cellStyle name="Normal 73 4 3 2" xfId="44961"/>
    <cellStyle name="Normal 73 4 3 3" xfId="44962"/>
    <cellStyle name="Normal 73 4 3 4" xfId="44963"/>
    <cellStyle name="Normal 73 4 3 5" xfId="44964"/>
    <cellStyle name="Normal 73 4 3 6" xfId="44965"/>
    <cellStyle name="Normal 73 4 4" xfId="44966"/>
    <cellStyle name="Normal 73 4 4 2" xfId="44967"/>
    <cellStyle name="Normal 73 4 4 3" xfId="44968"/>
    <cellStyle name="Normal 73 4 4 4" xfId="44969"/>
    <cellStyle name="Normal 73 4 4 5" xfId="44970"/>
    <cellStyle name="Normal 73 4 4 6" xfId="44971"/>
    <cellStyle name="Normal 73 5" xfId="44972"/>
    <cellStyle name="Normal 73 5 2" xfId="44973"/>
    <cellStyle name="Normal 73 5 2 2" xfId="44974"/>
    <cellStyle name="Normal 73 5 2 3" xfId="44975"/>
    <cellStyle name="Normal 73 5 2 4" xfId="44976"/>
    <cellStyle name="Normal 73 5 2 5" xfId="44977"/>
    <cellStyle name="Normal 73 5 2 6" xfId="44978"/>
    <cellStyle name="Normal 73 5 3" xfId="44979"/>
    <cellStyle name="Normal 73 5 3 2" xfId="44980"/>
    <cellStyle name="Normal 73 5 3 3" xfId="44981"/>
    <cellStyle name="Normal 73 5 3 4" xfId="44982"/>
    <cellStyle name="Normal 73 5 3 5" xfId="44983"/>
    <cellStyle name="Normal 73 5 3 6" xfId="44984"/>
    <cellStyle name="Normal 73 5 4" xfId="44985"/>
    <cellStyle name="Normal 73 5 4 2" xfId="44986"/>
    <cellStyle name="Normal 73 5 4 3" xfId="44987"/>
    <cellStyle name="Normal 73 5 4 4" xfId="44988"/>
    <cellStyle name="Normal 73 5 4 5" xfId="44989"/>
    <cellStyle name="Normal 73 5 4 6" xfId="44990"/>
    <cellStyle name="Normal 73 6" xfId="44991"/>
    <cellStyle name="Normal 73 6 2" xfId="44992"/>
    <cellStyle name="Normal 73 6 2 2" xfId="44993"/>
    <cellStyle name="Normal 73 6 2 3" xfId="44994"/>
    <cellStyle name="Normal 73 6 2 4" xfId="44995"/>
    <cellStyle name="Normal 73 6 2 5" xfId="44996"/>
    <cellStyle name="Normal 73 6 2 6" xfId="44997"/>
    <cellStyle name="Normal 73 6 3" xfId="44998"/>
    <cellStyle name="Normal 73 6 3 2" xfId="44999"/>
    <cellStyle name="Normal 73 6 3 3" xfId="45000"/>
    <cellStyle name="Normal 73 6 3 4" xfId="45001"/>
    <cellStyle name="Normal 73 6 3 5" xfId="45002"/>
    <cellStyle name="Normal 73 6 3 6" xfId="45003"/>
    <cellStyle name="Normal 73 6 4" xfId="45004"/>
    <cellStyle name="Normal 73 6 4 2" xfId="45005"/>
    <cellStyle name="Normal 73 6 4 3" xfId="45006"/>
    <cellStyle name="Normal 73 6 4 4" xfId="45007"/>
    <cellStyle name="Normal 73 6 4 5" xfId="45008"/>
    <cellStyle name="Normal 73 6 4 6" xfId="45009"/>
    <cellStyle name="Normal 73 7" xfId="45010"/>
    <cellStyle name="Normal 73 7 2" xfId="45011"/>
    <cellStyle name="Normal 73 7 2 2" xfId="45012"/>
    <cellStyle name="Normal 73 7 2 3" xfId="45013"/>
    <cellStyle name="Normal 73 7 2 4" xfId="45014"/>
    <cellStyle name="Normal 73 7 2 5" xfId="45015"/>
    <cellStyle name="Normal 73 7 2 6" xfId="45016"/>
    <cellStyle name="Normal 73 7 3" xfId="45017"/>
    <cellStyle name="Normal 73 7 3 2" xfId="45018"/>
    <cellStyle name="Normal 73 7 3 3" xfId="45019"/>
    <cellStyle name="Normal 73 7 3 4" xfId="45020"/>
    <cellStyle name="Normal 73 7 3 5" xfId="45021"/>
    <cellStyle name="Normal 73 7 3 6" xfId="45022"/>
    <cellStyle name="Normal 73 7 4" xfId="45023"/>
    <cellStyle name="Normal 73 7 4 2" xfId="45024"/>
    <cellStyle name="Normal 73 7 4 3" xfId="45025"/>
    <cellStyle name="Normal 73 7 4 4" xfId="45026"/>
    <cellStyle name="Normal 73 7 4 5" xfId="45027"/>
    <cellStyle name="Normal 73 7 4 6" xfId="45028"/>
    <cellStyle name="Normal 73 8" xfId="45029"/>
    <cellStyle name="Normal 73 8 2" xfId="45030"/>
    <cellStyle name="Normal 73 8 3" xfId="45031"/>
    <cellStyle name="Normal 73 8 4" xfId="45032"/>
    <cellStyle name="Normal 73 8 5" xfId="45033"/>
    <cellStyle name="Normal 73 8 6" xfId="45034"/>
    <cellStyle name="Normal 73 9" xfId="45035"/>
    <cellStyle name="Normal 73 9 2" xfId="45036"/>
    <cellStyle name="Normal 73 9 3" xfId="45037"/>
    <cellStyle name="Normal 73 9 4" xfId="45038"/>
    <cellStyle name="Normal 73 9 5" xfId="45039"/>
    <cellStyle name="Normal 73 9 6" xfId="45040"/>
    <cellStyle name="Normal 74" xfId="45041"/>
    <cellStyle name="Normal 74 2" xfId="45042"/>
    <cellStyle name="Normal 74 2 2" xfId="45043"/>
    <cellStyle name="Normal 74 2 2 2" xfId="45044"/>
    <cellStyle name="Normal 74 2 2 3" xfId="45045"/>
    <cellStyle name="Normal 74 2 2 4" xfId="45046"/>
    <cellStyle name="Normal 74 2 2 5" xfId="45047"/>
    <cellStyle name="Normal 74 2 2 6" xfId="45048"/>
    <cellStyle name="Normal 74 2 3" xfId="45049"/>
    <cellStyle name="Normal 74 2 3 2" xfId="45050"/>
    <cellStyle name="Normal 74 2 3 3" xfId="45051"/>
    <cellStyle name="Normal 74 2 3 4" xfId="45052"/>
    <cellStyle name="Normal 74 2 3 5" xfId="45053"/>
    <cellStyle name="Normal 74 2 3 6" xfId="45054"/>
    <cellStyle name="Normal 74 2 4" xfId="45055"/>
    <cellStyle name="Normal 74 2 4 2" xfId="45056"/>
    <cellStyle name="Normal 74 2 4 3" xfId="45057"/>
    <cellStyle name="Normal 74 2 4 4" xfId="45058"/>
    <cellStyle name="Normal 74 2 4 5" xfId="45059"/>
    <cellStyle name="Normal 74 2 4 6" xfId="45060"/>
    <cellStyle name="Normal 74 3" xfId="45061"/>
    <cellStyle name="Normal 74 3 2" xfId="45062"/>
    <cellStyle name="Normal 74 3 2 2" xfId="45063"/>
    <cellStyle name="Normal 74 3 2 3" xfId="45064"/>
    <cellStyle name="Normal 74 3 2 4" xfId="45065"/>
    <cellStyle name="Normal 74 3 2 5" xfId="45066"/>
    <cellStyle name="Normal 74 3 2 6" xfId="45067"/>
    <cellStyle name="Normal 74 3 3" xfId="45068"/>
    <cellStyle name="Normal 74 3 3 2" xfId="45069"/>
    <cellStyle name="Normal 74 3 3 3" xfId="45070"/>
    <cellStyle name="Normal 74 3 3 4" xfId="45071"/>
    <cellStyle name="Normal 74 3 3 5" xfId="45072"/>
    <cellStyle name="Normal 74 3 3 6" xfId="45073"/>
    <cellStyle name="Normal 74 3 4" xfId="45074"/>
    <cellStyle name="Normal 74 3 4 2" xfId="45075"/>
    <cellStyle name="Normal 74 3 4 3" xfId="45076"/>
    <cellStyle name="Normal 74 3 4 4" xfId="45077"/>
    <cellStyle name="Normal 74 3 4 5" xfId="45078"/>
    <cellStyle name="Normal 74 3 4 6" xfId="45079"/>
    <cellStyle name="Normal 74 4" xfId="45080"/>
    <cellStyle name="Normal 74 4 2" xfId="45081"/>
    <cellStyle name="Normal 74 4 2 2" xfId="45082"/>
    <cellStyle name="Normal 74 4 2 3" xfId="45083"/>
    <cellStyle name="Normal 74 4 2 4" xfId="45084"/>
    <cellStyle name="Normal 74 4 2 5" xfId="45085"/>
    <cellStyle name="Normal 74 4 2 6" xfId="45086"/>
    <cellStyle name="Normal 74 4 3" xfId="45087"/>
    <cellStyle name="Normal 74 4 3 2" xfId="45088"/>
    <cellStyle name="Normal 74 4 3 3" xfId="45089"/>
    <cellStyle name="Normal 74 4 3 4" xfId="45090"/>
    <cellStyle name="Normal 74 4 3 5" xfId="45091"/>
    <cellStyle name="Normal 74 4 3 6" xfId="45092"/>
    <cellStyle name="Normal 74 4 4" xfId="45093"/>
    <cellStyle name="Normal 74 4 4 2" xfId="45094"/>
    <cellStyle name="Normal 74 4 4 3" xfId="45095"/>
    <cellStyle name="Normal 74 4 4 4" xfId="45096"/>
    <cellStyle name="Normal 74 4 4 5" xfId="45097"/>
    <cellStyle name="Normal 74 4 4 6" xfId="45098"/>
    <cellStyle name="Normal 74 5" xfId="45099"/>
    <cellStyle name="Normal 74 5 2" xfId="45100"/>
    <cellStyle name="Normal 74 5 2 2" xfId="45101"/>
    <cellStyle name="Normal 74 5 2 3" xfId="45102"/>
    <cellStyle name="Normal 74 5 2 4" xfId="45103"/>
    <cellStyle name="Normal 74 5 2 5" xfId="45104"/>
    <cellStyle name="Normal 74 5 2 6" xfId="45105"/>
    <cellStyle name="Normal 74 5 3" xfId="45106"/>
    <cellStyle name="Normal 74 5 3 2" xfId="45107"/>
    <cellStyle name="Normal 74 5 3 3" xfId="45108"/>
    <cellStyle name="Normal 74 5 3 4" xfId="45109"/>
    <cellStyle name="Normal 74 5 3 5" xfId="45110"/>
    <cellStyle name="Normal 74 5 3 6" xfId="45111"/>
    <cellStyle name="Normal 74 5 4" xfId="45112"/>
    <cellStyle name="Normal 74 5 4 2" xfId="45113"/>
    <cellStyle name="Normal 74 5 4 3" xfId="45114"/>
    <cellStyle name="Normal 74 5 4 4" xfId="45115"/>
    <cellStyle name="Normal 74 5 4 5" xfId="45116"/>
    <cellStyle name="Normal 74 5 4 6" xfId="45117"/>
    <cellStyle name="Normal 74 6" xfId="45118"/>
    <cellStyle name="Normal 74 6 2" xfId="45119"/>
    <cellStyle name="Normal 74 6 2 2" xfId="45120"/>
    <cellStyle name="Normal 74 6 2 3" xfId="45121"/>
    <cellStyle name="Normal 74 6 2 4" xfId="45122"/>
    <cellStyle name="Normal 74 6 2 5" xfId="45123"/>
    <cellStyle name="Normal 74 6 2 6" xfId="45124"/>
    <cellStyle name="Normal 74 6 3" xfId="45125"/>
    <cellStyle name="Normal 74 6 3 2" xfId="45126"/>
    <cellStyle name="Normal 74 6 3 3" xfId="45127"/>
    <cellStyle name="Normal 74 6 3 4" xfId="45128"/>
    <cellStyle name="Normal 74 6 3 5" xfId="45129"/>
    <cellStyle name="Normal 74 6 3 6" xfId="45130"/>
    <cellStyle name="Normal 74 6 4" xfId="45131"/>
    <cellStyle name="Normal 74 6 4 2" xfId="45132"/>
    <cellStyle name="Normal 74 6 4 3" xfId="45133"/>
    <cellStyle name="Normal 74 6 4 4" xfId="45134"/>
    <cellStyle name="Normal 74 6 4 5" xfId="45135"/>
    <cellStyle name="Normal 74 6 4 6" xfId="45136"/>
    <cellStyle name="Normal 74 7" xfId="45137"/>
    <cellStyle name="Normal 74 7 2" xfId="45138"/>
    <cellStyle name="Normal 74 7 3" xfId="45139"/>
    <cellStyle name="Normal 74 7 4" xfId="45140"/>
    <cellStyle name="Normal 74 7 5" xfId="45141"/>
    <cellStyle name="Normal 74 7 6" xfId="45142"/>
    <cellStyle name="Normal 74 8" xfId="45143"/>
    <cellStyle name="Normal 74 8 2" xfId="45144"/>
    <cellStyle name="Normal 74 8 3" xfId="45145"/>
    <cellStyle name="Normal 74 8 4" xfId="45146"/>
    <cellStyle name="Normal 74 8 5" xfId="45147"/>
    <cellStyle name="Normal 74 8 6" xfId="45148"/>
    <cellStyle name="Normal 74 9" xfId="45149"/>
    <cellStyle name="Normal 74 9 2" xfId="45150"/>
    <cellStyle name="Normal 74 9 3" xfId="45151"/>
    <cellStyle name="Normal 74 9 4" xfId="45152"/>
    <cellStyle name="Normal 74 9 5" xfId="45153"/>
    <cellStyle name="Normal 74 9 6" xfId="45154"/>
    <cellStyle name="Normal 75" xfId="45155"/>
    <cellStyle name="Normal 75 2" xfId="45156"/>
    <cellStyle name="Normal 75 2 2" xfId="45157"/>
    <cellStyle name="Normal 75 2 2 2" xfId="45158"/>
    <cellStyle name="Normal 75 2 2 3" xfId="45159"/>
    <cellStyle name="Normal 75 2 2 4" xfId="45160"/>
    <cellStyle name="Normal 75 2 2 5" xfId="45161"/>
    <cellStyle name="Normal 75 2 2 6" xfId="45162"/>
    <cellStyle name="Normal 75 2 3" xfId="45163"/>
    <cellStyle name="Normal 75 2 3 2" xfId="45164"/>
    <cellStyle name="Normal 75 2 3 3" xfId="45165"/>
    <cellStyle name="Normal 75 2 3 4" xfId="45166"/>
    <cellStyle name="Normal 75 2 3 5" xfId="45167"/>
    <cellStyle name="Normal 75 2 3 6" xfId="45168"/>
    <cellStyle name="Normal 75 2 4" xfId="45169"/>
    <cellStyle name="Normal 75 2 4 2" xfId="45170"/>
    <cellStyle name="Normal 75 2 4 3" xfId="45171"/>
    <cellStyle name="Normal 75 2 4 4" xfId="45172"/>
    <cellStyle name="Normal 75 2 4 5" xfId="45173"/>
    <cellStyle name="Normal 75 2 4 6" xfId="45174"/>
    <cellStyle name="Normal 75 3" xfId="45175"/>
    <cellStyle name="Normal 75 3 2" xfId="45176"/>
    <cellStyle name="Normal 75 3 2 2" xfId="45177"/>
    <cellStyle name="Normal 75 3 2 3" xfId="45178"/>
    <cellStyle name="Normal 75 3 2 4" xfId="45179"/>
    <cellStyle name="Normal 75 3 2 5" xfId="45180"/>
    <cellStyle name="Normal 75 3 2 6" xfId="45181"/>
    <cellStyle name="Normal 75 3 3" xfId="45182"/>
    <cellStyle name="Normal 75 3 3 2" xfId="45183"/>
    <cellStyle name="Normal 75 3 3 3" xfId="45184"/>
    <cellStyle name="Normal 75 3 3 4" xfId="45185"/>
    <cellStyle name="Normal 75 3 3 5" xfId="45186"/>
    <cellStyle name="Normal 75 3 3 6" xfId="45187"/>
    <cellStyle name="Normal 75 3 4" xfId="45188"/>
    <cellStyle name="Normal 75 3 4 2" xfId="45189"/>
    <cellStyle name="Normal 75 3 4 3" xfId="45190"/>
    <cellStyle name="Normal 75 3 4 4" xfId="45191"/>
    <cellStyle name="Normal 75 3 4 5" xfId="45192"/>
    <cellStyle name="Normal 75 3 4 6" xfId="45193"/>
    <cellStyle name="Normal 75 4" xfId="45194"/>
    <cellStyle name="Normal 75 4 2" xfId="45195"/>
    <cellStyle name="Normal 75 4 2 2" xfId="45196"/>
    <cellStyle name="Normal 75 4 2 3" xfId="45197"/>
    <cellStyle name="Normal 75 4 2 4" xfId="45198"/>
    <cellStyle name="Normal 75 4 2 5" xfId="45199"/>
    <cellStyle name="Normal 75 4 2 6" xfId="45200"/>
    <cellStyle name="Normal 75 4 3" xfId="45201"/>
    <cellStyle name="Normal 75 4 3 2" xfId="45202"/>
    <cellStyle name="Normal 75 4 3 3" xfId="45203"/>
    <cellStyle name="Normal 75 4 3 4" xfId="45204"/>
    <cellStyle name="Normal 75 4 3 5" xfId="45205"/>
    <cellStyle name="Normal 75 4 3 6" xfId="45206"/>
    <cellStyle name="Normal 75 4 4" xfId="45207"/>
    <cellStyle name="Normal 75 4 4 2" xfId="45208"/>
    <cellStyle name="Normal 75 4 4 3" xfId="45209"/>
    <cellStyle name="Normal 75 4 4 4" xfId="45210"/>
    <cellStyle name="Normal 75 4 4 5" xfId="45211"/>
    <cellStyle name="Normal 75 4 4 6" xfId="45212"/>
    <cellStyle name="Normal 75 5" xfId="45213"/>
    <cellStyle name="Normal 75 5 2" xfId="45214"/>
    <cellStyle name="Normal 75 5 2 2" xfId="45215"/>
    <cellStyle name="Normal 75 5 2 3" xfId="45216"/>
    <cellStyle name="Normal 75 5 2 4" xfId="45217"/>
    <cellStyle name="Normal 75 5 2 5" xfId="45218"/>
    <cellStyle name="Normal 75 5 2 6" xfId="45219"/>
    <cellStyle name="Normal 75 5 3" xfId="45220"/>
    <cellStyle name="Normal 75 5 3 2" xfId="45221"/>
    <cellStyle name="Normal 75 5 3 3" xfId="45222"/>
    <cellStyle name="Normal 75 5 3 4" xfId="45223"/>
    <cellStyle name="Normal 75 5 3 5" xfId="45224"/>
    <cellStyle name="Normal 75 5 3 6" xfId="45225"/>
    <cellStyle name="Normal 75 5 4" xfId="45226"/>
    <cellStyle name="Normal 75 5 4 2" xfId="45227"/>
    <cellStyle name="Normal 75 5 4 3" xfId="45228"/>
    <cellStyle name="Normal 75 5 4 4" xfId="45229"/>
    <cellStyle name="Normal 75 5 4 5" xfId="45230"/>
    <cellStyle name="Normal 75 5 4 6" xfId="45231"/>
    <cellStyle name="Normal 75 6" xfId="45232"/>
    <cellStyle name="Normal 75 6 2" xfId="45233"/>
    <cellStyle name="Normal 75 6 2 2" xfId="45234"/>
    <cellStyle name="Normal 75 6 2 3" xfId="45235"/>
    <cellStyle name="Normal 75 6 2 4" xfId="45236"/>
    <cellStyle name="Normal 75 6 2 5" xfId="45237"/>
    <cellStyle name="Normal 75 6 2 6" xfId="45238"/>
    <cellStyle name="Normal 75 6 3" xfId="45239"/>
    <cellStyle name="Normal 75 6 3 2" xfId="45240"/>
    <cellStyle name="Normal 75 6 3 3" xfId="45241"/>
    <cellStyle name="Normal 75 6 3 4" xfId="45242"/>
    <cellStyle name="Normal 75 6 3 5" xfId="45243"/>
    <cellStyle name="Normal 75 6 3 6" xfId="45244"/>
    <cellStyle name="Normal 75 6 4" xfId="45245"/>
    <cellStyle name="Normal 75 6 4 2" xfId="45246"/>
    <cellStyle name="Normal 75 6 4 3" xfId="45247"/>
    <cellStyle name="Normal 75 6 4 4" xfId="45248"/>
    <cellStyle name="Normal 75 6 4 5" xfId="45249"/>
    <cellStyle name="Normal 75 6 4 6" xfId="45250"/>
    <cellStyle name="Normal 75 7" xfId="45251"/>
    <cellStyle name="Normal 75 7 2" xfId="45252"/>
    <cellStyle name="Normal 75 7 3" xfId="45253"/>
    <cellStyle name="Normal 75 7 4" xfId="45254"/>
    <cellStyle name="Normal 75 7 5" xfId="45255"/>
    <cellStyle name="Normal 75 7 6" xfId="45256"/>
    <cellStyle name="Normal 75 8" xfId="45257"/>
    <cellStyle name="Normal 75 8 2" xfId="45258"/>
    <cellStyle name="Normal 75 8 3" xfId="45259"/>
    <cellStyle name="Normal 75 8 4" xfId="45260"/>
    <cellStyle name="Normal 75 8 5" xfId="45261"/>
    <cellStyle name="Normal 75 8 6" xfId="45262"/>
    <cellStyle name="Normal 75 9" xfId="45263"/>
    <cellStyle name="Normal 75 9 2" xfId="45264"/>
    <cellStyle name="Normal 75 9 3" xfId="45265"/>
    <cellStyle name="Normal 75 9 4" xfId="45266"/>
    <cellStyle name="Normal 75 9 5" xfId="45267"/>
    <cellStyle name="Normal 75 9 6" xfId="45268"/>
    <cellStyle name="Normal 76" xfId="45269"/>
    <cellStyle name="Normal 76 2" xfId="45270"/>
    <cellStyle name="Normal 76 2 2" xfId="45271"/>
    <cellStyle name="Normal 76 2 2 2" xfId="45272"/>
    <cellStyle name="Normal 76 2 2 3" xfId="45273"/>
    <cellStyle name="Normal 76 2 2 4" xfId="45274"/>
    <cellStyle name="Normal 76 2 2 5" xfId="45275"/>
    <cellStyle name="Normal 76 2 2 6" xfId="45276"/>
    <cellStyle name="Normal 76 2 3" xfId="45277"/>
    <cellStyle name="Normal 76 2 3 2" xfId="45278"/>
    <cellStyle name="Normal 76 2 3 3" xfId="45279"/>
    <cellStyle name="Normal 76 2 3 4" xfId="45280"/>
    <cellStyle name="Normal 76 2 3 5" xfId="45281"/>
    <cellStyle name="Normal 76 2 3 6" xfId="45282"/>
    <cellStyle name="Normal 76 2 4" xfId="45283"/>
    <cellStyle name="Normal 76 2 4 2" xfId="45284"/>
    <cellStyle name="Normal 76 2 4 3" xfId="45285"/>
    <cellStyle name="Normal 76 2 4 4" xfId="45286"/>
    <cellStyle name="Normal 76 2 4 5" xfId="45287"/>
    <cellStyle name="Normal 76 2 4 6" xfId="45288"/>
    <cellStyle name="Normal 76 3" xfId="45289"/>
    <cellStyle name="Normal 76 3 2" xfId="45290"/>
    <cellStyle name="Normal 76 3 2 2" xfId="45291"/>
    <cellStyle name="Normal 76 3 2 3" xfId="45292"/>
    <cellStyle name="Normal 76 3 2 4" xfId="45293"/>
    <cellStyle name="Normal 76 3 2 5" xfId="45294"/>
    <cellStyle name="Normal 76 3 2 6" xfId="45295"/>
    <cellStyle name="Normal 76 3 3" xfId="45296"/>
    <cellStyle name="Normal 76 3 3 2" xfId="45297"/>
    <cellStyle name="Normal 76 3 3 3" xfId="45298"/>
    <cellStyle name="Normal 76 3 3 4" xfId="45299"/>
    <cellStyle name="Normal 76 3 3 5" xfId="45300"/>
    <cellStyle name="Normal 76 3 3 6" xfId="45301"/>
    <cellStyle name="Normal 76 3 4" xfId="45302"/>
    <cellStyle name="Normal 76 3 4 2" xfId="45303"/>
    <cellStyle name="Normal 76 3 4 3" xfId="45304"/>
    <cellStyle name="Normal 76 3 4 4" xfId="45305"/>
    <cellStyle name="Normal 76 3 4 5" xfId="45306"/>
    <cellStyle name="Normal 76 3 4 6" xfId="45307"/>
    <cellStyle name="Normal 76 4" xfId="45308"/>
    <cellStyle name="Normal 76 4 2" xfId="45309"/>
    <cellStyle name="Normal 76 4 2 2" xfId="45310"/>
    <cellStyle name="Normal 76 4 2 3" xfId="45311"/>
    <cellStyle name="Normal 76 4 2 4" xfId="45312"/>
    <cellStyle name="Normal 76 4 2 5" xfId="45313"/>
    <cellStyle name="Normal 76 4 2 6" xfId="45314"/>
    <cellStyle name="Normal 76 4 3" xfId="45315"/>
    <cellStyle name="Normal 76 4 3 2" xfId="45316"/>
    <cellStyle name="Normal 76 4 3 3" xfId="45317"/>
    <cellStyle name="Normal 76 4 3 4" xfId="45318"/>
    <cellStyle name="Normal 76 4 3 5" xfId="45319"/>
    <cellStyle name="Normal 76 4 3 6" xfId="45320"/>
    <cellStyle name="Normal 76 4 4" xfId="45321"/>
    <cellStyle name="Normal 76 4 4 2" xfId="45322"/>
    <cellStyle name="Normal 76 4 4 3" xfId="45323"/>
    <cellStyle name="Normal 76 4 4 4" xfId="45324"/>
    <cellStyle name="Normal 76 4 4 5" xfId="45325"/>
    <cellStyle name="Normal 76 4 4 6" xfId="45326"/>
    <cellStyle name="Normal 76 5" xfId="45327"/>
    <cellStyle name="Normal 76 5 2" xfId="45328"/>
    <cellStyle name="Normal 76 5 2 2" xfId="45329"/>
    <cellStyle name="Normal 76 5 2 3" xfId="45330"/>
    <cellStyle name="Normal 76 5 2 4" xfId="45331"/>
    <cellStyle name="Normal 76 5 2 5" xfId="45332"/>
    <cellStyle name="Normal 76 5 2 6" xfId="45333"/>
    <cellStyle name="Normal 76 5 3" xfId="45334"/>
    <cellStyle name="Normal 76 5 3 2" xfId="45335"/>
    <cellStyle name="Normal 76 5 3 3" xfId="45336"/>
    <cellStyle name="Normal 76 5 3 4" xfId="45337"/>
    <cellStyle name="Normal 76 5 3 5" xfId="45338"/>
    <cellStyle name="Normal 76 5 3 6" xfId="45339"/>
    <cellStyle name="Normal 76 5 4" xfId="45340"/>
    <cellStyle name="Normal 76 5 4 2" xfId="45341"/>
    <cellStyle name="Normal 76 5 4 3" xfId="45342"/>
    <cellStyle name="Normal 76 5 4 4" xfId="45343"/>
    <cellStyle name="Normal 76 5 4 5" xfId="45344"/>
    <cellStyle name="Normal 76 5 4 6" xfId="45345"/>
    <cellStyle name="Normal 76 6" xfId="45346"/>
    <cellStyle name="Normal 76 6 2" xfId="45347"/>
    <cellStyle name="Normal 76 6 2 2" xfId="45348"/>
    <cellStyle name="Normal 76 6 2 3" xfId="45349"/>
    <cellStyle name="Normal 76 6 2 4" xfId="45350"/>
    <cellStyle name="Normal 76 6 2 5" xfId="45351"/>
    <cellStyle name="Normal 76 6 2 6" xfId="45352"/>
    <cellStyle name="Normal 76 6 3" xfId="45353"/>
    <cellStyle name="Normal 76 6 3 2" xfId="45354"/>
    <cellStyle name="Normal 76 6 3 3" xfId="45355"/>
    <cellStyle name="Normal 76 6 3 4" xfId="45356"/>
    <cellStyle name="Normal 76 6 3 5" xfId="45357"/>
    <cellStyle name="Normal 76 6 3 6" xfId="45358"/>
    <cellStyle name="Normal 76 6 4" xfId="45359"/>
    <cellStyle name="Normal 76 6 4 2" xfId="45360"/>
    <cellStyle name="Normal 76 6 4 3" xfId="45361"/>
    <cellStyle name="Normal 76 6 4 4" xfId="45362"/>
    <cellStyle name="Normal 76 6 4 5" xfId="45363"/>
    <cellStyle name="Normal 76 6 4 6" xfId="45364"/>
    <cellStyle name="Normal 76 7" xfId="45365"/>
    <cellStyle name="Normal 76 7 2" xfId="45366"/>
    <cellStyle name="Normal 76 7 3" xfId="45367"/>
    <cellStyle name="Normal 76 7 4" xfId="45368"/>
    <cellStyle name="Normal 76 7 5" xfId="45369"/>
    <cellStyle name="Normal 76 7 6" xfId="45370"/>
    <cellStyle name="Normal 76 8" xfId="45371"/>
    <cellStyle name="Normal 76 8 2" xfId="45372"/>
    <cellStyle name="Normal 76 8 3" xfId="45373"/>
    <cellStyle name="Normal 76 8 4" xfId="45374"/>
    <cellStyle name="Normal 76 8 5" xfId="45375"/>
    <cellStyle name="Normal 76 8 6" xfId="45376"/>
    <cellStyle name="Normal 76 9" xfId="45377"/>
    <cellStyle name="Normal 76 9 2" xfId="45378"/>
    <cellStyle name="Normal 76 9 3" xfId="45379"/>
    <cellStyle name="Normal 76 9 4" xfId="45380"/>
    <cellStyle name="Normal 76 9 5" xfId="45381"/>
    <cellStyle name="Normal 76 9 6" xfId="45382"/>
    <cellStyle name="Normal 77" xfId="45383"/>
    <cellStyle name="Normal 77 2" xfId="45384"/>
    <cellStyle name="Normal 77 2 2" xfId="45385"/>
    <cellStyle name="Normal 77 2 2 2" xfId="45386"/>
    <cellStyle name="Normal 77 2 2 3" xfId="45387"/>
    <cellStyle name="Normal 77 2 2 4" xfId="45388"/>
    <cellStyle name="Normal 77 2 2 5" xfId="45389"/>
    <cellStyle name="Normal 77 2 2 6" xfId="45390"/>
    <cellStyle name="Normal 77 2 3" xfId="45391"/>
    <cellStyle name="Normal 77 2 3 2" xfId="45392"/>
    <cellStyle name="Normal 77 2 3 3" xfId="45393"/>
    <cellStyle name="Normal 77 2 3 4" xfId="45394"/>
    <cellStyle name="Normal 77 2 3 5" xfId="45395"/>
    <cellStyle name="Normal 77 2 3 6" xfId="45396"/>
    <cellStyle name="Normal 77 2 4" xfId="45397"/>
    <cellStyle name="Normal 77 2 4 2" xfId="45398"/>
    <cellStyle name="Normal 77 2 4 3" xfId="45399"/>
    <cellStyle name="Normal 77 2 4 4" xfId="45400"/>
    <cellStyle name="Normal 77 2 4 5" xfId="45401"/>
    <cellStyle name="Normal 77 2 4 6" xfId="45402"/>
    <cellStyle name="Normal 77 3" xfId="45403"/>
    <cellStyle name="Normal 77 3 2" xfId="45404"/>
    <cellStyle name="Normal 77 3 2 2" xfId="45405"/>
    <cellStyle name="Normal 77 3 2 3" xfId="45406"/>
    <cellStyle name="Normal 77 3 2 4" xfId="45407"/>
    <cellStyle name="Normal 77 3 2 5" xfId="45408"/>
    <cellStyle name="Normal 77 3 2 6" xfId="45409"/>
    <cellStyle name="Normal 77 3 3" xfId="45410"/>
    <cellStyle name="Normal 77 3 3 2" xfId="45411"/>
    <cellStyle name="Normal 77 3 3 3" xfId="45412"/>
    <cellStyle name="Normal 77 3 3 4" xfId="45413"/>
    <cellStyle name="Normal 77 3 3 5" xfId="45414"/>
    <cellStyle name="Normal 77 3 3 6" xfId="45415"/>
    <cellStyle name="Normal 77 3 4" xfId="45416"/>
    <cellStyle name="Normal 77 3 4 2" xfId="45417"/>
    <cellStyle name="Normal 77 3 4 3" xfId="45418"/>
    <cellStyle name="Normal 77 3 4 4" xfId="45419"/>
    <cellStyle name="Normal 77 3 4 5" xfId="45420"/>
    <cellStyle name="Normal 77 3 4 6" xfId="45421"/>
    <cellStyle name="Normal 77 4" xfId="45422"/>
    <cellStyle name="Normal 77 4 2" xfId="45423"/>
    <cellStyle name="Normal 77 4 2 2" xfId="45424"/>
    <cellStyle name="Normal 77 4 2 3" xfId="45425"/>
    <cellStyle name="Normal 77 4 2 4" xfId="45426"/>
    <cellStyle name="Normal 77 4 2 5" xfId="45427"/>
    <cellStyle name="Normal 77 4 2 6" xfId="45428"/>
    <cellStyle name="Normal 77 4 3" xfId="45429"/>
    <cellStyle name="Normal 77 4 3 2" xfId="45430"/>
    <cellStyle name="Normal 77 4 3 3" xfId="45431"/>
    <cellStyle name="Normal 77 4 3 4" xfId="45432"/>
    <cellStyle name="Normal 77 4 3 5" xfId="45433"/>
    <cellStyle name="Normal 77 4 3 6" xfId="45434"/>
    <cellStyle name="Normal 77 4 4" xfId="45435"/>
    <cellStyle name="Normal 77 4 4 2" xfId="45436"/>
    <cellStyle name="Normal 77 4 4 3" xfId="45437"/>
    <cellStyle name="Normal 77 4 4 4" xfId="45438"/>
    <cellStyle name="Normal 77 4 4 5" xfId="45439"/>
    <cellStyle name="Normal 77 4 4 6" xfId="45440"/>
    <cellStyle name="Normal 77 5" xfId="45441"/>
    <cellStyle name="Normal 77 5 2" xfId="45442"/>
    <cellStyle name="Normal 77 5 2 2" xfId="45443"/>
    <cellStyle name="Normal 77 5 2 3" xfId="45444"/>
    <cellStyle name="Normal 77 5 2 4" xfId="45445"/>
    <cellStyle name="Normal 77 5 2 5" xfId="45446"/>
    <cellStyle name="Normal 77 5 2 6" xfId="45447"/>
    <cellStyle name="Normal 77 5 3" xfId="45448"/>
    <cellStyle name="Normal 77 5 3 2" xfId="45449"/>
    <cellStyle name="Normal 77 5 3 3" xfId="45450"/>
    <cellStyle name="Normal 77 5 3 4" xfId="45451"/>
    <cellStyle name="Normal 77 5 3 5" xfId="45452"/>
    <cellStyle name="Normal 77 5 3 6" xfId="45453"/>
    <cellStyle name="Normal 77 5 4" xfId="45454"/>
    <cellStyle name="Normal 77 5 4 2" xfId="45455"/>
    <cellStyle name="Normal 77 5 4 3" xfId="45456"/>
    <cellStyle name="Normal 77 5 4 4" xfId="45457"/>
    <cellStyle name="Normal 77 5 4 5" xfId="45458"/>
    <cellStyle name="Normal 77 5 4 6" xfId="45459"/>
    <cellStyle name="Normal 77 6" xfId="45460"/>
    <cellStyle name="Normal 77 6 2" xfId="45461"/>
    <cellStyle name="Normal 77 6 2 2" xfId="45462"/>
    <cellStyle name="Normal 77 6 2 3" xfId="45463"/>
    <cellStyle name="Normal 77 6 2 4" xfId="45464"/>
    <cellStyle name="Normal 77 6 2 5" xfId="45465"/>
    <cellStyle name="Normal 77 6 2 6" xfId="45466"/>
    <cellStyle name="Normal 77 6 3" xfId="45467"/>
    <cellStyle name="Normal 77 6 3 2" xfId="45468"/>
    <cellStyle name="Normal 77 6 3 3" xfId="45469"/>
    <cellStyle name="Normal 77 6 3 4" xfId="45470"/>
    <cellStyle name="Normal 77 6 3 5" xfId="45471"/>
    <cellStyle name="Normal 77 6 3 6" xfId="45472"/>
    <cellStyle name="Normal 77 6 4" xfId="45473"/>
    <cellStyle name="Normal 77 6 4 2" xfId="45474"/>
    <cellStyle name="Normal 77 6 4 3" xfId="45475"/>
    <cellStyle name="Normal 77 6 4 4" xfId="45476"/>
    <cellStyle name="Normal 77 6 4 5" xfId="45477"/>
    <cellStyle name="Normal 77 6 4 6" xfId="45478"/>
    <cellStyle name="Normal 77 7" xfId="45479"/>
    <cellStyle name="Normal 77 7 2" xfId="45480"/>
    <cellStyle name="Normal 77 7 3" xfId="45481"/>
    <cellStyle name="Normal 77 7 4" xfId="45482"/>
    <cellStyle name="Normal 77 7 5" xfId="45483"/>
    <cellStyle name="Normal 77 7 6" xfId="45484"/>
    <cellStyle name="Normal 77 8" xfId="45485"/>
    <cellStyle name="Normal 77 8 2" xfId="45486"/>
    <cellStyle name="Normal 77 8 3" xfId="45487"/>
    <cellStyle name="Normal 77 8 4" xfId="45488"/>
    <cellStyle name="Normal 77 8 5" xfId="45489"/>
    <cellStyle name="Normal 77 8 6" xfId="45490"/>
    <cellStyle name="Normal 77 9" xfId="45491"/>
    <cellStyle name="Normal 77 9 2" xfId="45492"/>
    <cellStyle name="Normal 77 9 3" xfId="45493"/>
    <cellStyle name="Normal 77 9 4" xfId="45494"/>
    <cellStyle name="Normal 77 9 5" xfId="45495"/>
    <cellStyle name="Normal 77 9 6" xfId="45496"/>
    <cellStyle name="Normal 78" xfId="45497"/>
    <cellStyle name="Normal 78 2" xfId="45498"/>
    <cellStyle name="Normal 78 2 2" xfId="45499"/>
    <cellStyle name="Normal 78 2 2 2" xfId="45500"/>
    <cellStyle name="Normal 78 2 2 3" xfId="45501"/>
    <cellStyle name="Normal 78 2 2 4" xfId="45502"/>
    <cellStyle name="Normal 78 2 2 5" xfId="45503"/>
    <cellStyle name="Normal 78 2 2 6" xfId="45504"/>
    <cellStyle name="Normal 78 2 3" xfId="45505"/>
    <cellStyle name="Normal 78 2 3 2" xfId="45506"/>
    <cellStyle name="Normal 78 2 3 3" xfId="45507"/>
    <cellStyle name="Normal 78 2 3 4" xfId="45508"/>
    <cellStyle name="Normal 78 2 3 5" xfId="45509"/>
    <cellStyle name="Normal 78 2 3 6" xfId="45510"/>
    <cellStyle name="Normal 78 2 4" xfId="45511"/>
    <cellStyle name="Normal 78 2 4 2" xfId="45512"/>
    <cellStyle name="Normal 78 2 4 3" xfId="45513"/>
    <cellStyle name="Normal 78 2 4 4" xfId="45514"/>
    <cellStyle name="Normal 78 2 4 5" xfId="45515"/>
    <cellStyle name="Normal 78 2 4 6" xfId="45516"/>
    <cellStyle name="Normal 78 3" xfId="45517"/>
    <cellStyle name="Normal 78 3 2" xfId="45518"/>
    <cellStyle name="Normal 78 3 2 2" xfId="45519"/>
    <cellStyle name="Normal 78 3 2 3" xfId="45520"/>
    <cellStyle name="Normal 78 3 2 4" xfId="45521"/>
    <cellStyle name="Normal 78 3 2 5" xfId="45522"/>
    <cellStyle name="Normal 78 3 2 6" xfId="45523"/>
    <cellStyle name="Normal 78 3 3" xfId="45524"/>
    <cellStyle name="Normal 78 3 3 2" xfId="45525"/>
    <cellStyle name="Normal 78 3 3 3" xfId="45526"/>
    <cellStyle name="Normal 78 3 3 4" xfId="45527"/>
    <cellStyle name="Normal 78 3 3 5" xfId="45528"/>
    <cellStyle name="Normal 78 3 3 6" xfId="45529"/>
    <cellStyle name="Normal 78 3 4" xfId="45530"/>
    <cellStyle name="Normal 78 3 4 2" xfId="45531"/>
    <cellStyle name="Normal 78 3 4 3" xfId="45532"/>
    <cellStyle name="Normal 78 3 4 4" xfId="45533"/>
    <cellStyle name="Normal 78 3 4 5" xfId="45534"/>
    <cellStyle name="Normal 78 3 4 6" xfId="45535"/>
    <cellStyle name="Normal 78 4" xfId="45536"/>
    <cellStyle name="Normal 78 4 2" xfId="45537"/>
    <cellStyle name="Normal 78 4 2 2" xfId="45538"/>
    <cellStyle name="Normal 78 4 2 3" xfId="45539"/>
    <cellStyle name="Normal 78 4 2 4" xfId="45540"/>
    <cellStyle name="Normal 78 4 2 5" xfId="45541"/>
    <cellStyle name="Normal 78 4 2 6" xfId="45542"/>
    <cellStyle name="Normal 78 4 3" xfId="45543"/>
    <cellStyle name="Normal 78 4 3 2" xfId="45544"/>
    <cellStyle name="Normal 78 4 3 3" xfId="45545"/>
    <cellStyle name="Normal 78 4 3 4" xfId="45546"/>
    <cellStyle name="Normal 78 4 3 5" xfId="45547"/>
    <cellStyle name="Normal 78 4 3 6" xfId="45548"/>
    <cellStyle name="Normal 78 4 4" xfId="45549"/>
    <cellStyle name="Normal 78 4 4 2" xfId="45550"/>
    <cellStyle name="Normal 78 4 4 3" xfId="45551"/>
    <cellStyle name="Normal 78 4 4 4" xfId="45552"/>
    <cellStyle name="Normal 78 4 4 5" xfId="45553"/>
    <cellStyle name="Normal 78 4 4 6" xfId="45554"/>
    <cellStyle name="Normal 78 5" xfId="45555"/>
    <cellStyle name="Normal 78 5 2" xfId="45556"/>
    <cellStyle name="Normal 78 5 2 2" xfId="45557"/>
    <cellStyle name="Normal 78 5 2 3" xfId="45558"/>
    <cellStyle name="Normal 78 5 2 4" xfId="45559"/>
    <cellStyle name="Normal 78 5 2 5" xfId="45560"/>
    <cellStyle name="Normal 78 5 2 6" xfId="45561"/>
    <cellStyle name="Normal 78 5 3" xfId="45562"/>
    <cellStyle name="Normal 78 5 3 2" xfId="45563"/>
    <cellStyle name="Normal 78 5 3 3" xfId="45564"/>
    <cellStyle name="Normal 78 5 3 4" xfId="45565"/>
    <cellStyle name="Normal 78 5 3 5" xfId="45566"/>
    <cellStyle name="Normal 78 5 3 6" xfId="45567"/>
    <cellStyle name="Normal 78 5 4" xfId="45568"/>
    <cellStyle name="Normal 78 5 4 2" xfId="45569"/>
    <cellStyle name="Normal 78 5 4 3" xfId="45570"/>
    <cellStyle name="Normal 78 5 4 4" xfId="45571"/>
    <cellStyle name="Normal 78 5 4 5" xfId="45572"/>
    <cellStyle name="Normal 78 5 4 6" xfId="45573"/>
    <cellStyle name="Normal 78 6" xfId="45574"/>
    <cellStyle name="Normal 78 6 2" xfId="45575"/>
    <cellStyle name="Normal 78 6 2 2" xfId="45576"/>
    <cellStyle name="Normal 78 6 2 3" xfId="45577"/>
    <cellStyle name="Normal 78 6 2 4" xfId="45578"/>
    <cellStyle name="Normal 78 6 2 5" xfId="45579"/>
    <cellStyle name="Normal 78 6 2 6" xfId="45580"/>
    <cellStyle name="Normal 78 6 3" xfId="45581"/>
    <cellStyle name="Normal 78 6 3 2" xfId="45582"/>
    <cellStyle name="Normal 78 6 3 3" xfId="45583"/>
    <cellStyle name="Normal 78 6 3 4" xfId="45584"/>
    <cellStyle name="Normal 78 6 3 5" xfId="45585"/>
    <cellStyle name="Normal 78 6 3 6" xfId="45586"/>
    <cellStyle name="Normal 78 6 4" xfId="45587"/>
    <cellStyle name="Normal 78 6 4 2" xfId="45588"/>
    <cellStyle name="Normal 78 6 4 3" xfId="45589"/>
    <cellStyle name="Normal 78 6 4 4" xfId="45590"/>
    <cellStyle name="Normal 78 6 4 5" xfId="45591"/>
    <cellStyle name="Normal 78 6 4 6" xfId="45592"/>
    <cellStyle name="Normal 78 7" xfId="45593"/>
    <cellStyle name="Normal 78 7 2" xfId="45594"/>
    <cellStyle name="Normal 78 7 3" xfId="45595"/>
    <cellStyle name="Normal 78 7 4" xfId="45596"/>
    <cellStyle name="Normal 78 7 5" xfId="45597"/>
    <cellStyle name="Normal 78 7 6" xfId="45598"/>
    <cellStyle name="Normal 78 8" xfId="45599"/>
    <cellStyle name="Normal 78 8 2" xfId="45600"/>
    <cellStyle name="Normal 78 8 3" xfId="45601"/>
    <cellStyle name="Normal 78 8 4" xfId="45602"/>
    <cellStyle name="Normal 78 8 5" xfId="45603"/>
    <cellStyle name="Normal 78 8 6" xfId="45604"/>
    <cellStyle name="Normal 78 9" xfId="45605"/>
    <cellStyle name="Normal 78 9 2" xfId="45606"/>
    <cellStyle name="Normal 78 9 3" xfId="45607"/>
    <cellStyle name="Normal 78 9 4" xfId="45608"/>
    <cellStyle name="Normal 78 9 5" xfId="45609"/>
    <cellStyle name="Normal 78 9 6" xfId="45610"/>
    <cellStyle name="Normal 79" xfId="45611"/>
    <cellStyle name="Normal 79 2" xfId="45612"/>
    <cellStyle name="Normal 79 2 2" xfId="45613"/>
    <cellStyle name="Normal 79 2 2 2" xfId="45614"/>
    <cellStyle name="Normal 79 2 2 3" xfId="45615"/>
    <cellStyle name="Normal 79 2 2 4" xfId="45616"/>
    <cellStyle name="Normal 79 2 2 5" xfId="45617"/>
    <cellStyle name="Normal 79 2 2 6" xfId="45618"/>
    <cellStyle name="Normal 79 2 3" xfId="45619"/>
    <cellStyle name="Normal 79 2 3 2" xfId="45620"/>
    <cellStyle name="Normal 79 2 3 3" xfId="45621"/>
    <cellStyle name="Normal 79 2 3 4" xfId="45622"/>
    <cellStyle name="Normal 79 2 3 5" xfId="45623"/>
    <cellStyle name="Normal 79 2 3 6" xfId="45624"/>
    <cellStyle name="Normal 79 2 4" xfId="45625"/>
    <cellStyle name="Normal 79 2 4 2" xfId="45626"/>
    <cellStyle name="Normal 79 2 4 3" xfId="45627"/>
    <cellStyle name="Normal 79 2 4 4" xfId="45628"/>
    <cellStyle name="Normal 79 2 4 5" xfId="45629"/>
    <cellStyle name="Normal 79 2 4 6" xfId="45630"/>
    <cellStyle name="Normal 79 3" xfId="45631"/>
    <cellStyle name="Normal 79 3 2" xfId="45632"/>
    <cellStyle name="Normal 79 3 2 2" xfId="45633"/>
    <cellStyle name="Normal 79 3 2 3" xfId="45634"/>
    <cellStyle name="Normal 79 3 2 4" xfId="45635"/>
    <cellStyle name="Normal 79 3 2 5" xfId="45636"/>
    <cellStyle name="Normal 79 3 2 6" xfId="45637"/>
    <cellStyle name="Normal 79 3 3" xfId="45638"/>
    <cellStyle name="Normal 79 3 3 2" xfId="45639"/>
    <cellStyle name="Normal 79 3 3 3" xfId="45640"/>
    <cellStyle name="Normal 79 3 3 4" xfId="45641"/>
    <cellStyle name="Normal 79 3 3 5" xfId="45642"/>
    <cellStyle name="Normal 79 3 3 6" xfId="45643"/>
    <cellStyle name="Normal 79 3 4" xfId="45644"/>
    <cellStyle name="Normal 79 3 4 2" xfId="45645"/>
    <cellStyle name="Normal 79 3 4 3" xfId="45646"/>
    <cellStyle name="Normal 79 3 4 4" xfId="45647"/>
    <cellStyle name="Normal 79 3 4 5" xfId="45648"/>
    <cellStyle name="Normal 79 3 4 6" xfId="45649"/>
    <cellStyle name="Normal 79 4" xfId="45650"/>
    <cellStyle name="Normal 79 4 2" xfId="45651"/>
    <cellStyle name="Normal 79 4 2 2" xfId="45652"/>
    <cellStyle name="Normal 79 4 2 3" xfId="45653"/>
    <cellStyle name="Normal 79 4 2 4" xfId="45654"/>
    <cellStyle name="Normal 79 4 2 5" xfId="45655"/>
    <cellStyle name="Normal 79 4 2 6" xfId="45656"/>
    <cellStyle name="Normal 79 4 3" xfId="45657"/>
    <cellStyle name="Normal 79 4 3 2" xfId="45658"/>
    <cellStyle name="Normal 79 4 3 3" xfId="45659"/>
    <cellStyle name="Normal 79 4 3 4" xfId="45660"/>
    <cellStyle name="Normal 79 4 3 5" xfId="45661"/>
    <cellStyle name="Normal 79 4 3 6" xfId="45662"/>
    <cellStyle name="Normal 79 4 4" xfId="45663"/>
    <cellStyle name="Normal 79 4 4 2" xfId="45664"/>
    <cellStyle name="Normal 79 4 4 3" xfId="45665"/>
    <cellStyle name="Normal 79 4 4 4" xfId="45666"/>
    <cellStyle name="Normal 79 4 4 5" xfId="45667"/>
    <cellStyle name="Normal 79 4 4 6" xfId="45668"/>
    <cellStyle name="Normal 79 5" xfId="45669"/>
    <cellStyle name="Normal 79 5 2" xfId="45670"/>
    <cellStyle name="Normal 79 5 2 2" xfId="45671"/>
    <cellStyle name="Normal 79 5 2 3" xfId="45672"/>
    <cellStyle name="Normal 79 5 2 4" xfId="45673"/>
    <cellStyle name="Normal 79 5 2 5" xfId="45674"/>
    <cellStyle name="Normal 79 5 2 6" xfId="45675"/>
    <cellStyle name="Normal 79 5 3" xfId="45676"/>
    <cellStyle name="Normal 79 5 3 2" xfId="45677"/>
    <cellStyle name="Normal 79 5 3 3" xfId="45678"/>
    <cellStyle name="Normal 79 5 3 4" xfId="45679"/>
    <cellStyle name="Normal 79 5 3 5" xfId="45680"/>
    <cellStyle name="Normal 79 5 3 6" xfId="45681"/>
    <cellStyle name="Normal 79 5 4" xfId="45682"/>
    <cellStyle name="Normal 79 5 4 2" xfId="45683"/>
    <cellStyle name="Normal 79 5 4 3" xfId="45684"/>
    <cellStyle name="Normal 79 5 4 4" xfId="45685"/>
    <cellStyle name="Normal 79 5 4 5" xfId="45686"/>
    <cellStyle name="Normal 79 5 4 6" xfId="45687"/>
    <cellStyle name="Normal 79 6" xfId="45688"/>
    <cellStyle name="Normal 79 6 2" xfId="45689"/>
    <cellStyle name="Normal 79 6 2 2" xfId="45690"/>
    <cellStyle name="Normal 79 6 2 3" xfId="45691"/>
    <cellStyle name="Normal 79 6 2 4" xfId="45692"/>
    <cellStyle name="Normal 79 6 2 5" xfId="45693"/>
    <cellStyle name="Normal 79 6 2 6" xfId="45694"/>
    <cellStyle name="Normal 79 6 3" xfId="45695"/>
    <cellStyle name="Normal 79 6 3 2" xfId="45696"/>
    <cellStyle name="Normal 79 6 3 3" xfId="45697"/>
    <cellStyle name="Normal 79 6 3 4" xfId="45698"/>
    <cellStyle name="Normal 79 6 3 5" xfId="45699"/>
    <cellStyle name="Normal 79 6 3 6" xfId="45700"/>
    <cellStyle name="Normal 79 6 4" xfId="45701"/>
    <cellStyle name="Normal 79 6 4 2" xfId="45702"/>
    <cellStyle name="Normal 79 6 4 3" xfId="45703"/>
    <cellStyle name="Normal 79 6 4 4" xfId="45704"/>
    <cellStyle name="Normal 79 6 4 5" xfId="45705"/>
    <cellStyle name="Normal 79 6 4 6" xfId="45706"/>
    <cellStyle name="Normal 79 7" xfId="45707"/>
    <cellStyle name="Normal 79 7 2" xfId="45708"/>
    <cellStyle name="Normal 79 7 3" xfId="45709"/>
    <cellStyle name="Normal 79 7 4" xfId="45710"/>
    <cellStyle name="Normal 79 7 5" xfId="45711"/>
    <cellStyle name="Normal 79 7 6" xfId="45712"/>
    <cellStyle name="Normal 79 8" xfId="45713"/>
    <cellStyle name="Normal 79 8 2" xfId="45714"/>
    <cellStyle name="Normal 79 8 3" xfId="45715"/>
    <cellStyle name="Normal 79 8 4" xfId="45716"/>
    <cellStyle name="Normal 79 8 5" xfId="45717"/>
    <cellStyle name="Normal 79 8 6" xfId="45718"/>
    <cellStyle name="Normal 79 9" xfId="45719"/>
    <cellStyle name="Normal 79 9 2" xfId="45720"/>
    <cellStyle name="Normal 79 9 3" xfId="45721"/>
    <cellStyle name="Normal 79 9 4" xfId="45722"/>
    <cellStyle name="Normal 79 9 5" xfId="45723"/>
    <cellStyle name="Normal 79 9 6" xfId="45724"/>
    <cellStyle name="Normal 8" xfId="45725"/>
    <cellStyle name="Normal 8 10" xfId="45726"/>
    <cellStyle name="Normal 8 10 2" xfId="45727"/>
    <cellStyle name="Normal 8 10 2 2" xfId="45728"/>
    <cellStyle name="Normal 8 10 2 3" xfId="45729"/>
    <cellStyle name="Normal 8 10 2 4" xfId="45730"/>
    <cellStyle name="Normal 8 10 2 5" xfId="45731"/>
    <cellStyle name="Normal 8 10 2 6" xfId="45732"/>
    <cellStyle name="Normal 8 10 3" xfId="45733"/>
    <cellStyle name="Normal 8 10 3 2" xfId="45734"/>
    <cellStyle name="Normal 8 10 3 3" xfId="45735"/>
    <cellStyle name="Normal 8 10 3 4" xfId="45736"/>
    <cellStyle name="Normal 8 10 3 5" xfId="45737"/>
    <cellStyle name="Normal 8 10 3 6" xfId="45738"/>
    <cellStyle name="Normal 8 10 4" xfId="45739"/>
    <cellStyle name="Normal 8 10 4 2" xfId="45740"/>
    <cellStyle name="Normal 8 10 4 3" xfId="45741"/>
    <cellStyle name="Normal 8 10 4 4" xfId="45742"/>
    <cellStyle name="Normal 8 10 4 5" xfId="45743"/>
    <cellStyle name="Normal 8 10 4 6" xfId="45744"/>
    <cellStyle name="Normal 8 11" xfId="45745"/>
    <cellStyle name="Normal 8 11 2" xfId="45746"/>
    <cellStyle name="Normal 8 11 3" xfId="45747"/>
    <cellStyle name="Normal 8 11 4" xfId="45748"/>
    <cellStyle name="Normal 8 11 5" xfId="45749"/>
    <cellStyle name="Normal 8 11 6" xfId="45750"/>
    <cellStyle name="Normal 8 12" xfId="45751"/>
    <cellStyle name="Normal 8 12 2" xfId="45752"/>
    <cellStyle name="Normal 8 12 3" xfId="45753"/>
    <cellStyle name="Normal 8 12 4" xfId="45754"/>
    <cellStyle name="Normal 8 12 5" xfId="45755"/>
    <cellStyle name="Normal 8 12 6" xfId="45756"/>
    <cellStyle name="Normal 8 13" xfId="45757"/>
    <cellStyle name="Normal 8 13 2" xfId="45758"/>
    <cellStyle name="Normal 8 13 3" xfId="45759"/>
    <cellStyle name="Normal 8 13 4" xfId="45760"/>
    <cellStyle name="Normal 8 13 5" xfId="45761"/>
    <cellStyle name="Normal 8 13 6" xfId="45762"/>
    <cellStyle name="Normal 8 2" xfId="45763"/>
    <cellStyle name="Normal 8 2 2" xfId="45764"/>
    <cellStyle name="Normal 8 2 2 2" xfId="45765"/>
    <cellStyle name="Normal 8 2 2 3" xfId="45766"/>
    <cellStyle name="Normal 8 2 2 4" xfId="45767"/>
    <cellStyle name="Normal 8 2 2 5" xfId="45768"/>
    <cellStyle name="Normal 8 2 2 6" xfId="45769"/>
    <cellStyle name="Normal 8 2 3" xfId="45770"/>
    <cellStyle name="Normal 8 2 3 2" xfId="45771"/>
    <cellStyle name="Normal 8 2 3 3" xfId="45772"/>
    <cellStyle name="Normal 8 2 3 4" xfId="45773"/>
    <cellStyle name="Normal 8 2 3 5" xfId="45774"/>
    <cellStyle name="Normal 8 2 3 6" xfId="45775"/>
    <cellStyle name="Normal 8 2 4" xfId="45776"/>
    <cellStyle name="Normal 8 2 4 2" xfId="45777"/>
    <cellStyle name="Normal 8 2 4 3" xfId="45778"/>
    <cellStyle name="Normal 8 2 4 4" xfId="45779"/>
    <cellStyle name="Normal 8 2 4 5" xfId="45780"/>
    <cellStyle name="Normal 8 2 4 6" xfId="45781"/>
    <cellStyle name="Normal 8 3" xfId="45782"/>
    <cellStyle name="Normal 8 3 2" xfId="45783"/>
    <cellStyle name="Normal 8 3 2 2" xfId="45784"/>
    <cellStyle name="Normal 8 3 2 3" xfId="45785"/>
    <cellStyle name="Normal 8 3 2 4" xfId="45786"/>
    <cellStyle name="Normal 8 3 2 5" xfId="45787"/>
    <cellStyle name="Normal 8 3 2 6" xfId="45788"/>
    <cellStyle name="Normal 8 3 3" xfId="45789"/>
    <cellStyle name="Normal 8 3 3 2" xfId="45790"/>
    <cellStyle name="Normal 8 3 3 3" xfId="45791"/>
    <cellStyle name="Normal 8 3 3 4" xfId="45792"/>
    <cellStyle name="Normal 8 3 3 5" xfId="45793"/>
    <cellStyle name="Normal 8 3 3 6" xfId="45794"/>
    <cellStyle name="Normal 8 3 4" xfId="45795"/>
    <cellStyle name="Normal 8 3 4 2" xfId="45796"/>
    <cellStyle name="Normal 8 3 4 3" xfId="45797"/>
    <cellStyle name="Normal 8 3 4 4" xfId="45798"/>
    <cellStyle name="Normal 8 3 4 5" xfId="45799"/>
    <cellStyle name="Normal 8 3 4 6" xfId="45800"/>
    <cellStyle name="Normal 8 4" xfId="45801"/>
    <cellStyle name="Normal 8 4 2" xfId="45802"/>
    <cellStyle name="Normal 8 4 2 2" xfId="45803"/>
    <cellStyle name="Normal 8 4 2 3" xfId="45804"/>
    <cellStyle name="Normal 8 4 2 4" xfId="45805"/>
    <cellStyle name="Normal 8 4 2 5" xfId="45806"/>
    <cellStyle name="Normal 8 4 2 6" xfId="45807"/>
    <cellStyle name="Normal 8 4 3" xfId="45808"/>
    <cellStyle name="Normal 8 4 3 2" xfId="45809"/>
    <cellStyle name="Normal 8 4 3 3" xfId="45810"/>
    <cellStyle name="Normal 8 4 3 4" xfId="45811"/>
    <cellStyle name="Normal 8 4 3 5" xfId="45812"/>
    <cellStyle name="Normal 8 4 3 6" xfId="45813"/>
    <cellStyle name="Normal 8 4 4" xfId="45814"/>
    <cellStyle name="Normal 8 4 4 2" xfId="45815"/>
    <cellStyle name="Normal 8 4 4 3" xfId="45816"/>
    <cellStyle name="Normal 8 4 4 4" xfId="45817"/>
    <cellStyle name="Normal 8 4 4 5" xfId="45818"/>
    <cellStyle name="Normal 8 4 4 6" xfId="45819"/>
    <cellStyle name="Normal 8 5" xfId="45820"/>
    <cellStyle name="Normal 8 5 2" xfId="45821"/>
    <cellStyle name="Normal 8 5 2 2" xfId="45822"/>
    <cellStyle name="Normal 8 5 2 3" xfId="45823"/>
    <cellStyle name="Normal 8 5 2 4" xfId="45824"/>
    <cellStyle name="Normal 8 5 2 5" xfId="45825"/>
    <cellStyle name="Normal 8 5 2 6" xfId="45826"/>
    <cellStyle name="Normal 8 5 3" xfId="45827"/>
    <cellStyle name="Normal 8 5 3 2" xfId="45828"/>
    <cellStyle name="Normal 8 5 3 3" xfId="45829"/>
    <cellStyle name="Normal 8 5 3 4" xfId="45830"/>
    <cellStyle name="Normal 8 5 3 5" xfId="45831"/>
    <cellStyle name="Normal 8 5 3 6" xfId="45832"/>
    <cellStyle name="Normal 8 5 4" xfId="45833"/>
    <cellStyle name="Normal 8 5 4 2" xfId="45834"/>
    <cellStyle name="Normal 8 5 4 3" xfId="45835"/>
    <cellStyle name="Normal 8 5 4 4" xfId="45836"/>
    <cellStyle name="Normal 8 5 4 5" xfId="45837"/>
    <cellStyle name="Normal 8 5 4 6" xfId="45838"/>
    <cellStyle name="Normal 8 6" xfId="45839"/>
    <cellStyle name="Normal 8 6 2" xfId="45840"/>
    <cellStyle name="Normal 8 6 2 2" xfId="45841"/>
    <cellStyle name="Normal 8 6 2 3" xfId="45842"/>
    <cellStyle name="Normal 8 6 2 4" xfId="45843"/>
    <cellStyle name="Normal 8 6 2 5" xfId="45844"/>
    <cellStyle name="Normal 8 6 2 6" xfId="45845"/>
    <cellStyle name="Normal 8 6 3" xfId="45846"/>
    <cellStyle name="Normal 8 6 3 2" xfId="45847"/>
    <cellStyle name="Normal 8 6 3 3" xfId="45848"/>
    <cellStyle name="Normal 8 6 3 4" xfId="45849"/>
    <cellStyle name="Normal 8 6 3 5" xfId="45850"/>
    <cellStyle name="Normal 8 6 3 6" xfId="45851"/>
    <cellStyle name="Normal 8 6 4" xfId="45852"/>
    <cellStyle name="Normal 8 6 4 2" xfId="45853"/>
    <cellStyle name="Normal 8 6 4 3" xfId="45854"/>
    <cellStyle name="Normal 8 6 4 4" xfId="45855"/>
    <cellStyle name="Normal 8 6 4 5" xfId="45856"/>
    <cellStyle name="Normal 8 6 4 6" xfId="45857"/>
    <cellStyle name="Normal 8 7" xfId="45858"/>
    <cellStyle name="Normal 8 7 2" xfId="45859"/>
    <cellStyle name="Normal 8 7 2 2" xfId="45860"/>
    <cellStyle name="Normal 8 7 2 3" xfId="45861"/>
    <cellStyle name="Normal 8 7 2 4" xfId="45862"/>
    <cellStyle name="Normal 8 7 2 5" xfId="45863"/>
    <cellStyle name="Normal 8 7 2 6" xfId="45864"/>
    <cellStyle name="Normal 8 7 3" xfId="45865"/>
    <cellStyle name="Normal 8 7 3 2" xfId="45866"/>
    <cellStyle name="Normal 8 7 3 3" xfId="45867"/>
    <cellStyle name="Normal 8 7 3 4" xfId="45868"/>
    <cellStyle name="Normal 8 7 3 5" xfId="45869"/>
    <cellStyle name="Normal 8 7 3 6" xfId="45870"/>
    <cellStyle name="Normal 8 7 4" xfId="45871"/>
    <cellStyle name="Normal 8 7 4 2" xfId="45872"/>
    <cellStyle name="Normal 8 7 4 3" xfId="45873"/>
    <cellStyle name="Normal 8 7 4 4" xfId="45874"/>
    <cellStyle name="Normal 8 7 4 5" xfId="45875"/>
    <cellStyle name="Normal 8 7 4 6" xfId="45876"/>
    <cellStyle name="Normal 8 8" xfId="45877"/>
    <cellStyle name="Normal 8 8 2" xfId="45878"/>
    <cellStyle name="Normal 8 8 2 2" xfId="45879"/>
    <cellStyle name="Normal 8 8 2 3" xfId="45880"/>
    <cellStyle name="Normal 8 8 2 4" xfId="45881"/>
    <cellStyle name="Normal 8 8 2 5" xfId="45882"/>
    <cellStyle name="Normal 8 8 2 6" xfId="45883"/>
    <cellStyle name="Normal 8 8 3" xfId="45884"/>
    <cellStyle name="Normal 8 8 3 2" xfId="45885"/>
    <cellStyle name="Normal 8 8 3 3" xfId="45886"/>
    <cellStyle name="Normal 8 8 3 4" xfId="45887"/>
    <cellStyle name="Normal 8 8 3 5" xfId="45888"/>
    <cellStyle name="Normal 8 8 3 6" xfId="45889"/>
    <cellStyle name="Normal 8 8 4" xfId="45890"/>
    <cellStyle name="Normal 8 8 4 2" xfId="45891"/>
    <cellStyle name="Normal 8 8 4 3" xfId="45892"/>
    <cellStyle name="Normal 8 8 4 4" xfId="45893"/>
    <cellStyle name="Normal 8 8 4 5" xfId="45894"/>
    <cellStyle name="Normal 8 8 4 6" xfId="45895"/>
    <cellStyle name="Normal 8 9" xfId="45896"/>
    <cellStyle name="Normal 8 9 2" xfId="45897"/>
    <cellStyle name="Normal 8 9 2 2" xfId="45898"/>
    <cellStyle name="Normal 8 9 2 3" xfId="45899"/>
    <cellStyle name="Normal 8 9 2 4" xfId="45900"/>
    <cellStyle name="Normal 8 9 2 5" xfId="45901"/>
    <cellStyle name="Normal 8 9 2 6" xfId="45902"/>
    <cellStyle name="Normal 8 9 3" xfId="45903"/>
    <cellStyle name="Normal 8 9 3 2" xfId="45904"/>
    <cellStyle name="Normal 8 9 3 3" xfId="45905"/>
    <cellStyle name="Normal 8 9 3 4" xfId="45906"/>
    <cellStyle name="Normal 8 9 3 5" xfId="45907"/>
    <cellStyle name="Normal 8 9 3 6" xfId="45908"/>
    <cellStyle name="Normal 8 9 4" xfId="45909"/>
    <cellStyle name="Normal 8 9 4 2" xfId="45910"/>
    <cellStyle name="Normal 8 9 4 3" xfId="45911"/>
    <cellStyle name="Normal 8 9 4 4" xfId="45912"/>
    <cellStyle name="Normal 8 9 4 5" xfId="45913"/>
    <cellStyle name="Normal 8 9 4 6" xfId="45914"/>
    <cellStyle name="Normal 80" xfId="45915"/>
    <cellStyle name="Normal 80 2" xfId="45916"/>
    <cellStyle name="Normal 80 2 2" xfId="45917"/>
    <cellStyle name="Normal 80 2 2 2" xfId="45918"/>
    <cellStyle name="Normal 80 2 2 3" xfId="45919"/>
    <cellStyle name="Normal 80 2 2 4" xfId="45920"/>
    <cellStyle name="Normal 80 2 2 5" xfId="45921"/>
    <cellStyle name="Normal 80 2 2 6" xfId="45922"/>
    <cellStyle name="Normal 80 2 3" xfId="45923"/>
    <cellStyle name="Normal 80 2 3 2" xfId="45924"/>
    <cellStyle name="Normal 80 2 3 3" xfId="45925"/>
    <cellStyle name="Normal 80 2 3 4" xfId="45926"/>
    <cellStyle name="Normal 80 2 3 5" xfId="45927"/>
    <cellStyle name="Normal 80 2 3 6" xfId="45928"/>
    <cellStyle name="Normal 80 2 4" xfId="45929"/>
    <cellStyle name="Normal 80 2 4 2" xfId="45930"/>
    <cellStyle name="Normal 80 2 4 3" xfId="45931"/>
    <cellStyle name="Normal 80 2 4 4" xfId="45932"/>
    <cellStyle name="Normal 80 2 4 5" xfId="45933"/>
    <cellStyle name="Normal 80 2 4 6" xfId="45934"/>
    <cellStyle name="Normal 80 3" xfId="45935"/>
    <cellStyle name="Normal 80 3 2" xfId="45936"/>
    <cellStyle name="Normal 80 3 2 2" xfId="45937"/>
    <cellStyle name="Normal 80 3 2 3" xfId="45938"/>
    <cellStyle name="Normal 80 3 2 4" xfId="45939"/>
    <cellStyle name="Normal 80 3 2 5" xfId="45940"/>
    <cellStyle name="Normal 80 3 2 6" xfId="45941"/>
    <cellStyle name="Normal 80 3 3" xfId="45942"/>
    <cellStyle name="Normal 80 3 3 2" xfId="45943"/>
    <cellStyle name="Normal 80 3 3 3" xfId="45944"/>
    <cellStyle name="Normal 80 3 3 4" xfId="45945"/>
    <cellStyle name="Normal 80 3 3 5" xfId="45946"/>
    <cellStyle name="Normal 80 3 3 6" xfId="45947"/>
    <cellStyle name="Normal 80 3 4" xfId="45948"/>
    <cellStyle name="Normal 80 3 4 2" xfId="45949"/>
    <cellStyle name="Normal 80 3 4 3" xfId="45950"/>
    <cellStyle name="Normal 80 3 4 4" xfId="45951"/>
    <cellStyle name="Normal 80 3 4 5" xfId="45952"/>
    <cellStyle name="Normal 80 3 4 6" xfId="45953"/>
    <cellStyle name="Normal 80 4" xfId="45954"/>
    <cellStyle name="Normal 80 4 2" xfId="45955"/>
    <cellStyle name="Normal 80 4 2 2" xfId="45956"/>
    <cellStyle name="Normal 80 4 2 3" xfId="45957"/>
    <cellStyle name="Normal 80 4 2 4" xfId="45958"/>
    <cellStyle name="Normal 80 4 2 5" xfId="45959"/>
    <cellStyle name="Normal 80 4 2 6" xfId="45960"/>
    <cellStyle name="Normal 80 4 3" xfId="45961"/>
    <cellStyle name="Normal 80 4 3 2" xfId="45962"/>
    <cellStyle name="Normal 80 4 3 3" xfId="45963"/>
    <cellStyle name="Normal 80 4 3 4" xfId="45964"/>
    <cellStyle name="Normal 80 4 3 5" xfId="45965"/>
    <cellStyle name="Normal 80 4 3 6" xfId="45966"/>
    <cellStyle name="Normal 80 4 4" xfId="45967"/>
    <cellStyle name="Normal 80 4 4 2" xfId="45968"/>
    <cellStyle name="Normal 80 4 4 3" xfId="45969"/>
    <cellStyle name="Normal 80 4 4 4" xfId="45970"/>
    <cellStyle name="Normal 80 4 4 5" xfId="45971"/>
    <cellStyle name="Normal 80 4 4 6" xfId="45972"/>
    <cellStyle name="Normal 80 5" xfId="45973"/>
    <cellStyle name="Normal 80 5 2" xfId="45974"/>
    <cellStyle name="Normal 80 5 2 2" xfId="45975"/>
    <cellStyle name="Normal 80 5 2 3" xfId="45976"/>
    <cellStyle name="Normal 80 5 2 4" xfId="45977"/>
    <cellStyle name="Normal 80 5 2 5" xfId="45978"/>
    <cellStyle name="Normal 80 5 2 6" xfId="45979"/>
    <cellStyle name="Normal 80 5 3" xfId="45980"/>
    <cellStyle name="Normal 80 5 3 2" xfId="45981"/>
    <cellStyle name="Normal 80 5 3 3" xfId="45982"/>
    <cellStyle name="Normal 80 5 3 4" xfId="45983"/>
    <cellStyle name="Normal 80 5 3 5" xfId="45984"/>
    <cellStyle name="Normal 80 5 3 6" xfId="45985"/>
    <cellStyle name="Normal 80 5 4" xfId="45986"/>
    <cellStyle name="Normal 80 5 4 2" xfId="45987"/>
    <cellStyle name="Normal 80 5 4 3" xfId="45988"/>
    <cellStyle name="Normal 80 5 4 4" xfId="45989"/>
    <cellStyle name="Normal 80 5 4 5" xfId="45990"/>
    <cellStyle name="Normal 80 5 4 6" xfId="45991"/>
    <cellStyle name="Normal 80 6" xfId="45992"/>
    <cellStyle name="Normal 80 6 2" xfId="45993"/>
    <cellStyle name="Normal 80 6 2 2" xfId="45994"/>
    <cellStyle name="Normal 80 6 2 3" xfId="45995"/>
    <cellStyle name="Normal 80 6 2 4" xfId="45996"/>
    <cellStyle name="Normal 80 6 2 5" xfId="45997"/>
    <cellStyle name="Normal 80 6 2 6" xfId="45998"/>
    <cellStyle name="Normal 80 6 3" xfId="45999"/>
    <cellStyle name="Normal 80 6 3 2" xfId="46000"/>
    <cellStyle name="Normal 80 6 3 3" xfId="46001"/>
    <cellStyle name="Normal 80 6 3 4" xfId="46002"/>
    <cellStyle name="Normal 80 6 3 5" xfId="46003"/>
    <cellStyle name="Normal 80 6 3 6" xfId="46004"/>
    <cellStyle name="Normal 80 6 4" xfId="46005"/>
    <cellStyle name="Normal 80 6 4 2" xfId="46006"/>
    <cellStyle name="Normal 80 6 4 3" xfId="46007"/>
    <cellStyle name="Normal 80 6 4 4" xfId="46008"/>
    <cellStyle name="Normal 80 6 4 5" xfId="46009"/>
    <cellStyle name="Normal 80 6 4 6" xfId="46010"/>
    <cellStyle name="Normal 80 7" xfId="46011"/>
    <cellStyle name="Normal 80 7 2" xfId="46012"/>
    <cellStyle name="Normal 80 7 3" xfId="46013"/>
    <cellStyle name="Normal 80 7 4" xfId="46014"/>
    <cellStyle name="Normal 80 7 5" xfId="46015"/>
    <cellStyle name="Normal 80 7 6" xfId="46016"/>
    <cellStyle name="Normal 80 8" xfId="46017"/>
    <cellStyle name="Normal 80 8 2" xfId="46018"/>
    <cellStyle name="Normal 80 8 3" xfId="46019"/>
    <cellStyle name="Normal 80 8 4" xfId="46020"/>
    <cellStyle name="Normal 80 8 5" xfId="46021"/>
    <cellStyle name="Normal 80 8 6" xfId="46022"/>
    <cellStyle name="Normal 80 9" xfId="46023"/>
    <cellStyle name="Normal 80 9 2" xfId="46024"/>
    <cellStyle name="Normal 80 9 3" xfId="46025"/>
    <cellStyle name="Normal 80 9 4" xfId="46026"/>
    <cellStyle name="Normal 80 9 5" xfId="46027"/>
    <cellStyle name="Normal 80 9 6" xfId="46028"/>
    <cellStyle name="Normal 81" xfId="46029"/>
    <cellStyle name="Normal 81 2" xfId="46030"/>
    <cellStyle name="Normal 81 2 2" xfId="46031"/>
    <cellStyle name="Normal 81 2 2 2" xfId="46032"/>
    <cellStyle name="Normal 81 2 2 3" xfId="46033"/>
    <cellStyle name="Normal 81 2 2 4" xfId="46034"/>
    <cellStyle name="Normal 81 2 2 5" xfId="46035"/>
    <cellStyle name="Normal 81 2 2 6" xfId="46036"/>
    <cellStyle name="Normal 81 2 3" xfId="46037"/>
    <cellStyle name="Normal 81 2 3 2" xfId="46038"/>
    <cellStyle name="Normal 81 2 3 3" xfId="46039"/>
    <cellStyle name="Normal 81 2 3 4" xfId="46040"/>
    <cellStyle name="Normal 81 2 3 5" xfId="46041"/>
    <cellStyle name="Normal 81 2 3 6" xfId="46042"/>
    <cellStyle name="Normal 81 2 4" xfId="46043"/>
    <cellStyle name="Normal 81 2 4 2" xfId="46044"/>
    <cellStyle name="Normal 81 2 4 3" xfId="46045"/>
    <cellStyle name="Normal 81 2 4 4" xfId="46046"/>
    <cellStyle name="Normal 81 2 4 5" xfId="46047"/>
    <cellStyle name="Normal 81 2 4 6" xfId="46048"/>
    <cellStyle name="Normal 81 3" xfId="46049"/>
    <cellStyle name="Normal 81 3 2" xfId="46050"/>
    <cellStyle name="Normal 81 3 2 2" xfId="46051"/>
    <cellStyle name="Normal 81 3 2 3" xfId="46052"/>
    <cellStyle name="Normal 81 3 2 4" xfId="46053"/>
    <cellStyle name="Normal 81 3 2 5" xfId="46054"/>
    <cellStyle name="Normal 81 3 2 6" xfId="46055"/>
    <cellStyle name="Normal 81 3 3" xfId="46056"/>
    <cellStyle name="Normal 81 3 3 2" xfId="46057"/>
    <cellStyle name="Normal 81 3 3 3" xfId="46058"/>
    <cellStyle name="Normal 81 3 3 4" xfId="46059"/>
    <cellStyle name="Normal 81 3 3 5" xfId="46060"/>
    <cellStyle name="Normal 81 3 3 6" xfId="46061"/>
    <cellStyle name="Normal 81 3 4" xfId="46062"/>
    <cellStyle name="Normal 81 3 4 2" xfId="46063"/>
    <cellStyle name="Normal 81 3 4 3" xfId="46064"/>
    <cellStyle name="Normal 81 3 4 4" xfId="46065"/>
    <cellStyle name="Normal 81 3 4 5" xfId="46066"/>
    <cellStyle name="Normal 81 3 4 6" xfId="46067"/>
    <cellStyle name="Normal 81 4" xfId="46068"/>
    <cellStyle name="Normal 81 4 2" xfId="46069"/>
    <cellStyle name="Normal 81 4 2 2" xfId="46070"/>
    <cellStyle name="Normal 81 4 2 3" xfId="46071"/>
    <cellStyle name="Normal 81 4 2 4" xfId="46072"/>
    <cellStyle name="Normal 81 4 2 5" xfId="46073"/>
    <cellStyle name="Normal 81 4 2 6" xfId="46074"/>
    <cellStyle name="Normal 81 4 3" xfId="46075"/>
    <cellStyle name="Normal 81 4 3 2" xfId="46076"/>
    <cellStyle name="Normal 81 4 3 3" xfId="46077"/>
    <cellStyle name="Normal 81 4 3 4" xfId="46078"/>
    <cellStyle name="Normal 81 4 3 5" xfId="46079"/>
    <cellStyle name="Normal 81 4 3 6" xfId="46080"/>
    <cellStyle name="Normal 81 4 4" xfId="46081"/>
    <cellStyle name="Normal 81 4 4 2" xfId="46082"/>
    <cellStyle name="Normal 81 4 4 3" xfId="46083"/>
    <cellStyle name="Normal 81 4 4 4" xfId="46084"/>
    <cellStyle name="Normal 81 4 4 5" xfId="46085"/>
    <cellStyle name="Normal 81 4 4 6" xfId="46086"/>
    <cellStyle name="Normal 81 5" xfId="46087"/>
    <cellStyle name="Normal 81 5 2" xfId="46088"/>
    <cellStyle name="Normal 81 5 2 2" xfId="46089"/>
    <cellStyle name="Normal 81 5 2 3" xfId="46090"/>
    <cellStyle name="Normal 81 5 2 4" xfId="46091"/>
    <cellStyle name="Normal 81 5 2 5" xfId="46092"/>
    <cellStyle name="Normal 81 5 2 6" xfId="46093"/>
    <cellStyle name="Normal 81 5 3" xfId="46094"/>
    <cellStyle name="Normal 81 5 3 2" xfId="46095"/>
    <cellStyle name="Normal 81 5 3 3" xfId="46096"/>
    <cellStyle name="Normal 81 5 3 4" xfId="46097"/>
    <cellStyle name="Normal 81 5 3 5" xfId="46098"/>
    <cellStyle name="Normal 81 5 3 6" xfId="46099"/>
    <cellStyle name="Normal 81 5 4" xfId="46100"/>
    <cellStyle name="Normal 81 5 4 2" xfId="46101"/>
    <cellStyle name="Normal 81 5 4 3" xfId="46102"/>
    <cellStyle name="Normal 81 5 4 4" xfId="46103"/>
    <cellStyle name="Normal 81 5 4 5" xfId="46104"/>
    <cellStyle name="Normal 81 5 4 6" xfId="46105"/>
    <cellStyle name="Normal 81 6" xfId="46106"/>
    <cellStyle name="Normal 81 6 2" xfId="46107"/>
    <cellStyle name="Normal 81 6 2 2" xfId="46108"/>
    <cellStyle name="Normal 81 6 2 3" xfId="46109"/>
    <cellStyle name="Normal 81 6 2 4" xfId="46110"/>
    <cellStyle name="Normal 81 6 2 5" xfId="46111"/>
    <cellStyle name="Normal 81 6 2 6" xfId="46112"/>
    <cellStyle name="Normal 81 6 3" xfId="46113"/>
    <cellStyle name="Normal 81 6 3 2" xfId="46114"/>
    <cellStyle name="Normal 81 6 3 3" xfId="46115"/>
    <cellStyle name="Normal 81 6 3 4" xfId="46116"/>
    <cellStyle name="Normal 81 6 3 5" xfId="46117"/>
    <cellStyle name="Normal 81 6 3 6" xfId="46118"/>
    <cellStyle name="Normal 81 6 4" xfId="46119"/>
    <cellStyle name="Normal 81 6 4 2" xfId="46120"/>
    <cellStyle name="Normal 81 6 4 3" xfId="46121"/>
    <cellStyle name="Normal 81 6 4 4" xfId="46122"/>
    <cellStyle name="Normal 81 6 4 5" xfId="46123"/>
    <cellStyle name="Normal 81 6 4 6" xfId="46124"/>
    <cellStyle name="Normal 81 7" xfId="46125"/>
    <cellStyle name="Normal 81 7 2" xfId="46126"/>
    <cellStyle name="Normal 81 7 3" xfId="46127"/>
    <cellStyle name="Normal 81 7 4" xfId="46128"/>
    <cellStyle name="Normal 81 7 5" xfId="46129"/>
    <cellStyle name="Normal 81 7 6" xfId="46130"/>
    <cellStyle name="Normal 81 8" xfId="46131"/>
    <cellStyle name="Normal 81 8 2" xfId="46132"/>
    <cellStyle name="Normal 81 8 3" xfId="46133"/>
    <cellStyle name="Normal 81 8 4" xfId="46134"/>
    <cellStyle name="Normal 81 8 5" xfId="46135"/>
    <cellStyle name="Normal 81 8 6" xfId="46136"/>
    <cellStyle name="Normal 81 9" xfId="46137"/>
    <cellStyle name="Normal 81 9 2" xfId="46138"/>
    <cellStyle name="Normal 81 9 3" xfId="46139"/>
    <cellStyle name="Normal 81 9 4" xfId="46140"/>
    <cellStyle name="Normal 81 9 5" xfId="46141"/>
    <cellStyle name="Normal 81 9 6" xfId="46142"/>
    <cellStyle name="Normal 82" xfId="46143"/>
    <cellStyle name="Normal 82 2" xfId="46144"/>
    <cellStyle name="Normal 82 2 2" xfId="46145"/>
    <cellStyle name="Normal 82 2 2 2" xfId="46146"/>
    <cellStyle name="Normal 82 2 2 3" xfId="46147"/>
    <cellStyle name="Normal 82 2 2 4" xfId="46148"/>
    <cellStyle name="Normal 82 2 2 5" xfId="46149"/>
    <cellStyle name="Normal 82 2 2 6" xfId="46150"/>
    <cellStyle name="Normal 82 2 3" xfId="46151"/>
    <cellStyle name="Normal 82 2 3 2" xfId="46152"/>
    <cellStyle name="Normal 82 2 3 3" xfId="46153"/>
    <cellStyle name="Normal 82 2 3 4" xfId="46154"/>
    <cellStyle name="Normal 82 2 3 5" xfId="46155"/>
    <cellStyle name="Normal 82 2 3 6" xfId="46156"/>
    <cellStyle name="Normal 82 2 4" xfId="46157"/>
    <cellStyle name="Normal 82 2 4 2" xfId="46158"/>
    <cellStyle name="Normal 82 2 4 3" xfId="46159"/>
    <cellStyle name="Normal 82 2 4 4" xfId="46160"/>
    <cellStyle name="Normal 82 2 4 5" xfId="46161"/>
    <cellStyle name="Normal 82 2 4 6" xfId="46162"/>
    <cellStyle name="Normal 82 3" xfId="46163"/>
    <cellStyle name="Normal 82 3 2" xfId="46164"/>
    <cellStyle name="Normal 82 3 2 2" xfId="46165"/>
    <cellStyle name="Normal 82 3 2 3" xfId="46166"/>
    <cellStyle name="Normal 82 3 2 4" xfId="46167"/>
    <cellStyle name="Normal 82 3 2 5" xfId="46168"/>
    <cellStyle name="Normal 82 3 2 6" xfId="46169"/>
    <cellStyle name="Normal 82 3 3" xfId="46170"/>
    <cellStyle name="Normal 82 3 3 2" xfId="46171"/>
    <cellStyle name="Normal 82 3 3 3" xfId="46172"/>
    <cellStyle name="Normal 82 3 3 4" xfId="46173"/>
    <cellStyle name="Normal 82 3 3 5" xfId="46174"/>
    <cellStyle name="Normal 82 3 3 6" xfId="46175"/>
    <cellStyle name="Normal 82 3 4" xfId="46176"/>
    <cellStyle name="Normal 82 3 4 2" xfId="46177"/>
    <cellStyle name="Normal 82 3 4 3" xfId="46178"/>
    <cellStyle name="Normal 82 3 4 4" xfId="46179"/>
    <cellStyle name="Normal 82 3 4 5" xfId="46180"/>
    <cellStyle name="Normal 82 3 4 6" xfId="46181"/>
    <cellStyle name="Normal 82 4" xfId="46182"/>
    <cellStyle name="Normal 82 4 2" xfId="46183"/>
    <cellStyle name="Normal 82 4 2 2" xfId="46184"/>
    <cellStyle name="Normal 82 4 2 3" xfId="46185"/>
    <cellStyle name="Normal 82 4 2 4" xfId="46186"/>
    <cellStyle name="Normal 82 4 2 5" xfId="46187"/>
    <cellStyle name="Normal 82 4 2 6" xfId="46188"/>
    <cellStyle name="Normal 82 4 3" xfId="46189"/>
    <cellStyle name="Normal 82 4 3 2" xfId="46190"/>
    <cellStyle name="Normal 82 4 3 3" xfId="46191"/>
    <cellStyle name="Normal 82 4 3 4" xfId="46192"/>
    <cellStyle name="Normal 82 4 3 5" xfId="46193"/>
    <cellStyle name="Normal 82 4 3 6" xfId="46194"/>
    <cellStyle name="Normal 82 4 4" xfId="46195"/>
    <cellStyle name="Normal 82 4 4 2" xfId="46196"/>
    <cellStyle name="Normal 82 4 4 3" xfId="46197"/>
    <cellStyle name="Normal 82 4 4 4" xfId="46198"/>
    <cellStyle name="Normal 82 4 4 5" xfId="46199"/>
    <cellStyle name="Normal 82 4 4 6" xfId="46200"/>
    <cellStyle name="Normal 82 5" xfId="46201"/>
    <cellStyle name="Normal 82 5 2" xfId="46202"/>
    <cellStyle name="Normal 82 5 2 2" xfId="46203"/>
    <cellStyle name="Normal 82 5 2 3" xfId="46204"/>
    <cellStyle name="Normal 82 5 2 4" xfId="46205"/>
    <cellStyle name="Normal 82 5 2 5" xfId="46206"/>
    <cellStyle name="Normal 82 5 2 6" xfId="46207"/>
    <cellStyle name="Normal 82 5 3" xfId="46208"/>
    <cellStyle name="Normal 82 5 3 2" xfId="46209"/>
    <cellStyle name="Normal 82 5 3 3" xfId="46210"/>
    <cellStyle name="Normal 82 5 3 4" xfId="46211"/>
    <cellStyle name="Normal 82 5 3 5" xfId="46212"/>
    <cellStyle name="Normal 82 5 3 6" xfId="46213"/>
    <cellStyle name="Normal 82 5 4" xfId="46214"/>
    <cellStyle name="Normal 82 5 4 2" xfId="46215"/>
    <cellStyle name="Normal 82 5 4 3" xfId="46216"/>
    <cellStyle name="Normal 82 5 4 4" xfId="46217"/>
    <cellStyle name="Normal 82 5 4 5" xfId="46218"/>
    <cellStyle name="Normal 82 5 4 6" xfId="46219"/>
    <cellStyle name="Normal 82 6" xfId="46220"/>
    <cellStyle name="Normal 82 6 2" xfId="46221"/>
    <cellStyle name="Normal 82 6 2 2" xfId="46222"/>
    <cellStyle name="Normal 82 6 2 3" xfId="46223"/>
    <cellStyle name="Normal 82 6 2 4" xfId="46224"/>
    <cellStyle name="Normal 82 6 2 5" xfId="46225"/>
    <cellStyle name="Normal 82 6 2 6" xfId="46226"/>
    <cellStyle name="Normal 82 6 3" xfId="46227"/>
    <cellStyle name="Normal 82 6 3 2" xfId="46228"/>
    <cellStyle name="Normal 82 6 3 3" xfId="46229"/>
    <cellStyle name="Normal 82 6 3 4" xfId="46230"/>
    <cellStyle name="Normal 82 6 3 5" xfId="46231"/>
    <cellStyle name="Normal 82 6 3 6" xfId="46232"/>
    <cellStyle name="Normal 82 6 4" xfId="46233"/>
    <cellStyle name="Normal 82 6 4 2" xfId="46234"/>
    <cellStyle name="Normal 82 6 4 3" xfId="46235"/>
    <cellStyle name="Normal 82 6 4 4" xfId="46236"/>
    <cellStyle name="Normal 82 6 4 5" xfId="46237"/>
    <cellStyle name="Normal 82 6 4 6" xfId="46238"/>
    <cellStyle name="Normal 82 7" xfId="46239"/>
    <cellStyle name="Normal 82 7 2" xfId="46240"/>
    <cellStyle name="Normal 82 7 3" xfId="46241"/>
    <cellStyle name="Normal 82 7 4" xfId="46242"/>
    <cellStyle name="Normal 82 7 5" xfId="46243"/>
    <cellStyle name="Normal 82 7 6" xfId="46244"/>
    <cellStyle name="Normal 82 8" xfId="46245"/>
    <cellStyle name="Normal 82 8 2" xfId="46246"/>
    <cellStyle name="Normal 82 8 3" xfId="46247"/>
    <cellStyle name="Normal 82 8 4" xfId="46248"/>
    <cellStyle name="Normal 82 8 5" xfId="46249"/>
    <cellStyle name="Normal 82 8 6" xfId="46250"/>
    <cellStyle name="Normal 82 9" xfId="46251"/>
    <cellStyle name="Normal 82 9 2" xfId="46252"/>
    <cellStyle name="Normal 82 9 3" xfId="46253"/>
    <cellStyle name="Normal 82 9 4" xfId="46254"/>
    <cellStyle name="Normal 82 9 5" xfId="46255"/>
    <cellStyle name="Normal 82 9 6" xfId="46256"/>
    <cellStyle name="Normal 83" xfId="46257"/>
    <cellStyle name="Normal 83 2" xfId="46258"/>
    <cellStyle name="Normal 83 2 2" xfId="46259"/>
    <cellStyle name="Normal 83 2 2 2" xfId="46260"/>
    <cellStyle name="Normal 83 2 2 3" xfId="46261"/>
    <cellStyle name="Normal 83 2 2 4" xfId="46262"/>
    <cellStyle name="Normal 83 2 2 5" xfId="46263"/>
    <cellStyle name="Normal 83 2 2 6" xfId="46264"/>
    <cellStyle name="Normal 83 2 3" xfId="46265"/>
    <cellStyle name="Normal 83 2 3 2" xfId="46266"/>
    <cellStyle name="Normal 83 2 3 3" xfId="46267"/>
    <cellStyle name="Normal 83 2 3 4" xfId="46268"/>
    <cellStyle name="Normal 83 2 3 5" xfId="46269"/>
    <cellStyle name="Normal 83 2 3 6" xfId="46270"/>
    <cellStyle name="Normal 83 2 4" xfId="46271"/>
    <cellStyle name="Normal 83 2 4 2" xfId="46272"/>
    <cellStyle name="Normal 83 2 4 3" xfId="46273"/>
    <cellStyle name="Normal 83 2 4 4" xfId="46274"/>
    <cellStyle name="Normal 83 2 4 5" xfId="46275"/>
    <cellStyle name="Normal 83 2 4 6" xfId="46276"/>
    <cellStyle name="Normal 83 3" xfId="46277"/>
    <cellStyle name="Normal 83 3 2" xfId="46278"/>
    <cellStyle name="Normal 83 3 2 2" xfId="46279"/>
    <cellStyle name="Normal 83 3 2 3" xfId="46280"/>
    <cellStyle name="Normal 83 3 2 4" xfId="46281"/>
    <cellStyle name="Normal 83 3 2 5" xfId="46282"/>
    <cellStyle name="Normal 83 3 2 6" xfId="46283"/>
    <cellStyle name="Normal 83 3 3" xfId="46284"/>
    <cellStyle name="Normal 83 3 3 2" xfId="46285"/>
    <cellStyle name="Normal 83 3 3 3" xfId="46286"/>
    <cellStyle name="Normal 83 3 3 4" xfId="46287"/>
    <cellStyle name="Normal 83 3 3 5" xfId="46288"/>
    <cellStyle name="Normal 83 3 3 6" xfId="46289"/>
    <cellStyle name="Normal 83 3 4" xfId="46290"/>
    <cellStyle name="Normal 83 3 4 2" xfId="46291"/>
    <cellStyle name="Normal 83 3 4 3" xfId="46292"/>
    <cellStyle name="Normal 83 3 4 4" xfId="46293"/>
    <cellStyle name="Normal 83 3 4 5" xfId="46294"/>
    <cellStyle name="Normal 83 3 4 6" xfId="46295"/>
    <cellStyle name="Normal 83 4" xfId="46296"/>
    <cellStyle name="Normal 83 4 2" xfId="46297"/>
    <cellStyle name="Normal 83 4 2 2" xfId="46298"/>
    <cellStyle name="Normal 83 4 2 3" xfId="46299"/>
    <cellStyle name="Normal 83 4 2 4" xfId="46300"/>
    <cellStyle name="Normal 83 4 2 5" xfId="46301"/>
    <cellStyle name="Normal 83 4 2 6" xfId="46302"/>
    <cellStyle name="Normal 83 4 3" xfId="46303"/>
    <cellStyle name="Normal 83 4 3 2" xfId="46304"/>
    <cellStyle name="Normal 83 4 3 3" xfId="46305"/>
    <cellStyle name="Normal 83 4 3 4" xfId="46306"/>
    <cellStyle name="Normal 83 4 3 5" xfId="46307"/>
    <cellStyle name="Normal 83 4 3 6" xfId="46308"/>
    <cellStyle name="Normal 83 4 4" xfId="46309"/>
    <cellStyle name="Normal 83 4 4 2" xfId="46310"/>
    <cellStyle name="Normal 83 4 4 3" xfId="46311"/>
    <cellStyle name="Normal 83 4 4 4" xfId="46312"/>
    <cellStyle name="Normal 83 4 4 5" xfId="46313"/>
    <cellStyle name="Normal 83 4 4 6" xfId="46314"/>
    <cellStyle name="Normal 83 5" xfId="46315"/>
    <cellStyle name="Normal 83 5 2" xfId="46316"/>
    <cellStyle name="Normal 83 5 2 2" xfId="46317"/>
    <cellStyle name="Normal 83 5 2 3" xfId="46318"/>
    <cellStyle name="Normal 83 5 2 4" xfId="46319"/>
    <cellStyle name="Normal 83 5 2 5" xfId="46320"/>
    <cellStyle name="Normal 83 5 2 6" xfId="46321"/>
    <cellStyle name="Normal 83 5 3" xfId="46322"/>
    <cellStyle name="Normal 83 5 3 2" xfId="46323"/>
    <cellStyle name="Normal 83 5 3 3" xfId="46324"/>
    <cellStyle name="Normal 83 5 3 4" xfId="46325"/>
    <cellStyle name="Normal 83 5 3 5" xfId="46326"/>
    <cellStyle name="Normal 83 5 3 6" xfId="46327"/>
    <cellStyle name="Normal 83 5 4" xfId="46328"/>
    <cellStyle name="Normal 83 5 4 2" xfId="46329"/>
    <cellStyle name="Normal 83 5 4 3" xfId="46330"/>
    <cellStyle name="Normal 83 5 4 4" xfId="46331"/>
    <cellStyle name="Normal 83 5 4 5" xfId="46332"/>
    <cellStyle name="Normal 83 5 4 6" xfId="46333"/>
    <cellStyle name="Normal 83 6" xfId="46334"/>
    <cellStyle name="Normal 83 6 2" xfId="46335"/>
    <cellStyle name="Normal 83 6 2 2" xfId="46336"/>
    <cellStyle name="Normal 83 6 2 3" xfId="46337"/>
    <cellStyle name="Normal 83 6 2 4" xfId="46338"/>
    <cellStyle name="Normal 83 6 2 5" xfId="46339"/>
    <cellStyle name="Normal 83 6 2 6" xfId="46340"/>
    <cellStyle name="Normal 83 6 3" xfId="46341"/>
    <cellStyle name="Normal 83 6 3 2" xfId="46342"/>
    <cellStyle name="Normal 83 6 3 3" xfId="46343"/>
    <cellStyle name="Normal 83 6 3 4" xfId="46344"/>
    <cellStyle name="Normal 83 6 3 5" xfId="46345"/>
    <cellStyle name="Normal 83 6 3 6" xfId="46346"/>
    <cellStyle name="Normal 83 6 4" xfId="46347"/>
    <cellStyle name="Normal 83 6 4 2" xfId="46348"/>
    <cellStyle name="Normal 83 6 4 3" xfId="46349"/>
    <cellStyle name="Normal 83 6 4 4" xfId="46350"/>
    <cellStyle name="Normal 83 6 4 5" xfId="46351"/>
    <cellStyle name="Normal 83 6 4 6" xfId="46352"/>
    <cellStyle name="Normal 83 7" xfId="46353"/>
    <cellStyle name="Normal 83 7 2" xfId="46354"/>
    <cellStyle name="Normal 83 7 3" xfId="46355"/>
    <cellStyle name="Normal 83 7 4" xfId="46356"/>
    <cellStyle name="Normal 83 7 5" xfId="46357"/>
    <cellStyle name="Normal 83 7 6" xfId="46358"/>
    <cellStyle name="Normal 83 8" xfId="46359"/>
    <cellStyle name="Normal 83 8 2" xfId="46360"/>
    <cellStyle name="Normal 83 8 3" xfId="46361"/>
    <cellStyle name="Normal 83 8 4" xfId="46362"/>
    <cellStyle name="Normal 83 8 5" xfId="46363"/>
    <cellStyle name="Normal 83 8 6" xfId="46364"/>
    <cellStyle name="Normal 83 9" xfId="46365"/>
    <cellStyle name="Normal 83 9 2" xfId="46366"/>
    <cellStyle name="Normal 83 9 3" xfId="46367"/>
    <cellStyle name="Normal 83 9 4" xfId="46368"/>
    <cellStyle name="Normal 83 9 5" xfId="46369"/>
    <cellStyle name="Normal 83 9 6" xfId="46370"/>
    <cellStyle name="Normal 84" xfId="46371"/>
    <cellStyle name="Normal 84 2" xfId="46372"/>
    <cellStyle name="Normal 84 2 2" xfId="46373"/>
    <cellStyle name="Normal 84 2 2 2" xfId="46374"/>
    <cellStyle name="Normal 84 2 2 3" xfId="46375"/>
    <cellStyle name="Normal 84 2 2 4" xfId="46376"/>
    <cellStyle name="Normal 84 2 2 5" xfId="46377"/>
    <cellStyle name="Normal 84 2 2 6" xfId="46378"/>
    <cellStyle name="Normal 84 2 3" xfId="46379"/>
    <cellStyle name="Normal 84 2 3 2" xfId="46380"/>
    <cellStyle name="Normal 84 2 3 3" xfId="46381"/>
    <cellStyle name="Normal 84 2 3 4" xfId="46382"/>
    <cellStyle name="Normal 84 2 3 5" xfId="46383"/>
    <cellStyle name="Normal 84 2 3 6" xfId="46384"/>
    <cellStyle name="Normal 84 2 4" xfId="46385"/>
    <cellStyle name="Normal 84 2 4 2" xfId="46386"/>
    <cellStyle name="Normal 84 2 4 3" xfId="46387"/>
    <cellStyle name="Normal 84 2 4 4" xfId="46388"/>
    <cellStyle name="Normal 84 2 4 5" xfId="46389"/>
    <cellStyle name="Normal 84 2 4 6" xfId="46390"/>
    <cellStyle name="Normal 84 3" xfId="46391"/>
    <cellStyle name="Normal 84 3 2" xfId="46392"/>
    <cellStyle name="Normal 84 3 2 2" xfId="46393"/>
    <cellStyle name="Normal 84 3 2 3" xfId="46394"/>
    <cellStyle name="Normal 84 3 2 4" xfId="46395"/>
    <cellStyle name="Normal 84 3 2 5" xfId="46396"/>
    <cellStyle name="Normal 84 3 2 6" xfId="46397"/>
    <cellStyle name="Normal 84 3 3" xfId="46398"/>
    <cellStyle name="Normal 84 3 3 2" xfId="46399"/>
    <cellStyle name="Normal 84 3 3 3" xfId="46400"/>
    <cellStyle name="Normal 84 3 3 4" xfId="46401"/>
    <cellStyle name="Normal 84 3 3 5" xfId="46402"/>
    <cellStyle name="Normal 84 3 3 6" xfId="46403"/>
    <cellStyle name="Normal 84 3 4" xfId="46404"/>
    <cellStyle name="Normal 84 3 4 2" xfId="46405"/>
    <cellStyle name="Normal 84 3 4 3" xfId="46406"/>
    <cellStyle name="Normal 84 3 4 4" xfId="46407"/>
    <cellStyle name="Normal 84 3 4 5" xfId="46408"/>
    <cellStyle name="Normal 84 3 4 6" xfId="46409"/>
    <cellStyle name="Normal 84 4" xfId="46410"/>
    <cellStyle name="Normal 84 4 2" xfId="46411"/>
    <cellStyle name="Normal 84 4 2 2" xfId="46412"/>
    <cellStyle name="Normal 84 4 2 3" xfId="46413"/>
    <cellStyle name="Normal 84 4 2 4" xfId="46414"/>
    <cellStyle name="Normal 84 4 2 5" xfId="46415"/>
    <cellStyle name="Normal 84 4 2 6" xfId="46416"/>
    <cellStyle name="Normal 84 4 3" xfId="46417"/>
    <cellStyle name="Normal 84 4 3 2" xfId="46418"/>
    <cellStyle name="Normal 84 4 3 3" xfId="46419"/>
    <cellStyle name="Normal 84 4 3 4" xfId="46420"/>
    <cellStyle name="Normal 84 4 3 5" xfId="46421"/>
    <cellStyle name="Normal 84 4 3 6" xfId="46422"/>
    <cellStyle name="Normal 84 4 4" xfId="46423"/>
    <cellStyle name="Normal 84 4 4 2" xfId="46424"/>
    <cellStyle name="Normal 84 4 4 3" xfId="46425"/>
    <cellStyle name="Normal 84 4 4 4" xfId="46426"/>
    <cellStyle name="Normal 84 4 4 5" xfId="46427"/>
    <cellStyle name="Normal 84 4 4 6" xfId="46428"/>
    <cellStyle name="Normal 84 5" xfId="46429"/>
    <cellStyle name="Normal 84 5 2" xfId="46430"/>
    <cellStyle name="Normal 84 5 2 2" xfId="46431"/>
    <cellStyle name="Normal 84 5 2 3" xfId="46432"/>
    <cellStyle name="Normal 84 5 2 4" xfId="46433"/>
    <cellStyle name="Normal 84 5 2 5" xfId="46434"/>
    <cellStyle name="Normal 84 5 2 6" xfId="46435"/>
    <cellStyle name="Normal 84 5 3" xfId="46436"/>
    <cellStyle name="Normal 84 5 3 2" xfId="46437"/>
    <cellStyle name="Normal 84 5 3 3" xfId="46438"/>
    <cellStyle name="Normal 84 5 3 4" xfId="46439"/>
    <cellStyle name="Normal 84 5 3 5" xfId="46440"/>
    <cellStyle name="Normal 84 5 3 6" xfId="46441"/>
    <cellStyle name="Normal 84 5 4" xfId="46442"/>
    <cellStyle name="Normal 84 5 4 2" xfId="46443"/>
    <cellStyle name="Normal 84 5 4 3" xfId="46444"/>
    <cellStyle name="Normal 84 5 4 4" xfId="46445"/>
    <cellStyle name="Normal 84 5 4 5" xfId="46446"/>
    <cellStyle name="Normal 84 5 4 6" xfId="46447"/>
    <cellStyle name="Normal 84 6" xfId="46448"/>
    <cellStyle name="Normal 84 6 2" xfId="46449"/>
    <cellStyle name="Normal 84 6 2 2" xfId="46450"/>
    <cellStyle name="Normal 84 6 2 3" xfId="46451"/>
    <cellStyle name="Normal 84 6 2 4" xfId="46452"/>
    <cellStyle name="Normal 84 6 2 5" xfId="46453"/>
    <cellStyle name="Normal 84 6 2 6" xfId="46454"/>
    <cellStyle name="Normal 84 6 3" xfId="46455"/>
    <cellStyle name="Normal 84 6 3 2" xfId="46456"/>
    <cellStyle name="Normal 84 6 3 3" xfId="46457"/>
    <cellStyle name="Normal 84 6 3 4" xfId="46458"/>
    <cellStyle name="Normal 84 6 3 5" xfId="46459"/>
    <cellStyle name="Normal 84 6 3 6" xfId="46460"/>
    <cellStyle name="Normal 84 6 4" xfId="46461"/>
    <cellStyle name="Normal 84 6 4 2" xfId="46462"/>
    <cellStyle name="Normal 84 6 4 3" xfId="46463"/>
    <cellStyle name="Normal 84 6 4 4" xfId="46464"/>
    <cellStyle name="Normal 84 6 4 5" xfId="46465"/>
    <cellStyle name="Normal 84 6 4 6" xfId="46466"/>
    <cellStyle name="Normal 84 7" xfId="46467"/>
    <cellStyle name="Normal 84 7 2" xfId="46468"/>
    <cellStyle name="Normal 84 7 3" xfId="46469"/>
    <cellStyle name="Normal 84 7 4" xfId="46470"/>
    <cellStyle name="Normal 84 7 5" xfId="46471"/>
    <cellStyle name="Normal 84 7 6" xfId="46472"/>
    <cellStyle name="Normal 84 8" xfId="46473"/>
    <cellStyle name="Normal 84 8 2" xfId="46474"/>
    <cellStyle name="Normal 84 8 3" xfId="46475"/>
    <cellStyle name="Normal 84 8 4" xfId="46476"/>
    <cellStyle name="Normal 84 8 5" xfId="46477"/>
    <cellStyle name="Normal 84 8 6" xfId="46478"/>
    <cellStyle name="Normal 84 9" xfId="46479"/>
    <cellStyle name="Normal 84 9 2" xfId="46480"/>
    <cellStyle name="Normal 84 9 3" xfId="46481"/>
    <cellStyle name="Normal 84 9 4" xfId="46482"/>
    <cellStyle name="Normal 84 9 5" xfId="46483"/>
    <cellStyle name="Normal 84 9 6" xfId="46484"/>
    <cellStyle name="Normal 85" xfId="46485"/>
    <cellStyle name="Normal 85 2" xfId="46486"/>
    <cellStyle name="Normal 85 2 2" xfId="46487"/>
    <cellStyle name="Normal 85 2 2 2" xfId="46488"/>
    <cellStyle name="Normal 85 2 2 3" xfId="46489"/>
    <cellStyle name="Normal 85 2 2 4" xfId="46490"/>
    <cellStyle name="Normal 85 2 2 5" xfId="46491"/>
    <cellStyle name="Normal 85 2 2 6" xfId="46492"/>
    <cellStyle name="Normal 85 2 3" xfId="46493"/>
    <cellStyle name="Normal 85 2 3 2" xfId="46494"/>
    <cellStyle name="Normal 85 2 3 3" xfId="46495"/>
    <cellStyle name="Normal 85 2 3 4" xfId="46496"/>
    <cellStyle name="Normal 85 2 3 5" xfId="46497"/>
    <cellStyle name="Normal 85 2 3 6" xfId="46498"/>
    <cellStyle name="Normal 85 2 4" xfId="46499"/>
    <cellStyle name="Normal 85 2 4 2" xfId="46500"/>
    <cellStyle name="Normal 85 2 4 3" xfId="46501"/>
    <cellStyle name="Normal 85 2 4 4" xfId="46502"/>
    <cellStyle name="Normal 85 2 4 5" xfId="46503"/>
    <cellStyle name="Normal 85 2 4 6" xfId="46504"/>
    <cellStyle name="Normal 85 3" xfId="46505"/>
    <cellStyle name="Normal 85 3 2" xfId="46506"/>
    <cellStyle name="Normal 85 3 2 2" xfId="46507"/>
    <cellStyle name="Normal 85 3 2 3" xfId="46508"/>
    <cellStyle name="Normal 85 3 2 4" xfId="46509"/>
    <cellStyle name="Normal 85 3 2 5" xfId="46510"/>
    <cellStyle name="Normal 85 3 2 6" xfId="46511"/>
    <cellStyle name="Normal 85 3 3" xfId="46512"/>
    <cellStyle name="Normal 85 3 3 2" xfId="46513"/>
    <cellStyle name="Normal 85 3 3 3" xfId="46514"/>
    <cellStyle name="Normal 85 3 3 4" xfId="46515"/>
    <cellStyle name="Normal 85 3 3 5" xfId="46516"/>
    <cellStyle name="Normal 85 3 3 6" xfId="46517"/>
    <cellStyle name="Normal 85 3 4" xfId="46518"/>
    <cellStyle name="Normal 85 3 4 2" xfId="46519"/>
    <cellStyle name="Normal 85 3 4 3" xfId="46520"/>
    <cellStyle name="Normal 85 3 4 4" xfId="46521"/>
    <cellStyle name="Normal 85 3 4 5" xfId="46522"/>
    <cellStyle name="Normal 85 3 4 6" xfId="46523"/>
    <cellStyle name="Normal 85 4" xfId="46524"/>
    <cellStyle name="Normal 85 4 2" xfId="46525"/>
    <cellStyle name="Normal 85 4 2 2" xfId="46526"/>
    <cellStyle name="Normal 85 4 2 3" xfId="46527"/>
    <cellStyle name="Normal 85 4 2 4" xfId="46528"/>
    <cellStyle name="Normal 85 4 2 5" xfId="46529"/>
    <cellStyle name="Normal 85 4 2 6" xfId="46530"/>
    <cellStyle name="Normal 85 4 3" xfId="46531"/>
    <cellStyle name="Normal 85 4 3 2" xfId="46532"/>
    <cellStyle name="Normal 85 4 3 3" xfId="46533"/>
    <cellStyle name="Normal 85 4 3 4" xfId="46534"/>
    <cellStyle name="Normal 85 4 3 5" xfId="46535"/>
    <cellStyle name="Normal 85 4 3 6" xfId="46536"/>
    <cellStyle name="Normal 85 4 4" xfId="46537"/>
    <cellStyle name="Normal 85 4 4 2" xfId="46538"/>
    <cellStyle name="Normal 85 4 4 3" xfId="46539"/>
    <cellStyle name="Normal 85 4 4 4" xfId="46540"/>
    <cellStyle name="Normal 85 4 4 5" xfId="46541"/>
    <cellStyle name="Normal 85 4 4 6" xfId="46542"/>
    <cellStyle name="Normal 85 5" xfId="46543"/>
    <cellStyle name="Normal 85 5 2" xfId="46544"/>
    <cellStyle name="Normal 85 5 2 2" xfId="46545"/>
    <cellStyle name="Normal 85 5 2 3" xfId="46546"/>
    <cellStyle name="Normal 85 5 2 4" xfId="46547"/>
    <cellStyle name="Normal 85 5 2 5" xfId="46548"/>
    <cellStyle name="Normal 85 5 2 6" xfId="46549"/>
    <cellStyle name="Normal 85 5 3" xfId="46550"/>
    <cellStyle name="Normal 85 5 3 2" xfId="46551"/>
    <cellStyle name="Normal 85 5 3 3" xfId="46552"/>
    <cellStyle name="Normal 85 5 3 4" xfId="46553"/>
    <cellStyle name="Normal 85 5 3 5" xfId="46554"/>
    <cellStyle name="Normal 85 5 3 6" xfId="46555"/>
    <cellStyle name="Normal 85 5 4" xfId="46556"/>
    <cellStyle name="Normal 85 5 4 2" xfId="46557"/>
    <cellStyle name="Normal 85 5 4 3" xfId="46558"/>
    <cellStyle name="Normal 85 5 4 4" xfId="46559"/>
    <cellStyle name="Normal 85 5 4 5" xfId="46560"/>
    <cellStyle name="Normal 85 5 4 6" xfId="46561"/>
    <cellStyle name="Normal 85 6" xfId="46562"/>
    <cellStyle name="Normal 85 6 2" xfId="46563"/>
    <cellStyle name="Normal 85 6 2 2" xfId="46564"/>
    <cellStyle name="Normal 85 6 2 3" xfId="46565"/>
    <cellStyle name="Normal 85 6 2 4" xfId="46566"/>
    <cellStyle name="Normal 85 6 2 5" xfId="46567"/>
    <cellStyle name="Normal 85 6 2 6" xfId="46568"/>
    <cellStyle name="Normal 85 6 3" xfId="46569"/>
    <cellStyle name="Normal 85 6 3 2" xfId="46570"/>
    <cellStyle name="Normal 85 6 3 3" xfId="46571"/>
    <cellStyle name="Normal 85 6 3 4" xfId="46572"/>
    <cellStyle name="Normal 85 6 3 5" xfId="46573"/>
    <cellStyle name="Normal 85 6 3 6" xfId="46574"/>
    <cellStyle name="Normal 85 6 4" xfId="46575"/>
    <cellStyle name="Normal 85 6 4 2" xfId="46576"/>
    <cellStyle name="Normal 85 6 4 3" xfId="46577"/>
    <cellStyle name="Normal 85 6 4 4" xfId="46578"/>
    <cellStyle name="Normal 85 6 4 5" xfId="46579"/>
    <cellStyle name="Normal 85 6 4 6" xfId="46580"/>
    <cellStyle name="Normal 85 7" xfId="46581"/>
    <cellStyle name="Normal 85 7 2" xfId="46582"/>
    <cellStyle name="Normal 85 7 3" xfId="46583"/>
    <cellStyle name="Normal 85 7 4" xfId="46584"/>
    <cellStyle name="Normal 85 7 5" xfId="46585"/>
    <cellStyle name="Normal 85 7 6" xfId="46586"/>
    <cellStyle name="Normal 85 8" xfId="46587"/>
    <cellStyle name="Normal 85 8 2" xfId="46588"/>
    <cellStyle name="Normal 85 8 3" xfId="46589"/>
    <cellStyle name="Normal 85 8 4" xfId="46590"/>
    <cellStyle name="Normal 85 8 5" xfId="46591"/>
    <cellStyle name="Normal 85 8 6" xfId="46592"/>
    <cellStyle name="Normal 85 9" xfId="46593"/>
    <cellStyle name="Normal 85 9 2" xfId="46594"/>
    <cellStyle name="Normal 85 9 3" xfId="46595"/>
    <cellStyle name="Normal 85 9 4" xfId="46596"/>
    <cellStyle name="Normal 85 9 5" xfId="46597"/>
    <cellStyle name="Normal 85 9 6" xfId="46598"/>
    <cellStyle name="Normal 86" xfId="46599"/>
    <cellStyle name="Normal 86 2" xfId="46600"/>
    <cellStyle name="Normal 86 2 2" xfId="46601"/>
    <cellStyle name="Normal 86 2 2 2" xfId="46602"/>
    <cellStyle name="Normal 86 2 2 3" xfId="46603"/>
    <cellStyle name="Normal 86 2 2 4" xfId="46604"/>
    <cellStyle name="Normal 86 2 2 5" xfId="46605"/>
    <cellStyle name="Normal 86 2 2 6" xfId="46606"/>
    <cellStyle name="Normal 86 2 3" xfId="46607"/>
    <cellStyle name="Normal 86 2 3 2" xfId="46608"/>
    <cellStyle name="Normal 86 2 3 3" xfId="46609"/>
    <cellStyle name="Normal 86 2 3 4" xfId="46610"/>
    <cellStyle name="Normal 86 2 3 5" xfId="46611"/>
    <cellStyle name="Normal 86 2 3 6" xfId="46612"/>
    <cellStyle name="Normal 86 2 4" xfId="46613"/>
    <cellStyle name="Normal 86 2 4 2" xfId="46614"/>
    <cellStyle name="Normal 86 2 4 3" xfId="46615"/>
    <cellStyle name="Normal 86 2 4 4" xfId="46616"/>
    <cellStyle name="Normal 86 2 4 5" xfId="46617"/>
    <cellStyle name="Normal 86 2 4 6" xfId="46618"/>
    <cellStyle name="Normal 86 3" xfId="46619"/>
    <cellStyle name="Normal 86 3 2" xfId="46620"/>
    <cellStyle name="Normal 86 3 2 2" xfId="46621"/>
    <cellStyle name="Normal 86 3 2 3" xfId="46622"/>
    <cellStyle name="Normal 86 3 2 4" xfId="46623"/>
    <cellStyle name="Normal 86 3 2 5" xfId="46624"/>
    <cellStyle name="Normal 86 3 2 6" xfId="46625"/>
    <cellStyle name="Normal 86 3 3" xfId="46626"/>
    <cellStyle name="Normal 86 3 3 2" xfId="46627"/>
    <cellStyle name="Normal 86 3 3 3" xfId="46628"/>
    <cellStyle name="Normal 86 3 3 4" xfId="46629"/>
    <cellStyle name="Normal 86 3 3 5" xfId="46630"/>
    <cellStyle name="Normal 86 3 3 6" xfId="46631"/>
    <cellStyle name="Normal 86 3 4" xfId="46632"/>
    <cellStyle name="Normal 86 3 4 2" xfId="46633"/>
    <cellStyle name="Normal 86 3 4 3" xfId="46634"/>
    <cellStyle name="Normal 86 3 4 4" xfId="46635"/>
    <cellStyle name="Normal 86 3 4 5" xfId="46636"/>
    <cellStyle name="Normal 86 3 4 6" xfId="46637"/>
    <cellStyle name="Normal 86 4" xfId="46638"/>
    <cellStyle name="Normal 86 4 2" xfId="46639"/>
    <cellStyle name="Normal 86 4 2 2" xfId="46640"/>
    <cellStyle name="Normal 86 4 2 3" xfId="46641"/>
    <cellStyle name="Normal 86 4 2 4" xfId="46642"/>
    <cellStyle name="Normal 86 4 2 5" xfId="46643"/>
    <cellStyle name="Normal 86 4 2 6" xfId="46644"/>
    <cellStyle name="Normal 86 4 3" xfId="46645"/>
    <cellStyle name="Normal 86 4 3 2" xfId="46646"/>
    <cellStyle name="Normal 86 4 3 3" xfId="46647"/>
    <cellStyle name="Normal 86 4 3 4" xfId="46648"/>
    <cellStyle name="Normal 86 4 3 5" xfId="46649"/>
    <cellStyle name="Normal 86 4 3 6" xfId="46650"/>
    <cellStyle name="Normal 86 4 4" xfId="46651"/>
    <cellStyle name="Normal 86 4 4 2" xfId="46652"/>
    <cellStyle name="Normal 86 4 4 3" xfId="46653"/>
    <cellStyle name="Normal 86 4 4 4" xfId="46654"/>
    <cellStyle name="Normal 86 4 4 5" xfId="46655"/>
    <cellStyle name="Normal 86 4 4 6" xfId="46656"/>
    <cellStyle name="Normal 86 5" xfId="46657"/>
    <cellStyle name="Normal 86 5 2" xfId="46658"/>
    <cellStyle name="Normal 86 5 2 2" xfId="46659"/>
    <cellStyle name="Normal 86 5 2 3" xfId="46660"/>
    <cellStyle name="Normal 86 5 2 4" xfId="46661"/>
    <cellStyle name="Normal 86 5 2 5" xfId="46662"/>
    <cellStyle name="Normal 86 5 2 6" xfId="46663"/>
    <cellStyle name="Normal 86 5 3" xfId="46664"/>
    <cellStyle name="Normal 86 5 3 2" xfId="46665"/>
    <cellStyle name="Normal 86 5 3 3" xfId="46666"/>
    <cellStyle name="Normal 86 5 3 4" xfId="46667"/>
    <cellStyle name="Normal 86 5 3 5" xfId="46668"/>
    <cellStyle name="Normal 86 5 3 6" xfId="46669"/>
    <cellStyle name="Normal 86 5 4" xfId="46670"/>
    <cellStyle name="Normal 86 5 4 2" xfId="46671"/>
    <cellStyle name="Normal 86 5 4 3" xfId="46672"/>
    <cellStyle name="Normal 86 5 4 4" xfId="46673"/>
    <cellStyle name="Normal 86 5 4 5" xfId="46674"/>
    <cellStyle name="Normal 86 5 4 6" xfId="46675"/>
    <cellStyle name="Normal 86 6" xfId="46676"/>
    <cellStyle name="Normal 86 6 2" xfId="46677"/>
    <cellStyle name="Normal 86 6 2 2" xfId="46678"/>
    <cellStyle name="Normal 86 6 2 3" xfId="46679"/>
    <cellStyle name="Normal 86 6 2 4" xfId="46680"/>
    <cellStyle name="Normal 86 6 2 5" xfId="46681"/>
    <cellStyle name="Normal 86 6 2 6" xfId="46682"/>
    <cellStyle name="Normal 86 6 3" xfId="46683"/>
    <cellStyle name="Normal 86 6 3 2" xfId="46684"/>
    <cellStyle name="Normal 86 6 3 3" xfId="46685"/>
    <cellStyle name="Normal 86 6 3 4" xfId="46686"/>
    <cellStyle name="Normal 86 6 3 5" xfId="46687"/>
    <cellStyle name="Normal 86 6 3 6" xfId="46688"/>
    <cellStyle name="Normal 86 6 4" xfId="46689"/>
    <cellStyle name="Normal 86 6 4 2" xfId="46690"/>
    <cellStyle name="Normal 86 6 4 3" xfId="46691"/>
    <cellStyle name="Normal 86 6 4 4" xfId="46692"/>
    <cellStyle name="Normal 86 6 4 5" xfId="46693"/>
    <cellStyle name="Normal 86 6 4 6" xfId="46694"/>
    <cellStyle name="Normal 86 7" xfId="46695"/>
    <cellStyle name="Normal 86 7 2" xfId="46696"/>
    <cellStyle name="Normal 86 7 3" xfId="46697"/>
    <cellStyle name="Normal 86 7 4" xfId="46698"/>
    <cellStyle name="Normal 86 7 5" xfId="46699"/>
    <cellStyle name="Normal 86 7 6" xfId="46700"/>
    <cellStyle name="Normal 86 8" xfId="46701"/>
    <cellStyle name="Normal 86 8 2" xfId="46702"/>
    <cellStyle name="Normal 86 8 3" xfId="46703"/>
    <cellStyle name="Normal 86 8 4" xfId="46704"/>
    <cellStyle name="Normal 86 8 5" xfId="46705"/>
    <cellStyle name="Normal 86 8 6" xfId="46706"/>
    <cellStyle name="Normal 86 9" xfId="46707"/>
    <cellStyle name="Normal 86 9 2" xfId="46708"/>
    <cellStyle name="Normal 86 9 3" xfId="46709"/>
    <cellStyle name="Normal 86 9 4" xfId="46710"/>
    <cellStyle name="Normal 86 9 5" xfId="46711"/>
    <cellStyle name="Normal 86 9 6" xfId="46712"/>
    <cellStyle name="Normal 87" xfId="46713"/>
    <cellStyle name="Normal 87 2" xfId="46714"/>
    <cellStyle name="Normal 87 2 2" xfId="46715"/>
    <cellStyle name="Normal 87 2 2 2" xfId="46716"/>
    <cellStyle name="Normal 87 2 2 3" xfId="46717"/>
    <cellStyle name="Normal 87 2 2 4" xfId="46718"/>
    <cellStyle name="Normal 87 2 2 5" xfId="46719"/>
    <cellStyle name="Normal 87 2 2 6" xfId="46720"/>
    <cellStyle name="Normal 87 2 3" xfId="46721"/>
    <cellStyle name="Normal 87 2 3 2" xfId="46722"/>
    <cellStyle name="Normal 87 2 3 3" xfId="46723"/>
    <cellStyle name="Normal 87 2 3 4" xfId="46724"/>
    <cellStyle name="Normal 87 2 3 5" xfId="46725"/>
    <cellStyle name="Normal 87 2 3 6" xfId="46726"/>
    <cellStyle name="Normal 87 2 4" xfId="46727"/>
    <cellStyle name="Normal 87 2 4 2" xfId="46728"/>
    <cellStyle name="Normal 87 2 4 3" xfId="46729"/>
    <cellStyle name="Normal 87 2 4 4" xfId="46730"/>
    <cellStyle name="Normal 87 2 4 5" xfId="46731"/>
    <cellStyle name="Normal 87 2 4 6" xfId="46732"/>
    <cellStyle name="Normal 87 3" xfId="46733"/>
    <cellStyle name="Normal 87 3 2" xfId="46734"/>
    <cellStyle name="Normal 87 3 2 2" xfId="46735"/>
    <cellStyle name="Normal 87 3 2 3" xfId="46736"/>
    <cellStyle name="Normal 87 3 2 4" xfId="46737"/>
    <cellStyle name="Normal 87 3 2 5" xfId="46738"/>
    <cellStyle name="Normal 87 3 2 6" xfId="46739"/>
    <cellStyle name="Normal 87 3 3" xfId="46740"/>
    <cellStyle name="Normal 87 3 3 2" xfId="46741"/>
    <cellStyle name="Normal 87 3 3 3" xfId="46742"/>
    <cellStyle name="Normal 87 3 3 4" xfId="46743"/>
    <cellStyle name="Normal 87 3 3 5" xfId="46744"/>
    <cellStyle name="Normal 87 3 3 6" xfId="46745"/>
    <cellStyle name="Normal 87 3 4" xfId="46746"/>
    <cellStyle name="Normal 87 3 4 2" xfId="46747"/>
    <cellStyle name="Normal 87 3 4 3" xfId="46748"/>
    <cellStyle name="Normal 87 3 4 4" xfId="46749"/>
    <cellStyle name="Normal 87 3 4 5" xfId="46750"/>
    <cellStyle name="Normal 87 3 4 6" xfId="46751"/>
    <cellStyle name="Normal 87 4" xfId="46752"/>
    <cellStyle name="Normal 87 4 2" xfId="46753"/>
    <cellStyle name="Normal 87 4 2 2" xfId="46754"/>
    <cellStyle name="Normal 87 4 2 3" xfId="46755"/>
    <cellStyle name="Normal 87 4 2 4" xfId="46756"/>
    <cellStyle name="Normal 87 4 2 5" xfId="46757"/>
    <cellStyle name="Normal 87 4 2 6" xfId="46758"/>
    <cellStyle name="Normal 87 4 3" xfId="46759"/>
    <cellStyle name="Normal 87 4 3 2" xfId="46760"/>
    <cellStyle name="Normal 87 4 3 3" xfId="46761"/>
    <cellStyle name="Normal 87 4 3 4" xfId="46762"/>
    <cellStyle name="Normal 87 4 3 5" xfId="46763"/>
    <cellStyle name="Normal 87 4 3 6" xfId="46764"/>
    <cellStyle name="Normal 87 4 4" xfId="46765"/>
    <cellStyle name="Normal 87 4 4 2" xfId="46766"/>
    <cellStyle name="Normal 87 4 4 3" xfId="46767"/>
    <cellStyle name="Normal 87 4 4 4" xfId="46768"/>
    <cellStyle name="Normal 87 4 4 5" xfId="46769"/>
    <cellStyle name="Normal 87 4 4 6" xfId="46770"/>
    <cellStyle name="Normal 87 5" xfId="46771"/>
    <cellStyle name="Normal 87 5 2" xfId="46772"/>
    <cellStyle name="Normal 87 5 2 2" xfId="46773"/>
    <cellStyle name="Normal 87 5 2 3" xfId="46774"/>
    <cellStyle name="Normal 87 5 2 4" xfId="46775"/>
    <cellStyle name="Normal 87 5 2 5" xfId="46776"/>
    <cellStyle name="Normal 87 5 2 6" xfId="46777"/>
    <cellStyle name="Normal 87 5 3" xfId="46778"/>
    <cellStyle name="Normal 87 5 3 2" xfId="46779"/>
    <cellStyle name="Normal 87 5 3 3" xfId="46780"/>
    <cellStyle name="Normal 87 5 3 4" xfId="46781"/>
    <cellStyle name="Normal 87 5 3 5" xfId="46782"/>
    <cellStyle name="Normal 87 5 3 6" xfId="46783"/>
    <cellStyle name="Normal 87 5 4" xfId="46784"/>
    <cellStyle name="Normal 87 5 4 2" xfId="46785"/>
    <cellStyle name="Normal 87 5 4 3" xfId="46786"/>
    <cellStyle name="Normal 87 5 4 4" xfId="46787"/>
    <cellStyle name="Normal 87 5 4 5" xfId="46788"/>
    <cellStyle name="Normal 87 5 4 6" xfId="46789"/>
    <cellStyle name="Normal 87 6" xfId="46790"/>
    <cellStyle name="Normal 87 6 2" xfId="46791"/>
    <cellStyle name="Normal 87 6 2 2" xfId="46792"/>
    <cellStyle name="Normal 87 6 2 3" xfId="46793"/>
    <cellStyle name="Normal 87 6 2 4" xfId="46794"/>
    <cellStyle name="Normal 87 6 2 5" xfId="46795"/>
    <cellStyle name="Normal 87 6 2 6" xfId="46796"/>
    <cellStyle name="Normal 87 6 3" xfId="46797"/>
    <cellStyle name="Normal 87 6 3 2" xfId="46798"/>
    <cellStyle name="Normal 87 6 3 3" xfId="46799"/>
    <cellStyle name="Normal 87 6 3 4" xfId="46800"/>
    <cellStyle name="Normal 87 6 3 5" xfId="46801"/>
    <cellStyle name="Normal 87 6 3 6" xfId="46802"/>
    <cellStyle name="Normal 87 6 4" xfId="46803"/>
    <cellStyle name="Normal 87 6 4 2" xfId="46804"/>
    <cellStyle name="Normal 87 6 4 3" xfId="46805"/>
    <cellStyle name="Normal 87 6 4 4" xfId="46806"/>
    <cellStyle name="Normal 87 6 4 5" xfId="46807"/>
    <cellStyle name="Normal 87 6 4 6" xfId="46808"/>
    <cellStyle name="Normal 87 7" xfId="46809"/>
    <cellStyle name="Normal 87 7 2" xfId="46810"/>
    <cellStyle name="Normal 87 7 3" xfId="46811"/>
    <cellStyle name="Normal 87 7 4" xfId="46812"/>
    <cellStyle name="Normal 87 7 5" xfId="46813"/>
    <cellStyle name="Normal 87 7 6" xfId="46814"/>
    <cellStyle name="Normal 87 8" xfId="46815"/>
    <cellStyle name="Normal 87 8 2" xfId="46816"/>
    <cellStyle name="Normal 87 8 3" xfId="46817"/>
    <cellStyle name="Normal 87 8 4" xfId="46818"/>
    <cellStyle name="Normal 87 8 5" xfId="46819"/>
    <cellStyle name="Normal 87 8 6" xfId="46820"/>
    <cellStyle name="Normal 87 9" xfId="46821"/>
    <cellStyle name="Normal 87 9 2" xfId="46822"/>
    <cellStyle name="Normal 87 9 3" xfId="46823"/>
    <cellStyle name="Normal 87 9 4" xfId="46824"/>
    <cellStyle name="Normal 87 9 5" xfId="46825"/>
    <cellStyle name="Normal 87 9 6" xfId="46826"/>
    <cellStyle name="Normal 88" xfId="46827"/>
    <cellStyle name="Normal 88 2" xfId="46828"/>
    <cellStyle name="Normal 88 2 2" xfId="46829"/>
    <cellStyle name="Normal 88 2 2 2" xfId="46830"/>
    <cellStyle name="Normal 88 2 2 3" xfId="46831"/>
    <cellStyle name="Normal 88 2 2 4" xfId="46832"/>
    <cellStyle name="Normal 88 2 2 5" xfId="46833"/>
    <cellStyle name="Normal 88 2 2 6" xfId="46834"/>
    <cellStyle name="Normal 88 2 3" xfId="46835"/>
    <cellStyle name="Normal 88 2 3 2" xfId="46836"/>
    <cellStyle name="Normal 88 2 3 3" xfId="46837"/>
    <cellStyle name="Normal 88 2 3 4" xfId="46838"/>
    <cellStyle name="Normal 88 2 3 5" xfId="46839"/>
    <cellStyle name="Normal 88 2 3 6" xfId="46840"/>
    <cellStyle name="Normal 88 2 4" xfId="46841"/>
    <cellStyle name="Normal 88 2 4 2" xfId="46842"/>
    <cellStyle name="Normal 88 2 4 3" xfId="46843"/>
    <cellStyle name="Normal 88 2 4 4" xfId="46844"/>
    <cellStyle name="Normal 88 2 4 5" xfId="46845"/>
    <cellStyle name="Normal 88 2 4 6" xfId="46846"/>
    <cellStyle name="Normal 88 3" xfId="46847"/>
    <cellStyle name="Normal 88 3 2" xfId="46848"/>
    <cellStyle name="Normal 88 3 2 2" xfId="46849"/>
    <cellStyle name="Normal 88 3 2 3" xfId="46850"/>
    <cellStyle name="Normal 88 3 2 4" xfId="46851"/>
    <cellStyle name="Normal 88 3 2 5" xfId="46852"/>
    <cellStyle name="Normal 88 3 2 6" xfId="46853"/>
    <cellStyle name="Normal 88 3 3" xfId="46854"/>
    <cellStyle name="Normal 88 3 3 2" xfId="46855"/>
    <cellStyle name="Normal 88 3 3 3" xfId="46856"/>
    <cellStyle name="Normal 88 3 3 4" xfId="46857"/>
    <cellStyle name="Normal 88 3 3 5" xfId="46858"/>
    <cellStyle name="Normal 88 3 3 6" xfId="46859"/>
    <cellStyle name="Normal 88 3 4" xfId="46860"/>
    <cellStyle name="Normal 88 3 4 2" xfId="46861"/>
    <cellStyle name="Normal 88 3 4 3" xfId="46862"/>
    <cellStyle name="Normal 88 3 4 4" xfId="46863"/>
    <cellStyle name="Normal 88 3 4 5" xfId="46864"/>
    <cellStyle name="Normal 88 3 4 6" xfId="46865"/>
    <cellStyle name="Normal 88 4" xfId="46866"/>
    <cellStyle name="Normal 88 4 2" xfId="46867"/>
    <cellStyle name="Normal 88 4 2 2" xfId="46868"/>
    <cellStyle name="Normal 88 4 2 3" xfId="46869"/>
    <cellStyle name="Normal 88 4 2 4" xfId="46870"/>
    <cellStyle name="Normal 88 4 2 5" xfId="46871"/>
    <cellStyle name="Normal 88 4 2 6" xfId="46872"/>
    <cellStyle name="Normal 88 4 3" xfId="46873"/>
    <cellStyle name="Normal 88 4 3 2" xfId="46874"/>
    <cellStyle name="Normal 88 4 3 3" xfId="46875"/>
    <cellStyle name="Normal 88 4 3 4" xfId="46876"/>
    <cellStyle name="Normal 88 4 3 5" xfId="46877"/>
    <cellStyle name="Normal 88 4 3 6" xfId="46878"/>
    <cellStyle name="Normal 88 4 4" xfId="46879"/>
    <cellStyle name="Normal 88 4 4 2" xfId="46880"/>
    <cellStyle name="Normal 88 4 4 3" xfId="46881"/>
    <cellStyle name="Normal 88 4 4 4" xfId="46882"/>
    <cellStyle name="Normal 88 4 4 5" xfId="46883"/>
    <cellStyle name="Normal 88 4 4 6" xfId="46884"/>
    <cellStyle name="Normal 88 5" xfId="46885"/>
    <cellStyle name="Normal 88 5 2" xfId="46886"/>
    <cellStyle name="Normal 88 5 2 2" xfId="46887"/>
    <cellStyle name="Normal 88 5 2 3" xfId="46888"/>
    <cellStyle name="Normal 88 5 2 4" xfId="46889"/>
    <cellStyle name="Normal 88 5 2 5" xfId="46890"/>
    <cellStyle name="Normal 88 5 2 6" xfId="46891"/>
    <cellStyle name="Normal 88 5 3" xfId="46892"/>
    <cellStyle name="Normal 88 5 3 2" xfId="46893"/>
    <cellStyle name="Normal 88 5 3 3" xfId="46894"/>
    <cellStyle name="Normal 88 5 3 4" xfId="46895"/>
    <cellStyle name="Normal 88 5 3 5" xfId="46896"/>
    <cellStyle name="Normal 88 5 3 6" xfId="46897"/>
    <cellStyle name="Normal 88 5 4" xfId="46898"/>
    <cellStyle name="Normal 88 5 4 2" xfId="46899"/>
    <cellStyle name="Normal 88 5 4 3" xfId="46900"/>
    <cellStyle name="Normal 88 5 4 4" xfId="46901"/>
    <cellStyle name="Normal 88 5 4 5" xfId="46902"/>
    <cellStyle name="Normal 88 5 4 6" xfId="46903"/>
    <cellStyle name="Normal 88 6" xfId="46904"/>
    <cellStyle name="Normal 88 6 2" xfId="46905"/>
    <cellStyle name="Normal 88 6 2 2" xfId="46906"/>
    <cellStyle name="Normal 88 6 2 3" xfId="46907"/>
    <cellStyle name="Normal 88 6 2 4" xfId="46908"/>
    <cellStyle name="Normal 88 6 2 5" xfId="46909"/>
    <cellStyle name="Normal 88 6 2 6" xfId="46910"/>
    <cellStyle name="Normal 88 6 3" xfId="46911"/>
    <cellStyle name="Normal 88 6 3 2" xfId="46912"/>
    <cellStyle name="Normal 88 6 3 3" xfId="46913"/>
    <cellStyle name="Normal 88 6 3 4" xfId="46914"/>
    <cellStyle name="Normal 88 6 3 5" xfId="46915"/>
    <cellStyle name="Normal 88 6 3 6" xfId="46916"/>
    <cellStyle name="Normal 88 6 4" xfId="46917"/>
    <cellStyle name="Normal 88 6 4 2" xfId="46918"/>
    <cellStyle name="Normal 88 6 4 3" xfId="46919"/>
    <cellStyle name="Normal 88 6 4 4" xfId="46920"/>
    <cellStyle name="Normal 88 6 4 5" xfId="46921"/>
    <cellStyle name="Normal 88 6 4 6" xfId="46922"/>
    <cellStyle name="Normal 88 7" xfId="46923"/>
    <cellStyle name="Normal 88 7 2" xfId="46924"/>
    <cellStyle name="Normal 88 7 3" xfId="46925"/>
    <cellStyle name="Normal 88 7 4" xfId="46926"/>
    <cellStyle name="Normal 88 7 5" xfId="46927"/>
    <cellStyle name="Normal 88 7 6" xfId="46928"/>
    <cellStyle name="Normal 88 8" xfId="46929"/>
    <cellStyle name="Normal 88 8 2" xfId="46930"/>
    <cellStyle name="Normal 88 8 3" xfId="46931"/>
    <cellStyle name="Normal 88 8 4" xfId="46932"/>
    <cellStyle name="Normal 88 8 5" xfId="46933"/>
    <cellStyle name="Normal 88 8 6" xfId="46934"/>
    <cellStyle name="Normal 88 9" xfId="46935"/>
    <cellStyle name="Normal 88 9 2" xfId="46936"/>
    <cellStyle name="Normal 88 9 3" xfId="46937"/>
    <cellStyle name="Normal 88 9 4" xfId="46938"/>
    <cellStyle name="Normal 88 9 5" xfId="46939"/>
    <cellStyle name="Normal 88 9 6" xfId="46940"/>
    <cellStyle name="Normal 89" xfId="46941"/>
    <cellStyle name="Normal 89 2" xfId="46942"/>
    <cellStyle name="Normal 89 2 2" xfId="46943"/>
    <cellStyle name="Normal 89 2 2 2" xfId="46944"/>
    <cellStyle name="Normal 89 2 2 3" xfId="46945"/>
    <cellStyle name="Normal 89 2 2 4" xfId="46946"/>
    <cellStyle name="Normal 89 2 2 5" xfId="46947"/>
    <cellStyle name="Normal 89 2 2 6" xfId="46948"/>
    <cellStyle name="Normal 89 2 3" xfId="46949"/>
    <cellStyle name="Normal 89 2 3 2" xfId="46950"/>
    <cellStyle name="Normal 89 2 3 3" xfId="46951"/>
    <cellStyle name="Normal 89 2 3 4" xfId="46952"/>
    <cellStyle name="Normal 89 2 3 5" xfId="46953"/>
    <cellStyle name="Normal 89 2 3 6" xfId="46954"/>
    <cellStyle name="Normal 89 2 4" xfId="46955"/>
    <cellStyle name="Normal 89 2 4 2" xfId="46956"/>
    <cellStyle name="Normal 89 2 4 3" xfId="46957"/>
    <cellStyle name="Normal 89 2 4 4" xfId="46958"/>
    <cellStyle name="Normal 89 2 4 5" xfId="46959"/>
    <cellStyle name="Normal 89 2 4 6" xfId="46960"/>
    <cellStyle name="Normal 89 3" xfId="46961"/>
    <cellStyle name="Normal 89 3 2" xfId="46962"/>
    <cellStyle name="Normal 89 3 2 2" xfId="46963"/>
    <cellStyle name="Normal 89 3 2 3" xfId="46964"/>
    <cellStyle name="Normal 89 3 2 4" xfId="46965"/>
    <cellStyle name="Normal 89 3 2 5" xfId="46966"/>
    <cellStyle name="Normal 89 3 2 6" xfId="46967"/>
    <cellStyle name="Normal 89 3 3" xfId="46968"/>
    <cellStyle name="Normal 89 3 3 2" xfId="46969"/>
    <cellStyle name="Normal 89 3 3 3" xfId="46970"/>
    <cellStyle name="Normal 89 3 3 4" xfId="46971"/>
    <cellStyle name="Normal 89 3 3 5" xfId="46972"/>
    <cellStyle name="Normal 89 3 3 6" xfId="46973"/>
    <cellStyle name="Normal 89 3 4" xfId="46974"/>
    <cellStyle name="Normal 89 3 4 2" xfId="46975"/>
    <cellStyle name="Normal 89 3 4 3" xfId="46976"/>
    <cellStyle name="Normal 89 3 4 4" xfId="46977"/>
    <cellStyle name="Normal 89 3 4 5" xfId="46978"/>
    <cellStyle name="Normal 89 3 4 6" xfId="46979"/>
    <cellStyle name="Normal 89 4" xfId="46980"/>
    <cellStyle name="Normal 89 4 2" xfId="46981"/>
    <cellStyle name="Normal 89 4 2 2" xfId="46982"/>
    <cellStyle name="Normal 89 4 2 3" xfId="46983"/>
    <cellStyle name="Normal 89 4 2 4" xfId="46984"/>
    <cellStyle name="Normal 89 4 2 5" xfId="46985"/>
    <cellStyle name="Normal 89 4 2 6" xfId="46986"/>
    <cellStyle name="Normal 89 4 3" xfId="46987"/>
    <cellStyle name="Normal 89 4 3 2" xfId="46988"/>
    <cellStyle name="Normal 89 4 3 3" xfId="46989"/>
    <cellStyle name="Normal 89 4 3 4" xfId="46990"/>
    <cellStyle name="Normal 89 4 3 5" xfId="46991"/>
    <cellStyle name="Normal 89 4 3 6" xfId="46992"/>
    <cellStyle name="Normal 89 4 4" xfId="46993"/>
    <cellStyle name="Normal 89 4 4 2" xfId="46994"/>
    <cellStyle name="Normal 89 4 4 3" xfId="46995"/>
    <cellStyle name="Normal 89 4 4 4" xfId="46996"/>
    <cellStyle name="Normal 89 4 4 5" xfId="46997"/>
    <cellStyle name="Normal 89 4 4 6" xfId="46998"/>
    <cellStyle name="Normal 89 5" xfId="46999"/>
    <cellStyle name="Normal 89 5 2" xfId="47000"/>
    <cellStyle name="Normal 89 5 2 2" xfId="47001"/>
    <cellStyle name="Normal 89 5 2 3" xfId="47002"/>
    <cellStyle name="Normal 89 5 2 4" xfId="47003"/>
    <cellStyle name="Normal 89 5 2 5" xfId="47004"/>
    <cellStyle name="Normal 89 5 2 6" xfId="47005"/>
    <cellStyle name="Normal 89 5 3" xfId="47006"/>
    <cellStyle name="Normal 89 5 3 2" xfId="47007"/>
    <cellStyle name="Normal 89 5 3 3" xfId="47008"/>
    <cellStyle name="Normal 89 5 3 4" xfId="47009"/>
    <cellStyle name="Normal 89 5 3 5" xfId="47010"/>
    <cellStyle name="Normal 89 5 3 6" xfId="47011"/>
    <cellStyle name="Normal 89 5 4" xfId="47012"/>
    <cellStyle name="Normal 89 5 4 2" xfId="47013"/>
    <cellStyle name="Normal 89 5 4 3" xfId="47014"/>
    <cellStyle name="Normal 89 5 4 4" xfId="47015"/>
    <cellStyle name="Normal 89 5 4 5" xfId="47016"/>
    <cellStyle name="Normal 89 5 4 6" xfId="47017"/>
    <cellStyle name="Normal 89 6" xfId="47018"/>
    <cellStyle name="Normal 89 6 2" xfId="47019"/>
    <cellStyle name="Normal 89 6 2 2" xfId="47020"/>
    <cellStyle name="Normal 89 6 2 3" xfId="47021"/>
    <cellStyle name="Normal 89 6 2 4" xfId="47022"/>
    <cellStyle name="Normal 89 6 2 5" xfId="47023"/>
    <cellStyle name="Normal 89 6 2 6" xfId="47024"/>
    <cellStyle name="Normal 89 6 3" xfId="47025"/>
    <cellStyle name="Normal 89 6 3 2" xfId="47026"/>
    <cellStyle name="Normal 89 6 3 3" xfId="47027"/>
    <cellStyle name="Normal 89 6 3 4" xfId="47028"/>
    <cellStyle name="Normal 89 6 3 5" xfId="47029"/>
    <cellStyle name="Normal 89 6 3 6" xfId="47030"/>
    <cellStyle name="Normal 89 6 4" xfId="47031"/>
    <cellStyle name="Normal 89 6 4 2" xfId="47032"/>
    <cellStyle name="Normal 89 6 4 3" xfId="47033"/>
    <cellStyle name="Normal 89 6 4 4" xfId="47034"/>
    <cellStyle name="Normal 89 6 4 5" xfId="47035"/>
    <cellStyle name="Normal 89 6 4 6" xfId="47036"/>
    <cellStyle name="Normal 89 7" xfId="47037"/>
    <cellStyle name="Normal 89 7 2" xfId="47038"/>
    <cellStyle name="Normal 89 7 3" xfId="47039"/>
    <cellStyle name="Normal 89 7 4" xfId="47040"/>
    <cellStyle name="Normal 89 7 5" xfId="47041"/>
    <cellStyle name="Normal 89 7 6" xfId="47042"/>
    <cellStyle name="Normal 89 8" xfId="47043"/>
    <cellStyle name="Normal 89 8 2" xfId="47044"/>
    <cellStyle name="Normal 89 8 3" xfId="47045"/>
    <cellStyle name="Normal 89 8 4" xfId="47046"/>
    <cellStyle name="Normal 89 8 5" xfId="47047"/>
    <cellStyle name="Normal 89 8 6" xfId="47048"/>
    <cellStyle name="Normal 89 9" xfId="47049"/>
    <cellStyle name="Normal 89 9 2" xfId="47050"/>
    <cellStyle name="Normal 89 9 3" xfId="47051"/>
    <cellStyle name="Normal 89 9 4" xfId="47052"/>
    <cellStyle name="Normal 89 9 5" xfId="47053"/>
    <cellStyle name="Normal 89 9 6" xfId="47054"/>
    <cellStyle name="Normal 9" xfId="47055"/>
    <cellStyle name="Normal 9 10" xfId="47056"/>
    <cellStyle name="Normal 9 10 2" xfId="47057"/>
    <cellStyle name="Normal 9 10 2 2" xfId="47058"/>
    <cellStyle name="Normal 9 10 2 3" xfId="47059"/>
    <cellStyle name="Normal 9 10 2 4" xfId="47060"/>
    <cellStyle name="Normal 9 10 2 5" xfId="47061"/>
    <cellStyle name="Normal 9 10 2 6" xfId="47062"/>
    <cellStyle name="Normal 9 10 3" xfId="47063"/>
    <cellStyle name="Normal 9 10 3 2" xfId="47064"/>
    <cellStyle name="Normal 9 10 3 3" xfId="47065"/>
    <cellStyle name="Normal 9 10 3 4" xfId="47066"/>
    <cellStyle name="Normal 9 10 3 5" xfId="47067"/>
    <cellStyle name="Normal 9 10 3 6" xfId="47068"/>
    <cellStyle name="Normal 9 10 4" xfId="47069"/>
    <cellStyle name="Normal 9 10 4 2" xfId="47070"/>
    <cellStyle name="Normal 9 10 4 3" xfId="47071"/>
    <cellStyle name="Normal 9 10 4 4" xfId="47072"/>
    <cellStyle name="Normal 9 10 4 5" xfId="47073"/>
    <cellStyle name="Normal 9 10 4 6" xfId="47074"/>
    <cellStyle name="Normal 9 11" xfId="47075"/>
    <cellStyle name="Normal 9 11 2" xfId="47076"/>
    <cellStyle name="Normal 9 11 3" xfId="47077"/>
    <cellStyle name="Normal 9 11 4" xfId="47078"/>
    <cellStyle name="Normal 9 11 5" xfId="47079"/>
    <cellStyle name="Normal 9 11 6" xfId="47080"/>
    <cellStyle name="Normal 9 12" xfId="47081"/>
    <cellStyle name="Normal 9 12 2" xfId="47082"/>
    <cellStyle name="Normal 9 12 3" xfId="47083"/>
    <cellStyle name="Normal 9 12 4" xfId="47084"/>
    <cellStyle name="Normal 9 12 5" xfId="47085"/>
    <cellStyle name="Normal 9 12 6" xfId="47086"/>
    <cellStyle name="Normal 9 13" xfId="47087"/>
    <cellStyle name="Normal 9 13 2" xfId="47088"/>
    <cellStyle name="Normal 9 13 3" xfId="47089"/>
    <cellStyle name="Normal 9 13 4" xfId="47090"/>
    <cellStyle name="Normal 9 13 5" xfId="47091"/>
    <cellStyle name="Normal 9 13 6" xfId="47092"/>
    <cellStyle name="Normal 9 2" xfId="47093"/>
    <cellStyle name="Normal 9 2 2" xfId="47094"/>
    <cellStyle name="Normal 9 2 2 2" xfId="47095"/>
    <cellStyle name="Normal 9 2 2 3" xfId="47096"/>
    <cellStyle name="Normal 9 2 2 4" xfId="47097"/>
    <cellStyle name="Normal 9 2 2 5" xfId="47098"/>
    <cellStyle name="Normal 9 2 2 6" xfId="47099"/>
    <cellStyle name="Normal 9 2 3" xfId="47100"/>
    <cellStyle name="Normal 9 2 3 2" xfId="47101"/>
    <cellStyle name="Normal 9 2 3 3" xfId="47102"/>
    <cellStyle name="Normal 9 2 3 4" xfId="47103"/>
    <cellStyle name="Normal 9 2 3 5" xfId="47104"/>
    <cellStyle name="Normal 9 2 3 6" xfId="47105"/>
    <cellStyle name="Normal 9 2 4" xfId="47106"/>
    <cellStyle name="Normal 9 2 4 2" xfId="47107"/>
    <cellStyle name="Normal 9 2 4 3" xfId="47108"/>
    <cellStyle name="Normal 9 2 4 4" xfId="47109"/>
    <cellStyle name="Normal 9 2 4 5" xfId="47110"/>
    <cellStyle name="Normal 9 2 4 6" xfId="47111"/>
    <cellStyle name="Normal 9 3" xfId="47112"/>
    <cellStyle name="Normal 9 3 2" xfId="47113"/>
    <cellStyle name="Normal 9 3 2 2" xfId="47114"/>
    <cellStyle name="Normal 9 3 2 3" xfId="47115"/>
    <cellStyle name="Normal 9 3 2 4" xfId="47116"/>
    <cellStyle name="Normal 9 3 2 5" xfId="47117"/>
    <cellStyle name="Normal 9 3 2 6" xfId="47118"/>
    <cellStyle name="Normal 9 3 3" xfId="47119"/>
    <cellStyle name="Normal 9 3 3 2" xfId="47120"/>
    <cellStyle name="Normal 9 3 3 3" xfId="47121"/>
    <cellStyle name="Normal 9 3 3 4" xfId="47122"/>
    <cellStyle name="Normal 9 3 3 5" xfId="47123"/>
    <cellStyle name="Normal 9 3 3 6" xfId="47124"/>
    <cellStyle name="Normal 9 3 4" xfId="47125"/>
    <cellStyle name="Normal 9 3 4 2" xfId="47126"/>
    <cellStyle name="Normal 9 3 4 3" xfId="47127"/>
    <cellStyle name="Normal 9 3 4 4" xfId="47128"/>
    <cellStyle name="Normal 9 3 4 5" xfId="47129"/>
    <cellStyle name="Normal 9 3 4 6" xfId="47130"/>
    <cellStyle name="Normal 9 4" xfId="47131"/>
    <cellStyle name="Normal 9 4 2" xfId="47132"/>
    <cellStyle name="Normal 9 4 2 2" xfId="47133"/>
    <cellStyle name="Normal 9 4 2 3" xfId="47134"/>
    <cellStyle name="Normal 9 4 2 4" xfId="47135"/>
    <cellStyle name="Normal 9 4 2 5" xfId="47136"/>
    <cellStyle name="Normal 9 4 2 6" xfId="47137"/>
    <cellStyle name="Normal 9 4 3" xfId="47138"/>
    <cellStyle name="Normal 9 4 3 2" xfId="47139"/>
    <cellStyle name="Normal 9 4 3 3" xfId="47140"/>
    <cellStyle name="Normal 9 4 3 4" xfId="47141"/>
    <cellStyle name="Normal 9 4 3 5" xfId="47142"/>
    <cellStyle name="Normal 9 4 3 6" xfId="47143"/>
    <cellStyle name="Normal 9 4 4" xfId="47144"/>
    <cellStyle name="Normal 9 4 4 2" xfId="47145"/>
    <cellStyle name="Normal 9 4 4 3" xfId="47146"/>
    <cellStyle name="Normal 9 4 4 4" xfId="47147"/>
    <cellStyle name="Normal 9 4 4 5" xfId="47148"/>
    <cellStyle name="Normal 9 4 4 6" xfId="47149"/>
    <cellStyle name="Normal 9 5" xfId="47150"/>
    <cellStyle name="Normal 9 5 2" xfId="47151"/>
    <cellStyle name="Normal 9 5 2 2" xfId="47152"/>
    <cellStyle name="Normal 9 5 2 3" xfId="47153"/>
    <cellStyle name="Normal 9 5 2 4" xfId="47154"/>
    <cellStyle name="Normal 9 5 2 5" xfId="47155"/>
    <cellStyle name="Normal 9 5 2 6" xfId="47156"/>
    <cellStyle name="Normal 9 5 3" xfId="47157"/>
    <cellStyle name="Normal 9 5 3 2" xfId="47158"/>
    <cellStyle name="Normal 9 5 3 3" xfId="47159"/>
    <cellStyle name="Normal 9 5 3 4" xfId="47160"/>
    <cellStyle name="Normal 9 5 3 5" xfId="47161"/>
    <cellStyle name="Normal 9 5 3 6" xfId="47162"/>
    <cellStyle name="Normal 9 5 4" xfId="47163"/>
    <cellStyle name="Normal 9 5 4 2" xfId="47164"/>
    <cellStyle name="Normal 9 5 4 3" xfId="47165"/>
    <cellStyle name="Normal 9 5 4 4" xfId="47166"/>
    <cellStyle name="Normal 9 5 4 5" xfId="47167"/>
    <cellStyle name="Normal 9 5 4 6" xfId="47168"/>
    <cellStyle name="Normal 9 6" xfId="47169"/>
    <cellStyle name="Normal 9 6 2" xfId="47170"/>
    <cellStyle name="Normal 9 6 2 2" xfId="47171"/>
    <cellStyle name="Normal 9 6 2 3" xfId="47172"/>
    <cellStyle name="Normal 9 6 2 4" xfId="47173"/>
    <cellStyle name="Normal 9 6 2 5" xfId="47174"/>
    <cellStyle name="Normal 9 6 2 6" xfId="47175"/>
    <cellStyle name="Normal 9 6 3" xfId="47176"/>
    <cellStyle name="Normal 9 6 3 2" xfId="47177"/>
    <cellStyle name="Normal 9 6 3 3" xfId="47178"/>
    <cellStyle name="Normal 9 6 3 4" xfId="47179"/>
    <cellStyle name="Normal 9 6 3 5" xfId="47180"/>
    <cellStyle name="Normal 9 6 3 6" xfId="47181"/>
    <cellStyle name="Normal 9 6 4" xfId="47182"/>
    <cellStyle name="Normal 9 6 4 2" xfId="47183"/>
    <cellStyle name="Normal 9 6 4 3" xfId="47184"/>
    <cellStyle name="Normal 9 6 4 4" xfId="47185"/>
    <cellStyle name="Normal 9 6 4 5" xfId="47186"/>
    <cellStyle name="Normal 9 6 4 6" xfId="47187"/>
    <cellStyle name="Normal 9 7" xfId="47188"/>
    <cellStyle name="Normal 9 7 2" xfId="47189"/>
    <cellStyle name="Normal 9 7 2 2" xfId="47190"/>
    <cellStyle name="Normal 9 7 2 3" xfId="47191"/>
    <cellStyle name="Normal 9 7 2 4" xfId="47192"/>
    <cellStyle name="Normal 9 7 2 5" xfId="47193"/>
    <cellStyle name="Normal 9 7 2 6" xfId="47194"/>
    <cellStyle name="Normal 9 7 3" xfId="47195"/>
    <cellStyle name="Normal 9 7 3 2" xfId="47196"/>
    <cellStyle name="Normal 9 7 3 3" xfId="47197"/>
    <cellStyle name="Normal 9 7 3 4" xfId="47198"/>
    <cellStyle name="Normal 9 7 3 5" xfId="47199"/>
    <cellStyle name="Normal 9 7 3 6" xfId="47200"/>
    <cellStyle name="Normal 9 7 4" xfId="47201"/>
    <cellStyle name="Normal 9 7 4 2" xfId="47202"/>
    <cellStyle name="Normal 9 7 4 3" xfId="47203"/>
    <cellStyle name="Normal 9 7 4 4" xfId="47204"/>
    <cellStyle name="Normal 9 7 4 5" xfId="47205"/>
    <cellStyle name="Normal 9 7 4 6" xfId="47206"/>
    <cellStyle name="Normal 9 8" xfId="47207"/>
    <cellStyle name="Normal 9 8 2" xfId="47208"/>
    <cellStyle name="Normal 9 8 2 2" xfId="47209"/>
    <cellStyle name="Normal 9 8 2 3" xfId="47210"/>
    <cellStyle name="Normal 9 8 2 4" xfId="47211"/>
    <cellStyle name="Normal 9 8 2 5" xfId="47212"/>
    <cellStyle name="Normal 9 8 2 6" xfId="47213"/>
    <cellStyle name="Normal 9 8 3" xfId="47214"/>
    <cellStyle name="Normal 9 8 3 2" xfId="47215"/>
    <cellStyle name="Normal 9 8 3 3" xfId="47216"/>
    <cellStyle name="Normal 9 8 3 4" xfId="47217"/>
    <cellStyle name="Normal 9 8 3 5" xfId="47218"/>
    <cellStyle name="Normal 9 8 3 6" xfId="47219"/>
    <cellStyle name="Normal 9 8 4" xfId="47220"/>
    <cellStyle name="Normal 9 8 4 2" xfId="47221"/>
    <cellStyle name="Normal 9 8 4 3" xfId="47222"/>
    <cellStyle name="Normal 9 8 4 4" xfId="47223"/>
    <cellStyle name="Normal 9 8 4 5" xfId="47224"/>
    <cellStyle name="Normal 9 8 4 6" xfId="47225"/>
    <cellStyle name="Normal 9 9" xfId="47226"/>
    <cellStyle name="Normal 9 9 2" xfId="47227"/>
    <cellStyle name="Normal 9 9 2 2" xfId="47228"/>
    <cellStyle name="Normal 9 9 2 3" xfId="47229"/>
    <cellStyle name="Normal 9 9 2 4" xfId="47230"/>
    <cellStyle name="Normal 9 9 2 5" xfId="47231"/>
    <cellStyle name="Normal 9 9 2 6" xfId="47232"/>
    <cellStyle name="Normal 9 9 3" xfId="47233"/>
    <cellStyle name="Normal 9 9 3 2" xfId="47234"/>
    <cellStyle name="Normal 9 9 3 3" xfId="47235"/>
    <cellStyle name="Normal 9 9 3 4" xfId="47236"/>
    <cellStyle name="Normal 9 9 3 5" xfId="47237"/>
    <cellStyle name="Normal 9 9 3 6" xfId="47238"/>
    <cellStyle name="Normal 9 9 4" xfId="47239"/>
    <cellStyle name="Normal 9 9 4 2" xfId="47240"/>
    <cellStyle name="Normal 9 9 4 3" xfId="47241"/>
    <cellStyle name="Normal 9 9 4 4" xfId="47242"/>
    <cellStyle name="Normal 9 9 4 5" xfId="47243"/>
    <cellStyle name="Normal 9 9 4 6" xfId="47244"/>
    <cellStyle name="Normal 90" xfId="47245"/>
    <cellStyle name="Normal 90 2" xfId="47246"/>
    <cellStyle name="Normal 90 2 2" xfId="47247"/>
    <cellStyle name="Normal 90 2 2 2" xfId="47248"/>
    <cellStyle name="Normal 90 2 2 3" xfId="47249"/>
    <cellStyle name="Normal 90 2 2 4" xfId="47250"/>
    <cellStyle name="Normal 90 2 2 5" xfId="47251"/>
    <cellStyle name="Normal 90 2 2 6" xfId="47252"/>
    <cellStyle name="Normal 90 2 3" xfId="47253"/>
    <cellStyle name="Normal 90 2 3 2" xfId="47254"/>
    <cellStyle name="Normal 90 2 3 3" xfId="47255"/>
    <cellStyle name="Normal 90 2 3 4" xfId="47256"/>
    <cellStyle name="Normal 90 2 3 5" xfId="47257"/>
    <cellStyle name="Normal 90 2 3 6" xfId="47258"/>
    <cellStyle name="Normal 90 2 4" xfId="47259"/>
    <cellStyle name="Normal 90 2 4 2" xfId="47260"/>
    <cellStyle name="Normal 90 2 4 3" xfId="47261"/>
    <cellStyle name="Normal 90 2 4 4" xfId="47262"/>
    <cellStyle name="Normal 90 2 4 5" xfId="47263"/>
    <cellStyle name="Normal 90 2 4 6" xfId="47264"/>
    <cellStyle name="Normal 90 3" xfId="47265"/>
    <cellStyle name="Normal 90 3 2" xfId="47266"/>
    <cellStyle name="Normal 90 3 2 2" xfId="47267"/>
    <cellStyle name="Normal 90 3 2 3" xfId="47268"/>
    <cellStyle name="Normal 90 3 2 4" xfId="47269"/>
    <cellStyle name="Normal 90 3 2 5" xfId="47270"/>
    <cellStyle name="Normal 90 3 2 6" xfId="47271"/>
    <cellStyle name="Normal 90 3 3" xfId="47272"/>
    <cellStyle name="Normal 90 3 3 2" xfId="47273"/>
    <cellStyle name="Normal 90 3 3 3" xfId="47274"/>
    <cellStyle name="Normal 90 3 3 4" xfId="47275"/>
    <cellStyle name="Normal 90 3 3 5" xfId="47276"/>
    <cellStyle name="Normal 90 3 3 6" xfId="47277"/>
    <cellStyle name="Normal 90 3 4" xfId="47278"/>
    <cellStyle name="Normal 90 3 4 2" xfId="47279"/>
    <cellStyle name="Normal 90 3 4 3" xfId="47280"/>
    <cellStyle name="Normal 90 3 4 4" xfId="47281"/>
    <cellStyle name="Normal 90 3 4 5" xfId="47282"/>
    <cellStyle name="Normal 90 3 4 6" xfId="47283"/>
    <cellStyle name="Normal 90 4" xfId="47284"/>
    <cellStyle name="Normal 90 4 2" xfId="47285"/>
    <cellStyle name="Normal 90 4 2 2" xfId="47286"/>
    <cellStyle name="Normal 90 4 2 3" xfId="47287"/>
    <cellStyle name="Normal 90 4 2 4" xfId="47288"/>
    <cellStyle name="Normal 90 4 2 5" xfId="47289"/>
    <cellStyle name="Normal 90 4 2 6" xfId="47290"/>
    <cellStyle name="Normal 90 4 3" xfId="47291"/>
    <cellStyle name="Normal 90 4 3 2" xfId="47292"/>
    <cellStyle name="Normal 90 4 3 3" xfId="47293"/>
    <cellStyle name="Normal 90 4 3 4" xfId="47294"/>
    <cellStyle name="Normal 90 4 3 5" xfId="47295"/>
    <cellStyle name="Normal 90 4 3 6" xfId="47296"/>
    <cellStyle name="Normal 90 4 4" xfId="47297"/>
    <cellStyle name="Normal 90 4 4 2" xfId="47298"/>
    <cellStyle name="Normal 90 4 4 3" xfId="47299"/>
    <cellStyle name="Normal 90 4 4 4" xfId="47300"/>
    <cellStyle name="Normal 90 4 4 5" xfId="47301"/>
    <cellStyle name="Normal 90 4 4 6" xfId="47302"/>
    <cellStyle name="Normal 90 5" xfId="47303"/>
    <cellStyle name="Normal 90 5 2" xfId="47304"/>
    <cellStyle name="Normal 90 5 2 2" xfId="47305"/>
    <cellStyle name="Normal 90 5 2 3" xfId="47306"/>
    <cellStyle name="Normal 90 5 2 4" xfId="47307"/>
    <cellStyle name="Normal 90 5 2 5" xfId="47308"/>
    <cellStyle name="Normal 90 5 2 6" xfId="47309"/>
    <cellStyle name="Normal 90 5 3" xfId="47310"/>
    <cellStyle name="Normal 90 5 3 2" xfId="47311"/>
    <cellStyle name="Normal 90 5 3 3" xfId="47312"/>
    <cellStyle name="Normal 90 5 3 4" xfId="47313"/>
    <cellStyle name="Normal 90 5 3 5" xfId="47314"/>
    <cellStyle name="Normal 90 5 3 6" xfId="47315"/>
    <cellStyle name="Normal 90 5 4" xfId="47316"/>
    <cellStyle name="Normal 90 5 4 2" xfId="47317"/>
    <cellStyle name="Normal 90 5 4 3" xfId="47318"/>
    <cellStyle name="Normal 90 5 4 4" xfId="47319"/>
    <cellStyle name="Normal 90 5 4 5" xfId="47320"/>
    <cellStyle name="Normal 90 5 4 6" xfId="47321"/>
    <cellStyle name="Normal 90 6" xfId="47322"/>
    <cellStyle name="Normal 90 6 2" xfId="47323"/>
    <cellStyle name="Normal 90 6 2 2" xfId="47324"/>
    <cellStyle name="Normal 90 6 2 3" xfId="47325"/>
    <cellStyle name="Normal 90 6 2 4" xfId="47326"/>
    <cellStyle name="Normal 90 6 2 5" xfId="47327"/>
    <cellStyle name="Normal 90 6 2 6" xfId="47328"/>
    <cellStyle name="Normal 90 6 3" xfId="47329"/>
    <cellStyle name="Normal 90 6 3 2" xfId="47330"/>
    <cellStyle name="Normal 90 6 3 3" xfId="47331"/>
    <cellStyle name="Normal 90 6 3 4" xfId="47332"/>
    <cellStyle name="Normal 90 6 3 5" xfId="47333"/>
    <cellStyle name="Normal 90 6 3 6" xfId="47334"/>
    <cellStyle name="Normal 90 6 4" xfId="47335"/>
    <cellStyle name="Normal 90 6 4 2" xfId="47336"/>
    <cellStyle name="Normal 90 6 4 3" xfId="47337"/>
    <cellStyle name="Normal 90 6 4 4" xfId="47338"/>
    <cellStyle name="Normal 90 6 4 5" xfId="47339"/>
    <cellStyle name="Normal 90 6 4 6" xfId="47340"/>
    <cellStyle name="Normal 90 7" xfId="47341"/>
    <cellStyle name="Normal 90 7 2" xfId="47342"/>
    <cellStyle name="Normal 90 7 3" xfId="47343"/>
    <cellStyle name="Normal 90 7 4" xfId="47344"/>
    <cellStyle name="Normal 90 7 5" xfId="47345"/>
    <cellStyle name="Normal 90 7 6" xfId="47346"/>
    <cellStyle name="Normal 90 8" xfId="47347"/>
    <cellStyle name="Normal 90 8 2" xfId="47348"/>
    <cellStyle name="Normal 90 8 3" xfId="47349"/>
    <cellStyle name="Normal 90 8 4" xfId="47350"/>
    <cellStyle name="Normal 90 8 5" xfId="47351"/>
    <cellStyle name="Normal 90 8 6" xfId="47352"/>
    <cellStyle name="Normal 90 9" xfId="47353"/>
    <cellStyle name="Normal 90 9 2" xfId="47354"/>
    <cellStyle name="Normal 90 9 3" xfId="47355"/>
    <cellStyle name="Normal 90 9 4" xfId="47356"/>
    <cellStyle name="Normal 90 9 5" xfId="47357"/>
    <cellStyle name="Normal 90 9 6" xfId="47358"/>
    <cellStyle name="Normal 91" xfId="47359"/>
    <cellStyle name="Normal 91 2" xfId="47360"/>
    <cellStyle name="Normal 91 2 2" xfId="47361"/>
    <cellStyle name="Normal 91 2 2 2" xfId="47362"/>
    <cellStyle name="Normal 91 2 2 3" xfId="47363"/>
    <cellStyle name="Normal 91 2 2 4" xfId="47364"/>
    <cellStyle name="Normal 91 2 2 5" xfId="47365"/>
    <cellStyle name="Normal 91 2 2 6" xfId="47366"/>
    <cellStyle name="Normal 91 2 3" xfId="47367"/>
    <cellStyle name="Normal 91 2 3 2" xfId="47368"/>
    <cellStyle name="Normal 91 2 3 3" xfId="47369"/>
    <cellStyle name="Normal 91 2 3 4" xfId="47370"/>
    <cellStyle name="Normal 91 2 3 5" xfId="47371"/>
    <cellStyle name="Normal 91 2 3 6" xfId="47372"/>
    <cellStyle name="Normal 91 2 4" xfId="47373"/>
    <cellStyle name="Normal 91 2 4 2" xfId="47374"/>
    <cellStyle name="Normal 91 2 4 3" xfId="47375"/>
    <cellStyle name="Normal 91 2 4 4" xfId="47376"/>
    <cellStyle name="Normal 91 2 4 5" xfId="47377"/>
    <cellStyle name="Normal 91 2 4 6" xfId="47378"/>
    <cellStyle name="Normal 91 3" xfId="47379"/>
    <cellStyle name="Normal 91 3 2" xfId="47380"/>
    <cellStyle name="Normal 91 3 2 2" xfId="47381"/>
    <cellStyle name="Normal 91 3 2 3" xfId="47382"/>
    <cellStyle name="Normal 91 3 2 4" xfId="47383"/>
    <cellStyle name="Normal 91 3 2 5" xfId="47384"/>
    <cellStyle name="Normal 91 3 2 6" xfId="47385"/>
    <cellStyle name="Normal 91 3 3" xfId="47386"/>
    <cellStyle name="Normal 91 3 3 2" xfId="47387"/>
    <cellStyle name="Normal 91 3 3 3" xfId="47388"/>
    <cellStyle name="Normal 91 3 3 4" xfId="47389"/>
    <cellStyle name="Normal 91 3 3 5" xfId="47390"/>
    <cellStyle name="Normal 91 3 3 6" xfId="47391"/>
    <cellStyle name="Normal 91 3 4" xfId="47392"/>
    <cellStyle name="Normal 91 3 4 2" xfId="47393"/>
    <cellStyle name="Normal 91 3 4 3" xfId="47394"/>
    <cellStyle name="Normal 91 3 4 4" xfId="47395"/>
    <cellStyle name="Normal 91 3 4 5" xfId="47396"/>
    <cellStyle name="Normal 91 3 4 6" xfId="47397"/>
    <cellStyle name="Normal 91 4" xfId="47398"/>
    <cellStyle name="Normal 91 4 2" xfId="47399"/>
    <cellStyle name="Normal 91 4 2 2" xfId="47400"/>
    <cellStyle name="Normal 91 4 2 3" xfId="47401"/>
    <cellStyle name="Normal 91 4 2 4" xfId="47402"/>
    <cellStyle name="Normal 91 4 2 5" xfId="47403"/>
    <cellStyle name="Normal 91 4 2 6" xfId="47404"/>
    <cellStyle name="Normal 91 4 3" xfId="47405"/>
    <cellStyle name="Normal 91 4 3 2" xfId="47406"/>
    <cellStyle name="Normal 91 4 3 3" xfId="47407"/>
    <cellStyle name="Normal 91 4 3 4" xfId="47408"/>
    <cellStyle name="Normal 91 4 3 5" xfId="47409"/>
    <cellStyle name="Normal 91 4 3 6" xfId="47410"/>
    <cellStyle name="Normal 91 4 4" xfId="47411"/>
    <cellStyle name="Normal 91 4 4 2" xfId="47412"/>
    <cellStyle name="Normal 91 4 4 3" xfId="47413"/>
    <cellStyle name="Normal 91 4 4 4" xfId="47414"/>
    <cellStyle name="Normal 91 4 4 5" xfId="47415"/>
    <cellStyle name="Normal 91 4 4 6" xfId="47416"/>
    <cellStyle name="Normal 91 5" xfId="47417"/>
    <cellStyle name="Normal 91 5 2" xfId="47418"/>
    <cellStyle name="Normal 91 5 2 2" xfId="47419"/>
    <cellStyle name="Normal 91 5 2 3" xfId="47420"/>
    <cellStyle name="Normal 91 5 2 4" xfId="47421"/>
    <cellStyle name="Normal 91 5 2 5" xfId="47422"/>
    <cellStyle name="Normal 91 5 2 6" xfId="47423"/>
    <cellStyle name="Normal 91 5 3" xfId="47424"/>
    <cellStyle name="Normal 91 5 3 2" xfId="47425"/>
    <cellStyle name="Normal 91 5 3 3" xfId="47426"/>
    <cellStyle name="Normal 91 5 3 4" xfId="47427"/>
    <cellStyle name="Normal 91 5 3 5" xfId="47428"/>
    <cellStyle name="Normal 91 5 3 6" xfId="47429"/>
    <cellStyle name="Normal 91 5 4" xfId="47430"/>
    <cellStyle name="Normal 91 5 4 2" xfId="47431"/>
    <cellStyle name="Normal 91 5 4 3" xfId="47432"/>
    <cellStyle name="Normal 91 5 4 4" xfId="47433"/>
    <cellStyle name="Normal 91 5 4 5" xfId="47434"/>
    <cellStyle name="Normal 91 5 4 6" xfId="47435"/>
    <cellStyle name="Normal 91 6" xfId="47436"/>
    <cellStyle name="Normal 91 6 2" xfId="47437"/>
    <cellStyle name="Normal 91 6 2 2" xfId="47438"/>
    <cellStyle name="Normal 91 6 2 3" xfId="47439"/>
    <cellStyle name="Normal 91 6 2 4" xfId="47440"/>
    <cellStyle name="Normal 91 6 2 5" xfId="47441"/>
    <cellStyle name="Normal 91 6 2 6" xfId="47442"/>
    <cellStyle name="Normal 91 6 3" xfId="47443"/>
    <cellStyle name="Normal 91 6 3 2" xfId="47444"/>
    <cellStyle name="Normal 91 6 3 3" xfId="47445"/>
    <cellStyle name="Normal 91 6 3 4" xfId="47446"/>
    <cellStyle name="Normal 91 6 3 5" xfId="47447"/>
    <cellStyle name="Normal 91 6 3 6" xfId="47448"/>
    <cellStyle name="Normal 91 6 4" xfId="47449"/>
    <cellStyle name="Normal 91 6 4 2" xfId="47450"/>
    <cellStyle name="Normal 91 6 4 3" xfId="47451"/>
    <cellStyle name="Normal 91 6 4 4" xfId="47452"/>
    <cellStyle name="Normal 91 6 4 5" xfId="47453"/>
    <cellStyle name="Normal 91 6 4 6" xfId="47454"/>
    <cellStyle name="Normal 91 7" xfId="47455"/>
    <cellStyle name="Normal 91 7 2" xfId="47456"/>
    <cellStyle name="Normal 91 7 3" xfId="47457"/>
    <cellStyle name="Normal 91 7 4" xfId="47458"/>
    <cellStyle name="Normal 91 7 5" xfId="47459"/>
    <cellStyle name="Normal 91 7 6" xfId="47460"/>
    <cellStyle name="Normal 91 8" xfId="47461"/>
    <cellStyle name="Normal 91 8 2" xfId="47462"/>
    <cellStyle name="Normal 91 8 3" xfId="47463"/>
    <cellStyle name="Normal 91 8 4" xfId="47464"/>
    <cellStyle name="Normal 91 8 5" xfId="47465"/>
    <cellStyle name="Normal 91 8 6" xfId="47466"/>
    <cellStyle name="Normal 91 9" xfId="47467"/>
    <cellStyle name="Normal 91 9 2" xfId="47468"/>
    <cellStyle name="Normal 91 9 3" xfId="47469"/>
    <cellStyle name="Normal 91 9 4" xfId="47470"/>
    <cellStyle name="Normal 91 9 5" xfId="47471"/>
    <cellStyle name="Normal 91 9 6" xfId="47472"/>
    <cellStyle name="Normal 92" xfId="47473"/>
    <cellStyle name="Normal 92 2" xfId="47474"/>
    <cellStyle name="Normal 92 2 2" xfId="47475"/>
    <cellStyle name="Normal 92 2 2 2" xfId="47476"/>
    <cellStyle name="Normal 92 2 2 3" xfId="47477"/>
    <cellStyle name="Normal 92 2 2 4" xfId="47478"/>
    <cellStyle name="Normal 92 2 2 5" xfId="47479"/>
    <cellStyle name="Normal 92 2 2 6" xfId="47480"/>
    <cellStyle name="Normal 92 2 3" xfId="47481"/>
    <cellStyle name="Normal 92 2 3 2" xfId="47482"/>
    <cellStyle name="Normal 92 2 3 3" xfId="47483"/>
    <cellStyle name="Normal 92 2 3 4" xfId="47484"/>
    <cellStyle name="Normal 92 2 3 5" xfId="47485"/>
    <cellStyle name="Normal 92 2 3 6" xfId="47486"/>
    <cellStyle name="Normal 92 2 4" xfId="47487"/>
    <cellStyle name="Normal 92 2 4 2" xfId="47488"/>
    <cellStyle name="Normal 92 2 4 3" xfId="47489"/>
    <cellStyle name="Normal 92 2 4 4" xfId="47490"/>
    <cellStyle name="Normal 92 2 4 5" xfId="47491"/>
    <cellStyle name="Normal 92 2 4 6" xfId="47492"/>
    <cellStyle name="Normal 92 3" xfId="47493"/>
    <cellStyle name="Normal 92 3 2" xfId="47494"/>
    <cellStyle name="Normal 92 3 2 2" xfId="47495"/>
    <cellStyle name="Normal 92 3 2 3" xfId="47496"/>
    <cellStyle name="Normal 92 3 2 4" xfId="47497"/>
    <cellStyle name="Normal 92 3 2 5" xfId="47498"/>
    <cellStyle name="Normal 92 3 2 6" xfId="47499"/>
    <cellStyle name="Normal 92 3 3" xfId="47500"/>
    <cellStyle name="Normal 92 3 3 2" xfId="47501"/>
    <cellStyle name="Normal 92 3 3 3" xfId="47502"/>
    <cellStyle name="Normal 92 3 3 4" xfId="47503"/>
    <cellStyle name="Normal 92 3 3 5" xfId="47504"/>
    <cellStyle name="Normal 92 3 3 6" xfId="47505"/>
    <cellStyle name="Normal 92 3 4" xfId="47506"/>
    <cellStyle name="Normal 92 3 4 2" xfId="47507"/>
    <cellStyle name="Normal 92 3 4 3" xfId="47508"/>
    <cellStyle name="Normal 92 3 4 4" xfId="47509"/>
    <cellStyle name="Normal 92 3 4 5" xfId="47510"/>
    <cellStyle name="Normal 92 3 4 6" xfId="47511"/>
    <cellStyle name="Normal 92 4" xfId="47512"/>
    <cellStyle name="Normal 92 4 2" xfId="47513"/>
    <cellStyle name="Normal 92 4 2 2" xfId="47514"/>
    <cellStyle name="Normal 92 4 2 3" xfId="47515"/>
    <cellStyle name="Normal 92 4 2 4" xfId="47516"/>
    <cellStyle name="Normal 92 4 2 5" xfId="47517"/>
    <cellStyle name="Normal 92 4 2 6" xfId="47518"/>
    <cellStyle name="Normal 92 4 3" xfId="47519"/>
    <cellStyle name="Normal 92 4 3 2" xfId="47520"/>
    <cellStyle name="Normal 92 4 3 3" xfId="47521"/>
    <cellStyle name="Normal 92 4 3 4" xfId="47522"/>
    <cellStyle name="Normal 92 4 3 5" xfId="47523"/>
    <cellStyle name="Normal 92 4 3 6" xfId="47524"/>
    <cellStyle name="Normal 92 4 4" xfId="47525"/>
    <cellStyle name="Normal 92 4 4 2" xfId="47526"/>
    <cellStyle name="Normal 92 4 4 3" xfId="47527"/>
    <cellStyle name="Normal 92 4 4 4" xfId="47528"/>
    <cellStyle name="Normal 92 4 4 5" xfId="47529"/>
    <cellStyle name="Normal 92 4 4 6" xfId="47530"/>
    <cellStyle name="Normal 92 5" xfId="47531"/>
    <cellStyle name="Normal 92 5 2" xfId="47532"/>
    <cellStyle name="Normal 92 5 2 2" xfId="47533"/>
    <cellStyle name="Normal 92 5 2 3" xfId="47534"/>
    <cellStyle name="Normal 92 5 2 4" xfId="47535"/>
    <cellStyle name="Normal 92 5 2 5" xfId="47536"/>
    <cellStyle name="Normal 92 5 2 6" xfId="47537"/>
    <cellStyle name="Normal 92 5 3" xfId="47538"/>
    <cellStyle name="Normal 92 5 3 2" xfId="47539"/>
    <cellStyle name="Normal 92 5 3 3" xfId="47540"/>
    <cellStyle name="Normal 92 5 3 4" xfId="47541"/>
    <cellStyle name="Normal 92 5 3 5" xfId="47542"/>
    <cellStyle name="Normal 92 5 3 6" xfId="47543"/>
    <cellStyle name="Normal 92 5 4" xfId="47544"/>
    <cellStyle name="Normal 92 5 4 2" xfId="47545"/>
    <cellStyle name="Normal 92 5 4 3" xfId="47546"/>
    <cellStyle name="Normal 92 5 4 4" xfId="47547"/>
    <cellStyle name="Normal 92 5 4 5" xfId="47548"/>
    <cellStyle name="Normal 92 5 4 6" xfId="47549"/>
    <cellStyle name="Normal 92 6" xfId="47550"/>
    <cellStyle name="Normal 92 6 2" xfId="47551"/>
    <cellStyle name="Normal 92 6 2 2" xfId="47552"/>
    <cellStyle name="Normal 92 6 2 3" xfId="47553"/>
    <cellStyle name="Normal 92 6 2 4" xfId="47554"/>
    <cellStyle name="Normal 92 6 2 5" xfId="47555"/>
    <cellStyle name="Normal 92 6 2 6" xfId="47556"/>
    <cellStyle name="Normal 92 6 3" xfId="47557"/>
    <cellStyle name="Normal 92 6 3 2" xfId="47558"/>
    <cellStyle name="Normal 92 6 3 3" xfId="47559"/>
    <cellStyle name="Normal 92 6 3 4" xfId="47560"/>
    <cellStyle name="Normal 92 6 3 5" xfId="47561"/>
    <cellStyle name="Normal 92 6 3 6" xfId="47562"/>
    <cellStyle name="Normal 92 6 4" xfId="47563"/>
    <cellStyle name="Normal 92 6 4 2" xfId="47564"/>
    <cellStyle name="Normal 92 6 4 3" xfId="47565"/>
    <cellStyle name="Normal 92 6 4 4" xfId="47566"/>
    <cellStyle name="Normal 92 6 4 5" xfId="47567"/>
    <cellStyle name="Normal 92 6 4 6" xfId="47568"/>
    <cellStyle name="Normal 92 7" xfId="47569"/>
    <cellStyle name="Normal 92 7 2" xfId="47570"/>
    <cellStyle name="Normal 92 7 3" xfId="47571"/>
    <cellStyle name="Normal 92 7 4" xfId="47572"/>
    <cellStyle name="Normal 92 7 5" xfId="47573"/>
    <cellStyle name="Normal 92 7 6" xfId="47574"/>
    <cellStyle name="Normal 92 8" xfId="47575"/>
    <cellStyle name="Normal 92 8 2" xfId="47576"/>
    <cellStyle name="Normal 92 8 3" xfId="47577"/>
    <cellStyle name="Normal 92 8 4" xfId="47578"/>
    <cellStyle name="Normal 92 8 5" xfId="47579"/>
    <cellStyle name="Normal 92 8 6" xfId="47580"/>
    <cellStyle name="Normal 92 9" xfId="47581"/>
    <cellStyle name="Normal 92 9 2" xfId="47582"/>
    <cellStyle name="Normal 92 9 3" xfId="47583"/>
    <cellStyle name="Normal 92 9 4" xfId="47584"/>
    <cellStyle name="Normal 92 9 5" xfId="47585"/>
    <cellStyle name="Normal 92 9 6" xfId="47586"/>
    <cellStyle name="Normal 93" xfId="47587"/>
    <cellStyle name="Normal 93 2" xfId="47588"/>
    <cellStyle name="Normal 93 2 2" xfId="47589"/>
    <cellStyle name="Normal 93 2 2 2" xfId="47590"/>
    <cellStyle name="Normal 93 2 2 3" xfId="47591"/>
    <cellStyle name="Normal 93 2 2 4" xfId="47592"/>
    <cellStyle name="Normal 93 2 2 5" xfId="47593"/>
    <cellStyle name="Normal 93 2 2 6" xfId="47594"/>
    <cellStyle name="Normal 93 2 3" xfId="47595"/>
    <cellStyle name="Normal 93 2 3 2" xfId="47596"/>
    <cellStyle name="Normal 93 2 3 3" xfId="47597"/>
    <cellStyle name="Normal 93 2 3 4" xfId="47598"/>
    <cellStyle name="Normal 93 2 3 5" xfId="47599"/>
    <cellStyle name="Normal 93 2 3 6" xfId="47600"/>
    <cellStyle name="Normal 93 2 4" xfId="47601"/>
    <cellStyle name="Normal 93 2 4 2" xfId="47602"/>
    <cellStyle name="Normal 93 2 4 3" xfId="47603"/>
    <cellStyle name="Normal 93 2 4 4" xfId="47604"/>
    <cellStyle name="Normal 93 2 4 5" xfId="47605"/>
    <cellStyle name="Normal 93 2 4 6" xfId="47606"/>
    <cellStyle name="Normal 93 3" xfId="47607"/>
    <cellStyle name="Normal 93 3 2" xfId="47608"/>
    <cellStyle name="Normal 93 3 2 2" xfId="47609"/>
    <cellStyle name="Normal 93 3 2 3" xfId="47610"/>
    <cellStyle name="Normal 93 3 2 4" xfId="47611"/>
    <cellStyle name="Normal 93 3 2 5" xfId="47612"/>
    <cellStyle name="Normal 93 3 2 6" xfId="47613"/>
    <cellStyle name="Normal 93 3 3" xfId="47614"/>
    <cellStyle name="Normal 93 3 3 2" xfId="47615"/>
    <cellStyle name="Normal 93 3 3 3" xfId="47616"/>
    <cellStyle name="Normal 93 3 3 4" xfId="47617"/>
    <cellStyle name="Normal 93 3 3 5" xfId="47618"/>
    <cellStyle name="Normal 93 3 3 6" xfId="47619"/>
    <cellStyle name="Normal 93 3 4" xfId="47620"/>
    <cellStyle name="Normal 93 3 4 2" xfId="47621"/>
    <cellStyle name="Normal 93 3 4 3" xfId="47622"/>
    <cellStyle name="Normal 93 3 4 4" xfId="47623"/>
    <cellStyle name="Normal 93 3 4 5" xfId="47624"/>
    <cellStyle name="Normal 93 3 4 6" xfId="47625"/>
    <cellStyle name="Normal 93 4" xfId="47626"/>
    <cellStyle name="Normal 93 4 2" xfId="47627"/>
    <cellStyle name="Normal 93 4 2 2" xfId="47628"/>
    <cellStyle name="Normal 93 4 2 3" xfId="47629"/>
    <cellStyle name="Normal 93 4 2 4" xfId="47630"/>
    <cellStyle name="Normal 93 4 2 5" xfId="47631"/>
    <cellStyle name="Normal 93 4 2 6" xfId="47632"/>
    <cellStyle name="Normal 93 4 3" xfId="47633"/>
    <cellStyle name="Normal 93 4 3 2" xfId="47634"/>
    <cellStyle name="Normal 93 4 3 3" xfId="47635"/>
    <cellStyle name="Normal 93 4 3 4" xfId="47636"/>
    <cellStyle name="Normal 93 4 3 5" xfId="47637"/>
    <cellStyle name="Normal 93 4 3 6" xfId="47638"/>
    <cellStyle name="Normal 93 4 4" xfId="47639"/>
    <cellStyle name="Normal 93 4 4 2" xfId="47640"/>
    <cellStyle name="Normal 93 4 4 3" xfId="47641"/>
    <cellStyle name="Normal 93 4 4 4" xfId="47642"/>
    <cellStyle name="Normal 93 4 4 5" xfId="47643"/>
    <cellStyle name="Normal 93 4 4 6" xfId="47644"/>
    <cellStyle name="Normal 93 5" xfId="47645"/>
    <cellStyle name="Normal 93 5 2" xfId="47646"/>
    <cellStyle name="Normal 93 5 2 2" xfId="47647"/>
    <cellStyle name="Normal 93 5 2 3" xfId="47648"/>
    <cellStyle name="Normal 93 5 2 4" xfId="47649"/>
    <cellStyle name="Normal 93 5 2 5" xfId="47650"/>
    <cellStyle name="Normal 93 5 2 6" xfId="47651"/>
    <cellStyle name="Normal 93 5 3" xfId="47652"/>
    <cellStyle name="Normal 93 5 3 2" xfId="47653"/>
    <cellStyle name="Normal 93 5 3 3" xfId="47654"/>
    <cellStyle name="Normal 93 5 3 4" xfId="47655"/>
    <cellStyle name="Normal 93 5 3 5" xfId="47656"/>
    <cellStyle name="Normal 93 5 3 6" xfId="47657"/>
    <cellStyle name="Normal 93 5 4" xfId="47658"/>
    <cellStyle name="Normal 93 5 4 2" xfId="47659"/>
    <cellStyle name="Normal 93 5 4 3" xfId="47660"/>
    <cellStyle name="Normal 93 5 4 4" xfId="47661"/>
    <cellStyle name="Normal 93 5 4 5" xfId="47662"/>
    <cellStyle name="Normal 93 5 4 6" xfId="47663"/>
    <cellStyle name="Normal 93 6" xfId="47664"/>
    <cellStyle name="Normal 93 6 2" xfId="47665"/>
    <cellStyle name="Normal 93 6 2 2" xfId="47666"/>
    <cellStyle name="Normal 93 6 2 3" xfId="47667"/>
    <cellStyle name="Normal 93 6 2 4" xfId="47668"/>
    <cellStyle name="Normal 93 6 2 5" xfId="47669"/>
    <cellStyle name="Normal 93 6 2 6" xfId="47670"/>
    <cellStyle name="Normal 93 6 3" xfId="47671"/>
    <cellStyle name="Normal 93 6 3 2" xfId="47672"/>
    <cellStyle name="Normal 93 6 3 3" xfId="47673"/>
    <cellStyle name="Normal 93 6 3 4" xfId="47674"/>
    <cellStyle name="Normal 93 6 3 5" xfId="47675"/>
    <cellStyle name="Normal 93 6 3 6" xfId="47676"/>
    <cellStyle name="Normal 93 6 4" xfId="47677"/>
    <cellStyle name="Normal 93 6 4 2" xfId="47678"/>
    <cellStyle name="Normal 93 6 4 3" xfId="47679"/>
    <cellStyle name="Normal 93 6 4 4" xfId="47680"/>
    <cellStyle name="Normal 93 6 4 5" xfId="47681"/>
    <cellStyle name="Normal 93 6 4 6" xfId="47682"/>
    <cellStyle name="Normal 93 7" xfId="47683"/>
    <cellStyle name="Normal 93 7 2" xfId="47684"/>
    <cellStyle name="Normal 93 7 3" xfId="47685"/>
    <cellStyle name="Normal 93 7 4" xfId="47686"/>
    <cellStyle name="Normal 93 7 5" xfId="47687"/>
    <cellStyle name="Normal 93 7 6" xfId="47688"/>
    <cellStyle name="Normal 93 8" xfId="47689"/>
    <cellStyle name="Normal 93 8 2" xfId="47690"/>
    <cellStyle name="Normal 93 8 3" xfId="47691"/>
    <cellStyle name="Normal 93 8 4" xfId="47692"/>
    <cellStyle name="Normal 93 8 5" xfId="47693"/>
    <cellStyle name="Normal 93 8 6" xfId="47694"/>
    <cellStyle name="Normal 93 9" xfId="47695"/>
    <cellStyle name="Normal 93 9 2" xfId="47696"/>
    <cellStyle name="Normal 93 9 3" xfId="47697"/>
    <cellStyle name="Normal 93 9 4" xfId="47698"/>
    <cellStyle name="Normal 93 9 5" xfId="47699"/>
    <cellStyle name="Normal 93 9 6" xfId="47700"/>
    <cellStyle name="Normal 94" xfId="47701"/>
    <cellStyle name="Normal 94 2" xfId="47702"/>
    <cellStyle name="Normal 94 2 2" xfId="47703"/>
    <cellStyle name="Normal 94 2 2 2" xfId="47704"/>
    <cellStyle name="Normal 94 2 2 3" xfId="47705"/>
    <cellStyle name="Normal 94 2 2 4" xfId="47706"/>
    <cellStyle name="Normal 94 2 2 5" xfId="47707"/>
    <cellStyle name="Normal 94 2 2 6" xfId="47708"/>
    <cellStyle name="Normal 94 2 3" xfId="47709"/>
    <cellStyle name="Normal 94 2 3 2" xfId="47710"/>
    <cellStyle name="Normal 94 2 3 3" xfId="47711"/>
    <cellStyle name="Normal 94 2 3 4" xfId="47712"/>
    <cellStyle name="Normal 94 2 3 5" xfId="47713"/>
    <cellStyle name="Normal 94 2 3 6" xfId="47714"/>
    <cellStyle name="Normal 94 2 4" xfId="47715"/>
    <cellStyle name="Normal 94 2 4 2" xfId="47716"/>
    <cellStyle name="Normal 94 2 4 3" xfId="47717"/>
    <cellStyle name="Normal 94 2 4 4" xfId="47718"/>
    <cellStyle name="Normal 94 2 4 5" xfId="47719"/>
    <cellStyle name="Normal 94 2 4 6" xfId="47720"/>
    <cellStyle name="Normal 94 3" xfId="47721"/>
    <cellStyle name="Normal 94 3 2" xfId="47722"/>
    <cellStyle name="Normal 94 3 2 2" xfId="47723"/>
    <cellStyle name="Normal 94 3 2 3" xfId="47724"/>
    <cellStyle name="Normal 94 3 2 4" xfId="47725"/>
    <cellStyle name="Normal 94 3 2 5" xfId="47726"/>
    <cellStyle name="Normal 94 3 2 6" xfId="47727"/>
    <cellStyle name="Normal 94 3 3" xfId="47728"/>
    <cellStyle name="Normal 94 3 3 2" xfId="47729"/>
    <cellStyle name="Normal 94 3 3 3" xfId="47730"/>
    <cellStyle name="Normal 94 3 3 4" xfId="47731"/>
    <cellStyle name="Normal 94 3 3 5" xfId="47732"/>
    <cellStyle name="Normal 94 3 3 6" xfId="47733"/>
    <cellStyle name="Normal 94 3 4" xfId="47734"/>
    <cellStyle name="Normal 94 3 4 2" xfId="47735"/>
    <cellStyle name="Normal 94 3 4 3" xfId="47736"/>
    <cellStyle name="Normal 94 3 4 4" xfId="47737"/>
    <cellStyle name="Normal 94 3 4 5" xfId="47738"/>
    <cellStyle name="Normal 94 3 4 6" xfId="47739"/>
    <cellStyle name="Normal 94 4" xfId="47740"/>
    <cellStyle name="Normal 94 4 2" xfId="47741"/>
    <cellStyle name="Normal 94 4 2 2" xfId="47742"/>
    <cellStyle name="Normal 94 4 2 3" xfId="47743"/>
    <cellStyle name="Normal 94 4 2 4" xfId="47744"/>
    <cellStyle name="Normal 94 4 2 5" xfId="47745"/>
    <cellStyle name="Normal 94 4 2 6" xfId="47746"/>
    <cellStyle name="Normal 94 4 3" xfId="47747"/>
    <cellStyle name="Normal 94 4 3 2" xfId="47748"/>
    <cellStyle name="Normal 94 4 3 3" xfId="47749"/>
    <cellStyle name="Normal 94 4 3 4" xfId="47750"/>
    <cellStyle name="Normal 94 4 3 5" xfId="47751"/>
    <cellStyle name="Normal 94 4 3 6" xfId="47752"/>
    <cellStyle name="Normal 94 4 4" xfId="47753"/>
    <cellStyle name="Normal 94 4 4 2" xfId="47754"/>
    <cellStyle name="Normal 94 4 4 3" xfId="47755"/>
    <cellStyle name="Normal 94 4 4 4" xfId="47756"/>
    <cellStyle name="Normal 94 4 4 5" xfId="47757"/>
    <cellStyle name="Normal 94 4 4 6" xfId="47758"/>
    <cellStyle name="Normal 94 5" xfId="47759"/>
    <cellStyle name="Normal 94 5 2" xfId="47760"/>
    <cellStyle name="Normal 94 5 2 2" xfId="47761"/>
    <cellStyle name="Normal 94 5 2 3" xfId="47762"/>
    <cellStyle name="Normal 94 5 2 4" xfId="47763"/>
    <cellStyle name="Normal 94 5 2 5" xfId="47764"/>
    <cellStyle name="Normal 94 5 2 6" xfId="47765"/>
    <cellStyle name="Normal 94 5 3" xfId="47766"/>
    <cellStyle name="Normal 94 5 3 2" xfId="47767"/>
    <cellStyle name="Normal 94 5 3 3" xfId="47768"/>
    <cellStyle name="Normal 94 5 3 4" xfId="47769"/>
    <cellStyle name="Normal 94 5 3 5" xfId="47770"/>
    <cellStyle name="Normal 94 5 3 6" xfId="47771"/>
    <cellStyle name="Normal 94 5 4" xfId="47772"/>
    <cellStyle name="Normal 94 5 4 2" xfId="47773"/>
    <cellStyle name="Normal 94 5 4 3" xfId="47774"/>
    <cellStyle name="Normal 94 5 4 4" xfId="47775"/>
    <cellStyle name="Normal 94 5 4 5" xfId="47776"/>
    <cellStyle name="Normal 94 5 4 6" xfId="47777"/>
    <cellStyle name="Normal 94 6" xfId="47778"/>
    <cellStyle name="Normal 94 6 2" xfId="47779"/>
    <cellStyle name="Normal 94 6 2 2" xfId="47780"/>
    <cellStyle name="Normal 94 6 2 3" xfId="47781"/>
    <cellStyle name="Normal 94 6 2 4" xfId="47782"/>
    <cellStyle name="Normal 94 6 2 5" xfId="47783"/>
    <cellStyle name="Normal 94 6 2 6" xfId="47784"/>
    <cellStyle name="Normal 94 6 3" xfId="47785"/>
    <cellStyle name="Normal 94 6 3 2" xfId="47786"/>
    <cellStyle name="Normal 94 6 3 3" xfId="47787"/>
    <cellStyle name="Normal 94 6 3 4" xfId="47788"/>
    <cellStyle name="Normal 94 6 3 5" xfId="47789"/>
    <cellStyle name="Normal 94 6 3 6" xfId="47790"/>
    <cellStyle name="Normal 94 6 4" xfId="47791"/>
    <cellStyle name="Normal 94 6 4 2" xfId="47792"/>
    <cellStyle name="Normal 94 6 4 3" xfId="47793"/>
    <cellStyle name="Normal 94 6 4 4" xfId="47794"/>
    <cellStyle name="Normal 94 6 4 5" xfId="47795"/>
    <cellStyle name="Normal 94 6 4 6" xfId="47796"/>
    <cellStyle name="Normal 94 7" xfId="47797"/>
    <cellStyle name="Normal 94 7 2" xfId="47798"/>
    <cellStyle name="Normal 94 7 3" xfId="47799"/>
    <cellStyle name="Normal 94 7 4" xfId="47800"/>
    <cellStyle name="Normal 94 7 5" xfId="47801"/>
    <cellStyle name="Normal 94 7 6" xfId="47802"/>
    <cellStyle name="Normal 94 8" xfId="47803"/>
    <cellStyle name="Normal 94 8 2" xfId="47804"/>
    <cellStyle name="Normal 94 8 3" xfId="47805"/>
    <cellStyle name="Normal 94 8 4" xfId="47806"/>
    <cellStyle name="Normal 94 8 5" xfId="47807"/>
    <cellStyle name="Normal 94 8 6" xfId="47808"/>
    <cellStyle name="Normal 94 9" xfId="47809"/>
    <cellStyle name="Normal 94 9 2" xfId="47810"/>
    <cellStyle name="Normal 94 9 3" xfId="47811"/>
    <cellStyle name="Normal 94 9 4" xfId="47812"/>
    <cellStyle name="Normal 94 9 5" xfId="47813"/>
    <cellStyle name="Normal 94 9 6" xfId="47814"/>
    <cellStyle name="Normal 95" xfId="47815"/>
    <cellStyle name="Normal 95 2" xfId="47816"/>
    <cellStyle name="Normal 95 2 2" xfId="47817"/>
    <cellStyle name="Normal 95 2 2 2" xfId="47818"/>
    <cellStyle name="Normal 95 2 2 3" xfId="47819"/>
    <cellStyle name="Normal 95 2 2 4" xfId="47820"/>
    <cellStyle name="Normal 95 2 2 5" xfId="47821"/>
    <cellStyle name="Normal 95 2 2 6" xfId="47822"/>
    <cellStyle name="Normal 95 2 3" xfId="47823"/>
    <cellStyle name="Normal 95 2 3 2" xfId="47824"/>
    <cellStyle name="Normal 95 2 3 3" xfId="47825"/>
    <cellStyle name="Normal 95 2 3 4" xfId="47826"/>
    <cellStyle name="Normal 95 2 3 5" xfId="47827"/>
    <cellStyle name="Normal 95 2 3 6" xfId="47828"/>
    <cellStyle name="Normal 95 2 4" xfId="47829"/>
    <cellStyle name="Normal 95 2 4 2" xfId="47830"/>
    <cellStyle name="Normal 95 2 4 3" xfId="47831"/>
    <cellStyle name="Normal 95 2 4 4" xfId="47832"/>
    <cellStyle name="Normal 95 2 4 5" xfId="47833"/>
    <cellStyle name="Normal 95 2 4 6" xfId="47834"/>
    <cellStyle name="Normal 95 3" xfId="47835"/>
    <cellStyle name="Normal 95 3 2" xfId="47836"/>
    <cellStyle name="Normal 95 3 2 2" xfId="47837"/>
    <cellStyle name="Normal 95 3 2 3" xfId="47838"/>
    <cellStyle name="Normal 95 3 2 4" xfId="47839"/>
    <cellStyle name="Normal 95 3 2 5" xfId="47840"/>
    <cellStyle name="Normal 95 3 2 6" xfId="47841"/>
    <cellStyle name="Normal 95 3 3" xfId="47842"/>
    <cellStyle name="Normal 95 3 3 2" xfId="47843"/>
    <cellStyle name="Normal 95 3 3 3" xfId="47844"/>
    <cellStyle name="Normal 95 3 3 4" xfId="47845"/>
    <cellStyle name="Normal 95 3 3 5" xfId="47846"/>
    <cellStyle name="Normal 95 3 3 6" xfId="47847"/>
    <cellStyle name="Normal 95 3 4" xfId="47848"/>
    <cellStyle name="Normal 95 3 4 2" xfId="47849"/>
    <cellStyle name="Normal 95 3 4 3" xfId="47850"/>
    <cellStyle name="Normal 95 3 4 4" xfId="47851"/>
    <cellStyle name="Normal 95 3 4 5" xfId="47852"/>
    <cellStyle name="Normal 95 3 4 6" xfId="47853"/>
    <cellStyle name="Normal 95 4" xfId="47854"/>
    <cellStyle name="Normal 95 4 2" xfId="47855"/>
    <cellStyle name="Normal 95 4 2 2" xfId="47856"/>
    <cellStyle name="Normal 95 4 2 3" xfId="47857"/>
    <cellStyle name="Normal 95 4 2 4" xfId="47858"/>
    <cellStyle name="Normal 95 4 2 5" xfId="47859"/>
    <cellStyle name="Normal 95 4 2 6" xfId="47860"/>
    <cellStyle name="Normal 95 4 3" xfId="47861"/>
    <cellStyle name="Normal 95 4 3 2" xfId="47862"/>
    <cellStyle name="Normal 95 4 3 3" xfId="47863"/>
    <cellStyle name="Normal 95 4 3 4" xfId="47864"/>
    <cellStyle name="Normal 95 4 3 5" xfId="47865"/>
    <cellStyle name="Normal 95 4 3 6" xfId="47866"/>
    <cellStyle name="Normal 95 4 4" xfId="47867"/>
    <cellStyle name="Normal 95 4 4 2" xfId="47868"/>
    <cellStyle name="Normal 95 4 4 3" xfId="47869"/>
    <cellStyle name="Normal 95 4 4 4" xfId="47870"/>
    <cellStyle name="Normal 95 4 4 5" xfId="47871"/>
    <cellStyle name="Normal 95 4 4 6" xfId="47872"/>
    <cellStyle name="Normal 95 5" xfId="47873"/>
    <cellStyle name="Normal 95 5 2" xfId="47874"/>
    <cellStyle name="Normal 95 5 2 2" xfId="47875"/>
    <cellStyle name="Normal 95 5 2 3" xfId="47876"/>
    <cellStyle name="Normal 95 5 2 4" xfId="47877"/>
    <cellStyle name="Normal 95 5 2 5" xfId="47878"/>
    <cellStyle name="Normal 95 5 2 6" xfId="47879"/>
    <cellStyle name="Normal 95 5 3" xfId="47880"/>
    <cellStyle name="Normal 95 5 3 2" xfId="47881"/>
    <cellStyle name="Normal 95 5 3 3" xfId="47882"/>
    <cellStyle name="Normal 95 5 3 4" xfId="47883"/>
    <cellStyle name="Normal 95 5 3 5" xfId="47884"/>
    <cellStyle name="Normal 95 5 3 6" xfId="47885"/>
    <cellStyle name="Normal 95 5 4" xfId="47886"/>
    <cellStyle name="Normal 95 5 4 2" xfId="47887"/>
    <cellStyle name="Normal 95 5 4 3" xfId="47888"/>
    <cellStyle name="Normal 95 5 4 4" xfId="47889"/>
    <cellStyle name="Normal 95 5 4 5" xfId="47890"/>
    <cellStyle name="Normal 95 5 4 6" xfId="47891"/>
    <cellStyle name="Normal 95 6" xfId="47892"/>
    <cellStyle name="Normal 95 6 2" xfId="47893"/>
    <cellStyle name="Normal 95 6 2 2" xfId="47894"/>
    <cellStyle name="Normal 95 6 2 3" xfId="47895"/>
    <cellStyle name="Normal 95 6 2 4" xfId="47896"/>
    <cellStyle name="Normal 95 6 2 5" xfId="47897"/>
    <cellStyle name="Normal 95 6 2 6" xfId="47898"/>
    <cellStyle name="Normal 95 6 3" xfId="47899"/>
    <cellStyle name="Normal 95 6 3 2" xfId="47900"/>
    <cellStyle name="Normal 95 6 3 3" xfId="47901"/>
    <cellStyle name="Normal 95 6 3 4" xfId="47902"/>
    <cellStyle name="Normal 95 6 3 5" xfId="47903"/>
    <cellStyle name="Normal 95 6 3 6" xfId="47904"/>
    <cellStyle name="Normal 95 6 4" xfId="47905"/>
    <cellStyle name="Normal 95 6 4 2" xfId="47906"/>
    <cellStyle name="Normal 95 6 4 3" xfId="47907"/>
    <cellStyle name="Normal 95 6 4 4" xfId="47908"/>
    <cellStyle name="Normal 95 6 4 5" xfId="47909"/>
    <cellStyle name="Normal 95 6 4 6" xfId="47910"/>
    <cellStyle name="Normal 95 7" xfId="47911"/>
    <cellStyle name="Normal 95 7 2" xfId="47912"/>
    <cellStyle name="Normal 95 7 3" xfId="47913"/>
    <cellStyle name="Normal 95 7 4" xfId="47914"/>
    <cellStyle name="Normal 95 7 5" xfId="47915"/>
    <cellStyle name="Normal 95 7 6" xfId="47916"/>
    <cellStyle name="Normal 95 8" xfId="47917"/>
    <cellStyle name="Normal 95 8 2" xfId="47918"/>
    <cellStyle name="Normal 95 8 3" xfId="47919"/>
    <cellStyle name="Normal 95 8 4" xfId="47920"/>
    <cellStyle name="Normal 95 8 5" xfId="47921"/>
    <cellStyle name="Normal 95 8 6" xfId="47922"/>
    <cellStyle name="Normal 95 9" xfId="47923"/>
    <cellStyle name="Normal 95 9 2" xfId="47924"/>
    <cellStyle name="Normal 95 9 3" xfId="47925"/>
    <cellStyle name="Normal 95 9 4" xfId="47926"/>
    <cellStyle name="Normal 95 9 5" xfId="47927"/>
    <cellStyle name="Normal 95 9 6" xfId="47928"/>
    <cellStyle name="Normal 96" xfId="47929"/>
    <cellStyle name="Normal 96 2" xfId="47930"/>
    <cellStyle name="Normal 96 2 2" xfId="47931"/>
    <cellStyle name="Normal 96 2 2 2" xfId="47932"/>
    <cellStyle name="Normal 96 2 2 3" xfId="47933"/>
    <cellStyle name="Normal 96 2 2 4" xfId="47934"/>
    <cellStyle name="Normal 96 2 2 5" xfId="47935"/>
    <cellStyle name="Normal 96 2 2 6" xfId="47936"/>
    <cellStyle name="Normal 96 2 3" xfId="47937"/>
    <cellStyle name="Normal 96 2 3 2" xfId="47938"/>
    <cellStyle name="Normal 96 2 3 3" xfId="47939"/>
    <cellStyle name="Normal 96 2 3 4" xfId="47940"/>
    <cellStyle name="Normal 96 2 3 5" xfId="47941"/>
    <cellStyle name="Normal 96 2 3 6" xfId="47942"/>
    <cellStyle name="Normal 96 2 4" xfId="47943"/>
    <cellStyle name="Normal 96 2 4 2" xfId="47944"/>
    <cellStyle name="Normal 96 2 4 3" xfId="47945"/>
    <cellStyle name="Normal 96 2 4 4" xfId="47946"/>
    <cellStyle name="Normal 96 2 4 5" xfId="47947"/>
    <cellStyle name="Normal 96 2 4 6" xfId="47948"/>
    <cellStyle name="Normal 96 3" xfId="47949"/>
    <cellStyle name="Normal 96 3 2" xfId="47950"/>
    <cellStyle name="Normal 96 3 2 2" xfId="47951"/>
    <cellStyle name="Normal 96 3 2 3" xfId="47952"/>
    <cellStyle name="Normal 96 3 2 4" xfId="47953"/>
    <cellStyle name="Normal 96 3 2 5" xfId="47954"/>
    <cellStyle name="Normal 96 3 2 6" xfId="47955"/>
    <cellStyle name="Normal 96 3 3" xfId="47956"/>
    <cellStyle name="Normal 96 3 3 2" xfId="47957"/>
    <cellStyle name="Normal 96 3 3 3" xfId="47958"/>
    <cellStyle name="Normal 96 3 3 4" xfId="47959"/>
    <cellStyle name="Normal 96 3 3 5" xfId="47960"/>
    <cellStyle name="Normal 96 3 3 6" xfId="47961"/>
    <cellStyle name="Normal 96 3 4" xfId="47962"/>
    <cellStyle name="Normal 96 3 4 2" xfId="47963"/>
    <cellStyle name="Normal 96 3 4 3" xfId="47964"/>
    <cellStyle name="Normal 96 3 4 4" xfId="47965"/>
    <cellStyle name="Normal 96 3 4 5" xfId="47966"/>
    <cellStyle name="Normal 96 3 4 6" xfId="47967"/>
    <cellStyle name="Normal 96 4" xfId="47968"/>
    <cellStyle name="Normal 96 4 2" xfId="47969"/>
    <cellStyle name="Normal 96 4 2 2" xfId="47970"/>
    <cellStyle name="Normal 96 4 2 3" xfId="47971"/>
    <cellStyle name="Normal 96 4 2 4" xfId="47972"/>
    <cellStyle name="Normal 96 4 2 5" xfId="47973"/>
    <cellStyle name="Normal 96 4 2 6" xfId="47974"/>
    <cellStyle name="Normal 96 4 3" xfId="47975"/>
    <cellStyle name="Normal 96 4 3 2" xfId="47976"/>
    <cellStyle name="Normal 96 4 3 3" xfId="47977"/>
    <cellStyle name="Normal 96 4 3 4" xfId="47978"/>
    <cellStyle name="Normal 96 4 3 5" xfId="47979"/>
    <cellStyle name="Normal 96 4 3 6" xfId="47980"/>
    <cellStyle name="Normal 96 4 4" xfId="47981"/>
    <cellStyle name="Normal 96 4 4 2" xfId="47982"/>
    <cellStyle name="Normal 96 4 4 3" xfId="47983"/>
    <cellStyle name="Normal 96 4 4 4" xfId="47984"/>
    <cellStyle name="Normal 96 4 4 5" xfId="47985"/>
    <cellStyle name="Normal 96 4 4 6" xfId="47986"/>
    <cellStyle name="Normal 96 5" xfId="47987"/>
    <cellStyle name="Normal 96 5 2" xfId="47988"/>
    <cellStyle name="Normal 96 5 2 2" xfId="47989"/>
    <cellStyle name="Normal 96 5 2 3" xfId="47990"/>
    <cellStyle name="Normal 96 5 2 4" xfId="47991"/>
    <cellStyle name="Normal 96 5 2 5" xfId="47992"/>
    <cellStyle name="Normal 96 5 2 6" xfId="47993"/>
    <cellStyle name="Normal 96 5 3" xfId="47994"/>
    <cellStyle name="Normal 96 5 3 2" xfId="47995"/>
    <cellStyle name="Normal 96 5 3 3" xfId="47996"/>
    <cellStyle name="Normal 96 5 3 4" xfId="47997"/>
    <cellStyle name="Normal 96 5 3 5" xfId="47998"/>
    <cellStyle name="Normal 96 5 3 6" xfId="47999"/>
    <cellStyle name="Normal 96 5 4" xfId="48000"/>
    <cellStyle name="Normal 96 5 4 2" xfId="48001"/>
    <cellStyle name="Normal 96 5 4 3" xfId="48002"/>
    <cellStyle name="Normal 96 5 4 4" xfId="48003"/>
    <cellStyle name="Normal 96 5 4 5" xfId="48004"/>
    <cellStyle name="Normal 96 5 4 6" xfId="48005"/>
    <cellStyle name="Normal 96 6" xfId="48006"/>
    <cellStyle name="Normal 96 6 2" xfId="48007"/>
    <cellStyle name="Normal 96 6 2 2" xfId="48008"/>
    <cellStyle name="Normal 96 6 2 3" xfId="48009"/>
    <cellStyle name="Normal 96 6 2 4" xfId="48010"/>
    <cellStyle name="Normal 96 6 2 5" xfId="48011"/>
    <cellStyle name="Normal 96 6 2 6" xfId="48012"/>
    <cellStyle name="Normal 96 6 3" xfId="48013"/>
    <cellStyle name="Normal 96 6 3 2" xfId="48014"/>
    <cellStyle name="Normal 96 6 3 3" xfId="48015"/>
    <cellStyle name="Normal 96 6 3 4" xfId="48016"/>
    <cellStyle name="Normal 96 6 3 5" xfId="48017"/>
    <cellStyle name="Normal 96 6 3 6" xfId="48018"/>
    <cellStyle name="Normal 96 6 4" xfId="48019"/>
    <cellStyle name="Normal 96 6 4 2" xfId="48020"/>
    <cellStyle name="Normal 96 6 4 3" xfId="48021"/>
    <cellStyle name="Normal 96 6 4 4" xfId="48022"/>
    <cellStyle name="Normal 96 6 4 5" xfId="48023"/>
    <cellStyle name="Normal 96 6 4 6" xfId="48024"/>
    <cellStyle name="Normal 96 7" xfId="48025"/>
    <cellStyle name="Normal 96 7 2" xfId="48026"/>
    <cellStyle name="Normal 96 7 3" xfId="48027"/>
    <cellStyle name="Normal 96 7 4" xfId="48028"/>
    <cellStyle name="Normal 96 7 5" xfId="48029"/>
    <cellStyle name="Normal 96 7 6" xfId="48030"/>
    <cellStyle name="Normal 96 8" xfId="48031"/>
    <cellStyle name="Normal 96 8 2" xfId="48032"/>
    <cellStyle name="Normal 96 8 3" xfId="48033"/>
    <cellStyle name="Normal 96 8 4" xfId="48034"/>
    <cellStyle name="Normal 96 8 5" xfId="48035"/>
    <cellStyle name="Normal 96 8 6" xfId="48036"/>
    <cellStyle name="Normal 96 9" xfId="48037"/>
    <cellStyle name="Normal 96 9 2" xfId="48038"/>
    <cellStyle name="Normal 96 9 3" xfId="48039"/>
    <cellStyle name="Normal 96 9 4" xfId="48040"/>
    <cellStyle name="Normal 96 9 5" xfId="48041"/>
    <cellStyle name="Normal 96 9 6" xfId="48042"/>
    <cellStyle name="Normal 97" xfId="48043"/>
    <cellStyle name="Normal 97 2" xfId="48044"/>
    <cellStyle name="Normal 97 2 2" xfId="48045"/>
    <cellStyle name="Normal 97 2 2 2" xfId="48046"/>
    <cellStyle name="Normal 97 2 2 3" xfId="48047"/>
    <cellStyle name="Normal 97 2 2 4" xfId="48048"/>
    <cellStyle name="Normal 97 2 2 5" xfId="48049"/>
    <cellStyle name="Normal 97 2 2 6" xfId="48050"/>
    <cellStyle name="Normal 97 2 3" xfId="48051"/>
    <cellStyle name="Normal 97 2 3 2" xfId="48052"/>
    <cellStyle name="Normal 97 2 3 3" xfId="48053"/>
    <cellStyle name="Normal 97 2 3 4" xfId="48054"/>
    <cellStyle name="Normal 97 2 3 5" xfId="48055"/>
    <cellStyle name="Normal 97 2 3 6" xfId="48056"/>
    <cellStyle name="Normal 97 2 4" xfId="48057"/>
    <cellStyle name="Normal 97 2 4 2" xfId="48058"/>
    <cellStyle name="Normal 97 2 4 3" xfId="48059"/>
    <cellStyle name="Normal 97 2 4 4" xfId="48060"/>
    <cellStyle name="Normal 97 2 4 5" xfId="48061"/>
    <cellStyle name="Normal 97 2 4 6" xfId="48062"/>
    <cellStyle name="Normal 97 3" xfId="48063"/>
    <cellStyle name="Normal 97 3 2" xfId="48064"/>
    <cellStyle name="Normal 97 3 2 2" xfId="48065"/>
    <cellStyle name="Normal 97 3 2 3" xfId="48066"/>
    <cellStyle name="Normal 97 3 2 4" xfId="48067"/>
    <cellStyle name="Normal 97 3 2 5" xfId="48068"/>
    <cellStyle name="Normal 97 3 2 6" xfId="48069"/>
    <cellStyle name="Normal 97 3 3" xfId="48070"/>
    <cellStyle name="Normal 97 3 3 2" xfId="48071"/>
    <cellStyle name="Normal 97 3 3 3" xfId="48072"/>
    <cellStyle name="Normal 97 3 3 4" xfId="48073"/>
    <cellStyle name="Normal 97 3 3 5" xfId="48074"/>
    <cellStyle name="Normal 97 3 3 6" xfId="48075"/>
    <cellStyle name="Normal 97 3 4" xfId="48076"/>
    <cellStyle name="Normal 97 3 4 2" xfId="48077"/>
    <cellStyle name="Normal 97 3 4 3" xfId="48078"/>
    <cellStyle name="Normal 97 3 4 4" xfId="48079"/>
    <cellStyle name="Normal 97 3 4 5" xfId="48080"/>
    <cellStyle name="Normal 97 3 4 6" xfId="48081"/>
    <cellStyle name="Normal 97 4" xfId="48082"/>
    <cellStyle name="Normal 97 4 2" xfId="48083"/>
    <cellStyle name="Normal 97 4 2 2" xfId="48084"/>
    <cellStyle name="Normal 97 4 2 3" xfId="48085"/>
    <cellStyle name="Normal 97 4 2 4" xfId="48086"/>
    <cellStyle name="Normal 97 4 2 5" xfId="48087"/>
    <cellStyle name="Normal 97 4 2 6" xfId="48088"/>
    <cellStyle name="Normal 97 4 3" xfId="48089"/>
    <cellStyle name="Normal 97 4 3 2" xfId="48090"/>
    <cellStyle name="Normal 97 4 3 3" xfId="48091"/>
    <cellStyle name="Normal 97 4 3 4" xfId="48092"/>
    <cellStyle name="Normal 97 4 3 5" xfId="48093"/>
    <cellStyle name="Normal 97 4 3 6" xfId="48094"/>
    <cellStyle name="Normal 97 4 4" xfId="48095"/>
    <cellStyle name="Normal 97 4 4 2" xfId="48096"/>
    <cellStyle name="Normal 97 4 4 3" xfId="48097"/>
    <cellStyle name="Normal 97 4 4 4" xfId="48098"/>
    <cellStyle name="Normal 97 4 4 5" xfId="48099"/>
    <cellStyle name="Normal 97 4 4 6" xfId="48100"/>
    <cellStyle name="Normal 97 5" xfId="48101"/>
    <cellStyle name="Normal 97 5 2" xfId="48102"/>
    <cellStyle name="Normal 97 5 2 2" xfId="48103"/>
    <cellStyle name="Normal 97 5 2 3" xfId="48104"/>
    <cellStyle name="Normal 97 5 2 4" xfId="48105"/>
    <cellStyle name="Normal 97 5 2 5" xfId="48106"/>
    <cellStyle name="Normal 97 5 2 6" xfId="48107"/>
    <cellStyle name="Normal 97 5 3" xfId="48108"/>
    <cellStyle name="Normal 97 5 3 2" xfId="48109"/>
    <cellStyle name="Normal 97 5 3 3" xfId="48110"/>
    <cellStyle name="Normal 97 5 3 4" xfId="48111"/>
    <cellStyle name="Normal 97 5 3 5" xfId="48112"/>
    <cellStyle name="Normal 97 5 3 6" xfId="48113"/>
    <cellStyle name="Normal 97 5 4" xfId="48114"/>
    <cellStyle name="Normal 97 5 4 2" xfId="48115"/>
    <cellStyle name="Normal 97 5 4 3" xfId="48116"/>
    <cellStyle name="Normal 97 5 4 4" xfId="48117"/>
    <cellStyle name="Normal 97 5 4 5" xfId="48118"/>
    <cellStyle name="Normal 97 5 4 6" xfId="48119"/>
    <cellStyle name="Normal 97 6" xfId="48120"/>
    <cellStyle name="Normal 97 6 2" xfId="48121"/>
    <cellStyle name="Normal 97 6 2 2" xfId="48122"/>
    <cellStyle name="Normal 97 6 2 3" xfId="48123"/>
    <cellStyle name="Normal 97 6 2 4" xfId="48124"/>
    <cellStyle name="Normal 97 6 2 5" xfId="48125"/>
    <cellStyle name="Normal 97 6 2 6" xfId="48126"/>
    <cellStyle name="Normal 97 6 3" xfId="48127"/>
    <cellStyle name="Normal 97 6 3 2" xfId="48128"/>
    <cellStyle name="Normal 97 6 3 3" xfId="48129"/>
    <cellStyle name="Normal 97 6 3 4" xfId="48130"/>
    <cellStyle name="Normal 97 6 3 5" xfId="48131"/>
    <cellStyle name="Normal 97 6 3 6" xfId="48132"/>
    <cellStyle name="Normal 97 6 4" xfId="48133"/>
    <cellStyle name="Normal 97 6 4 2" xfId="48134"/>
    <cellStyle name="Normal 97 6 4 3" xfId="48135"/>
    <cellStyle name="Normal 97 6 4 4" xfId="48136"/>
    <cellStyle name="Normal 97 6 4 5" xfId="48137"/>
    <cellStyle name="Normal 97 6 4 6" xfId="48138"/>
    <cellStyle name="Normal 97 7" xfId="48139"/>
    <cellStyle name="Normal 97 7 2" xfId="48140"/>
    <cellStyle name="Normal 97 7 3" xfId="48141"/>
    <cellStyle name="Normal 97 7 4" xfId="48142"/>
    <cellStyle name="Normal 97 7 5" xfId="48143"/>
    <cellStyle name="Normal 97 7 6" xfId="48144"/>
    <cellStyle name="Normal 97 8" xfId="48145"/>
    <cellStyle name="Normal 97 8 2" xfId="48146"/>
    <cellStyle name="Normal 97 8 3" xfId="48147"/>
    <cellStyle name="Normal 97 8 4" xfId="48148"/>
    <cellStyle name="Normal 97 8 5" xfId="48149"/>
    <cellStyle name="Normal 97 8 6" xfId="48150"/>
    <cellStyle name="Normal 97 9" xfId="48151"/>
    <cellStyle name="Normal 97 9 2" xfId="48152"/>
    <cellStyle name="Normal 97 9 3" xfId="48153"/>
    <cellStyle name="Normal 97 9 4" xfId="48154"/>
    <cellStyle name="Normal 97 9 5" xfId="48155"/>
    <cellStyle name="Normal 97 9 6" xfId="48156"/>
    <cellStyle name="Normal 98" xfId="48157"/>
    <cellStyle name="Normal 98 2" xfId="48158"/>
    <cellStyle name="Normal 98 2 2" xfId="48159"/>
    <cellStyle name="Normal 98 2 2 2" xfId="48160"/>
    <cellStyle name="Normal 98 2 2 3" xfId="48161"/>
    <cellStyle name="Normal 98 2 2 4" xfId="48162"/>
    <cellStyle name="Normal 98 2 2 5" xfId="48163"/>
    <cellStyle name="Normal 98 2 2 6" xfId="48164"/>
    <cellStyle name="Normal 98 2 3" xfId="48165"/>
    <cellStyle name="Normal 98 2 3 2" xfId="48166"/>
    <cellStyle name="Normal 98 2 3 3" xfId="48167"/>
    <cellStyle name="Normal 98 2 3 4" xfId="48168"/>
    <cellStyle name="Normal 98 2 3 5" xfId="48169"/>
    <cellStyle name="Normal 98 2 3 6" xfId="48170"/>
    <cellStyle name="Normal 98 2 4" xfId="48171"/>
    <cellStyle name="Normal 98 2 4 2" xfId="48172"/>
    <cellStyle name="Normal 98 2 4 3" xfId="48173"/>
    <cellStyle name="Normal 98 2 4 4" xfId="48174"/>
    <cellStyle name="Normal 98 2 4 5" xfId="48175"/>
    <cellStyle name="Normal 98 2 4 6" xfId="48176"/>
    <cellStyle name="Normal 98 3" xfId="48177"/>
    <cellStyle name="Normal 98 3 2" xfId="48178"/>
    <cellStyle name="Normal 98 3 2 2" xfId="48179"/>
    <cellStyle name="Normal 98 3 2 3" xfId="48180"/>
    <cellStyle name="Normal 98 3 2 4" xfId="48181"/>
    <cellStyle name="Normal 98 3 2 5" xfId="48182"/>
    <cellStyle name="Normal 98 3 2 6" xfId="48183"/>
    <cellStyle name="Normal 98 3 3" xfId="48184"/>
    <cellStyle name="Normal 98 3 3 2" xfId="48185"/>
    <cellStyle name="Normal 98 3 3 3" xfId="48186"/>
    <cellStyle name="Normal 98 3 3 4" xfId="48187"/>
    <cellStyle name="Normal 98 3 3 5" xfId="48188"/>
    <cellStyle name="Normal 98 3 3 6" xfId="48189"/>
    <cellStyle name="Normal 98 3 4" xfId="48190"/>
    <cellStyle name="Normal 98 3 4 2" xfId="48191"/>
    <cellStyle name="Normal 98 3 4 3" xfId="48192"/>
    <cellStyle name="Normal 98 3 4 4" xfId="48193"/>
    <cellStyle name="Normal 98 3 4 5" xfId="48194"/>
    <cellStyle name="Normal 98 3 4 6" xfId="48195"/>
    <cellStyle name="Normal 98 4" xfId="48196"/>
    <cellStyle name="Normal 98 4 2" xfId="48197"/>
    <cellStyle name="Normal 98 4 2 2" xfId="48198"/>
    <cellStyle name="Normal 98 4 2 3" xfId="48199"/>
    <cellStyle name="Normal 98 4 2 4" xfId="48200"/>
    <cellStyle name="Normal 98 4 2 5" xfId="48201"/>
    <cellStyle name="Normal 98 4 2 6" xfId="48202"/>
    <cellStyle name="Normal 98 4 3" xfId="48203"/>
    <cellStyle name="Normal 98 4 3 2" xfId="48204"/>
    <cellStyle name="Normal 98 4 3 3" xfId="48205"/>
    <cellStyle name="Normal 98 4 3 4" xfId="48206"/>
    <cellStyle name="Normal 98 4 3 5" xfId="48207"/>
    <cellStyle name="Normal 98 4 3 6" xfId="48208"/>
    <cellStyle name="Normal 98 4 4" xfId="48209"/>
    <cellStyle name="Normal 98 4 4 2" xfId="48210"/>
    <cellStyle name="Normal 98 4 4 3" xfId="48211"/>
    <cellStyle name="Normal 98 4 4 4" xfId="48212"/>
    <cellStyle name="Normal 98 4 4 5" xfId="48213"/>
    <cellStyle name="Normal 98 4 4 6" xfId="48214"/>
    <cellStyle name="Normal 98 5" xfId="48215"/>
    <cellStyle name="Normal 98 5 2" xfId="48216"/>
    <cellStyle name="Normal 98 5 2 2" xfId="48217"/>
    <cellStyle name="Normal 98 5 2 3" xfId="48218"/>
    <cellStyle name="Normal 98 5 2 4" xfId="48219"/>
    <cellStyle name="Normal 98 5 2 5" xfId="48220"/>
    <cellStyle name="Normal 98 5 2 6" xfId="48221"/>
    <cellStyle name="Normal 98 5 3" xfId="48222"/>
    <cellStyle name="Normal 98 5 3 2" xfId="48223"/>
    <cellStyle name="Normal 98 5 3 3" xfId="48224"/>
    <cellStyle name="Normal 98 5 3 4" xfId="48225"/>
    <cellStyle name="Normal 98 5 3 5" xfId="48226"/>
    <cellStyle name="Normal 98 5 3 6" xfId="48227"/>
    <cellStyle name="Normal 98 5 4" xfId="48228"/>
    <cellStyle name="Normal 98 5 4 2" xfId="48229"/>
    <cellStyle name="Normal 98 5 4 3" xfId="48230"/>
    <cellStyle name="Normal 98 5 4 4" xfId="48231"/>
    <cellStyle name="Normal 98 5 4 5" xfId="48232"/>
    <cellStyle name="Normal 98 5 4 6" xfId="48233"/>
    <cellStyle name="Normal 98 6" xfId="48234"/>
    <cellStyle name="Normal 98 6 2" xfId="48235"/>
    <cellStyle name="Normal 98 6 2 2" xfId="48236"/>
    <cellStyle name="Normal 98 6 2 3" xfId="48237"/>
    <cellStyle name="Normal 98 6 2 4" xfId="48238"/>
    <cellStyle name="Normal 98 6 2 5" xfId="48239"/>
    <cellStyle name="Normal 98 6 2 6" xfId="48240"/>
    <cellStyle name="Normal 98 6 3" xfId="48241"/>
    <cellStyle name="Normal 98 6 3 2" xfId="48242"/>
    <cellStyle name="Normal 98 6 3 3" xfId="48243"/>
    <cellStyle name="Normal 98 6 3 4" xfId="48244"/>
    <cellStyle name="Normal 98 6 3 5" xfId="48245"/>
    <cellStyle name="Normal 98 6 3 6" xfId="48246"/>
    <cellStyle name="Normal 98 6 4" xfId="48247"/>
    <cellStyle name="Normal 98 6 4 2" xfId="48248"/>
    <cellStyle name="Normal 98 6 4 3" xfId="48249"/>
    <cellStyle name="Normal 98 6 4 4" xfId="48250"/>
    <cellStyle name="Normal 98 6 4 5" xfId="48251"/>
    <cellStyle name="Normal 98 6 4 6" xfId="48252"/>
    <cellStyle name="Normal 98 7" xfId="48253"/>
    <cellStyle name="Normal 98 7 2" xfId="48254"/>
    <cellStyle name="Normal 98 7 3" xfId="48255"/>
    <cellStyle name="Normal 98 7 4" xfId="48256"/>
    <cellStyle name="Normal 98 7 5" xfId="48257"/>
    <cellStyle name="Normal 98 7 6" xfId="48258"/>
    <cellStyle name="Normal 98 8" xfId="48259"/>
    <cellStyle name="Normal 98 8 2" xfId="48260"/>
    <cellStyle name="Normal 98 8 3" xfId="48261"/>
    <cellStyle name="Normal 98 8 4" xfId="48262"/>
    <cellStyle name="Normal 98 8 5" xfId="48263"/>
    <cellStyle name="Normal 98 8 6" xfId="48264"/>
    <cellStyle name="Normal 98 9" xfId="48265"/>
    <cellStyle name="Normal 98 9 2" xfId="48266"/>
    <cellStyle name="Normal 98 9 3" xfId="48267"/>
    <cellStyle name="Normal 98 9 4" xfId="48268"/>
    <cellStyle name="Normal 98 9 5" xfId="48269"/>
    <cellStyle name="Normal 98 9 6" xfId="48270"/>
    <cellStyle name="Normal 99" xfId="48271"/>
    <cellStyle name="Normal 99 2" xfId="48272"/>
    <cellStyle name="Normal 99 2 2" xfId="48273"/>
    <cellStyle name="Normal 99 2 2 2" xfId="48274"/>
    <cellStyle name="Normal 99 2 2 3" xfId="48275"/>
    <cellStyle name="Normal 99 2 2 4" xfId="48276"/>
    <cellStyle name="Normal 99 2 2 5" xfId="48277"/>
    <cellStyle name="Normal 99 2 2 6" xfId="48278"/>
    <cellStyle name="Normal 99 2 3" xfId="48279"/>
    <cellStyle name="Normal 99 2 3 2" xfId="48280"/>
    <cellStyle name="Normal 99 2 3 3" xfId="48281"/>
    <cellStyle name="Normal 99 2 3 4" xfId="48282"/>
    <cellStyle name="Normal 99 2 3 5" xfId="48283"/>
    <cellStyle name="Normal 99 2 3 6" xfId="48284"/>
    <cellStyle name="Normal 99 2 4" xfId="48285"/>
    <cellStyle name="Normal 99 2 4 2" xfId="48286"/>
    <cellStyle name="Normal 99 2 4 3" xfId="48287"/>
    <cellStyle name="Normal 99 2 4 4" xfId="48288"/>
    <cellStyle name="Normal 99 2 4 5" xfId="48289"/>
    <cellStyle name="Normal 99 2 4 6" xfId="48290"/>
    <cellStyle name="Normal 99 3" xfId="48291"/>
    <cellStyle name="Normal 99 3 2" xfId="48292"/>
    <cellStyle name="Normal 99 3 2 2" xfId="48293"/>
    <cellStyle name="Normal 99 3 2 3" xfId="48294"/>
    <cellStyle name="Normal 99 3 2 4" xfId="48295"/>
    <cellStyle name="Normal 99 3 2 5" xfId="48296"/>
    <cellStyle name="Normal 99 3 2 6" xfId="48297"/>
    <cellStyle name="Normal 99 3 3" xfId="48298"/>
    <cellStyle name="Normal 99 3 3 2" xfId="48299"/>
    <cellStyle name="Normal 99 3 3 3" xfId="48300"/>
    <cellStyle name="Normal 99 3 3 4" xfId="48301"/>
    <cellStyle name="Normal 99 3 3 5" xfId="48302"/>
    <cellStyle name="Normal 99 3 3 6" xfId="48303"/>
    <cellStyle name="Normal 99 3 4" xfId="48304"/>
    <cellStyle name="Normal 99 3 4 2" xfId="48305"/>
    <cellStyle name="Normal 99 3 4 3" xfId="48306"/>
    <cellStyle name="Normal 99 3 4 4" xfId="48307"/>
    <cellStyle name="Normal 99 3 4 5" xfId="48308"/>
    <cellStyle name="Normal 99 3 4 6" xfId="48309"/>
    <cellStyle name="Normal 99 4" xfId="48310"/>
    <cellStyle name="Normal 99 4 2" xfId="48311"/>
    <cellStyle name="Normal 99 4 2 2" xfId="48312"/>
    <cellStyle name="Normal 99 4 2 3" xfId="48313"/>
    <cellStyle name="Normal 99 4 2 4" xfId="48314"/>
    <cellStyle name="Normal 99 4 2 5" xfId="48315"/>
    <cellStyle name="Normal 99 4 2 6" xfId="48316"/>
    <cellStyle name="Normal 99 4 3" xfId="48317"/>
    <cellStyle name="Normal 99 4 3 2" xfId="48318"/>
    <cellStyle name="Normal 99 4 3 3" xfId="48319"/>
    <cellStyle name="Normal 99 4 3 4" xfId="48320"/>
    <cellStyle name="Normal 99 4 3 5" xfId="48321"/>
    <cellStyle name="Normal 99 4 3 6" xfId="48322"/>
    <cellStyle name="Normal 99 4 4" xfId="48323"/>
    <cellStyle name="Normal 99 4 4 2" xfId="48324"/>
    <cellStyle name="Normal 99 4 4 3" xfId="48325"/>
    <cellStyle name="Normal 99 4 4 4" xfId="48326"/>
    <cellStyle name="Normal 99 4 4 5" xfId="48327"/>
    <cellStyle name="Normal 99 4 4 6" xfId="48328"/>
    <cellStyle name="Normal 99 5" xfId="48329"/>
    <cellStyle name="Normal 99 5 2" xfId="48330"/>
    <cellStyle name="Normal 99 5 2 2" xfId="48331"/>
    <cellStyle name="Normal 99 5 2 3" xfId="48332"/>
    <cellStyle name="Normal 99 5 2 4" xfId="48333"/>
    <cellStyle name="Normal 99 5 2 5" xfId="48334"/>
    <cellStyle name="Normal 99 5 2 6" xfId="48335"/>
    <cellStyle name="Normal 99 5 3" xfId="48336"/>
    <cellStyle name="Normal 99 5 3 2" xfId="48337"/>
    <cellStyle name="Normal 99 5 3 3" xfId="48338"/>
    <cellStyle name="Normal 99 5 3 4" xfId="48339"/>
    <cellStyle name="Normal 99 5 3 5" xfId="48340"/>
    <cellStyle name="Normal 99 5 3 6" xfId="48341"/>
    <cellStyle name="Normal 99 5 4" xfId="48342"/>
    <cellStyle name="Normal 99 5 4 2" xfId="48343"/>
    <cellStyle name="Normal 99 5 4 3" xfId="48344"/>
    <cellStyle name="Normal 99 5 4 4" xfId="48345"/>
    <cellStyle name="Normal 99 5 4 5" xfId="48346"/>
    <cellStyle name="Normal 99 5 4 6" xfId="48347"/>
    <cellStyle name="Normal 99 6" xfId="48348"/>
    <cellStyle name="Normal 99 6 2" xfId="48349"/>
    <cellStyle name="Normal 99 6 2 2" xfId="48350"/>
    <cellStyle name="Normal 99 6 2 3" xfId="48351"/>
    <cellStyle name="Normal 99 6 2 4" xfId="48352"/>
    <cellStyle name="Normal 99 6 2 5" xfId="48353"/>
    <cellStyle name="Normal 99 6 2 6" xfId="48354"/>
    <cellStyle name="Normal 99 6 3" xfId="48355"/>
    <cellStyle name="Normal 99 6 3 2" xfId="48356"/>
    <cellStyle name="Normal 99 6 3 3" xfId="48357"/>
    <cellStyle name="Normal 99 6 3 4" xfId="48358"/>
    <cellStyle name="Normal 99 6 3 5" xfId="48359"/>
    <cellStyle name="Normal 99 6 3 6" xfId="48360"/>
    <cellStyle name="Normal 99 6 4" xfId="48361"/>
    <cellStyle name="Normal 99 6 4 2" xfId="48362"/>
    <cellStyle name="Normal 99 6 4 3" xfId="48363"/>
    <cellStyle name="Normal 99 6 4 4" xfId="48364"/>
    <cellStyle name="Normal 99 6 4 5" xfId="48365"/>
    <cellStyle name="Normal 99 6 4 6" xfId="48366"/>
    <cellStyle name="Normal 99 7" xfId="48367"/>
    <cellStyle name="Normal 99 7 2" xfId="48368"/>
    <cellStyle name="Normal 99 7 3" xfId="48369"/>
    <cellStyle name="Normal 99 7 4" xfId="48370"/>
    <cellStyle name="Normal 99 7 5" xfId="48371"/>
    <cellStyle name="Normal 99 7 6" xfId="48372"/>
    <cellStyle name="Normal 99 8" xfId="48373"/>
    <cellStyle name="Normal 99 8 2" xfId="48374"/>
    <cellStyle name="Normal 99 8 3" xfId="48375"/>
    <cellStyle name="Normal 99 8 4" xfId="48376"/>
    <cellStyle name="Normal 99 8 5" xfId="48377"/>
    <cellStyle name="Normal 99 8 6" xfId="48378"/>
    <cellStyle name="Normal 99 9" xfId="48379"/>
    <cellStyle name="Normal 99 9 2" xfId="48380"/>
    <cellStyle name="Normal 99 9 3" xfId="48381"/>
    <cellStyle name="Normal 99 9 4" xfId="48382"/>
    <cellStyle name="Normal 99 9 5" xfId="48383"/>
    <cellStyle name="Normal 99 9 6" xfId="48384"/>
    <cellStyle name="Normal_Comparability (Incomplete)" xfId="3"/>
    <cellStyle name="Normal_SY 08-09 Revised Schoolwide Breakdowns @2.5.09" xfId="9"/>
    <cellStyle name="Note 2" xfId="48385"/>
    <cellStyle name="Note 2 2" xfId="48386"/>
    <cellStyle name="Note 2 3" xfId="48387"/>
    <cellStyle name="Note 2 4" xfId="48388"/>
    <cellStyle name="Note 2 5" xfId="48389"/>
    <cellStyle name="Note 2 6" xfId="48390"/>
    <cellStyle name="Note 3" xfId="48391"/>
    <cellStyle name="Note 3 2" xfId="48392"/>
    <cellStyle name="Note 3 3" xfId="48393"/>
    <cellStyle name="Note 3 4" xfId="48394"/>
    <cellStyle name="Note 3 5" xfId="48395"/>
    <cellStyle name="Note 3 6" xfId="48396"/>
    <cellStyle name="Note 4" xfId="48397"/>
    <cellStyle name="Note 4 2" xfId="48398"/>
    <cellStyle name="Note 4 3" xfId="48399"/>
    <cellStyle name="Note 4 4" xfId="48400"/>
    <cellStyle name="Note 4 5" xfId="48401"/>
    <cellStyle name="Note 4 6" xfId="48402"/>
    <cellStyle name="Note 5" xfId="48403"/>
    <cellStyle name="Note 6" xfId="48404"/>
    <cellStyle name="Note 7" xfId="48405"/>
    <cellStyle name="Note 8" xfId="48406"/>
    <cellStyle name="Output 2" xfId="48407"/>
    <cellStyle name="Output 3" xfId="48408"/>
    <cellStyle name="Output 4" xfId="48409"/>
    <cellStyle name="Percent" xfId="1" builtinId="5"/>
    <cellStyle name="Percent 2" xfId="48410"/>
    <cellStyle name="Title 2" xfId="48411"/>
    <cellStyle name="Title 3" xfId="48412"/>
    <cellStyle name="Title 4" xfId="48413"/>
    <cellStyle name="Total 2" xfId="48414"/>
    <cellStyle name="Total 2 2" xfId="48415"/>
    <cellStyle name="Total 2 3" xfId="48416"/>
    <cellStyle name="Total 2 4" xfId="48417"/>
    <cellStyle name="Total 2 5" xfId="48418"/>
    <cellStyle name="Total 2 6" xfId="48419"/>
    <cellStyle name="Total 3" xfId="48420"/>
    <cellStyle name="Total 3 2" xfId="48421"/>
    <cellStyle name="Total 3 3" xfId="48422"/>
    <cellStyle name="Total 3 4" xfId="48423"/>
    <cellStyle name="Total 3 5" xfId="48424"/>
    <cellStyle name="Total 3 6" xfId="48425"/>
    <cellStyle name="Total 4" xfId="48426"/>
    <cellStyle name="Total 4 2" xfId="48427"/>
    <cellStyle name="Total 4 3" xfId="48428"/>
    <cellStyle name="Total 4 4" xfId="48429"/>
    <cellStyle name="Total 4 5" xfId="48430"/>
    <cellStyle name="Total 4 6" xfId="4843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\Documents%20and%20Settings\david.franklin\Local%20Settings\Temporary%20Internet%20Files\OLKC6\Demo%201%20WSF%202008-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ANT%20MANAGEMENT\FY11\Allocations\Public%20Schools\SY10-11%20Proj%20Public%20School%20Fedl%20Alloc%2011-18-10%20(Closed%20Schools%20Remove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ald.sink3\Local%20Settings\Temporary%20Internet%20Files\Content.Outlook\25BZISVN\COMPANALYSIS%20with%20Local%20ROTC%20&amp;%20Blackman%20J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cques.harley.OCFODCPS\Local%20Settings\Temporary%20Internet%20Files\Content.Outlook\V40EMAAJ\Copy%20of%20FY13%20School%20Orgs%20by%20Fun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cques.harley.OCFODCPS\Local%20Settings\Temporary%20Internet%20Files\Content.Outlook\V40EMAAJ\FY13%20School%20Orgs%20by%20Fu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ummary"/>
      <sheetName val="Variable Inputs"/>
      <sheetName val="Enrollment"/>
      <sheetName val="10.8M"/>
      <sheetName val="Small School &amp; Spec"/>
      <sheetName val="Summary Allocations"/>
      <sheetName val="Reserve Adjustments"/>
      <sheetName val="Schools"/>
      <sheetName val="Allocation Sheet"/>
      <sheetName val="Space Constrained subsidy"/>
      <sheetName val="Enrollment Accuracy"/>
      <sheetName val="Projection Sheet"/>
      <sheetName val="ESL Model"/>
      <sheetName val="SPEd Model"/>
      <sheetName val="grade weigh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king "/>
      <sheetName val="Sheet1"/>
    </sheetNames>
    <sheetDataSet>
      <sheetData sheetId="0" refreshError="1">
        <row r="1">
          <cell r="C1" t="str">
            <v>NEW ORG</v>
          </cell>
          <cell r="D1" t="str">
            <v>School</v>
          </cell>
          <cell r="E1" t="str">
            <v>D</v>
          </cell>
          <cell r="F1" t="str">
            <v>E</v>
          </cell>
          <cell r="G1" t="str">
            <v>F</v>
          </cell>
          <cell r="H1" t="str">
            <v>I</v>
          </cell>
        </row>
        <row r="2">
          <cell r="E2" t="str">
            <v xml:space="preserve">
 Free</v>
          </cell>
          <cell r="F2" t="str">
            <v xml:space="preserve">
Reduced</v>
          </cell>
          <cell r="G2" t="str">
            <v>Total FRLP @1.19.10</v>
          </cell>
          <cell r="H2" t="str">
            <v>Official Enrollment @10.05.10</v>
          </cell>
        </row>
        <row r="4">
          <cell r="C4">
            <v>6320</v>
          </cell>
          <cell r="D4" t="str">
            <v>Browne EC</v>
          </cell>
          <cell r="E4">
            <v>403</v>
          </cell>
          <cell r="F4">
            <v>26</v>
          </cell>
          <cell r="G4">
            <v>429</v>
          </cell>
          <cell r="H4">
            <v>443</v>
          </cell>
        </row>
        <row r="5">
          <cell r="C5">
            <v>5460</v>
          </cell>
          <cell r="D5" t="str">
            <v>Hendley ES</v>
          </cell>
          <cell r="E5">
            <v>318</v>
          </cell>
          <cell r="F5">
            <v>19</v>
          </cell>
          <cell r="G5">
            <v>333</v>
          </cell>
          <cell r="H5">
            <v>333</v>
          </cell>
        </row>
        <row r="6">
          <cell r="C6">
            <v>5330</v>
          </cell>
          <cell r="D6" t="str">
            <v>Drew ES</v>
          </cell>
          <cell r="E6">
            <v>179</v>
          </cell>
          <cell r="F6">
            <v>7</v>
          </cell>
          <cell r="G6">
            <v>184</v>
          </cell>
          <cell r="H6">
            <v>184</v>
          </cell>
        </row>
        <row r="7">
          <cell r="C7">
            <v>5610</v>
          </cell>
          <cell r="D7" t="str">
            <v>Malcolm X ES</v>
          </cell>
          <cell r="E7">
            <v>202</v>
          </cell>
          <cell r="F7">
            <v>7</v>
          </cell>
          <cell r="G7">
            <v>209</v>
          </cell>
          <cell r="H7">
            <v>213</v>
          </cell>
        </row>
        <row r="8">
          <cell r="C8">
            <v>5120</v>
          </cell>
          <cell r="D8" t="str">
            <v>Aiton ES</v>
          </cell>
          <cell r="E8">
            <v>289</v>
          </cell>
          <cell r="F8">
            <v>13</v>
          </cell>
          <cell r="G8">
            <v>302</v>
          </cell>
          <cell r="H8">
            <v>309</v>
          </cell>
        </row>
        <row r="9">
          <cell r="C9">
            <v>5710</v>
          </cell>
          <cell r="D9" t="str">
            <v>Moten ES</v>
          </cell>
          <cell r="E9">
            <v>378</v>
          </cell>
          <cell r="F9">
            <v>15</v>
          </cell>
          <cell r="G9">
            <v>393</v>
          </cell>
          <cell r="H9">
            <v>403</v>
          </cell>
        </row>
        <row r="10">
          <cell r="C10">
            <v>5360</v>
          </cell>
          <cell r="D10" t="str">
            <v>Ferebee-Hope ES</v>
          </cell>
          <cell r="E10">
            <v>332</v>
          </cell>
          <cell r="F10">
            <v>16</v>
          </cell>
          <cell r="G10">
            <v>348</v>
          </cell>
          <cell r="H10">
            <v>360</v>
          </cell>
        </row>
        <row r="11">
          <cell r="C11">
            <v>6050</v>
          </cell>
          <cell r="D11" t="str">
            <v>Tubman ES</v>
          </cell>
          <cell r="E11">
            <v>432</v>
          </cell>
          <cell r="F11">
            <v>18</v>
          </cell>
          <cell r="G11">
            <v>450</v>
          </cell>
          <cell r="H11">
            <v>467</v>
          </cell>
        </row>
        <row r="12">
          <cell r="C12">
            <v>5730</v>
          </cell>
          <cell r="D12" t="str">
            <v>Nalle ES</v>
          </cell>
          <cell r="E12">
            <v>317</v>
          </cell>
          <cell r="F12">
            <v>21</v>
          </cell>
          <cell r="G12">
            <v>338</v>
          </cell>
          <cell r="H12">
            <v>352</v>
          </cell>
        </row>
        <row r="13">
          <cell r="C13">
            <v>5870</v>
          </cell>
          <cell r="D13" t="str">
            <v>River Terrace ES</v>
          </cell>
          <cell r="E13">
            <v>134</v>
          </cell>
          <cell r="F13">
            <v>6</v>
          </cell>
          <cell r="G13">
            <v>140</v>
          </cell>
          <cell r="H13">
            <v>148</v>
          </cell>
        </row>
        <row r="14">
          <cell r="C14">
            <v>5550</v>
          </cell>
          <cell r="D14" t="str">
            <v>King, M.L ES.</v>
          </cell>
          <cell r="E14">
            <v>331</v>
          </cell>
          <cell r="F14">
            <v>33</v>
          </cell>
          <cell r="G14">
            <v>364</v>
          </cell>
          <cell r="H14">
            <v>385</v>
          </cell>
        </row>
        <row r="15">
          <cell r="C15">
            <v>5390</v>
          </cell>
          <cell r="D15" t="str">
            <v>Garfield ES</v>
          </cell>
          <cell r="E15">
            <v>249</v>
          </cell>
          <cell r="F15">
            <v>13</v>
          </cell>
          <cell r="G15">
            <v>262</v>
          </cell>
          <cell r="H15">
            <v>278</v>
          </cell>
        </row>
        <row r="16">
          <cell r="C16">
            <v>5830</v>
          </cell>
          <cell r="D16" t="str">
            <v>Powell ES</v>
          </cell>
          <cell r="E16">
            <v>187</v>
          </cell>
          <cell r="F16">
            <v>19</v>
          </cell>
          <cell r="G16">
            <v>206</v>
          </cell>
          <cell r="H16">
            <v>219</v>
          </cell>
        </row>
        <row r="17">
          <cell r="C17">
            <v>6580</v>
          </cell>
          <cell r="D17" t="str">
            <v>Kelly Miller MS</v>
          </cell>
          <cell r="E17">
            <v>365</v>
          </cell>
          <cell r="F17">
            <v>18</v>
          </cell>
          <cell r="G17">
            <v>383</v>
          </cell>
          <cell r="H17">
            <v>408</v>
          </cell>
        </row>
        <row r="18">
          <cell r="C18">
            <v>5130</v>
          </cell>
          <cell r="D18" t="str">
            <v>Amidon ES</v>
          </cell>
          <cell r="E18">
            <v>279</v>
          </cell>
          <cell r="F18">
            <v>19</v>
          </cell>
          <cell r="G18">
            <v>298</v>
          </cell>
          <cell r="H18">
            <v>319</v>
          </cell>
        </row>
        <row r="19">
          <cell r="C19">
            <v>5980</v>
          </cell>
          <cell r="D19" t="str">
            <v>Stanton ES</v>
          </cell>
          <cell r="E19">
            <v>341</v>
          </cell>
          <cell r="F19">
            <v>7</v>
          </cell>
          <cell r="G19">
            <v>348</v>
          </cell>
          <cell r="H19">
            <v>373</v>
          </cell>
        </row>
        <row r="20">
          <cell r="C20">
            <v>5540</v>
          </cell>
          <cell r="D20" t="str">
            <v>Kimball ES</v>
          </cell>
          <cell r="E20">
            <v>261</v>
          </cell>
          <cell r="F20">
            <v>19</v>
          </cell>
          <cell r="G20">
            <v>280</v>
          </cell>
          <cell r="H20">
            <v>301</v>
          </cell>
        </row>
        <row r="21">
          <cell r="C21">
            <v>6110</v>
          </cell>
          <cell r="D21" t="str">
            <v>Walker-Jones ES</v>
          </cell>
          <cell r="E21">
            <v>201</v>
          </cell>
          <cell r="F21">
            <v>8</v>
          </cell>
          <cell r="G21">
            <v>209</v>
          </cell>
          <cell r="H21">
            <v>225</v>
          </cell>
        </row>
        <row r="22">
          <cell r="C22">
            <v>5230</v>
          </cell>
          <cell r="D22" t="str">
            <v>Bruce-Monroe ES</v>
          </cell>
          <cell r="E22">
            <v>363</v>
          </cell>
          <cell r="F22">
            <v>21</v>
          </cell>
          <cell r="G22">
            <v>384</v>
          </cell>
          <cell r="H22">
            <v>414</v>
          </cell>
        </row>
        <row r="23">
          <cell r="C23">
            <v>5750</v>
          </cell>
          <cell r="D23" t="str">
            <v>Orr ES</v>
          </cell>
          <cell r="E23">
            <v>234</v>
          </cell>
          <cell r="F23">
            <v>22</v>
          </cell>
          <cell r="G23">
            <v>256</v>
          </cell>
          <cell r="H23">
            <v>276</v>
          </cell>
        </row>
        <row r="24">
          <cell r="C24">
            <v>7360</v>
          </cell>
          <cell r="D24" t="str">
            <v>Mamie D Lee Spec Ed</v>
          </cell>
          <cell r="E24">
            <v>80</v>
          </cell>
          <cell r="F24">
            <v>6</v>
          </cell>
          <cell r="G24">
            <v>86</v>
          </cell>
          <cell r="H24">
            <v>93</v>
          </cell>
        </row>
        <row r="25">
          <cell r="C25">
            <v>5860</v>
          </cell>
          <cell r="D25" t="str">
            <v>Reed, Marie</v>
          </cell>
          <cell r="E25">
            <v>268</v>
          </cell>
          <cell r="F25">
            <v>26</v>
          </cell>
          <cell r="G25">
            <v>294</v>
          </cell>
          <cell r="H25">
            <v>318</v>
          </cell>
        </row>
        <row r="26">
          <cell r="C26">
            <v>6020</v>
          </cell>
          <cell r="D26" t="str">
            <v>Terrell, M.C. ES</v>
          </cell>
          <cell r="E26">
            <v>244</v>
          </cell>
          <cell r="F26">
            <v>8</v>
          </cell>
          <cell r="G26">
            <v>252</v>
          </cell>
          <cell r="H26">
            <v>273</v>
          </cell>
        </row>
        <row r="27">
          <cell r="C27">
            <v>5930</v>
          </cell>
          <cell r="D27" t="str">
            <v>Shaed ES</v>
          </cell>
          <cell r="E27">
            <v>125</v>
          </cell>
          <cell r="F27">
            <v>11</v>
          </cell>
          <cell r="G27">
            <v>136</v>
          </cell>
          <cell r="H27">
            <v>148</v>
          </cell>
        </row>
        <row r="28">
          <cell r="C28">
            <v>7280</v>
          </cell>
          <cell r="D28" t="str">
            <v>Woodson SHS</v>
          </cell>
          <cell r="E28">
            <v>434</v>
          </cell>
          <cell r="F28">
            <v>33</v>
          </cell>
          <cell r="G28">
            <v>467</v>
          </cell>
          <cell r="H28">
            <v>509</v>
          </cell>
        </row>
        <row r="29">
          <cell r="C29">
            <v>5310</v>
          </cell>
          <cell r="D29" t="str">
            <v>Davis ES</v>
          </cell>
          <cell r="E29">
            <v>175</v>
          </cell>
          <cell r="F29">
            <v>7</v>
          </cell>
          <cell r="G29">
            <v>182</v>
          </cell>
          <cell r="H29">
            <v>199</v>
          </cell>
        </row>
        <row r="30">
          <cell r="C30">
            <v>5740</v>
          </cell>
          <cell r="D30" t="str">
            <v>Noyes ES</v>
          </cell>
          <cell r="E30">
            <v>326</v>
          </cell>
          <cell r="F30">
            <v>24</v>
          </cell>
          <cell r="G30">
            <v>350</v>
          </cell>
          <cell r="H30">
            <v>383</v>
          </cell>
        </row>
        <row r="31">
          <cell r="C31">
            <v>5210</v>
          </cell>
          <cell r="D31" t="str">
            <v>Brightwood ES</v>
          </cell>
          <cell r="E31">
            <v>439</v>
          </cell>
          <cell r="F31">
            <v>45</v>
          </cell>
          <cell r="G31">
            <v>484</v>
          </cell>
          <cell r="H31">
            <v>533</v>
          </cell>
        </row>
        <row r="32">
          <cell r="C32">
            <v>5850</v>
          </cell>
          <cell r="D32" t="str">
            <v>Raymond ES</v>
          </cell>
          <cell r="E32">
            <v>292</v>
          </cell>
          <cell r="F32">
            <v>32</v>
          </cell>
          <cell r="G32">
            <v>324</v>
          </cell>
          <cell r="H32">
            <v>357</v>
          </cell>
        </row>
        <row r="33">
          <cell r="C33">
            <v>5520</v>
          </cell>
          <cell r="D33" t="str">
            <v>Ketcham ES</v>
          </cell>
          <cell r="E33">
            <v>227</v>
          </cell>
          <cell r="F33">
            <v>8</v>
          </cell>
          <cell r="G33">
            <v>235</v>
          </cell>
          <cell r="H33">
            <v>259</v>
          </cell>
        </row>
        <row r="34">
          <cell r="C34">
            <v>5580</v>
          </cell>
          <cell r="D34" t="str">
            <v>LaSalle ES</v>
          </cell>
          <cell r="E34">
            <v>258</v>
          </cell>
          <cell r="F34">
            <v>25</v>
          </cell>
          <cell r="G34">
            <v>283</v>
          </cell>
          <cell r="H34">
            <v>313</v>
          </cell>
        </row>
        <row r="35">
          <cell r="C35">
            <v>5430</v>
          </cell>
          <cell r="D35" t="str">
            <v>Harris, C.W. ES</v>
          </cell>
          <cell r="E35">
            <v>189</v>
          </cell>
          <cell r="F35">
            <v>5</v>
          </cell>
          <cell r="G35">
            <v>194</v>
          </cell>
          <cell r="H35">
            <v>215</v>
          </cell>
        </row>
        <row r="36">
          <cell r="C36">
            <v>6430</v>
          </cell>
          <cell r="D36" t="str">
            <v>Kramer MS</v>
          </cell>
          <cell r="E36">
            <v>256</v>
          </cell>
          <cell r="F36">
            <v>21</v>
          </cell>
          <cell r="G36">
            <v>277</v>
          </cell>
          <cell r="H36">
            <v>307</v>
          </cell>
        </row>
        <row r="37">
          <cell r="C37">
            <v>5900</v>
          </cell>
          <cell r="D37" t="str">
            <v>Savoy ES</v>
          </cell>
          <cell r="E37">
            <v>320</v>
          </cell>
          <cell r="F37">
            <v>11</v>
          </cell>
          <cell r="G37">
            <v>331</v>
          </cell>
          <cell r="H37">
            <v>368</v>
          </cell>
        </row>
        <row r="38">
          <cell r="C38">
            <v>6190</v>
          </cell>
          <cell r="D38" t="str">
            <v>Wilson, J.O. ES</v>
          </cell>
          <cell r="E38">
            <v>280</v>
          </cell>
          <cell r="F38">
            <v>14</v>
          </cell>
          <cell r="G38">
            <v>294</v>
          </cell>
          <cell r="H38">
            <v>328</v>
          </cell>
        </row>
        <row r="39">
          <cell r="C39">
            <v>5790</v>
          </cell>
          <cell r="D39" t="str">
            <v>Payne ES</v>
          </cell>
          <cell r="E39">
            <v>178</v>
          </cell>
          <cell r="F39">
            <v>19</v>
          </cell>
          <cell r="G39">
            <v>197</v>
          </cell>
          <cell r="H39">
            <v>220</v>
          </cell>
        </row>
        <row r="40">
          <cell r="C40">
            <v>6480</v>
          </cell>
          <cell r="D40" t="str">
            <v>Shaw MS</v>
          </cell>
          <cell r="E40">
            <v>245</v>
          </cell>
          <cell r="F40">
            <v>23</v>
          </cell>
          <cell r="G40">
            <v>268</v>
          </cell>
          <cell r="H40">
            <v>300</v>
          </cell>
        </row>
        <row r="41">
          <cell r="C41">
            <v>5910</v>
          </cell>
          <cell r="D41" t="str">
            <v>Seaton ES</v>
          </cell>
          <cell r="E41">
            <v>213</v>
          </cell>
          <cell r="F41">
            <v>17</v>
          </cell>
          <cell r="G41">
            <v>230</v>
          </cell>
          <cell r="H41">
            <v>258</v>
          </cell>
        </row>
        <row r="42">
          <cell r="C42">
            <v>5700</v>
          </cell>
          <cell r="D42" t="str">
            <v>Montgomery, Scott ES</v>
          </cell>
        </row>
        <row r="43">
          <cell r="C43">
            <v>5400</v>
          </cell>
          <cell r="D43" t="str">
            <v>Garrison ES</v>
          </cell>
          <cell r="E43">
            <v>171</v>
          </cell>
          <cell r="F43">
            <v>14</v>
          </cell>
          <cell r="G43">
            <v>185</v>
          </cell>
          <cell r="H43">
            <v>208</v>
          </cell>
        </row>
        <row r="44">
          <cell r="C44">
            <v>5300</v>
          </cell>
          <cell r="D44" t="str">
            <v xml:space="preserve">Cooke, H.D. ES </v>
          </cell>
          <cell r="E44">
            <v>252</v>
          </cell>
          <cell r="F44">
            <v>26</v>
          </cell>
          <cell r="G44">
            <v>278</v>
          </cell>
          <cell r="H44">
            <v>313</v>
          </cell>
        </row>
        <row r="45">
          <cell r="C45">
            <v>6250</v>
          </cell>
          <cell r="D45" t="str">
            <v>Jackie Robinson Center</v>
          </cell>
        </row>
        <row r="46">
          <cell r="C46">
            <v>7490</v>
          </cell>
          <cell r="D46" t="str">
            <v>Youth Academy @ Eliot/Hine (Big Pic)</v>
          </cell>
          <cell r="E46">
            <v>112</v>
          </cell>
          <cell r="F46">
            <v>5</v>
          </cell>
          <cell r="G46">
            <v>117</v>
          </cell>
          <cell r="H46">
            <v>132</v>
          </cell>
        </row>
        <row r="47">
          <cell r="C47">
            <v>6420</v>
          </cell>
          <cell r="D47" t="str">
            <v>Johnson MS</v>
          </cell>
          <cell r="E47">
            <v>245</v>
          </cell>
          <cell r="F47">
            <v>10</v>
          </cell>
          <cell r="G47">
            <v>255</v>
          </cell>
          <cell r="H47">
            <v>289</v>
          </cell>
        </row>
        <row r="48">
          <cell r="C48">
            <v>5970</v>
          </cell>
          <cell r="D48" t="str">
            <v>Smothers ES</v>
          </cell>
          <cell r="E48">
            <v>178</v>
          </cell>
          <cell r="F48">
            <v>13</v>
          </cell>
          <cell r="G48">
            <v>191</v>
          </cell>
          <cell r="H48">
            <v>217</v>
          </cell>
        </row>
        <row r="49">
          <cell r="C49">
            <v>6340</v>
          </cell>
          <cell r="D49" t="str">
            <v>Eliot MS</v>
          </cell>
          <cell r="E49">
            <v>227</v>
          </cell>
          <cell r="F49">
            <v>20</v>
          </cell>
          <cell r="G49">
            <v>247</v>
          </cell>
          <cell r="H49">
            <v>281</v>
          </cell>
        </row>
        <row r="50">
          <cell r="C50">
            <v>7150</v>
          </cell>
          <cell r="D50" t="str">
            <v>Columbia Heights Educational Center</v>
          </cell>
          <cell r="E50">
            <v>979</v>
          </cell>
          <cell r="F50">
            <v>154</v>
          </cell>
          <cell r="G50">
            <v>1133</v>
          </cell>
          <cell r="H50">
            <v>1293</v>
          </cell>
        </row>
        <row r="51">
          <cell r="C51">
            <v>6130</v>
          </cell>
          <cell r="D51" t="str">
            <v>Webb ES/Wheatly</v>
          </cell>
          <cell r="E51">
            <v>381</v>
          </cell>
          <cell r="F51">
            <v>19</v>
          </cell>
          <cell r="G51">
            <v>400</v>
          </cell>
          <cell r="H51">
            <v>457</v>
          </cell>
        </row>
        <row r="52">
          <cell r="C52">
            <v>6560</v>
          </cell>
          <cell r="D52" t="str">
            <v>Hamilton Center</v>
          </cell>
          <cell r="E52">
            <v>75</v>
          </cell>
          <cell r="F52">
            <v>2</v>
          </cell>
          <cell r="G52">
            <v>77</v>
          </cell>
          <cell r="H52">
            <v>88</v>
          </cell>
        </row>
        <row r="53">
          <cell r="C53">
            <v>5780</v>
          </cell>
          <cell r="D53" t="str">
            <v xml:space="preserve">Patterson ES </v>
          </cell>
          <cell r="E53">
            <v>318</v>
          </cell>
          <cell r="F53">
            <v>25</v>
          </cell>
          <cell r="G53">
            <v>343</v>
          </cell>
          <cell r="H53">
            <v>392</v>
          </cell>
        </row>
        <row r="54">
          <cell r="C54">
            <v>6200</v>
          </cell>
          <cell r="D54" t="str">
            <v>Winston ES</v>
          </cell>
          <cell r="E54">
            <v>255</v>
          </cell>
          <cell r="F54">
            <v>9</v>
          </cell>
          <cell r="G54">
            <v>264</v>
          </cell>
          <cell r="H54">
            <v>302</v>
          </cell>
        </row>
        <row r="55">
          <cell r="C55">
            <v>7380</v>
          </cell>
          <cell r="D55" t="str">
            <v>Prospect  LC</v>
          </cell>
          <cell r="E55">
            <v>93</v>
          </cell>
          <cell r="F55">
            <v>4</v>
          </cell>
          <cell r="G55">
            <v>97</v>
          </cell>
          <cell r="H55">
            <v>111</v>
          </cell>
        </row>
        <row r="56">
          <cell r="C56">
            <v>6390</v>
          </cell>
          <cell r="D56" t="str">
            <v>Hart MS</v>
          </cell>
          <cell r="E56">
            <v>353</v>
          </cell>
          <cell r="F56">
            <v>18</v>
          </cell>
          <cell r="G56">
            <v>371</v>
          </cell>
          <cell r="H56">
            <v>426</v>
          </cell>
        </row>
        <row r="57">
          <cell r="C57">
            <v>5480</v>
          </cell>
          <cell r="D57" t="str">
            <v>Houston ES</v>
          </cell>
          <cell r="E57">
            <v>198</v>
          </cell>
          <cell r="F57">
            <v>16</v>
          </cell>
          <cell r="G57">
            <v>214</v>
          </cell>
          <cell r="H57">
            <v>246</v>
          </cell>
        </row>
        <row r="58">
          <cell r="C58">
            <v>6170</v>
          </cell>
          <cell r="D58" t="str">
            <v>Whittier ES</v>
          </cell>
          <cell r="E58">
            <v>344</v>
          </cell>
          <cell r="F58">
            <v>30</v>
          </cell>
          <cell r="G58">
            <v>374</v>
          </cell>
          <cell r="H58">
            <v>430</v>
          </cell>
        </row>
        <row r="59">
          <cell r="C59">
            <v>6060</v>
          </cell>
          <cell r="D59" t="str">
            <v>Turner ES</v>
          </cell>
          <cell r="E59">
            <v>217</v>
          </cell>
          <cell r="F59">
            <v>14</v>
          </cell>
          <cell r="G59">
            <v>231</v>
          </cell>
          <cell r="H59">
            <v>266</v>
          </cell>
        </row>
        <row r="60">
          <cell r="C60">
            <v>7260</v>
          </cell>
          <cell r="D60" t="str">
            <v>Spingarn SHS</v>
          </cell>
          <cell r="E60">
            <v>460</v>
          </cell>
          <cell r="F60">
            <v>24</v>
          </cell>
          <cell r="G60">
            <v>484</v>
          </cell>
          <cell r="H60">
            <v>558</v>
          </cell>
        </row>
        <row r="61">
          <cell r="C61">
            <v>7480</v>
          </cell>
          <cell r="D61" t="str">
            <v>Transition Academy @ Shadd</v>
          </cell>
          <cell r="E61">
            <v>67</v>
          </cell>
          <cell r="F61">
            <v>3</v>
          </cell>
          <cell r="G61">
            <v>70</v>
          </cell>
          <cell r="H61">
            <v>81</v>
          </cell>
        </row>
        <row r="62">
          <cell r="C62">
            <v>5950</v>
          </cell>
          <cell r="D62" t="str">
            <v>Simon ES</v>
          </cell>
          <cell r="E62">
            <v>260</v>
          </cell>
          <cell r="F62">
            <v>7</v>
          </cell>
          <cell r="G62">
            <v>267</v>
          </cell>
          <cell r="H62">
            <v>310</v>
          </cell>
        </row>
        <row r="63">
          <cell r="C63">
            <v>5280</v>
          </cell>
          <cell r="D63" t="str">
            <v>Cleveland ES</v>
          </cell>
          <cell r="E63">
            <v>192</v>
          </cell>
          <cell r="F63">
            <v>35</v>
          </cell>
          <cell r="G63">
            <v>227</v>
          </cell>
          <cell r="H63">
            <v>264</v>
          </cell>
        </row>
        <row r="64">
          <cell r="C64">
            <v>7370</v>
          </cell>
          <cell r="D64" t="str">
            <v>Sharpe Health Spec Ed</v>
          </cell>
          <cell r="E64">
            <v>77</v>
          </cell>
          <cell r="F64">
            <v>14</v>
          </cell>
          <cell r="G64">
            <v>91</v>
          </cell>
          <cell r="H64">
            <v>106</v>
          </cell>
        </row>
        <row r="65">
          <cell r="C65">
            <v>6450</v>
          </cell>
          <cell r="D65" t="str">
            <v>MacFarland MS</v>
          </cell>
          <cell r="E65">
            <v>156</v>
          </cell>
          <cell r="F65">
            <v>17</v>
          </cell>
          <cell r="G65">
            <v>173</v>
          </cell>
          <cell r="H65">
            <v>203</v>
          </cell>
        </row>
        <row r="66">
          <cell r="C66">
            <v>5820</v>
          </cell>
          <cell r="D66" t="str">
            <v>Plummer ES</v>
          </cell>
          <cell r="E66">
            <v>182</v>
          </cell>
          <cell r="F66">
            <v>2</v>
          </cell>
          <cell r="G66">
            <v>184</v>
          </cell>
          <cell r="H66">
            <v>216</v>
          </cell>
        </row>
        <row r="67">
          <cell r="C67">
            <v>6030</v>
          </cell>
          <cell r="D67" t="str">
            <v>Thomas ES</v>
          </cell>
          <cell r="E67">
            <v>192</v>
          </cell>
          <cell r="F67">
            <v>23</v>
          </cell>
          <cell r="G67">
            <v>215</v>
          </cell>
          <cell r="H67">
            <v>253</v>
          </cell>
        </row>
        <row r="68">
          <cell r="C68">
            <v>5600</v>
          </cell>
          <cell r="D68" t="str">
            <v>Ludlow-Taylor ES</v>
          </cell>
          <cell r="E68">
            <v>150</v>
          </cell>
          <cell r="F68">
            <v>14</v>
          </cell>
          <cell r="G68">
            <v>164</v>
          </cell>
          <cell r="H68">
            <v>195</v>
          </cell>
        </row>
        <row r="69">
          <cell r="C69">
            <v>6470</v>
          </cell>
          <cell r="D69" t="str">
            <v>Ron Brown MS</v>
          </cell>
          <cell r="E69">
            <v>189</v>
          </cell>
          <cell r="F69">
            <v>7</v>
          </cell>
          <cell r="G69">
            <v>196</v>
          </cell>
          <cell r="H69">
            <v>234</v>
          </cell>
        </row>
        <row r="70">
          <cell r="C70">
            <v>6490</v>
          </cell>
          <cell r="D70" t="str">
            <v>Sousa MS</v>
          </cell>
          <cell r="E70">
            <v>208</v>
          </cell>
          <cell r="F70">
            <v>17</v>
          </cell>
          <cell r="G70">
            <v>225</v>
          </cell>
          <cell r="H70">
            <v>271</v>
          </cell>
        </row>
        <row r="71">
          <cell r="C71">
            <v>5690</v>
          </cell>
          <cell r="D71" t="str">
            <v>Miner ES</v>
          </cell>
          <cell r="E71">
            <v>391</v>
          </cell>
          <cell r="F71">
            <v>17</v>
          </cell>
          <cell r="G71">
            <v>408</v>
          </cell>
          <cell r="H71">
            <v>495</v>
          </cell>
        </row>
        <row r="72">
          <cell r="C72">
            <v>5260</v>
          </cell>
          <cell r="D72" t="str">
            <v>Burrville ES</v>
          </cell>
          <cell r="E72">
            <v>228</v>
          </cell>
          <cell r="F72">
            <v>37</v>
          </cell>
          <cell r="G72">
            <v>265</v>
          </cell>
          <cell r="H72">
            <v>323</v>
          </cell>
        </row>
        <row r="73">
          <cell r="C73">
            <v>7120</v>
          </cell>
          <cell r="D73" t="str">
            <v>Ballou SHS</v>
          </cell>
          <cell r="E73">
            <v>896</v>
          </cell>
          <cell r="F73">
            <v>49</v>
          </cell>
          <cell r="G73">
            <v>945</v>
          </cell>
          <cell r="H73">
            <v>1157</v>
          </cell>
        </row>
        <row r="74">
          <cell r="C74">
            <v>7110</v>
          </cell>
          <cell r="D74" t="str">
            <v>Anacostia SHS</v>
          </cell>
          <cell r="E74">
            <v>679</v>
          </cell>
          <cell r="F74">
            <v>42</v>
          </cell>
          <cell r="G74">
            <v>721</v>
          </cell>
          <cell r="H74">
            <v>884</v>
          </cell>
        </row>
        <row r="75">
          <cell r="C75">
            <v>5140</v>
          </cell>
          <cell r="D75" t="str">
            <v>Bancroft ES</v>
          </cell>
          <cell r="E75">
            <v>303</v>
          </cell>
          <cell r="F75">
            <v>58</v>
          </cell>
          <cell r="G75">
            <v>361</v>
          </cell>
          <cell r="H75">
            <v>443</v>
          </cell>
        </row>
        <row r="76">
          <cell r="C76">
            <v>5150</v>
          </cell>
          <cell r="D76" t="str">
            <v>Barnard ES</v>
          </cell>
          <cell r="E76">
            <v>267</v>
          </cell>
          <cell r="F76">
            <v>30</v>
          </cell>
          <cell r="G76">
            <v>297</v>
          </cell>
          <cell r="H76">
            <v>367</v>
          </cell>
        </row>
        <row r="77">
          <cell r="C77">
            <v>6070</v>
          </cell>
          <cell r="D77" t="str">
            <v>Truesdell ES</v>
          </cell>
          <cell r="E77">
            <v>308</v>
          </cell>
          <cell r="F77">
            <v>32</v>
          </cell>
          <cell r="G77">
            <v>340</v>
          </cell>
          <cell r="H77">
            <v>423</v>
          </cell>
        </row>
        <row r="78">
          <cell r="C78">
            <v>5350</v>
          </cell>
          <cell r="D78" t="str">
            <v>Emery ES</v>
          </cell>
          <cell r="E78">
            <v>202</v>
          </cell>
          <cell r="F78">
            <v>8</v>
          </cell>
          <cell r="G78">
            <v>210</v>
          </cell>
          <cell r="H78">
            <v>263</v>
          </cell>
        </row>
        <row r="79">
          <cell r="C79">
            <v>5160</v>
          </cell>
          <cell r="D79" t="str">
            <v>Beers ES</v>
          </cell>
          <cell r="E79">
            <v>257</v>
          </cell>
          <cell r="F79">
            <v>23</v>
          </cell>
          <cell r="G79">
            <v>280</v>
          </cell>
          <cell r="H79">
            <v>351</v>
          </cell>
        </row>
        <row r="80">
          <cell r="C80">
            <v>6040</v>
          </cell>
          <cell r="D80" t="str">
            <v xml:space="preserve">Thomson ES </v>
          </cell>
          <cell r="E80">
            <v>256</v>
          </cell>
          <cell r="F80">
            <v>59</v>
          </cell>
          <cell r="G80">
            <v>315</v>
          </cell>
          <cell r="H80">
            <v>398</v>
          </cell>
        </row>
        <row r="81">
          <cell r="C81">
            <v>5510</v>
          </cell>
          <cell r="D81" t="str">
            <v>Kenilworth ES</v>
          </cell>
          <cell r="E81">
            <v>145</v>
          </cell>
          <cell r="F81">
            <v>1</v>
          </cell>
          <cell r="G81">
            <v>146</v>
          </cell>
          <cell r="H81">
            <v>185</v>
          </cell>
        </row>
        <row r="82">
          <cell r="C82">
            <v>6410</v>
          </cell>
          <cell r="D82" t="str">
            <v>Jefferson MS</v>
          </cell>
          <cell r="E82">
            <v>228</v>
          </cell>
          <cell r="F82">
            <v>18</v>
          </cell>
          <cell r="G82">
            <v>246</v>
          </cell>
          <cell r="H82">
            <v>313</v>
          </cell>
        </row>
        <row r="83">
          <cell r="C83">
            <v>5590</v>
          </cell>
          <cell r="D83" t="str">
            <v>Leckie ES</v>
          </cell>
          <cell r="E83">
            <v>226</v>
          </cell>
          <cell r="F83">
            <v>23</v>
          </cell>
          <cell r="G83">
            <v>249</v>
          </cell>
          <cell r="H83">
            <v>318</v>
          </cell>
        </row>
        <row r="84">
          <cell r="C84">
            <v>5250</v>
          </cell>
          <cell r="D84" t="str">
            <v>Burroughs ES</v>
          </cell>
          <cell r="E84">
            <v>229</v>
          </cell>
          <cell r="F84">
            <v>18</v>
          </cell>
          <cell r="G84">
            <v>247</v>
          </cell>
          <cell r="H84">
            <v>316</v>
          </cell>
        </row>
        <row r="85">
          <cell r="C85">
            <v>6010</v>
          </cell>
          <cell r="D85" t="str">
            <v>Takoma ES</v>
          </cell>
          <cell r="E85">
            <v>213</v>
          </cell>
          <cell r="F85">
            <v>25</v>
          </cell>
          <cell r="G85">
            <v>238</v>
          </cell>
          <cell r="H85">
            <v>305</v>
          </cell>
        </row>
        <row r="86">
          <cell r="C86">
            <v>7240</v>
          </cell>
          <cell r="D86" t="str">
            <v>Roosevelt SHS</v>
          </cell>
          <cell r="E86">
            <v>492</v>
          </cell>
          <cell r="F86">
            <v>56</v>
          </cell>
          <cell r="G86">
            <v>548</v>
          </cell>
          <cell r="H86">
            <v>717</v>
          </cell>
        </row>
        <row r="87">
          <cell r="C87">
            <v>5840</v>
          </cell>
          <cell r="D87" t="str">
            <v>Randle Highland ES</v>
          </cell>
          <cell r="E87">
            <v>269</v>
          </cell>
          <cell r="F87">
            <v>30</v>
          </cell>
          <cell r="G87">
            <v>299</v>
          </cell>
          <cell r="H87">
            <v>404</v>
          </cell>
        </row>
        <row r="88">
          <cell r="C88">
            <v>7230</v>
          </cell>
          <cell r="D88" t="str">
            <v>Phelps SHS</v>
          </cell>
          <cell r="E88">
            <v>152</v>
          </cell>
          <cell r="F88">
            <v>25</v>
          </cell>
          <cell r="G88">
            <v>177</v>
          </cell>
          <cell r="H88">
            <v>240</v>
          </cell>
        </row>
        <row r="89">
          <cell r="C89">
            <v>7160</v>
          </cell>
          <cell r="D89" t="str">
            <v>Cardozo SHS</v>
          </cell>
          <cell r="E89">
            <v>444</v>
          </cell>
          <cell r="F89">
            <v>37</v>
          </cell>
          <cell r="G89">
            <v>481</v>
          </cell>
          <cell r="H89">
            <v>653</v>
          </cell>
        </row>
        <row r="90">
          <cell r="C90">
            <v>7200</v>
          </cell>
          <cell r="D90" t="str">
            <v>Eastern SHS</v>
          </cell>
          <cell r="E90">
            <v>239</v>
          </cell>
          <cell r="F90">
            <v>24</v>
          </cell>
          <cell r="G90">
            <v>263</v>
          </cell>
          <cell r="H90">
            <v>364</v>
          </cell>
        </row>
        <row r="91">
          <cell r="C91">
            <v>6150</v>
          </cell>
          <cell r="D91" t="str">
            <v>West ES</v>
          </cell>
          <cell r="E91">
            <v>164</v>
          </cell>
          <cell r="F91">
            <v>23</v>
          </cell>
          <cell r="G91">
            <v>187</v>
          </cell>
          <cell r="H91">
            <v>265</v>
          </cell>
        </row>
        <row r="92">
          <cell r="C92">
            <v>7500</v>
          </cell>
          <cell r="D92" t="str">
            <v>Woodson Academy @ Ron Brown</v>
          </cell>
          <cell r="E92">
            <v>160</v>
          </cell>
          <cell r="F92">
            <v>12</v>
          </cell>
          <cell r="G92">
            <v>172</v>
          </cell>
          <cell r="H92">
            <v>204</v>
          </cell>
        </row>
        <row r="93">
          <cell r="C93">
            <v>5220</v>
          </cell>
          <cell r="D93" t="str">
            <v>Brookland ES</v>
          </cell>
          <cell r="E93">
            <v>216</v>
          </cell>
          <cell r="F93">
            <v>35</v>
          </cell>
          <cell r="G93">
            <v>251</v>
          </cell>
          <cell r="H93">
            <v>372</v>
          </cell>
        </row>
        <row r="94">
          <cell r="C94">
            <v>5570</v>
          </cell>
          <cell r="D94" t="str">
            <v>Langdon ES</v>
          </cell>
          <cell r="E94">
            <v>249</v>
          </cell>
          <cell r="F94">
            <v>35</v>
          </cell>
          <cell r="G94">
            <v>284</v>
          </cell>
          <cell r="H94">
            <v>421</v>
          </cell>
        </row>
        <row r="95">
          <cell r="C95">
            <v>7220</v>
          </cell>
          <cell r="D95" t="str">
            <v>Luke C. Moore SHS</v>
          </cell>
          <cell r="E95">
            <v>244</v>
          </cell>
          <cell r="F95">
            <v>17</v>
          </cell>
          <cell r="G95">
            <v>261</v>
          </cell>
          <cell r="H95">
            <v>396</v>
          </cell>
        </row>
        <row r="96">
          <cell r="C96">
            <v>7180</v>
          </cell>
          <cell r="D96" t="str">
            <v>Dunbar SHS</v>
          </cell>
          <cell r="E96">
            <v>535</v>
          </cell>
          <cell r="F96">
            <v>41</v>
          </cell>
          <cell r="G96">
            <v>576</v>
          </cell>
          <cell r="H96">
            <v>793</v>
          </cell>
        </row>
        <row r="97">
          <cell r="C97">
            <v>5630</v>
          </cell>
          <cell r="D97" t="str">
            <v>Thurgood Marshall EC</v>
          </cell>
          <cell r="E97">
            <v>68</v>
          </cell>
          <cell r="F97">
            <v>5</v>
          </cell>
          <cell r="G97">
            <v>73</v>
          </cell>
          <cell r="H97">
            <v>114</v>
          </cell>
        </row>
        <row r="98">
          <cell r="C98">
            <v>6090</v>
          </cell>
          <cell r="D98" t="str">
            <v>Tyler ES</v>
          </cell>
          <cell r="E98">
            <v>168</v>
          </cell>
          <cell r="F98">
            <v>12</v>
          </cell>
          <cell r="G98">
            <v>180</v>
          </cell>
          <cell r="H98">
            <v>300</v>
          </cell>
        </row>
        <row r="99">
          <cell r="C99">
            <v>6360</v>
          </cell>
          <cell r="D99" t="str">
            <v>Francis-Stevens EC</v>
          </cell>
          <cell r="E99">
            <v>122</v>
          </cell>
          <cell r="F99">
            <v>29</v>
          </cell>
          <cell r="G99">
            <v>151</v>
          </cell>
          <cell r="H99">
            <v>226</v>
          </cell>
        </row>
        <row r="100">
          <cell r="C100">
            <v>7170</v>
          </cell>
          <cell r="D100" t="str">
            <v>Coolidge SHS</v>
          </cell>
          <cell r="E100">
            <v>395</v>
          </cell>
          <cell r="F100">
            <v>57</v>
          </cell>
          <cell r="G100">
            <v>452</v>
          </cell>
          <cell r="H100">
            <v>608</v>
          </cell>
        </row>
        <row r="101">
          <cell r="C101">
            <v>7140</v>
          </cell>
          <cell r="D101" t="str">
            <v>Banneker SHS</v>
          </cell>
          <cell r="E101">
            <v>145</v>
          </cell>
          <cell r="F101">
            <v>56</v>
          </cell>
          <cell r="G101">
            <v>201</v>
          </cell>
          <cell r="H101">
            <v>393</v>
          </cell>
        </row>
        <row r="102">
          <cell r="C102">
            <v>7870</v>
          </cell>
          <cell r="D102" t="str">
            <v>McKinley SHS</v>
          </cell>
          <cell r="E102">
            <v>266</v>
          </cell>
          <cell r="F102">
            <v>63</v>
          </cell>
          <cell r="G102">
            <v>329</v>
          </cell>
          <cell r="H102">
            <v>710</v>
          </cell>
        </row>
        <row r="103">
          <cell r="C103">
            <v>6500</v>
          </cell>
          <cell r="D103" t="str">
            <v>Stuart-Hobson MS</v>
          </cell>
          <cell r="E103">
            <v>155</v>
          </cell>
          <cell r="F103">
            <v>36</v>
          </cell>
          <cell r="G103">
            <v>191</v>
          </cell>
          <cell r="H103">
            <v>413</v>
          </cell>
        </row>
        <row r="104">
          <cell r="C104">
            <v>5640</v>
          </cell>
          <cell r="D104" t="str">
            <v>Maury ES</v>
          </cell>
          <cell r="E104">
            <v>100</v>
          </cell>
          <cell r="F104">
            <v>17</v>
          </cell>
          <cell r="G104">
            <v>117</v>
          </cell>
          <cell r="H104">
            <v>263</v>
          </cell>
        </row>
        <row r="105">
          <cell r="C105">
            <v>7300</v>
          </cell>
          <cell r="D105" t="str">
            <v>Wilson SHS</v>
          </cell>
          <cell r="E105">
            <v>526</v>
          </cell>
          <cell r="F105">
            <v>98</v>
          </cell>
          <cell r="G105">
            <v>624</v>
          </cell>
          <cell r="H105">
            <v>1514</v>
          </cell>
        </row>
        <row r="106">
          <cell r="D106" t="str">
            <v>Total Title I Schools</v>
          </cell>
          <cell r="E106">
            <v>26812</v>
          </cell>
          <cell r="F106">
            <v>2352</v>
          </cell>
          <cell r="G106">
            <v>29158</v>
          </cell>
          <cell r="H106">
            <v>35844</v>
          </cell>
        </row>
        <row r="108">
          <cell r="C108">
            <v>6380</v>
          </cell>
          <cell r="D108" t="str">
            <v>Hardy MS</v>
          </cell>
          <cell r="E108">
            <v>121</v>
          </cell>
          <cell r="F108">
            <v>43</v>
          </cell>
          <cell r="G108">
            <v>164</v>
          </cell>
          <cell r="H108">
            <v>419</v>
          </cell>
        </row>
        <row r="109">
          <cell r="C109">
            <v>7210</v>
          </cell>
          <cell r="D109" t="str">
            <v>Ellington SHS</v>
          </cell>
          <cell r="E109">
            <v>144</v>
          </cell>
          <cell r="F109">
            <v>38</v>
          </cell>
          <cell r="G109">
            <v>182</v>
          </cell>
          <cell r="H109">
            <v>493</v>
          </cell>
        </row>
        <row r="110">
          <cell r="C110">
            <v>5880</v>
          </cell>
          <cell r="D110" t="str">
            <v>Ross ES</v>
          </cell>
          <cell r="E110">
            <v>42</v>
          </cell>
          <cell r="F110">
            <v>11</v>
          </cell>
          <cell r="G110">
            <v>53</v>
          </cell>
          <cell r="H110">
            <v>145</v>
          </cell>
        </row>
        <row r="111">
          <cell r="D111" t="str">
            <v>Total Targeted Assisstance Schools</v>
          </cell>
          <cell r="E111">
            <v>307</v>
          </cell>
          <cell r="F111">
            <v>92</v>
          </cell>
          <cell r="G111">
            <v>399</v>
          </cell>
          <cell r="H111">
            <v>1057</v>
          </cell>
        </row>
        <row r="112">
          <cell r="D112" t="str">
            <v>Total poverty students in attendance areas</v>
          </cell>
          <cell r="G112">
            <v>29557</v>
          </cell>
        </row>
        <row r="115">
          <cell r="C115">
            <v>5110</v>
          </cell>
          <cell r="D115" t="str">
            <v>Adams ES/Oyster ES</v>
          </cell>
          <cell r="E115">
            <v>148</v>
          </cell>
          <cell r="F115">
            <v>60</v>
          </cell>
          <cell r="G115">
            <v>208</v>
          </cell>
          <cell r="H115">
            <v>652</v>
          </cell>
        </row>
        <row r="116">
          <cell r="C116">
            <v>5800</v>
          </cell>
          <cell r="D116" t="str">
            <v>Peabody ES</v>
          </cell>
          <cell r="E116">
            <v>29</v>
          </cell>
          <cell r="F116">
            <v>16</v>
          </cell>
          <cell r="G116">
            <v>45</v>
          </cell>
          <cell r="H116">
            <v>148</v>
          </cell>
        </row>
        <row r="117">
          <cell r="C117">
            <v>5940</v>
          </cell>
          <cell r="D117" t="str">
            <v>Shepherd ES</v>
          </cell>
          <cell r="E117">
            <v>87</v>
          </cell>
          <cell r="F117">
            <v>13</v>
          </cell>
          <cell r="G117">
            <v>100</v>
          </cell>
          <cell r="H117">
            <v>333</v>
          </cell>
        </row>
        <row r="118">
          <cell r="C118">
            <v>6120</v>
          </cell>
          <cell r="D118" t="str">
            <v>Watkins ES</v>
          </cell>
          <cell r="E118">
            <v>115</v>
          </cell>
          <cell r="F118">
            <v>38</v>
          </cell>
          <cell r="G118">
            <v>153</v>
          </cell>
          <cell r="H118">
            <v>535</v>
          </cell>
        </row>
        <row r="119">
          <cell r="C119">
            <v>6330</v>
          </cell>
          <cell r="D119" t="str">
            <v>Deal MS</v>
          </cell>
          <cell r="E119">
            <v>194</v>
          </cell>
          <cell r="F119">
            <v>47</v>
          </cell>
          <cell r="G119">
            <v>241</v>
          </cell>
          <cell r="H119">
            <v>866</v>
          </cell>
        </row>
        <row r="120">
          <cell r="C120">
            <v>5200</v>
          </cell>
          <cell r="D120" t="str">
            <v>Brent ES</v>
          </cell>
          <cell r="E120">
            <v>66</v>
          </cell>
          <cell r="F120">
            <v>10</v>
          </cell>
          <cell r="G120">
            <v>76</v>
          </cell>
          <cell r="H120">
            <v>277</v>
          </cell>
        </row>
        <row r="121">
          <cell r="C121">
            <v>5450</v>
          </cell>
          <cell r="D121" t="str">
            <v>Hearst ES</v>
          </cell>
          <cell r="E121">
            <v>40</v>
          </cell>
          <cell r="F121">
            <v>9</v>
          </cell>
          <cell r="G121">
            <v>49</v>
          </cell>
          <cell r="H121">
            <v>197</v>
          </cell>
        </row>
        <row r="122">
          <cell r="C122">
            <v>7250</v>
          </cell>
          <cell r="D122" t="str">
            <v>School W/O Walls SHS</v>
          </cell>
          <cell r="E122">
            <v>68</v>
          </cell>
          <cell r="F122">
            <v>33</v>
          </cell>
          <cell r="G122">
            <v>101</v>
          </cell>
          <cell r="H122">
            <v>460</v>
          </cell>
        </row>
        <row r="123">
          <cell r="C123">
            <v>5340</v>
          </cell>
          <cell r="D123" t="str">
            <v>Eaton ES</v>
          </cell>
          <cell r="E123">
            <v>40</v>
          </cell>
          <cell r="F123">
            <v>26</v>
          </cell>
          <cell r="G123">
            <v>66</v>
          </cell>
          <cell r="H123">
            <v>409</v>
          </cell>
        </row>
        <row r="124">
          <cell r="C124">
            <v>6000</v>
          </cell>
          <cell r="D124" t="str">
            <v>Stoddert ES</v>
          </cell>
          <cell r="E124">
            <v>32</v>
          </cell>
          <cell r="F124">
            <v>13</v>
          </cell>
          <cell r="G124">
            <v>45</v>
          </cell>
          <cell r="H124">
            <v>285</v>
          </cell>
        </row>
        <row r="125">
          <cell r="C125">
            <v>5490</v>
          </cell>
          <cell r="D125" t="str">
            <v>Hyde ES</v>
          </cell>
          <cell r="E125">
            <v>23</v>
          </cell>
          <cell r="F125">
            <v>11</v>
          </cell>
          <cell r="G125">
            <v>34</v>
          </cell>
          <cell r="H125">
            <v>235</v>
          </cell>
        </row>
        <row r="126">
          <cell r="C126">
            <v>5720</v>
          </cell>
          <cell r="D126" t="str">
            <v>Murch ES</v>
          </cell>
          <cell r="E126">
            <v>52</v>
          </cell>
          <cell r="F126">
            <v>12</v>
          </cell>
          <cell r="G126">
            <v>64</v>
          </cell>
          <cell r="H126">
            <v>480</v>
          </cell>
        </row>
        <row r="127">
          <cell r="C127">
            <v>5810</v>
          </cell>
          <cell r="D127" t="str">
            <v>Reggio Emillia</v>
          </cell>
          <cell r="E127">
            <v>5</v>
          </cell>
          <cell r="F127">
            <v>2</v>
          </cell>
          <cell r="G127">
            <v>7</v>
          </cell>
          <cell r="H127">
            <v>83</v>
          </cell>
        </row>
        <row r="128">
          <cell r="C128">
            <v>5530</v>
          </cell>
          <cell r="D128" t="str">
            <v>Key ES</v>
          </cell>
          <cell r="E128">
            <v>17</v>
          </cell>
          <cell r="F128">
            <v>6</v>
          </cell>
          <cell r="G128">
            <v>23</v>
          </cell>
          <cell r="H128">
            <v>343</v>
          </cell>
        </row>
        <row r="129">
          <cell r="C129">
            <v>5560</v>
          </cell>
          <cell r="D129" t="str">
            <v>Lafayette ES</v>
          </cell>
          <cell r="E129">
            <v>19</v>
          </cell>
          <cell r="F129">
            <v>5</v>
          </cell>
          <cell r="G129">
            <v>24</v>
          </cell>
          <cell r="H129">
            <v>634</v>
          </cell>
        </row>
        <row r="130">
          <cell r="C130">
            <v>5500</v>
          </cell>
          <cell r="D130" t="str">
            <v>Janney ES</v>
          </cell>
          <cell r="E130">
            <v>12</v>
          </cell>
          <cell r="F130">
            <v>2</v>
          </cell>
          <cell r="G130">
            <v>14</v>
          </cell>
          <cell r="H130">
            <v>444</v>
          </cell>
        </row>
        <row r="131">
          <cell r="C131">
            <v>5620</v>
          </cell>
          <cell r="D131" t="str">
            <v>Mann ES</v>
          </cell>
          <cell r="E131">
            <v>6</v>
          </cell>
          <cell r="F131">
            <v>1</v>
          </cell>
          <cell r="G131">
            <v>7</v>
          </cell>
          <cell r="H131">
            <v>270</v>
          </cell>
        </row>
        <row r="132">
          <cell r="D132" t="str">
            <v>Total Non-Title I Schools</v>
          </cell>
          <cell r="E132">
            <v>953</v>
          </cell>
          <cell r="F132">
            <v>304</v>
          </cell>
          <cell r="G132">
            <v>1257</v>
          </cell>
          <cell r="H132">
            <v>6651</v>
          </cell>
        </row>
        <row r="134">
          <cell r="C134">
            <v>7890</v>
          </cell>
          <cell r="D134" t="str">
            <v>Choice Academy</v>
          </cell>
          <cell r="E134">
            <v>43</v>
          </cell>
          <cell r="F134">
            <v>9</v>
          </cell>
          <cell r="G134">
            <v>52</v>
          </cell>
          <cell r="H134">
            <v>13</v>
          </cell>
        </row>
        <row r="135">
          <cell r="C135">
            <v>7901</v>
          </cell>
          <cell r="D135" t="str">
            <v>Youth Service Center</v>
          </cell>
          <cell r="E135">
            <v>0</v>
          </cell>
          <cell r="F135">
            <v>0</v>
          </cell>
          <cell r="G135">
            <v>0</v>
          </cell>
          <cell r="H135">
            <v>85</v>
          </cell>
        </row>
        <row r="136">
          <cell r="D136" t="str">
            <v>Total Alternative Schools</v>
          </cell>
          <cell r="E136">
            <v>43</v>
          </cell>
          <cell r="F136">
            <v>9</v>
          </cell>
          <cell r="G136">
            <v>52</v>
          </cell>
          <cell r="H136">
            <v>98</v>
          </cell>
        </row>
        <row r="139">
          <cell r="D139" t="str">
            <v>DCPS Total</v>
          </cell>
          <cell r="E139">
            <v>28115</v>
          </cell>
          <cell r="F139">
            <v>2757</v>
          </cell>
          <cell r="G139">
            <v>30866</v>
          </cell>
          <cell r="H139">
            <v>43650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ILITY FY11"/>
      <sheetName val="COMPARABILITY FY11 (2)"/>
      <sheetName val="Proportionality"/>
      <sheetName val="Sheet1"/>
    </sheetNames>
    <sheetDataSet>
      <sheetData sheetId="0" refreshError="1"/>
      <sheetData sheetId="1" refreshError="1"/>
      <sheetData sheetId="2" refreshError="1">
        <row r="1">
          <cell r="B1" t="str">
            <v>Org. Code</v>
          </cell>
        </row>
        <row r="4">
          <cell r="B4">
            <v>5120</v>
          </cell>
        </row>
        <row r="5">
          <cell r="B5">
            <v>5130</v>
          </cell>
        </row>
        <row r="6">
          <cell r="B6">
            <v>5140</v>
          </cell>
        </row>
        <row r="7">
          <cell r="B7">
            <v>5150</v>
          </cell>
        </row>
        <row r="8">
          <cell r="B8">
            <v>5160</v>
          </cell>
        </row>
        <row r="9">
          <cell r="B9">
            <v>5210</v>
          </cell>
        </row>
        <row r="10">
          <cell r="B10">
            <v>5220</v>
          </cell>
        </row>
        <row r="11">
          <cell r="B11">
            <v>6320</v>
          </cell>
        </row>
        <row r="12">
          <cell r="B12">
            <v>5230</v>
          </cell>
        </row>
        <row r="13">
          <cell r="B13">
            <v>5250</v>
          </cell>
        </row>
        <row r="14">
          <cell r="B14">
            <v>5260</v>
          </cell>
        </row>
        <row r="15">
          <cell r="B15">
            <v>5280</v>
          </cell>
        </row>
        <row r="16">
          <cell r="B16">
            <v>5300</v>
          </cell>
        </row>
        <row r="17">
          <cell r="B17">
            <v>5310</v>
          </cell>
        </row>
        <row r="18">
          <cell r="B18">
            <v>5330</v>
          </cell>
        </row>
        <row r="19">
          <cell r="B19">
            <v>5350</v>
          </cell>
        </row>
        <row r="20">
          <cell r="B20">
            <v>5360</v>
          </cell>
        </row>
        <row r="21">
          <cell r="B21">
            <v>6360</v>
          </cell>
        </row>
        <row r="22">
          <cell r="B22">
            <v>5390</v>
          </cell>
        </row>
        <row r="23">
          <cell r="B23">
            <v>5400</v>
          </cell>
        </row>
        <row r="24">
          <cell r="B24">
            <v>6560</v>
          </cell>
        </row>
        <row r="25">
          <cell r="B25">
            <v>5430</v>
          </cell>
        </row>
        <row r="26">
          <cell r="B26">
            <v>5460</v>
          </cell>
        </row>
        <row r="27">
          <cell r="B27">
            <v>5480</v>
          </cell>
        </row>
        <row r="28">
          <cell r="B28">
            <v>5510</v>
          </cell>
        </row>
        <row r="29">
          <cell r="B29">
            <v>5520</v>
          </cell>
        </row>
        <row r="30">
          <cell r="B30">
            <v>5540</v>
          </cell>
        </row>
        <row r="31">
          <cell r="B31">
            <v>5550</v>
          </cell>
        </row>
        <row r="32">
          <cell r="B32">
            <v>5570</v>
          </cell>
        </row>
        <row r="33">
          <cell r="B33">
            <v>5580</v>
          </cell>
        </row>
        <row r="34">
          <cell r="B34">
            <v>5590</v>
          </cell>
        </row>
        <row r="35">
          <cell r="B35">
            <v>5600</v>
          </cell>
        </row>
        <row r="36">
          <cell r="B36">
            <v>5610</v>
          </cell>
        </row>
        <row r="37">
          <cell r="B37">
            <v>5630</v>
          </cell>
        </row>
        <row r="38">
          <cell r="B38">
            <v>5640</v>
          </cell>
        </row>
        <row r="39">
          <cell r="B39">
            <v>5690</v>
          </cell>
        </row>
        <row r="40">
          <cell r="B40">
            <v>5710</v>
          </cell>
        </row>
        <row r="41">
          <cell r="B41">
            <v>5730</v>
          </cell>
        </row>
        <row r="42">
          <cell r="B42">
            <v>5740</v>
          </cell>
        </row>
        <row r="43">
          <cell r="B43">
            <v>5750</v>
          </cell>
        </row>
        <row r="44">
          <cell r="B44">
            <v>5780</v>
          </cell>
        </row>
        <row r="45">
          <cell r="B45">
            <v>5790</v>
          </cell>
        </row>
        <row r="46">
          <cell r="B46">
            <v>5820</v>
          </cell>
        </row>
        <row r="47">
          <cell r="B47">
            <v>5830</v>
          </cell>
        </row>
        <row r="48">
          <cell r="B48">
            <v>5840</v>
          </cell>
        </row>
        <row r="49">
          <cell r="B49">
            <v>5850</v>
          </cell>
        </row>
        <row r="50">
          <cell r="B50">
            <v>5860</v>
          </cell>
        </row>
        <row r="51">
          <cell r="B51">
            <v>5870</v>
          </cell>
        </row>
        <row r="52">
          <cell r="B52">
            <v>5880</v>
          </cell>
        </row>
        <row r="53">
          <cell r="B53">
            <v>5900</v>
          </cell>
        </row>
        <row r="54">
          <cell r="B54">
            <v>5910</v>
          </cell>
        </row>
        <row r="55">
          <cell r="B55">
            <v>5930</v>
          </cell>
        </row>
        <row r="56">
          <cell r="B56">
            <v>5950</v>
          </cell>
        </row>
        <row r="57">
          <cell r="B57">
            <v>5970</v>
          </cell>
        </row>
        <row r="58">
          <cell r="B58">
            <v>5980</v>
          </cell>
        </row>
        <row r="59">
          <cell r="B59">
            <v>6010</v>
          </cell>
        </row>
        <row r="60">
          <cell r="B60">
            <v>6020</v>
          </cell>
        </row>
        <row r="61">
          <cell r="B61">
            <v>6030</v>
          </cell>
        </row>
        <row r="62">
          <cell r="B62">
            <v>6040</v>
          </cell>
        </row>
        <row r="63">
          <cell r="B63">
            <v>6070</v>
          </cell>
        </row>
        <row r="64">
          <cell r="B64">
            <v>6050</v>
          </cell>
        </row>
        <row r="65">
          <cell r="B65">
            <v>6060</v>
          </cell>
        </row>
        <row r="66">
          <cell r="B66">
            <v>6090</v>
          </cell>
        </row>
        <row r="67">
          <cell r="B67">
            <v>6110</v>
          </cell>
        </row>
        <row r="68">
          <cell r="B68">
            <v>6130</v>
          </cell>
        </row>
        <row r="69">
          <cell r="B69">
            <v>6150</v>
          </cell>
        </row>
        <row r="70">
          <cell r="B70">
            <v>6170</v>
          </cell>
        </row>
        <row r="71">
          <cell r="B71">
            <v>6190</v>
          </cell>
        </row>
        <row r="72">
          <cell r="B72">
            <v>6200</v>
          </cell>
        </row>
        <row r="75">
          <cell r="B75">
            <v>6340</v>
          </cell>
        </row>
        <row r="76">
          <cell r="B76">
            <v>6380</v>
          </cell>
        </row>
        <row r="77">
          <cell r="B77">
            <v>6390</v>
          </cell>
        </row>
        <row r="78">
          <cell r="B78">
            <v>6410</v>
          </cell>
        </row>
        <row r="79">
          <cell r="B79">
            <v>6420</v>
          </cell>
        </row>
        <row r="80">
          <cell r="B80">
            <v>6580</v>
          </cell>
        </row>
        <row r="81">
          <cell r="B81">
            <v>6430</v>
          </cell>
        </row>
        <row r="82">
          <cell r="B82">
            <v>6450</v>
          </cell>
        </row>
        <row r="83">
          <cell r="B83">
            <v>6470</v>
          </cell>
        </row>
        <row r="84">
          <cell r="B84">
            <v>6480</v>
          </cell>
        </row>
        <row r="85">
          <cell r="B85">
            <v>6490</v>
          </cell>
        </row>
        <row r="86">
          <cell r="B86">
            <v>6500</v>
          </cell>
        </row>
        <row r="89">
          <cell r="B89">
            <v>7110</v>
          </cell>
        </row>
        <row r="90">
          <cell r="B90">
            <v>7120</v>
          </cell>
        </row>
        <row r="91">
          <cell r="B91">
            <v>7140</v>
          </cell>
        </row>
        <row r="92">
          <cell r="B92">
            <v>7150</v>
          </cell>
        </row>
        <row r="93">
          <cell r="B93">
            <v>7160</v>
          </cell>
        </row>
        <row r="94">
          <cell r="B94">
            <v>7170</v>
          </cell>
        </row>
        <row r="95">
          <cell r="B95">
            <v>7180</v>
          </cell>
        </row>
        <row r="96">
          <cell r="B96">
            <v>7200</v>
          </cell>
        </row>
        <row r="97">
          <cell r="B97">
            <v>7210</v>
          </cell>
        </row>
        <row r="98">
          <cell r="B98">
            <v>7220</v>
          </cell>
        </row>
        <row r="99">
          <cell r="B99">
            <v>7240</v>
          </cell>
        </row>
        <row r="100">
          <cell r="B100">
            <v>7260</v>
          </cell>
        </row>
        <row r="101">
          <cell r="B101">
            <v>7280</v>
          </cell>
        </row>
        <row r="102">
          <cell r="B102">
            <v>7370</v>
          </cell>
        </row>
        <row r="103">
          <cell r="B103">
            <v>7230</v>
          </cell>
        </row>
        <row r="104">
          <cell r="B104">
            <v>7380</v>
          </cell>
        </row>
        <row r="105">
          <cell r="B105">
            <v>7870</v>
          </cell>
        </row>
        <row r="106">
          <cell r="B106">
            <v>7300</v>
          </cell>
        </row>
        <row r="107">
          <cell r="B107">
            <v>7360</v>
          </cell>
        </row>
        <row r="108">
          <cell r="B108">
            <v>7480</v>
          </cell>
        </row>
        <row r="109">
          <cell r="B109">
            <v>7490</v>
          </cell>
        </row>
        <row r="110">
          <cell r="B110">
            <v>7500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by fund"/>
      <sheetName val="Datat"/>
      <sheetName val="Sheet1"/>
    </sheetNames>
    <sheetDataSet>
      <sheetData sheetId="0" refreshError="1"/>
      <sheetData sheetId="1" refreshError="1"/>
      <sheetData sheetId="2">
        <row r="1">
          <cell r="B1">
            <v>7110</v>
          </cell>
          <cell r="C1" t="str">
            <v>ANACOSTIA SENIOR HIGH</v>
          </cell>
          <cell r="D1">
            <v>79057.14</v>
          </cell>
        </row>
        <row r="2">
          <cell r="B2">
            <v>7150</v>
          </cell>
          <cell r="C2" t="str">
            <v>COLUMBIA HEIGHTS ES</v>
          </cell>
          <cell r="D2">
            <v>49982.42</v>
          </cell>
        </row>
        <row r="3">
          <cell r="B3">
            <v>7160</v>
          </cell>
          <cell r="C3" t="str">
            <v>CARDOZO SENIOR HIGH</v>
          </cell>
          <cell r="D3">
            <v>95110.88</v>
          </cell>
        </row>
        <row r="4">
          <cell r="B4">
            <v>7170</v>
          </cell>
          <cell r="C4" t="str">
            <v>COOLIDGE SENIOR HIGH</v>
          </cell>
          <cell r="D4">
            <v>53454.29</v>
          </cell>
        </row>
        <row r="5">
          <cell r="B5">
            <v>7180</v>
          </cell>
          <cell r="C5" t="str">
            <v>DUNBAR SENIOR HIGH</v>
          </cell>
          <cell r="D5">
            <v>65564.97</v>
          </cell>
        </row>
        <row r="6">
          <cell r="B6">
            <v>7240</v>
          </cell>
          <cell r="C6" t="str">
            <v>ROOSEVELT SENIOR HIGH</v>
          </cell>
          <cell r="D6">
            <v>51936.15</v>
          </cell>
        </row>
        <row r="7">
          <cell r="B7">
            <v>7260</v>
          </cell>
          <cell r="C7" t="str">
            <v>SPINGARN SENIOR HIGH</v>
          </cell>
          <cell r="D7">
            <v>86444.64</v>
          </cell>
        </row>
        <row r="8">
          <cell r="B8">
            <v>7280</v>
          </cell>
          <cell r="C8" t="str">
            <v>H.D. WOODSON SENIOR HIGH</v>
          </cell>
          <cell r="D8">
            <v>93591.58</v>
          </cell>
        </row>
        <row r="9">
          <cell r="B9">
            <v>7300</v>
          </cell>
          <cell r="C9" t="str">
            <v>WOODROW WILSON SENIOR HIGH</v>
          </cell>
          <cell r="D9">
            <v>85664.55</v>
          </cell>
        </row>
        <row r="10">
          <cell r="B10">
            <v>7870</v>
          </cell>
          <cell r="C10" t="str">
            <v>MCKINLEY HIGH SCHOOL</v>
          </cell>
          <cell r="D10">
            <v>81062.84</v>
          </cell>
        </row>
        <row r="17">
          <cell r="B17">
            <v>5120</v>
          </cell>
          <cell r="C17" t="str">
            <v>AITON ELEMENTARY</v>
          </cell>
          <cell r="D17">
            <v>136008.84</v>
          </cell>
        </row>
        <row r="18">
          <cell r="B18">
            <v>5130</v>
          </cell>
          <cell r="C18" t="str">
            <v>AMIDON ELEMENTARY</v>
          </cell>
          <cell r="D18">
            <v>126471.19</v>
          </cell>
        </row>
        <row r="19">
          <cell r="B19">
            <v>5140</v>
          </cell>
          <cell r="C19" t="str">
            <v>BANCROFT ELEMENTARY</v>
          </cell>
          <cell r="D19">
            <v>201130</v>
          </cell>
        </row>
        <row r="20">
          <cell r="B20">
            <v>5150</v>
          </cell>
          <cell r="C20" t="str">
            <v>BARNARD ELEMENTARY</v>
          </cell>
          <cell r="D20">
            <v>211293.49</v>
          </cell>
        </row>
        <row r="21">
          <cell r="B21">
            <v>5160</v>
          </cell>
          <cell r="C21" t="str">
            <v>BEERS ELEMENTARY</v>
          </cell>
          <cell r="D21">
            <v>163107.88</v>
          </cell>
        </row>
        <row r="22">
          <cell r="B22">
            <v>5210</v>
          </cell>
          <cell r="C22" t="str">
            <v>BRIGHTWOOD ELEMENTARY</v>
          </cell>
          <cell r="D22">
            <v>265347.18</v>
          </cell>
        </row>
        <row r="23">
          <cell r="B23">
            <v>5220</v>
          </cell>
          <cell r="C23" t="str">
            <v>BROOKLAND ELEMENTARY</v>
          </cell>
          <cell r="D23">
            <v>124636.41</v>
          </cell>
        </row>
        <row r="24">
          <cell r="B24">
            <v>5230</v>
          </cell>
          <cell r="C24" t="str">
            <v>BRUCE-MONROE ELEMENTARY</v>
          </cell>
          <cell r="D24">
            <v>224211.82</v>
          </cell>
        </row>
        <row r="25">
          <cell r="B25">
            <v>5250</v>
          </cell>
          <cell r="C25" t="str">
            <v>BURROUGHS ELEMENTARY</v>
          </cell>
          <cell r="D25">
            <v>126241.17000000001</v>
          </cell>
        </row>
        <row r="26">
          <cell r="B26">
            <v>5260</v>
          </cell>
          <cell r="C26" t="str">
            <v>BURRVILLE ELEMENTARY</v>
          </cell>
          <cell r="D26">
            <v>164755.43</v>
          </cell>
        </row>
        <row r="27">
          <cell r="B27">
            <v>5280</v>
          </cell>
          <cell r="C27" t="str">
            <v>CLEVELAND ELEMENTARY</v>
          </cell>
          <cell r="D27">
            <v>134323.82</v>
          </cell>
        </row>
        <row r="28">
          <cell r="B28">
            <v>5300</v>
          </cell>
          <cell r="C28" t="str">
            <v>H.D. COOKE ELEMENTARY</v>
          </cell>
          <cell r="D28">
            <v>170083.23</v>
          </cell>
        </row>
        <row r="29">
          <cell r="B29">
            <v>5310</v>
          </cell>
          <cell r="C29" t="str">
            <v>DAVIS ELEMENTARY</v>
          </cell>
          <cell r="D29">
            <v>90176.86</v>
          </cell>
        </row>
        <row r="30">
          <cell r="B30">
            <v>5330</v>
          </cell>
          <cell r="C30" t="str">
            <v>DREW ELEMENTARY</v>
          </cell>
          <cell r="D30">
            <v>91556.950000000012</v>
          </cell>
        </row>
        <row r="31">
          <cell r="B31">
            <v>5350</v>
          </cell>
          <cell r="C31" t="str">
            <v>LANGLEY EDUCATION CAMPUS</v>
          </cell>
          <cell r="D31">
            <v>176523.66999999998</v>
          </cell>
        </row>
        <row r="32">
          <cell r="B32">
            <v>5360</v>
          </cell>
          <cell r="C32" t="str">
            <v>FEREBEE-HOPE ELEMENTARY</v>
          </cell>
          <cell r="D32">
            <v>123256.31999999999</v>
          </cell>
        </row>
        <row r="33">
          <cell r="B33">
            <v>5390</v>
          </cell>
          <cell r="C33" t="str">
            <v>GARFIELD ELEMENTARY</v>
          </cell>
          <cell r="D33">
            <v>118543.67</v>
          </cell>
        </row>
        <row r="34">
          <cell r="B34">
            <v>5400</v>
          </cell>
          <cell r="C34" t="str">
            <v>GARRISON ELEMENTARY</v>
          </cell>
          <cell r="D34">
            <v>110776.62999999999</v>
          </cell>
        </row>
        <row r="35">
          <cell r="B35">
            <v>5430</v>
          </cell>
          <cell r="C35" t="str">
            <v>C.W. HARRIS ELEMENTARY</v>
          </cell>
          <cell r="D35">
            <v>106818.22</v>
          </cell>
        </row>
        <row r="36">
          <cell r="B36">
            <v>5460</v>
          </cell>
          <cell r="C36" t="str">
            <v>HENDLEY ELEMENTARY</v>
          </cell>
          <cell r="D36">
            <v>181332.61000000002</v>
          </cell>
        </row>
        <row r="37">
          <cell r="B37">
            <v>5480</v>
          </cell>
          <cell r="C37" t="str">
            <v>HOUSTON ELEMENTARY</v>
          </cell>
          <cell r="D37">
            <v>100393.83</v>
          </cell>
        </row>
        <row r="38">
          <cell r="B38">
            <v>5510</v>
          </cell>
          <cell r="C38" t="str">
            <v>KENILWORTH ELEMENTARY</v>
          </cell>
          <cell r="D38">
            <v>87405.97</v>
          </cell>
        </row>
        <row r="39">
          <cell r="B39">
            <v>5520</v>
          </cell>
          <cell r="C39" t="str">
            <v>KETCHAM ELEMENTARY</v>
          </cell>
          <cell r="D39">
            <v>127642.66</v>
          </cell>
        </row>
        <row r="40">
          <cell r="B40">
            <v>5540</v>
          </cell>
          <cell r="C40" t="str">
            <v>KIMBALL ELEMENTARY</v>
          </cell>
          <cell r="D40">
            <v>151676.63</v>
          </cell>
        </row>
        <row r="41">
          <cell r="B41">
            <v>5550</v>
          </cell>
          <cell r="C41" t="str">
            <v>M. L. KING ELEMENTARY</v>
          </cell>
          <cell r="D41">
            <v>178823.83</v>
          </cell>
        </row>
        <row r="42">
          <cell r="B42">
            <v>5570</v>
          </cell>
          <cell r="C42" t="str">
            <v>LANGDON ELEMENTARY</v>
          </cell>
          <cell r="D42">
            <v>166360.20000000001</v>
          </cell>
        </row>
        <row r="43">
          <cell r="B43">
            <v>5580</v>
          </cell>
          <cell r="C43" t="str">
            <v>LASALLE ELEMENTARY</v>
          </cell>
          <cell r="D43">
            <v>129637.92</v>
          </cell>
        </row>
        <row r="44">
          <cell r="B44">
            <v>5590</v>
          </cell>
          <cell r="C44" t="str">
            <v>LECKIE ELEMENTARY</v>
          </cell>
          <cell r="D44">
            <v>141753.87</v>
          </cell>
        </row>
        <row r="45">
          <cell r="B45">
            <v>5600</v>
          </cell>
          <cell r="C45" t="str">
            <v>LUDLOW-TAYLOR ELEMENTARY</v>
          </cell>
          <cell r="D45">
            <v>115435.78</v>
          </cell>
        </row>
        <row r="46">
          <cell r="B46">
            <v>5610</v>
          </cell>
          <cell r="C46" t="str">
            <v>MALCOLM X ELEMENTARY</v>
          </cell>
          <cell r="D46">
            <v>115772.78</v>
          </cell>
        </row>
        <row r="47">
          <cell r="B47">
            <v>5630</v>
          </cell>
          <cell r="C47" t="str">
            <v>THURGOOD MARSHALL ELEMENTARY</v>
          </cell>
          <cell r="D47">
            <v>63655.51</v>
          </cell>
        </row>
        <row r="48">
          <cell r="B48">
            <v>5640</v>
          </cell>
          <cell r="C48" t="str">
            <v>MAURY ELEMENTARY</v>
          </cell>
          <cell r="D48">
            <v>62050.75</v>
          </cell>
        </row>
        <row r="49">
          <cell r="B49">
            <v>5690</v>
          </cell>
          <cell r="C49" t="str">
            <v>MINER ELEMENTARY</v>
          </cell>
          <cell r="D49">
            <v>207565.09</v>
          </cell>
        </row>
        <row r="50">
          <cell r="B50">
            <v>5710</v>
          </cell>
          <cell r="C50" t="str">
            <v>MOTEN ELEMENTARY</v>
          </cell>
          <cell r="D50">
            <v>161786.62</v>
          </cell>
        </row>
        <row r="51">
          <cell r="B51">
            <v>5730</v>
          </cell>
          <cell r="C51" t="str">
            <v>NALLE ELEMENTARY</v>
          </cell>
          <cell r="D51">
            <v>160978.89000000001</v>
          </cell>
        </row>
        <row r="52">
          <cell r="B52">
            <v>5740</v>
          </cell>
          <cell r="C52" t="str">
            <v>NOYES ELEMENTARY</v>
          </cell>
          <cell r="D52">
            <v>174662.16</v>
          </cell>
        </row>
        <row r="53">
          <cell r="B53">
            <v>5750</v>
          </cell>
          <cell r="C53" t="str">
            <v>ORR ELEMENTARY</v>
          </cell>
          <cell r="D53">
            <v>145348.51999999999</v>
          </cell>
        </row>
        <row r="54">
          <cell r="B54">
            <v>5780</v>
          </cell>
          <cell r="C54" t="str">
            <v>PATTERSON ELEMENTARY</v>
          </cell>
          <cell r="D54">
            <v>154431.47</v>
          </cell>
        </row>
        <row r="55">
          <cell r="B55">
            <v>5790</v>
          </cell>
          <cell r="C55" t="str">
            <v>PAYNE ELEMENTARY</v>
          </cell>
          <cell r="D55">
            <v>104844.37</v>
          </cell>
        </row>
        <row r="56">
          <cell r="B56">
            <v>5820</v>
          </cell>
          <cell r="C56" t="str">
            <v>PLUMMER ELEMENTARY</v>
          </cell>
          <cell r="D56">
            <v>107417.33</v>
          </cell>
        </row>
        <row r="57">
          <cell r="B57">
            <v>5830</v>
          </cell>
          <cell r="C57" t="str">
            <v>POWELL ELEMENTARY</v>
          </cell>
          <cell r="D57">
            <v>142796.96</v>
          </cell>
        </row>
        <row r="58">
          <cell r="B58">
            <v>5840</v>
          </cell>
          <cell r="C58" t="str">
            <v>RANDLE HIGHLANDS ELEMENTARY</v>
          </cell>
          <cell r="D58">
            <v>171174.47</v>
          </cell>
        </row>
        <row r="59">
          <cell r="B59">
            <v>5850</v>
          </cell>
          <cell r="C59" t="str">
            <v>RAYMOND ELEMENTARY</v>
          </cell>
          <cell r="D59">
            <v>212283.09000000003</v>
          </cell>
        </row>
        <row r="60">
          <cell r="B60">
            <v>5860</v>
          </cell>
          <cell r="C60" t="str">
            <v>MARIE REED ELEMENTARY</v>
          </cell>
          <cell r="D60">
            <v>162300.15000000002</v>
          </cell>
        </row>
        <row r="61">
          <cell r="B61">
            <v>5900</v>
          </cell>
          <cell r="C61" t="str">
            <v>SAVOY ELEMENTARY</v>
          </cell>
          <cell r="D61">
            <v>161203.56</v>
          </cell>
        </row>
        <row r="62">
          <cell r="B62">
            <v>5910</v>
          </cell>
          <cell r="C62" t="str">
            <v>SEATON ELEMENTARY</v>
          </cell>
          <cell r="D62">
            <v>122036.7</v>
          </cell>
        </row>
        <row r="63">
          <cell r="B63">
            <v>5950</v>
          </cell>
          <cell r="C63" t="str">
            <v>SIMON ELEMENTARY</v>
          </cell>
          <cell r="D63">
            <v>116666.09999999999</v>
          </cell>
        </row>
        <row r="64">
          <cell r="B64">
            <v>5970</v>
          </cell>
          <cell r="C64" t="str">
            <v>SMOTHERS ELEMENTARY</v>
          </cell>
          <cell r="D64">
            <v>113381.7</v>
          </cell>
        </row>
        <row r="65">
          <cell r="B65">
            <v>5980</v>
          </cell>
          <cell r="C65" t="str">
            <v>STANTON ELEMENTARY</v>
          </cell>
          <cell r="D65">
            <v>170874.91999999998</v>
          </cell>
        </row>
        <row r="66">
          <cell r="B66">
            <v>6010</v>
          </cell>
          <cell r="C66" t="str">
            <v>TAKOMA ELEMENTARY</v>
          </cell>
          <cell r="D66">
            <v>133730.06</v>
          </cell>
        </row>
        <row r="67">
          <cell r="B67">
            <v>6020</v>
          </cell>
          <cell r="C67" t="str">
            <v>M.C. TERRELL ELEMENTARY</v>
          </cell>
          <cell r="D67">
            <v>104839.01000000001</v>
          </cell>
        </row>
        <row r="68">
          <cell r="B68">
            <v>6030</v>
          </cell>
          <cell r="C68" t="str">
            <v>THOMAS ELEMENTARY</v>
          </cell>
          <cell r="D68">
            <v>108647.65000000001</v>
          </cell>
        </row>
        <row r="69">
          <cell r="B69">
            <v>6040</v>
          </cell>
          <cell r="C69" t="str">
            <v>THOMSON ELEMENTARY</v>
          </cell>
          <cell r="D69">
            <v>133730.06</v>
          </cell>
        </row>
        <row r="70">
          <cell r="B70">
            <v>6050</v>
          </cell>
          <cell r="C70" t="str">
            <v>TUBMAN ELEMENTARY</v>
          </cell>
          <cell r="D70">
            <v>245416.06</v>
          </cell>
        </row>
        <row r="71">
          <cell r="B71">
            <v>6060</v>
          </cell>
          <cell r="C71" t="str">
            <v>TURNER ELEMENTARY</v>
          </cell>
          <cell r="D71">
            <v>139673.02000000002</v>
          </cell>
        </row>
        <row r="72">
          <cell r="B72">
            <v>6070</v>
          </cell>
          <cell r="C72" t="str">
            <v>TRUESDELL ELEMENTARY</v>
          </cell>
          <cell r="D72">
            <v>201130</v>
          </cell>
        </row>
        <row r="73">
          <cell r="B73">
            <v>6090</v>
          </cell>
          <cell r="C73" t="str">
            <v>TYLER ELEMENTARY</v>
          </cell>
          <cell r="D73">
            <v>136939.57999999999</v>
          </cell>
        </row>
        <row r="74">
          <cell r="B74">
            <v>6110</v>
          </cell>
          <cell r="C74" t="str">
            <v>WALKER-JONES ELEMENTARY</v>
          </cell>
          <cell r="D74">
            <v>176855.31999999998</v>
          </cell>
        </row>
        <row r="75">
          <cell r="B75">
            <v>6120</v>
          </cell>
          <cell r="C75" t="str">
            <v>WATKINS ELEMENTARY</v>
          </cell>
          <cell r="D75">
            <v>105379.29</v>
          </cell>
        </row>
        <row r="76">
          <cell r="B76">
            <v>6130</v>
          </cell>
          <cell r="C76" t="str">
            <v>WEBB ELEMENTARY</v>
          </cell>
          <cell r="D76">
            <v>219568.7</v>
          </cell>
        </row>
        <row r="77">
          <cell r="B77">
            <v>6150</v>
          </cell>
          <cell r="C77" t="str">
            <v>WEST ELEMENTARY</v>
          </cell>
          <cell r="D77">
            <v>94145.959999999992</v>
          </cell>
        </row>
        <row r="78">
          <cell r="B78">
            <v>6170</v>
          </cell>
          <cell r="C78" t="str">
            <v>WHITTIER ELEMENTARY</v>
          </cell>
          <cell r="D78">
            <v>159866.26</v>
          </cell>
        </row>
        <row r="79">
          <cell r="B79">
            <v>6190</v>
          </cell>
          <cell r="C79" t="str">
            <v>J.O. WILSON ELEMENTARY</v>
          </cell>
          <cell r="D79">
            <v>178636.61</v>
          </cell>
        </row>
        <row r="80">
          <cell r="B80">
            <v>6200</v>
          </cell>
          <cell r="C80" t="str">
            <v>WINSTON ELEMENTARY</v>
          </cell>
          <cell r="D80">
            <v>139908.38</v>
          </cell>
        </row>
        <row r="81">
          <cell r="B81">
            <v>6320</v>
          </cell>
          <cell r="C81" t="str">
            <v>BROWNE JUNIOR HIGH</v>
          </cell>
          <cell r="D81">
            <v>187462.8</v>
          </cell>
        </row>
        <row r="82">
          <cell r="B82">
            <v>6340</v>
          </cell>
          <cell r="C82" t="str">
            <v>ELIOT JUNIOR HIGH</v>
          </cell>
          <cell r="D82">
            <v>170340</v>
          </cell>
        </row>
        <row r="83">
          <cell r="B83">
            <v>6360</v>
          </cell>
          <cell r="C83" t="str">
            <v>FRANCIS JUNIOR HIGH</v>
          </cell>
          <cell r="D83">
            <v>82912.639999999999</v>
          </cell>
        </row>
        <row r="84">
          <cell r="B84">
            <v>6380</v>
          </cell>
          <cell r="C84" t="str">
            <v>HARDY MIDDLE</v>
          </cell>
          <cell r="D84">
            <v>106984.05</v>
          </cell>
        </row>
        <row r="85">
          <cell r="B85">
            <v>6390</v>
          </cell>
          <cell r="C85" t="str">
            <v>HART MIDDLE</v>
          </cell>
          <cell r="D85">
            <v>251455.30000000002</v>
          </cell>
        </row>
        <row r="86">
          <cell r="B86">
            <v>6410</v>
          </cell>
          <cell r="C86" t="str">
            <v>JEFFERSON JUNIOR HIGH</v>
          </cell>
          <cell r="D86">
            <v>72198.179999999993</v>
          </cell>
        </row>
        <row r="87">
          <cell r="B87">
            <v>6420</v>
          </cell>
          <cell r="C87" t="str">
            <v>JOHNSON JUNIOR HIGH</v>
          </cell>
          <cell r="D87">
            <v>114612.01</v>
          </cell>
        </row>
        <row r="88">
          <cell r="B88">
            <v>6430</v>
          </cell>
          <cell r="C88" t="str">
            <v>KRAMER MIDDLE</v>
          </cell>
          <cell r="D88">
            <v>132772.55000000002</v>
          </cell>
        </row>
        <row r="89">
          <cell r="B89">
            <v>6450</v>
          </cell>
          <cell r="C89" t="str">
            <v>MACFARLAND MIDDLE</v>
          </cell>
          <cell r="D89">
            <v>89764.96</v>
          </cell>
        </row>
        <row r="90">
          <cell r="B90">
            <v>6470</v>
          </cell>
          <cell r="C90" t="str">
            <v>RON BROWN MIDDLE</v>
          </cell>
          <cell r="D90">
            <v>103822.67000000001</v>
          </cell>
        </row>
        <row r="91">
          <cell r="B91">
            <v>6480</v>
          </cell>
          <cell r="C91" t="str">
            <v>SHAW JUNIOR HIGH</v>
          </cell>
          <cell r="D91">
            <v>69796.39</v>
          </cell>
        </row>
        <row r="92">
          <cell r="B92">
            <v>6490</v>
          </cell>
          <cell r="C92" t="str">
            <v>SOUSA MIDDLE</v>
          </cell>
          <cell r="D92">
            <v>155918.54</v>
          </cell>
        </row>
        <row r="93">
          <cell r="B93">
            <v>6500</v>
          </cell>
          <cell r="C93" t="str">
            <v>STUART-HOBSON MIDDLE</v>
          </cell>
          <cell r="D93">
            <v>117147.53</v>
          </cell>
        </row>
        <row r="94">
          <cell r="B94">
            <v>6580</v>
          </cell>
          <cell r="C94" t="str">
            <v>KELLY MILLER JUNIOR HIGH</v>
          </cell>
          <cell r="D94">
            <v>147407.97</v>
          </cell>
        </row>
        <row r="95">
          <cell r="B95">
            <v>7110</v>
          </cell>
          <cell r="C95" t="str">
            <v>ANACOSTIA SENIOR HIGH</v>
          </cell>
          <cell r="D95">
            <v>371234.63999999996</v>
          </cell>
        </row>
        <row r="96">
          <cell r="B96">
            <v>7120</v>
          </cell>
          <cell r="C96" t="str">
            <v>BALLOU SENIOR HIGH</v>
          </cell>
          <cell r="D96">
            <v>444235.20999999996</v>
          </cell>
        </row>
        <row r="97">
          <cell r="B97">
            <v>7140</v>
          </cell>
          <cell r="C97" t="str">
            <v>BANNEKER SENIOR HIGH</v>
          </cell>
          <cell r="D97">
            <v>134799.9</v>
          </cell>
        </row>
        <row r="98">
          <cell r="B98">
            <v>7150</v>
          </cell>
          <cell r="C98" t="str">
            <v>COLUMBIA HEIGHTS ES</v>
          </cell>
          <cell r="D98">
            <v>554385.98</v>
          </cell>
        </row>
        <row r="99">
          <cell r="B99">
            <v>7160</v>
          </cell>
          <cell r="C99" t="str">
            <v>CARDOZO SENIOR HIGH</v>
          </cell>
          <cell r="D99">
            <v>197920.48</v>
          </cell>
        </row>
        <row r="100">
          <cell r="B100">
            <v>7170</v>
          </cell>
          <cell r="C100" t="str">
            <v>COOLIDGE SENIOR HIGH</v>
          </cell>
          <cell r="D100">
            <v>209153.81</v>
          </cell>
        </row>
        <row r="101">
          <cell r="B101">
            <v>7180</v>
          </cell>
          <cell r="C101" t="str">
            <v>DUNBAR SENIOR HIGH</v>
          </cell>
          <cell r="D101">
            <v>246063.30000000002</v>
          </cell>
        </row>
        <row r="102">
          <cell r="B102">
            <v>7200</v>
          </cell>
          <cell r="C102" t="str">
            <v>EASTERN SENIOR HIGH</v>
          </cell>
          <cell r="D102">
            <v>112868.17</v>
          </cell>
        </row>
        <row r="103">
          <cell r="B103">
            <v>7210</v>
          </cell>
          <cell r="C103" t="str">
            <v>ELLINGTON SCHOOL OF THE ARTS</v>
          </cell>
          <cell r="D103">
            <v>103774.51999999999</v>
          </cell>
        </row>
        <row r="104">
          <cell r="B104">
            <v>7220</v>
          </cell>
          <cell r="C104" t="str">
            <v>LUKE C. MOORE ACADEMY</v>
          </cell>
          <cell r="D104">
            <v>135671.82</v>
          </cell>
        </row>
        <row r="105">
          <cell r="B105">
            <v>7230</v>
          </cell>
          <cell r="C105" t="str">
            <v>PHELPS SENIOR HIGH</v>
          </cell>
          <cell r="D105">
            <v>132125.29999999999</v>
          </cell>
        </row>
        <row r="106">
          <cell r="B106">
            <v>7240</v>
          </cell>
          <cell r="C106" t="str">
            <v>ROOSEVELT SENIOR HIGH</v>
          </cell>
          <cell r="D106">
            <v>195245.88</v>
          </cell>
        </row>
        <row r="107">
          <cell r="B107">
            <v>7260</v>
          </cell>
          <cell r="C107" t="str">
            <v>SPINGARN SENIOR HIGH</v>
          </cell>
          <cell r="D107">
            <v>208822.15999999997</v>
          </cell>
        </row>
        <row r="108">
          <cell r="B108">
            <v>7280</v>
          </cell>
          <cell r="C108" t="str">
            <v>H.D. WOODSON SENIOR HIGH</v>
          </cell>
          <cell r="D108">
            <v>341814.02999999997</v>
          </cell>
        </row>
        <row r="109">
          <cell r="B109">
            <v>7300</v>
          </cell>
          <cell r="C109" t="str">
            <v>WOODROW WILSON SENIOR HIGH</v>
          </cell>
          <cell r="D109">
            <v>315602.94</v>
          </cell>
        </row>
        <row r="110">
          <cell r="B110">
            <v>7360</v>
          </cell>
          <cell r="C110" t="str">
            <v>MAMIE D LEE</v>
          </cell>
          <cell r="D110">
            <v>55300.06</v>
          </cell>
        </row>
        <row r="111">
          <cell r="B111">
            <v>7370</v>
          </cell>
          <cell r="C111" t="str">
            <v>SHARPE HEALTH</v>
          </cell>
          <cell r="D111">
            <v>41723.770000000004</v>
          </cell>
        </row>
        <row r="112">
          <cell r="B112">
            <v>7380</v>
          </cell>
          <cell r="C112" t="str">
            <v>PROSPECT</v>
          </cell>
          <cell r="D112">
            <v>48522.61</v>
          </cell>
        </row>
        <row r="113">
          <cell r="B113">
            <v>7490</v>
          </cell>
          <cell r="C113" t="str">
            <v>WASHINGTON METROPOLITAN HS</v>
          </cell>
          <cell r="D113">
            <v>115542.76999999999</v>
          </cell>
        </row>
        <row r="114">
          <cell r="B114">
            <v>7870</v>
          </cell>
          <cell r="C114" t="str">
            <v>MCKINLEY HIGH SCHOOL</v>
          </cell>
          <cell r="D114">
            <v>181337.96</v>
          </cell>
        </row>
        <row r="243">
          <cell r="B243">
            <v>5120</v>
          </cell>
          <cell r="C243" t="str">
            <v>AITON ELEMENTARY</v>
          </cell>
          <cell r="D243">
            <v>355951.62</v>
          </cell>
        </row>
        <row r="244">
          <cell r="B244">
            <v>5130</v>
          </cell>
          <cell r="C244" t="str">
            <v>AMIDON ELEMENTARY</v>
          </cell>
          <cell r="D244">
            <v>172680.36</v>
          </cell>
        </row>
        <row r="245">
          <cell r="B245">
            <v>5140</v>
          </cell>
          <cell r="C245" t="str">
            <v>BANCROFT ELEMENTARY</v>
          </cell>
          <cell r="D245">
            <v>187325.63</v>
          </cell>
        </row>
        <row r="246">
          <cell r="B246">
            <v>5150</v>
          </cell>
          <cell r="C246" t="str">
            <v>BARNARD ELEMENTARY</v>
          </cell>
          <cell r="D246">
            <v>559194.9</v>
          </cell>
        </row>
        <row r="247">
          <cell r="B247">
            <v>5160</v>
          </cell>
          <cell r="C247" t="str">
            <v>BEERS ELEMENTARY</v>
          </cell>
          <cell r="D247">
            <v>512111.64999999997</v>
          </cell>
        </row>
        <row r="248">
          <cell r="B248">
            <v>5200</v>
          </cell>
          <cell r="C248" t="str">
            <v>BRENT ELEMENTARY</v>
          </cell>
          <cell r="D248">
            <v>513510.15</v>
          </cell>
        </row>
        <row r="249">
          <cell r="B249">
            <v>5210</v>
          </cell>
          <cell r="C249" t="str">
            <v>BRIGHTWOOD ELEMENTARY</v>
          </cell>
          <cell r="D249">
            <v>280923.49</v>
          </cell>
        </row>
        <row r="250">
          <cell r="B250">
            <v>5220</v>
          </cell>
          <cell r="C250" t="str">
            <v>BROOKLAND ELEMENTARY</v>
          </cell>
          <cell r="D250">
            <v>125998.61</v>
          </cell>
        </row>
        <row r="251">
          <cell r="B251">
            <v>5230</v>
          </cell>
          <cell r="C251" t="str">
            <v>BRUCE-MONROE ELEMENTARY</v>
          </cell>
          <cell r="D251">
            <v>902119.89</v>
          </cell>
        </row>
        <row r="252">
          <cell r="B252">
            <v>5250</v>
          </cell>
          <cell r="C252" t="str">
            <v>BURROUGHS ELEMENTARY</v>
          </cell>
          <cell r="D252">
            <v>114940.72</v>
          </cell>
        </row>
        <row r="253">
          <cell r="B253">
            <v>5260</v>
          </cell>
          <cell r="C253" t="str">
            <v>BURRVILLE ELEMENTARY</v>
          </cell>
          <cell r="D253">
            <v>299099.48</v>
          </cell>
        </row>
        <row r="254">
          <cell r="B254">
            <v>5280</v>
          </cell>
          <cell r="C254" t="str">
            <v>CLEVELAND ELEMENTARY</v>
          </cell>
          <cell r="D254">
            <v>224306.36</v>
          </cell>
        </row>
        <row r="255">
          <cell r="B255">
            <v>5300</v>
          </cell>
          <cell r="C255" t="str">
            <v>H.D. COOKE ELEMENTARY</v>
          </cell>
          <cell r="D255">
            <v>593754.25</v>
          </cell>
        </row>
        <row r="256">
          <cell r="B256">
            <v>5310</v>
          </cell>
          <cell r="C256" t="str">
            <v>DAVIS ELEMENTARY</v>
          </cell>
          <cell r="D256">
            <v>369387.97</v>
          </cell>
        </row>
        <row r="257">
          <cell r="B257">
            <v>5330</v>
          </cell>
          <cell r="C257" t="str">
            <v>DREW ELEMENTARY</v>
          </cell>
          <cell r="D257">
            <v>315199.74</v>
          </cell>
        </row>
        <row r="258">
          <cell r="B258">
            <v>5340</v>
          </cell>
          <cell r="C258" t="str">
            <v>EATON ELEMENTARY</v>
          </cell>
          <cell r="D258">
            <v>373678.39</v>
          </cell>
        </row>
        <row r="259">
          <cell r="B259">
            <v>5350</v>
          </cell>
          <cell r="C259" t="str">
            <v>LANGLEY EDUCATION CAMPUS</v>
          </cell>
          <cell r="D259">
            <v>127300.61</v>
          </cell>
        </row>
        <row r="260">
          <cell r="B260">
            <v>5360</v>
          </cell>
          <cell r="C260" t="str">
            <v>FEREBEE-HOPE ELEMENTARY</v>
          </cell>
          <cell r="D260">
            <v>302789.08</v>
          </cell>
        </row>
        <row r="261">
          <cell r="B261">
            <v>5390</v>
          </cell>
          <cell r="C261" t="str">
            <v>GARFIELD ELEMENTARY</v>
          </cell>
          <cell r="D261">
            <v>260630.78</v>
          </cell>
        </row>
        <row r="262">
          <cell r="B262">
            <v>5400</v>
          </cell>
          <cell r="C262" t="str">
            <v>GARRISON ELEMENTARY</v>
          </cell>
          <cell r="D262">
            <v>198506.38</v>
          </cell>
        </row>
        <row r="263">
          <cell r="B263">
            <v>5430</v>
          </cell>
          <cell r="C263" t="str">
            <v>C.W. HARRIS ELEMENTARY</v>
          </cell>
          <cell r="D263">
            <v>348186.88</v>
          </cell>
        </row>
        <row r="264">
          <cell r="B264">
            <v>5450</v>
          </cell>
          <cell r="C264" t="str">
            <v>HEARST ELEMENTARY</v>
          </cell>
          <cell r="D264">
            <v>363703.58999999997</v>
          </cell>
        </row>
        <row r="265">
          <cell r="B265">
            <v>5460</v>
          </cell>
          <cell r="C265" t="str">
            <v>HENDLEY ELEMENTARY</v>
          </cell>
          <cell r="D265">
            <v>238883.58000000002</v>
          </cell>
        </row>
        <row r="266">
          <cell r="B266">
            <v>5480</v>
          </cell>
          <cell r="C266" t="str">
            <v>HOUSTON ELEMENTARY</v>
          </cell>
          <cell r="D266">
            <v>312376.40999999997</v>
          </cell>
        </row>
        <row r="267">
          <cell r="B267">
            <v>5490</v>
          </cell>
          <cell r="C267" t="str">
            <v>HYDE ELEMENTARY</v>
          </cell>
          <cell r="D267">
            <v>369662.77999999997</v>
          </cell>
        </row>
        <row r="268">
          <cell r="B268">
            <v>5500</v>
          </cell>
          <cell r="C268" t="str">
            <v>JANNEY ELEMENTARY</v>
          </cell>
          <cell r="D268">
            <v>239925.09</v>
          </cell>
        </row>
        <row r="269">
          <cell r="B269">
            <v>5510</v>
          </cell>
          <cell r="C269" t="str">
            <v>KENILWORTH ELEMENTARY</v>
          </cell>
          <cell r="D269">
            <v>333291.71999999997</v>
          </cell>
        </row>
        <row r="270">
          <cell r="B270">
            <v>5520</v>
          </cell>
          <cell r="C270" t="str">
            <v>KETCHAM ELEMENTARY</v>
          </cell>
          <cell r="D270">
            <v>294220.14</v>
          </cell>
        </row>
        <row r="271">
          <cell r="B271">
            <v>5530</v>
          </cell>
          <cell r="C271" t="str">
            <v>KEY ELEMENTARY</v>
          </cell>
          <cell r="D271">
            <v>282308.70999999996</v>
          </cell>
        </row>
        <row r="272">
          <cell r="B272">
            <v>5540</v>
          </cell>
          <cell r="C272" t="str">
            <v>KIMBALL ELEMENTARY</v>
          </cell>
          <cell r="D272">
            <v>373082.23</v>
          </cell>
        </row>
        <row r="273">
          <cell r="B273">
            <v>5550</v>
          </cell>
          <cell r="C273" t="str">
            <v>M. L. KING ELEMENTARY</v>
          </cell>
          <cell r="D273">
            <v>355189.16</v>
          </cell>
        </row>
        <row r="274">
          <cell r="B274">
            <v>5560</v>
          </cell>
          <cell r="C274" t="str">
            <v>LAFAYETTE ELEMENTARY</v>
          </cell>
          <cell r="D274">
            <v>377272.14999999997</v>
          </cell>
        </row>
        <row r="275">
          <cell r="B275">
            <v>5570</v>
          </cell>
          <cell r="C275" t="str">
            <v>LANGDON ELEMENTARY</v>
          </cell>
          <cell r="D275">
            <v>429077.80000000005</v>
          </cell>
        </row>
        <row r="276">
          <cell r="B276">
            <v>5580</v>
          </cell>
          <cell r="C276" t="str">
            <v>LASALLE ELEMENTARY</v>
          </cell>
          <cell r="D276">
            <v>272325.17</v>
          </cell>
        </row>
        <row r="277">
          <cell r="B277">
            <v>5590</v>
          </cell>
          <cell r="C277" t="str">
            <v>LECKIE ELEMENTARY</v>
          </cell>
          <cell r="D277">
            <v>209126.52</v>
          </cell>
        </row>
        <row r="278">
          <cell r="B278">
            <v>5610</v>
          </cell>
          <cell r="C278" t="str">
            <v>MALCOLM X ELEMENTARY</v>
          </cell>
          <cell r="D278">
            <v>276568.08</v>
          </cell>
        </row>
        <row r="279">
          <cell r="B279">
            <v>5620</v>
          </cell>
          <cell r="C279" t="str">
            <v>MANN ELEMENTARY</v>
          </cell>
          <cell r="D279">
            <v>352164.68</v>
          </cell>
        </row>
        <row r="280">
          <cell r="B280">
            <v>5640</v>
          </cell>
          <cell r="C280" t="str">
            <v>MAURY ELEMENTARY</v>
          </cell>
          <cell r="D280">
            <v>232726.92</v>
          </cell>
        </row>
        <row r="281">
          <cell r="B281">
            <v>5690</v>
          </cell>
          <cell r="C281" t="str">
            <v>MINER ELEMENTARY</v>
          </cell>
          <cell r="D281">
            <v>287706.78000000003</v>
          </cell>
        </row>
        <row r="282">
          <cell r="B282">
            <v>5710</v>
          </cell>
          <cell r="C282" t="str">
            <v>MOTEN ELEMENTARY</v>
          </cell>
          <cell r="D282">
            <v>196957.65</v>
          </cell>
        </row>
        <row r="283">
          <cell r="B283">
            <v>5720</v>
          </cell>
          <cell r="C283" t="str">
            <v>MURCH ELEMENTARY</v>
          </cell>
          <cell r="D283">
            <v>65759.39</v>
          </cell>
        </row>
        <row r="284">
          <cell r="B284">
            <v>5730</v>
          </cell>
          <cell r="C284" t="str">
            <v>NALLE ELEMENTARY</v>
          </cell>
          <cell r="D284">
            <v>290680.51</v>
          </cell>
        </row>
        <row r="285">
          <cell r="B285">
            <v>5760</v>
          </cell>
          <cell r="C285" t="str">
            <v>OYSTER ELEMENTARY</v>
          </cell>
          <cell r="D285">
            <v>607550.4</v>
          </cell>
        </row>
        <row r="286">
          <cell r="B286">
            <v>5780</v>
          </cell>
          <cell r="C286" t="str">
            <v>PATTERSON ELEMENTARY</v>
          </cell>
          <cell r="D286">
            <v>392400.26999999996</v>
          </cell>
        </row>
        <row r="287">
          <cell r="B287">
            <v>5790</v>
          </cell>
          <cell r="C287" t="str">
            <v>PAYNE ELEMENTARY</v>
          </cell>
          <cell r="D287">
            <v>278994.83</v>
          </cell>
        </row>
        <row r="288">
          <cell r="B288">
            <v>5820</v>
          </cell>
          <cell r="C288" t="str">
            <v>PLUMMER ELEMENTARY</v>
          </cell>
          <cell r="D288">
            <v>176836.15</v>
          </cell>
        </row>
        <row r="289">
          <cell r="B289">
            <v>5830</v>
          </cell>
          <cell r="C289" t="str">
            <v>POWELL ELEMENTARY</v>
          </cell>
          <cell r="D289">
            <v>112099.45999999999</v>
          </cell>
        </row>
        <row r="290">
          <cell r="B290">
            <v>5850</v>
          </cell>
          <cell r="C290" t="str">
            <v>RAYMOND ELEMENTARY</v>
          </cell>
          <cell r="D290">
            <v>331691.28000000003</v>
          </cell>
        </row>
        <row r="291">
          <cell r="B291">
            <v>5860</v>
          </cell>
          <cell r="C291" t="str">
            <v>MARIE REED ELEMENTARY</v>
          </cell>
          <cell r="D291">
            <v>613432.19999999995</v>
          </cell>
        </row>
        <row r="292">
          <cell r="B292">
            <v>5880</v>
          </cell>
          <cell r="C292" t="str">
            <v>ROSS ELEMENTARY</v>
          </cell>
          <cell r="D292">
            <v>48619.6</v>
          </cell>
        </row>
        <row r="293">
          <cell r="B293">
            <v>5970</v>
          </cell>
          <cell r="C293" t="str">
            <v>SMOTHERS ELEMENTARY</v>
          </cell>
          <cell r="D293">
            <v>110070.99</v>
          </cell>
        </row>
        <row r="294">
          <cell r="B294">
            <v>6010</v>
          </cell>
          <cell r="C294" t="str">
            <v>TAKOMA ELEMENTARY</v>
          </cell>
          <cell r="D294">
            <v>270061.32999999996</v>
          </cell>
        </row>
        <row r="295">
          <cell r="B295">
            <v>6020</v>
          </cell>
          <cell r="C295" t="str">
            <v>M.C. TERRELL ELEMENTARY</v>
          </cell>
          <cell r="D295">
            <v>28841.8</v>
          </cell>
        </row>
        <row r="296">
          <cell r="B296">
            <v>6040</v>
          </cell>
          <cell r="C296" t="str">
            <v>THOMSON ELEMENTARY</v>
          </cell>
          <cell r="D296">
            <v>559364.93999999994</v>
          </cell>
        </row>
        <row r="297">
          <cell r="B297">
            <v>6050</v>
          </cell>
          <cell r="C297" t="str">
            <v>TUBMAN ELEMENTARY</v>
          </cell>
          <cell r="D297">
            <v>59000.92</v>
          </cell>
        </row>
        <row r="298">
          <cell r="B298">
            <v>6060</v>
          </cell>
          <cell r="C298" t="str">
            <v>TURNER ELEMENTARY</v>
          </cell>
          <cell r="D298">
            <v>184281.18</v>
          </cell>
        </row>
        <row r="299">
          <cell r="B299">
            <v>6070</v>
          </cell>
          <cell r="C299" t="str">
            <v>TRUESDELL ELEMENTARY</v>
          </cell>
          <cell r="D299">
            <v>57321.46</v>
          </cell>
        </row>
        <row r="300">
          <cell r="B300">
            <v>6090</v>
          </cell>
          <cell r="C300" t="str">
            <v>TYLER ELEMENTARY</v>
          </cell>
          <cell r="D300">
            <v>164074.83000000002</v>
          </cell>
        </row>
        <row r="301">
          <cell r="B301">
            <v>6110</v>
          </cell>
          <cell r="C301" t="str">
            <v>WALKER-JONES ELEMENTARY</v>
          </cell>
          <cell r="D301">
            <v>118491.99</v>
          </cell>
        </row>
        <row r="302">
          <cell r="B302">
            <v>6170</v>
          </cell>
          <cell r="C302" t="str">
            <v>WHITTIER ELEMENTARY</v>
          </cell>
          <cell r="D302">
            <v>180254.76</v>
          </cell>
        </row>
        <row r="303">
          <cell r="B303">
            <v>6320</v>
          </cell>
          <cell r="C303" t="str">
            <v>BROWNE JUNIOR HIGH</v>
          </cell>
          <cell r="D303">
            <v>151325.47999999998</v>
          </cell>
        </row>
        <row r="304">
          <cell r="B304">
            <v>6330</v>
          </cell>
          <cell r="C304" t="str">
            <v>DEAL JUNIOR HIGH</v>
          </cell>
          <cell r="D304">
            <v>264877.71999999997</v>
          </cell>
        </row>
        <row r="305">
          <cell r="B305">
            <v>6340</v>
          </cell>
          <cell r="C305" t="str">
            <v>ELIOT JUNIOR HIGH</v>
          </cell>
          <cell r="D305">
            <v>114940.72</v>
          </cell>
        </row>
        <row r="306">
          <cell r="B306">
            <v>6360</v>
          </cell>
          <cell r="C306" t="str">
            <v>FRANCIS JUNIOR HIGH</v>
          </cell>
          <cell r="D306">
            <v>287203.62</v>
          </cell>
        </row>
        <row r="307">
          <cell r="B307">
            <v>6380</v>
          </cell>
          <cell r="C307" t="str">
            <v>HARDY MIDDLE</v>
          </cell>
          <cell r="D307">
            <v>274170.7</v>
          </cell>
        </row>
        <row r="308">
          <cell r="B308">
            <v>6390</v>
          </cell>
          <cell r="C308" t="str">
            <v>HART MIDDLE</v>
          </cell>
          <cell r="D308">
            <v>145971.87</v>
          </cell>
        </row>
        <row r="309">
          <cell r="B309">
            <v>6450</v>
          </cell>
          <cell r="C309" t="str">
            <v>MACFARLAND MIDDLE</v>
          </cell>
          <cell r="D309">
            <v>82097.66</v>
          </cell>
        </row>
        <row r="310">
          <cell r="B310">
            <v>6470</v>
          </cell>
          <cell r="C310" t="str">
            <v>RON BROWN MIDDLE</v>
          </cell>
          <cell r="D310">
            <v>157982.66999999998</v>
          </cell>
        </row>
        <row r="311">
          <cell r="B311">
            <v>6480</v>
          </cell>
          <cell r="C311" t="str">
            <v>SHAW JUNIOR HIGH</v>
          </cell>
          <cell r="D311">
            <v>57683.6</v>
          </cell>
        </row>
        <row r="312">
          <cell r="B312">
            <v>6580</v>
          </cell>
          <cell r="C312" t="str">
            <v>KELLY MILLER JUNIOR HIGH</v>
          </cell>
          <cell r="D312">
            <v>63313.120000000003</v>
          </cell>
        </row>
        <row r="313">
          <cell r="B313">
            <v>7150</v>
          </cell>
          <cell r="C313" t="str">
            <v>COLUMBIA HEIGHTS ES</v>
          </cell>
          <cell r="D313">
            <v>59000.92</v>
          </cell>
        </row>
        <row r="314">
          <cell r="B314">
            <v>7200</v>
          </cell>
          <cell r="C314" t="str">
            <v>EASTERN SENIOR HIGH</v>
          </cell>
          <cell r="D314">
            <v>96330.65</v>
          </cell>
        </row>
        <row r="315">
          <cell r="B315">
            <v>7230</v>
          </cell>
          <cell r="C315" t="str">
            <v>PHELPS SENIOR HIGH</v>
          </cell>
          <cell r="D315">
            <v>157100.63</v>
          </cell>
        </row>
        <row r="316">
          <cell r="B316">
            <v>7300</v>
          </cell>
          <cell r="C316" t="str">
            <v>WOODROW WILSON SENIOR HIGH</v>
          </cell>
          <cell r="D316">
            <v>230591.46</v>
          </cell>
        </row>
        <row r="317">
          <cell r="B317">
            <v>7360</v>
          </cell>
          <cell r="C317" t="str">
            <v>MAMIE D LEE</v>
          </cell>
          <cell r="D317">
            <v>154922.80000000002</v>
          </cell>
        </row>
        <row r="318">
          <cell r="B318">
            <v>7370</v>
          </cell>
          <cell r="C318" t="str">
            <v>SHARPE HEALTH</v>
          </cell>
          <cell r="D318">
            <v>118491.99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by fund"/>
      <sheetName val="Datat"/>
      <sheetName val="Sheet3"/>
      <sheetName val="Sheet1"/>
      <sheetName val="Sheet4"/>
    </sheetNames>
    <sheetDataSet>
      <sheetData sheetId="0"/>
      <sheetData sheetId="1"/>
      <sheetData sheetId="2">
        <row r="3">
          <cell r="A3" t="str">
            <v>Sum of Amount</v>
          </cell>
        </row>
        <row r="4">
          <cell r="A4" t="str">
            <v>Org Code</v>
          </cell>
          <cell r="B4" t="str">
            <v>Total</v>
          </cell>
        </row>
        <row r="5">
          <cell r="A5">
            <v>5120</v>
          </cell>
          <cell r="B5">
            <v>6725</v>
          </cell>
          <cell r="C5">
            <v>6725</v>
          </cell>
          <cell r="D5">
            <v>6725</v>
          </cell>
          <cell r="F5">
            <v>0</v>
          </cell>
        </row>
        <row r="6">
          <cell r="A6">
            <v>5130</v>
          </cell>
          <cell r="B6">
            <v>6450</v>
          </cell>
          <cell r="C6">
            <v>6450</v>
          </cell>
          <cell r="D6">
            <v>6450</v>
          </cell>
          <cell r="F6">
            <v>0</v>
          </cell>
        </row>
        <row r="7">
          <cell r="A7">
            <v>5140</v>
          </cell>
          <cell r="B7">
            <v>11625</v>
          </cell>
          <cell r="C7">
            <v>11625</v>
          </cell>
          <cell r="D7">
            <v>11625</v>
          </cell>
          <cell r="F7">
            <v>0</v>
          </cell>
        </row>
        <row r="8">
          <cell r="A8">
            <v>5150</v>
          </cell>
          <cell r="B8">
            <v>12100</v>
          </cell>
          <cell r="C8">
            <v>12100</v>
          </cell>
          <cell r="D8">
            <v>12100</v>
          </cell>
          <cell r="F8">
            <v>0</v>
          </cell>
        </row>
        <row r="9">
          <cell r="A9">
            <v>5160</v>
          </cell>
          <cell r="B9">
            <v>9675</v>
          </cell>
          <cell r="C9">
            <v>9675</v>
          </cell>
          <cell r="D9">
            <v>9675</v>
          </cell>
          <cell r="F9">
            <v>0</v>
          </cell>
        </row>
        <row r="10">
          <cell r="A10">
            <v>5200</v>
          </cell>
          <cell r="B10">
            <v>8700</v>
          </cell>
          <cell r="C10">
            <v>8700</v>
          </cell>
          <cell r="D10">
            <v>8700</v>
          </cell>
          <cell r="F10">
            <v>0</v>
          </cell>
        </row>
        <row r="11">
          <cell r="A11">
            <v>5210</v>
          </cell>
          <cell r="B11">
            <v>13850</v>
          </cell>
          <cell r="C11">
            <v>13850</v>
          </cell>
          <cell r="D11">
            <v>13850</v>
          </cell>
          <cell r="F11">
            <v>0</v>
          </cell>
        </row>
        <row r="12">
          <cell r="A12">
            <v>5220</v>
          </cell>
          <cell r="B12">
            <v>7600</v>
          </cell>
          <cell r="C12">
            <v>7600</v>
          </cell>
          <cell r="D12">
            <v>7600</v>
          </cell>
          <cell r="F12">
            <v>0</v>
          </cell>
        </row>
        <row r="13">
          <cell r="A13">
            <v>5230</v>
          </cell>
          <cell r="B13">
            <v>11500</v>
          </cell>
          <cell r="C13">
            <v>11500</v>
          </cell>
          <cell r="D13">
            <v>11500</v>
          </cell>
          <cell r="F13">
            <v>0</v>
          </cell>
        </row>
        <row r="14">
          <cell r="A14">
            <v>5250</v>
          </cell>
          <cell r="B14">
            <v>7400</v>
          </cell>
          <cell r="C14">
            <v>7400</v>
          </cell>
          <cell r="D14">
            <v>7400</v>
          </cell>
          <cell r="F14">
            <v>0</v>
          </cell>
        </row>
        <row r="15">
          <cell r="A15">
            <v>5260</v>
          </cell>
          <cell r="B15">
            <v>9200</v>
          </cell>
          <cell r="C15">
            <v>9200</v>
          </cell>
          <cell r="D15">
            <v>9200</v>
          </cell>
          <cell r="F15">
            <v>0</v>
          </cell>
        </row>
        <row r="16">
          <cell r="A16">
            <v>5280</v>
          </cell>
          <cell r="B16">
            <v>7550</v>
          </cell>
          <cell r="C16">
            <v>7550</v>
          </cell>
          <cell r="D16">
            <v>7550</v>
          </cell>
          <cell r="F16">
            <v>0</v>
          </cell>
        </row>
        <row r="17">
          <cell r="A17">
            <v>5300</v>
          </cell>
          <cell r="B17">
            <v>9950</v>
          </cell>
          <cell r="C17">
            <v>9950</v>
          </cell>
          <cell r="D17">
            <v>9950</v>
          </cell>
          <cell r="F17">
            <v>0</v>
          </cell>
        </row>
        <row r="18">
          <cell r="A18">
            <v>5310</v>
          </cell>
          <cell r="B18">
            <v>4600</v>
          </cell>
          <cell r="C18">
            <v>4600</v>
          </cell>
          <cell r="D18">
            <v>4600</v>
          </cell>
          <cell r="F18">
            <v>0</v>
          </cell>
        </row>
        <row r="19">
          <cell r="A19">
            <v>5330</v>
          </cell>
          <cell r="B19">
            <v>4525</v>
          </cell>
          <cell r="C19">
            <v>4525</v>
          </cell>
          <cell r="D19">
            <v>4525</v>
          </cell>
          <cell r="F19">
            <v>0</v>
          </cell>
        </row>
        <row r="20">
          <cell r="A20">
            <v>5340</v>
          </cell>
          <cell r="B20">
            <v>11425</v>
          </cell>
          <cell r="C20">
            <v>11425</v>
          </cell>
          <cell r="D20">
            <v>11425</v>
          </cell>
          <cell r="F20">
            <v>0</v>
          </cell>
        </row>
        <row r="21">
          <cell r="A21">
            <v>5350</v>
          </cell>
          <cell r="B21">
            <v>9500</v>
          </cell>
          <cell r="C21">
            <v>9500</v>
          </cell>
          <cell r="D21">
            <v>9500</v>
          </cell>
          <cell r="F21">
            <v>0</v>
          </cell>
        </row>
        <row r="22">
          <cell r="A22">
            <v>5360</v>
          </cell>
          <cell r="B22">
            <v>5975</v>
          </cell>
          <cell r="C22">
            <v>5975</v>
          </cell>
          <cell r="D22">
            <v>5975</v>
          </cell>
          <cell r="F22">
            <v>0</v>
          </cell>
        </row>
        <row r="23">
          <cell r="A23">
            <v>5390</v>
          </cell>
          <cell r="B23">
            <v>6000</v>
          </cell>
          <cell r="C23">
            <v>6000</v>
          </cell>
          <cell r="D23">
            <v>6000</v>
          </cell>
          <cell r="F23">
            <v>0</v>
          </cell>
        </row>
        <row r="24">
          <cell r="A24">
            <v>5400</v>
          </cell>
          <cell r="B24">
            <v>5925</v>
          </cell>
          <cell r="C24">
            <v>5925</v>
          </cell>
          <cell r="D24">
            <v>5925</v>
          </cell>
          <cell r="F24">
            <v>0</v>
          </cell>
        </row>
        <row r="25">
          <cell r="A25">
            <v>5430</v>
          </cell>
          <cell r="B25">
            <v>5750</v>
          </cell>
          <cell r="C25">
            <v>5750</v>
          </cell>
          <cell r="D25">
            <v>0</v>
          </cell>
          <cell r="F25">
            <v>5750</v>
          </cell>
        </row>
        <row r="26">
          <cell r="A26">
            <v>5450</v>
          </cell>
          <cell r="B26">
            <v>6525</v>
          </cell>
          <cell r="C26">
            <v>6525</v>
          </cell>
          <cell r="D26">
            <v>6525</v>
          </cell>
          <cell r="F26">
            <v>0</v>
          </cell>
        </row>
        <row r="27">
          <cell r="A27">
            <v>5460</v>
          </cell>
          <cell r="B27">
            <v>8550</v>
          </cell>
          <cell r="C27">
            <v>8550</v>
          </cell>
          <cell r="D27">
            <v>8550</v>
          </cell>
          <cell r="F27">
            <v>0</v>
          </cell>
        </row>
        <row r="28">
          <cell r="A28">
            <v>5480</v>
          </cell>
          <cell r="B28">
            <v>5575</v>
          </cell>
          <cell r="C28">
            <v>5575</v>
          </cell>
          <cell r="D28">
            <v>5575</v>
          </cell>
          <cell r="F28">
            <v>0</v>
          </cell>
        </row>
        <row r="29">
          <cell r="A29">
            <v>5490</v>
          </cell>
          <cell r="B29">
            <v>7725.5</v>
          </cell>
          <cell r="C29">
            <v>7725.5</v>
          </cell>
          <cell r="D29">
            <v>7725.5</v>
          </cell>
          <cell r="F29">
            <v>0</v>
          </cell>
        </row>
        <row r="30">
          <cell r="A30">
            <v>5500</v>
          </cell>
          <cell r="B30">
            <v>13700</v>
          </cell>
          <cell r="C30">
            <v>13700</v>
          </cell>
          <cell r="D30">
            <v>13700</v>
          </cell>
          <cell r="F30">
            <v>0</v>
          </cell>
        </row>
        <row r="31">
          <cell r="A31">
            <v>5510</v>
          </cell>
          <cell r="B31">
            <v>4450</v>
          </cell>
          <cell r="C31">
            <v>4450</v>
          </cell>
          <cell r="D31">
            <v>4450</v>
          </cell>
          <cell r="F31">
            <v>0</v>
          </cell>
        </row>
        <row r="32">
          <cell r="A32">
            <v>5520</v>
          </cell>
          <cell r="B32">
            <v>6450</v>
          </cell>
          <cell r="C32">
            <v>6450</v>
          </cell>
          <cell r="D32">
            <v>6450</v>
          </cell>
          <cell r="F32">
            <v>0</v>
          </cell>
        </row>
        <row r="33">
          <cell r="A33">
            <v>5530</v>
          </cell>
          <cell r="B33">
            <v>9650</v>
          </cell>
          <cell r="C33">
            <v>9650</v>
          </cell>
          <cell r="D33">
            <v>9650</v>
          </cell>
          <cell r="F33">
            <v>0</v>
          </cell>
        </row>
        <row r="34">
          <cell r="A34">
            <v>5540</v>
          </cell>
          <cell r="B34">
            <v>7825</v>
          </cell>
          <cell r="C34">
            <v>7825</v>
          </cell>
          <cell r="D34">
            <v>7825</v>
          </cell>
          <cell r="F34">
            <v>0</v>
          </cell>
        </row>
        <row r="35">
          <cell r="A35">
            <v>5550</v>
          </cell>
          <cell r="B35">
            <v>8675</v>
          </cell>
          <cell r="C35">
            <v>8675</v>
          </cell>
          <cell r="D35">
            <v>8675</v>
          </cell>
          <cell r="F35">
            <v>0</v>
          </cell>
        </row>
        <row r="36">
          <cell r="A36">
            <v>5560</v>
          </cell>
          <cell r="B36">
            <v>17675</v>
          </cell>
          <cell r="C36">
            <v>17675</v>
          </cell>
          <cell r="D36">
            <v>17675</v>
          </cell>
          <cell r="F36">
            <v>0</v>
          </cell>
        </row>
        <row r="37">
          <cell r="A37">
            <v>5570</v>
          </cell>
          <cell r="B37">
            <v>10100</v>
          </cell>
          <cell r="C37">
            <v>10100</v>
          </cell>
          <cell r="D37">
            <v>10100</v>
          </cell>
          <cell r="F37">
            <v>0</v>
          </cell>
        </row>
        <row r="38">
          <cell r="A38">
            <v>5580</v>
          </cell>
          <cell r="B38">
            <v>7275</v>
          </cell>
          <cell r="C38">
            <v>7275</v>
          </cell>
          <cell r="D38">
            <v>7275</v>
          </cell>
          <cell r="F38">
            <v>0</v>
          </cell>
        </row>
        <row r="39">
          <cell r="A39">
            <v>5590</v>
          </cell>
          <cell r="B39">
            <v>9050</v>
          </cell>
          <cell r="C39">
            <v>9050</v>
          </cell>
          <cell r="D39">
            <v>9050</v>
          </cell>
          <cell r="F39">
            <v>0</v>
          </cell>
        </row>
        <row r="40">
          <cell r="A40">
            <v>5600</v>
          </cell>
          <cell r="B40">
            <v>6500</v>
          </cell>
          <cell r="C40">
            <v>6500</v>
          </cell>
          <cell r="D40">
            <v>6500</v>
          </cell>
          <cell r="F40">
            <v>0</v>
          </cell>
        </row>
        <row r="41">
          <cell r="A41">
            <v>5610</v>
          </cell>
          <cell r="B41">
            <v>6525</v>
          </cell>
          <cell r="C41">
            <v>6525</v>
          </cell>
          <cell r="D41">
            <v>6525</v>
          </cell>
          <cell r="F41">
            <v>0</v>
          </cell>
        </row>
        <row r="42">
          <cell r="A42">
            <v>5620</v>
          </cell>
          <cell r="B42">
            <v>7250</v>
          </cell>
          <cell r="C42">
            <v>7250</v>
          </cell>
          <cell r="D42">
            <v>7250</v>
          </cell>
          <cell r="F42">
            <v>0</v>
          </cell>
        </row>
        <row r="43">
          <cell r="A43">
            <v>5630</v>
          </cell>
          <cell r="B43">
            <v>4025</v>
          </cell>
          <cell r="C43">
            <v>4025</v>
          </cell>
          <cell r="D43">
            <v>4025</v>
          </cell>
          <cell r="F43">
            <v>0</v>
          </cell>
        </row>
        <row r="44">
          <cell r="A44">
            <v>5640</v>
          </cell>
          <cell r="B44">
            <v>7325</v>
          </cell>
          <cell r="C44">
            <v>7325</v>
          </cell>
          <cell r="D44">
            <v>0</v>
          </cell>
          <cell r="F44">
            <v>7325</v>
          </cell>
        </row>
        <row r="45">
          <cell r="A45">
            <v>5690</v>
          </cell>
          <cell r="B45">
            <v>11800</v>
          </cell>
          <cell r="C45">
            <v>11800</v>
          </cell>
          <cell r="D45">
            <v>11800</v>
          </cell>
          <cell r="F45">
            <v>0</v>
          </cell>
        </row>
        <row r="46">
          <cell r="A46">
            <v>5710</v>
          </cell>
          <cell r="B46">
            <v>7925</v>
          </cell>
          <cell r="C46">
            <v>7925</v>
          </cell>
          <cell r="D46">
            <v>7925</v>
          </cell>
          <cell r="F46">
            <v>0</v>
          </cell>
        </row>
        <row r="47">
          <cell r="A47">
            <v>5720</v>
          </cell>
          <cell r="B47">
            <v>13900</v>
          </cell>
          <cell r="C47">
            <v>13900</v>
          </cell>
          <cell r="D47">
            <v>13900</v>
          </cell>
          <cell r="F47">
            <v>0</v>
          </cell>
        </row>
        <row r="48">
          <cell r="A48">
            <v>5730</v>
          </cell>
          <cell r="B48">
            <v>8200</v>
          </cell>
          <cell r="C48">
            <v>8200</v>
          </cell>
          <cell r="D48">
            <v>8200</v>
          </cell>
          <cell r="F48">
            <v>0</v>
          </cell>
        </row>
        <row r="49">
          <cell r="A49">
            <v>5740</v>
          </cell>
          <cell r="B49">
            <v>8925</v>
          </cell>
          <cell r="C49">
            <v>8925</v>
          </cell>
          <cell r="D49">
            <v>8925</v>
          </cell>
          <cell r="F49">
            <v>0</v>
          </cell>
        </row>
        <row r="50">
          <cell r="A50">
            <v>5750</v>
          </cell>
          <cell r="B50">
            <v>7700</v>
          </cell>
          <cell r="C50">
            <v>7700</v>
          </cell>
          <cell r="D50">
            <v>7700</v>
          </cell>
          <cell r="F50">
            <v>0</v>
          </cell>
        </row>
        <row r="51">
          <cell r="A51">
            <v>5760</v>
          </cell>
          <cell r="B51">
            <v>16925</v>
          </cell>
          <cell r="C51">
            <v>16925</v>
          </cell>
          <cell r="D51">
            <v>16925</v>
          </cell>
          <cell r="F51">
            <v>0</v>
          </cell>
        </row>
        <row r="52">
          <cell r="A52">
            <v>5780</v>
          </cell>
          <cell r="B52">
            <v>8125</v>
          </cell>
          <cell r="C52">
            <v>8125</v>
          </cell>
          <cell r="D52">
            <v>8125</v>
          </cell>
          <cell r="F52">
            <v>0</v>
          </cell>
        </row>
        <row r="53">
          <cell r="A53">
            <v>5790</v>
          </cell>
          <cell r="B53">
            <v>5900</v>
          </cell>
          <cell r="C53">
            <v>5900</v>
          </cell>
          <cell r="D53">
            <v>5900</v>
          </cell>
          <cell r="F53">
            <v>0</v>
          </cell>
        </row>
        <row r="54">
          <cell r="A54">
            <v>5800</v>
          </cell>
          <cell r="B54">
            <v>3750</v>
          </cell>
          <cell r="C54">
            <v>3750</v>
          </cell>
          <cell r="D54">
            <v>3750</v>
          </cell>
          <cell r="F54">
            <v>0</v>
          </cell>
        </row>
        <row r="55">
          <cell r="A55">
            <v>5810</v>
          </cell>
          <cell r="B55">
            <v>2100</v>
          </cell>
          <cell r="C55">
            <v>2100</v>
          </cell>
          <cell r="D55">
            <v>2100</v>
          </cell>
          <cell r="F55">
            <v>0</v>
          </cell>
        </row>
        <row r="56">
          <cell r="A56">
            <v>5820</v>
          </cell>
          <cell r="B56">
            <v>5575</v>
          </cell>
          <cell r="C56">
            <v>5575</v>
          </cell>
          <cell r="D56">
            <v>5575</v>
          </cell>
          <cell r="F56">
            <v>0</v>
          </cell>
        </row>
        <row r="57">
          <cell r="A57">
            <v>5830</v>
          </cell>
          <cell r="B57">
            <v>7750</v>
          </cell>
          <cell r="C57">
            <v>7750</v>
          </cell>
          <cell r="D57">
            <v>7750</v>
          </cell>
          <cell r="F57">
            <v>0</v>
          </cell>
        </row>
        <row r="58">
          <cell r="A58">
            <v>5840</v>
          </cell>
          <cell r="B58">
            <v>9625</v>
          </cell>
          <cell r="C58">
            <v>9625</v>
          </cell>
          <cell r="D58">
            <v>9625</v>
          </cell>
          <cell r="F58">
            <v>0</v>
          </cell>
        </row>
        <row r="59">
          <cell r="A59">
            <v>5850</v>
          </cell>
          <cell r="B59">
            <v>11100</v>
          </cell>
          <cell r="C59">
            <v>11100</v>
          </cell>
          <cell r="D59">
            <v>11100</v>
          </cell>
          <cell r="F59">
            <v>0</v>
          </cell>
        </row>
        <row r="60">
          <cell r="A60">
            <v>5860</v>
          </cell>
          <cell r="B60">
            <v>8950</v>
          </cell>
          <cell r="C60">
            <v>8950</v>
          </cell>
          <cell r="D60">
            <v>8950</v>
          </cell>
          <cell r="F60">
            <v>0</v>
          </cell>
        </row>
        <row r="61">
          <cell r="A61">
            <v>5880</v>
          </cell>
          <cell r="B61">
            <v>3950</v>
          </cell>
          <cell r="C61">
            <v>3950</v>
          </cell>
          <cell r="D61">
            <v>0</v>
          </cell>
          <cell r="F61">
            <v>3950</v>
          </cell>
        </row>
        <row r="62">
          <cell r="A62">
            <v>5900</v>
          </cell>
          <cell r="B62">
            <v>8650</v>
          </cell>
          <cell r="C62">
            <v>8650</v>
          </cell>
          <cell r="D62">
            <v>8650</v>
          </cell>
          <cell r="F62">
            <v>0</v>
          </cell>
        </row>
        <row r="63">
          <cell r="A63">
            <v>5910</v>
          </cell>
          <cell r="B63">
            <v>6625</v>
          </cell>
          <cell r="C63">
            <v>6625</v>
          </cell>
          <cell r="D63">
            <v>6625</v>
          </cell>
          <cell r="F63">
            <v>0</v>
          </cell>
        </row>
        <row r="64">
          <cell r="A64">
            <v>5940</v>
          </cell>
          <cell r="B64">
            <v>8350</v>
          </cell>
          <cell r="C64">
            <v>8350</v>
          </cell>
          <cell r="D64">
            <v>8350</v>
          </cell>
          <cell r="F64">
            <v>0</v>
          </cell>
        </row>
        <row r="65">
          <cell r="A65">
            <v>5950</v>
          </cell>
          <cell r="B65">
            <v>6300</v>
          </cell>
          <cell r="C65">
            <v>6300</v>
          </cell>
          <cell r="D65">
            <v>6300</v>
          </cell>
          <cell r="F65">
            <v>0</v>
          </cell>
        </row>
        <row r="66">
          <cell r="A66">
            <v>5970</v>
          </cell>
          <cell r="B66">
            <v>6150</v>
          </cell>
          <cell r="C66">
            <v>6150</v>
          </cell>
          <cell r="D66">
            <v>6150</v>
          </cell>
          <cell r="F66">
            <v>0</v>
          </cell>
        </row>
        <row r="67">
          <cell r="A67">
            <v>5980</v>
          </cell>
          <cell r="B67">
            <v>8900</v>
          </cell>
          <cell r="C67">
            <v>8900</v>
          </cell>
          <cell r="D67">
            <v>8900</v>
          </cell>
          <cell r="F67">
            <v>0</v>
          </cell>
        </row>
        <row r="68">
          <cell r="A68">
            <v>6000</v>
          </cell>
          <cell r="B68">
            <v>8675</v>
          </cell>
          <cell r="C68">
            <v>8675</v>
          </cell>
          <cell r="D68">
            <v>8675</v>
          </cell>
          <cell r="F68">
            <v>0</v>
          </cell>
        </row>
        <row r="69">
          <cell r="A69">
            <v>6010</v>
          </cell>
          <cell r="B69">
            <v>7675</v>
          </cell>
          <cell r="C69">
            <v>7675</v>
          </cell>
          <cell r="D69">
            <v>7675</v>
          </cell>
          <cell r="F69">
            <v>0</v>
          </cell>
        </row>
        <row r="70">
          <cell r="A70">
            <v>6020</v>
          </cell>
          <cell r="B70">
            <v>5300</v>
          </cell>
          <cell r="C70">
            <v>5300</v>
          </cell>
          <cell r="D70">
            <v>5300</v>
          </cell>
          <cell r="F70">
            <v>0</v>
          </cell>
        </row>
        <row r="71">
          <cell r="A71">
            <v>6030</v>
          </cell>
          <cell r="B71">
            <v>5875</v>
          </cell>
          <cell r="C71">
            <v>5875</v>
          </cell>
          <cell r="D71">
            <v>5875</v>
          </cell>
          <cell r="F71">
            <v>0</v>
          </cell>
        </row>
        <row r="72">
          <cell r="A72">
            <v>6040</v>
          </cell>
          <cell r="B72">
            <v>8225</v>
          </cell>
          <cell r="C72">
            <v>8225</v>
          </cell>
          <cell r="D72">
            <v>8225</v>
          </cell>
          <cell r="F72">
            <v>0</v>
          </cell>
        </row>
        <row r="73">
          <cell r="A73">
            <v>6050</v>
          </cell>
          <cell r="B73">
            <v>12300</v>
          </cell>
          <cell r="C73">
            <v>12300</v>
          </cell>
          <cell r="D73">
            <v>12300</v>
          </cell>
          <cell r="F73">
            <v>0</v>
          </cell>
        </row>
        <row r="74">
          <cell r="A74">
            <v>6060</v>
          </cell>
          <cell r="B74">
            <v>7625</v>
          </cell>
          <cell r="C74">
            <v>7625</v>
          </cell>
          <cell r="D74">
            <v>7625</v>
          </cell>
          <cell r="F74">
            <v>0</v>
          </cell>
        </row>
        <row r="75">
          <cell r="A75">
            <v>6070</v>
          </cell>
          <cell r="B75">
            <v>10775</v>
          </cell>
          <cell r="C75">
            <v>10775</v>
          </cell>
          <cell r="D75">
            <v>10775</v>
          </cell>
          <cell r="F75">
            <v>0</v>
          </cell>
        </row>
        <row r="76">
          <cell r="A76">
            <v>6090</v>
          </cell>
          <cell r="B76">
            <v>10150</v>
          </cell>
          <cell r="C76">
            <v>10150</v>
          </cell>
          <cell r="D76">
            <v>10150</v>
          </cell>
          <cell r="F76">
            <v>0</v>
          </cell>
        </row>
        <row r="77">
          <cell r="A77">
            <v>6110</v>
          </cell>
          <cell r="B77">
            <v>10650</v>
          </cell>
          <cell r="C77">
            <v>10650</v>
          </cell>
          <cell r="D77">
            <v>10650</v>
          </cell>
          <cell r="F77">
            <v>0</v>
          </cell>
        </row>
        <row r="78">
          <cell r="A78">
            <v>6120</v>
          </cell>
          <cell r="B78">
            <v>13025</v>
          </cell>
          <cell r="C78">
            <v>13025</v>
          </cell>
          <cell r="D78">
            <v>13025</v>
          </cell>
          <cell r="F78">
            <v>0</v>
          </cell>
        </row>
        <row r="79">
          <cell r="A79">
            <v>6130</v>
          </cell>
          <cell r="B79">
            <v>12050</v>
          </cell>
          <cell r="C79">
            <v>12050</v>
          </cell>
          <cell r="D79">
            <v>12050</v>
          </cell>
          <cell r="F79">
            <v>0</v>
          </cell>
        </row>
        <row r="80">
          <cell r="A80">
            <v>6150</v>
          </cell>
          <cell r="B80">
            <v>6100</v>
          </cell>
          <cell r="C80">
            <v>6100</v>
          </cell>
          <cell r="D80">
            <v>6100</v>
          </cell>
          <cell r="F80">
            <v>0</v>
          </cell>
        </row>
        <row r="81">
          <cell r="A81">
            <v>6170</v>
          </cell>
          <cell r="B81">
            <v>8700</v>
          </cell>
          <cell r="C81">
            <v>8700</v>
          </cell>
          <cell r="D81">
            <v>8700</v>
          </cell>
          <cell r="F81">
            <v>0</v>
          </cell>
        </row>
        <row r="82">
          <cell r="A82">
            <v>6190</v>
          </cell>
          <cell r="B82">
            <v>9550</v>
          </cell>
          <cell r="C82">
            <v>9550</v>
          </cell>
          <cell r="D82">
            <v>9550</v>
          </cell>
          <cell r="F82">
            <v>0</v>
          </cell>
        </row>
        <row r="83">
          <cell r="A83">
            <v>6200</v>
          </cell>
          <cell r="B83">
            <v>7800</v>
          </cell>
          <cell r="C83">
            <v>7800</v>
          </cell>
          <cell r="D83">
            <v>7800</v>
          </cell>
          <cell r="F83">
            <v>0</v>
          </cell>
        </row>
        <row r="84">
          <cell r="A84">
            <v>6290</v>
          </cell>
          <cell r="B84">
            <v>5250</v>
          </cell>
          <cell r="C84">
            <v>5250</v>
          </cell>
          <cell r="D84">
            <v>5250</v>
          </cell>
          <cell r="F84">
            <v>0</v>
          </cell>
        </row>
        <row r="85">
          <cell r="A85">
            <v>6320</v>
          </cell>
          <cell r="B85">
            <v>9675</v>
          </cell>
          <cell r="C85">
            <v>9675</v>
          </cell>
          <cell r="D85">
            <v>9675</v>
          </cell>
          <cell r="F85">
            <v>0</v>
          </cell>
        </row>
        <row r="86">
          <cell r="A86">
            <v>6330</v>
          </cell>
          <cell r="B86">
            <v>25349.99</v>
          </cell>
          <cell r="C86">
            <v>25349.99</v>
          </cell>
          <cell r="D86">
            <v>25349.99</v>
          </cell>
          <cell r="F86">
            <v>0</v>
          </cell>
        </row>
        <row r="87">
          <cell r="A87">
            <v>6340</v>
          </cell>
          <cell r="B87">
            <v>8900</v>
          </cell>
          <cell r="C87">
            <v>8900</v>
          </cell>
          <cell r="D87">
            <v>8900</v>
          </cell>
          <cell r="F87">
            <v>0</v>
          </cell>
        </row>
        <row r="88">
          <cell r="A88">
            <v>6360</v>
          </cell>
          <cell r="B88">
            <v>5925</v>
          </cell>
          <cell r="C88">
            <v>5925</v>
          </cell>
          <cell r="D88">
            <v>5925</v>
          </cell>
          <cell r="F88">
            <v>0</v>
          </cell>
        </row>
        <row r="89">
          <cell r="A89">
            <v>6380</v>
          </cell>
          <cell r="B89">
            <v>10375</v>
          </cell>
          <cell r="C89">
            <v>10375</v>
          </cell>
          <cell r="D89">
            <v>10375</v>
          </cell>
          <cell r="F89">
            <v>0</v>
          </cell>
        </row>
        <row r="90">
          <cell r="A90">
            <v>6390</v>
          </cell>
          <cell r="B90">
            <v>13350</v>
          </cell>
          <cell r="C90">
            <v>13350</v>
          </cell>
          <cell r="D90">
            <v>13350</v>
          </cell>
          <cell r="F90">
            <v>0</v>
          </cell>
        </row>
        <row r="91">
          <cell r="A91">
            <v>6410</v>
          </cell>
          <cell r="B91">
            <v>4350</v>
          </cell>
          <cell r="C91">
            <v>4350</v>
          </cell>
          <cell r="D91">
            <v>4350</v>
          </cell>
          <cell r="F91">
            <v>0</v>
          </cell>
        </row>
        <row r="92">
          <cell r="A92">
            <v>6420</v>
          </cell>
          <cell r="B92">
            <v>6325</v>
          </cell>
          <cell r="C92">
            <v>6325</v>
          </cell>
          <cell r="D92">
            <v>6325</v>
          </cell>
          <cell r="F92">
            <v>0</v>
          </cell>
        </row>
        <row r="93">
          <cell r="A93">
            <v>6430</v>
          </cell>
          <cell r="B93">
            <v>7025</v>
          </cell>
          <cell r="C93">
            <v>7025</v>
          </cell>
          <cell r="D93">
            <v>7025</v>
          </cell>
          <cell r="F93">
            <v>0</v>
          </cell>
        </row>
        <row r="94">
          <cell r="A94">
            <v>6450</v>
          </cell>
          <cell r="B94">
            <v>5025</v>
          </cell>
          <cell r="C94">
            <v>5025</v>
          </cell>
          <cell r="D94">
            <v>5025</v>
          </cell>
          <cell r="F94">
            <v>0</v>
          </cell>
        </row>
        <row r="95">
          <cell r="A95">
            <v>6470</v>
          </cell>
          <cell r="B95">
            <v>5750</v>
          </cell>
          <cell r="C95">
            <v>5750</v>
          </cell>
          <cell r="D95">
            <v>5750</v>
          </cell>
          <cell r="F95">
            <v>0</v>
          </cell>
        </row>
        <row r="96">
          <cell r="A96">
            <v>6480</v>
          </cell>
          <cell r="B96">
            <v>3875</v>
          </cell>
          <cell r="C96">
            <v>3875</v>
          </cell>
          <cell r="D96">
            <v>3875</v>
          </cell>
          <cell r="F96">
            <v>0</v>
          </cell>
        </row>
        <row r="97">
          <cell r="A97">
            <v>6490</v>
          </cell>
          <cell r="B97">
            <v>8725</v>
          </cell>
          <cell r="C97">
            <v>8725</v>
          </cell>
          <cell r="D97">
            <v>8725</v>
          </cell>
          <cell r="F97">
            <v>0</v>
          </cell>
        </row>
        <row r="98">
          <cell r="A98">
            <v>6500</v>
          </cell>
          <cell r="B98">
            <v>10100</v>
          </cell>
          <cell r="C98">
            <v>10100</v>
          </cell>
          <cell r="D98">
            <v>10100</v>
          </cell>
          <cell r="F98">
            <v>0</v>
          </cell>
        </row>
        <row r="99">
          <cell r="A99">
            <v>6580</v>
          </cell>
          <cell r="B99">
            <v>8225</v>
          </cell>
          <cell r="C99">
            <v>8225</v>
          </cell>
          <cell r="D99">
            <v>8225</v>
          </cell>
          <cell r="F99">
            <v>0</v>
          </cell>
        </row>
        <row r="100">
          <cell r="A100">
            <v>7110</v>
          </cell>
          <cell r="B100">
            <v>21050</v>
          </cell>
          <cell r="C100">
            <v>21050</v>
          </cell>
          <cell r="D100">
            <v>21050</v>
          </cell>
          <cell r="F100">
            <v>0</v>
          </cell>
        </row>
        <row r="101">
          <cell r="A101">
            <v>7120</v>
          </cell>
          <cell r="B101">
            <v>25374.999999999996</v>
          </cell>
          <cell r="C101">
            <v>25374.999999999996</v>
          </cell>
          <cell r="D101">
            <v>24349.199999999997</v>
          </cell>
          <cell r="F101">
            <v>1025.7999999999993</v>
          </cell>
        </row>
        <row r="102">
          <cell r="A102">
            <v>7140</v>
          </cell>
          <cell r="B102">
            <v>10325</v>
          </cell>
          <cell r="C102">
            <v>10325</v>
          </cell>
          <cell r="D102">
            <v>10325</v>
          </cell>
          <cell r="F102">
            <v>0</v>
          </cell>
        </row>
        <row r="103">
          <cell r="A103">
            <v>7150</v>
          </cell>
          <cell r="B103">
            <v>30325</v>
          </cell>
          <cell r="C103">
            <v>30325</v>
          </cell>
          <cell r="D103">
            <v>30325</v>
          </cell>
          <cell r="F103">
            <v>0</v>
          </cell>
        </row>
        <row r="104">
          <cell r="A104">
            <v>7160</v>
          </cell>
          <cell r="B104">
            <v>12775</v>
          </cell>
          <cell r="C104">
            <v>12775</v>
          </cell>
          <cell r="D104">
            <v>12775</v>
          </cell>
          <cell r="F104">
            <v>0</v>
          </cell>
        </row>
        <row r="105">
          <cell r="A105">
            <v>7170</v>
          </cell>
          <cell r="B105">
            <v>14275</v>
          </cell>
          <cell r="C105">
            <v>14275</v>
          </cell>
          <cell r="D105">
            <v>14275</v>
          </cell>
          <cell r="F105">
            <v>0</v>
          </cell>
        </row>
        <row r="106">
          <cell r="A106">
            <v>7180</v>
          </cell>
          <cell r="B106">
            <v>13400</v>
          </cell>
          <cell r="C106">
            <v>13400</v>
          </cell>
          <cell r="D106">
            <v>13400</v>
          </cell>
          <cell r="F106">
            <v>0</v>
          </cell>
        </row>
        <row r="107">
          <cell r="A107">
            <v>7200</v>
          </cell>
          <cell r="B107">
            <v>7650</v>
          </cell>
          <cell r="C107">
            <v>7650</v>
          </cell>
          <cell r="D107">
            <v>7650</v>
          </cell>
          <cell r="F107">
            <v>0</v>
          </cell>
        </row>
        <row r="108">
          <cell r="A108">
            <v>7210</v>
          </cell>
          <cell r="B108">
            <v>12925</v>
          </cell>
          <cell r="C108">
            <v>12925</v>
          </cell>
          <cell r="D108">
            <v>12925</v>
          </cell>
          <cell r="F108">
            <v>0</v>
          </cell>
        </row>
        <row r="109">
          <cell r="A109">
            <v>7220</v>
          </cell>
          <cell r="B109">
            <v>8100</v>
          </cell>
          <cell r="C109">
            <v>8100</v>
          </cell>
          <cell r="D109">
            <v>8100</v>
          </cell>
          <cell r="F109">
            <v>0</v>
          </cell>
        </row>
        <row r="110">
          <cell r="A110">
            <v>7230</v>
          </cell>
          <cell r="B110">
            <v>8200</v>
          </cell>
          <cell r="C110">
            <v>8200</v>
          </cell>
          <cell r="D110">
            <v>8200</v>
          </cell>
          <cell r="F110">
            <v>0</v>
          </cell>
        </row>
        <row r="111">
          <cell r="A111">
            <v>7240</v>
          </cell>
          <cell r="B111">
            <v>13825</v>
          </cell>
          <cell r="C111">
            <v>13825</v>
          </cell>
          <cell r="D111">
            <v>13825</v>
          </cell>
          <cell r="F111">
            <v>0</v>
          </cell>
        </row>
        <row r="112">
          <cell r="A112">
            <v>7250</v>
          </cell>
          <cell r="B112">
            <v>13200</v>
          </cell>
          <cell r="C112">
            <v>13200</v>
          </cell>
          <cell r="D112">
            <v>13200</v>
          </cell>
          <cell r="F112">
            <v>0</v>
          </cell>
        </row>
        <row r="113">
          <cell r="A113">
            <v>7260</v>
          </cell>
          <cell r="B113">
            <v>12000</v>
          </cell>
          <cell r="C113">
            <v>12000</v>
          </cell>
          <cell r="D113">
            <v>12000</v>
          </cell>
          <cell r="F113">
            <v>0</v>
          </cell>
        </row>
        <row r="114">
          <cell r="A114">
            <v>7280</v>
          </cell>
          <cell r="B114">
            <v>21025</v>
          </cell>
          <cell r="C114">
            <v>21025</v>
          </cell>
          <cell r="D114">
            <v>21025</v>
          </cell>
          <cell r="F114">
            <v>0</v>
          </cell>
        </row>
        <row r="115">
          <cell r="A115">
            <v>7300</v>
          </cell>
          <cell r="B115">
            <v>41200</v>
          </cell>
          <cell r="C115">
            <v>41200</v>
          </cell>
          <cell r="D115">
            <v>0</v>
          </cell>
          <cell r="F115">
            <v>41200</v>
          </cell>
        </row>
        <row r="116">
          <cell r="A116">
            <v>7360</v>
          </cell>
          <cell r="B116">
            <v>2750</v>
          </cell>
          <cell r="C116">
            <v>2750</v>
          </cell>
          <cell r="D116">
            <v>2750</v>
          </cell>
          <cell r="F116">
            <v>0</v>
          </cell>
        </row>
        <row r="117">
          <cell r="A117">
            <v>7370</v>
          </cell>
          <cell r="B117">
            <v>2275</v>
          </cell>
          <cell r="C117">
            <v>2275</v>
          </cell>
          <cell r="D117">
            <v>0</v>
          </cell>
          <cell r="F117">
            <v>2275</v>
          </cell>
        </row>
        <row r="118">
          <cell r="A118">
            <v>7380</v>
          </cell>
          <cell r="B118">
            <v>4501.53</v>
          </cell>
          <cell r="C118">
            <v>4501.53</v>
          </cell>
          <cell r="D118">
            <v>2525</v>
          </cell>
          <cell r="F118">
            <v>1976.5299999999997</v>
          </cell>
        </row>
        <row r="119">
          <cell r="A119">
            <v>7490</v>
          </cell>
          <cell r="B119">
            <v>6575</v>
          </cell>
          <cell r="C119">
            <v>6575</v>
          </cell>
          <cell r="D119">
            <v>6575</v>
          </cell>
          <cell r="F119">
            <v>0</v>
          </cell>
        </row>
        <row r="120">
          <cell r="A120">
            <v>7870</v>
          </cell>
          <cell r="B120">
            <v>16900</v>
          </cell>
          <cell r="C120">
            <v>16900</v>
          </cell>
          <cell r="D120">
            <v>16900</v>
          </cell>
          <cell r="F120">
            <v>0</v>
          </cell>
        </row>
        <row r="121">
          <cell r="A121">
            <v>7890</v>
          </cell>
          <cell r="B121">
            <v>575</v>
          </cell>
          <cell r="C121">
            <v>575</v>
          </cell>
          <cell r="D121" t="e">
            <v>#N/A</v>
          </cell>
          <cell r="F121" t="e">
            <v>#N/A</v>
          </cell>
        </row>
        <row r="122">
          <cell r="A122">
            <v>7901</v>
          </cell>
          <cell r="B122">
            <v>1625</v>
          </cell>
          <cell r="C122">
            <v>1625</v>
          </cell>
          <cell r="D122" t="e">
            <v>#N/A</v>
          </cell>
          <cell r="F122" t="e">
            <v>#N/A</v>
          </cell>
        </row>
        <row r="123">
          <cell r="A123" t="str">
            <v>(blank)</v>
          </cell>
        </row>
        <row r="124">
          <cell r="A124" t="str">
            <v>Grand Total</v>
          </cell>
          <cell r="B124">
            <v>1101602.02</v>
          </cell>
        </row>
        <row r="126">
          <cell r="B126">
            <v>1099402.02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showGridLines="0" topLeftCell="A37" zoomScale="70" zoomScaleNormal="70" zoomScaleSheetLayoutView="55" workbookViewId="0">
      <selection activeCell="D18" sqref="D18"/>
    </sheetView>
  </sheetViews>
  <sheetFormatPr defaultRowHeight="14.4" x14ac:dyDescent="0.3"/>
  <cols>
    <col min="1" max="1" width="4.109375" style="76" customWidth="1"/>
    <col min="2" max="2" width="4.44140625" style="77" customWidth="1"/>
    <col min="3" max="3" width="8.44140625" customWidth="1"/>
    <col min="4" max="4" width="32.5546875" customWidth="1"/>
    <col min="5" max="5" width="1.6640625" customWidth="1"/>
    <col min="6" max="6" width="11" bestFit="1" customWidth="1"/>
    <col min="7" max="7" width="13" customWidth="1"/>
    <col min="8" max="8" width="12" bestFit="1" customWidth="1"/>
    <col min="9" max="9" width="13.5546875" customWidth="1"/>
    <col min="10" max="12" width="13.6640625" bestFit="1" customWidth="1"/>
    <col min="13" max="13" width="14.33203125" customWidth="1"/>
    <col min="14" max="14" width="10.88671875" bestFit="1" customWidth="1"/>
    <col min="15" max="17" width="12.5546875" customWidth="1"/>
    <col min="18" max="18" width="14.33203125" bestFit="1" customWidth="1"/>
    <col min="19" max="19" width="10" hidden="1" customWidth="1"/>
    <col min="20" max="20" width="0" hidden="1" customWidth="1"/>
    <col min="21" max="22" width="9.109375" hidden="1" customWidth="1"/>
    <col min="23" max="24" width="0" hidden="1" customWidth="1"/>
    <col min="26" max="26" width="35.88671875" bestFit="1" customWidth="1"/>
    <col min="27" max="27" width="9.5546875" bestFit="1" customWidth="1"/>
  </cols>
  <sheetData>
    <row r="1" spans="1:24" ht="36" customHeight="1" x14ac:dyDescent="0.3">
      <c r="A1" s="1"/>
      <c r="B1" s="2"/>
      <c r="C1" s="3"/>
      <c r="D1" s="3"/>
      <c r="E1" s="4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</row>
    <row r="2" spans="1:24" ht="62.4" x14ac:dyDescent="0.3">
      <c r="A2" s="5"/>
      <c r="B2" s="6"/>
      <c r="C2" s="7" t="s">
        <v>0</v>
      </c>
      <c r="D2" s="7" t="s">
        <v>1</v>
      </c>
      <c r="E2" s="8"/>
      <c r="F2" s="7" t="s">
        <v>2</v>
      </c>
      <c r="G2" s="9" t="s">
        <v>3</v>
      </c>
      <c r="H2" s="7" t="s">
        <v>6049</v>
      </c>
      <c r="I2" s="10" t="s">
        <v>3140</v>
      </c>
      <c r="J2" s="10" t="s">
        <v>4</v>
      </c>
      <c r="K2" s="10" t="s">
        <v>5</v>
      </c>
      <c r="L2" s="11" t="s">
        <v>6</v>
      </c>
      <c r="M2" s="11" t="s">
        <v>7</v>
      </c>
      <c r="N2" s="7" t="s">
        <v>8</v>
      </c>
      <c r="O2" s="12" t="s">
        <v>9</v>
      </c>
      <c r="P2" s="12" t="s">
        <v>10</v>
      </c>
      <c r="Q2" s="12" t="s">
        <v>11</v>
      </c>
      <c r="R2" s="10" t="s">
        <v>12</v>
      </c>
      <c r="S2" s="10" t="s">
        <v>13</v>
      </c>
      <c r="T2" s="13"/>
      <c r="U2" s="13"/>
      <c r="V2" s="13"/>
      <c r="W2" s="13"/>
      <c r="X2" s="14"/>
    </row>
    <row r="3" spans="1:24" ht="9.75" customHeight="1" x14ac:dyDescent="0.3">
      <c r="A3" s="1"/>
      <c r="B3" s="15"/>
      <c r="C3" s="16"/>
      <c r="D3" s="17"/>
      <c r="E3" s="18"/>
      <c r="F3" s="18"/>
      <c r="G3" s="19"/>
      <c r="H3" s="18"/>
      <c r="I3" s="18"/>
      <c r="J3" s="18"/>
      <c r="K3" s="20"/>
      <c r="L3" s="21"/>
      <c r="M3" s="21"/>
      <c r="N3" s="22"/>
      <c r="O3" s="21"/>
      <c r="P3" s="21"/>
      <c r="Q3" s="21"/>
      <c r="R3" s="21"/>
      <c r="S3" s="23"/>
      <c r="T3" s="24"/>
      <c r="U3" s="24"/>
      <c r="V3" s="24"/>
      <c r="W3" s="25"/>
      <c r="X3" s="3"/>
    </row>
    <row r="4" spans="1:24" ht="15.6" x14ac:dyDescent="0.3">
      <c r="A4" s="26">
        <v>1</v>
      </c>
      <c r="B4" s="27">
        <v>1</v>
      </c>
      <c r="C4" s="28">
        <v>5120</v>
      </c>
      <c r="D4" s="78" t="s">
        <v>14</v>
      </c>
      <c r="E4" s="86"/>
      <c r="F4" s="80">
        <f>+Proportionality!R4</f>
        <v>0.27216053300704407</v>
      </c>
      <c r="G4" s="80">
        <f>+Proportionality!S4</f>
        <v>0.72783946699295599</v>
      </c>
      <c r="H4" s="154">
        <f>VLOOKUP(C4,'Enrollment FY13'!A:C,3,FALSE)</f>
        <v>254</v>
      </c>
      <c r="I4" s="81">
        <f>+'Proportionality FTE'!P4</f>
        <v>27.130000000000003</v>
      </c>
      <c r="J4" s="82">
        <f>I4*G4</f>
        <v>19.746284739518899</v>
      </c>
      <c r="K4" s="83">
        <f>I4*F4</f>
        <v>7.3837152604811065</v>
      </c>
      <c r="L4" s="132">
        <f>H4/J4</f>
        <v>12.863179243620515</v>
      </c>
      <c r="M4" s="84">
        <f t="shared" ref="M4:M35" si="0">$L$130</f>
        <v>13.843568752072315</v>
      </c>
      <c r="N4" s="35" t="str">
        <f>IF(L4&gt;M4,"X","")</f>
        <v/>
      </c>
      <c r="O4" s="132">
        <f>L4-M4</f>
        <v>-0.9803895084518004</v>
      </c>
      <c r="P4" s="132">
        <f>O4*J4</f>
        <v>-19.359050389526221</v>
      </c>
      <c r="Q4" s="132">
        <f>P4/M4</f>
        <v>-1.3984147250056649</v>
      </c>
      <c r="R4" s="34">
        <f t="shared" ref="R4:R65" si="1">Q4/G4</f>
        <v>-1.9213230230330429</v>
      </c>
      <c r="S4" s="36">
        <f>Q4/G4</f>
        <v>-1.9213230230330429</v>
      </c>
      <c r="T4" s="37"/>
      <c r="U4" s="37">
        <f>VLOOKUP(C4,'[2]Ranking '!$C$1:$H$65536,6,FALSE)</f>
        <v>309</v>
      </c>
      <c r="V4" s="37" t="b">
        <f>U4=H4</f>
        <v>0</v>
      </c>
      <c r="W4" s="37">
        <f>VLOOKUP(C4,[3]Proportionality!B:B,1,FALSE)</f>
        <v>5120</v>
      </c>
      <c r="X4" s="38"/>
    </row>
    <row r="5" spans="1:24" ht="15.6" x14ac:dyDescent="0.3">
      <c r="A5" s="39">
        <v>2</v>
      </c>
      <c r="B5" s="27">
        <v>2</v>
      </c>
      <c r="C5" s="28">
        <v>5130</v>
      </c>
      <c r="D5" s="78" t="s">
        <v>15</v>
      </c>
      <c r="E5" s="86"/>
      <c r="F5" s="80">
        <f>+Proportionality!R5</f>
        <v>0.16181060124945743</v>
      </c>
      <c r="G5" s="80">
        <f>+Proportionality!S5</f>
        <v>0.83818939875054255</v>
      </c>
      <c r="H5" s="154">
        <f>VLOOKUP(C5,'Enrollment FY13'!A:C,3,FALSE)</f>
        <v>293</v>
      </c>
      <c r="I5" s="81">
        <f>+'Proportionality FTE'!P5</f>
        <v>29.380000000000003</v>
      </c>
      <c r="J5" s="82">
        <f t="shared" ref="J5:J66" si="2">I5*G5</f>
        <v>24.626004535290942</v>
      </c>
      <c r="K5" s="83">
        <f t="shared" ref="K5:K66" si="3">I5*F5</f>
        <v>4.7539954647090594</v>
      </c>
      <c r="L5" s="132">
        <f t="shared" ref="L5:L66" si="4">H5/J5</f>
        <v>11.897991798877023</v>
      </c>
      <c r="M5" s="84">
        <f t="shared" si="0"/>
        <v>13.843568752072315</v>
      </c>
      <c r="N5" s="35" t="str">
        <f t="shared" ref="N5:N66" si="5">IF(L5&gt;M5,"X","")</f>
        <v/>
      </c>
      <c r="O5" s="132">
        <f t="shared" ref="O5:O66" si="6">L5-M5</f>
        <v>-1.9455769531952924</v>
      </c>
      <c r="P5" s="132">
        <f t="shared" ref="P5:P66" si="7">O5*J5</f>
        <v>-47.911786873144806</v>
      </c>
      <c r="Q5" s="132">
        <f t="shared" ref="Q5:Q66" si="8">P5/M5</f>
        <v>-3.4609418807540249</v>
      </c>
      <c r="R5" s="34">
        <f t="shared" si="1"/>
        <v>-4.1290690217665853</v>
      </c>
      <c r="S5" s="36">
        <f t="shared" ref="S5:S66" si="9">Q5/G5</f>
        <v>-4.1290690217665853</v>
      </c>
      <c r="T5" s="40"/>
      <c r="U5" s="37">
        <f>VLOOKUP(C5,'[2]Ranking '!$C$1:$H$65536,6,FALSE)</f>
        <v>319</v>
      </c>
      <c r="V5" s="37" t="b">
        <f t="shared" ref="V5:V66" si="10">U5=H5</f>
        <v>0</v>
      </c>
      <c r="W5" s="37">
        <f>VLOOKUP(C5,[3]Proportionality!B:B,1,FALSE)</f>
        <v>5130</v>
      </c>
      <c r="X5" s="3"/>
    </row>
    <row r="6" spans="1:24" ht="15.6" x14ac:dyDescent="0.3">
      <c r="A6" s="26">
        <v>3</v>
      </c>
      <c r="B6" s="27">
        <v>3</v>
      </c>
      <c r="C6" s="28">
        <v>5140</v>
      </c>
      <c r="D6" s="78" t="s">
        <v>16</v>
      </c>
      <c r="E6" s="86"/>
      <c r="F6" s="80">
        <f>+Proportionality!R6</f>
        <v>9.2290606051856988E-2</v>
      </c>
      <c r="G6" s="80">
        <f>+Proportionality!S6</f>
        <v>0.90770939394814298</v>
      </c>
      <c r="H6" s="154">
        <f>VLOOKUP(C6,'Enrollment FY13'!A:C,3,FALSE)</f>
        <v>473</v>
      </c>
      <c r="I6" s="81">
        <f>+'Proportionality FTE'!P6</f>
        <v>67.42</v>
      </c>
      <c r="J6" s="82">
        <f t="shared" si="2"/>
        <v>61.197767339983798</v>
      </c>
      <c r="K6" s="83">
        <f t="shared" si="3"/>
        <v>6.2222326600161981</v>
      </c>
      <c r="L6" s="132">
        <f t="shared" si="4"/>
        <v>7.7290401359293321</v>
      </c>
      <c r="M6" s="84">
        <f t="shared" si="0"/>
        <v>13.843568752072315</v>
      </c>
      <c r="N6" s="35" t="str">
        <f t="shared" si="5"/>
        <v/>
      </c>
      <c r="O6" s="132">
        <f t="shared" si="6"/>
        <v>-6.1145286161429828</v>
      </c>
      <c r="P6" s="132">
        <f t="shared" si="7"/>
        <v>-374.19549964439136</v>
      </c>
      <c r="Q6" s="132">
        <f t="shared" si="8"/>
        <v>-27.030277116106792</v>
      </c>
      <c r="R6" s="34">
        <f t="shared" si="1"/>
        <v>-29.778558309875791</v>
      </c>
      <c r="S6" s="36">
        <f t="shared" si="9"/>
        <v>-29.778558309875791</v>
      </c>
      <c r="T6" s="40"/>
      <c r="U6" s="37">
        <f>VLOOKUP(C6,'[2]Ranking '!$C$1:$H$65536,6,FALSE)</f>
        <v>443</v>
      </c>
      <c r="V6" s="37" t="b">
        <f t="shared" si="10"/>
        <v>0</v>
      </c>
      <c r="W6" s="37">
        <f>VLOOKUP(C6,[3]Proportionality!B:B,1,FALSE)</f>
        <v>5140</v>
      </c>
      <c r="X6" s="3"/>
    </row>
    <row r="7" spans="1:24" ht="15.6" x14ac:dyDescent="0.3">
      <c r="A7" s="39">
        <v>4</v>
      </c>
      <c r="B7" s="27">
        <v>4</v>
      </c>
      <c r="C7" s="28">
        <v>5150</v>
      </c>
      <c r="D7" s="78" t="s">
        <v>17</v>
      </c>
      <c r="E7" s="86"/>
      <c r="F7" s="80">
        <f>+Proportionality!R7</f>
        <v>0.15452224692912389</v>
      </c>
      <c r="G7" s="80">
        <f>+Proportionality!S7</f>
        <v>0.84547775307087603</v>
      </c>
      <c r="H7" s="154">
        <f>VLOOKUP(C7,'Enrollment FY13'!A:C,3,FALSE)</f>
        <v>569</v>
      </c>
      <c r="I7" s="81">
        <f>+'Proportionality FTE'!P7</f>
        <v>76.384999999999991</v>
      </c>
      <c r="J7" s="82">
        <f t="shared" si="2"/>
        <v>64.581818168318861</v>
      </c>
      <c r="K7" s="83">
        <f t="shared" si="3"/>
        <v>11.803181831681128</v>
      </c>
      <c r="L7" s="132">
        <f t="shared" si="4"/>
        <v>8.8105292811209139</v>
      </c>
      <c r="M7" s="84">
        <f t="shared" si="0"/>
        <v>13.843568752072315</v>
      </c>
      <c r="N7" s="35" t="str">
        <f t="shared" si="5"/>
        <v/>
      </c>
      <c r="O7" s="132">
        <f t="shared" si="6"/>
        <v>-5.033039470951401</v>
      </c>
      <c r="P7" s="132">
        <f t="shared" si="7"/>
        <v>-325.04283994695516</v>
      </c>
      <c r="Q7" s="132">
        <f t="shared" si="8"/>
        <v>-23.479699907460482</v>
      </c>
      <c r="R7" s="34">
        <f t="shared" si="1"/>
        <v>-27.770925754319865</v>
      </c>
      <c r="S7" s="36">
        <f t="shared" si="9"/>
        <v>-27.770925754319865</v>
      </c>
      <c r="T7" s="40"/>
      <c r="U7" s="37">
        <f>VLOOKUP(C7,'[2]Ranking '!$C$1:$H$65536,6,FALSE)</f>
        <v>367</v>
      </c>
      <c r="V7" s="37" t="b">
        <f t="shared" si="10"/>
        <v>0</v>
      </c>
      <c r="W7" s="37">
        <f>VLOOKUP(C7,[3]Proportionality!B:B,1,FALSE)</f>
        <v>5150</v>
      </c>
      <c r="X7" s="3"/>
    </row>
    <row r="8" spans="1:24" ht="15.6" x14ac:dyDescent="0.3">
      <c r="A8" s="26">
        <v>5</v>
      </c>
      <c r="B8" s="27">
        <v>5</v>
      </c>
      <c r="C8" s="28">
        <v>5160</v>
      </c>
      <c r="D8" s="78" t="s">
        <v>18</v>
      </c>
      <c r="E8" s="86"/>
      <c r="F8" s="80">
        <f>+Proportionality!R8</f>
        <v>0.19630844031282915</v>
      </c>
      <c r="G8" s="80">
        <f>+Proportionality!S8</f>
        <v>0.80369155968717088</v>
      </c>
      <c r="H8" s="154">
        <f>VLOOKUP(C8,'Enrollment FY13'!A:C,3,FALSE)</f>
        <v>384</v>
      </c>
      <c r="I8" s="81">
        <f>+'Proportionality FTE'!P8</f>
        <v>54.425000000000004</v>
      </c>
      <c r="J8" s="82">
        <f t="shared" si="2"/>
        <v>43.740913135974282</v>
      </c>
      <c r="K8" s="83">
        <f t="shared" si="3"/>
        <v>10.684086864025728</v>
      </c>
      <c r="L8" s="132">
        <f t="shared" si="4"/>
        <v>8.7789662462300768</v>
      </c>
      <c r="M8" s="84">
        <f t="shared" si="0"/>
        <v>13.843568752072315</v>
      </c>
      <c r="N8" s="35" t="str">
        <f t="shared" si="5"/>
        <v/>
      </c>
      <c r="O8" s="132">
        <f t="shared" si="6"/>
        <v>-5.0646025058422381</v>
      </c>
      <c r="P8" s="132">
        <f t="shared" si="7"/>
        <v>-221.530338276283</v>
      </c>
      <c r="Q8" s="132">
        <f t="shared" si="8"/>
        <v>-16.002400988048763</v>
      </c>
      <c r="R8" s="34">
        <f t="shared" si="1"/>
        <v>-19.911122364253199</v>
      </c>
      <c r="S8" s="36">
        <f t="shared" si="9"/>
        <v>-19.911122364253199</v>
      </c>
      <c r="T8" s="40"/>
      <c r="U8" s="37">
        <f>VLOOKUP(C8,'[2]Ranking '!$C$1:$H$65536,6,FALSE)</f>
        <v>351</v>
      </c>
      <c r="V8" s="37" t="b">
        <f t="shared" si="10"/>
        <v>0</v>
      </c>
      <c r="W8" s="37">
        <f>VLOOKUP(C8,[3]Proportionality!B:B,1,FALSE)</f>
        <v>5160</v>
      </c>
      <c r="X8" s="3"/>
    </row>
    <row r="9" spans="1:24" ht="15.6" x14ac:dyDescent="0.3">
      <c r="A9" s="39">
        <v>6</v>
      </c>
      <c r="B9" s="27">
        <v>6</v>
      </c>
      <c r="C9" s="28">
        <v>5210</v>
      </c>
      <c r="D9" s="78" t="s">
        <v>19</v>
      </c>
      <c r="E9" s="86"/>
      <c r="F9" s="80">
        <f>+Proportionality!R9</f>
        <v>0.10873519067668953</v>
      </c>
      <c r="G9" s="80">
        <f>+Proportionality!S9</f>
        <v>0.89126480932331043</v>
      </c>
      <c r="H9" s="154">
        <f>VLOOKUP(C9,'Enrollment FY13'!A:C,3,FALSE)</f>
        <v>574</v>
      </c>
      <c r="I9" s="81">
        <f>+'Proportionality FTE'!P9</f>
        <v>67.799999999999983</v>
      </c>
      <c r="J9" s="82">
        <f t="shared" si="2"/>
        <v>60.427754072120429</v>
      </c>
      <c r="K9" s="83">
        <f t="shared" si="3"/>
        <v>7.3722459278795487</v>
      </c>
      <c r="L9" s="132">
        <f t="shared" si="4"/>
        <v>9.4989464495889084</v>
      </c>
      <c r="M9" s="84">
        <f t="shared" si="0"/>
        <v>13.843568752072315</v>
      </c>
      <c r="N9" s="35" t="str">
        <f t="shared" si="5"/>
        <v/>
      </c>
      <c r="O9" s="132">
        <f t="shared" si="6"/>
        <v>-4.3446223024834065</v>
      </c>
      <c r="P9" s="132">
        <f t="shared" si="7"/>
        <v>-262.53576803071689</v>
      </c>
      <c r="Q9" s="132">
        <f t="shared" si="8"/>
        <v>-18.96445726766926</v>
      </c>
      <c r="R9" s="34">
        <f t="shared" si="1"/>
        <v>-21.27813986290781</v>
      </c>
      <c r="S9" s="36">
        <f t="shared" si="9"/>
        <v>-21.27813986290781</v>
      </c>
      <c r="T9" s="40"/>
      <c r="U9" s="37">
        <f>VLOOKUP(C9,'[2]Ranking '!$C$1:$H$65536,6,FALSE)</f>
        <v>533</v>
      </c>
      <c r="V9" s="37" t="b">
        <f t="shared" si="10"/>
        <v>0</v>
      </c>
      <c r="W9" s="37">
        <f>VLOOKUP(C9,[3]Proportionality!B:B,1,FALSE)</f>
        <v>5210</v>
      </c>
      <c r="X9" s="3"/>
    </row>
    <row r="10" spans="1:24" ht="15.6" x14ac:dyDescent="0.3">
      <c r="A10" s="26">
        <v>7</v>
      </c>
      <c r="B10" s="27">
        <v>7</v>
      </c>
      <c r="C10" s="28">
        <v>5220</v>
      </c>
      <c r="D10" s="78" t="s">
        <v>20</v>
      </c>
      <c r="E10" s="86"/>
      <c r="F10" s="80">
        <f>+Proportionality!R10</f>
        <v>0.10457610095844484</v>
      </c>
      <c r="G10" s="80">
        <f>+Proportionality!S10</f>
        <v>0.89542389904155517</v>
      </c>
      <c r="H10" s="154">
        <f>VLOOKUP(C10,'Enrollment FY13'!A:C,3,FALSE)</f>
        <v>273</v>
      </c>
      <c r="I10" s="81">
        <f>+'Proportionality FTE'!P10</f>
        <v>33.25</v>
      </c>
      <c r="J10" s="82">
        <f t="shared" si="2"/>
        <v>29.772844643131709</v>
      </c>
      <c r="K10" s="83">
        <f t="shared" si="3"/>
        <v>3.4771553568682911</v>
      </c>
      <c r="L10" s="132">
        <f t="shared" si="4"/>
        <v>9.1694295010194242</v>
      </c>
      <c r="M10" s="84">
        <f t="shared" si="0"/>
        <v>13.843568752072315</v>
      </c>
      <c r="N10" s="35" t="str">
        <f t="shared" si="5"/>
        <v/>
      </c>
      <c r="O10" s="132">
        <f t="shared" si="6"/>
        <v>-4.6741392510528907</v>
      </c>
      <c r="P10" s="132">
        <f t="shared" si="7"/>
        <v>-139.16242176196172</v>
      </c>
      <c r="Q10" s="132">
        <f t="shared" si="8"/>
        <v>-10.052496162965911</v>
      </c>
      <c r="R10" s="34">
        <f t="shared" si="1"/>
        <v>-11.226522068180124</v>
      </c>
      <c r="S10" s="36">
        <f t="shared" si="9"/>
        <v>-11.226522068180124</v>
      </c>
      <c r="T10" s="40"/>
      <c r="U10" s="37">
        <f>VLOOKUP(C10,'[2]Ranking '!$C$1:$H$65536,6,FALSE)</f>
        <v>372</v>
      </c>
      <c r="V10" s="37" t="b">
        <f t="shared" si="10"/>
        <v>0</v>
      </c>
      <c r="W10" s="37">
        <f>VLOOKUP(C10,[3]Proportionality!B:B,1,FALSE)</f>
        <v>5220</v>
      </c>
      <c r="X10" s="38"/>
    </row>
    <row r="11" spans="1:24" ht="15.6" x14ac:dyDescent="0.3">
      <c r="A11" s="39">
        <v>8</v>
      </c>
      <c r="B11" s="27">
        <v>8</v>
      </c>
      <c r="C11" s="28">
        <v>6320</v>
      </c>
      <c r="D11" s="78" t="s">
        <v>21</v>
      </c>
      <c r="E11" s="86"/>
      <c r="F11" s="80">
        <f>+Proportionality!R11</f>
        <v>0.10041616729453796</v>
      </c>
      <c r="G11" s="80">
        <f>+Proportionality!S11</f>
        <v>0.89958383270546205</v>
      </c>
      <c r="H11" s="154">
        <f>VLOOKUP(C11,'Enrollment FY13'!A:C,3,FALSE)</f>
        <v>364</v>
      </c>
      <c r="I11" s="81">
        <f>+'Proportionality FTE'!P11</f>
        <v>46.835000000000001</v>
      </c>
      <c r="J11" s="82">
        <f t="shared" si="2"/>
        <v>42.132008804760318</v>
      </c>
      <c r="K11" s="83">
        <f t="shared" si="3"/>
        <v>4.7029911952396857</v>
      </c>
      <c r="L11" s="132">
        <f t="shared" si="4"/>
        <v>8.6395121031796887</v>
      </c>
      <c r="M11" s="84">
        <f t="shared" si="0"/>
        <v>13.843568752072315</v>
      </c>
      <c r="N11" s="35" t="str">
        <f t="shared" si="5"/>
        <v/>
      </c>
      <c r="O11" s="132">
        <f t="shared" si="6"/>
        <v>-5.2040566488926263</v>
      </c>
      <c r="P11" s="132">
        <f t="shared" si="7"/>
        <v>-219.25736055161562</v>
      </c>
      <c r="Q11" s="132">
        <f t="shared" si="8"/>
        <v>-15.838210831205924</v>
      </c>
      <c r="R11" s="34">
        <f t="shared" si="1"/>
        <v>-17.606153262640508</v>
      </c>
      <c r="S11" s="36">
        <f t="shared" si="9"/>
        <v>-17.606153262640508</v>
      </c>
      <c r="T11" s="40"/>
      <c r="U11" s="37">
        <f>VLOOKUP(C11,'[2]Ranking '!$C$1:$H$65536,6,FALSE)</f>
        <v>443</v>
      </c>
      <c r="V11" s="37" t="b">
        <f t="shared" si="10"/>
        <v>0</v>
      </c>
      <c r="W11" s="37">
        <f>VLOOKUP(C11,[3]Proportionality!B:B,1,FALSE)</f>
        <v>6320</v>
      </c>
      <c r="X11" s="3"/>
    </row>
    <row r="12" spans="1:24" ht="15.6" x14ac:dyDescent="0.3">
      <c r="A12" s="26">
        <v>9</v>
      </c>
      <c r="B12" s="27">
        <v>9</v>
      </c>
      <c r="C12" s="28">
        <v>5230</v>
      </c>
      <c r="D12" s="78" t="s">
        <v>22</v>
      </c>
      <c r="E12" s="86"/>
      <c r="F12" s="80">
        <f>+Proportionality!R12</f>
        <v>0.26238586337020448</v>
      </c>
      <c r="G12" s="80">
        <f>+Proportionality!S12</f>
        <v>0.73761413662979547</v>
      </c>
      <c r="H12" s="154">
        <f>VLOOKUP(C12,'Enrollment FY13'!A:C,3,FALSE)</f>
        <v>442</v>
      </c>
      <c r="I12" s="81">
        <f>+'Proportionality FTE'!P12</f>
        <v>66.09</v>
      </c>
      <c r="J12" s="82">
        <f t="shared" si="2"/>
        <v>48.748918289863184</v>
      </c>
      <c r="K12" s="83">
        <f t="shared" si="3"/>
        <v>17.341081710136816</v>
      </c>
      <c r="L12" s="132">
        <f t="shared" si="4"/>
        <v>9.0668678507254015</v>
      </c>
      <c r="M12" s="84">
        <f t="shared" si="0"/>
        <v>13.843568752072315</v>
      </c>
      <c r="N12" s="35" t="str">
        <f t="shared" si="5"/>
        <v/>
      </c>
      <c r="O12" s="132">
        <f t="shared" si="6"/>
        <v>-4.7767009013469135</v>
      </c>
      <c r="P12" s="132">
        <f t="shared" si="7"/>
        <v>-232.85900193487652</v>
      </c>
      <c r="Q12" s="132">
        <f t="shared" si="8"/>
        <v>-16.820735036261414</v>
      </c>
      <c r="R12" s="34">
        <f t="shared" si="1"/>
        <v>-22.804247100138824</v>
      </c>
      <c r="S12" s="36">
        <f t="shared" si="9"/>
        <v>-22.804247100138824</v>
      </c>
      <c r="T12" s="40"/>
      <c r="U12" s="37">
        <f>VLOOKUP(C12,'[2]Ranking '!$C$1:$H$65536,6,FALSE)</f>
        <v>414</v>
      </c>
      <c r="V12" s="37" t="b">
        <f t="shared" si="10"/>
        <v>0</v>
      </c>
      <c r="W12" s="37">
        <f>VLOOKUP(C12,[3]Proportionality!B:B,1,FALSE)</f>
        <v>5230</v>
      </c>
      <c r="X12" s="3"/>
    </row>
    <row r="13" spans="1:24" ht="15.6" x14ac:dyDescent="0.3">
      <c r="A13" s="39">
        <v>10</v>
      </c>
      <c r="B13" s="27">
        <v>10</v>
      </c>
      <c r="C13" s="28">
        <v>5250</v>
      </c>
      <c r="D13" s="78" t="s">
        <v>23</v>
      </c>
      <c r="E13" s="86"/>
      <c r="F13" s="80">
        <f>+Proportionality!R13</f>
        <v>7.05530503944789E-2</v>
      </c>
      <c r="G13" s="80">
        <f>+Proportionality!S13</f>
        <v>0.9294469496055211</v>
      </c>
      <c r="H13" s="154">
        <f>VLOOKUP(C13,'Enrollment FY13'!A:C,3,FALSE)</f>
        <v>289</v>
      </c>
      <c r="I13" s="81">
        <f>+'Proportionality FTE'!P13</f>
        <v>50.335000000000001</v>
      </c>
      <c r="J13" s="82">
        <f t="shared" si="2"/>
        <v>46.783712208393908</v>
      </c>
      <c r="K13" s="83">
        <f t="shared" si="3"/>
        <v>3.5512877916060956</v>
      </c>
      <c r="L13" s="132">
        <f t="shared" si="4"/>
        <v>6.1773635814249852</v>
      </c>
      <c r="M13" s="84">
        <f t="shared" si="0"/>
        <v>13.843568752072315</v>
      </c>
      <c r="N13" s="35" t="str">
        <f t="shared" si="5"/>
        <v/>
      </c>
      <c r="O13" s="132">
        <f t="shared" si="6"/>
        <v>-7.6662051706473298</v>
      </c>
      <c r="P13" s="132">
        <f t="shared" si="7"/>
        <v>-358.65353643406598</v>
      </c>
      <c r="Q13" s="132">
        <f t="shared" si="8"/>
        <v>-25.907592388731214</v>
      </c>
      <c r="R13" s="34">
        <f t="shared" si="1"/>
        <v>-27.874202395012428</v>
      </c>
      <c r="S13" s="36">
        <f t="shared" si="9"/>
        <v>-27.874202395012428</v>
      </c>
      <c r="T13" s="40"/>
      <c r="U13" s="37">
        <f>VLOOKUP(C13,'[2]Ranking '!$C$1:$H$65536,6,FALSE)</f>
        <v>316</v>
      </c>
      <c r="V13" s="37" t="b">
        <f t="shared" si="10"/>
        <v>0</v>
      </c>
      <c r="W13" s="37">
        <f>VLOOKUP(C13,[3]Proportionality!B:B,1,FALSE)</f>
        <v>5250</v>
      </c>
      <c r="X13" s="3"/>
    </row>
    <row r="14" spans="1:24" ht="15.6" x14ac:dyDescent="0.3">
      <c r="A14" s="26">
        <v>11</v>
      </c>
      <c r="B14" s="27">
        <v>11</v>
      </c>
      <c r="C14" s="28">
        <v>5260</v>
      </c>
      <c r="D14" s="78" t="s">
        <v>24</v>
      </c>
      <c r="E14" s="86"/>
      <c r="F14" s="80">
        <f>+Proportionality!R14</f>
        <v>0.15020548058404354</v>
      </c>
      <c r="G14" s="80">
        <f>+Proportionality!S14</f>
        <v>0.84979451941595641</v>
      </c>
      <c r="H14" s="154">
        <f>VLOOKUP(C14,'Enrollment FY13'!A:C,3,FALSE)</f>
        <v>357</v>
      </c>
      <c r="I14" s="81">
        <f>+'Proportionality FTE'!P14</f>
        <v>46.680000000000007</v>
      </c>
      <c r="J14" s="82">
        <f t="shared" si="2"/>
        <v>39.668408166336853</v>
      </c>
      <c r="K14" s="83">
        <f t="shared" si="3"/>
        <v>7.0115918336631537</v>
      </c>
      <c r="L14" s="132">
        <f t="shared" si="4"/>
        <v>8.9996048871695091</v>
      </c>
      <c r="M14" s="84">
        <f t="shared" si="0"/>
        <v>13.843568752072315</v>
      </c>
      <c r="N14" s="35" t="str">
        <f t="shared" si="5"/>
        <v/>
      </c>
      <c r="O14" s="132">
        <f t="shared" si="6"/>
        <v>-4.8439638649028058</v>
      </c>
      <c r="P14" s="132">
        <f t="shared" si="7"/>
        <v>-192.15233573595108</v>
      </c>
      <c r="Q14" s="132">
        <f t="shared" si="8"/>
        <v>-13.880260153812348</v>
      </c>
      <c r="R14" s="34">
        <f t="shared" si="1"/>
        <v>-16.333666358959245</v>
      </c>
      <c r="S14" s="36">
        <f t="shared" si="9"/>
        <v>-16.333666358959245</v>
      </c>
      <c r="T14" s="40"/>
      <c r="U14" s="37">
        <f>VLOOKUP(C14,'[2]Ranking '!$C$1:$H$65536,6,FALSE)</f>
        <v>323</v>
      </c>
      <c r="V14" s="37" t="b">
        <f t="shared" si="10"/>
        <v>0</v>
      </c>
      <c r="W14" s="37">
        <f>VLOOKUP(C14,[3]Proportionality!B:B,1,FALSE)</f>
        <v>5260</v>
      </c>
      <c r="X14" s="3"/>
    </row>
    <row r="15" spans="1:24" ht="15.6" x14ac:dyDescent="0.3">
      <c r="A15" s="39">
        <v>12</v>
      </c>
      <c r="B15" s="27">
        <v>12</v>
      </c>
      <c r="C15" s="28">
        <v>5280</v>
      </c>
      <c r="D15" s="29" t="s">
        <v>25</v>
      </c>
      <c r="E15" s="30"/>
      <c r="F15" s="80">
        <f>+Proportionality!R15</f>
        <v>0.11775873080321064</v>
      </c>
      <c r="G15" s="80">
        <f>+Proportionality!S15</f>
        <v>0.88224126919678947</v>
      </c>
      <c r="H15" s="154">
        <f>VLOOKUP(C15,'Enrollment FY13'!A:C,3,FALSE)</f>
        <v>300</v>
      </c>
      <c r="I15" s="81">
        <f>+'Proportionality FTE'!P15</f>
        <v>41.005000000000003</v>
      </c>
      <c r="J15" s="31">
        <f t="shared" si="2"/>
        <v>36.176303243414353</v>
      </c>
      <c r="K15" s="32">
        <f t="shared" si="3"/>
        <v>4.8286967565856527</v>
      </c>
      <c r="L15" s="33">
        <f t="shared" si="4"/>
        <v>8.2927212872313856</v>
      </c>
      <c r="M15" s="34">
        <f t="shared" si="0"/>
        <v>13.843568752072315</v>
      </c>
      <c r="N15" s="35" t="str">
        <f t="shared" si="5"/>
        <v/>
      </c>
      <c r="O15" s="132">
        <f t="shared" si="6"/>
        <v>-5.5508474648409294</v>
      </c>
      <c r="P15" s="132">
        <f t="shared" si="7"/>
        <v>-200.80914114602325</v>
      </c>
      <c r="Q15" s="132">
        <f t="shared" si="8"/>
        <v>-14.505590627847541</v>
      </c>
      <c r="R15" s="34">
        <f t="shared" si="1"/>
        <v>-16.441750272069825</v>
      </c>
      <c r="S15" s="36">
        <f t="shared" si="9"/>
        <v>-16.441750272069825</v>
      </c>
      <c r="T15" s="40"/>
      <c r="U15" s="37">
        <f>VLOOKUP(C15,'[2]Ranking '!$C$1:$H$65536,6,FALSE)</f>
        <v>264</v>
      </c>
      <c r="V15" s="37" t="b">
        <f t="shared" si="10"/>
        <v>0</v>
      </c>
      <c r="W15" s="37">
        <f>VLOOKUP(C15,[3]Proportionality!B:B,1,FALSE)</f>
        <v>5280</v>
      </c>
      <c r="X15" s="3"/>
    </row>
    <row r="16" spans="1:24" ht="15.6" x14ac:dyDescent="0.3">
      <c r="A16" s="26">
        <v>13</v>
      </c>
      <c r="B16" s="27">
        <v>13</v>
      </c>
      <c r="C16" s="28">
        <v>5300</v>
      </c>
      <c r="D16" s="29" t="s">
        <v>26</v>
      </c>
      <c r="E16" s="30"/>
      <c r="F16" s="80">
        <f>+Proportionality!R16</f>
        <v>0.2298748242110934</v>
      </c>
      <c r="G16" s="80">
        <f>+Proportionality!S16</f>
        <v>0.7701251757889066</v>
      </c>
      <c r="H16" s="154">
        <f>VLOOKUP(C16,'Enrollment FY13'!A:C,3,FALSE)</f>
        <v>392</v>
      </c>
      <c r="I16" s="81">
        <f>+'Proportionality FTE'!P16</f>
        <v>57.045000000000002</v>
      </c>
      <c r="J16" s="31">
        <f t="shared" si="2"/>
        <v>43.931790652878178</v>
      </c>
      <c r="K16" s="32">
        <f t="shared" si="3"/>
        <v>13.113209347121824</v>
      </c>
      <c r="L16" s="33">
        <f t="shared" si="4"/>
        <v>8.9229233357989308</v>
      </c>
      <c r="M16" s="34">
        <f t="shared" si="0"/>
        <v>13.843568752072315</v>
      </c>
      <c r="N16" s="35" t="str">
        <f t="shared" si="5"/>
        <v/>
      </c>
      <c r="O16" s="132">
        <f t="shared" si="6"/>
        <v>-4.9206454162733841</v>
      </c>
      <c r="P16" s="132">
        <f t="shared" si="7"/>
        <v>-216.1727643047669</v>
      </c>
      <c r="Q16" s="132">
        <f t="shared" si="8"/>
        <v>-15.61539283520421</v>
      </c>
      <c r="R16" s="34">
        <f t="shared" si="1"/>
        <v>-20.276434696746534</v>
      </c>
      <c r="S16" s="36">
        <f t="shared" si="9"/>
        <v>-20.276434696746534</v>
      </c>
      <c r="T16" s="40"/>
      <c r="U16" s="37">
        <f>VLOOKUP(C16,'[2]Ranking '!$C$1:$H$65536,6,FALSE)</f>
        <v>313</v>
      </c>
      <c r="V16" s="37" t="b">
        <f t="shared" si="10"/>
        <v>0</v>
      </c>
      <c r="W16" s="37">
        <f>VLOOKUP(C16,[3]Proportionality!B:B,1,FALSE)</f>
        <v>5300</v>
      </c>
    </row>
    <row r="17" spans="1:23" ht="15.6" x14ac:dyDescent="0.3">
      <c r="A17" s="39">
        <v>14</v>
      </c>
      <c r="B17" s="27">
        <v>14</v>
      </c>
      <c r="C17" s="28">
        <v>5310</v>
      </c>
      <c r="D17" s="29" t="s">
        <v>27</v>
      </c>
      <c r="E17" s="30"/>
      <c r="F17" s="80">
        <f>+Proportionality!R17</f>
        <v>0.2745741937821044</v>
      </c>
      <c r="G17" s="80">
        <f>+Proportionality!S17</f>
        <v>0.72542580621789554</v>
      </c>
      <c r="H17" s="154">
        <f>VLOOKUP(C17,'Enrollment FY13'!A:C,3,FALSE)</f>
        <v>178</v>
      </c>
      <c r="I17" s="81">
        <f>+'Proportionality FTE'!P17</f>
        <v>26.090000000000003</v>
      </c>
      <c r="J17" s="31">
        <f t="shared" si="2"/>
        <v>18.926359284224898</v>
      </c>
      <c r="K17" s="32">
        <f t="shared" si="3"/>
        <v>7.163640715775105</v>
      </c>
      <c r="L17" s="33">
        <f t="shared" si="4"/>
        <v>9.4048727136001702</v>
      </c>
      <c r="M17" s="34">
        <f t="shared" si="0"/>
        <v>13.843568752072315</v>
      </c>
      <c r="N17" s="35" t="str">
        <f t="shared" si="5"/>
        <v/>
      </c>
      <c r="O17" s="132">
        <f t="shared" si="6"/>
        <v>-4.4386960384721448</v>
      </c>
      <c r="P17" s="132">
        <f t="shared" si="7"/>
        <v>-84.008355977589545</v>
      </c>
      <c r="Q17" s="132">
        <f t="shared" si="8"/>
        <v>-6.0684031323219241</v>
      </c>
      <c r="R17" s="34">
        <f t="shared" si="1"/>
        <v>-8.3652981191286191</v>
      </c>
      <c r="S17" s="36">
        <f t="shared" si="9"/>
        <v>-8.3652981191286191</v>
      </c>
      <c r="T17" s="40"/>
      <c r="U17" s="37">
        <f>VLOOKUP(C17,'[2]Ranking '!$C$1:$H$65536,6,FALSE)</f>
        <v>199</v>
      </c>
      <c r="V17" s="37" t="b">
        <f t="shared" si="10"/>
        <v>0</v>
      </c>
      <c r="W17" s="37">
        <f>VLOOKUP(C17,[3]Proportionality!B:B,1,FALSE)</f>
        <v>5310</v>
      </c>
    </row>
    <row r="18" spans="1:23" ht="15.6" x14ac:dyDescent="0.3">
      <c r="A18" s="26">
        <v>15</v>
      </c>
      <c r="B18" s="27">
        <v>15</v>
      </c>
      <c r="C18" s="28">
        <v>5330</v>
      </c>
      <c r="D18" s="29" t="s">
        <v>28</v>
      </c>
      <c r="E18" s="30"/>
      <c r="F18" s="80">
        <f>+Proportionality!R18</f>
        <v>0.22343989984144463</v>
      </c>
      <c r="G18" s="80">
        <f>+Proportionality!S18</f>
        <v>0.77656010015855537</v>
      </c>
      <c r="H18" s="154">
        <f>VLOOKUP(C18,'Enrollment FY13'!A:C,3,FALSE)</f>
        <v>164</v>
      </c>
      <c r="I18" s="81">
        <f>+'Proportionality FTE'!P18</f>
        <v>26.590000000000003</v>
      </c>
      <c r="J18" s="31">
        <f>I18*G18</f>
        <v>20.648733063215989</v>
      </c>
      <c r="K18" s="32">
        <f t="shared" si="3"/>
        <v>5.9412669367840136</v>
      </c>
      <c r="L18" s="33">
        <f t="shared" si="4"/>
        <v>7.9423759074183806</v>
      </c>
      <c r="M18" s="34">
        <f t="shared" si="0"/>
        <v>13.843568752072315</v>
      </c>
      <c r="N18" s="35" t="str">
        <f t="shared" si="5"/>
        <v/>
      </c>
      <c r="O18" s="132">
        <f t="shared" si="6"/>
        <v>-5.9011928446539343</v>
      </c>
      <c r="P18" s="132">
        <f t="shared" si="7"/>
        <v>-121.85215580381931</v>
      </c>
      <c r="Q18" s="132">
        <f t="shared" si="8"/>
        <v>-8.8020768333727997</v>
      </c>
      <c r="R18" s="34">
        <f t="shared" si="1"/>
        <v>-11.334701372856554</v>
      </c>
      <c r="S18" s="36">
        <f t="shared" si="9"/>
        <v>-11.334701372856554</v>
      </c>
      <c r="T18" s="40"/>
      <c r="U18" s="37">
        <f>VLOOKUP(C18,'[2]Ranking '!$C$1:$H$65536,6,FALSE)</f>
        <v>184</v>
      </c>
      <c r="V18" s="37" t="b">
        <f t="shared" si="10"/>
        <v>0</v>
      </c>
      <c r="W18" s="37">
        <f>VLOOKUP(C18,[3]Proportionality!B:B,1,FALSE)</f>
        <v>5330</v>
      </c>
    </row>
    <row r="19" spans="1:23" ht="15.6" x14ac:dyDescent="0.3">
      <c r="A19" s="39">
        <v>16</v>
      </c>
      <c r="B19" s="27">
        <v>16</v>
      </c>
      <c r="C19" s="28">
        <v>5350</v>
      </c>
      <c r="D19" s="29" t="s">
        <v>29</v>
      </c>
      <c r="E19" s="30"/>
      <c r="F19" s="80">
        <f>+Proportionality!R19</f>
        <v>8.372619489392466E-2</v>
      </c>
      <c r="G19" s="80">
        <f>+Proportionality!S19</f>
        <v>0.91627380510607537</v>
      </c>
      <c r="H19" s="154">
        <f>VLOOKUP(C19,'Enrollment FY13'!A:C,3,FALSE)</f>
        <v>418</v>
      </c>
      <c r="I19" s="81">
        <f>+'Proportionality FTE'!P19</f>
        <v>53.465000000000003</v>
      </c>
      <c r="J19" s="31">
        <f t="shared" si="2"/>
        <v>48.98857898999632</v>
      </c>
      <c r="K19" s="32">
        <f t="shared" si="3"/>
        <v>4.4764210100036825</v>
      </c>
      <c r="L19" s="33">
        <f t="shared" si="4"/>
        <v>8.5326010392209461</v>
      </c>
      <c r="M19" s="34">
        <f t="shared" si="0"/>
        <v>13.843568752072315</v>
      </c>
      <c r="N19" s="35" t="str">
        <f t="shared" si="5"/>
        <v/>
      </c>
      <c r="O19" s="132">
        <f t="shared" si="6"/>
        <v>-5.3109677128513688</v>
      </c>
      <c r="P19" s="132">
        <f t="shared" si="7"/>
        <v>-260.17676131433939</v>
      </c>
      <c r="Q19" s="132">
        <f t="shared" si="8"/>
        <v>-18.794052745639899</v>
      </c>
      <c r="R19" s="34">
        <f t="shared" si="1"/>
        <v>-20.511393691391348</v>
      </c>
      <c r="S19" s="36">
        <f t="shared" si="9"/>
        <v>-20.511393691391348</v>
      </c>
      <c r="T19" s="40"/>
      <c r="U19" s="37">
        <f>VLOOKUP(C19,'[2]Ranking '!$C$1:$H$65536,6,FALSE)</f>
        <v>263</v>
      </c>
      <c r="V19" s="37" t="b">
        <f t="shared" si="10"/>
        <v>0</v>
      </c>
      <c r="W19" s="37">
        <f>VLOOKUP(C19,[3]Proportionality!B:B,1,FALSE)</f>
        <v>5350</v>
      </c>
    </row>
    <row r="20" spans="1:23" ht="15.6" x14ac:dyDescent="0.3">
      <c r="A20" s="26">
        <v>17</v>
      </c>
      <c r="B20" s="27">
        <v>17</v>
      </c>
      <c r="C20" s="28">
        <v>5360</v>
      </c>
      <c r="D20" s="29" t="s">
        <v>30</v>
      </c>
      <c r="E20" s="30"/>
      <c r="F20" s="80">
        <f>+Proportionality!R20</f>
        <v>0.19606784623773033</v>
      </c>
      <c r="G20" s="80">
        <f>+Proportionality!S20</f>
        <v>0.80393215376226979</v>
      </c>
      <c r="H20" s="154">
        <f>VLOOKUP(C20,'Enrollment FY13'!A:C,3,FALSE)</f>
        <v>215</v>
      </c>
      <c r="I20" s="81">
        <f>+'Proportionality FTE'!P20</f>
        <v>30.335000000000001</v>
      </c>
      <c r="J20" s="31">
        <f t="shared" si="2"/>
        <v>24.387281884378453</v>
      </c>
      <c r="K20" s="32">
        <f t="shared" si="3"/>
        <v>5.9477181156215497</v>
      </c>
      <c r="L20" s="33">
        <f t="shared" si="4"/>
        <v>8.8160706477797621</v>
      </c>
      <c r="M20" s="34">
        <f t="shared" si="0"/>
        <v>13.843568752072315</v>
      </c>
      <c r="N20" s="35" t="str">
        <f t="shared" si="5"/>
        <v/>
      </c>
      <c r="O20" s="132">
        <f t="shared" si="6"/>
        <v>-5.0274981042925528</v>
      </c>
      <c r="P20" s="132">
        <f t="shared" si="7"/>
        <v>-122.60701344256078</v>
      </c>
      <c r="Q20" s="132">
        <f t="shared" si="8"/>
        <v>-8.8566045098889052</v>
      </c>
      <c r="R20" s="34">
        <f t="shared" si="1"/>
        <v>-11.016606897039082</v>
      </c>
      <c r="S20" s="36">
        <f t="shared" si="9"/>
        <v>-11.016606897039082</v>
      </c>
      <c r="T20" s="40"/>
      <c r="U20" s="37">
        <f>VLOOKUP(C20,'[2]Ranking '!$C$1:$H$65536,6,FALSE)</f>
        <v>360</v>
      </c>
      <c r="V20" s="37" t="b">
        <f t="shared" si="10"/>
        <v>0</v>
      </c>
      <c r="W20" s="37">
        <f>VLOOKUP(C20,[3]Proportionality!B:B,1,FALSE)</f>
        <v>5360</v>
      </c>
    </row>
    <row r="21" spans="1:23" ht="15.6" x14ac:dyDescent="0.3">
      <c r="A21" s="39">
        <v>18</v>
      </c>
      <c r="B21" s="27">
        <v>18</v>
      </c>
      <c r="C21" s="28">
        <v>6360</v>
      </c>
      <c r="D21" s="29" t="s">
        <v>31</v>
      </c>
      <c r="E21" s="30"/>
      <c r="F21" s="80">
        <f>+Proportionality!R21</f>
        <v>0.16416896298274711</v>
      </c>
      <c r="G21" s="80">
        <f>+Proportionality!S21</f>
        <v>0.83583103701725292</v>
      </c>
      <c r="H21" s="154">
        <f>VLOOKUP(C21,'Enrollment FY13'!A:C,3,FALSE)</f>
        <v>225</v>
      </c>
      <c r="I21" s="81">
        <f>+'Proportionality FTE'!P21</f>
        <v>30.005000000000003</v>
      </c>
      <c r="J21" s="31">
        <f t="shared" si="2"/>
        <v>25.079110265702678</v>
      </c>
      <c r="K21" s="32">
        <f t="shared" si="3"/>
        <v>4.9258897342973276</v>
      </c>
      <c r="L21" s="33">
        <f t="shared" si="4"/>
        <v>8.9716101415169511</v>
      </c>
      <c r="M21" s="34">
        <f t="shared" si="0"/>
        <v>13.843568752072315</v>
      </c>
      <c r="N21" s="35" t="str">
        <f t="shared" si="5"/>
        <v/>
      </c>
      <c r="O21" s="132">
        <f t="shared" si="6"/>
        <v>-4.8719586105553638</v>
      </c>
      <c r="P21" s="132">
        <f t="shared" si="7"/>
        <v>-122.18438720405757</v>
      </c>
      <c r="Q21" s="132">
        <f t="shared" si="8"/>
        <v>-8.8260758040275675</v>
      </c>
      <c r="R21" s="34">
        <f t="shared" si="1"/>
        <v>-10.559641139343553</v>
      </c>
      <c r="S21" s="36">
        <f t="shared" si="9"/>
        <v>-10.559641139343553</v>
      </c>
      <c r="T21" s="40"/>
      <c r="U21" s="37">
        <f>VLOOKUP(C21,'[2]Ranking '!$C$1:$H$65536,6,FALSE)</f>
        <v>226</v>
      </c>
      <c r="V21" s="37" t="b">
        <f t="shared" si="10"/>
        <v>0</v>
      </c>
      <c r="W21" s="37">
        <f>VLOOKUP(C21,[3]Proportionality!B:B,1,FALSE)</f>
        <v>6360</v>
      </c>
    </row>
    <row r="22" spans="1:23" ht="15.6" x14ac:dyDescent="0.3">
      <c r="A22" s="26">
        <v>19</v>
      </c>
      <c r="B22" s="27">
        <v>19</v>
      </c>
      <c r="C22" s="28">
        <v>5390</v>
      </c>
      <c r="D22" s="78" t="s">
        <v>32</v>
      </c>
      <c r="E22" s="30"/>
      <c r="F22" s="80">
        <f>+Proportionality!R22</f>
        <v>0.18368148513451352</v>
      </c>
      <c r="G22" s="80">
        <f>+Proportionality!S22</f>
        <v>0.81631851486548646</v>
      </c>
      <c r="H22" s="154">
        <f>VLOOKUP(C22,'Enrollment FY13'!A:C,3,FALSE)</f>
        <v>245</v>
      </c>
      <c r="I22" s="81">
        <f>+'Proportionality FTE'!P22</f>
        <v>26.835000000000001</v>
      </c>
      <c r="J22" s="31">
        <f t="shared" si="2"/>
        <v>21.905907346415329</v>
      </c>
      <c r="K22" s="32">
        <f t="shared" si="3"/>
        <v>4.9290926535846706</v>
      </c>
      <c r="L22" s="33">
        <f t="shared" si="4"/>
        <v>11.184197765726955</v>
      </c>
      <c r="M22" s="34">
        <f t="shared" si="0"/>
        <v>13.843568752072315</v>
      </c>
      <c r="N22" s="35" t="str">
        <f t="shared" si="5"/>
        <v/>
      </c>
      <c r="O22" s="132">
        <f t="shared" si="6"/>
        <v>-2.6593709863453601</v>
      </c>
      <c r="P22" s="132">
        <f t="shared" si="7"/>
        <v>-58.255934426626602</v>
      </c>
      <c r="Q22" s="132">
        <f t="shared" si="8"/>
        <v>-4.2081587103690996</v>
      </c>
      <c r="R22" s="34">
        <f t="shared" si="1"/>
        <v>-5.1550450390832099</v>
      </c>
      <c r="S22" s="36">
        <f t="shared" si="9"/>
        <v>-5.1550450390832099</v>
      </c>
      <c r="T22" s="40"/>
      <c r="U22" s="37">
        <f>VLOOKUP(C22,'[2]Ranking '!$C$1:$H$65536,6,FALSE)</f>
        <v>278</v>
      </c>
      <c r="V22" s="37" t="b">
        <f t="shared" si="10"/>
        <v>0</v>
      </c>
      <c r="W22" s="37">
        <f>VLOOKUP(C22,[3]Proportionality!B:B,1,FALSE)</f>
        <v>5390</v>
      </c>
    </row>
    <row r="23" spans="1:23" ht="15.6" x14ac:dyDescent="0.3">
      <c r="A23" s="39">
        <v>20</v>
      </c>
      <c r="B23" s="27">
        <v>20</v>
      </c>
      <c r="C23" s="28">
        <v>5400</v>
      </c>
      <c r="D23" s="78" t="s">
        <v>33</v>
      </c>
      <c r="E23" s="30"/>
      <c r="F23" s="80">
        <f>+Proportionality!R23</f>
        <v>0.12367427013524368</v>
      </c>
      <c r="G23" s="80">
        <f>+Proportionality!S23</f>
        <v>0.87632572986475643</v>
      </c>
      <c r="H23" s="154">
        <f>VLOOKUP(C23,'Enrollment FY13'!A:C,3,FALSE)</f>
        <v>228</v>
      </c>
      <c r="I23" s="81">
        <f>+'Proportionality FTE'!P23</f>
        <v>38.360000000000007</v>
      </c>
      <c r="J23" s="31">
        <f t="shared" si="2"/>
        <v>33.615854997612061</v>
      </c>
      <c r="K23" s="32">
        <f t="shared" si="3"/>
        <v>4.7441450023879481</v>
      </c>
      <c r="L23" s="33">
        <f t="shared" si="4"/>
        <v>6.7825137875028387</v>
      </c>
      <c r="M23" s="34">
        <f t="shared" si="0"/>
        <v>13.843568752072315</v>
      </c>
      <c r="N23" s="35" t="str">
        <f t="shared" si="5"/>
        <v/>
      </c>
      <c r="O23" s="132">
        <f t="shared" si="6"/>
        <v>-7.0610549645694762</v>
      </c>
      <c r="P23" s="132">
        <f t="shared" si="7"/>
        <v>-237.36339981913628</v>
      </c>
      <c r="Q23" s="132">
        <f t="shared" si="8"/>
        <v>-17.146113409781282</v>
      </c>
      <c r="R23" s="34">
        <f t="shared" si="1"/>
        <v>-19.565913478801367</v>
      </c>
      <c r="S23" s="36">
        <f t="shared" si="9"/>
        <v>-19.565913478801367</v>
      </c>
      <c r="T23" s="40"/>
      <c r="U23" s="37">
        <f>VLOOKUP(C23,'[2]Ranking '!$C$1:$H$65536,6,FALSE)</f>
        <v>208</v>
      </c>
      <c r="V23" s="37" t="b">
        <f t="shared" si="10"/>
        <v>0</v>
      </c>
      <c r="W23" s="37">
        <f>VLOOKUP(C23,[3]Proportionality!B:B,1,FALSE)</f>
        <v>5400</v>
      </c>
    </row>
    <row r="24" spans="1:23" ht="15.6" x14ac:dyDescent="0.3">
      <c r="A24" s="26">
        <v>21</v>
      </c>
      <c r="B24" s="27">
        <v>21</v>
      </c>
      <c r="C24" s="28">
        <v>5430</v>
      </c>
      <c r="D24" s="78" t="s">
        <v>35</v>
      </c>
      <c r="E24" s="30"/>
      <c r="F24" s="80">
        <f>+Proportionality!R24</f>
        <v>0.24232946583293069</v>
      </c>
      <c r="G24" s="80">
        <f>+Proportionality!S24</f>
        <v>0.7576705341670692</v>
      </c>
      <c r="H24" s="154">
        <f>VLOOKUP(C24,'Enrollment FY13'!A:C,3,FALSE)</f>
        <v>265</v>
      </c>
      <c r="I24" s="81">
        <f>+'Proportionality FTE'!P24</f>
        <v>29.590000000000003</v>
      </c>
      <c r="J24" s="31">
        <f t="shared" si="2"/>
        <v>22.419471106003581</v>
      </c>
      <c r="K24" s="32">
        <f t="shared" si="3"/>
        <v>7.17052889399642</v>
      </c>
      <c r="L24" s="33">
        <f t="shared" si="4"/>
        <v>11.820082585669793</v>
      </c>
      <c r="M24" s="34">
        <f t="shared" si="0"/>
        <v>13.843568752072315</v>
      </c>
      <c r="N24" s="35" t="str">
        <f t="shared" si="5"/>
        <v/>
      </c>
      <c r="O24" s="132">
        <f t="shared" si="6"/>
        <v>-2.0234861664025221</v>
      </c>
      <c r="P24" s="132">
        <f t="shared" si="7"/>
        <v>-45.365489641059298</v>
      </c>
      <c r="Q24" s="132">
        <f t="shared" si="8"/>
        <v>-3.2770082955862305</v>
      </c>
      <c r="R24" s="34">
        <f t="shared" si="1"/>
        <v>-4.3251098568703714</v>
      </c>
      <c r="S24" s="36"/>
      <c r="T24" s="40"/>
      <c r="U24" s="37">
        <f>VLOOKUP(C24,'[2]Ranking '!$C$1:$H$65536,6,FALSE)</f>
        <v>215</v>
      </c>
      <c r="V24" s="37" t="b">
        <f t="shared" si="10"/>
        <v>0</v>
      </c>
      <c r="W24" s="37">
        <f>VLOOKUP(C24,[3]Proportionality!B:B,1,FALSE)</f>
        <v>5430</v>
      </c>
    </row>
    <row r="25" spans="1:23" ht="15.6" x14ac:dyDescent="0.3">
      <c r="A25" s="39">
        <v>22</v>
      </c>
      <c r="B25" s="27">
        <v>22</v>
      </c>
      <c r="C25" s="28">
        <v>5460</v>
      </c>
      <c r="D25" s="29" t="s">
        <v>36</v>
      </c>
      <c r="E25" s="30"/>
      <c r="F25" s="80">
        <f>+Proportionality!R25</f>
        <v>0.151587011893006</v>
      </c>
      <c r="G25" s="80">
        <f>+Proportionality!S25</f>
        <v>0.84841298810699406</v>
      </c>
      <c r="H25" s="154">
        <f>VLOOKUP(C25,'Enrollment FY13'!A:C,3,FALSE)</f>
        <v>339</v>
      </c>
      <c r="I25" s="81">
        <f>+'Proportionality FTE'!P25</f>
        <v>40.630000000000003</v>
      </c>
      <c r="J25" s="31">
        <f t="shared" si="2"/>
        <v>34.471019706787168</v>
      </c>
      <c r="K25" s="32">
        <f t="shared" si="3"/>
        <v>6.1589802932128341</v>
      </c>
      <c r="L25" s="33">
        <f t="shared" si="4"/>
        <v>9.8343478923326604</v>
      </c>
      <c r="M25" s="34">
        <f t="shared" si="0"/>
        <v>13.843568752072315</v>
      </c>
      <c r="N25" s="35" t="str">
        <f t="shared" si="5"/>
        <v/>
      </c>
      <c r="O25" s="132">
        <f t="shared" si="6"/>
        <v>-4.0092208597396546</v>
      </c>
      <c r="P25" s="132">
        <f t="shared" si="7"/>
        <v>-138.20193126494783</v>
      </c>
      <c r="Q25" s="132">
        <f t="shared" si="8"/>
        <v>-9.9831144511966734</v>
      </c>
      <c r="R25" s="34">
        <f t="shared" si="1"/>
        <v>-11.766810021934383</v>
      </c>
      <c r="S25" s="36">
        <f t="shared" si="9"/>
        <v>-11.766810021934383</v>
      </c>
      <c r="T25" s="40"/>
      <c r="U25" s="37">
        <f>VLOOKUP(C25,'[2]Ranking '!$C$1:$H$65536,6,FALSE)</f>
        <v>333</v>
      </c>
      <c r="V25" s="37" t="b">
        <f t="shared" si="10"/>
        <v>0</v>
      </c>
      <c r="W25" s="37">
        <f>VLOOKUP(C25,[3]Proportionality!B:B,1,FALSE)</f>
        <v>5460</v>
      </c>
    </row>
    <row r="26" spans="1:23" ht="15.6" x14ac:dyDescent="0.3">
      <c r="A26" s="26">
        <v>23</v>
      </c>
      <c r="B26" s="27">
        <v>23</v>
      </c>
      <c r="C26" s="28">
        <v>5480</v>
      </c>
      <c r="D26" s="78" t="s">
        <v>37</v>
      </c>
      <c r="E26" s="86"/>
      <c r="F26" s="80">
        <f>+Proportionality!R26</f>
        <v>0.18851971920223728</v>
      </c>
      <c r="G26" s="80">
        <f>+Proportionality!S26</f>
        <v>0.81148028079776269</v>
      </c>
      <c r="H26" s="154">
        <f>VLOOKUP(C26,'Enrollment FY13'!A:C,3,FALSE)</f>
        <v>238</v>
      </c>
      <c r="I26" s="81">
        <f>+'Proportionality FTE'!P26</f>
        <v>27.67</v>
      </c>
      <c r="J26" s="82">
        <f t="shared" si="2"/>
        <v>22.453659369674096</v>
      </c>
      <c r="K26" s="83">
        <f t="shared" si="3"/>
        <v>5.2163406303259059</v>
      </c>
      <c r="L26" s="132">
        <f t="shared" si="4"/>
        <v>10.59960855741148</v>
      </c>
      <c r="M26" s="84">
        <f t="shared" si="0"/>
        <v>13.843568752072315</v>
      </c>
      <c r="N26" s="35" t="str">
        <f t="shared" si="5"/>
        <v/>
      </c>
      <c r="O26" s="132">
        <f t="shared" si="6"/>
        <v>-3.2439601946608345</v>
      </c>
      <c r="P26" s="132">
        <f t="shared" si="7"/>
        <v>-72.838777219696055</v>
      </c>
      <c r="Q26" s="132">
        <f t="shared" si="8"/>
        <v>-5.2615606946577591</v>
      </c>
      <c r="R26" s="34">
        <f t="shared" si="1"/>
        <v>-6.4839045620247751</v>
      </c>
      <c r="S26" s="36">
        <f t="shared" si="9"/>
        <v>-6.4839045620247751</v>
      </c>
      <c r="T26" s="40"/>
      <c r="U26" s="37">
        <f>VLOOKUP(C26,'[2]Ranking '!$C$1:$H$65536,6,FALSE)</f>
        <v>246</v>
      </c>
      <c r="V26" s="37" t="b">
        <f t="shared" si="10"/>
        <v>0</v>
      </c>
      <c r="W26" s="37">
        <f>VLOOKUP(C26,[3]Proportionality!B:B,1,FALSE)</f>
        <v>5480</v>
      </c>
    </row>
    <row r="27" spans="1:23" ht="15.6" x14ac:dyDescent="0.3">
      <c r="A27" s="39">
        <v>24</v>
      </c>
      <c r="B27" s="27">
        <v>24</v>
      </c>
      <c r="C27" s="28">
        <v>5510</v>
      </c>
      <c r="D27" s="78" t="s">
        <v>38</v>
      </c>
      <c r="E27" s="86"/>
      <c r="F27" s="80">
        <f>+Proportionality!R27</f>
        <v>0.25555254408853828</v>
      </c>
      <c r="G27" s="80">
        <f>+Proportionality!S27</f>
        <v>0.74444745591146166</v>
      </c>
      <c r="H27" s="154">
        <f>VLOOKUP(C27,'Enrollment FY13'!A:C,3,FALSE)</f>
        <v>147</v>
      </c>
      <c r="I27" s="81">
        <f>+'Proportionality FTE'!P27</f>
        <v>19.25</v>
      </c>
      <c r="J27" s="82">
        <f t="shared" si="2"/>
        <v>14.330613526295638</v>
      </c>
      <c r="K27" s="83">
        <f t="shared" si="3"/>
        <v>4.9193864737043622</v>
      </c>
      <c r="L27" s="132">
        <f t="shared" si="4"/>
        <v>10.257760404344562</v>
      </c>
      <c r="M27" s="84">
        <f t="shared" si="0"/>
        <v>13.843568752072315</v>
      </c>
      <c r="N27" s="35" t="str">
        <f t="shared" si="5"/>
        <v/>
      </c>
      <c r="O27" s="132">
        <f t="shared" si="6"/>
        <v>-3.5858083477277525</v>
      </c>
      <c r="P27" s="132">
        <f t="shared" si="7"/>
        <v>-51.386833610651145</v>
      </c>
      <c r="Q27" s="132">
        <f t="shared" si="8"/>
        <v>-3.7119643446679014</v>
      </c>
      <c r="R27" s="34">
        <f t="shared" si="1"/>
        <v>-4.9862005910453018</v>
      </c>
      <c r="S27" s="36">
        <f t="shared" si="9"/>
        <v>-4.9862005910453018</v>
      </c>
      <c r="T27" s="40"/>
      <c r="U27" s="37">
        <f>VLOOKUP(C27,'[2]Ranking '!$C$1:$H$65536,6,FALSE)</f>
        <v>185</v>
      </c>
      <c r="V27" s="37" t="b">
        <f t="shared" si="10"/>
        <v>0</v>
      </c>
      <c r="W27" s="37">
        <f>VLOOKUP(C27,[3]Proportionality!B:B,1,FALSE)</f>
        <v>5510</v>
      </c>
    </row>
    <row r="28" spans="1:23" ht="15.6" x14ac:dyDescent="0.3">
      <c r="A28" s="26">
        <v>25</v>
      </c>
      <c r="B28" s="27">
        <v>25</v>
      </c>
      <c r="C28" s="28">
        <v>5520</v>
      </c>
      <c r="D28" s="78" t="s">
        <v>39</v>
      </c>
      <c r="E28" s="86"/>
      <c r="F28" s="80">
        <f>+Proportionality!R28</f>
        <v>0.22388574693303206</v>
      </c>
      <c r="G28" s="80">
        <f>+Proportionality!S28</f>
        <v>0.77611425306696791</v>
      </c>
      <c r="H28" s="154">
        <f>VLOOKUP(C28,'Enrollment FY13'!A:C,3,FALSE)</f>
        <v>260</v>
      </c>
      <c r="I28" s="81">
        <f>+'Proportionality FTE'!P28</f>
        <v>29.25</v>
      </c>
      <c r="J28" s="82">
        <f t="shared" si="2"/>
        <v>22.70134190220881</v>
      </c>
      <c r="K28" s="83">
        <f t="shared" si="3"/>
        <v>6.5486580977911881</v>
      </c>
      <c r="L28" s="132">
        <f t="shared" si="4"/>
        <v>11.453067449493034</v>
      </c>
      <c r="M28" s="84">
        <f t="shared" si="0"/>
        <v>13.843568752072315</v>
      </c>
      <c r="N28" s="35" t="str">
        <f t="shared" si="5"/>
        <v/>
      </c>
      <c r="O28" s="132">
        <f t="shared" si="6"/>
        <v>-2.3905013025792812</v>
      </c>
      <c r="P28" s="132">
        <f t="shared" si="7"/>
        <v>-54.267587387527776</v>
      </c>
      <c r="Q28" s="132">
        <f t="shared" si="8"/>
        <v>-3.9200576353842416</v>
      </c>
      <c r="R28" s="34">
        <f t="shared" si="1"/>
        <v>-5.0508770066950373</v>
      </c>
      <c r="S28" s="36">
        <f t="shared" si="9"/>
        <v>-5.0508770066950373</v>
      </c>
      <c r="T28" s="40"/>
      <c r="U28" s="37">
        <f>VLOOKUP(C28,'[2]Ranking '!$C$1:$H$65536,6,FALSE)</f>
        <v>259</v>
      </c>
      <c r="V28" s="37" t="b">
        <f t="shared" si="10"/>
        <v>0</v>
      </c>
      <c r="W28" s="37">
        <f>VLOOKUP(C28,[3]Proportionality!B:B,1,FALSE)</f>
        <v>5520</v>
      </c>
    </row>
    <row r="29" spans="1:23" ht="15.6" x14ac:dyDescent="0.3">
      <c r="A29" s="39">
        <v>26</v>
      </c>
      <c r="B29" s="27">
        <v>26</v>
      </c>
      <c r="C29" s="28">
        <v>5540</v>
      </c>
      <c r="D29" s="78" t="s">
        <v>40</v>
      </c>
      <c r="E29" s="86"/>
      <c r="F29" s="80">
        <f>+Proportionality!R29</f>
        <v>0.2004997624969565</v>
      </c>
      <c r="G29" s="80">
        <f>+Proportionality!S29</f>
        <v>0.79950023750304355</v>
      </c>
      <c r="H29" s="154">
        <f>VLOOKUP(C29,'Enrollment FY13'!A:C,3,FALSE)</f>
        <v>289</v>
      </c>
      <c r="I29" s="81">
        <f>+'Proportionality FTE'!P29</f>
        <v>33.625</v>
      </c>
      <c r="J29" s="82">
        <f t="shared" si="2"/>
        <v>26.883195486039838</v>
      </c>
      <c r="K29" s="83">
        <f t="shared" si="3"/>
        <v>6.7418045139601626</v>
      </c>
      <c r="L29" s="132">
        <f t="shared" si="4"/>
        <v>10.750210113603298</v>
      </c>
      <c r="M29" s="84">
        <f t="shared" si="0"/>
        <v>13.843568752072315</v>
      </c>
      <c r="N29" s="35" t="str">
        <f t="shared" si="5"/>
        <v/>
      </c>
      <c r="O29" s="132">
        <f t="shared" si="6"/>
        <v>-3.0933586384690166</v>
      </c>
      <c r="P29" s="132">
        <f t="shared" si="7"/>
        <v>-83.159364986392603</v>
      </c>
      <c r="Q29" s="132">
        <f t="shared" si="8"/>
        <v>-6.0070756663771432</v>
      </c>
      <c r="R29" s="34">
        <f t="shared" si="1"/>
        <v>-7.5135383138072864</v>
      </c>
      <c r="S29" s="36"/>
      <c r="T29" s="40"/>
      <c r="U29" s="37">
        <f>VLOOKUP(C29,'[2]Ranking '!$C$1:$H$65536,6,FALSE)</f>
        <v>301</v>
      </c>
      <c r="V29" s="37" t="b">
        <f t="shared" si="10"/>
        <v>0</v>
      </c>
      <c r="W29" s="37">
        <f>VLOOKUP(C29,[3]Proportionality!B:B,1,FALSE)</f>
        <v>5540</v>
      </c>
    </row>
    <row r="30" spans="1:23" ht="15.6" x14ac:dyDescent="0.3">
      <c r="A30" s="26">
        <v>27</v>
      </c>
      <c r="B30" s="27">
        <v>27</v>
      </c>
      <c r="C30" s="28">
        <v>5550</v>
      </c>
      <c r="D30" s="78" t="s">
        <v>41</v>
      </c>
      <c r="E30" s="86"/>
      <c r="F30" s="80">
        <f>+Proportionality!R30</f>
        <v>0.21117157696392183</v>
      </c>
      <c r="G30" s="80">
        <f>+Proportionality!S30</f>
        <v>0.78882842303607814</v>
      </c>
      <c r="H30" s="154">
        <f>VLOOKUP(C30,'Enrollment FY13'!A:C,3,FALSE)</f>
        <v>313</v>
      </c>
      <c r="I30" s="81">
        <f>+'Proportionality FTE'!P30</f>
        <v>35.125</v>
      </c>
      <c r="J30" s="82">
        <f t="shared" si="2"/>
        <v>27.707598359142246</v>
      </c>
      <c r="K30" s="83">
        <f t="shared" si="3"/>
        <v>7.4174016408577543</v>
      </c>
      <c r="L30" s="132">
        <f t="shared" si="4"/>
        <v>11.296540246575512</v>
      </c>
      <c r="M30" s="84">
        <f t="shared" si="0"/>
        <v>13.843568752072315</v>
      </c>
      <c r="N30" s="35" t="str">
        <f t="shared" si="5"/>
        <v/>
      </c>
      <c r="O30" s="132">
        <f t="shared" si="6"/>
        <v>-2.5470285054968027</v>
      </c>
      <c r="P30" s="132">
        <f t="shared" si="7"/>
        <v>-70.572042839591731</v>
      </c>
      <c r="Q30" s="132">
        <f t="shared" si="8"/>
        <v>-5.0978215302342065</v>
      </c>
      <c r="R30" s="34">
        <f t="shared" si="1"/>
        <v>-6.4625226238850306</v>
      </c>
      <c r="S30" s="36"/>
      <c r="T30" s="40"/>
      <c r="U30" s="37">
        <f>VLOOKUP(C30,'[2]Ranking '!$C$1:$H$65536,6,FALSE)</f>
        <v>385</v>
      </c>
      <c r="V30" s="37" t="b">
        <f t="shared" si="10"/>
        <v>0</v>
      </c>
      <c r="W30" s="37">
        <f>VLOOKUP(C30,[3]Proportionality!B:B,1,FALSE)</f>
        <v>5550</v>
      </c>
    </row>
    <row r="31" spans="1:23" ht="15.6" x14ac:dyDescent="0.3">
      <c r="A31" s="39">
        <v>28</v>
      </c>
      <c r="B31" s="27">
        <v>28</v>
      </c>
      <c r="C31" s="28">
        <v>5570</v>
      </c>
      <c r="D31" s="78" t="s">
        <v>42</v>
      </c>
      <c r="E31" s="86"/>
      <c r="F31" s="80">
        <f>+Proportionality!R31</f>
        <v>0.1691757431021006</v>
      </c>
      <c r="G31" s="80">
        <f>+Proportionality!S31</f>
        <v>0.8308242568978994</v>
      </c>
      <c r="H31" s="154">
        <f>VLOOKUP(C31,'Enrollment FY13'!A:C,3,FALSE)</f>
        <v>351</v>
      </c>
      <c r="I31" s="81">
        <f>+'Proportionality FTE'!P31</f>
        <v>46</v>
      </c>
      <c r="J31" s="82">
        <f t="shared" si="2"/>
        <v>38.217915817303371</v>
      </c>
      <c r="K31" s="83">
        <f t="shared" si="3"/>
        <v>7.7820841826966269</v>
      </c>
      <c r="L31" s="132">
        <f t="shared" si="4"/>
        <v>9.1841742934888888</v>
      </c>
      <c r="M31" s="84">
        <f t="shared" si="0"/>
        <v>13.843568752072315</v>
      </c>
      <c r="N31" s="35" t="str">
        <f t="shared" si="5"/>
        <v/>
      </c>
      <c r="O31" s="132">
        <f t="shared" si="6"/>
        <v>-4.6593944585834262</v>
      </c>
      <c r="P31" s="132">
        <f t="shared" si="7"/>
        <v>-178.0723451777512</v>
      </c>
      <c r="Q31" s="132">
        <f t="shared" si="8"/>
        <v>-12.863182057090203</v>
      </c>
      <c r="R31" s="34">
        <f t="shared" si="1"/>
        <v>-15.482434402093979</v>
      </c>
      <c r="S31" s="36"/>
      <c r="T31" s="40"/>
      <c r="U31" s="37">
        <f>VLOOKUP(C31,'[2]Ranking '!$C$1:$H$65536,6,FALSE)</f>
        <v>421</v>
      </c>
      <c r="V31" s="37" t="b">
        <f t="shared" si="10"/>
        <v>0</v>
      </c>
      <c r="W31" s="37">
        <f>VLOOKUP(C31,[3]Proportionality!B:B,1,FALSE)</f>
        <v>5570</v>
      </c>
    </row>
    <row r="32" spans="1:23" ht="15.6" x14ac:dyDescent="0.3">
      <c r="A32" s="26">
        <v>29</v>
      </c>
      <c r="B32" s="27">
        <v>29</v>
      </c>
      <c r="C32" s="28">
        <v>5580</v>
      </c>
      <c r="D32" s="29" t="s">
        <v>43</v>
      </c>
      <c r="E32" s="30"/>
      <c r="F32" s="80">
        <f>+Proportionality!R32</f>
        <v>0.13605035511638872</v>
      </c>
      <c r="G32" s="80">
        <f>+Proportionality!S32</f>
        <v>0.86394964488361137</v>
      </c>
      <c r="H32" s="154">
        <f>VLOOKUP(C32,'Enrollment FY13'!A:C,3,FALSE)</f>
        <v>288</v>
      </c>
      <c r="I32" s="81">
        <f>+'Proportionality FTE'!P32</f>
        <v>41.63</v>
      </c>
      <c r="J32" s="31">
        <f t="shared" si="2"/>
        <v>35.966223716504743</v>
      </c>
      <c r="K32" s="32">
        <f t="shared" si="3"/>
        <v>5.6637762834952623</v>
      </c>
      <c r="L32" s="33">
        <f t="shared" si="4"/>
        <v>8.0075128895958585</v>
      </c>
      <c r="M32" s="34">
        <f t="shared" si="0"/>
        <v>13.843568752072315</v>
      </c>
      <c r="N32" s="35" t="str">
        <f t="shared" si="5"/>
        <v/>
      </c>
      <c r="O32" s="132">
        <f t="shared" si="6"/>
        <v>-5.8360558624764565</v>
      </c>
      <c r="P32" s="132">
        <f t="shared" si="7"/>
        <v>-209.90089077184726</v>
      </c>
      <c r="Q32" s="132">
        <f t="shared" si="8"/>
        <v>-15.162339605560605</v>
      </c>
      <c r="R32" s="34">
        <f t="shared" si="1"/>
        <v>-17.55002701297855</v>
      </c>
      <c r="S32" s="36">
        <f t="shared" si="9"/>
        <v>-17.55002701297855</v>
      </c>
      <c r="T32" s="40"/>
      <c r="U32" s="37">
        <f>VLOOKUP(C32,'[2]Ranking '!$C$1:$H$65536,6,FALSE)</f>
        <v>313</v>
      </c>
      <c r="V32" s="37" t="b">
        <f t="shared" si="10"/>
        <v>0</v>
      </c>
      <c r="W32" s="37">
        <f>VLOOKUP(C32,[3]Proportionality!B:B,1,FALSE)</f>
        <v>5580</v>
      </c>
    </row>
    <row r="33" spans="1:23" ht="15.6" x14ac:dyDescent="0.3">
      <c r="A33" s="39">
        <v>30</v>
      </c>
      <c r="B33" s="27">
        <v>30</v>
      </c>
      <c r="C33" s="28">
        <v>5590</v>
      </c>
      <c r="D33" s="29" t="s">
        <v>44</v>
      </c>
      <c r="E33" s="30"/>
      <c r="F33" s="80">
        <f>+Proportionality!R33</f>
        <v>0.11054825603826771</v>
      </c>
      <c r="G33" s="80">
        <f>+Proportionality!S33</f>
        <v>0.88945174396173221</v>
      </c>
      <c r="H33" s="154">
        <f>VLOOKUP(C33,'Enrollment FY13'!A:C,3,FALSE)</f>
        <v>346</v>
      </c>
      <c r="I33" s="81">
        <f>+'Proportionality FTE'!P33</f>
        <v>48.175000000000004</v>
      </c>
      <c r="J33" s="31">
        <f t="shared" si="2"/>
        <v>42.849337765356452</v>
      </c>
      <c r="K33" s="32">
        <f t="shared" si="3"/>
        <v>5.3256622346435476</v>
      </c>
      <c r="L33" s="33">
        <f t="shared" si="4"/>
        <v>8.0748039069985307</v>
      </c>
      <c r="M33" s="34">
        <f t="shared" si="0"/>
        <v>13.843568752072315</v>
      </c>
      <c r="N33" s="35" t="str">
        <f t="shared" si="5"/>
        <v/>
      </c>
      <c r="O33" s="132">
        <f t="shared" si="6"/>
        <v>-5.7687648450737843</v>
      </c>
      <c r="P33" s="132">
        <f t="shared" si="7"/>
        <v>-247.18775333548078</v>
      </c>
      <c r="Q33" s="132">
        <f t="shared" si="8"/>
        <v>-17.855782548736066</v>
      </c>
      <c r="R33" s="34">
        <f t="shared" si="1"/>
        <v>-20.075043609678158</v>
      </c>
      <c r="S33" s="36">
        <f t="shared" si="9"/>
        <v>-20.075043609678158</v>
      </c>
      <c r="T33" s="40"/>
      <c r="U33" s="37">
        <f>VLOOKUP(C33,'[2]Ranking '!$C$1:$H$65536,6,FALSE)</f>
        <v>318</v>
      </c>
      <c r="V33" s="37" t="b">
        <f t="shared" si="10"/>
        <v>0</v>
      </c>
      <c r="W33" s="37">
        <f>VLOOKUP(C33,[3]Proportionality!B:B,1,FALSE)</f>
        <v>5590</v>
      </c>
    </row>
    <row r="34" spans="1:23" ht="15.6" x14ac:dyDescent="0.3">
      <c r="A34" s="26">
        <v>31</v>
      </c>
      <c r="B34" s="27">
        <v>31</v>
      </c>
      <c r="C34" s="28">
        <v>5600</v>
      </c>
      <c r="D34" s="29" t="s">
        <v>45</v>
      </c>
      <c r="E34" s="30"/>
      <c r="F34" s="80">
        <f>+Proportionality!R34</f>
        <v>4.4918342026730694E-2</v>
      </c>
      <c r="G34" s="80">
        <f>+Proportionality!S34</f>
        <v>0.95508165797326938</v>
      </c>
      <c r="H34" s="154">
        <f>VLOOKUP(C34,'Enrollment FY13'!A:C,3,FALSE)</f>
        <v>263</v>
      </c>
      <c r="I34" s="81">
        <f>+'Proportionality FTE'!P34</f>
        <v>44.220000000000006</v>
      </c>
      <c r="J34" s="31">
        <f t="shared" si="2"/>
        <v>42.23371091557798</v>
      </c>
      <c r="K34" s="32">
        <f t="shared" si="3"/>
        <v>1.9862890844220316</v>
      </c>
      <c r="L34" s="33">
        <f t="shared" si="4"/>
        <v>6.2272529289627725</v>
      </c>
      <c r="M34" s="34">
        <f t="shared" si="0"/>
        <v>13.843568752072315</v>
      </c>
      <c r="N34" s="35" t="str">
        <f t="shared" si="5"/>
        <v/>
      </c>
      <c r="O34" s="132">
        <f t="shared" si="6"/>
        <v>-7.6163158231095425</v>
      </c>
      <c r="P34" s="132">
        <f t="shared" si="7"/>
        <v>-321.66528071495077</v>
      </c>
      <c r="Q34" s="132">
        <f t="shared" si="8"/>
        <v>-23.235719522597744</v>
      </c>
      <c r="R34" s="34">
        <f t="shared" si="1"/>
        <v>-24.328516131180965</v>
      </c>
      <c r="S34" s="36">
        <f t="shared" si="9"/>
        <v>-24.328516131180965</v>
      </c>
      <c r="T34" s="40"/>
      <c r="U34" s="37">
        <f>VLOOKUP(C34,'[2]Ranking '!$C$1:$H$65536,6,FALSE)</f>
        <v>195</v>
      </c>
      <c r="V34" s="37" t="b">
        <f t="shared" si="10"/>
        <v>0</v>
      </c>
      <c r="W34" s="37">
        <f>VLOOKUP(C34,[3]Proportionality!B:B,1,FALSE)</f>
        <v>5600</v>
      </c>
    </row>
    <row r="35" spans="1:23" ht="15.6" x14ac:dyDescent="0.3">
      <c r="A35" s="39">
        <v>32</v>
      </c>
      <c r="B35" s="27">
        <v>32</v>
      </c>
      <c r="C35" s="28">
        <v>5610</v>
      </c>
      <c r="D35" s="29" t="s">
        <v>46</v>
      </c>
      <c r="E35" s="30"/>
      <c r="F35" s="80">
        <f>+Proportionality!R35</f>
        <v>0.17104331458428371</v>
      </c>
      <c r="G35" s="80">
        <f>+Proportionality!S35</f>
        <v>0.82895668541571632</v>
      </c>
      <c r="H35" s="154">
        <f>VLOOKUP(C35,'Enrollment FY13'!A:C,3,FALSE)</f>
        <v>221</v>
      </c>
      <c r="I35" s="81">
        <f>+'Proportionality FTE'!P35</f>
        <v>37.045000000000002</v>
      </c>
      <c r="J35" s="31">
        <f t="shared" si="2"/>
        <v>30.708700411225212</v>
      </c>
      <c r="K35" s="32">
        <f t="shared" si="3"/>
        <v>6.3362995887747902</v>
      </c>
      <c r="L35" s="33">
        <f t="shared" si="4"/>
        <v>7.1966575283405998</v>
      </c>
      <c r="M35" s="34">
        <f t="shared" si="0"/>
        <v>13.843568752072315</v>
      </c>
      <c r="N35" s="35" t="str">
        <f t="shared" si="5"/>
        <v/>
      </c>
      <c r="O35" s="132">
        <f t="shared" si="6"/>
        <v>-6.6469112237317152</v>
      </c>
      <c r="P35" s="132">
        <f t="shared" si="7"/>
        <v>-204.11800542958761</v>
      </c>
      <c r="Q35" s="132">
        <f t="shared" si="8"/>
        <v>-14.744608784424329</v>
      </c>
      <c r="R35" s="34">
        <f t="shared" si="1"/>
        <v>-17.786947187753249</v>
      </c>
      <c r="S35" s="36">
        <f t="shared" si="9"/>
        <v>-17.786947187753249</v>
      </c>
      <c r="T35" s="40"/>
      <c r="U35" s="37">
        <f>VLOOKUP(C35,'[2]Ranking '!$C$1:$H$65536,6,FALSE)</f>
        <v>213</v>
      </c>
      <c r="V35" s="37" t="b">
        <f t="shared" si="10"/>
        <v>0</v>
      </c>
      <c r="W35" s="37">
        <f>VLOOKUP(C35,[3]Proportionality!B:B,1,FALSE)</f>
        <v>5610</v>
      </c>
    </row>
    <row r="36" spans="1:23" ht="15.6" x14ac:dyDescent="0.3">
      <c r="A36" s="26">
        <v>33</v>
      </c>
      <c r="B36" s="27">
        <v>33</v>
      </c>
      <c r="C36" s="28">
        <v>5630</v>
      </c>
      <c r="D36" s="29" t="s">
        <v>47</v>
      </c>
      <c r="E36" s="30"/>
      <c r="F36" s="80">
        <f>+Proportionality!R36</f>
        <v>4.6906577494571139E-2</v>
      </c>
      <c r="G36" s="80">
        <f>+Proportionality!S36</f>
        <v>0.95309342250542883</v>
      </c>
      <c r="H36" s="154">
        <f>VLOOKUP(C36,'Enrollment FY13'!A:C,3,FALSE)</f>
        <v>158</v>
      </c>
      <c r="I36" s="81">
        <f>+'Proportionality FTE'!P36</f>
        <v>21.96</v>
      </c>
      <c r="J36" s="31">
        <f t="shared" si="2"/>
        <v>20.929931558219216</v>
      </c>
      <c r="K36" s="32">
        <f t="shared" si="3"/>
        <v>1.0300684417807822</v>
      </c>
      <c r="L36" s="33">
        <f t="shared" si="4"/>
        <v>7.5489974518312817</v>
      </c>
      <c r="M36" s="34">
        <f t="shared" ref="M36:M70" si="11">$L$130</f>
        <v>13.843568752072315</v>
      </c>
      <c r="N36" s="35" t="str">
        <f t="shared" si="5"/>
        <v/>
      </c>
      <c r="O36" s="132">
        <f t="shared" si="6"/>
        <v>-6.2945713002410333</v>
      </c>
      <c r="P36" s="132">
        <f t="shared" si="7"/>
        <v>-131.74494650237577</v>
      </c>
      <c r="Q36" s="132">
        <f t="shared" si="8"/>
        <v>-9.5166895806873644</v>
      </c>
      <c r="R36" s="34">
        <f t="shared" si="1"/>
        <v>-9.9850543041945681</v>
      </c>
      <c r="S36" s="36">
        <f t="shared" si="9"/>
        <v>-9.9850543041945681</v>
      </c>
      <c r="T36" s="40"/>
      <c r="U36" s="37">
        <f>VLOOKUP(C36,'[2]Ranking '!$C$1:$H$65536,6,FALSE)</f>
        <v>114</v>
      </c>
      <c r="V36" s="37" t="b">
        <f t="shared" si="10"/>
        <v>0</v>
      </c>
      <c r="W36" s="37">
        <f>VLOOKUP(C36,[3]Proportionality!B:B,1,FALSE)</f>
        <v>5630</v>
      </c>
    </row>
    <row r="37" spans="1:23" ht="15.6" x14ac:dyDescent="0.3">
      <c r="A37" s="39">
        <v>34</v>
      </c>
      <c r="B37" s="27">
        <v>34</v>
      </c>
      <c r="C37" s="28">
        <v>5640</v>
      </c>
      <c r="D37" s="29" t="s">
        <v>48</v>
      </c>
      <c r="E37" s="30"/>
      <c r="F37" s="80">
        <f>+Proportionality!R37</f>
        <v>0.11639866006098361</v>
      </c>
      <c r="G37" s="80">
        <f>+Proportionality!S37</f>
        <v>0.88360133993901646</v>
      </c>
      <c r="H37" s="154">
        <f>VLOOKUP(C37,'Enrollment FY13'!A:C,3,FALSE)</f>
        <v>317</v>
      </c>
      <c r="I37" s="81">
        <f>+'Proportionality FTE'!P37</f>
        <v>38.835000000000001</v>
      </c>
      <c r="J37" s="31">
        <f t="shared" si="2"/>
        <v>34.314658036531704</v>
      </c>
      <c r="K37" s="32">
        <f t="shared" si="3"/>
        <v>4.5203419634682982</v>
      </c>
      <c r="L37" s="33">
        <f t="shared" si="4"/>
        <v>9.2380346516208576</v>
      </c>
      <c r="M37" s="34">
        <f t="shared" si="11"/>
        <v>13.843568752072315</v>
      </c>
      <c r="N37" s="35" t="str">
        <f t="shared" si="5"/>
        <v/>
      </c>
      <c r="O37" s="132">
        <f t="shared" si="6"/>
        <v>-4.6055341004514574</v>
      </c>
      <c r="P37" s="132">
        <f t="shared" si="7"/>
        <v>-158.03732773257741</v>
      </c>
      <c r="Q37" s="132">
        <f t="shared" si="8"/>
        <v>-11.415938372749439</v>
      </c>
      <c r="R37" s="34">
        <f t="shared" si="1"/>
        <v>-12.919783907907307</v>
      </c>
      <c r="S37" s="36">
        <f t="shared" si="9"/>
        <v>-12.919783907907307</v>
      </c>
      <c r="T37" s="40"/>
      <c r="U37" s="37">
        <f>VLOOKUP(C37,'[2]Ranking '!$C$1:$H$65536,6,FALSE)</f>
        <v>263</v>
      </c>
      <c r="V37" s="37" t="b">
        <f t="shared" si="10"/>
        <v>0</v>
      </c>
      <c r="W37" s="37">
        <f>VLOOKUP(C37,[3]Proportionality!B:B,1,FALSE)</f>
        <v>5640</v>
      </c>
    </row>
    <row r="38" spans="1:23" ht="15.6" x14ac:dyDescent="0.3">
      <c r="A38" s="26">
        <v>35</v>
      </c>
      <c r="B38" s="27">
        <v>35</v>
      </c>
      <c r="C38" s="28">
        <v>5690</v>
      </c>
      <c r="D38" s="29" t="s">
        <v>49</v>
      </c>
      <c r="E38" s="30"/>
      <c r="F38" s="80">
        <f>+Proportionality!R38</f>
        <v>0.11329859718299752</v>
      </c>
      <c r="G38" s="80">
        <f>+Proportionality!S38</f>
        <v>0.88670140281700249</v>
      </c>
      <c r="H38" s="154">
        <f>VLOOKUP(C38,'Enrollment FY13'!A:C,3,FALSE)</f>
        <v>474</v>
      </c>
      <c r="I38" s="81">
        <f>+'Proportionality FTE'!P38</f>
        <v>65.05</v>
      </c>
      <c r="J38" s="31">
        <f t="shared" si="2"/>
        <v>57.679926253246009</v>
      </c>
      <c r="K38" s="32">
        <f t="shared" si="3"/>
        <v>7.3700737467539881</v>
      </c>
      <c r="L38" s="33">
        <f t="shared" si="4"/>
        <v>8.2177636274860024</v>
      </c>
      <c r="M38" s="34">
        <f t="shared" si="11"/>
        <v>13.843568752072315</v>
      </c>
      <c r="N38" s="35" t="str">
        <f t="shared" si="5"/>
        <v/>
      </c>
      <c r="O38" s="132">
        <f t="shared" si="6"/>
        <v>-5.6258051245863125</v>
      </c>
      <c r="P38" s="132">
        <f t="shared" si="7"/>
        <v>-324.49602470127201</v>
      </c>
      <c r="Q38" s="132">
        <f t="shared" si="8"/>
        <v>-23.440200320650447</v>
      </c>
      <c r="R38" s="34">
        <f t="shared" si="1"/>
        <v>-26.435280519667835</v>
      </c>
      <c r="S38" s="36">
        <f t="shared" si="9"/>
        <v>-26.435280519667835</v>
      </c>
      <c r="T38" s="40"/>
      <c r="U38" s="37">
        <f>VLOOKUP(C38,'[2]Ranking '!$C$1:$H$65536,6,FALSE)</f>
        <v>495</v>
      </c>
      <c r="V38" s="37" t="b">
        <f t="shared" si="10"/>
        <v>0</v>
      </c>
      <c r="W38" s="37">
        <f>VLOOKUP(C38,[3]Proportionality!B:B,1,FALSE)</f>
        <v>5690</v>
      </c>
    </row>
    <row r="39" spans="1:23" ht="15.6" x14ac:dyDescent="0.3">
      <c r="A39" s="39">
        <v>36</v>
      </c>
      <c r="B39" s="27">
        <v>36</v>
      </c>
      <c r="C39" s="28">
        <v>5710</v>
      </c>
      <c r="D39" s="29" t="s">
        <v>50</v>
      </c>
      <c r="E39" s="30"/>
      <c r="F39" s="80">
        <f>+Proportionality!R39</f>
        <v>0.13770220650884291</v>
      </c>
      <c r="G39" s="80">
        <f>+Proportionality!S39</f>
        <v>0.86229779349115709</v>
      </c>
      <c r="H39" s="154">
        <f>VLOOKUP(C39,'Enrollment FY13'!A:C,3,FALSE)</f>
        <v>335</v>
      </c>
      <c r="I39" s="81">
        <f>+'Proportionality FTE'!P39</f>
        <v>35.75</v>
      </c>
      <c r="J39" s="31">
        <f t="shared" si="2"/>
        <v>30.827146117308867</v>
      </c>
      <c r="K39" s="32">
        <f t="shared" si="3"/>
        <v>4.9228538826911343</v>
      </c>
      <c r="L39" s="33">
        <f t="shared" si="4"/>
        <v>10.867045516480806</v>
      </c>
      <c r="M39" s="34">
        <f t="shared" si="11"/>
        <v>13.843568752072315</v>
      </c>
      <c r="N39" s="35" t="str">
        <f t="shared" si="5"/>
        <v/>
      </c>
      <c r="O39" s="132">
        <f t="shared" si="6"/>
        <v>-2.9765232355915092</v>
      </c>
      <c r="P39" s="132">
        <f t="shared" si="7"/>
        <v>-91.757716705144418</v>
      </c>
      <c r="Q39" s="132">
        <f t="shared" si="8"/>
        <v>-6.6281836965925951</v>
      </c>
      <c r="R39" s="34">
        <f t="shared" si="1"/>
        <v>-7.6866527394872284</v>
      </c>
      <c r="S39" s="36">
        <f t="shared" si="9"/>
        <v>-7.6866527394872284</v>
      </c>
      <c r="T39" s="40"/>
      <c r="U39" s="37">
        <f>VLOOKUP(C39,'[2]Ranking '!$C$1:$H$65536,6,FALSE)</f>
        <v>403</v>
      </c>
      <c r="V39" s="37" t="b">
        <f t="shared" si="10"/>
        <v>0</v>
      </c>
      <c r="W39" s="37">
        <f>VLOOKUP(C39,[3]Proportionality!B:B,1,FALSE)</f>
        <v>5710</v>
      </c>
    </row>
    <row r="40" spans="1:23" ht="15.6" x14ac:dyDescent="0.3">
      <c r="A40" s="26">
        <v>37</v>
      </c>
      <c r="B40" s="27">
        <v>37</v>
      </c>
      <c r="C40" s="28">
        <v>5730</v>
      </c>
      <c r="D40" s="29" t="s">
        <v>51</v>
      </c>
      <c r="E40" s="30"/>
      <c r="F40" s="80">
        <f>+Proportionality!R40</f>
        <v>0.17482587389052612</v>
      </c>
      <c r="G40" s="80">
        <f>+Proportionality!S40</f>
        <v>0.82517412610947394</v>
      </c>
      <c r="H40" s="154">
        <f>VLOOKUP(C40,'Enrollment FY13'!A:C,3,FALSE)</f>
        <v>336</v>
      </c>
      <c r="I40" s="81">
        <f>+'Proportionality FTE'!P40</f>
        <v>40.545000000000002</v>
      </c>
      <c r="J40" s="31">
        <f t="shared" si="2"/>
        <v>33.45668494310862</v>
      </c>
      <c r="K40" s="32">
        <f t="shared" si="3"/>
        <v>7.088315056891382</v>
      </c>
      <c r="L40" s="33">
        <f t="shared" si="4"/>
        <v>10.042836000379321</v>
      </c>
      <c r="M40" s="34">
        <f t="shared" si="11"/>
        <v>13.843568752072315</v>
      </c>
      <c r="N40" s="35" t="str">
        <f t="shared" si="5"/>
        <v/>
      </c>
      <c r="O40" s="132">
        <f t="shared" si="6"/>
        <v>-3.8007327516929941</v>
      </c>
      <c r="P40" s="132">
        <f t="shared" si="7"/>
        <v>-127.15991822634679</v>
      </c>
      <c r="Q40" s="132">
        <f t="shared" si="8"/>
        <v>-9.1854868136737906</v>
      </c>
      <c r="R40" s="34">
        <f t="shared" si="1"/>
        <v>-11.131573958797604</v>
      </c>
      <c r="S40" s="36">
        <f t="shared" si="9"/>
        <v>-11.131573958797604</v>
      </c>
      <c r="T40" s="40"/>
      <c r="U40" s="37">
        <f>VLOOKUP(C40,'[2]Ranking '!$C$1:$H$65536,6,FALSE)</f>
        <v>352</v>
      </c>
      <c r="V40" s="37" t="b">
        <f t="shared" si="10"/>
        <v>0</v>
      </c>
      <c r="W40" s="37">
        <f>VLOOKUP(C40,[3]Proportionality!B:B,1,FALSE)</f>
        <v>5730</v>
      </c>
    </row>
    <row r="41" spans="1:23" ht="15.6" x14ac:dyDescent="0.3">
      <c r="A41" s="39">
        <v>38</v>
      </c>
      <c r="B41" s="27">
        <v>38</v>
      </c>
      <c r="C41" s="28">
        <v>5740</v>
      </c>
      <c r="D41" s="29" t="s">
        <v>52</v>
      </c>
      <c r="E41" s="30"/>
      <c r="F41" s="80">
        <f>+Proportionality!R41</f>
        <v>5.3263432277706989E-2</v>
      </c>
      <c r="G41" s="80">
        <f>+Proportionality!S41</f>
        <v>0.94673656772229298</v>
      </c>
      <c r="H41" s="154">
        <f>VLOOKUP(C41,'Enrollment FY13'!A:C,3,FALSE)</f>
        <v>282</v>
      </c>
      <c r="I41" s="81">
        <f>+'Proportionality FTE'!P41</f>
        <v>49.125</v>
      </c>
      <c r="J41" s="31">
        <f t="shared" si="2"/>
        <v>46.50843388935764</v>
      </c>
      <c r="K41" s="32">
        <f t="shared" si="3"/>
        <v>2.6165661106423559</v>
      </c>
      <c r="L41" s="33">
        <f t="shared" si="4"/>
        <v>6.0634163831633359</v>
      </c>
      <c r="M41" s="34">
        <f t="shared" si="11"/>
        <v>13.843568752072315</v>
      </c>
      <c r="N41" s="35" t="str">
        <f t="shared" si="5"/>
        <v/>
      </c>
      <c r="O41" s="132">
        <f t="shared" si="6"/>
        <v>-7.7801523689089791</v>
      </c>
      <c r="P41" s="132">
        <f t="shared" si="7"/>
        <v>-361.84270209853247</v>
      </c>
      <c r="Q41" s="132">
        <f t="shared" si="8"/>
        <v>-26.137964030724834</v>
      </c>
      <c r="R41" s="34">
        <f t="shared" si="1"/>
        <v>-27.608486797556452</v>
      </c>
      <c r="S41" s="36">
        <f t="shared" si="9"/>
        <v>-27.608486797556452</v>
      </c>
      <c r="T41" s="40"/>
      <c r="U41" s="37">
        <f>VLOOKUP(C41,'[2]Ranking '!$C$1:$H$65536,6,FALSE)</f>
        <v>383</v>
      </c>
      <c r="V41" s="37" t="b">
        <f t="shared" si="10"/>
        <v>0</v>
      </c>
      <c r="W41" s="37">
        <f>VLOOKUP(C41,[3]Proportionality!B:B,1,FALSE)</f>
        <v>5740</v>
      </c>
    </row>
    <row r="42" spans="1:23" ht="15.6" x14ac:dyDescent="0.3">
      <c r="A42" s="26">
        <v>39</v>
      </c>
      <c r="B42" s="27">
        <v>39</v>
      </c>
      <c r="C42" s="28">
        <v>5750</v>
      </c>
      <c r="D42" s="29" t="s">
        <v>53</v>
      </c>
      <c r="E42" s="30"/>
      <c r="F42" s="80">
        <f>+Proportionality!R42</f>
        <v>6.3517934809898396E-2</v>
      </c>
      <c r="G42" s="80">
        <f>+Proportionality!S42</f>
        <v>0.93648206519010158</v>
      </c>
      <c r="H42" s="154">
        <f>VLOOKUP(C42,'Enrollment FY13'!A:C,3,FALSE)</f>
        <v>346</v>
      </c>
      <c r="I42" s="81">
        <f>+'Proportionality FTE'!P42</f>
        <v>37.630000000000003</v>
      </c>
      <c r="J42" s="31">
        <f t="shared" si="2"/>
        <v>35.239820113103526</v>
      </c>
      <c r="K42" s="32">
        <f t="shared" si="3"/>
        <v>2.390179886896477</v>
      </c>
      <c r="L42" s="33">
        <f t="shared" si="4"/>
        <v>9.818438314653708</v>
      </c>
      <c r="M42" s="34">
        <f t="shared" si="11"/>
        <v>13.843568752072315</v>
      </c>
      <c r="N42" s="35" t="str">
        <f t="shared" si="5"/>
        <v/>
      </c>
      <c r="O42" s="132">
        <f t="shared" si="6"/>
        <v>-4.025130437418607</v>
      </c>
      <c r="P42" s="132">
        <f t="shared" si="7"/>
        <v>-141.84487254640942</v>
      </c>
      <c r="Q42" s="132">
        <f t="shared" si="8"/>
        <v>-10.246264896483137</v>
      </c>
      <c r="R42" s="34">
        <f t="shared" si="1"/>
        <v>-10.941229178161775</v>
      </c>
      <c r="S42" s="36">
        <f t="shared" si="9"/>
        <v>-10.941229178161775</v>
      </c>
      <c r="T42" s="40"/>
      <c r="U42" s="37">
        <f>VLOOKUP(C42,'[2]Ranking '!$C$1:$H$65536,6,FALSE)</f>
        <v>276</v>
      </c>
      <c r="V42" s="37" t="b">
        <f t="shared" si="10"/>
        <v>0</v>
      </c>
      <c r="W42" s="37">
        <f>VLOOKUP(C42,[3]Proportionality!B:B,1,FALSE)</f>
        <v>5750</v>
      </c>
    </row>
    <row r="43" spans="1:23" ht="15.6" x14ac:dyDescent="0.3">
      <c r="A43" s="39">
        <v>40</v>
      </c>
      <c r="B43" s="27">
        <v>40</v>
      </c>
      <c r="C43" s="28">
        <v>5780</v>
      </c>
      <c r="D43" s="29" t="s">
        <v>54</v>
      </c>
      <c r="E43" s="30"/>
      <c r="F43" s="80">
        <f>+Proportionality!R43</f>
        <v>0.17740640862677934</v>
      </c>
      <c r="G43" s="80">
        <f>+Proportionality!S43</f>
        <v>0.82259359137322063</v>
      </c>
      <c r="H43" s="154">
        <f>VLOOKUP(C43,'Enrollment FY13'!A:C,3,FALSE)</f>
        <v>331</v>
      </c>
      <c r="I43" s="81">
        <f>+'Proportionality FTE'!P43</f>
        <v>48.465000000000003</v>
      </c>
      <c r="J43" s="31">
        <f t="shared" si="2"/>
        <v>39.866998405903139</v>
      </c>
      <c r="K43" s="32">
        <f t="shared" si="3"/>
        <v>8.5980015940968606</v>
      </c>
      <c r="L43" s="33">
        <f t="shared" si="4"/>
        <v>8.3026064974831044</v>
      </c>
      <c r="M43" s="34">
        <f t="shared" si="11"/>
        <v>13.843568752072315</v>
      </c>
      <c r="N43" s="35" t="str">
        <f t="shared" si="5"/>
        <v/>
      </c>
      <c r="O43" s="132">
        <f t="shared" si="6"/>
        <v>-5.5409622545892105</v>
      </c>
      <c r="P43" s="132">
        <f t="shared" si="7"/>
        <v>-220.90153337087753</v>
      </c>
      <c r="Q43" s="132">
        <f t="shared" si="8"/>
        <v>-15.956978820061094</v>
      </c>
      <c r="R43" s="34">
        <f t="shared" si="1"/>
        <v>-19.398374832245953</v>
      </c>
      <c r="S43" s="36">
        <f t="shared" si="9"/>
        <v>-19.398374832245953</v>
      </c>
      <c r="T43" s="40"/>
      <c r="U43" s="37">
        <f>VLOOKUP(C43,'[2]Ranking '!$C$1:$H$65536,6,FALSE)</f>
        <v>392</v>
      </c>
      <c r="V43" s="37" t="b">
        <f t="shared" si="10"/>
        <v>0</v>
      </c>
      <c r="W43" s="37">
        <f>VLOOKUP(C43,[3]Proportionality!B:B,1,FALSE)</f>
        <v>5780</v>
      </c>
    </row>
    <row r="44" spans="1:23" ht="15.6" x14ac:dyDescent="0.3">
      <c r="A44" s="26">
        <v>41</v>
      </c>
      <c r="B44" s="27">
        <v>41</v>
      </c>
      <c r="C44" s="28">
        <v>5790</v>
      </c>
      <c r="D44" s="29" t="s">
        <v>55</v>
      </c>
      <c r="E44" s="30"/>
      <c r="F44" s="80">
        <f>+Proportionality!R44</f>
        <v>0.16072223228141488</v>
      </c>
      <c r="G44" s="80">
        <f>+Proportionality!S44</f>
        <v>0.83927776771858509</v>
      </c>
      <c r="H44" s="154">
        <f>VLOOKUP(C44,'Enrollment FY13'!A:C,3,FALSE)</f>
        <v>245</v>
      </c>
      <c r="I44" s="81">
        <f>+'Proportionality FTE'!P44</f>
        <v>34.690000000000005</v>
      </c>
      <c r="J44" s="31">
        <f t="shared" si="2"/>
        <v>29.114545762157721</v>
      </c>
      <c r="K44" s="32">
        <f t="shared" si="3"/>
        <v>5.5754542378422833</v>
      </c>
      <c r="L44" s="33">
        <f t="shared" si="4"/>
        <v>8.4150376928924722</v>
      </c>
      <c r="M44" s="34">
        <f t="shared" si="11"/>
        <v>13.843568752072315</v>
      </c>
      <c r="N44" s="35" t="str">
        <f t="shared" si="5"/>
        <v/>
      </c>
      <c r="O44" s="132">
        <f t="shared" si="6"/>
        <v>-5.4285310591798428</v>
      </c>
      <c r="P44" s="132">
        <f t="shared" si="7"/>
        <v>-158.04921594378607</v>
      </c>
      <c r="Q44" s="132">
        <f t="shared" si="8"/>
        <v>-11.416797126111492</v>
      </c>
      <c r="R44" s="34">
        <f t="shared" si="1"/>
        <v>-13.603121118227467</v>
      </c>
      <c r="S44" s="36">
        <f t="shared" si="9"/>
        <v>-13.603121118227467</v>
      </c>
      <c r="T44" s="40"/>
      <c r="U44" s="37">
        <f>VLOOKUP(C44,'[2]Ranking '!$C$1:$H$65536,6,FALSE)</f>
        <v>220</v>
      </c>
      <c r="V44" s="37" t="b">
        <f t="shared" si="10"/>
        <v>0</v>
      </c>
      <c r="W44" s="37">
        <f>VLOOKUP(C44,[3]Proportionality!B:B,1,FALSE)</f>
        <v>5790</v>
      </c>
    </row>
    <row r="45" spans="1:23" ht="15.6" x14ac:dyDescent="0.3">
      <c r="A45" s="39">
        <v>42</v>
      </c>
      <c r="B45" s="27">
        <v>42</v>
      </c>
      <c r="C45" s="28">
        <v>5820</v>
      </c>
      <c r="D45" s="29" t="s">
        <v>56</v>
      </c>
      <c r="E45" s="30"/>
      <c r="F45" s="80">
        <f>+Proportionality!R45</f>
        <v>0.14421192719350798</v>
      </c>
      <c r="G45" s="80">
        <f>+Proportionality!S45</f>
        <v>0.85578807280649205</v>
      </c>
      <c r="H45" s="154">
        <f>VLOOKUP(C45,'Enrollment FY13'!A:C,3,FALSE)</f>
        <v>263</v>
      </c>
      <c r="I45" s="81">
        <f>+'Proportionality FTE'!P45</f>
        <v>28.215000000000003</v>
      </c>
      <c r="J45" s="31">
        <f t="shared" si="2"/>
        <v>24.146060474235178</v>
      </c>
      <c r="K45" s="32">
        <f t="shared" si="3"/>
        <v>4.0689395257648284</v>
      </c>
      <c r="L45" s="33">
        <f t="shared" si="4"/>
        <v>10.8920459418476</v>
      </c>
      <c r="M45" s="34">
        <f t="shared" si="11"/>
        <v>13.843568752072315</v>
      </c>
      <c r="N45" s="35" t="str">
        <f t="shared" si="5"/>
        <v/>
      </c>
      <c r="O45" s="132">
        <f t="shared" si="6"/>
        <v>-2.9515228102247146</v>
      </c>
      <c r="P45" s="132">
        <f t="shared" si="7"/>
        <v>-71.267648266770522</v>
      </c>
      <c r="Q45" s="132">
        <f t="shared" si="8"/>
        <v>-5.1480690812549401</v>
      </c>
      <c r="R45" s="34">
        <f t="shared" si="1"/>
        <v>-6.0155887244049078</v>
      </c>
      <c r="S45" s="36">
        <f t="shared" si="9"/>
        <v>-6.0155887244049078</v>
      </c>
      <c r="T45" s="40"/>
      <c r="U45" s="37">
        <f>VLOOKUP(C45,'[2]Ranking '!$C$1:$H$65536,6,FALSE)</f>
        <v>216</v>
      </c>
      <c r="V45" s="37" t="b">
        <f t="shared" si="10"/>
        <v>0</v>
      </c>
      <c r="W45" s="37">
        <f>VLOOKUP(C45,[3]Proportionality!B:B,1,FALSE)</f>
        <v>5820</v>
      </c>
    </row>
    <row r="46" spans="1:23" ht="15.6" x14ac:dyDescent="0.3">
      <c r="A46" s="26">
        <v>43</v>
      </c>
      <c r="B46" s="27">
        <v>43</v>
      </c>
      <c r="C46" s="28">
        <v>5830</v>
      </c>
      <c r="D46" s="29" t="s">
        <v>57</v>
      </c>
      <c r="E46" s="30"/>
      <c r="F46" s="80">
        <f>+Proportionality!R46</f>
        <v>7.894907213751845E-2</v>
      </c>
      <c r="G46" s="80">
        <f>+Proportionality!S46</f>
        <v>0.92105092786248155</v>
      </c>
      <c r="H46" s="154">
        <f>VLOOKUP(C46,'Enrollment FY13'!A:C,3,FALSE)</f>
        <v>391</v>
      </c>
      <c r="I46" s="81">
        <f>+'Proportionality FTE'!P46</f>
        <v>56.045000000000002</v>
      </c>
      <c r="J46" s="31">
        <f t="shared" si="2"/>
        <v>51.620299252052781</v>
      </c>
      <c r="K46" s="32">
        <f t="shared" si="3"/>
        <v>4.424700747947222</v>
      </c>
      <c r="L46" s="33">
        <f t="shared" si="4"/>
        <v>7.5745395835622</v>
      </c>
      <c r="M46" s="34">
        <f t="shared" si="11"/>
        <v>13.843568752072315</v>
      </c>
      <c r="N46" s="35" t="str">
        <f t="shared" si="5"/>
        <v/>
      </c>
      <c r="O46" s="132">
        <f t="shared" si="6"/>
        <v>-6.2690291685101149</v>
      </c>
      <c r="P46" s="132">
        <f t="shared" si="7"/>
        <v>-323.60916169833973</v>
      </c>
      <c r="Q46" s="132">
        <f t="shared" si="8"/>
        <v>-23.37613714309737</v>
      </c>
      <c r="R46" s="34">
        <f t="shared" si="1"/>
        <v>-25.37985298744259</v>
      </c>
      <c r="S46" s="36">
        <f t="shared" si="9"/>
        <v>-25.37985298744259</v>
      </c>
      <c r="T46" s="40"/>
      <c r="U46" s="37">
        <f>VLOOKUP(C46,'[2]Ranking '!$C$1:$H$65536,6,FALSE)</f>
        <v>219</v>
      </c>
      <c r="V46" s="37" t="b">
        <f t="shared" si="10"/>
        <v>0</v>
      </c>
      <c r="W46" s="37">
        <f>VLOOKUP(C46,[3]Proportionality!B:B,1,FALSE)</f>
        <v>5830</v>
      </c>
    </row>
    <row r="47" spans="1:23" ht="15.6" x14ac:dyDescent="0.3">
      <c r="A47" s="39">
        <v>44</v>
      </c>
      <c r="B47" s="27">
        <v>44</v>
      </c>
      <c r="C47" s="28">
        <v>5840</v>
      </c>
      <c r="D47" s="78" t="s">
        <v>58</v>
      </c>
      <c r="E47" s="30"/>
      <c r="F47" s="80">
        <f>+Proportionality!R47</f>
        <v>5.9518434931303314E-2</v>
      </c>
      <c r="G47" s="80">
        <f>+Proportionality!S47</f>
        <v>0.94048156506869662</v>
      </c>
      <c r="H47" s="154">
        <f>VLOOKUP(C47,'Enrollment FY13'!A:C,3,FALSE)</f>
        <v>358</v>
      </c>
      <c r="I47" s="81">
        <f>+'Proportionality FTE'!P47</f>
        <v>45.085000000000001</v>
      </c>
      <c r="J47" s="31">
        <f t="shared" si="2"/>
        <v>42.401611361122185</v>
      </c>
      <c r="K47" s="32">
        <f t="shared" si="3"/>
        <v>2.6833886388778101</v>
      </c>
      <c r="L47" s="33">
        <f t="shared" si="4"/>
        <v>8.4430753574673894</v>
      </c>
      <c r="M47" s="34">
        <f t="shared" si="11"/>
        <v>13.843568752072315</v>
      </c>
      <c r="N47" s="35" t="str">
        <f t="shared" si="5"/>
        <v/>
      </c>
      <c r="O47" s="132">
        <f t="shared" si="6"/>
        <v>-5.4004933946049256</v>
      </c>
      <c r="P47" s="132">
        <f t="shared" si="7"/>
        <v>-228.98962207634554</v>
      </c>
      <c r="Q47" s="132">
        <f t="shared" si="8"/>
        <v>-16.541227639879125</v>
      </c>
      <c r="R47" s="34">
        <f t="shared" si="1"/>
        <v>-17.588040270274607</v>
      </c>
      <c r="S47" s="36"/>
      <c r="T47" s="40"/>
      <c r="U47" s="37">
        <f>VLOOKUP(C47,'[2]Ranking '!$C$1:$H$65536,6,FALSE)</f>
        <v>404</v>
      </c>
      <c r="V47" s="37" t="b">
        <f t="shared" si="10"/>
        <v>0</v>
      </c>
      <c r="W47" s="37">
        <f>VLOOKUP(C47,[3]Proportionality!B:B,1,FALSE)</f>
        <v>5840</v>
      </c>
    </row>
    <row r="48" spans="1:23" ht="15.6" x14ac:dyDescent="0.3">
      <c r="A48" s="26">
        <v>45</v>
      </c>
      <c r="B48" s="27">
        <v>45</v>
      </c>
      <c r="C48" s="28">
        <v>5850</v>
      </c>
      <c r="D48" s="29" t="s">
        <v>59</v>
      </c>
      <c r="E48" s="30"/>
      <c r="F48" s="80">
        <f>+Proportionality!R48</f>
        <v>0.1279992409993245</v>
      </c>
      <c r="G48" s="80">
        <f>+Proportionality!S48</f>
        <v>0.87200075900067553</v>
      </c>
      <c r="H48" s="154">
        <f>VLOOKUP(C48,'Enrollment FY13'!A:C,3,FALSE)</f>
        <v>451</v>
      </c>
      <c r="I48" s="81">
        <f>+'Proportionality FTE'!P48</f>
        <v>58.300000000000004</v>
      </c>
      <c r="J48" s="31">
        <f t="shared" si="2"/>
        <v>50.837644249739384</v>
      </c>
      <c r="K48" s="32">
        <f t="shared" si="3"/>
        <v>7.4623557502606186</v>
      </c>
      <c r="L48" s="33">
        <f t="shared" si="4"/>
        <v>8.8713788110335585</v>
      </c>
      <c r="M48" s="34">
        <f t="shared" si="11"/>
        <v>13.843568752072315</v>
      </c>
      <c r="N48" s="35" t="str">
        <f t="shared" si="5"/>
        <v/>
      </c>
      <c r="O48" s="132">
        <f t="shared" si="6"/>
        <v>-4.9721899410387564</v>
      </c>
      <c r="P48" s="132">
        <f t="shared" si="7"/>
        <v>-252.77442336466095</v>
      </c>
      <c r="Q48" s="132">
        <f t="shared" si="8"/>
        <v>-18.259339617670612</v>
      </c>
      <c r="R48" s="34">
        <f t="shared" si="1"/>
        <v>-20.939591427186439</v>
      </c>
      <c r="S48" s="36">
        <f t="shared" si="9"/>
        <v>-20.939591427186439</v>
      </c>
      <c r="T48" s="40"/>
      <c r="U48" s="37">
        <f>VLOOKUP(C48,'[2]Ranking '!$C$1:$H$65536,6,FALSE)</f>
        <v>357</v>
      </c>
      <c r="V48" s="37" t="b">
        <f t="shared" si="10"/>
        <v>0</v>
      </c>
      <c r="W48" s="37">
        <f>VLOOKUP(C48,[3]Proportionality!B:B,1,FALSE)</f>
        <v>5850</v>
      </c>
    </row>
    <row r="49" spans="1:23" ht="15.6" x14ac:dyDescent="0.3">
      <c r="A49" s="39">
        <v>46</v>
      </c>
      <c r="B49" s="27">
        <v>46</v>
      </c>
      <c r="C49" s="28">
        <v>5860</v>
      </c>
      <c r="D49" s="29" t="s">
        <v>60</v>
      </c>
      <c r="E49" s="30"/>
      <c r="F49" s="80">
        <f>+Proportionality!R49</f>
        <v>0.21560118685146959</v>
      </c>
      <c r="G49" s="80">
        <f>+Proportionality!S49</f>
        <v>0.78439881314853033</v>
      </c>
      <c r="H49" s="154">
        <f>VLOOKUP(C49,'Enrollment FY13'!A:C,3,FALSE)</f>
        <v>362</v>
      </c>
      <c r="I49" s="81">
        <f>+'Proportionality FTE'!P49</f>
        <v>53.085000000000001</v>
      </c>
      <c r="J49" s="31">
        <f t="shared" si="2"/>
        <v>41.639810995989734</v>
      </c>
      <c r="K49" s="32">
        <f t="shared" si="3"/>
        <v>11.445189004010263</v>
      </c>
      <c r="L49" s="33">
        <f t="shared" si="4"/>
        <v>8.6936033411598252</v>
      </c>
      <c r="M49" s="34">
        <f t="shared" si="11"/>
        <v>13.843568752072315</v>
      </c>
      <c r="N49" s="35" t="str">
        <f t="shared" si="5"/>
        <v/>
      </c>
      <c r="O49" s="132">
        <f t="shared" si="6"/>
        <v>-5.1499654109124897</v>
      </c>
      <c r="P49" s="132">
        <f t="shared" si="7"/>
        <v>-214.44358634628068</v>
      </c>
      <c r="Q49" s="132">
        <f t="shared" si="8"/>
        <v>-15.490484439872452</v>
      </c>
      <c r="R49" s="34">
        <f t="shared" si="1"/>
        <v>-19.74822523977894</v>
      </c>
      <c r="S49" s="36">
        <f t="shared" si="9"/>
        <v>-19.74822523977894</v>
      </c>
      <c r="T49" s="40"/>
      <c r="U49" s="37">
        <f>VLOOKUP(C49,'[2]Ranking '!$C$1:$H$65536,6,FALSE)</f>
        <v>318</v>
      </c>
      <c r="V49" s="37" t="b">
        <f t="shared" si="10"/>
        <v>0</v>
      </c>
      <c r="W49" s="37">
        <f>VLOOKUP(C49,[3]Proportionality!B:B,1,FALSE)</f>
        <v>5860</v>
      </c>
    </row>
    <row r="50" spans="1:23" ht="15.6" x14ac:dyDescent="0.3">
      <c r="A50" s="26">
        <v>47</v>
      </c>
      <c r="B50" s="27">
        <v>47</v>
      </c>
      <c r="C50" s="28">
        <v>5870</v>
      </c>
      <c r="D50" s="29" t="s">
        <v>61</v>
      </c>
      <c r="E50" s="30"/>
      <c r="F50" s="80">
        <f>+Proportionality!R50</f>
        <v>0</v>
      </c>
      <c r="G50" s="80">
        <f>+Proportionality!S50</f>
        <v>1</v>
      </c>
      <c r="H50" s="154">
        <f>VLOOKUP(C50,'Enrollment FY13'!A:C,3,FALSE)</f>
        <v>0</v>
      </c>
      <c r="I50" s="81">
        <f>+'Proportionality FTE'!P50</f>
        <v>12.875</v>
      </c>
      <c r="J50" s="31">
        <f t="shared" si="2"/>
        <v>12.875</v>
      </c>
      <c r="K50" s="32">
        <f t="shared" si="3"/>
        <v>0</v>
      </c>
      <c r="L50" s="33">
        <f t="shared" si="4"/>
        <v>0</v>
      </c>
      <c r="M50" s="34">
        <f t="shared" si="11"/>
        <v>13.843568752072315</v>
      </c>
      <c r="N50" s="35" t="str">
        <f t="shared" si="5"/>
        <v/>
      </c>
      <c r="O50" s="132">
        <f t="shared" si="6"/>
        <v>-13.843568752072315</v>
      </c>
      <c r="P50" s="132">
        <f t="shared" si="7"/>
        <v>-178.23594768293106</v>
      </c>
      <c r="Q50" s="132">
        <f t="shared" si="8"/>
        <v>-12.875</v>
      </c>
      <c r="R50" s="34">
        <f t="shared" si="1"/>
        <v>-12.875</v>
      </c>
      <c r="S50" s="36">
        <f t="shared" si="9"/>
        <v>-12.875</v>
      </c>
      <c r="T50" s="37"/>
      <c r="U50" s="37">
        <f>VLOOKUP(C50,'[2]Ranking '!$C$1:$H$65536,6,FALSE)</f>
        <v>148</v>
      </c>
      <c r="V50" s="37" t="b">
        <f t="shared" si="10"/>
        <v>0</v>
      </c>
      <c r="W50" s="37">
        <f>VLOOKUP(C50,[3]Proportionality!B:B,1,FALSE)</f>
        <v>5870</v>
      </c>
    </row>
    <row r="51" spans="1:23" ht="15.6" x14ac:dyDescent="0.3">
      <c r="A51" s="39">
        <v>48</v>
      </c>
      <c r="B51" s="27">
        <v>48</v>
      </c>
      <c r="C51" s="28">
        <v>5880</v>
      </c>
      <c r="D51" s="78" t="s">
        <v>62</v>
      </c>
      <c r="E51" s="86"/>
      <c r="F51" s="80">
        <f>+Proportionality!R51</f>
        <v>3.4948914197715175E-2</v>
      </c>
      <c r="G51" s="80">
        <f>+Proportionality!S51</f>
        <v>0.96505108580228471</v>
      </c>
      <c r="H51" s="154">
        <f>VLOOKUP(C51,'Enrollment FY13'!A:C,3,FALSE)</f>
        <v>154</v>
      </c>
      <c r="I51" s="81">
        <f>+'Proportionality FTE'!P51</f>
        <v>20.545000000000002</v>
      </c>
      <c r="J51" s="81">
        <f t="shared" si="2"/>
        <v>19.82697455780794</v>
      </c>
      <c r="K51" s="83">
        <f t="shared" si="3"/>
        <v>0.71802544219205833</v>
      </c>
      <c r="L51" s="132">
        <f t="shared" si="4"/>
        <v>7.7671961272252803</v>
      </c>
      <c r="M51" s="84">
        <f t="shared" si="11"/>
        <v>13.843568752072315</v>
      </c>
      <c r="N51" s="35" t="str">
        <f t="shared" si="5"/>
        <v/>
      </c>
      <c r="O51" s="132">
        <f t="shared" si="6"/>
        <v>-6.0763726248470347</v>
      </c>
      <c r="P51" s="132">
        <f t="shared" si="7"/>
        <v>-120.4760854366028</v>
      </c>
      <c r="Q51" s="132">
        <f t="shared" si="8"/>
        <v>-8.7026754151503098</v>
      </c>
      <c r="R51" s="34">
        <f t="shared" si="1"/>
        <v>-9.0178391001088141</v>
      </c>
      <c r="S51" s="36">
        <f t="shared" si="9"/>
        <v>-9.0178391001088141</v>
      </c>
      <c r="T51" s="37"/>
      <c r="U51" s="37">
        <f>VLOOKUP(C51,'[2]Ranking '!$C$1:$H$65536,6,FALSE)</f>
        <v>145</v>
      </c>
      <c r="V51" s="37" t="b">
        <f t="shared" si="10"/>
        <v>0</v>
      </c>
      <c r="W51" s="37">
        <f>VLOOKUP(C51,[3]Proportionality!B:B,1,FALSE)</f>
        <v>5880</v>
      </c>
    </row>
    <row r="52" spans="1:23" ht="15.6" x14ac:dyDescent="0.3">
      <c r="A52" s="26">
        <v>49</v>
      </c>
      <c r="B52" s="27">
        <v>49</v>
      </c>
      <c r="C52" s="28">
        <v>5900</v>
      </c>
      <c r="D52" s="78" t="s">
        <v>63</v>
      </c>
      <c r="E52" s="86"/>
      <c r="F52" s="80">
        <f>+Proportionality!R52</f>
        <v>5.3995559181661157E-2</v>
      </c>
      <c r="G52" s="80">
        <f>+Proportionality!S52</f>
        <v>0.94600444081833879</v>
      </c>
      <c r="H52" s="154">
        <f>VLOOKUP(C52,'Enrollment FY13'!A:C,3,FALSE)</f>
        <v>387</v>
      </c>
      <c r="I52" s="81">
        <f>+'Proportionality FTE'!P52</f>
        <v>40.795000000000002</v>
      </c>
      <c r="J52" s="82">
        <f t="shared" si="2"/>
        <v>38.59225116318413</v>
      </c>
      <c r="K52" s="83">
        <f t="shared" si="3"/>
        <v>2.202748836815867</v>
      </c>
      <c r="L52" s="132">
        <f t="shared" si="4"/>
        <v>10.027919811249223</v>
      </c>
      <c r="M52" s="84">
        <f t="shared" si="11"/>
        <v>13.843568752072315</v>
      </c>
      <c r="N52" s="35" t="str">
        <f t="shared" si="5"/>
        <v/>
      </c>
      <c r="O52" s="132">
        <f t="shared" si="6"/>
        <v>-3.8156489408230918</v>
      </c>
      <c r="P52" s="132">
        <f t="shared" si="7"/>
        <v>-147.25448227478225</v>
      </c>
      <c r="Q52" s="132">
        <f t="shared" si="8"/>
        <v>-10.637031889102943</v>
      </c>
      <c r="R52" s="34">
        <f t="shared" si="1"/>
        <v>-11.244166972304491</v>
      </c>
      <c r="S52" s="36"/>
      <c r="T52" s="37"/>
      <c r="U52" s="37">
        <f>VLOOKUP(C52,'[2]Ranking '!$C$1:$H$65536,6,FALSE)</f>
        <v>368</v>
      </c>
      <c r="V52" s="37" t="b">
        <f t="shared" si="10"/>
        <v>0</v>
      </c>
      <c r="W52" s="37">
        <f>VLOOKUP(C52,[3]Proportionality!B:B,1,FALSE)</f>
        <v>5900</v>
      </c>
    </row>
    <row r="53" spans="1:23" ht="15.6" x14ac:dyDescent="0.3">
      <c r="A53" s="39">
        <v>50</v>
      </c>
      <c r="B53" s="27">
        <v>50</v>
      </c>
      <c r="C53" s="28">
        <v>5910</v>
      </c>
      <c r="D53" s="78" t="s">
        <v>64</v>
      </c>
      <c r="E53" s="86"/>
      <c r="F53" s="80">
        <f>+Proportionality!R53</f>
        <v>4.3112178164562712E-2</v>
      </c>
      <c r="G53" s="80">
        <f>+Proportionality!S53</f>
        <v>0.95688782183543719</v>
      </c>
      <c r="H53" s="154">
        <f>VLOOKUP(C53,'Enrollment FY13'!A:C,3,FALSE)</f>
        <v>257</v>
      </c>
      <c r="I53" s="81">
        <f>+'Proportionality FTE'!P53</f>
        <v>41.255000000000003</v>
      </c>
      <c r="J53" s="82">
        <f t="shared" si="2"/>
        <v>39.476407089820967</v>
      </c>
      <c r="K53" s="83">
        <f t="shared" si="3"/>
        <v>1.7785929101790348</v>
      </c>
      <c r="L53" s="132">
        <f t="shared" si="4"/>
        <v>6.5102175944038159</v>
      </c>
      <c r="M53" s="84">
        <f t="shared" si="11"/>
        <v>13.843568752072315</v>
      </c>
      <c r="N53" s="35" t="str">
        <f t="shared" si="5"/>
        <v/>
      </c>
      <c r="O53" s="132">
        <f t="shared" si="6"/>
        <v>-7.3333511576684991</v>
      </c>
      <c r="P53" s="132">
        <f t="shared" si="7"/>
        <v>-289.49435563273153</v>
      </c>
      <c r="Q53" s="132">
        <f t="shared" si="8"/>
        <v>-20.911829949152065</v>
      </c>
      <c r="R53" s="34">
        <f t="shared" si="1"/>
        <v>-21.85400364803516</v>
      </c>
      <c r="S53" s="36">
        <f t="shared" si="9"/>
        <v>-21.85400364803516</v>
      </c>
      <c r="T53" s="37"/>
      <c r="U53" s="37">
        <f>VLOOKUP(C53,'[2]Ranking '!$C$1:$H$65536,6,FALSE)</f>
        <v>258</v>
      </c>
      <c r="V53" s="37" t="b">
        <f t="shared" si="10"/>
        <v>0</v>
      </c>
      <c r="W53" s="37">
        <f>VLOOKUP(C53,[3]Proportionality!B:B,1,FALSE)</f>
        <v>5910</v>
      </c>
    </row>
    <row r="54" spans="1:23" ht="15.6" x14ac:dyDescent="0.3">
      <c r="A54" s="26">
        <v>51</v>
      </c>
      <c r="B54" s="27">
        <v>51</v>
      </c>
      <c r="C54" s="28">
        <v>5950</v>
      </c>
      <c r="D54" s="78" t="s">
        <v>65</v>
      </c>
      <c r="E54" s="86"/>
      <c r="F54" s="80">
        <f>+Proportionality!R54</f>
        <v>5.1036299252981185E-2</v>
      </c>
      <c r="G54" s="80">
        <f>+Proportionality!S54</f>
        <v>0.94896370074701875</v>
      </c>
      <c r="H54" s="154">
        <f>VLOOKUP(C54,'Enrollment FY13'!A:C,3,FALSE)</f>
        <v>270</v>
      </c>
      <c r="I54" s="81">
        <f>+'Proportionality FTE'!P54</f>
        <v>33.71</v>
      </c>
      <c r="J54" s="82">
        <f t="shared" si="2"/>
        <v>31.989566352182003</v>
      </c>
      <c r="K54" s="83">
        <f t="shared" si="3"/>
        <v>1.7204336478179958</v>
      </c>
      <c r="L54" s="132">
        <f t="shared" si="4"/>
        <v>8.4402519567628751</v>
      </c>
      <c r="M54" s="84">
        <f t="shared" si="11"/>
        <v>13.843568752072315</v>
      </c>
      <c r="N54" s="35" t="str">
        <f t="shared" si="5"/>
        <v/>
      </c>
      <c r="O54" s="132">
        <f t="shared" si="6"/>
        <v>-5.4033167953094399</v>
      </c>
      <c r="P54" s="132">
        <f t="shared" si="7"/>
        <v>-172.84976114541075</v>
      </c>
      <c r="Q54" s="132">
        <f t="shared" si="8"/>
        <v>-12.485924998171875</v>
      </c>
      <c r="R54" s="34">
        <f t="shared" si="1"/>
        <v>-13.157431615501233</v>
      </c>
      <c r="S54" s="36">
        <f t="shared" si="9"/>
        <v>-13.157431615501233</v>
      </c>
      <c r="T54" s="37"/>
      <c r="U54" s="37">
        <f>VLOOKUP(C54,'[2]Ranking '!$C$1:$H$65536,6,FALSE)</f>
        <v>310</v>
      </c>
      <c r="V54" s="37" t="b">
        <f t="shared" si="10"/>
        <v>0</v>
      </c>
      <c r="W54" s="37">
        <f>VLOOKUP(C54,[3]Proportionality!B:B,1,FALSE)</f>
        <v>5950</v>
      </c>
    </row>
    <row r="55" spans="1:23" ht="15.6" x14ac:dyDescent="0.3">
      <c r="A55" s="39">
        <v>52</v>
      </c>
      <c r="B55" s="27">
        <v>52</v>
      </c>
      <c r="C55" s="28">
        <v>5970</v>
      </c>
      <c r="D55" s="78" t="s">
        <v>66</v>
      </c>
      <c r="E55" s="86"/>
      <c r="F55" s="80">
        <f>+Proportionality!R55</f>
        <v>0.11303412818253744</v>
      </c>
      <c r="G55" s="80">
        <f>+Proportionality!S55</f>
        <v>0.88696587181746256</v>
      </c>
      <c r="H55" s="154">
        <f>VLOOKUP(C55,'Enrollment FY13'!A:C,3,FALSE)</f>
        <v>283</v>
      </c>
      <c r="I55" s="81">
        <f>+'Proportionality FTE'!P55</f>
        <v>29.734999999999996</v>
      </c>
      <c r="J55" s="82">
        <f t="shared" si="2"/>
        <v>26.373930198492246</v>
      </c>
      <c r="K55" s="83">
        <f t="shared" si="3"/>
        <v>3.3610698015077505</v>
      </c>
      <c r="L55" s="132">
        <f t="shared" si="4"/>
        <v>10.730293053409941</v>
      </c>
      <c r="M55" s="84">
        <f t="shared" si="11"/>
        <v>13.843568752072315</v>
      </c>
      <c r="N55" s="35" t="str">
        <f t="shared" si="5"/>
        <v/>
      </c>
      <c r="O55" s="132">
        <f t="shared" si="6"/>
        <v>-3.113275698662374</v>
      </c>
      <c r="P55" s="132">
        <f t="shared" si="7"/>
        <v>-82.109315965183626</v>
      </c>
      <c r="Q55" s="132">
        <f t="shared" si="8"/>
        <v>-5.9312246311408874</v>
      </c>
      <c r="R55" s="34">
        <f t="shared" si="1"/>
        <v>-6.6870945315938073</v>
      </c>
      <c r="S55" s="36">
        <f t="shared" si="9"/>
        <v>-6.6870945315938073</v>
      </c>
      <c r="T55" s="37"/>
      <c r="U55" s="37">
        <f>VLOOKUP(C55,'[2]Ranking '!$C$1:$H$65536,6,FALSE)</f>
        <v>217</v>
      </c>
      <c r="V55" s="37" t="b">
        <f t="shared" si="10"/>
        <v>0</v>
      </c>
      <c r="W55" s="37">
        <f>VLOOKUP(C55,[3]Proportionality!B:B,1,FALSE)</f>
        <v>5970</v>
      </c>
    </row>
    <row r="56" spans="1:23" ht="15.6" x14ac:dyDescent="0.3">
      <c r="A56" s="26">
        <v>53</v>
      </c>
      <c r="B56" s="27">
        <v>53</v>
      </c>
      <c r="C56" s="28">
        <v>5980</v>
      </c>
      <c r="D56" s="78" t="s">
        <v>67</v>
      </c>
      <c r="E56" s="86"/>
      <c r="F56" s="80">
        <f>+Proportionality!R56</f>
        <v>6.5478034481653388E-2</v>
      </c>
      <c r="G56" s="80">
        <f>+Proportionality!S56</f>
        <v>0.93452196551834665</v>
      </c>
      <c r="H56" s="154">
        <f>VLOOKUP(C56,'Enrollment FY13'!A:C,3,FALSE)</f>
        <v>391</v>
      </c>
      <c r="I56" s="81">
        <f>+'Proportionality FTE'!P56</f>
        <v>43.63</v>
      </c>
      <c r="J56" s="82">
        <f t="shared" si="2"/>
        <v>40.773193355565468</v>
      </c>
      <c r="K56" s="83">
        <f t="shared" si="3"/>
        <v>2.8568066444345375</v>
      </c>
      <c r="L56" s="132">
        <f t="shared" si="4"/>
        <v>9.5896339683344713</v>
      </c>
      <c r="M56" s="84">
        <f t="shared" si="11"/>
        <v>13.843568752072315</v>
      </c>
      <c r="N56" s="35" t="str">
        <f t="shared" si="5"/>
        <v/>
      </c>
      <c r="O56" s="132">
        <f t="shared" si="6"/>
        <v>-4.2539347837378436</v>
      </c>
      <c r="P56" s="132">
        <f t="shared" si="7"/>
        <v>-173.44650545930867</v>
      </c>
      <c r="Q56" s="132">
        <f t="shared" si="8"/>
        <v>-12.52903124661006</v>
      </c>
      <c r="R56" s="34">
        <f t="shared" si="1"/>
        <v>-13.406887915856151</v>
      </c>
      <c r="S56" s="36">
        <f t="shared" si="9"/>
        <v>-13.406887915856151</v>
      </c>
      <c r="T56" s="37"/>
      <c r="U56" s="37">
        <f>VLOOKUP(C56,'[2]Ranking '!$C$1:$H$65536,6,FALSE)</f>
        <v>373</v>
      </c>
      <c r="V56" s="37" t="b">
        <f t="shared" si="10"/>
        <v>0</v>
      </c>
      <c r="W56" s="37">
        <f>VLOOKUP(C56,[3]Proportionality!B:B,1,FALSE)</f>
        <v>5980</v>
      </c>
    </row>
    <row r="57" spans="1:23" ht="15.6" x14ac:dyDescent="0.3">
      <c r="A57" s="39">
        <v>54</v>
      </c>
      <c r="B57" s="27">
        <v>54</v>
      </c>
      <c r="C57" s="28">
        <v>6010</v>
      </c>
      <c r="D57" s="78" t="s">
        <v>68</v>
      </c>
      <c r="E57" s="86"/>
      <c r="F57" s="80">
        <f>+Proportionality!R57</f>
        <v>0.11461328819186035</v>
      </c>
      <c r="G57" s="80">
        <f>+Proportionality!S57</f>
        <v>0.88538671180813955</v>
      </c>
      <c r="H57" s="154">
        <f>VLOOKUP(C57,'Enrollment FY13'!A:C,3,FALSE)</f>
        <v>366</v>
      </c>
      <c r="I57" s="81">
        <f>+'Proportionality FTE'!P57</f>
        <v>53.050000000000004</v>
      </c>
      <c r="J57" s="82">
        <f t="shared" si="2"/>
        <v>46.969765061421803</v>
      </c>
      <c r="K57" s="83">
        <f t="shared" si="3"/>
        <v>6.080234938578192</v>
      </c>
      <c r="L57" s="132">
        <f t="shared" si="4"/>
        <v>7.7922467681366117</v>
      </c>
      <c r="M57" s="84">
        <f t="shared" si="11"/>
        <v>13.843568752072315</v>
      </c>
      <c r="N57" s="35" t="str">
        <f t="shared" si="5"/>
        <v/>
      </c>
      <c r="O57" s="132">
        <f t="shared" si="6"/>
        <v>-6.0513219839357033</v>
      </c>
      <c r="P57" s="132">
        <f t="shared" si="7"/>
        <v>-284.22917189647688</v>
      </c>
      <c r="Q57" s="132">
        <f t="shared" si="8"/>
        <v>-20.531495670430296</v>
      </c>
      <c r="R57" s="34">
        <f t="shared" si="1"/>
        <v>-23.189297282879714</v>
      </c>
      <c r="S57" s="36">
        <f t="shared" si="9"/>
        <v>-23.189297282879714</v>
      </c>
      <c r="T57" s="37"/>
      <c r="U57" s="37">
        <f>VLOOKUP(C57,'[2]Ranking '!$C$1:$H$65536,6,FALSE)</f>
        <v>305</v>
      </c>
      <c r="V57" s="37" t="b">
        <f t="shared" si="10"/>
        <v>0</v>
      </c>
      <c r="W57" s="37">
        <f>VLOOKUP(C57,[3]Proportionality!B:B,1,FALSE)</f>
        <v>6010</v>
      </c>
    </row>
    <row r="58" spans="1:23" ht="15.6" x14ac:dyDescent="0.3">
      <c r="A58" s="26">
        <v>55</v>
      </c>
      <c r="B58" s="27">
        <v>55</v>
      </c>
      <c r="C58" s="28">
        <v>6020</v>
      </c>
      <c r="D58" s="78" t="s">
        <v>69</v>
      </c>
      <c r="E58" s="86"/>
      <c r="F58" s="80">
        <f>+Proportionality!R58</f>
        <v>6.6878530855951662E-2</v>
      </c>
      <c r="G58" s="80">
        <f>+Proportionality!S58</f>
        <v>0.93312146914404825</v>
      </c>
      <c r="H58" s="154">
        <f>VLOOKUP(C58,'Enrollment FY13'!A:C,3,FALSE)</f>
        <v>208</v>
      </c>
      <c r="I58" s="81">
        <f>+'Proportionality FTE'!P58</f>
        <v>29.75</v>
      </c>
      <c r="J58" s="82">
        <f t="shared" si="2"/>
        <v>27.760363707035435</v>
      </c>
      <c r="K58" s="83">
        <f t="shared" si="3"/>
        <v>1.9896362929645619</v>
      </c>
      <c r="L58" s="132">
        <f t="shared" si="4"/>
        <v>7.492697220940431</v>
      </c>
      <c r="M58" s="84">
        <f t="shared" si="11"/>
        <v>13.843568752072315</v>
      </c>
      <c r="N58" s="35" t="str">
        <f t="shared" si="5"/>
        <v/>
      </c>
      <c r="O58" s="132">
        <f t="shared" si="6"/>
        <v>-6.350871531131884</v>
      </c>
      <c r="P58" s="132">
        <f t="shared" si="7"/>
        <v>-176.30250356087811</v>
      </c>
      <c r="Q58" s="132">
        <f t="shared" si="8"/>
        <v>-12.735336293575779</v>
      </c>
      <c r="R58" s="34">
        <f t="shared" si="1"/>
        <v>-13.648101254446429</v>
      </c>
      <c r="S58" s="36">
        <f t="shared" si="9"/>
        <v>-13.648101254446429</v>
      </c>
      <c r="T58" s="37"/>
      <c r="U58" s="37">
        <f>VLOOKUP(C58,'[2]Ranking '!$C$1:$H$65536,6,FALSE)</f>
        <v>273</v>
      </c>
      <c r="V58" s="37" t="b">
        <f t="shared" si="10"/>
        <v>0</v>
      </c>
      <c r="W58" s="37">
        <f>VLOOKUP(C58,[3]Proportionality!B:B,1,FALSE)</f>
        <v>6020</v>
      </c>
    </row>
    <row r="59" spans="1:23" ht="15.6" x14ac:dyDescent="0.3">
      <c r="A59" s="39">
        <v>56</v>
      </c>
      <c r="B59" s="27">
        <v>56</v>
      </c>
      <c r="C59" s="28">
        <v>6030</v>
      </c>
      <c r="D59" s="78" t="s">
        <v>70</v>
      </c>
      <c r="E59" s="86"/>
      <c r="F59" s="80">
        <f>+Proportionality!R59</f>
        <v>3.9303250082210771E-2</v>
      </c>
      <c r="G59" s="80">
        <f>+Proportionality!S59</f>
        <v>0.96069674991778931</v>
      </c>
      <c r="H59" s="154">
        <f>VLOOKUP(C59,'Enrollment FY13'!A:C,3,FALSE)</f>
        <v>312</v>
      </c>
      <c r="I59" s="81">
        <f>+'Proportionality FTE'!P59</f>
        <v>39.795000000000002</v>
      </c>
      <c r="J59" s="82">
        <f t="shared" si="2"/>
        <v>38.230927162978425</v>
      </c>
      <c r="K59" s="83">
        <f t="shared" si="3"/>
        <v>1.5640728370215777</v>
      </c>
      <c r="L59" s="132">
        <f t="shared" si="4"/>
        <v>8.1609320817657434</v>
      </c>
      <c r="M59" s="84">
        <f t="shared" si="11"/>
        <v>13.843568752072315</v>
      </c>
      <c r="N59" s="35" t="str">
        <f t="shared" si="5"/>
        <v/>
      </c>
      <c r="O59" s="132">
        <f t="shared" si="6"/>
        <v>-5.6826366703065716</v>
      </c>
      <c r="P59" s="132">
        <f t="shared" si="7"/>
        <v>-217.25246863616078</v>
      </c>
      <c r="Q59" s="132">
        <f t="shared" si="8"/>
        <v>-15.693386042788941</v>
      </c>
      <c r="R59" s="34">
        <f t="shared" si="1"/>
        <v>-16.335421186895747</v>
      </c>
      <c r="S59" s="36">
        <f t="shared" si="9"/>
        <v>-16.335421186895747</v>
      </c>
      <c r="T59" s="37"/>
      <c r="U59" s="37">
        <f>VLOOKUP(C59,'[2]Ranking '!$C$1:$H$65536,6,FALSE)</f>
        <v>253</v>
      </c>
      <c r="V59" s="37" t="b">
        <f t="shared" si="10"/>
        <v>0</v>
      </c>
      <c r="W59" s="37">
        <f>VLOOKUP(C59,[3]Proportionality!B:B,1,FALSE)</f>
        <v>6030</v>
      </c>
    </row>
    <row r="60" spans="1:23" ht="15.6" x14ac:dyDescent="0.3">
      <c r="A60" s="26">
        <v>57</v>
      </c>
      <c r="B60" s="27">
        <v>57</v>
      </c>
      <c r="C60" s="28">
        <v>6040</v>
      </c>
      <c r="D60" s="78" t="s">
        <v>71</v>
      </c>
      <c r="E60" s="86"/>
      <c r="F60" s="80">
        <f>+Proportionality!R60</f>
        <v>0.20790176777243885</v>
      </c>
      <c r="G60" s="80">
        <f>+Proportionality!S60</f>
        <v>0.79209823222756115</v>
      </c>
      <c r="H60" s="154">
        <f>VLOOKUP(C60,'Enrollment FY13'!A:C,3,FALSE)</f>
        <v>300</v>
      </c>
      <c r="I60" s="81">
        <f>+'Proportionality FTE'!P60</f>
        <v>47.755000000000003</v>
      </c>
      <c r="J60" s="82">
        <f t="shared" si="2"/>
        <v>37.826651080027183</v>
      </c>
      <c r="K60" s="83">
        <f t="shared" si="3"/>
        <v>9.9283489199728177</v>
      </c>
      <c r="L60" s="132">
        <f t="shared" si="4"/>
        <v>7.9309162041680912</v>
      </c>
      <c r="M60" s="84">
        <f t="shared" si="11"/>
        <v>13.843568752072315</v>
      </c>
      <c r="N60" s="35" t="str">
        <f t="shared" si="5"/>
        <v/>
      </c>
      <c r="O60" s="132">
        <f t="shared" si="6"/>
        <v>-5.9126525479042238</v>
      </c>
      <c r="P60" s="132">
        <f t="shared" si="7"/>
        <v>-223.65584488700679</v>
      </c>
      <c r="Q60" s="132">
        <f t="shared" si="8"/>
        <v>-16.155938464460373</v>
      </c>
      <c r="R60" s="34">
        <f t="shared" si="1"/>
        <v>-20.396382427247925</v>
      </c>
      <c r="S60" s="36">
        <f t="shared" si="9"/>
        <v>-20.396382427247925</v>
      </c>
      <c r="T60" s="37"/>
      <c r="U60" s="37">
        <f>VLOOKUP(C60,'[2]Ranking '!$C$1:$H$65536,6,FALSE)</f>
        <v>398</v>
      </c>
      <c r="V60" s="37" t="b">
        <f t="shared" si="10"/>
        <v>0</v>
      </c>
      <c r="W60" s="37">
        <f>VLOOKUP(C60,[3]Proportionality!B:B,1,FALSE)</f>
        <v>6040</v>
      </c>
    </row>
    <row r="61" spans="1:23" ht="15.6" x14ac:dyDescent="0.3">
      <c r="A61" s="39">
        <v>58</v>
      </c>
      <c r="B61" s="27">
        <v>58</v>
      </c>
      <c r="C61" s="28">
        <v>6070</v>
      </c>
      <c r="D61" s="78" t="s">
        <v>72</v>
      </c>
      <c r="E61" s="86"/>
      <c r="F61" s="80">
        <f>+Proportionality!R61</f>
        <v>7.6976339464316493E-2</v>
      </c>
      <c r="G61" s="80">
        <f>+Proportionality!S61</f>
        <v>0.92302366053568352</v>
      </c>
      <c r="H61" s="154">
        <f>VLOOKUP(C61,'Enrollment FY13'!A:C,3,FALSE)</f>
        <v>469</v>
      </c>
      <c r="I61" s="81">
        <f>+'Proportionality FTE'!P61</f>
        <v>55.21</v>
      </c>
      <c r="J61" s="82">
        <f t="shared" si="2"/>
        <v>50.960136298175087</v>
      </c>
      <c r="K61" s="83">
        <f t="shared" si="3"/>
        <v>4.2498637018249132</v>
      </c>
      <c r="L61" s="132">
        <f t="shared" si="4"/>
        <v>9.2032720881242067</v>
      </c>
      <c r="M61" s="84">
        <f t="shared" si="11"/>
        <v>13.843568752072315</v>
      </c>
      <c r="N61" s="35" t="str">
        <f t="shared" si="5"/>
        <v/>
      </c>
      <c r="O61" s="132">
        <f t="shared" si="6"/>
        <v>-4.6402966639481082</v>
      </c>
      <c r="P61" s="132">
        <f t="shared" si="7"/>
        <v>-236.47015045876276</v>
      </c>
      <c r="Q61" s="132">
        <f t="shared" si="8"/>
        <v>-17.081588909172307</v>
      </c>
      <c r="R61" s="34">
        <f t="shared" si="1"/>
        <v>-18.506122474974134</v>
      </c>
      <c r="S61" s="36">
        <f t="shared" si="9"/>
        <v>-18.506122474974134</v>
      </c>
      <c r="T61" s="37"/>
      <c r="U61" s="37">
        <f>VLOOKUP(C61,'[2]Ranking '!$C$1:$H$65536,6,FALSE)</f>
        <v>423</v>
      </c>
      <c r="V61" s="37" t="b">
        <f t="shared" si="10"/>
        <v>0</v>
      </c>
      <c r="W61" s="37">
        <f>VLOOKUP(C61,[3]Proportionality!B:B,1,FALSE)</f>
        <v>6070</v>
      </c>
    </row>
    <row r="62" spans="1:23" ht="15.6" x14ac:dyDescent="0.3">
      <c r="A62" s="26">
        <v>59</v>
      </c>
      <c r="B62" s="27">
        <v>59</v>
      </c>
      <c r="C62" s="28">
        <v>6050</v>
      </c>
      <c r="D62" s="78" t="s">
        <v>73</v>
      </c>
      <c r="E62" s="86"/>
      <c r="F62" s="80">
        <f>+Proportionality!R62</f>
        <v>6.7487984719647232E-2</v>
      </c>
      <c r="G62" s="80">
        <f>+Proportionality!S62</f>
        <v>0.93251201528035288</v>
      </c>
      <c r="H62" s="154">
        <f>VLOOKUP(C62,'Enrollment FY13'!A:C,3,FALSE)</f>
        <v>509</v>
      </c>
      <c r="I62" s="81">
        <f>+'Proportionality FTE'!P62</f>
        <v>65.92</v>
      </c>
      <c r="J62" s="82">
        <f t="shared" si="2"/>
        <v>61.471192047280866</v>
      </c>
      <c r="K62" s="83">
        <f t="shared" si="3"/>
        <v>4.4488079527191458</v>
      </c>
      <c r="L62" s="132">
        <f t="shared" si="4"/>
        <v>8.2803014395507439</v>
      </c>
      <c r="M62" s="84">
        <f t="shared" si="11"/>
        <v>13.843568752072315</v>
      </c>
      <c r="N62" s="35" t="str">
        <f t="shared" si="5"/>
        <v/>
      </c>
      <c r="O62" s="132">
        <f t="shared" si="6"/>
        <v>-5.563267312521571</v>
      </c>
      <c r="P62" s="132">
        <f t="shared" si="7"/>
        <v>-341.98067337837358</v>
      </c>
      <c r="Q62" s="132">
        <f t="shared" si="8"/>
        <v>-24.703216309535843</v>
      </c>
      <c r="R62" s="34">
        <f t="shared" si="1"/>
        <v>-26.491043444742107</v>
      </c>
      <c r="S62" s="36">
        <f t="shared" si="9"/>
        <v>-26.491043444742107</v>
      </c>
      <c r="T62" s="37"/>
      <c r="U62" s="37">
        <f>VLOOKUP(C62,'[2]Ranking '!$C$1:$H$65536,6,FALSE)</f>
        <v>467</v>
      </c>
      <c r="V62" s="37" t="b">
        <f t="shared" si="10"/>
        <v>0</v>
      </c>
      <c r="W62" s="37">
        <f>VLOOKUP(C62,[3]Proportionality!B:B,1,FALSE)</f>
        <v>6050</v>
      </c>
    </row>
    <row r="63" spans="1:23" ht="15.6" x14ac:dyDescent="0.3">
      <c r="A63" s="39">
        <v>60</v>
      </c>
      <c r="B63" s="27">
        <v>60</v>
      </c>
      <c r="C63" s="28">
        <v>6060</v>
      </c>
      <c r="D63" s="78" t="s">
        <v>74</v>
      </c>
      <c r="E63" s="86"/>
      <c r="F63" s="80">
        <f>+Proportionality!R63</f>
        <v>0.12119185883482085</v>
      </c>
      <c r="G63" s="80">
        <f>+Proportionality!S63</f>
        <v>0.87880814116517914</v>
      </c>
      <c r="H63" s="154">
        <f>VLOOKUP(C63,'Enrollment FY13'!A:C,3,FALSE)</f>
        <v>339</v>
      </c>
      <c r="I63" s="81">
        <f>+'Proportionality FTE'!P63</f>
        <v>36.545000000000002</v>
      </c>
      <c r="J63" s="82">
        <f t="shared" si="2"/>
        <v>32.116043518881476</v>
      </c>
      <c r="K63" s="83">
        <f t="shared" si="3"/>
        <v>4.4289564811185285</v>
      </c>
      <c r="L63" s="132">
        <f t="shared" si="4"/>
        <v>10.555472058714116</v>
      </c>
      <c r="M63" s="84">
        <f t="shared" si="11"/>
        <v>13.843568752072315</v>
      </c>
      <c r="N63" s="35" t="str">
        <f t="shared" si="5"/>
        <v/>
      </c>
      <c r="O63" s="132">
        <f t="shared" si="6"/>
        <v>-3.2880966933581988</v>
      </c>
      <c r="P63" s="132">
        <f t="shared" si="7"/>
        <v>-105.60065649818219</v>
      </c>
      <c r="Q63" s="132">
        <f t="shared" si="8"/>
        <v>-7.62813826329098</v>
      </c>
      <c r="R63" s="34">
        <f t="shared" si="1"/>
        <v>-8.6800951265393547</v>
      </c>
      <c r="S63" s="36">
        <f t="shared" si="9"/>
        <v>-8.6800951265393547</v>
      </c>
      <c r="T63" s="37"/>
      <c r="U63" s="37">
        <f>VLOOKUP(C63,'[2]Ranking '!$C$1:$H$65536,6,FALSE)</f>
        <v>266</v>
      </c>
      <c r="V63" s="37" t="b">
        <f t="shared" si="10"/>
        <v>0</v>
      </c>
      <c r="W63" s="37">
        <f>VLOOKUP(C63,[3]Proportionality!B:B,1,FALSE)</f>
        <v>6060</v>
      </c>
    </row>
    <row r="64" spans="1:23" ht="15.6" x14ac:dyDescent="0.3">
      <c r="A64" s="26">
        <v>61</v>
      </c>
      <c r="B64" s="27">
        <v>61</v>
      </c>
      <c r="C64" s="28">
        <v>6090</v>
      </c>
      <c r="D64" s="78" t="s">
        <v>75</v>
      </c>
      <c r="E64" s="86"/>
      <c r="F64" s="80">
        <f>+Proportionality!R64</f>
        <v>6.9635031225395022E-2</v>
      </c>
      <c r="G64" s="80">
        <f>+Proportionality!S64</f>
        <v>0.93036496877460495</v>
      </c>
      <c r="H64" s="154">
        <f>VLOOKUP(C64,'Enrollment FY13'!A:C,3,FALSE)</f>
        <v>471</v>
      </c>
      <c r="I64" s="81">
        <f>+'Proportionality FTE'!P64</f>
        <v>74.974999999999994</v>
      </c>
      <c r="J64" s="82">
        <f t="shared" si="2"/>
        <v>69.754113533875994</v>
      </c>
      <c r="K64" s="83">
        <f t="shared" si="3"/>
        <v>5.2208864661239911</v>
      </c>
      <c r="L64" s="132">
        <f t="shared" si="4"/>
        <v>6.7522899530686384</v>
      </c>
      <c r="M64" s="84">
        <f t="shared" si="11"/>
        <v>13.843568752072315</v>
      </c>
      <c r="N64" s="35" t="str">
        <f t="shared" si="5"/>
        <v/>
      </c>
      <c r="O64" s="132">
        <f t="shared" si="6"/>
        <v>-7.0912787990036765</v>
      </c>
      <c r="P64" s="132">
        <f t="shared" si="7"/>
        <v>-494.64586644607027</v>
      </c>
      <c r="Q64" s="132">
        <f t="shared" si="8"/>
        <v>-35.731094727436101</v>
      </c>
      <c r="R64" s="34">
        <f t="shared" si="1"/>
        <v>-38.405460143773432</v>
      </c>
      <c r="S64" s="36">
        <f t="shared" si="9"/>
        <v>-38.405460143773432</v>
      </c>
      <c r="T64" s="37"/>
      <c r="U64" s="37">
        <f>VLOOKUP(C64,'[2]Ranking '!$C$1:$H$65536,6,FALSE)</f>
        <v>300</v>
      </c>
      <c r="V64" s="37" t="b">
        <f t="shared" si="10"/>
        <v>0</v>
      </c>
      <c r="W64" s="37">
        <f>VLOOKUP(C64,[3]Proportionality!B:B,1,FALSE)</f>
        <v>6090</v>
      </c>
    </row>
    <row r="65" spans="1:23" ht="15.6" x14ac:dyDescent="0.3">
      <c r="A65" s="39">
        <v>62</v>
      </c>
      <c r="B65" s="27">
        <v>62</v>
      </c>
      <c r="C65" s="28">
        <v>6110</v>
      </c>
      <c r="D65" s="78" t="s">
        <v>76</v>
      </c>
      <c r="E65" s="86"/>
      <c r="F65" s="80">
        <f>+Proportionality!R65</f>
        <v>7.6564197281788968E-2</v>
      </c>
      <c r="G65" s="80">
        <f>+Proportionality!S65</f>
        <v>0.92343580271821102</v>
      </c>
      <c r="H65" s="154">
        <f>VLOOKUP(C65,'Enrollment FY13'!A:C,3,FALSE)</f>
        <v>427</v>
      </c>
      <c r="I65" s="81">
        <f>+'Proportionality FTE'!P65</f>
        <v>64.100000000000009</v>
      </c>
      <c r="J65" s="82">
        <f t="shared" si="2"/>
        <v>59.192234954237335</v>
      </c>
      <c r="K65" s="83">
        <f t="shared" si="3"/>
        <v>4.9077650457626731</v>
      </c>
      <c r="L65" s="132">
        <f t="shared" si="4"/>
        <v>7.2137840432976041</v>
      </c>
      <c r="M65" s="84">
        <f t="shared" si="11"/>
        <v>13.843568752072315</v>
      </c>
      <c r="N65" s="35" t="str">
        <f t="shared" si="5"/>
        <v/>
      </c>
      <c r="O65" s="132">
        <f t="shared" si="6"/>
        <v>-6.6297847087747108</v>
      </c>
      <c r="P65" s="132">
        <f t="shared" si="7"/>
        <v>-392.43177417780265</v>
      </c>
      <c r="Q65" s="132">
        <f t="shared" si="8"/>
        <v>-28.347587331413912</v>
      </c>
      <c r="R65" s="34">
        <f t="shared" si="1"/>
        <v>-30.697951333455343</v>
      </c>
      <c r="S65" s="36">
        <f t="shared" si="9"/>
        <v>-30.697951333455343</v>
      </c>
      <c r="T65" s="37"/>
      <c r="U65" s="37">
        <f>VLOOKUP(C65,'[2]Ranking '!$C$1:$H$65536,6,FALSE)</f>
        <v>225</v>
      </c>
      <c r="V65" s="37" t="b">
        <f t="shared" si="10"/>
        <v>0</v>
      </c>
      <c r="W65" s="37">
        <f>VLOOKUP(C65,[3]Proportionality!B:B,1,FALSE)</f>
        <v>6110</v>
      </c>
    </row>
    <row r="66" spans="1:23" ht="15.6" x14ac:dyDescent="0.3">
      <c r="A66" s="26">
        <v>63</v>
      </c>
      <c r="B66" s="27">
        <v>63</v>
      </c>
      <c r="C66" s="28">
        <v>6130</v>
      </c>
      <c r="D66" s="29" t="s">
        <v>77</v>
      </c>
      <c r="E66" s="30"/>
      <c r="F66" s="80">
        <f>+Proportionality!R66</f>
        <v>6.4574603919761248E-2</v>
      </c>
      <c r="G66" s="80">
        <f>+Proportionality!S66</f>
        <v>0.93542539608023867</v>
      </c>
      <c r="H66" s="154">
        <f>VLOOKUP(C66,'Enrollment FY13'!A:C,3,FALSE)</f>
        <v>470</v>
      </c>
      <c r="I66" s="81">
        <f>+'Proportionality FTE'!P66</f>
        <v>52.545000000000002</v>
      </c>
      <c r="J66" s="31">
        <f t="shared" si="2"/>
        <v>49.151927437036143</v>
      </c>
      <c r="K66" s="32">
        <f t="shared" si="3"/>
        <v>3.3930725629638547</v>
      </c>
      <c r="L66" s="33">
        <f t="shared" si="4"/>
        <v>9.5621885957996717</v>
      </c>
      <c r="M66" s="34">
        <f t="shared" si="11"/>
        <v>13.843568752072315</v>
      </c>
      <c r="N66" s="35" t="str">
        <f t="shared" si="5"/>
        <v/>
      </c>
      <c r="O66" s="132">
        <f t="shared" si="6"/>
        <v>-4.2813801562726432</v>
      </c>
      <c r="P66" s="132">
        <f t="shared" si="7"/>
        <v>-210.43808677147942</v>
      </c>
      <c r="Q66" s="132">
        <f t="shared" si="8"/>
        <v>-15.201144339314807</v>
      </c>
      <c r="R66" s="34">
        <f>Q66/G66</f>
        <v>-16.250514902645307</v>
      </c>
      <c r="S66" s="36">
        <f t="shared" si="9"/>
        <v>-16.250514902645307</v>
      </c>
      <c r="T66" s="37"/>
      <c r="U66" s="37">
        <f>VLOOKUP(C66,'[2]Ranking '!$C$1:$H$65536,6,FALSE)</f>
        <v>457</v>
      </c>
      <c r="V66" s="37" t="b">
        <f t="shared" si="10"/>
        <v>0</v>
      </c>
      <c r="W66" s="37">
        <f>VLOOKUP(C66,[3]Proportionality!B:B,1,FALSE)</f>
        <v>6130</v>
      </c>
    </row>
    <row r="67" spans="1:23" ht="15.6" x14ac:dyDescent="0.3">
      <c r="A67" s="39">
        <v>64</v>
      </c>
      <c r="B67" s="27">
        <v>64</v>
      </c>
      <c r="C67" s="28">
        <v>6150</v>
      </c>
      <c r="D67" s="29" t="s">
        <v>78</v>
      </c>
      <c r="E67" s="30"/>
      <c r="F67" s="80">
        <f>+Proportionality!R67</f>
        <v>4.6603763663362066E-2</v>
      </c>
      <c r="G67" s="80">
        <f>+Proportionality!S67</f>
        <v>0.95339623633663795</v>
      </c>
      <c r="H67" s="154">
        <f>VLOOKUP(C67,'Enrollment FY13'!A:C,3,FALSE)</f>
        <v>243</v>
      </c>
      <c r="I67" s="81">
        <f>+'Proportionality FTE'!P67</f>
        <v>33.125</v>
      </c>
      <c r="J67" s="31">
        <f>I67*G67</f>
        <v>31.581250328651134</v>
      </c>
      <c r="K67" s="32">
        <f>I67*F67</f>
        <v>1.5437496713488685</v>
      </c>
      <c r="L67" s="33">
        <f>H67/J67</f>
        <v>7.6944388670877162</v>
      </c>
      <c r="M67" s="34">
        <f t="shared" si="11"/>
        <v>13.843568752072315</v>
      </c>
      <c r="N67" s="35" t="str">
        <f>IF(L67&gt;M67,"X","")</f>
        <v/>
      </c>
      <c r="O67" s="132">
        <f>L67-M67</f>
        <v>-6.1491298849845988</v>
      </c>
      <c r="P67" s="132">
        <f>O67*J67</f>
        <v>-194.19721020108838</v>
      </c>
      <c r="Q67" s="132">
        <f>P67/M67</f>
        <v>-14.027973110042019</v>
      </c>
      <c r="R67" s="34">
        <f>Q67/G67</f>
        <v>-14.713686267467951</v>
      </c>
      <c r="S67" s="36">
        <f t="shared" ref="S67:S106" si="12">Q67/G67</f>
        <v>-14.713686267467951</v>
      </c>
      <c r="T67" s="37"/>
      <c r="U67" s="37">
        <f>VLOOKUP(C67,'[2]Ranking '!$C$1:$H$65536,6,FALSE)</f>
        <v>265</v>
      </c>
      <c r="V67" s="37" t="b">
        <f t="shared" ref="V67:V128" si="13">U67=H67</f>
        <v>0</v>
      </c>
      <c r="W67" s="37">
        <f>VLOOKUP(C67,[3]Proportionality!B:B,1,FALSE)</f>
        <v>6150</v>
      </c>
    </row>
    <row r="68" spans="1:23" ht="15.6" x14ac:dyDescent="0.3">
      <c r="A68" s="26">
        <v>65</v>
      </c>
      <c r="B68" s="27">
        <v>65</v>
      </c>
      <c r="C68" s="28">
        <v>6170</v>
      </c>
      <c r="D68" s="29" t="s">
        <v>79</v>
      </c>
      <c r="E68" s="30"/>
      <c r="F68" s="80">
        <f>+Proportionality!R68</f>
        <v>0.10564974647905803</v>
      </c>
      <c r="G68" s="80">
        <f>+Proportionality!S68</f>
        <v>0.894350253520942</v>
      </c>
      <c r="H68" s="154">
        <f>VLOOKUP(C68,'Enrollment FY13'!A:C,3,FALSE)</f>
        <v>339</v>
      </c>
      <c r="I68" s="81">
        <f>+'Proportionality FTE'!P68</f>
        <v>48.005000000000003</v>
      </c>
      <c r="J68" s="31">
        <f>I68*G68</f>
        <v>42.933283920272821</v>
      </c>
      <c r="K68" s="32">
        <f>I68*F68</f>
        <v>5.0717160797271807</v>
      </c>
      <c r="L68" s="33">
        <f>H68/J68</f>
        <v>7.8959718205931688</v>
      </c>
      <c r="M68" s="34">
        <f t="shared" si="11"/>
        <v>13.843568752072315</v>
      </c>
      <c r="N68" s="35" t="str">
        <f>IF(L68&gt;M68,"X","")</f>
        <v/>
      </c>
      <c r="O68" s="132">
        <f>L68-M68</f>
        <v>-5.9475969314791461</v>
      </c>
      <c r="P68" s="132">
        <f>O68*J68</f>
        <v>-255.34986770253761</v>
      </c>
      <c r="Q68" s="132">
        <f>P68/M68</f>
        <v>-18.445378664682327</v>
      </c>
      <c r="R68" s="34">
        <f>Q68/G68</f>
        <v>-20.624334361247445</v>
      </c>
      <c r="S68" s="36">
        <f t="shared" si="12"/>
        <v>-20.624334361247445</v>
      </c>
      <c r="T68" s="37"/>
      <c r="U68" s="37">
        <f>VLOOKUP(C68,'[2]Ranking '!$C$1:$H$65536,6,FALSE)</f>
        <v>430</v>
      </c>
      <c r="V68" s="37" t="b">
        <f t="shared" si="13"/>
        <v>0</v>
      </c>
      <c r="W68" s="37">
        <f>VLOOKUP(C68,[3]Proportionality!B:B,1,FALSE)</f>
        <v>6170</v>
      </c>
    </row>
    <row r="69" spans="1:23" ht="15.6" x14ac:dyDescent="0.3">
      <c r="A69" s="39">
        <v>66</v>
      </c>
      <c r="B69" s="27">
        <v>66</v>
      </c>
      <c r="C69" s="28">
        <v>6190</v>
      </c>
      <c r="D69" s="29" t="s">
        <v>80</v>
      </c>
      <c r="E69" s="30"/>
      <c r="F69" s="80">
        <f>+Proportionality!R69</f>
        <v>4.9235689599906207E-2</v>
      </c>
      <c r="G69" s="80">
        <f>+Proportionality!S69</f>
        <v>0.95076431040009379</v>
      </c>
      <c r="H69" s="154">
        <f>VLOOKUP(C69,'Enrollment FY13'!A:C,3,FALSE)</f>
        <v>408</v>
      </c>
      <c r="I69" s="81">
        <f>+'Proportionality FTE'!P69</f>
        <v>57.965000000000003</v>
      </c>
      <c r="J69" s="31">
        <f>I69*G69</f>
        <v>55.111053252341442</v>
      </c>
      <c r="K69" s="32">
        <f>I69*F69</f>
        <v>2.8539467476585636</v>
      </c>
      <c r="L69" s="33">
        <f>H69/J69</f>
        <v>7.4032335787860442</v>
      </c>
      <c r="M69" s="34">
        <f t="shared" si="11"/>
        <v>13.843568752072315</v>
      </c>
      <c r="N69" s="35" t="str">
        <f>IF(L69&gt;M69,"X","")</f>
        <v/>
      </c>
      <c r="O69" s="132">
        <f>L69-M69</f>
        <v>-6.4403351732862708</v>
      </c>
      <c r="P69" s="132">
        <f>O69*J69</f>
        <v>-354.93365469790734</v>
      </c>
      <c r="Q69" s="132">
        <f>P69/M69</f>
        <v>-25.638884095170582</v>
      </c>
      <c r="R69" s="34">
        <f>Q69/G69</f>
        <v>-26.966603410240978</v>
      </c>
      <c r="S69" s="36">
        <f t="shared" si="12"/>
        <v>-26.966603410240978</v>
      </c>
      <c r="T69" s="37"/>
      <c r="U69" s="37">
        <f>VLOOKUP(C69,'[2]Ranking '!$C$1:$H$65536,6,FALSE)</f>
        <v>328</v>
      </c>
      <c r="V69" s="37" t="b">
        <f t="shared" si="13"/>
        <v>0</v>
      </c>
      <c r="W69" s="37">
        <f>VLOOKUP(C69,[3]Proportionality!B:B,1,FALSE)</f>
        <v>6190</v>
      </c>
    </row>
    <row r="70" spans="1:23" ht="15.6" x14ac:dyDescent="0.3">
      <c r="A70" s="26">
        <v>67</v>
      </c>
      <c r="B70" s="27">
        <v>67</v>
      </c>
      <c r="C70" s="28">
        <v>6200</v>
      </c>
      <c r="D70" s="29" t="s">
        <v>81</v>
      </c>
      <c r="E70" s="30"/>
      <c r="F70" s="80">
        <f>+Proportionality!R70</f>
        <v>5.8208363874242393E-2</v>
      </c>
      <c r="G70" s="80">
        <f>+Proportionality!S70</f>
        <v>0.94179163612575767</v>
      </c>
      <c r="H70" s="154">
        <f>VLOOKUP(C70,'Enrollment FY13'!A:C,3,FALSE)</f>
        <v>308</v>
      </c>
      <c r="I70" s="81">
        <f>+'Proportionality FTE'!P70</f>
        <v>39.295000000000002</v>
      </c>
      <c r="J70" s="31">
        <f>I70*G70</f>
        <v>37.007702341561647</v>
      </c>
      <c r="K70" s="32">
        <f>I70*F70</f>
        <v>2.2872976584383551</v>
      </c>
      <c r="L70" s="33">
        <f>H70/J70</f>
        <v>8.3225917987915548</v>
      </c>
      <c r="M70" s="34">
        <f t="shared" si="11"/>
        <v>13.843568752072315</v>
      </c>
      <c r="N70" s="35" t="str">
        <f>IF(L70&gt;M70,"X","")</f>
        <v/>
      </c>
      <c r="O70" s="132">
        <f>L70-M70</f>
        <v>-5.5209769532807602</v>
      </c>
      <c r="P70" s="132">
        <f>O70*J70</f>
        <v>-204.31867172163626</v>
      </c>
      <c r="Q70" s="132">
        <f>P70/M70</f>
        <v>-14.75910405624639</v>
      </c>
      <c r="R70" s="34">
        <f>Q70/G70</f>
        <v>-15.671305085019467</v>
      </c>
      <c r="S70" s="36">
        <f t="shared" si="12"/>
        <v>-15.671305085019467</v>
      </c>
      <c r="T70" s="37"/>
      <c r="U70" s="37">
        <f>VLOOKUP(C70,'[2]Ranking '!$C$1:$H$65536,6,FALSE)</f>
        <v>302</v>
      </c>
      <c r="V70" s="37" t="b">
        <f t="shared" si="13"/>
        <v>0</v>
      </c>
      <c r="W70" s="37">
        <f>VLOOKUP(C70,[3]Proportionality!B:B,1,FALSE)</f>
        <v>6200</v>
      </c>
    </row>
    <row r="71" spans="1:23" ht="15.6" x14ac:dyDescent="0.3">
      <c r="A71" s="1"/>
      <c r="B71" s="15"/>
      <c r="C71" s="16"/>
      <c r="D71" s="41" t="s">
        <v>82</v>
      </c>
      <c r="E71" s="42"/>
      <c r="F71" s="44"/>
      <c r="G71" s="44"/>
      <c r="H71" s="45"/>
      <c r="I71" s="46"/>
      <c r="J71" s="47"/>
      <c r="K71" s="47"/>
      <c r="L71" s="47"/>
      <c r="M71" s="48"/>
      <c r="N71" s="49">
        <f>COUNTIF(N4:N70,"x")</f>
        <v>0</v>
      </c>
      <c r="O71" s="133"/>
      <c r="P71" s="133"/>
      <c r="Q71" s="133"/>
      <c r="R71" s="48"/>
      <c r="S71" s="36"/>
      <c r="T71" s="37"/>
      <c r="U71" s="37"/>
      <c r="V71" s="37" t="b">
        <f t="shared" si="13"/>
        <v>1</v>
      </c>
      <c r="W71" s="37"/>
    </row>
    <row r="72" spans="1:23" ht="15.6" x14ac:dyDescent="0.3">
      <c r="A72" s="1"/>
      <c r="B72" s="15"/>
      <c r="C72" s="16"/>
      <c r="D72" s="41"/>
      <c r="E72" s="42"/>
      <c r="F72" s="44"/>
      <c r="G72" s="44"/>
      <c r="H72" s="45"/>
      <c r="I72" s="46"/>
      <c r="J72" s="50"/>
      <c r="K72" s="51"/>
      <c r="L72" s="47"/>
      <c r="M72" s="48"/>
      <c r="N72" s="52"/>
      <c r="O72" s="133"/>
      <c r="P72" s="133"/>
      <c r="Q72" s="133"/>
      <c r="R72" s="48"/>
      <c r="S72" s="36"/>
      <c r="T72" s="53"/>
      <c r="U72" s="37"/>
      <c r="V72" s="37" t="b">
        <f t="shared" si="13"/>
        <v>1</v>
      </c>
      <c r="W72" s="37"/>
    </row>
    <row r="73" spans="1:23" ht="15.6" x14ac:dyDescent="0.3">
      <c r="A73" s="39">
        <v>69</v>
      </c>
      <c r="B73" s="27">
        <v>1</v>
      </c>
      <c r="C73" s="28">
        <v>6340</v>
      </c>
      <c r="D73" s="29" t="s">
        <v>83</v>
      </c>
      <c r="E73" s="30"/>
      <c r="F73" s="80">
        <f>+'Proportionality FTE'!Q73</f>
        <v>0</v>
      </c>
      <c r="G73" s="80">
        <f>+'Proportionality FTE'!R73</f>
        <v>1</v>
      </c>
      <c r="H73" s="154">
        <f>VLOOKUP(C73,'Enrollment FY13'!A:C,3,FALSE)</f>
        <v>282</v>
      </c>
      <c r="I73" s="81">
        <f>+'Proportionality FTE'!P73</f>
        <v>45.295000000000002</v>
      </c>
      <c r="J73" s="31">
        <f t="shared" ref="J73:J84" si="14">I73*G73</f>
        <v>45.295000000000002</v>
      </c>
      <c r="K73" s="32">
        <f t="shared" ref="K73:K84" si="15">I73*F73</f>
        <v>0</v>
      </c>
      <c r="L73" s="33">
        <f t="shared" ref="L73:L84" si="16">H73/J73</f>
        <v>6.2258527431283808</v>
      </c>
      <c r="M73" s="34">
        <f t="shared" ref="M73:M84" si="17">$L$130</f>
        <v>13.843568752072315</v>
      </c>
      <c r="N73" s="35" t="str">
        <f t="shared" ref="N73:N84" si="18">IF(L73&gt;M73,"X","")</f>
        <v/>
      </c>
      <c r="O73" s="132">
        <f t="shared" ref="O73:O84" si="19">L73-M73</f>
        <v>-7.6177160089439342</v>
      </c>
      <c r="P73" s="132">
        <f t="shared" ref="P73:P84" si="20">O73*J73</f>
        <v>-345.04444662511554</v>
      </c>
      <c r="Q73" s="132">
        <f t="shared" ref="Q73:Q84" si="21">P73/M73</f>
        <v>-24.9245301413672</v>
      </c>
      <c r="R73" s="34">
        <f t="shared" ref="R73:R84" si="22">Q73/G73</f>
        <v>-24.9245301413672</v>
      </c>
      <c r="S73" s="36">
        <f t="shared" si="12"/>
        <v>-24.9245301413672</v>
      </c>
      <c r="T73" s="37"/>
      <c r="U73" s="37">
        <f>VLOOKUP(C73,'[2]Ranking '!$C$1:$H$65536,6,FALSE)</f>
        <v>281</v>
      </c>
      <c r="V73" s="37" t="b">
        <f t="shared" si="13"/>
        <v>0</v>
      </c>
      <c r="W73" s="37">
        <f>VLOOKUP(C73,[3]Proportionality!B:B,1,FALSE)</f>
        <v>6340</v>
      </c>
    </row>
    <row r="74" spans="1:23" ht="15.6" x14ac:dyDescent="0.3">
      <c r="A74" s="39">
        <v>70</v>
      </c>
      <c r="B74" s="27">
        <v>2</v>
      </c>
      <c r="C74" s="28">
        <v>6380</v>
      </c>
      <c r="D74" s="78" t="s">
        <v>84</v>
      </c>
      <c r="E74" s="30"/>
      <c r="F74" s="80">
        <f>+'Proportionality FTE'!Q74</f>
        <v>0</v>
      </c>
      <c r="G74" s="80">
        <f>+'Proportionality FTE'!R74</f>
        <v>1</v>
      </c>
      <c r="H74" s="154">
        <f>VLOOKUP(C74,'Enrollment FY13'!A:C,3,FALSE)</f>
        <v>404</v>
      </c>
      <c r="I74" s="81">
        <f>+'Proportionality FTE'!P74</f>
        <v>44.274999999999999</v>
      </c>
      <c r="J74" s="81">
        <f t="shared" si="14"/>
        <v>44.274999999999999</v>
      </c>
      <c r="K74" s="32">
        <f t="shared" si="15"/>
        <v>0</v>
      </c>
      <c r="L74" s="33">
        <f t="shared" si="16"/>
        <v>9.1247882552230379</v>
      </c>
      <c r="M74" s="34">
        <f t="shared" si="17"/>
        <v>13.843568752072315</v>
      </c>
      <c r="N74" s="35" t="str">
        <f t="shared" si="18"/>
        <v/>
      </c>
      <c r="O74" s="132">
        <f t="shared" si="19"/>
        <v>-4.718780496849277</v>
      </c>
      <c r="P74" s="132">
        <f t="shared" si="20"/>
        <v>-208.92400649800175</v>
      </c>
      <c r="Q74" s="132">
        <f t="shared" si="21"/>
        <v>-15.091773677703362</v>
      </c>
      <c r="R74" s="34">
        <f t="shared" si="22"/>
        <v>-15.091773677703362</v>
      </c>
      <c r="S74" s="36">
        <f t="shared" si="12"/>
        <v>-15.091773677703362</v>
      </c>
      <c r="T74" s="37"/>
      <c r="U74" s="37">
        <f>VLOOKUP(C74,'[2]Ranking '!$C$1:$H$65536,6,FALSE)</f>
        <v>419</v>
      </c>
      <c r="V74" s="37" t="b">
        <f t="shared" si="13"/>
        <v>0</v>
      </c>
      <c r="W74" s="37">
        <f>VLOOKUP(C74,[3]Proportionality!B:B,1,FALSE)</f>
        <v>6380</v>
      </c>
    </row>
    <row r="75" spans="1:23" ht="15.6" x14ac:dyDescent="0.3">
      <c r="A75" s="39">
        <v>71</v>
      </c>
      <c r="B75" s="27">
        <v>3</v>
      </c>
      <c r="C75" s="28">
        <v>6390</v>
      </c>
      <c r="D75" s="29" t="s">
        <v>85</v>
      </c>
      <c r="E75" s="30"/>
      <c r="F75" s="80">
        <f>+'Proportionality FTE'!Q75</f>
        <v>0</v>
      </c>
      <c r="G75" s="80">
        <f>+'Proportionality FTE'!R75</f>
        <v>1</v>
      </c>
      <c r="H75" s="154">
        <f>VLOOKUP(C75,'Enrollment FY13'!A:C,3,FALSE)</f>
        <v>519</v>
      </c>
      <c r="I75" s="81">
        <f>+'Proportionality FTE'!P75</f>
        <v>64.13</v>
      </c>
      <c r="J75" s="31">
        <f t="shared" si="14"/>
        <v>64.13</v>
      </c>
      <c r="K75" s="32">
        <f t="shared" si="15"/>
        <v>0</v>
      </c>
      <c r="L75" s="33">
        <f t="shared" si="16"/>
        <v>8.0929362232964301</v>
      </c>
      <c r="M75" s="34">
        <f t="shared" si="17"/>
        <v>13.843568752072315</v>
      </c>
      <c r="N75" s="35" t="str">
        <f t="shared" si="18"/>
        <v/>
      </c>
      <c r="O75" s="132">
        <f t="shared" si="19"/>
        <v>-5.7506325287758848</v>
      </c>
      <c r="P75" s="132">
        <f t="shared" si="20"/>
        <v>-368.78806407039747</v>
      </c>
      <c r="Q75" s="132">
        <f t="shared" si="21"/>
        <v>-26.639667175069413</v>
      </c>
      <c r="R75" s="34">
        <f t="shared" si="22"/>
        <v>-26.639667175069413</v>
      </c>
      <c r="S75" s="36">
        <f t="shared" si="12"/>
        <v>-26.639667175069413</v>
      </c>
      <c r="T75" s="40"/>
      <c r="U75" s="37">
        <f>VLOOKUP(C75,'[2]Ranking '!$C$1:$H$65536,6,FALSE)</f>
        <v>426</v>
      </c>
      <c r="V75" s="37" t="b">
        <f t="shared" si="13"/>
        <v>0</v>
      </c>
      <c r="W75" s="37">
        <f>VLOOKUP(C75,[3]Proportionality!B:B,1,FALSE)</f>
        <v>6390</v>
      </c>
    </row>
    <row r="76" spans="1:23" ht="15.6" x14ac:dyDescent="0.3">
      <c r="A76" s="39">
        <v>72</v>
      </c>
      <c r="B76" s="27">
        <v>4</v>
      </c>
      <c r="C76" s="28">
        <v>6410</v>
      </c>
      <c r="D76" s="29" t="s">
        <v>86</v>
      </c>
      <c r="E76" s="30"/>
      <c r="F76" s="80">
        <f>+'Proportionality FTE'!Q76</f>
        <v>0</v>
      </c>
      <c r="G76" s="80">
        <f>+'Proportionality FTE'!R76</f>
        <v>1</v>
      </c>
      <c r="H76" s="154">
        <f>VLOOKUP(C76,'Enrollment FY13'!A:C,3,FALSE)</f>
        <v>279</v>
      </c>
      <c r="I76" s="81">
        <f>+'Proportionality FTE'!P76</f>
        <v>37.92</v>
      </c>
      <c r="J76" s="31">
        <f t="shared" si="14"/>
        <v>37.92</v>
      </c>
      <c r="K76" s="32">
        <f t="shared" si="15"/>
        <v>0</v>
      </c>
      <c r="L76" s="33">
        <f t="shared" si="16"/>
        <v>7.3575949367088604</v>
      </c>
      <c r="M76" s="34">
        <f t="shared" si="17"/>
        <v>13.843568752072315</v>
      </c>
      <c r="N76" s="35" t="str">
        <f t="shared" si="18"/>
        <v/>
      </c>
      <c r="O76" s="132">
        <f t="shared" si="19"/>
        <v>-6.4859738153634545</v>
      </c>
      <c r="P76" s="132">
        <f t="shared" si="20"/>
        <v>-245.94812707858222</v>
      </c>
      <c r="Q76" s="132">
        <f t="shared" si="21"/>
        <v>-17.766237267522868</v>
      </c>
      <c r="R76" s="34">
        <f t="shared" si="22"/>
        <v>-17.766237267522868</v>
      </c>
      <c r="S76" s="36">
        <f t="shared" si="12"/>
        <v>-17.766237267522868</v>
      </c>
      <c r="T76" s="40"/>
      <c r="U76" s="37">
        <f>VLOOKUP(C76,'[2]Ranking '!$C$1:$H$65536,6,FALSE)</f>
        <v>313</v>
      </c>
      <c r="V76" s="37" t="b">
        <f t="shared" si="13"/>
        <v>0</v>
      </c>
      <c r="W76" s="37">
        <f>VLOOKUP(C76,[3]Proportionality!B:B,1,FALSE)</f>
        <v>6410</v>
      </c>
    </row>
    <row r="77" spans="1:23" ht="15.6" x14ac:dyDescent="0.3">
      <c r="A77" s="39">
        <v>73</v>
      </c>
      <c r="B77" s="27">
        <v>5</v>
      </c>
      <c r="C77" s="28">
        <v>6420</v>
      </c>
      <c r="D77" s="29" t="s">
        <v>87</v>
      </c>
      <c r="E77" s="30"/>
      <c r="F77" s="80">
        <f>+'Proportionality FTE'!Q77</f>
        <v>0</v>
      </c>
      <c r="G77" s="80">
        <f>+'Proportionality FTE'!R77</f>
        <v>1</v>
      </c>
      <c r="H77" s="154">
        <f>VLOOKUP(C77,'Enrollment FY13'!A:C,3,FALSE)</f>
        <v>245</v>
      </c>
      <c r="I77" s="81">
        <f>+'Proportionality FTE'!P77</f>
        <v>38.21</v>
      </c>
      <c r="J77" s="31">
        <f t="shared" si="14"/>
        <v>38.21</v>
      </c>
      <c r="K77" s="32">
        <f t="shared" si="15"/>
        <v>0</v>
      </c>
      <c r="L77" s="33">
        <f t="shared" si="16"/>
        <v>6.411934048678356</v>
      </c>
      <c r="M77" s="34">
        <f t="shared" si="17"/>
        <v>13.843568752072315</v>
      </c>
      <c r="N77" s="35" t="str">
        <f t="shared" si="18"/>
        <v/>
      </c>
      <c r="O77" s="132">
        <f t="shared" si="19"/>
        <v>-7.4316347033939589</v>
      </c>
      <c r="P77" s="132">
        <f t="shared" si="20"/>
        <v>-283.9627620166832</v>
      </c>
      <c r="Q77" s="132">
        <f t="shared" si="21"/>
        <v>-20.512251363953776</v>
      </c>
      <c r="R77" s="34">
        <f t="shared" si="22"/>
        <v>-20.512251363953776</v>
      </c>
      <c r="S77" s="36">
        <f t="shared" si="12"/>
        <v>-20.512251363953776</v>
      </c>
      <c r="T77" s="40"/>
      <c r="U77" s="37">
        <f>VLOOKUP(C77,'[2]Ranking '!$C$1:$H$65536,6,FALSE)</f>
        <v>289</v>
      </c>
      <c r="V77" s="37" t="b">
        <f t="shared" si="13"/>
        <v>0</v>
      </c>
      <c r="W77" s="37">
        <f>VLOOKUP(C77,[3]Proportionality!B:B,1,FALSE)</f>
        <v>6420</v>
      </c>
    </row>
    <row r="78" spans="1:23" ht="15.6" x14ac:dyDescent="0.3">
      <c r="A78" s="39">
        <v>74</v>
      </c>
      <c r="B78" s="27">
        <v>6</v>
      </c>
      <c r="C78" s="28">
        <v>6580</v>
      </c>
      <c r="D78" s="29" t="s">
        <v>88</v>
      </c>
      <c r="E78" s="30"/>
      <c r="F78" s="80">
        <f>+'Proportionality FTE'!Q78</f>
        <v>0</v>
      </c>
      <c r="G78" s="80">
        <f>+'Proportionality FTE'!R78</f>
        <v>1</v>
      </c>
      <c r="H78" s="154">
        <f>VLOOKUP(C78,'Enrollment FY13'!A:C,3,FALSE)</f>
        <v>353</v>
      </c>
      <c r="I78" s="81">
        <f>+'Proportionality FTE'!P78</f>
        <v>49.5</v>
      </c>
      <c r="J78" s="31">
        <f t="shared" si="14"/>
        <v>49.5</v>
      </c>
      <c r="K78" s="32">
        <f t="shared" si="15"/>
        <v>0</v>
      </c>
      <c r="L78" s="33">
        <f t="shared" si="16"/>
        <v>7.1313131313131315</v>
      </c>
      <c r="M78" s="34">
        <f t="shared" si="17"/>
        <v>13.843568752072315</v>
      </c>
      <c r="N78" s="35" t="str">
        <f t="shared" si="18"/>
        <v/>
      </c>
      <c r="O78" s="132">
        <f t="shared" si="19"/>
        <v>-6.7122556207591835</v>
      </c>
      <c r="P78" s="132">
        <f t="shared" si="20"/>
        <v>-332.25665322757959</v>
      </c>
      <c r="Q78" s="132">
        <f t="shared" si="21"/>
        <v>-24.000794822349722</v>
      </c>
      <c r="R78" s="34">
        <f t="shared" si="22"/>
        <v>-24.000794822349722</v>
      </c>
      <c r="S78" s="36">
        <f t="shared" si="12"/>
        <v>-24.000794822349722</v>
      </c>
      <c r="T78" s="40"/>
      <c r="U78" s="37">
        <f>VLOOKUP(C78,'[2]Ranking '!$C$1:$H$65536,6,FALSE)</f>
        <v>408</v>
      </c>
      <c r="V78" s="37" t="b">
        <f t="shared" si="13"/>
        <v>0</v>
      </c>
      <c r="W78" s="37">
        <f>VLOOKUP(C78,[3]Proportionality!B:B,1,FALSE)</f>
        <v>6580</v>
      </c>
    </row>
    <row r="79" spans="1:23" ht="15.6" x14ac:dyDescent="0.3">
      <c r="A79" s="39">
        <v>75</v>
      </c>
      <c r="B79" s="27">
        <v>7</v>
      </c>
      <c r="C79" s="28">
        <v>6430</v>
      </c>
      <c r="D79" s="29" t="s">
        <v>89</v>
      </c>
      <c r="E79" s="30"/>
      <c r="F79" s="80">
        <f>+'Proportionality FTE'!Q79</f>
        <v>0</v>
      </c>
      <c r="G79" s="80">
        <f>+'Proportionality FTE'!R79</f>
        <v>1</v>
      </c>
      <c r="H79" s="154">
        <f>VLOOKUP(C79,'Enrollment FY13'!A:C,3,FALSE)</f>
        <v>281</v>
      </c>
      <c r="I79" s="81">
        <f>+'Proportionality FTE'!P79</f>
        <v>39.25</v>
      </c>
      <c r="J79" s="31">
        <f t="shared" si="14"/>
        <v>39.25</v>
      </c>
      <c r="K79" s="32">
        <f t="shared" si="15"/>
        <v>0</v>
      </c>
      <c r="L79" s="33">
        <f t="shared" si="16"/>
        <v>7.1592356687898091</v>
      </c>
      <c r="M79" s="34">
        <f t="shared" si="17"/>
        <v>13.843568752072315</v>
      </c>
      <c r="N79" s="35" t="str">
        <f t="shared" si="18"/>
        <v/>
      </c>
      <c r="O79" s="132">
        <f t="shared" si="19"/>
        <v>-6.6843330832825059</v>
      </c>
      <c r="P79" s="132">
        <f t="shared" si="20"/>
        <v>-262.36007351883836</v>
      </c>
      <c r="Q79" s="132">
        <f t="shared" si="21"/>
        <v>-18.951765850085753</v>
      </c>
      <c r="R79" s="34">
        <f t="shared" si="22"/>
        <v>-18.951765850085753</v>
      </c>
      <c r="S79" s="36">
        <f t="shared" si="12"/>
        <v>-18.951765850085753</v>
      </c>
      <c r="T79" s="40"/>
      <c r="U79" s="37">
        <f>VLOOKUP(C79,'[2]Ranking '!$C$1:$H$65536,6,FALSE)</f>
        <v>307</v>
      </c>
      <c r="V79" s="37" t="b">
        <f t="shared" si="13"/>
        <v>0</v>
      </c>
      <c r="W79" s="37">
        <f>VLOOKUP(C79,[3]Proportionality!B:B,1,FALSE)</f>
        <v>6430</v>
      </c>
    </row>
    <row r="80" spans="1:23" ht="15.6" x14ac:dyDescent="0.3">
      <c r="A80" s="39">
        <v>76</v>
      </c>
      <c r="B80" s="27">
        <v>8</v>
      </c>
      <c r="C80" s="28">
        <v>6450</v>
      </c>
      <c r="D80" s="29" t="s">
        <v>90</v>
      </c>
      <c r="E80" s="30"/>
      <c r="F80" s="80">
        <f>+'Proportionality FTE'!Q80</f>
        <v>0</v>
      </c>
      <c r="G80" s="80">
        <f>+'Proportionality FTE'!R80</f>
        <v>1</v>
      </c>
      <c r="H80" s="154">
        <f>VLOOKUP(C80,'Enrollment FY13'!A:C,3,FALSE)</f>
        <v>151</v>
      </c>
      <c r="I80" s="81">
        <f>+'Proportionality FTE'!P80</f>
        <v>34.085000000000001</v>
      </c>
      <c r="J80" s="31">
        <f t="shared" si="14"/>
        <v>34.085000000000001</v>
      </c>
      <c r="K80" s="32">
        <f t="shared" si="15"/>
        <v>0</v>
      </c>
      <c r="L80" s="33">
        <f t="shared" si="16"/>
        <v>4.4301012175443741</v>
      </c>
      <c r="M80" s="34">
        <f t="shared" si="17"/>
        <v>13.843568752072315</v>
      </c>
      <c r="N80" s="35" t="str">
        <f t="shared" si="18"/>
        <v/>
      </c>
      <c r="O80" s="132">
        <f t="shared" si="19"/>
        <v>-9.4134675345279408</v>
      </c>
      <c r="P80" s="132">
        <f t="shared" si="20"/>
        <v>-320.85804091438484</v>
      </c>
      <c r="Q80" s="132">
        <f t="shared" si="21"/>
        <v>-23.177407983498039</v>
      </c>
      <c r="R80" s="34">
        <f t="shared" si="22"/>
        <v>-23.177407983498039</v>
      </c>
      <c r="S80" s="36">
        <f t="shared" si="12"/>
        <v>-23.177407983498039</v>
      </c>
      <c r="T80" s="40"/>
      <c r="U80" s="37">
        <f>VLOOKUP(C80,'[2]Ranking '!$C$1:$H$65536,6,FALSE)</f>
        <v>203</v>
      </c>
      <c r="V80" s="37" t="b">
        <f t="shared" si="13"/>
        <v>0</v>
      </c>
      <c r="W80" s="37">
        <f>VLOOKUP(C80,[3]Proportionality!B:B,1,FALSE)</f>
        <v>6450</v>
      </c>
    </row>
    <row r="81" spans="1:24" ht="15.6" x14ac:dyDescent="0.3">
      <c r="A81" s="39">
        <v>77</v>
      </c>
      <c r="B81" s="27">
        <v>9</v>
      </c>
      <c r="C81" s="28">
        <v>6470</v>
      </c>
      <c r="D81" s="29" t="s">
        <v>91</v>
      </c>
      <c r="E81" s="30"/>
      <c r="F81" s="80">
        <f>+'Proportionality FTE'!Q81</f>
        <v>0</v>
      </c>
      <c r="G81" s="80">
        <f>+'Proportionality FTE'!R81</f>
        <v>1</v>
      </c>
      <c r="H81" s="154">
        <f>VLOOKUP(C81,'Enrollment FY13'!A:C,3,FALSE)</f>
        <v>204</v>
      </c>
      <c r="I81" s="81">
        <f>+'Proportionality FTE'!P81</f>
        <v>39.215000000000003</v>
      </c>
      <c r="J81" s="31">
        <f t="shared" si="14"/>
        <v>39.215000000000003</v>
      </c>
      <c r="K81" s="32">
        <f t="shared" si="15"/>
        <v>0</v>
      </c>
      <c r="L81" s="33">
        <f t="shared" si="16"/>
        <v>5.2020910365931403</v>
      </c>
      <c r="M81" s="34">
        <f t="shared" si="17"/>
        <v>13.843568752072315</v>
      </c>
      <c r="N81" s="35" t="str">
        <f t="shared" si="18"/>
        <v/>
      </c>
      <c r="O81" s="132">
        <f t="shared" si="19"/>
        <v>-8.6414777154791746</v>
      </c>
      <c r="P81" s="132">
        <f t="shared" si="20"/>
        <v>-338.87554861251584</v>
      </c>
      <c r="Q81" s="132">
        <f t="shared" si="21"/>
        <v>-24.47891542141457</v>
      </c>
      <c r="R81" s="34">
        <f t="shared" si="22"/>
        <v>-24.47891542141457</v>
      </c>
      <c r="S81" s="36">
        <f t="shared" si="12"/>
        <v>-24.47891542141457</v>
      </c>
      <c r="T81" s="40"/>
      <c r="U81" s="37">
        <f>VLOOKUP(C81,'[2]Ranking '!$C$1:$H$65536,6,FALSE)</f>
        <v>234</v>
      </c>
      <c r="V81" s="37" t="b">
        <f t="shared" si="13"/>
        <v>0</v>
      </c>
      <c r="W81" s="37">
        <f>VLOOKUP(C81,[3]Proportionality!B:B,1,FALSE)</f>
        <v>6470</v>
      </c>
    </row>
    <row r="82" spans="1:24" ht="15.6" x14ac:dyDescent="0.3">
      <c r="A82" s="39">
        <v>78</v>
      </c>
      <c r="B82" s="27">
        <v>10</v>
      </c>
      <c r="C82" s="28">
        <v>6480</v>
      </c>
      <c r="D82" s="29" t="s">
        <v>92</v>
      </c>
      <c r="E82" s="30"/>
      <c r="F82" s="80">
        <f>+'Proportionality FTE'!Q82</f>
        <v>0</v>
      </c>
      <c r="G82" s="80">
        <f>+'Proportionality FTE'!R82</f>
        <v>1</v>
      </c>
      <c r="H82" s="154">
        <f>VLOOKUP(C82,'Enrollment FY13'!A:C,3,FALSE)</f>
        <v>131</v>
      </c>
      <c r="I82" s="81">
        <f>+'Proportionality FTE'!P82</f>
        <v>32.255000000000003</v>
      </c>
      <c r="J82" s="31">
        <f t="shared" si="14"/>
        <v>32.255000000000003</v>
      </c>
      <c r="K82" s="32">
        <f t="shared" si="15"/>
        <v>0</v>
      </c>
      <c r="L82" s="33">
        <f t="shared" si="16"/>
        <v>4.0613858316540066</v>
      </c>
      <c r="M82" s="34">
        <f t="shared" si="17"/>
        <v>13.843568752072315</v>
      </c>
      <c r="N82" s="35" t="str">
        <f t="shared" si="18"/>
        <v/>
      </c>
      <c r="O82" s="132">
        <f t="shared" si="19"/>
        <v>-9.7821829204183075</v>
      </c>
      <c r="P82" s="132">
        <f t="shared" si="20"/>
        <v>-315.52431009809254</v>
      </c>
      <c r="Q82" s="132">
        <f t="shared" si="21"/>
        <v>-22.792122157869162</v>
      </c>
      <c r="R82" s="34">
        <f t="shared" si="22"/>
        <v>-22.792122157869162</v>
      </c>
      <c r="S82" s="36">
        <f t="shared" si="12"/>
        <v>-22.792122157869162</v>
      </c>
      <c r="T82" s="40"/>
      <c r="U82" s="37">
        <f>VLOOKUP(C82,'[2]Ranking '!$C$1:$H$65536,6,FALSE)</f>
        <v>300</v>
      </c>
      <c r="V82" s="37" t="b">
        <f t="shared" si="13"/>
        <v>0</v>
      </c>
      <c r="W82" s="37">
        <f>VLOOKUP(C82,[3]Proportionality!B:B,1,FALSE)</f>
        <v>6480</v>
      </c>
    </row>
    <row r="83" spans="1:24" ht="15.6" x14ac:dyDescent="0.3">
      <c r="A83" s="39">
        <v>79</v>
      </c>
      <c r="B83" s="27">
        <v>11</v>
      </c>
      <c r="C83" s="28">
        <v>6490</v>
      </c>
      <c r="D83" s="29" t="s">
        <v>93</v>
      </c>
      <c r="E83" s="30"/>
      <c r="F83" s="80">
        <f>+'Proportionality FTE'!Q83</f>
        <v>0</v>
      </c>
      <c r="G83" s="80">
        <f>+'Proportionality FTE'!R83</f>
        <v>1</v>
      </c>
      <c r="H83" s="154">
        <f>VLOOKUP(C83,'Enrollment FY13'!A:C,3,FALSE)</f>
        <v>306</v>
      </c>
      <c r="I83" s="81">
        <f>+'Proportionality FTE'!P83</f>
        <v>36</v>
      </c>
      <c r="J83" s="31">
        <f t="shared" si="14"/>
        <v>36</v>
      </c>
      <c r="K83" s="32">
        <f t="shared" si="15"/>
        <v>0</v>
      </c>
      <c r="L83" s="33">
        <f t="shared" si="16"/>
        <v>8.5</v>
      </c>
      <c r="M83" s="34">
        <f t="shared" si="17"/>
        <v>13.843568752072315</v>
      </c>
      <c r="N83" s="35" t="str">
        <f t="shared" si="18"/>
        <v/>
      </c>
      <c r="O83" s="132">
        <f t="shared" si="19"/>
        <v>-5.343568752072315</v>
      </c>
      <c r="P83" s="132">
        <f t="shared" si="20"/>
        <v>-192.36847507460334</v>
      </c>
      <c r="Q83" s="132">
        <f t="shared" si="21"/>
        <v>-13.895873132121853</v>
      </c>
      <c r="R83" s="34">
        <f t="shared" si="22"/>
        <v>-13.895873132121853</v>
      </c>
      <c r="S83" s="36">
        <f t="shared" si="12"/>
        <v>-13.895873132121853</v>
      </c>
      <c r="T83" s="40"/>
      <c r="U83" s="37">
        <f>VLOOKUP(C83,'[2]Ranking '!$C$1:$H$65536,6,FALSE)</f>
        <v>271</v>
      </c>
      <c r="V83" s="37" t="b">
        <f t="shared" si="13"/>
        <v>0</v>
      </c>
      <c r="W83" s="37">
        <f>VLOOKUP(C83,[3]Proportionality!B:B,1,FALSE)</f>
        <v>6490</v>
      </c>
    </row>
    <row r="84" spans="1:24" ht="15.6" x14ac:dyDescent="0.3">
      <c r="A84" s="39">
        <v>80</v>
      </c>
      <c r="B84" s="27">
        <v>12</v>
      </c>
      <c r="C84" s="28">
        <v>6500</v>
      </c>
      <c r="D84" s="29" t="s">
        <v>94</v>
      </c>
      <c r="E84" s="30"/>
      <c r="F84" s="80">
        <f>+'Proportionality FTE'!Q84</f>
        <v>0</v>
      </c>
      <c r="G84" s="80">
        <f>+'Proportionality FTE'!R84</f>
        <v>1</v>
      </c>
      <c r="H84" s="154">
        <f>VLOOKUP(C84,'Enrollment FY13'!A:C,3,FALSE)</f>
        <v>374</v>
      </c>
      <c r="I84" s="81">
        <f>+'Proportionality FTE'!P84</f>
        <v>44.13</v>
      </c>
      <c r="J84" s="31">
        <f t="shared" si="14"/>
        <v>44.13</v>
      </c>
      <c r="K84" s="32">
        <f t="shared" si="15"/>
        <v>0</v>
      </c>
      <c r="L84" s="33">
        <f t="shared" si="16"/>
        <v>8.4749603444368908</v>
      </c>
      <c r="M84" s="34">
        <f t="shared" si="17"/>
        <v>13.843568752072315</v>
      </c>
      <c r="N84" s="35" t="str">
        <f t="shared" si="18"/>
        <v/>
      </c>
      <c r="O84" s="132">
        <f t="shared" si="19"/>
        <v>-5.3686084076354241</v>
      </c>
      <c r="P84" s="132">
        <f t="shared" si="20"/>
        <v>-236.91668902895128</v>
      </c>
      <c r="Q84" s="132">
        <f t="shared" si="21"/>
        <v>-17.113844939260044</v>
      </c>
      <c r="R84" s="34">
        <f t="shared" si="22"/>
        <v>-17.113844939260044</v>
      </c>
      <c r="S84" s="36">
        <f t="shared" si="12"/>
        <v>-17.113844939260044</v>
      </c>
      <c r="T84" s="37"/>
      <c r="U84" s="37">
        <f>VLOOKUP(C84,'[2]Ranking '!$C$1:$H$65536,6,FALSE)</f>
        <v>413</v>
      </c>
      <c r="V84" s="37" t="b">
        <f t="shared" si="13"/>
        <v>0</v>
      </c>
      <c r="W84" s="37">
        <f>VLOOKUP(C84,[3]Proportionality!B:B,1,FALSE)</f>
        <v>6500</v>
      </c>
    </row>
    <row r="85" spans="1:24" ht="15.6" x14ac:dyDescent="0.3">
      <c r="A85" s="1"/>
      <c r="B85" s="15"/>
      <c r="C85" s="16"/>
      <c r="D85" s="41" t="s">
        <v>95</v>
      </c>
      <c r="E85" s="42"/>
      <c r="F85" s="43"/>
      <c r="G85" s="44"/>
      <c r="H85" s="45"/>
      <c r="I85" s="46"/>
      <c r="J85" s="50"/>
      <c r="K85" s="51"/>
      <c r="L85" s="47"/>
      <c r="M85" s="48"/>
      <c r="N85" s="49">
        <f>COUNTIF(N73:N84,"x")</f>
        <v>0</v>
      </c>
      <c r="O85" s="133"/>
      <c r="P85" s="133"/>
      <c r="Q85" s="133"/>
      <c r="R85" s="48"/>
      <c r="S85" s="36"/>
      <c r="T85" s="40"/>
      <c r="U85" s="37"/>
      <c r="V85" s="37" t="b">
        <f t="shared" si="13"/>
        <v>1</v>
      </c>
      <c r="W85" s="37"/>
    </row>
    <row r="86" spans="1:24" ht="15.6" x14ac:dyDescent="0.3">
      <c r="A86" s="1"/>
      <c r="B86" s="15"/>
      <c r="C86" s="16"/>
      <c r="D86" s="17"/>
      <c r="E86" s="42"/>
      <c r="F86" s="43"/>
      <c r="G86" s="44"/>
      <c r="H86" s="45"/>
      <c r="I86" s="46"/>
      <c r="J86" s="50"/>
      <c r="K86" s="51"/>
      <c r="L86" s="47"/>
      <c r="M86" s="48"/>
      <c r="N86" s="52"/>
      <c r="O86" s="133"/>
      <c r="P86" s="133"/>
      <c r="Q86" s="133"/>
      <c r="R86" s="48"/>
      <c r="S86" s="36"/>
      <c r="T86" s="40"/>
      <c r="U86" s="37"/>
      <c r="V86" s="37" t="b">
        <f t="shared" si="13"/>
        <v>1</v>
      </c>
      <c r="W86" s="37"/>
    </row>
    <row r="87" spans="1:24" ht="15.6" x14ac:dyDescent="0.3">
      <c r="A87" s="39">
        <v>81</v>
      </c>
      <c r="B87" s="27">
        <v>1</v>
      </c>
      <c r="C87" s="28">
        <v>7110</v>
      </c>
      <c r="D87" s="78" t="s">
        <v>96</v>
      </c>
      <c r="E87" s="30"/>
      <c r="F87" s="80">
        <f>+'Proportionality FTE'!Q87</f>
        <v>9.8843530690916285E-3</v>
      </c>
      <c r="G87" s="80">
        <f>+'Proportionality FTE'!R87</f>
        <v>0.99011564693090837</v>
      </c>
      <c r="H87" s="154">
        <f>VLOOKUP(C87,'Enrollment FY13'!A:C,3,FALSE)</f>
        <v>722</v>
      </c>
      <c r="I87" s="81">
        <f>+'Proportionality FTE'!P87</f>
        <v>101.16999999999999</v>
      </c>
      <c r="J87" s="31">
        <f t="shared" ref="J87:J106" si="23">I87*G87</f>
        <v>100.16999999999999</v>
      </c>
      <c r="K87" s="32">
        <f t="shared" ref="K87:K106" si="24">I87*F87</f>
        <v>0.99999999999999989</v>
      </c>
      <c r="L87" s="132">
        <f t="shared" ref="L87:L104" si="25">H87/J87</f>
        <v>7.2077468303883405</v>
      </c>
      <c r="M87" s="34">
        <f t="shared" ref="M87:M106" si="26">$L$130</f>
        <v>13.843568752072315</v>
      </c>
      <c r="N87" s="35" t="str">
        <f t="shared" ref="N87:N106" si="27">IF(L87&gt;M87,"X","")</f>
        <v/>
      </c>
      <c r="O87" s="132">
        <f t="shared" ref="O87:O106" si="28">L87-M87</f>
        <v>-6.6358219216839744</v>
      </c>
      <c r="P87" s="132">
        <f t="shared" ref="P87:P106" si="29">O87*J87</f>
        <v>-664.71028189508365</v>
      </c>
      <c r="Q87" s="132">
        <f t="shared" ref="Q87:Q106" si="30">P87/M87</f>
        <v>-48.015818305202536</v>
      </c>
      <c r="R87" s="34">
        <f t="shared" ref="R87:R106" si="31">Q87/G87</f>
        <v>-48.49516160464551</v>
      </c>
      <c r="S87" s="36"/>
      <c r="T87" s="40"/>
      <c r="U87" s="37">
        <f>VLOOKUP(C87,'[2]Ranking '!$C$1:$H$65536,6,FALSE)</f>
        <v>884</v>
      </c>
      <c r="V87" s="37" t="b">
        <f t="shared" si="13"/>
        <v>0</v>
      </c>
      <c r="W87" s="37">
        <f>VLOOKUP(C87,[3]Proportionality!B:B,1,FALSE)</f>
        <v>7110</v>
      </c>
    </row>
    <row r="88" spans="1:24" ht="15.6" x14ac:dyDescent="0.3">
      <c r="A88" s="39">
        <v>82</v>
      </c>
      <c r="B88" s="27">
        <v>2</v>
      </c>
      <c r="C88" s="28">
        <v>7120</v>
      </c>
      <c r="D88" s="78" t="s">
        <v>98</v>
      </c>
      <c r="E88" s="30"/>
      <c r="F88" s="80">
        <f>+'Proportionality FTE'!Q88</f>
        <v>0</v>
      </c>
      <c r="G88" s="80">
        <f>+'Proportionality FTE'!R88</f>
        <v>1</v>
      </c>
      <c r="H88" s="154">
        <f>VLOOKUP(C88,'Enrollment FY13'!A:C,3,FALSE)</f>
        <v>819</v>
      </c>
      <c r="I88" s="81">
        <f>+'Proportionality FTE'!P88</f>
        <v>118.00499999999998</v>
      </c>
      <c r="J88" s="31">
        <f t="shared" si="23"/>
        <v>118.00499999999998</v>
      </c>
      <c r="K88" s="32">
        <f t="shared" si="24"/>
        <v>0</v>
      </c>
      <c r="L88" s="132">
        <f t="shared" si="25"/>
        <v>6.9403838820388977</v>
      </c>
      <c r="M88" s="34">
        <f t="shared" si="26"/>
        <v>13.843568752072315</v>
      </c>
      <c r="N88" s="35" t="str">
        <f t="shared" si="27"/>
        <v/>
      </c>
      <c r="O88" s="132">
        <f t="shared" si="28"/>
        <v>-6.9031848700334173</v>
      </c>
      <c r="P88" s="132">
        <f t="shared" si="29"/>
        <v>-814.61033058829332</v>
      </c>
      <c r="Q88" s="132">
        <f t="shared" si="30"/>
        <v>-58.843954559502592</v>
      </c>
      <c r="R88" s="34">
        <f t="shared" si="31"/>
        <v>-58.843954559502592</v>
      </c>
      <c r="S88" s="36"/>
      <c r="T88" s="40"/>
      <c r="U88" s="37">
        <f>VLOOKUP(C88,'[2]Ranking '!$C$1:$H$65536,6,FALSE)</f>
        <v>1157</v>
      </c>
      <c r="V88" s="37" t="b">
        <f t="shared" si="13"/>
        <v>0</v>
      </c>
      <c r="W88" s="37">
        <f>VLOOKUP(C88,[3]Proportionality!B:B,1,FALSE)</f>
        <v>7120</v>
      </c>
    </row>
    <row r="89" spans="1:24" ht="15.6" x14ac:dyDescent="0.3">
      <c r="A89" s="39">
        <v>83</v>
      </c>
      <c r="B89" s="27">
        <v>3</v>
      </c>
      <c r="C89" s="28">
        <v>7140</v>
      </c>
      <c r="D89" s="78" t="s">
        <v>97</v>
      </c>
      <c r="E89" s="30"/>
      <c r="F89" s="80">
        <f>+'Proportionality FTE'!Q89</f>
        <v>0</v>
      </c>
      <c r="G89" s="80">
        <f>+'Proportionality FTE'!R89</f>
        <v>1</v>
      </c>
      <c r="H89" s="154">
        <f>VLOOKUP(C89,'Enrollment FY13'!A:C,3,FALSE)</f>
        <v>394</v>
      </c>
      <c r="I89" s="81">
        <f>+'Proportionality FTE'!P89</f>
        <v>44.5</v>
      </c>
      <c r="J89" s="31">
        <f t="shared" si="23"/>
        <v>44.5</v>
      </c>
      <c r="K89" s="32">
        <f t="shared" si="24"/>
        <v>0</v>
      </c>
      <c r="L89" s="132">
        <f t="shared" si="25"/>
        <v>8.8539325842696623</v>
      </c>
      <c r="M89" s="34">
        <f t="shared" si="26"/>
        <v>13.843568752072315</v>
      </c>
      <c r="N89" s="35" t="str">
        <f t="shared" si="27"/>
        <v/>
      </c>
      <c r="O89" s="132">
        <f t="shared" si="28"/>
        <v>-4.9896361678026526</v>
      </c>
      <c r="P89" s="132">
        <f t="shared" si="29"/>
        <v>-222.03880946721804</v>
      </c>
      <c r="Q89" s="132">
        <f t="shared" si="30"/>
        <v>-16.039130764888924</v>
      </c>
      <c r="R89" s="34">
        <f t="shared" si="31"/>
        <v>-16.039130764888924</v>
      </c>
      <c r="S89" s="36"/>
      <c r="T89" s="40"/>
      <c r="U89" s="37">
        <f>VLOOKUP(C89,'[2]Ranking '!$C$1:$H$65536,6,FALSE)</f>
        <v>393</v>
      </c>
      <c r="V89" s="37" t="b">
        <f t="shared" si="13"/>
        <v>0</v>
      </c>
      <c r="W89" s="37">
        <f>VLOOKUP(C89,[3]Proportionality!B:B,1,FALSE)</f>
        <v>7140</v>
      </c>
    </row>
    <row r="90" spans="1:24" ht="15.6" x14ac:dyDescent="0.3">
      <c r="A90" s="39">
        <v>84</v>
      </c>
      <c r="B90" s="27">
        <v>4</v>
      </c>
      <c r="C90" s="28">
        <v>7150</v>
      </c>
      <c r="D90" s="78" t="s">
        <v>99</v>
      </c>
      <c r="E90" s="30"/>
      <c r="F90" s="80">
        <f>+'Proportionality FTE'!Q90</f>
        <v>1.0791366906474821E-2</v>
      </c>
      <c r="G90" s="80">
        <f>+'Proportionality FTE'!R90</f>
        <v>0.98920863309352514</v>
      </c>
      <c r="H90" s="154">
        <f>VLOOKUP(C90,'Enrollment FY13'!A:C,3,FALSE)</f>
        <v>1268</v>
      </c>
      <c r="I90" s="81">
        <f>+'Proportionality FTE'!P90</f>
        <v>139</v>
      </c>
      <c r="J90" s="31">
        <f t="shared" si="23"/>
        <v>137.5</v>
      </c>
      <c r="K90" s="32">
        <f t="shared" si="24"/>
        <v>1.5</v>
      </c>
      <c r="L90" s="132">
        <f t="shared" si="25"/>
        <v>9.2218181818181826</v>
      </c>
      <c r="M90" s="34">
        <f t="shared" si="26"/>
        <v>13.843568752072315</v>
      </c>
      <c r="N90" s="35" t="str">
        <f t="shared" si="27"/>
        <v/>
      </c>
      <c r="O90" s="132">
        <f t="shared" si="28"/>
        <v>-4.6217505702541324</v>
      </c>
      <c r="P90" s="132">
        <f t="shared" si="29"/>
        <v>-635.49070340994319</v>
      </c>
      <c r="Q90" s="132">
        <f t="shared" si="30"/>
        <v>-45.905121344870942</v>
      </c>
      <c r="R90" s="34">
        <f t="shared" si="31"/>
        <v>-46.40590448681499</v>
      </c>
      <c r="S90" s="36"/>
      <c r="T90" s="40"/>
      <c r="U90" s="37">
        <f>VLOOKUP(C90,'[2]Ranking '!$C$1:$H$65536,6,FALSE)</f>
        <v>1293</v>
      </c>
      <c r="V90" s="37" t="b">
        <f t="shared" si="13"/>
        <v>0</v>
      </c>
      <c r="W90" s="37">
        <f>VLOOKUP(C90,[3]Proportionality!B:B,1,FALSE)</f>
        <v>7150</v>
      </c>
    </row>
    <row r="91" spans="1:24" ht="15.6" x14ac:dyDescent="0.3">
      <c r="A91" s="39">
        <v>85</v>
      </c>
      <c r="B91" s="27">
        <v>5</v>
      </c>
      <c r="C91" s="28">
        <v>7160</v>
      </c>
      <c r="D91" s="78" t="s">
        <v>100</v>
      </c>
      <c r="E91" s="30"/>
      <c r="F91" s="80">
        <f>+'Proportionality FTE'!Q91</f>
        <v>1.4353380221042055E-2</v>
      </c>
      <c r="G91" s="80">
        <f>+'Proportionality FTE'!R91</f>
        <v>0.98564661977895796</v>
      </c>
      <c r="H91" s="154">
        <f>VLOOKUP(C91,'Enrollment FY13'!A:C,3,FALSE)</f>
        <v>542</v>
      </c>
      <c r="I91" s="81">
        <f>+'Proportionality FTE'!P91</f>
        <v>69.67</v>
      </c>
      <c r="J91" s="31">
        <f t="shared" si="23"/>
        <v>68.67</v>
      </c>
      <c r="K91" s="32">
        <f t="shared" si="24"/>
        <v>1</v>
      </c>
      <c r="L91" s="132">
        <f t="shared" si="25"/>
        <v>7.8928207368574341</v>
      </c>
      <c r="M91" s="34">
        <f t="shared" si="26"/>
        <v>13.843568752072315</v>
      </c>
      <c r="N91" s="35" t="str">
        <f t="shared" si="27"/>
        <v/>
      </c>
      <c r="O91" s="132">
        <f t="shared" si="28"/>
        <v>-5.9507480152148808</v>
      </c>
      <c r="P91" s="132">
        <f t="shared" si="29"/>
        <v>-408.6378662048059</v>
      </c>
      <c r="Q91" s="132">
        <f t="shared" si="30"/>
        <v>-29.518245874542632</v>
      </c>
      <c r="R91" s="34">
        <f t="shared" si="31"/>
        <v>-29.948102374827219</v>
      </c>
      <c r="S91" s="36">
        <f t="shared" si="12"/>
        <v>-29.948102374827219</v>
      </c>
      <c r="T91" s="40"/>
      <c r="U91" s="37">
        <f>VLOOKUP(C91,'[2]Ranking '!$C$1:$H$65536,6,FALSE)</f>
        <v>653</v>
      </c>
      <c r="V91" s="37" t="b">
        <f t="shared" si="13"/>
        <v>0</v>
      </c>
      <c r="W91" s="37">
        <f>VLOOKUP(C91,[3]Proportionality!B:B,1,FALSE)</f>
        <v>7160</v>
      </c>
      <c r="X91" s="3"/>
    </row>
    <row r="92" spans="1:24" ht="15.6" x14ac:dyDescent="0.3">
      <c r="A92" s="39">
        <v>86</v>
      </c>
      <c r="B92" s="27">
        <v>6</v>
      </c>
      <c r="C92" s="28">
        <v>7170</v>
      </c>
      <c r="D92" s="78" t="s">
        <v>101</v>
      </c>
      <c r="E92" s="30"/>
      <c r="F92" s="80">
        <f>+'Proportionality FTE'!Q92</f>
        <v>7.6481835564053535E-3</v>
      </c>
      <c r="G92" s="80">
        <f>+'Proportionality FTE'!R92</f>
        <v>0.9923518164435946</v>
      </c>
      <c r="H92" s="154">
        <f>VLOOKUP(C92,'Enrollment FY13'!A:C,3,FALSE)</f>
        <v>490</v>
      </c>
      <c r="I92" s="81">
        <f>+'Proportionality FTE'!P92</f>
        <v>65.375</v>
      </c>
      <c r="J92" s="31">
        <f t="shared" si="23"/>
        <v>64.875</v>
      </c>
      <c r="K92" s="32">
        <f t="shared" si="24"/>
        <v>0.5</v>
      </c>
      <c r="L92" s="132">
        <f t="shared" si="25"/>
        <v>7.5529865125240851</v>
      </c>
      <c r="M92" s="34">
        <f t="shared" si="26"/>
        <v>13.843568752072315</v>
      </c>
      <c r="N92" s="35" t="str">
        <f t="shared" si="27"/>
        <v/>
      </c>
      <c r="O92" s="132">
        <f t="shared" si="28"/>
        <v>-6.2905822395482298</v>
      </c>
      <c r="P92" s="132">
        <f t="shared" si="29"/>
        <v>-408.10152279069143</v>
      </c>
      <c r="Q92" s="132">
        <f t="shared" si="30"/>
        <v>-29.479502727907544</v>
      </c>
      <c r="R92" s="34">
        <f t="shared" si="31"/>
        <v>-29.706705061070608</v>
      </c>
      <c r="S92" s="36"/>
      <c r="T92" s="40"/>
      <c r="U92" s="37">
        <f>VLOOKUP(C92,'[2]Ranking '!$C$1:$H$65536,6,FALSE)</f>
        <v>608</v>
      </c>
      <c r="V92" s="37" t="b">
        <f t="shared" si="13"/>
        <v>0</v>
      </c>
      <c r="W92" s="37">
        <f>VLOOKUP(C92,[3]Proportionality!B:B,1,FALSE)</f>
        <v>7170</v>
      </c>
      <c r="X92" s="3"/>
    </row>
    <row r="93" spans="1:24" ht="15.6" x14ac:dyDescent="0.3">
      <c r="A93" s="39">
        <v>87</v>
      </c>
      <c r="B93" s="27">
        <v>7</v>
      </c>
      <c r="C93" s="28">
        <v>7180</v>
      </c>
      <c r="D93" s="78" t="s">
        <v>102</v>
      </c>
      <c r="E93" s="30"/>
      <c r="F93" s="80">
        <f>+'Proportionality FTE'!Q93</f>
        <v>1.5008254539996999E-2</v>
      </c>
      <c r="G93" s="80">
        <f>+'Proportionality FTE'!R93</f>
        <v>0.98499174546000301</v>
      </c>
      <c r="H93" s="154">
        <f>VLOOKUP(C93,'Enrollment FY13'!A:C,3,FALSE)</f>
        <v>503</v>
      </c>
      <c r="I93" s="81">
        <f>+'Proportionality FTE'!P93</f>
        <v>66.63</v>
      </c>
      <c r="J93" s="31">
        <f t="shared" si="23"/>
        <v>65.63</v>
      </c>
      <c r="K93" s="32">
        <f t="shared" si="24"/>
        <v>1</v>
      </c>
      <c r="L93" s="132">
        <f t="shared" si="25"/>
        <v>7.6641779673929609</v>
      </c>
      <c r="M93" s="34">
        <f t="shared" si="26"/>
        <v>13.843568752072315</v>
      </c>
      <c r="N93" s="35" t="str">
        <f t="shared" si="27"/>
        <v/>
      </c>
      <c r="O93" s="132">
        <f t="shared" si="28"/>
        <v>-6.1793907846793541</v>
      </c>
      <c r="P93" s="132">
        <f t="shared" si="29"/>
        <v>-405.553417198506</v>
      </c>
      <c r="Q93" s="132">
        <f t="shared" si="30"/>
        <v>-29.295438514566314</v>
      </c>
      <c r="R93" s="34">
        <f t="shared" si="31"/>
        <v>-29.741811187346542</v>
      </c>
      <c r="S93" s="36"/>
      <c r="T93" s="40"/>
      <c r="U93" s="37">
        <f>VLOOKUP(C93,'[2]Ranking '!$C$1:$H$65536,6,FALSE)</f>
        <v>793</v>
      </c>
      <c r="V93" s="37" t="b">
        <f t="shared" si="13"/>
        <v>0</v>
      </c>
      <c r="W93" s="37">
        <f>VLOOKUP(C93,[3]Proportionality!B:B,1,FALSE)</f>
        <v>7180</v>
      </c>
      <c r="X93" s="3"/>
    </row>
    <row r="94" spans="1:24" ht="15.6" x14ac:dyDescent="0.3">
      <c r="A94" s="39">
        <v>88</v>
      </c>
      <c r="B94" s="27">
        <v>8</v>
      </c>
      <c r="C94" s="28">
        <v>7200</v>
      </c>
      <c r="D94" s="78" t="s">
        <v>103</v>
      </c>
      <c r="E94" s="30"/>
      <c r="F94" s="80">
        <f>+'Proportionality FTE'!Q94</f>
        <v>0</v>
      </c>
      <c r="G94" s="80">
        <f>+'Proportionality FTE'!R94</f>
        <v>1</v>
      </c>
      <c r="H94" s="154">
        <f>VLOOKUP(C94,'Enrollment FY13'!A:C,3,FALSE)</f>
        <v>507</v>
      </c>
      <c r="I94" s="81">
        <f>+'Proportionality FTE'!P94</f>
        <v>59.295000000000002</v>
      </c>
      <c r="J94" s="31">
        <f t="shared" si="23"/>
        <v>59.295000000000002</v>
      </c>
      <c r="K94" s="32">
        <f t="shared" si="24"/>
        <v>0</v>
      </c>
      <c r="L94" s="132">
        <f t="shared" si="25"/>
        <v>8.5504679989881094</v>
      </c>
      <c r="M94" s="34">
        <f t="shared" si="26"/>
        <v>13.843568752072315</v>
      </c>
      <c r="N94" s="35" t="str">
        <f t="shared" si="27"/>
        <v/>
      </c>
      <c r="O94" s="132">
        <f t="shared" si="28"/>
        <v>-5.2931007530842056</v>
      </c>
      <c r="P94" s="132">
        <f t="shared" si="29"/>
        <v>-313.85440915412801</v>
      </c>
      <c r="Q94" s="132">
        <f t="shared" si="30"/>
        <v>-22.671495679692097</v>
      </c>
      <c r="R94" s="34">
        <f t="shared" si="31"/>
        <v>-22.671495679692097</v>
      </c>
      <c r="S94" s="36"/>
      <c r="T94" s="40"/>
      <c r="U94" s="37">
        <f>VLOOKUP(C94,'[2]Ranking '!$C$1:$H$65536,6,FALSE)</f>
        <v>364</v>
      </c>
      <c r="V94" s="37" t="b">
        <f t="shared" si="13"/>
        <v>0</v>
      </c>
      <c r="W94" s="37">
        <f>VLOOKUP(C94,[3]Proportionality!B:B,1,FALSE)</f>
        <v>7200</v>
      </c>
      <c r="X94" s="3"/>
    </row>
    <row r="95" spans="1:24" ht="15.6" x14ac:dyDescent="0.3">
      <c r="A95" s="39">
        <v>89</v>
      </c>
      <c r="B95" s="27">
        <v>10</v>
      </c>
      <c r="C95" s="28">
        <v>7220</v>
      </c>
      <c r="D95" s="78" t="s">
        <v>105</v>
      </c>
      <c r="E95" s="86"/>
      <c r="F95" s="80">
        <f>+'Proportionality FTE'!Q95</f>
        <v>3.2258064516129031E-2</v>
      </c>
      <c r="G95" s="80">
        <f>+'Proportionality FTE'!R95</f>
        <v>0.967741935483871</v>
      </c>
      <c r="H95" s="154">
        <f>VLOOKUP(C95,'Enrollment FY13'!A:C,3,FALSE)</f>
        <v>373</v>
      </c>
      <c r="I95" s="81">
        <f>+'Proportionality FTE'!P95</f>
        <v>31</v>
      </c>
      <c r="J95" s="82">
        <f t="shared" si="23"/>
        <v>30</v>
      </c>
      <c r="K95" s="83">
        <f t="shared" si="24"/>
        <v>1</v>
      </c>
      <c r="L95" s="132">
        <f t="shared" si="25"/>
        <v>12.433333333333334</v>
      </c>
      <c r="M95" s="84">
        <f t="shared" si="26"/>
        <v>13.843568752072315</v>
      </c>
      <c r="N95" s="85" t="str">
        <f t="shared" si="27"/>
        <v/>
      </c>
      <c r="O95" s="132">
        <f t="shared" si="28"/>
        <v>-1.4102354187389814</v>
      </c>
      <c r="P95" s="132">
        <f t="shared" si="29"/>
        <v>-42.307062562169442</v>
      </c>
      <c r="Q95" s="132">
        <f t="shared" si="30"/>
        <v>-3.0560806479785989</v>
      </c>
      <c r="R95" s="153">
        <f t="shared" si="31"/>
        <v>-3.1579500029112189</v>
      </c>
      <c r="S95" s="36"/>
      <c r="T95" s="40"/>
      <c r="U95" s="37">
        <f>VLOOKUP(C95,'[2]Ranking '!$C$1:$H$65536,6,FALSE)</f>
        <v>396</v>
      </c>
      <c r="V95" s="37" t="b">
        <f t="shared" si="13"/>
        <v>0</v>
      </c>
      <c r="W95" s="37">
        <f>VLOOKUP(C95,[3]Proportionality!B:B,1,FALSE)</f>
        <v>7220</v>
      </c>
      <c r="X95" s="54"/>
    </row>
    <row r="96" spans="1:24" ht="15.6" x14ac:dyDescent="0.3">
      <c r="A96" s="39">
        <v>90</v>
      </c>
      <c r="B96" s="27">
        <v>11</v>
      </c>
      <c r="C96" s="28">
        <v>7230</v>
      </c>
      <c r="D96" s="78" t="s">
        <v>114</v>
      </c>
      <c r="E96" s="30"/>
      <c r="F96" s="80">
        <f>+'Proportionality FTE'!Q96</f>
        <v>0</v>
      </c>
      <c r="G96" s="80">
        <f>+'Proportionality FTE'!R96</f>
        <v>1</v>
      </c>
      <c r="H96" s="154">
        <f>VLOOKUP(C96,'Enrollment FY13'!A:C,3,FALSE)</f>
        <v>340</v>
      </c>
      <c r="I96" s="81">
        <f>+'Proportionality FTE'!P96</f>
        <v>45</v>
      </c>
      <c r="J96" s="31">
        <f t="shared" si="23"/>
        <v>45</v>
      </c>
      <c r="K96" s="32">
        <f t="shared" si="24"/>
        <v>0</v>
      </c>
      <c r="L96" s="132">
        <f t="shared" si="25"/>
        <v>7.5555555555555554</v>
      </c>
      <c r="M96" s="34">
        <f t="shared" si="26"/>
        <v>13.843568752072315</v>
      </c>
      <c r="N96" s="35" t="str">
        <f t="shared" si="27"/>
        <v/>
      </c>
      <c r="O96" s="132">
        <f t="shared" si="28"/>
        <v>-6.2880131965167596</v>
      </c>
      <c r="P96" s="132">
        <f t="shared" si="29"/>
        <v>-282.96059384325417</v>
      </c>
      <c r="Q96" s="132">
        <f t="shared" si="30"/>
        <v>-20.439859035690947</v>
      </c>
      <c r="R96" s="34">
        <f t="shared" si="31"/>
        <v>-20.439859035690947</v>
      </c>
      <c r="S96" s="36"/>
      <c r="T96" s="40"/>
      <c r="U96" s="37">
        <f>VLOOKUP(C96,'[2]Ranking '!$C$1:$H$65536,6,FALSE)</f>
        <v>240</v>
      </c>
      <c r="V96" s="37" t="b">
        <f t="shared" si="13"/>
        <v>0</v>
      </c>
      <c r="W96" s="37">
        <f>VLOOKUP(C96,[3]Proportionality!B:B,1,FALSE)</f>
        <v>7230</v>
      </c>
      <c r="X96" s="55"/>
    </row>
    <row r="97" spans="1:24" ht="15.6" x14ac:dyDescent="0.3">
      <c r="A97" s="39">
        <v>91</v>
      </c>
      <c r="B97" s="27">
        <v>12</v>
      </c>
      <c r="C97" s="28">
        <v>7240</v>
      </c>
      <c r="D97" s="78" t="s">
        <v>106</v>
      </c>
      <c r="E97" s="30"/>
      <c r="F97" s="80">
        <f>+'Proportionality FTE'!Q97</f>
        <v>6.2924742008557757E-3</v>
      </c>
      <c r="G97" s="80">
        <f>+'Proportionality FTE'!R97</f>
        <v>0.99370752579914423</v>
      </c>
      <c r="H97" s="154">
        <f>VLOOKUP(C97,'Enrollment FY13'!A:C,3,FALSE)</f>
        <v>496</v>
      </c>
      <c r="I97" s="81">
        <f>+'Proportionality FTE'!P97</f>
        <v>79.460000000000008</v>
      </c>
      <c r="J97" s="31">
        <f t="shared" si="23"/>
        <v>78.960000000000008</v>
      </c>
      <c r="K97" s="32">
        <f t="shared" si="24"/>
        <v>0.5</v>
      </c>
      <c r="L97" s="132">
        <f t="shared" si="25"/>
        <v>6.2816616008105362</v>
      </c>
      <c r="M97" s="34">
        <f t="shared" si="26"/>
        <v>13.843568752072315</v>
      </c>
      <c r="N97" s="35" t="str">
        <f t="shared" si="27"/>
        <v/>
      </c>
      <c r="O97" s="132">
        <f t="shared" si="28"/>
        <v>-7.5619071512617788</v>
      </c>
      <c r="P97" s="132">
        <f t="shared" si="29"/>
        <v>-597.08818866363015</v>
      </c>
      <c r="Q97" s="132">
        <f t="shared" si="30"/>
        <v>-43.131088475596222</v>
      </c>
      <c r="R97" s="34">
        <f t="shared" si="31"/>
        <v>-43.40420833676388</v>
      </c>
      <c r="S97" s="36"/>
      <c r="T97" s="37"/>
      <c r="U97" s="37">
        <f>VLOOKUP(C97,'[2]Ranking '!$C$1:$H$65536,6,FALSE)</f>
        <v>717</v>
      </c>
      <c r="V97" s="37" t="b">
        <f t="shared" si="13"/>
        <v>0</v>
      </c>
      <c r="W97" s="37">
        <f>VLOOKUP(C97,[3]Proportionality!B:B,1,FALSE)</f>
        <v>7240</v>
      </c>
      <c r="X97" s="56"/>
    </row>
    <row r="98" spans="1:24" ht="15.6" x14ac:dyDescent="0.3">
      <c r="A98" s="39">
        <v>92</v>
      </c>
      <c r="B98" s="27">
        <v>13</v>
      </c>
      <c r="C98" s="28">
        <v>7260</v>
      </c>
      <c r="D98" s="78" t="s">
        <v>107</v>
      </c>
      <c r="E98" s="30"/>
      <c r="F98" s="80">
        <f>+'Proportionality FTE'!Q98</f>
        <v>1.6677785190126752E-2</v>
      </c>
      <c r="G98" s="80">
        <f>+'Proportionality FTE'!R98</f>
        <v>0.98332221480987325</v>
      </c>
      <c r="H98" s="154">
        <f>VLOOKUP(C98,'Enrollment FY13'!A:C,3,FALSE)</f>
        <v>377</v>
      </c>
      <c r="I98" s="81">
        <f>+'Proportionality FTE'!P98</f>
        <v>59.96</v>
      </c>
      <c r="J98" s="31">
        <f t="shared" si="23"/>
        <v>58.96</v>
      </c>
      <c r="K98" s="32">
        <f t="shared" si="24"/>
        <v>1</v>
      </c>
      <c r="L98" s="132">
        <f t="shared" si="25"/>
        <v>6.3941655359565805</v>
      </c>
      <c r="M98" s="34">
        <f t="shared" si="26"/>
        <v>13.843568752072315</v>
      </c>
      <c r="N98" s="35" t="str">
        <f t="shared" si="27"/>
        <v/>
      </c>
      <c r="O98" s="132">
        <f t="shared" si="28"/>
        <v>-7.4494032161157344</v>
      </c>
      <c r="P98" s="132">
        <f t="shared" si="29"/>
        <v>-439.21681362218374</v>
      </c>
      <c r="Q98" s="132">
        <f t="shared" si="30"/>
        <v>-31.727137813104378</v>
      </c>
      <c r="R98" s="34">
        <f t="shared" si="31"/>
        <v>-32.265250733950786</v>
      </c>
      <c r="S98" s="36"/>
      <c r="T98" s="40"/>
      <c r="U98" s="37">
        <f>VLOOKUP(C98,'[2]Ranking '!$C$1:$H$65536,6,FALSE)</f>
        <v>558</v>
      </c>
      <c r="V98" s="37" t="b">
        <f t="shared" si="13"/>
        <v>0</v>
      </c>
      <c r="W98" s="37">
        <f>VLOOKUP(C98,[3]Proportionality!B:B,1,FALSE)</f>
        <v>7260</v>
      </c>
      <c r="X98" s="3"/>
    </row>
    <row r="99" spans="1:24" ht="15.6" x14ac:dyDescent="0.3">
      <c r="A99" s="39">
        <v>93</v>
      </c>
      <c r="B99" s="27">
        <v>14</v>
      </c>
      <c r="C99" s="28">
        <v>7280</v>
      </c>
      <c r="D99" s="78" t="s">
        <v>108</v>
      </c>
      <c r="E99" s="30"/>
      <c r="F99" s="80">
        <f>+'Proportionality FTE'!Q99</f>
        <v>1.0452597470471413E-2</v>
      </c>
      <c r="G99" s="80">
        <f>+'Proportionality FTE'!R99</f>
        <v>0.98954740252952855</v>
      </c>
      <c r="H99" s="154">
        <f>VLOOKUP(C99,'Enrollment FY13'!A:C,3,FALSE)</f>
        <v>721</v>
      </c>
      <c r="I99" s="81">
        <f>+'Proportionality FTE'!P99</f>
        <v>95.67</v>
      </c>
      <c r="J99" s="31">
        <f t="shared" si="23"/>
        <v>94.67</v>
      </c>
      <c r="K99" s="32">
        <f t="shared" si="24"/>
        <v>1</v>
      </c>
      <c r="L99" s="132">
        <f t="shared" si="25"/>
        <v>7.6159290165839231</v>
      </c>
      <c r="M99" s="34">
        <f t="shared" si="26"/>
        <v>13.843568752072315</v>
      </c>
      <c r="N99" s="35" t="str">
        <f t="shared" si="27"/>
        <v/>
      </c>
      <c r="O99" s="132">
        <f t="shared" si="28"/>
        <v>-6.2276397354883919</v>
      </c>
      <c r="P99" s="132">
        <f t="shared" si="29"/>
        <v>-589.57065375868603</v>
      </c>
      <c r="Q99" s="132">
        <f t="shared" si="30"/>
        <v>-42.588054013921095</v>
      </c>
      <c r="R99" s="34">
        <f t="shared" si="31"/>
        <v>-43.037911983857938</v>
      </c>
      <c r="S99" s="36">
        <f t="shared" si="12"/>
        <v>-43.037911983857938</v>
      </c>
      <c r="T99" s="40"/>
      <c r="U99" s="37">
        <f>VLOOKUP(C99,'[2]Ranking '!$C$1:$H$65536,6,FALSE)</f>
        <v>509</v>
      </c>
      <c r="V99" s="37" t="b">
        <f t="shared" si="13"/>
        <v>0</v>
      </c>
      <c r="W99" s="37">
        <f>VLOOKUP(C99,[3]Proportionality!B:B,1,FALSE)</f>
        <v>7280</v>
      </c>
      <c r="X99" s="3"/>
    </row>
    <row r="100" spans="1:24" ht="15.6" x14ac:dyDescent="0.3">
      <c r="A100" s="39">
        <v>94</v>
      </c>
      <c r="B100" s="27">
        <v>15</v>
      </c>
      <c r="C100" s="79">
        <v>7300</v>
      </c>
      <c r="D100" s="78" t="s">
        <v>112</v>
      </c>
      <c r="E100" s="30"/>
      <c r="F100" s="80">
        <f>+'Proportionality FTE'!Q100</f>
        <v>6.1510072274334913E-3</v>
      </c>
      <c r="G100" s="80">
        <f>+'Proportionality FTE'!R100</f>
        <v>0.99384899277256655</v>
      </c>
      <c r="H100" s="154">
        <f>VLOOKUP(C100,'Enrollment FY13'!A:C,3,FALSE)</f>
        <v>1720</v>
      </c>
      <c r="I100" s="81">
        <f>+'Proportionality FTE'!P100</f>
        <v>162.57500000000002</v>
      </c>
      <c r="J100" s="31">
        <f t="shared" si="23"/>
        <v>161.57500000000002</v>
      </c>
      <c r="K100" s="32">
        <f t="shared" si="24"/>
        <v>1</v>
      </c>
      <c r="L100" s="132">
        <f t="shared" si="25"/>
        <v>10.645211202228067</v>
      </c>
      <c r="M100" s="34">
        <f t="shared" si="26"/>
        <v>13.843568752072315</v>
      </c>
      <c r="N100" s="35" t="str">
        <f t="shared" si="27"/>
        <v/>
      </c>
      <c r="O100" s="132">
        <f t="shared" si="28"/>
        <v>-3.198357549844248</v>
      </c>
      <c r="P100" s="132">
        <f t="shared" si="29"/>
        <v>-516.7746211160844</v>
      </c>
      <c r="Q100" s="132">
        <f t="shared" si="30"/>
        <v>-37.329581004083629</v>
      </c>
      <c r="R100" s="34">
        <f t="shared" si="31"/>
        <v>-37.560616628431973</v>
      </c>
      <c r="S100" s="36">
        <f t="shared" si="12"/>
        <v>-37.560616628431973</v>
      </c>
      <c r="T100" s="40"/>
      <c r="U100" s="37">
        <f>VLOOKUP(C100,'[2]Ranking '!$C$1:$H$65536,6,FALSE)</f>
        <v>1514</v>
      </c>
      <c r="V100" s="37" t="b">
        <f t="shared" si="13"/>
        <v>0</v>
      </c>
      <c r="W100" s="37">
        <f>VLOOKUP(C100,[3]Proportionality!B:B,1,FALSE)</f>
        <v>7300</v>
      </c>
      <c r="X100" s="3"/>
    </row>
    <row r="101" spans="1:24" ht="15.6" x14ac:dyDescent="0.3">
      <c r="A101" s="39">
        <v>95</v>
      </c>
      <c r="B101" s="27">
        <v>16</v>
      </c>
      <c r="C101" s="28">
        <v>7360</v>
      </c>
      <c r="D101" s="78" t="s">
        <v>113</v>
      </c>
      <c r="E101" s="30"/>
      <c r="F101" s="80">
        <f>+'Proportionality FTE'!Q101</f>
        <v>0</v>
      </c>
      <c r="G101" s="80">
        <f>+'Proportionality FTE'!R101</f>
        <v>1</v>
      </c>
      <c r="H101" s="154">
        <f>VLOOKUP(C101,'Enrollment FY13'!A:C,3,FALSE)</f>
        <v>96</v>
      </c>
      <c r="I101" s="81">
        <f>+'Proportionality FTE'!P101</f>
        <v>32.810000000000009</v>
      </c>
      <c r="J101" s="31">
        <f t="shared" si="23"/>
        <v>32.810000000000009</v>
      </c>
      <c r="K101" s="32">
        <f t="shared" si="24"/>
        <v>0</v>
      </c>
      <c r="L101" s="132">
        <f t="shared" si="25"/>
        <v>2.9259372142639433</v>
      </c>
      <c r="M101" s="34">
        <f t="shared" si="26"/>
        <v>13.843568752072315</v>
      </c>
      <c r="N101" s="35" t="str">
        <f t="shared" si="27"/>
        <v/>
      </c>
      <c r="O101" s="132">
        <f t="shared" si="28"/>
        <v>-10.917631537808372</v>
      </c>
      <c r="P101" s="132">
        <f t="shared" si="29"/>
        <v>-358.20749075549281</v>
      </c>
      <c r="Q101" s="132">
        <f t="shared" si="30"/>
        <v>-25.875371963018633</v>
      </c>
      <c r="R101" s="34">
        <f t="shared" si="31"/>
        <v>-25.875371963018633</v>
      </c>
      <c r="S101" s="36"/>
      <c r="T101" s="40"/>
      <c r="U101" s="37">
        <f>VLOOKUP(C101,'[2]Ranking '!$C$1:$H$65536,6,FALSE)</f>
        <v>93</v>
      </c>
      <c r="V101" s="37" t="b">
        <f t="shared" si="13"/>
        <v>0</v>
      </c>
      <c r="W101" s="37">
        <f>VLOOKUP(C101,[3]Proportionality!B:B,1,FALSE)</f>
        <v>7360</v>
      </c>
      <c r="X101" s="3"/>
    </row>
    <row r="102" spans="1:24" ht="15.6" x14ac:dyDescent="0.3">
      <c r="A102" s="39">
        <v>96</v>
      </c>
      <c r="B102" s="27">
        <v>17</v>
      </c>
      <c r="C102" s="28">
        <v>7370</v>
      </c>
      <c r="D102" s="78" t="s">
        <v>109</v>
      </c>
      <c r="E102" s="86"/>
      <c r="F102" s="80">
        <f>+'Proportionality FTE'!Q102</f>
        <v>0</v>
      </c>
      <c r="G102" s="80">
        <f>+'Proportionality FTE'!R102</f>
        <v>1</v>
      </c>
      <c r="H102" s="154">
        <f>VLOOKUP(C102,'Enrollment FY13'!A:C,3,FALSE)</f>
        <v>85</v>
      </c>
      <c r="I102" s="81">
        <f>+'Proportionality FTE'!P102</f>
        <v>36.885000000000005</v>
      </c>
      <c r="J102" s="82">
        <f t="shared" si="23"/>
        <v>36.885000000000005</v>
      </c>
      <c r="K102" s="83">
        <f t="shared" si="24"/>
        <v>0</v>
      </c>
      <c r="L102" s="132">
        <f t="shared" si="25"/>
        <v>2.3044598075098275</v>
      </c>
      <c r="M102" s="84">
        <f t="shared" si="26"/>
        <v>13.843568752072315</v>
      </c>
      <c r="N102" s="85" t="str">
        <f t="shared" si="27"/>
        <v/>
      </c>
      <c r="O102" s="132">
        <f t="shared" si="28"/>
        <v>-11.539108944562487</v>
      </c>
      <c r="P102" s="132">
        <f t="shared" si="29"/>
        <v>-425.62003342018738</v>
      </c>
      <c r="Q102" s="132">
        <f t="shared" si="30"/>
        <v>-30.744964758922741</v>
      </c>
      <c r="R102" s="34">
        <f t="shared" si="31"/>
        <v>-30.744964758922741</v>
      </c>
      <c r="S102" s="36"/>
      <c r="T102" s="40"/>
      <c r="U102" s="37">
        <f>VLOOKUP(C102,'[2]Ranking '!$C$1:$H$65536,6,FALSE)</f>
        <v>106</v>
      </c>
      <c r="V102" s="37" t="b">
        <f t="shared" si="13"/>
        <v>0</v>
      </c>
      <c r="W102" s="37">
        <f>VLOOKUP(C102,[3]Proportionality!B:B,1,FALSE)</f>
        <v>7370</v>
      </c>
      <c r="X102" s="3"/>
    </row>
    <row r="103" spans="1:24" ht="15.6" x14ac:dyDescent="0.3">
      <c r="A103" s="39">
        <v>97</v>
      </c>
      <c r="B103" s="27">
        <v>18</v>
      </c>
      <c r="C103" s="28">
        <v>7380</v>
      </c>
      <c r="D103" s="78" t="s">
        <v>110</v>
      </c>
      <c r="E103" s="30"/>
      <c r="F103" s="80">
        <f>+'Proportionality FTE'!Q103</f>
        <v>0</v>
      </c>
      <c r="G103" s="80">
        <f>+'Proportionality FTE'!R103</f>
        <v>1</v>
      </c>
      <c r="H103" s="154">
        <f>VLOOKUP(C103,'Enrollment FY13'!A:C,3,FALSE)</f>
        <v>83</v>
      </c>
      <c r="I103" s="81">
        <f>+'Proportionality FTE'!P103</f>
        <v>35.295000000000002</v>
      </c>
      <c r="J103" s="31">
        <f t="shared" si="23"/>
        <v>35.295000000000002</v>
      </c>
      <c r="K103" s="32">
        <f t="shared" si="24"/>
        <v>0</v>
      </c>
      <c r="L103" s="132">
        <f t="shared" si="25"/>
        <v>2.351607876469755</v>
      </c>
      <c r="M103" s="34">
        <f t="shared" si="26"/>
        <v>13.843568752072315</v>
      </c>
      <c r="N103" s="35" t="str">
        <f t="shared" si="27"/>
        <v/>
      </c>
      <c r="O103" s="33">
        <f t="shared" si="28"/>
        <v>-11.49196087560256</v>
      </c>
      <c r="P103" s="33">
        <f t="shared" si="29"/>
        <v>-405.60875910439239</v>
      </c>
      <c r="Q103" s="33">
        <f t="shared" si="30"/>
        <v>-29.299436176359851</v>
      </c>
      <c r="R103" s="34">
        <f t="shared" si="31"/>
        <v>-29.299436176359851</v>
      </c>
      <c r="S103" s="36">
        <f t="shared" si="12"/>
        <v>-29.299436176359851</v>
      </c>
      <c r="T103" s="40"/>
      <c r="U103" s="37">
        <f>VLOOKUP(C103,'[2]Ranking '!$C$1:$H$65536,6,FALSE)</f>
        <v>111</v>
      </c>
      <c r="V103" s="37" t="b">
        <f t="shared" si="13"/>
        <v>0</v>
      </c>
      <c r="W103" s="37">
        <f>VLOOKUP(C103,[3]Proportionality!B:B,1,FALSE)</f>
        <v>7380</v>
      </c>
      <c r="X103" s="3"/>
    </row>
    <row r="104" spans="1:24" ht="15.6" x14ac:dyDescent="0.3">
      <c r="A104" s="39">
        <v>98</v>
      </c>
      <c r="B104" s="27">
        <v>19</v>
      </c>
      <c r="C104" s="28">
        <v>7480</v>
      </c>
      <c r="D104" s="78" t="s">
        <v>1812</v>
      </c>
      <c r="E104" s="30"/>
      <c r="F104" s="80">
        <f>+'Proportionality FTE'!Q104</f>
        <v>0</v>
      </c>
      <c r="G104" s="80">
        <f>+'Proportionality FTE'!R104</f>
        <v>1</v>
      </c>
      <c r="H104" s="154">
        <f>VLOOKUP(C104,'Enrollment FY13'!A:C,3,FALSE)</f>
        <v>0</v>
      </c>
      <c r="I104" s="81">
        <f>+'Proportionality FTE'!P104</f>
        <v>14.625</v>
      </c>
      <c r="J104" s="31">
        <f t="shared" si="23"/>
        <v>14.625</v>
      </c>
      <c r="K104" s="32">
        <f t="shared" si="24"/>
        <v>0</v>
      </c>
      <c r="L104" s="33">
        <f t="shared" si="25"/>
        <v>0</v>
      </c>
      <c r="M104" s="34">
        <f t="shared" si="26"/>
        <v>13.843568752072315</v>
      </c>
      <c r="N104" s="35" t="str">
        <f t="shared" si="27"/>
        <v/>
      </c>
      <c r="O104" s="33">
        <f t="shared" si="28"/>
        <v>-13.843568752072315</v>
      </c>
      <c r="P104" s="33">
        <f t="shared" si="29"/>
        <v>-202.46219299905761</v>
      </c>
      <c r="Q104" s="33">
        <f t="shared" si="30"/>
        <v>-14.625</v>
      </c>
      <c r="R104" s="34">
        <f t="shared" si="31"/>
        <v>-14.625</v>
      </c>
      <c r="S104" s="36">
        <f t="shared" si="12"/>
        <v>-14.625</v>
      </c>
      <c r="T104" s="40"/>
      <c r="U104" s="37">
        <f>VLOOKUP(C104,'[2]Ranking '!$C$1:$H$65536,6,FALSE)</f>
        <v>81</v>
      </c>
      <c r="V104" s="37" t="b">
        <f t="shared" si="13"/>
        <v>0</v>
      </c>
      <c r="W104" s="37">
        <f>VLOOKUP(C104,[3]Proportionality!B:B,1,FALSE)</f>
        <v>7480</v>
      </c>
      <c r="X104" s="3"/>
    </row>
    <row r="105" spans="1:24" ht="15.6" x14ac:dyDescent="0.3">
      <c r="A105" s="39">
        <v>99</v>
      </c>
      <c r="B105" s="27">
        <v>20</v>
      </c>
      <c r="C105" s="266">
        <v>7490</v>
      </c>
      <c r="D105" s="265" t="s">
        <v>4249</v>
      </c>
      <c r="E105" s="30"/>
      <c r="F105" s="80">
        <f>+'Proportionality FTE'!Q106</f>
        <v>0</v>
      </c>
      <c r="G105" s="80">
        <f>+'Proportionality FTE'!R106</f>
        <v>1</v>
      </c>
      <c r="H105" s="154">
        <f>VLOOKUP(C105,'Enrollment FY13'!A:C,3,FALSE)</f>
        <v>287</v>
      </c>
      <c r="I105" s="81">
        <f>+'Proportionality FTE'!P105</f>
        <v>72.209999999999994</v>
      </c>
      <c r="J105" s="31">
        <f>I105*G105</f>
        <v>72.209999999999994</v>
      </c>
      <c r="K105" s="32">
        <f>I105*F105</f>
        <v>0</v>
      </c>
      <c r="L105" s="33">
        <f>H105/J105</f>
        <v>3.9745187647140288</v>
      </c>
      <c r="M105" s="34">
        <f t="shared" si="26"/>
        <v>13.843568752072315</v>
      </c>
      <c r="N105" s="35" t="str">
        <f>IF(L105&gt;M105,"X","")</f>
        <v/>
      </c>
      <c r="O105" s="33">
        <f>L105-M105</f>
        <v>-9.8690499873582862</v>
      </c>
      <c r="P105" s="33">
        <f>O105*J105</f>
        <v>-712.6440995871418</v>
      </c>
      <c r="Q105" s="33">
        <f>P105/M105</f>
        <v>-51.478351597774413</v>
      </c>
      <c r="R105" s="34">
        <f>Q105/G105</f>
        <v>-51.478351597774413</v>
      </c>
      <c r="S105" s="36"/>
      <c r="T105" s="40"/>
      <c r="U105" s="37"/>
      <c r="V105" s="37"/>
      <c r="W105" s="37"/>
      <c r="X105" s="3"/>
    </row>
    <row r="106" spans="1:24" ht="15.6" x14ac:dyDescent="0.3">
      <c r="A106" s="39">
        <v>100</v>
      </c>
      <c r="B106" s="27">
        <v>21</v>
      </c>
      <c r="C106" s="28">
        <v>7870</v>
      </c>
      <c r="D106" s="78" t="s">
        <v>111</v>
      </c>
      <c r="E106" s="30"/>
      <c r="F106" s="80">
        <f>+'Proportionality FTE'!Q105</f>
        <v>2.7696994876055949E-2</v>
      </c>
      <c r="G106" s="80">
        <f>+'Proportionality FTE'!R105</f>
        <v>0.97230300512394408</v>
      </c>
      <c r="H106" s="154">
        <f>VLOOKUP(C106,'Enrollment FY13'!A:C,3,FALSE)</f>
        <v>700</v>
      </c>
      <c r="I106" s="81">
        <f>+'Proportionality FTE'!P105</f>
        <v>72.209999999999994</v>
      </c>
      <c r="J106" s="31">
        <f t="shared" si="23"/>
        <v>70.209999999999994</v>
      </c>
      <c r="K106" s="32">
        <f t="shared" si="24"/>
        <v>2</v>
      </c>
      <c r="L106" s="33">
        <f>H106/J106</f>
        <v>9.9700897308075778</v>
      </c>
      <c r="M106" s="34">
        <f t="shared" si="26"/>
        <v>13.843568752072315</v>
      </c>
      <c r="N106" s="35" t="str">
        <f t="shared" si="27"/>
        <v/>
      </c>
      <c r="O106" s="33">
        <f t="shared" si="28"/>
        <v>-3.8734790212647372</v>
      </c>
      <c r="P106" s="33">
        <f t="shared" si="29"/>
        <v>-271.95696208299717</v>
      </c>
      <c r="Q106" s="33">
        <f t="shared" si="30"/>
        <v>-19.645003897010771</v>
      </c>
      <c r="R106" s="34">
        <f t="shared" si="31"/>
        <v>-20.204610901625806</v>
      </c>
      <c r="S106" s="36">
        <f t="shared" si="12"/>
        <v>-20.204610901625806</v>
      </c>
      <c r="T106" s="40"/>
      <c r="U106" s="37">
        <f>VLOOKUP(C106,'[2]Ranking '!$C$1:$H$65536,6,FALSE)</f>
        <v>710</v>
      </c>
      <c r="V106" s="37" t="b">
        <f t="shared" si="13"/>
        <v>0</v>
      </c>
      <c r="W106" s="37">
        <f>VLOOKUP(C106,[3]Proportionality!B:B,1,FALSE)</f>
        <v>7870</v>
      </c>
      <c r="X106" s="3"/>
    </row>
    <row r="107" spans="1:24" ht="15.6" x14ac:dyDescent="0.3">
      <c r="A107" s="39"/>
      <c r="B107" s="15"/>
      <c r="C107" s="16"/>
      <c r="D107" s="41" t="s">
        <v>115</v>
      </c>
      <c r="E107" s="42"/>
      <c r="F107" s="57"/>
      <c r="G107" s="58"/>
      <c r="H107" s="59"/>
      <c r="I107" s="59"/>
      <c r="J107" s="60"/>
      <c r="K107" s="60"/>
      <c r="L107" s="48"/>
      <c r="M107" s="48"/>
      <c r="N107" s="49">
        <f>COUNTIF(N87:N106,"x")</f>
        <v>0</v>
      </c>
      <c r="O107" s="48"/>
      <c r="P107" s="48"/>
      <c r="Q107" s="48"/>
      <c r="R107" s="48"/>
      <c r="S107" s="61"/>
      <c r="T107" s="62"/>
      <c r="U107" s="37"/>
      <c r="V107" s="37"/>
      <c r="W107" s="37"/>
    </row>
    <row r="108" spans="1:24" ht="15.6" x14ac:dyDescent="0.3">
      <c r="A108" s="1"/>
      <c r="B108" s="15"/>
      <c r="C108" s="17"/>
      <c r="D108" s="17"/>
      <c r="E108" s="63"/>
      <c r="F108" s="64"/>
      <c r="G108" s="65"/>
      <c r="H108" s="66"/>
      <c r="I108" s="46"/>
      <c r="J108" s="50"/>
      <c r="K108" s="51"/>
      <c r="L108" s="47"/>
      <c r="M108" s="47"/>
      <c r="N108" s="16"/>
      <c r="O108" s="47"/>
      <c r="P108" s="47"/>
      <c r="Q108" s="47"/>
      <c r="R108" s="47"/>
      <c r="S108" s="3"/>
      <c r="T108" s="3"/>
      <c r="U108" s="37"/>
      <c r="V108" s="37" t="b">
        <f t="shared" si="13"/>
        <v>1</v>
      </c>
      <c r="W108" s="37"/>
    </row>
    <row r="109" spans="1:24" ht="15.6" x14ac:dyDescent="0.3">
      <c r="A109" s="1"/>
      <c r="B109" s="15"/>
      <c r="C109" s="17"/>
      <c r="D109" s="41" t="s">
        <v>116</v>
      </c>
      <c r="E109" s="63"/>
      <c r="F109" s="64"/>
      <c r="G109" s="65"/>
      <c r="H109" s="66"/>
      <c r="I109" s="46"/>
      <c r="J109" s="50"/>
      <c r="K109" s="51"/>
      <c r="L109" s="47"/>
      <c r="M109" s="47"/>
      <c r="N109" s="16"/>
      <c r="O109" s="47"/>
      <c r="P109" s="47"/>
      <c r="Q109" s="47"/>
      <c r="R109" s="47"/>
      <c r="S109" s="3"/>
      <c r="T109" s="3"/>
      <c r="U109" s="37"/>
      <c r="V109" s="37" t="b">
        <f t="shared" si="13"/>
        <v>1</v>
      </c>
      <c r="W109" s="37"/>
    </row>
    <row r="110" spans="1:24" ht="15.6" x14ac:dyDescent="0.3">
      <c r="A110" s="39">
        <v>101</v>
      </c>
      <c r="B110" s="27">
        <v>1</v>
      </c>
      <c r="C110" s="79">
        <v>5200</v>
      </c>
      <c r="D110" s="78" t="s">
        <v>117</v>
      </c>
      <c r="E110" s="150"/>
      <c r="F110" s="80">
        <f>+'Proportionality FTE'!Q109</f>
        <v>0</v>
      </c>
      <c r="G110" s="80">
        <f>+'Proportionality FTE'!R109</f>
        <v>1</v>
      </c>
      <c r="H110" s="154">
        <f>VLOOKUP(C110,'Enrollment FY13'!A:C,3,FALSE)</f>
        <v>358</v>
      </c>
      <c r="I110" s="81">
        <f>+'Proportionality FTE'!P109</f>
        <v>43.84</v>
      </c>
      <c r="J110" s="82">
        <f>I110*G110</f>
        <v>43.84</v>
      </c>
      <c r="K110" s="83">
        <f>I110*F110</f>
        <v>0</v>
      </c>
      <c r="L110" s="132">
        <f>H110/J110</f>
        <v>8.1660583941605829</v>
      </c>
      <c r="M110" s="47"/>
      <c r="N110" s="52"/>
      <c r="O110" s="47"/>
      <c r="P110" s="47"/>
      <c r="Q110" s="47"/>
      <c r="R110" s="47"/>
      <c r="S110" s="3"/>
      <c r="T110" s="3"/>
      <c r="U110" s="37">
        <f>VLOOKUP(C110,'[2]Ranking '!$C$1:$H$65536,6,FALSE)</f>
        <v>277</v>
      </c>
      <c r="V110" s="37" t="b">
        <f t="shared" si="13"/>
        <v>0</v>
      </c>
      <c r="W110" s="37" t="e">
        <f>VLOOKUP(C110,[3]Proportionality!B:B,1,FALSE)</f>
        <v>#N/A</v>
      </c>
      <c r="X110" s="3"/>
    </row>
    <row r="111" spans="1:24" ht="15.6" x14ac:dyDescent="0.3">
      <c r="A111" s="39">
        <v>102</v>
      </c>
      <c r="B111" s="27">
        <v>2</v>
      </c>
      <c r="C111" s="79">
        <v>5340</v>
      </c>
      <c r="D111" s="78" t="s">
        <v>118</v>
      </c>
      <c r="E111" s="150"/>
      <c r="F111" s="80">
        <f>+'Proportionality FTE'!Q110</f>
        <v>0</v>
      </c>
      <c r="G111" s="80">
        <f>+'Proportionality FTE'!R110</f>
        <v>1</v>
      </c>
      <c r="H111" s="154">
        <f>VLOOKUP(C111,'Enrollment FY13'!A:C,3,FALSE)</f>
        <v>459</v>
      </c>
      <c r="I111" s="81">
        <f>+'Proportionality FTE'!P110</f>
        <v>47.42</v>
      </c>
      <c r="J111" s="82">
        <f t="shared" ref="J111:J128" si="32">I111*G111</f>
        <v>47.42</v>
      </c>
      <c r="K111" s="83">
        <f t="shared" ref="K111:K124" si="33">I111*F111</f>
        <v>0</v>
      </c>
      <c r="L111" s="132">
        <f t="shared" ref="L111:L128" si="34">H111/J111</f>
        <v>9.6794601433994085</v>
      </c>
      <c r="M111" s="47"/>
      <c r="N111" s="52"/>
      <c r="O111" s="47"/>
      <c r="P111" s="47"/>
      <c r="Q111" s="47"/>
      <c r="R111" s="47"/>
      <c r="S111" s="67"/>
      <c r="T111" s="40"/>
      <c r="U111" s="37">
        <f>VLOOKUP(C111,'[2]Ranking '!$C$1:$H$65536,6,FALSE)</f>
        <v>409</v>
      </c>
      <c r="V111" s="37" t="b">
        <f t="shared" si="13"/>
        <v>0</v>
      </c>
      <c r="W111" s="37" t="e">
        <f>VLOOKUP(C111,[3]Proportionality!B:B,1,FALSE)</f>
        <v>#N/A</v>
      </c>
    </row>
    <row r="112" spans="1:24" ht="15.6" x14ac:dyDescent="0.3">
      <c r="A112" s="39">
        <v>103</v>
      </c>
      <c r="B112" s="27">
        <v>3</v>
      </c>
      <c r="C112" s="79">
        <v>5450</v>
      </c>
      <c r="D112" s="78" t="s">
        <v>119</v>
      </c>
      <c r="E112" s="150"/>
      <c r="F112" s="80">
        <f>+'Proportionality FTE'!Q111</f>
        <v>0</v>
      </c>
      <c r="G112" s="80">
        <f>+'Proportionality FTE'!R111</f>
        <v>1</v>
      </c>
      <c r="H112" s="154">
        <f>VLOOKUP(C112,'Enrollment FY13'!A:C,3,FALSE)</f>
        <v>274</v>
      </c>
      <c r="I112" s="81">
        <f>+'Proportionality FTE'!P111</f>
        <v>36.425000000000004</v>
      </c>
      <c r="J112" s="82">
        <f t="shared" si="32"/>
        <v>36.425000000000004</v>
      </c>
      <c r="K112" s="83">
        <f t="shared" si="33"/>
        <v>0</v>
      </c>
      <c r="L112" s="132">
        <f t="shared" si="34"/>
        <v>7.5223061084420033</v>
      </c>
      <c r="M112" s="47"/>
      <c r="N112" s="52"/>
      <c r="O112" s="47"/>
      <c r="P112" s="47"/>
      <c r="Q112" s="47"/>
      <c r="R112" s="47"/>
      <c r="S112" s="67"/>
      <c r="T112" s="40"/>
      <c r="U112" s="37">
        <f>VLOOKUP(C112,'[2]Ranking '!$C$1:$H$65536,6,FALSE)</f>
        <v>197</v>
      </c>
      <c r="V112" s="37" t="b">
        <f t="shared" si="13"/>
        <v>0</v>
      </c>
      <c r="W112" s="37" t="e">
        <f>VLOOKUP(C112,[3]Proportionality!B:B,1,FALSE)</f>
        <v>#N/A</v>
      </c>
    </row>
    <row r="113" spans="1:23" ht="15.6" x14ac:dyDescent="0.3">
      <c r="A113" s="39">
        <v>104</v>
      </c>
      <c r="B113" s="27">
        <v>4</v>
      </c>
      <c r="C113" s="79">
        <v>5490</v>
      </c>
      <c r="D113" s="78" t="s">
        <v>120</v>
      </c>
      <c r="E113" s="150"/>
      <c r="F113" s="80">
        <f>+'Proportionality FTE'!Q112</f>
        <v>1.4052838673412027E-2</v>
      </c>
      <c r="G113" s="80">
        <f>+'Proportionality FTE'!R112</f>
        <v>0.985947161326588</v>
      </c>
      <c r="H113" s="154">
        <f>VLOOKUP(C113,'Enrollment FY13'!A:C,3,FALSE)</f>
        <v>332</v>
      </c>
      <c r="I113" s="81">
        <f>+'Proportionality FTE'!P112</f>
        <v>35.580000000000005</v>
      </c>
      <c r="J113" s="82">
        <f t="shared" si="32"/>
        <v>35.080000000000005</v>
      </c>
      <c r="K113" s="83">
        <f t="shared" si="33"/>
        <v>0.5</v>
      </c>
      <c r="L113" s="132">
        <f t="shared" si="34"/>
        <v>9.4640820980615725</v>
      </c>
      <c r="M113" s="47"/>
      <c r="N113" s="52"/>
      <c r="O113" s="47"/>
      <c r="P113" s="47"/>
      <c r="Q113" s="47"/>
      <c r="R113" s="47"/>
      <c r="S113" s="67"/>
      <c r="T113" s="40"/>
      <c r="U113" s="37">
        <f>VLOOKUP(C113,'[2]Ranking '!$C$1:$H$65536,6,FALSE)</f>
        <v>235</v>
      </c>
      <c r="V113" s="37" t="b">
        <f t="shared" si="13"/>
        <v>0</v>
      </c>
      <c r="W113" s="37" t="e">
        <f>VLOOKUP(C113,[3]Proportionality!B:B,1,FALSE)</f>
        <v>#N/A</v>
      </c>
    </row>
    <row r="114" spans="1:23" ht="15.6" x14ac:dyDescent="0.3">
      <c r="A114" s="39">
        <v>105</v>
      </c>
      <c r="B114" s="27">
        <v>5</v>
      </c>
      <c r="C114" s="79">
        <v>5500</v>
      </c>
      <c r="D114" s="78" t="s">
        <v>121</v>
      </c>
      <c r="E114" s="150"/>
      <c r="F114" s="80">
        <f>+'Proportionality FTE'!Q113</f>
        <v>0</v>
      </c>
      <c r="G114" s="80">
        <f>+'Proportionality FTE'!R113</f>
        <v>1</v>
      </c>
      <c r="H114" s="154">
        <f>VLOOKUP(C114,'Enrollment FY13'!A:C,3,FALSE)</f>
        <v>601</v>
      </c>
      <c r="I114" s="81">
        <f>+'Proportionality FTE'!P113</f>
        <v>58.705000000000005</v>
      </c>
      <c r="J114" s="82">
        <f t="shared" si="32"/>
        <v>58.705000000000005</v>
      </c>
      <c r="K114" s="83">
        <f t="shared" si="33"/>
        <v>0</v>
      </c>
      <c r="L114" s="132">
        <f t="shared" si="34"/>
        <v>10.237628822076482</v>
      </c>
      <c r="M114" s="47"/>
      <c r="N114" s="52"/>
      <c r="O114" s="47"/>
      <c r="P114" s="47"/>
      <c r="Q114" s="47"/>
      <c r="R114" s="47"/>
      <c r="S114" s="67"/>
      <c r="T114" s="40"/>
      <c r="U114" s="37">
        <f>VLOOKUP(C114,'[2]Ranking '!$C$1:$H$65536,6,FALSE)</f>
        <v>444</v>
      </c>
      <c r="V114" s="37" t="b">
        <f t="shared" si="13"/>
        <v>0</v>
      </c>
      <c r="W114" s="37" t="e">
        <f>VLOOKUP(C114,[3]Proportionality!B:B,1,FALSE)</f>
        <v>#N/A</v>
      </c>
    </row>
    <row r="115" spans="1:23" ht="15.6" x14ac:dyDescent="0.3">
      <c r="A115" s="39">
        <v>106</v>
      </c>
      <c r="B115" s="27">
        <v>6</v>
      </c>
      <c r="C115" s="79">
        <v>5530</v>
      </c>
      <c r="D115" s="78" t="s">
        <v>122</v>
      </c>
      <c r="E115" s="150"/>
      <c r="F115" s="80">
        <f>+'Proportionality FTE'!Q114</f>
        <v>0</v>
      </c>
      <c r="G115" s="80">
        <f>+'Proportionality FTE'!R114</f>
        <v>1</v>
      </c>
      <c r="H115" s="154">
        <f>VLOOKUP(C115,'Enrollment FY13'!A:C,3,FALSE)</f>
        <v>375</v>
      </c>
      <c r="I115" s="81">
        <f>+'Proportionality FTE'!P114</f>
        <v>37.835000000000001</v>
      </c>
      <c r="J115" s="82">
        <f t="shared" si="32"/>
        <v>37.835000000000001</v>
      </c>
      <c r="K115" s="83">
        <f t="shared" si="33"/>
        <v>0</v>
      </c>
      <c r="L115" s="132">
        <f t="shared" si="34"/>
        <v>9.9114576450376628</v>
      </c>
      <c r="M115" s="47"/>
      <c r="N115" s="52"/>
      <c r="O115" s="47"/>
      <c r="P115" s="47"/>
      <c r="Q115" s="47"/>
      <c r="R115" s="47"/>
      <c r="S115" s="67"/>
      <c r="T115" s="40"/>
      <c r="U115" s="37">
        <f>VLOOKUP(C115,'[2]Ranking '!$C$1:$H$65536,6,FALSE)</f>
        <v>343</v>
      </c>
      <c r="V115" s="37" t="b">
        <f t="shared" si="13"/>
        <v>0</v>
      </c>
      <c r="W115" s="37" t="e">
        <f>VLOOKUP(C115,[3]Proportionality!B:B,1,FALSE)</f>
        <v>#N/A</v>
      </c>
    </row>
    <row r="116" spans="1:23" ht="15.6" x14ac:dyDescent="0.3">
      <c r="A116" s="39">
        <v>107</v>
      </c>
      <c r="B116" s="27">
        <v>7</v>
      </c>
      <c r="C116" s="79">
        <v>5560</v>
      </c>
      <c r="D116" s="78" t="s">
        <v>123</v>
      </c>
      <c r="E116" s="150"/>
      <c r="F116" s="80">
        <f>+'Proportionality FTE'!Q115</f>
        <v>0</v>
      </c>
      <c r="G116" s="80">
        <f>+'Proportionality FTE'!R115</f>
        <v>1</v>
      </c>
      <c r="H116" s="154">
        <f>VLOOKUP(C116,'Enrollment FY13'!A:C,3,FALSE)</f>
        <v>689</v>
      </c>
      <c r="I116" s="81">
        <f>+'Proportionality FTE'!P115</f>
        <v>67.924999999999997</v>
      </c>
      <c r="J116" s="82">
        <f t="shared" si="32"/>
        <v>67.924999999999997</v>
      </c>
      <c r="K116" s="83">
        <f t="shared" si="33"/>
        <v>0</v>
      </c>
      <c r="L116" s="132">
        <f t="shared" si="34"/>
        <v>10.14354066985646</v>
      </c>
      <c r="M116" s="47"/>
      <c r="N116" s="52"/>
      <c r="O116" s="47"/>
      <c r="P116" s="47"/>
      <c r="Q116" s="47"/>
      <c r="R116" s="47"/>
      <c r="S116" s="67"/>
      <c r="T116" s="40"/>
      <c r="U116" s="37">
        <f>VLOOKUP(C116,'[2]Ranking '!$C$1:$H$65536,6,FALSE)</f>
        <v>634</v>
      </c>
      <c r="V116" s="37" t="b">
        <f t="shared" si="13"/>
        <v>0</v>
      </c>
      <c r="W116" s="37" t="e">
        <f>VLOOKUP(C116,[3]Proportionality!B:B,1,FALSE)</f>
        <v>#N/A</v>
      </c>
    </row>
    <row r="117" spans="1:23" ht="15.6" x14ac:dyDescent="0.3">
      <c r="A117" s="39">
        <v>108</v>
      </c>
      <c r="B117" s="27">
        <v>8</v>
      </c>
      <c r="C117" s="79">
        <v>5620</v>
      </c>
      <c r="D117" s="78" t="s">
        <v>124</v>
      </c>
      <c r="E117" s="150"/>
      <c r="F117" s="80">
        <f>+'Proportionality FTE'!Q116</f>
        <v>0</v>
      </c>
      <c r="G117" s="80">
        <f>+'Proportionality FTE'!R116</f>
        <v>1</v>
      </c>
      <c r="H117" s="154">
        <f>VLOOKUP(C117,'Enrollment FY13'!A:C,3,FALSE)</f>
        <v>286</v>
      </c>
      <c r="I117" s="81">
        <f>+'Proportionality FTE'!P116</f>
        <v>37.81</v>
      </c>
      <c r="J117" s="82">
        <f t="shared" si="32"/>
        <v>37.81</v>
      </c>
      <c r="K117" s="83">
        <f t="shared" si="33"/>
        <v>0</v>
      </c>
      <c r="L117" s="132">
        <f t="shared" si="34"/>
        <v>7.5641364718328479</v>
      </c>
      <c r="M117" s="47"/>
      <c r="N117" s="52"/>
      <c r="O117" s="47"/>
      <c r="P117" s="47"/>
      <c r="Q117" s="47"/>
      <c r="R117" s="47"/>
      <c r="S117" s="67"/>
      <c r="T117" s="40"/>
      <c r="U117" s="37">
        <f>VLOOKUP(C117,'[2]Ranking '!$C$1:$H$65536,6,FALSE)</f>
        <v>270</v>
      </c>
      <c r="V117" s="37" t="b">
        <f t="shared" si="13"/>
        <v>0</v>
      </c>
      <c r="W117" s="37" t="e">
        <f>VLOOKUP(C117,[3]Proportionality!B:B,1,FALSE)</f>
        <v>#N/A</v>
      </c>
    </row>
    <row r="118" spans="1:23" ht="15.6" x14ac:dyDescent="0.3">
      <c r="A118" s="39">
        <v>109</v>
      </c>
      <c r="B118" s="27">
        <v>9</v>
      </c>
      <c r="C118" s="79">
        <v>5720</v>
      </c>
      <c r="D118" s="78" t="s">
        <v>125</v>
      </c>
      <c r="E118" s="150"/>
      <c r="F118" s="80">
        <f>+'Proportionality FTE'!Q117</f>
        <v>0</v>
      </c>
      <c r="G118" s="80">
        <f>+'Proportionality FTE'!R117</f>
        <v>1</v>
      </c>
      <c r="H118" s="154">
        <f>VLOOKUP(C118,'Enrollment FY13'!A:C,3,FALSE)</f>
        <v>571</v>
      </c>
      <c r="I118" s="81">
        <f>+'Proportionality FTE'!P117</f>
        <v>60.875</v>
      </c>
      <c r="J118" s="82">
        <f t="shared" si="32"/>
        <v>60.875</v>
      </c>
      <c r="K118" s="83">
        <f t="shared" si="33"/>
        <v>0</v>
      </c>
      <c r="L118" s="132">
        <f t="shared" si="34"/>
        <v>9.3798767967145782</v>
      </c>
      <c r="M118" s="47"/>
      <c r="N118" s="52"/>
      <c r="O118" s="47"/>
      <c r="P118" s="47"/>
      <c r="Q118" s="47"/>
      <c r="R118" s="47"/>
      <c r="S118" s="67"/>
      <c r="T118" s="40"/>
      <c r="U118" s="37">
        <f>VLOOKUP(C118,'[2]Ranking '!$C$1:$H$65536,6,FALSE)</f>
        <v>480</v>
      </c>
      <c r="V118" s="37" t="b">
        <f t="shared" si="13"/>
        <v>0</v>
      </c>
      <c r="W118" s="37" t="e">
        <f>VLOOKUP(C118,[3]Proportionality!B:B,1,FALSE)</f>
        <v>#N/A</v>
      </c>
    </row>
    <row r="119" spans="1:23" ht="15.6" x14ac:dyDescent="0.3">
      <c r="A119" s="39">
        <v>110</v>
      </c>
      <c r="B119" s="27">
        <v>10</v>
      </c>
      <c r="C119" s="79">
        <v>5760</v>
      </c>
      <c r="D119" s="78" t="s">
        <v>126</v>
      </c>
      <c r="E119" s="150"/>
      <c r="F119" s="80">
        <f>+'Proportionality FTE'!Q118</f>
        <v>0</v>
      </c>
      <c r="G119" s="80">
        <f>+'Proportionality FTE'!R118</f>
        <v>1</v>
      </c>
      <c r="H119" s="154">
        <f>VLOOKUP(C119,'Enrollment FY13'!A:C,3,FALSE)</f>
        <v>668</v>
      </c>
      <c r="I119" s="81">
        <f>+'Proportionality FTE'!P118</f>
        <v>92.819999999999951</v>
      </c>
      <c r="J119" s="82">
        <f t="shared" si="32"/>
        <v>92.819999999999951</v>
      </c>
      <c r="K119" s="83">
        <f t="shared" si="33"/>
        <v>0</v>
      </c>
      <c r="L119" s="132">
        <f t="shared" si="34"/>
        <v>7.1967248437836711</v>
      </c>
      <c r="M119" s="47"/>
      <c r="N119" s="52"/>
      <c r="O119" s="47"/>
      <c r="P119" s="47"/>
      <c r="Q119" s="47"/>
      <c r="R119" s="47"/>
      <c r="S119" s="67"/>
      <c r="T119" s="40"/>
      <c r="U119" s="37" t="e">
        <f>VLOOKUP(C119,'[2]Ranking '!$C$1:$H$65536,6,FALSE)</f>
        <v>#N/A</v>
      </c>
      <c r="V119" s="37" t="e">
        <f t="shared" si="13"/>
        <v>#N/A</v>
      </c>
      <c r="W119" s="37" t="e">
        <f>VLOOKUP(C119,[3]Proportionality!B:B,1,FALSE)</f>
        <v>#N/A</v>
      </c>
    </row>
    <row r="120" spans="1:23" ht="15.6" x14ac:dyDescent="0.3">
      <c r="A120" s="39">
        <v>111</v>
      </c>
      <c r="B120" s="27">
        <v>11</v>
      </c>
      <c r="C120" s="79">
        <v>5800</v>
      </c>
      <c r="D120" s="78" t="s">
        <v>127</v>
      </c>
      <c r="E120" s="150"/>
      <c r="F120" s="80">
        <f>+'Proportionality FTE'!Q119</f>
        <v>0</v>
      </c>
      <c r="G120" s="80">
        <f>+'Proportionality FTE'!R119</f>
        <v>1</v>
      </c>
      <c r="H120" s="154">
        <f>VLOOKUP(C120,'Enrollment FY13'!A:C,3,FALSE)</f>
        <v>230</v>
      </c>
      <c r="I120" s="81">
        <f>+'Proportionality FTE'!P119</f>
        <v>31.260000000000005</v>
      </c>
      <c r="J120" s="82">
        <f t="shared" si="32"/>
        <v>31.260000000000005</v>
      </c>
      <c r="K120" s="83">
        <f t="shared" si="33"/>
        <v>0</v>
      </c>
      <c r="L120" s="132">
        <f t="shared" si="34"/>
        <v>7.3576455534229037</v>
      </c>
      <c r="M120" s="47"/>
      <c r="N120" s="68"/>
      <c r="O120" s="47"/>
      <c r="P120" s="47"/>
      <c r="Q120" s="47"/>
      <c r="R120" s="47"/>
      <c r="S120" s="67"/>
      <c r="T120" s="40"/>
      <c r="U120" s="37">
        <f>VLOOKUP(C120,'[2]Ranking '!$C$1:$H$65536,6,FALSE)</f>
        <v>148</v>
      </c>
      <c r="V120" s="37" t="b">
        <f t="shared" si="13"/>
        <v>0</v>
      </c>
      <c r="W120" s="37" t="e">
        <f>VLOOKUP(C120,[3]Proportionality!B:B,1,FALSE)</f>
        <v>#N/A</v>
      </c>
    </row>
    <row r="121" spans="1:23" ht="15.6" x14ac:dyDescent="0.3">
      <c r="A121" s="39">
        <v>112</v>
      </c>
      <c r="B121" s="27">
        <v>12</v>
      </c>
      <c r="C121" s="79">
        <v>5810</v>
      </c>
      <c r="D121" s="78" t="s">
        <v>128</v>
      </c>
      <c r="E121" s="150"/>
      <c r="F121" s="80">
        <f>+'Proportionality FTE'!Q120</f>
        <v>0</v>
      </c>
      <c r="G121" s="80">
        <f>+'Proportionality FTE'!R120</f>
        <v>1</v>
      </c>
      <c r="H121" s="154">
        <f>VLOOKUP(C121,'Enrollment FY13'!A:C,3,FALSE)</f>
        <v>126</v>
      </c>
      <c r="I121" s="81">
        <f>+'Proportionality FTE'!P120</f>
        <v>19.71</v>
      </c>
      <c r="J121" s="82">
        <f t="shared" si="32"/>
        <v>19.71</v>
      </c>
      <c r="K121" s="83">
        <f t="shared" si="33"/>
        <v>0</v>
      </c>
      <c r="L121" s="132">
        <f t="shared" si="34"/>
        <v>6.3926940639269407</v>
      </c>
      <c r="M121" s="47"/>
      <c r="N121" s="68"/>
      <c r="O121" s="47"/>
      <c r="P121" s="47"/>
      <c r="Q121" s="47"/>
      <c r="R121" s="47"/>
      <c r="S121" s="67"/>
      <c r="T121" s="40"/>
      <c r="U121" s="37">
        <f>VLOOKUP(C121,'[2]Ranking '!$C$1:$H$65536,6,FALSE)</f>
        <v>83</v>
      </c>
      <c r="V121" s="37" t="b">
        <f t="shared" si="13"/>
        <v>0</v>
      </c>
      <c r="W121" s="37" t="e">
        <f>VLOOKUP(C121,[3]Proportionality!B:B,1,FALSE)</f>
        <v>#N/A</v>
      </c>
    </row>
    <row r="122" spans="1:23" ht="15.6" x14ac:dyDescent="0.3">
      <c r="A122" s="39">
        <v>113</v>
      </c>
      <c r="B122" s="27">
        <v>13</v>
      </c>
      <c r="C122" s="79">
        <v>5940</v>
      </c>
      <c r="D122" s="78" t="s">
        <v>129</v>
      </c>
      <c r="E122" s="150"/>
      <c r="F122" s="80">
        <f>+'Proportionality FTE'!Q121</f>
        <v>0</v>
      </c>
      <c r="G122" s="80">
        <f>+'Proportionality FTE'!R121</f>
        <v>1</v>
      </c>
      <c r="H122" s="154">
        <f>VLOOKUP(C122,'Enrollment FY13'!A:C,3,FALSE)</f>
        <v>314</v>
      </c>
      <c r="I122" s="81">
        <f>+'Proportionality FTE'!P121</f>
        <v>35</v>
      </c>
      <c r="J122" s="82">
        <f>I122*G122</f>
        <v>35</v>
      </c>
      <c r="K122" s="83">
        <f t="shared" si="33"/>
        <v>0</v>
      </c>
      <c r="L122" s="132">
        <f t="shared" si="34"/>
        <v>8.9714285714285715</v>
      </c>
      <c r="M122" s="47"/>
      <c r="N122" s="52"/>
      <c r="O122" s="47"/>
      <c r="P122" s="47"/>
      <c r="Q122" s="47"/>
      <c r="R122" s="47"/>
      <c r="S122" s="67"/>
      <c r="T122" s="40"/>
      <c r="U122" s="37">
        <f>VLOOKUP(C122,'[2]Ranking '!$C$1:$H$65536,6,FALSE)</f>
        <v>333</v>
      </c>
      <c r="V122" s="37" t="b">
        <f t="shared" si="13"/>
        <v>0</v>
      </c>
      <c r="W122" s="37" t="e">
        <f>VLOOKUP(C122,[3]Proportionality!B:B,1,FALSE)</f>
        <v>#N/A</v>
      </c>
    </row>
    <row r="123" spans="1:23" ht="15.6" x14ac:dyDescent="0.3">
      <c r="A123" s="39">
        <v>114</v>
      </c>
      <c r="B123" s="27">
        <v>14</v>
      </c>
      <c r="C123" s="79">
        <v>6000</v>
      </c>
      <c r="D123" s="78" t="s">
        <v>130</v>
      </c>
      <c r="E123" s="150"/>
      <c r="F123" s="80">
        <f>+'Proportionality FTE'!Q122</f>
        <v>0</v>
      </c>
      <c r="G123" s="80">
        <f>+'Proportionality FTE'!R122</f>
        <v>1</v>
      </c>
      <c r="H123" s="154">
        <f>VLOOKUP(C123,'Enrollment FY13'!A:C,3,FALSE)</f>
        <v>369</v>
      </c>
      <c r="I123" s="81">
        <f>+'Proportionality FTE'!P122</f>
        <v>35.625</v>
      </c>
      <c r="J123" s="82">
        <f t="shared" si="32"/>
        <v>35.625</v>
      </c>
      <c r="K123" s="83">
        <f t="shared" si="33"/>
        <v>0</v>
      </c>
      <c r="L123" s="132">
        <f t="shared" si="34"/>
        <v>10.357894736842105</v>
      </c>
      <c r="M123" s="47"/>
      <c r="N123" s="52"/>
      <c r="O123" s="47"/>
      <c r="P123" s="47"/>
      <c r="Q123" s="47"/>
      <c r="R123" s="47"/>
      <c r="S123" s="67"/>
      <c r="T123" s="40"/>
      <c r="U123" s="37">
        <f>VLOOKUP(C123,'[2]Ranking '!$C$1:$H$65536,6,FALSE)</f>
        <v>285</v>
      </c>
      <c r="V123" s="37" t="b">
        <f t="shared" si="13"/>
        <v>0</v>
      </c>
      <c r="W123" s="37" t="e">
        <f>VLOOKUP(C123,[3]Proportionality!B:B,1,FALSE)</f>
        <v>#N/A</v>
      </c>
    </row>
    <row r="124" spans="1:23" ht="15.6" x14ac:dyDescent="0.3">
      <c r="A124" s="39">
        <v>115</v>
      </c>
      <c r="B124" s="27">
        <v>15</v>
      </c>
      <c r="C124" s="79">
        <v>6120</v>
      </c>
      <c r="D124" s="78" t="s">
        <v>131</v>
      </c>
      <c r="E124" s="150"/>
      <c r="F124" s="80">
        <f>+'Proportionality FTE'!Q123</f>
        <v>0</v>
      </c>
      <c r="G124" s="80">
        <f>+'Proportionality FTE'!R123</f>
        <v>1</v>
      </c>
      <c r="H124" s="154">
        <f>VLOOKUP(C124,'Enrollment FY13'!A:C,3,FALSE)</f>
        <v>527</v>
      </c>
      <c r="I124" s="81">
        <f>+'Proportionality FTE'!P123</f>
        <v>49.375</v>
      </c>
      <c r="J124" s="82">
        <f t="shared" si="32"/>
        <v>49.375</v>
      </c>
      <c r="K124" s="83">
        <f t="shared" si="33"/>
        <v>0</v>
      </c>
      <c r="L124" s="132">
        <f t="shared" si="34"/>
        <v>10.673417721518987</v>
      </c>
      <c r="M124" s="47"/>
      <c r="N124" s="52"/>
      <c r="O124" s="47"/>
      <c r="P124" s="47"/>
      <c r="Q124" s="47"/>
      <c r="R124" s="47"/>
      <c r="S124" s="67"/>
      <c r="T124" s="40"/>
      <c r="U124" s="37">
        <f>VLOOKUP(C124,'[2]Ranking '!$C$1:$H$65536,6,FALSE)</f>
        <v>535</v>
      </c>
      <c r="V124" s="37" t="b">
        <f t="shared" si="13"/>
        <v>0</v>
      </c>
      <c r="W124" s="37" t="e">
        <f>VLOOKUP(C124,[3]Proportionality!B:B,1,FALSE)</f>
        <v>#N/A</v>
      </c>
    </row>
    <row r="125" spans="1:23" ht="15.6" x14ac:dyDescent="0.3">
      <c r="A125" s="39">
        <v>116</v>
      </c>
      <c r="B125" s="27">
        <v>16</v>
      </c>
      <c r="C125" s="79">
        <v>6290</v>
      </c>
      <c r="D125" s="279" t="s">
        <v>4250</v>
      </c>
      <c r="E125" s="150"/>
      <c r="F125" s="80">
        <f>+'Proportionality FTE'!Q125</f>
        <v>0</v>
      </c>
      <c r="G125" s="80">
        <f>+'Proportionality FTE'!R125</f>
        <v>1</v>
      </c>
      <c r="H125" s="154">
        <f>VLOOKUP(C125,'Enrollment FY13'!A:C,3,FALSE)</f>
        <v>224</v>
      </c>
      <c r="I125" s="81">
        <f>+'Proportionality FTE'!P124</f>
        <v>24.890000000000004</v>
      </c>
      <c r="J125" s="82">
        <f>I125*G125</f>
        <v>24.890000000000004</v>
      </c>
      <c r="K125" s="83">
        <f>I125*F125</f>
        <v>0</v>
      </c>
      <c r="L125" s="132">
        <f>H125/J125</f>
        <v>8.9995982322217749</v>
      </c>
      <c r="M125" s="47"/>
      <c r="N125" s="52"/>
      <c r="O125" s="47"/>
      <c r="P125" s="47"/>
      <c r="Q125" s="47"/>
      <c r="R125" s="47"/>
      <c r="S125" s="67"/>
      <c r="T125" s="40"/>
      <c r="U125" s="37"/>
      <c r="V125" s="37"/>
      <c r="W125" s="37"/>
    </row>
    <row r="126" spans="1:23" ht="15.6" x14ac:dyDescent="0.3">
      <c r="A126" s="39">
        <v>117</v>
      </c>
      <c r="B126" s="27">
        <v>17</v>
      </c>
      <c r="C126" s="79">
        <v>6330</v>
      </c>
      <c r="D126" s="78" t="s">
        <v>132</v>
      </c>
      <c r="E126" s="150"/>
      <c r="F126" s="80">
        <f>+Proportionality!R125</f>
        <v>4.0814989876767599E-2</v>
      </c>
      <c r="G126" s="80">
        <f>+Proportionality!S125</f>
        <v>0.95918501012323243</v>
      </c>
      <c r="H126" s="154">
        <f>VLOOKUP(C126,'Enrollment FY13'!A:C,3,FALSE)</f>
        <v>1165</v>
      </c>
      <c r="I126" s="81">
        <f>+'Proportionality FTE'!P125</f>
        <v>101.16999999999999</v>
      </c>
      <c r="J126" s="82">
        <f t="shared" si="32"/>
        <v>97.040747474167418</v>
      </c>
      <c r="K126" s="83">
        <f>I126*F126</f>
        <v>4.1292525258325776</v>
      </c>
      <c r="L126" s="132">
        <f t="shared" si="34"/>
        <v>12.005266141526032</v>
      </c>
      <c r="M126" s="47"/>
      <c r="N126" s="52"/>
      <c r="O126" s="47"/>
      <c r="P126" s="47"/>
      <c r="Q126" s="47"/>
      <c r="R126" s="47"/>
      <c r="S126" s="67"/>
      <c r="T126" s="40"/>
      <c r="U126" s="37">
        <f>VLOOKUP(C126,'[2]Ranking '!$C$1:$H$65536,6,FALSE)</f>
        <v>866</v>
      </c>
      <c r="V126" s="37" t="b">
        <f t="shared" si="13"/>
        <v>0</v>
      </c>
      <c r="W126" s="37" t="e">
        <f>VLOOKUP(C126,[3]Proportionality!B:B,1,FALSE)</f>
        <v>#N/A</v>
      </c>
    </row>
    <row r="127" spans="1:23" ht="15.6" x14ac:dyDescent="0.3">
      <c r="A127" s="39">
        <v>118</v>
      </c>
      <c r="B127" s="27">
        <v>18</v>
      </c>
      <c r="C127" s="79">
        <v>7210</v>
      </c>
      <c r="D127" s="78" t="s">
        <v>104</v>
      </c>
      <c r="E127" s="86"/>
      <c r="F127" s="80">
        <f>+'Proportionality FTE'!Q126</f>
        <v>0</v>
      </c>
      <c r="G127" s="80">
        <f>+'Proportionality FTE'!R126</f>
        <v>1</v>
      </c>
      <c r="H127" s="154">
        <f>VLOOKUP(C127,'Enrollment FY13'!A:C,3,FALSE)</f>
        <v>532</v>
      </c>
      <c r="I127" s="81">
        <f>+'Proportionality FTE'!P126</f>
        <v>7.2</v>
      </c>
      <c r="J127" s="81">
        <f>I127*G127</f>
        <v>7.2</v>
      </c>
      <c r="K127" s="83">
        <f>I127*F127</f>
        <v>0</v>
      </c>
      <c r="L127" s="132">
        <f>H127/J127</f>
        <v>73.888888888888886</v>
      </c>
      <c r="M127" s="47"/>
      <c r="N127" s="52"/>
      <c r="O127" s="47"/>
      <c r="P127" s="47"/>
      <c r="Q127" s="47"/>
      <c r="R127" s="47"/>
      <c r="S127" s="67"/>
      <c r="T127" s="40"/>
      <c r="U127" s="37"/>
      <c r="V127" s="37"/>
      <c r="W127" s="37"/>
    </row>
    <row r="128" spans="1:23" ht="15.6" x14ac:dyDescent="0.3">
      <c r="A128" s="39">
        <v>119</v>
      </c>
      <c r="B128" s="27">
        <v>19</v>
      </c>
      <c r="C128" s="79">
        <v>7250</v>
      </c>
      <c r="D128" s="78" t="s">
        <v>133</v>
      </c>
      <c r="E128" s="150"/>
      <c r="F128" s="80">
        <f>+'Proportionality FTE'!Q127</f>
        <v>0</v>
      </c>
      <c r="G128" s="80">
        <f>+'Proportionality FTE'!R127</f>
        <v>1</v>
      </c>
      <c r="H128" s="154">
        <f>VLOOKUP(C128,'Enrollment FY13'!A:C,3,FALSE)</f>
        <v>549</v>
      </c>
      <c r="I128" s="81">
        <f>+'Proportionality FTE'!P127</f>
        <v>49</v>
      </c>
      <c r="J128" s="82">
        <f t="shared" si="32"/>
        <v>49</v>
      </c>
      <c r="K128" s="83">
        <f>I128*F128</f>
        <v>0</v>
      </c>
      <c r="L128" s="132">
        <f t="shared" si="34"/>
        <v>11.204081632653061</v>
      </c>
      <c r="M128" s="47"/>
      <c r="N128" s="52"/>
      <c r="O128" s="47"/>
      <c r="P128" s="47"/>
      <c r="Q128" s="47"/>
      <c r="R128" s="47"/>
      <c r="S128" s="67"/>
      <c r="T128" s="40"/>
      <c r="U128" s="37">
        <f>VLOOKUP(C128,'[2]Ranking '!$C$1:$H$65536,6,FALSE)</f>
        <v>460</v>
      </c>
      <c r="V128" s="37" t="b">
        <f t="shared" si="13"/>
        <v>0</v>
      </c>
      <c r="W128" s="37" t="e">
        <f>VLOOKUP(C128,[3]Proportionality!B:B,1,FALSE)</f>
        <v>#N/A</v>
      </c>
    </row>
    <row r="129" spans="1:24" ht="15.6" x14ac:dyDescent="0.3">
      <c r="A129" s="1"/>
      <c r="B129" s="15"/>
      <c r="C129" s="16"/>
      <c r="D129" s="41" t="s">
        <v>4247</v>
      </c>
      <c r="E129" s="42"/>
      <c r="F129" s="69"/>
      <c r="G129" s="70"/>
      <c r="H129" s="71">
        <f>SUM(H4:H128)</f>
        <v>44218</v>
      </c>
      <c r="I129" s="69"/>
      <c r="J129" s="50">
        <f>SUM(J110:J128)</f>
        <v>867.83574747416753</v>
      </c>
      <c r="K129" s="50">
        <f>SUM(K110:K128)</f>
        <v>4.6292525258325776</v>
      </c>
      <c r="L129" s="47">
        <f>AVERAGE(L110:L128)</f>
        <v>12.585062501883922</v>
      </c>
      <c r="M129" s="47"/>
      <c r="N129" s="52"/>
      <c r="O129" s="47"/>
      <c r="P129" s="47"/>
      <c r="Q129" s="47"/>
      <c r="R129" s="47"/>
      <c r="S129" s="67"/>
      <c r="T129" s="40"/>
      <c r="U129" s="40"/>
      <c r="V129" s="40"/>
      <c r="W129" s="40"/>
    </row>
    <row r="130" spans="1:24" ht="15.6" x14ac:dyDescent="0.3">
      <c r="A130" s="1"/>
      <c r="B130" s="15"/>
      <c r="C130" s="16"/>
      <c r="D130" s="41" t="s">
        <v>4248</v>
      </c>
      <c r="E130" s="42"/>
      <c r="F130" s="69"/>
      <c r="G130" s="70"/>
      <c r="H130" s="52"/>
      <c r="I130" s="69"/>
      <c r="J130" s="48">
        <f>1.1*J129</f>
        <v>954.61932222158441</v>
      </c>
      <c r="K130" s="51"/>
      <c r="L130" s="48">
        <f>1.1*L129</f>
        <v>13.843568752072315</v>
      </c>
      <c r="M130" s="48"/>
      <c r="N130" s="52"/>
      <c r="O130" s="48"/>
      <c r="P130" s="48"/>
      <c r="Q130" s="48"/>
      <c r="R130" s="48"/>
      <c r="S130" s="67"/>
      <c r="T130" s="40"/>
      <c r="U130" s="40"/>
      <c r="V130" s="40"/>
      <c r="W130" s="40"/>
    </row>
    <row r="131" spans="1:24" ht="15.6" x14ac:dyDescent="0.3">
      <c r="A131" s="1"/>
      <c r="B131" s="15"/>
      <c r="C131" s="16"/>
      <c r="D131" s="17"/>
      <c r="E131" s="42"/>
      <c r="F131" s="69"/>
      <c r="G131" s="70"/>
      <c r="H131" s="52"/>
      <c r="I131" s="69"/>
      <c r="J131" s="72"/>
      <c r="K131" s="51"/>
      <c r="L131" s="73"/>
      <c r="M131" s="73"/>
      <c r="N131" s="52"/>
      <c r="O131" s="73"/>
      <c r="P131" s="73"/>
      <c r="Q131" s="73"/>
      <c r="R131" s="73"/>
      <c r="S131" s="67"/>
      <c r="T131" s="40"/>
      <c r="U131" s="40"/>
      <c r="V131" s="40"/>
      <c r="W131" s="40"/>
    </row>
    <row r="132" spans="1:24" ht="15.6" x14ac:dyDescent="0.3">
      <c r="A132" s="26"/>
      <c r="B132" s="15"/>
      <c r="C132" s="17"/>
      <c r="D132" s="17"/>
      <c r="E132" s="63"/>
      <c r="F132" s="17"/>
      <c r="G132" s="70"/>
      <c r="H132" s="16"/>
      <c r="I132" s="17"/>
      <c r="J132" s="17"/>
      <c r="K132" s="51"/>
      <c r="L132" s="74"/>
      <c r="M132" s="74"/>
      <c r="N132" s="16"/>
      <c r="O132" s="74"/>
      <c r="P132" s="74"/>
      <c r="Q132" s="74"/>
      <c r="R132" s="74"/>
      <c r="S132" s="75"/>
      <c r="T132" s="54"/>
      <c r="U132" s="54"/>
      <c r="V132" s="54"/>
      <c r="W132" s="54"/>
      <c r="X132" s="54"/>
    </row>
    <row r="133" spans="1:24" ht="15.6" x14ac:dyDescent="0.3">
      <c r="A133" s="26"/>
      <c r="B133" s="15"/>
      <c r="C133" s="17"/>
      <c r="D133" s="17"/>
      <c r="E133" s="63"/>
      <c r="F133" s="17"/>
      <c r="G133" s="70"/>
      <c r="H133" s="16"/>
      <c r="I133" s="17"/>
      <c r="J133" s="17"/>
      <c r="K133" s="51"/>
      <c r="L133" s="74"/>
      <c r="M133" s="74"/>
      <c r="N133" s="16"/>
      <c r="O133" s="74"/>
      <c r="P133" s="74"/>
      <c r="Q133" s="74"/>
      <c r="R133" s="74"/>
      <c r="S133" s="75"/>
      <c r="T133" s="54"/>
      <c r="U133" s="54"/>
      <c r="V133" s="54"/>
      <c r="W133" s="54"/>
      <c r="X133" s="54"/>
    </row>
    <row r="134" spans="1:24" ht="15.6" x14ac:dyDescent="0.3">
      <c r="A134" s="26"/>
      <c r="B134" s="15"/>
      <c r="C134" s="17"/>
      <c r="D134" s="17"/>
      <c r="E134" s="63"/>
      <c r="F134" s="17"/>
      <c r="G134" s="70"/>
      <c r="H134" s="16"/>
      <c r="I134" s="17"/>
      <c r="J134" s="17"/>
      <c r="K134" s="51"/>
      <c r="L134" s="74"/>
      <c r="M134" s="74"/>
      <c r="N134" s="16"/>
      <c r="O134" s="74"/>
      <c r="P134" s="74"/>
      <c r="Q134" s="74"/>
      <c r="R134" s="74"/>
      <c r="S134" s="75"/>
      <c r="T134" s="54"/>
      <c r="U134" s="54"/>
      <c r="V134" s="54"/>
      <c r="W134" s="54"/>
      <c r="X134" s="54"/>
    </row>
  </sheetData>
  <autoFilter ref="B2:R130"/>
  <sortState ref="C90:D109">
    <sortCondition ref="C90:C109"/>
  </sortState>
  <conditionalFormatting sqref="R87:R106 R73:R84 R4:R70">
    <cfRule type="cellIs" dxfId="0" priority="3" operator="lessThan">
      <formula>0</formula>
    </cfRule>
  </conditionalFormatting>
  <printOptions horizontalCentered="1" verticalCentered="1"/>
  <pageMargins left="0" right="0" top="0.75" bottom="0.5" header="0.3" footer="0.3"/>
  <pageSetup scale="60" orientation="landscape" r:id="rId1"/>
  <headerFooter>
    <oddHeader>&amp;CDISTRICT OF COLUMBIA PUBLIC SCHOOLS
FY 2013 COMPARABILITY REPORT FOR TITLE I</oddHeader>
    <oddFooter>&amp;L&amp;F&amp;C&amp;A&amp;R&amp;P</oddFooter>
  </headerFooter>
  <rowBreaks count="1" manualBreakCount="1">
    <brk id="10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"/>
  <sheetViews>
    <sheetView workbookViewId="0">
      <selection activeCell="A2" sqref="A2"/>
    </sheetView>
  </sheetViews>
  <sheetFormatPr defaultRowHeight="14.4" x14ac:dyDescent="0.3"/>
  <cols>
    <col min="2" max="2" width="11.109375" bestFit="1" customWidth="1"/>
    <col min="3" max="3" width="14.33203125" style="310" bestFit="1" customWidth="1"/>
  </cols>
  <sheetData>
    <row r="1" spans="1:3" x14ac:dyDescent="0.3">
      <c r="A1" t="s">
        <v>6078</v>
      </c>
      <c r="B1" t="s">
        <v>6079</v>
      </c>
      <c r="C1" s="310" t="s">
        <v>6080</v>
      </c>
    </row>
    <row r="2" spans="1:3" x14ac:dyDescent="0.3">
      <c r="A2" s="245">
        <v>5120</v>
      </c>
      <c r="B2" s="245">
        <v>733</v>
      </c>
      <c r="C2" s="310">
        <f>VLOOKUP(A2,[4]Sheet1!$B$17:$D$114,3,0)</f>
        <v>136008.84</v>
      </c>
    </row>
    <row r="3" spans="1:3" x14ac:dyDescent="0.3">
      <c r="A3" s="245">
        <v>5130</v>
      </c>
      <c r="B3" s="245">
        <v>733</v>
      </c>
      <c r="C3" s="310">
        <f>VLOOKUP(A3,[4]Sheet1!$B$17:$D$114,3,0)</f>
        <v>126471.19</v>
      </c>
    </row>
    <row r="4" spans="1:3" x14ac:dyDescent="0.3">
      <c r="A4" s="245">
        <v>5140</v>
      </c>
      <c r="B4" s="245">
        <v>733</v>
      </c>
      <c r="C4" s="310">
        <f>VLOOKUP(A4,[4]Sheet1!$B$17:$D$114,3,0)</f>
        <v>201130</v>
      </c>
    </row>
    <row r="5" spans="1:3" x14ac:dyDescent="0.3">
      <c r="A5" s="245">
        <v>5150</v>
      </c>
      <c r="B5" s="245">
        <v>733</v>
      </c>
      <c r="C5" s="310">
        <f>VLOOKUP(A5,[4]Sheet1!$B$17:$D$114,3,0)</f>
        <v>211293.49</v>
      </c>
    </row>
    <row r="6" spans="1:3" x14ac:dyDescent="0.3">
      <c r="A6" s="245">
        <v>5160</v>
      </c>
      <c r="B6" s="245">
        <v>733</v>
      </c>
      <c r="C6" s="310">
        <f>VLOOKUP(A6,[4]Sheet1!$B$17:$D$114,3,0)</f>
        <v>163107.88</v>
      </c>
    </row>
    <row r="7" spans="1:3" x14ac:dyDescent="0.3">
      <c r="A7" s="245">
        <v>5210</v>
      </c>
      <c r="B7" s="245">
        <v>733</v>
      </c>
      <c r="C7" s="310">
        <f>VLOOKUP(A7,[4]Sheet1!$B$17:$D$114,3,0)</f>
        <v>265347.18</v>
      </c>
    </row>
    <row r="8" spans="1:3" x14ac:dyDescent="0.3">
      <c r="A8" s="245">
        <v>5220</v>
      </c>
      <c r="B8" s="245">
        <v>733</v>
      </c>
      <c r="C8" s="310">
        <f>VLOOKUP(A8,[4]Sheet1!$B$17:$D$114,3,0)</f>
        <v>124636.41</v>
      </c>
    </row>
    <row r="9" spans="1:3" x14ac:dyDescent="0.3">
      <c r="A9" s="245">
        <v>5230</v>
      </c>
      <c r="B9" s="245">
        <v>733</v>
      </c>
      <c r="C9" s="310">
        <f>VLOOKUP(A9,[4]Sheet1!$B$17:$D$114,3,0)</f>
        <v>224211.82</v>
      </c>
    </row>
    <row r="10" spans="1:3" x14ac:dyDescent="0.3">
      <c r="A10" s="245">
        <v>5250</v>
      </c>
      <c r="B10" s="245">
        <v>733</v>
      </c>
      <c r="C10" s="310">
        <f>VLOOKUP(A10,[4]Sheet1!$B$17:$D$114,3,0)</f>
        <v>126241.17000000001</v>
      </c>
    </row>
    <row r="11" spans="1:3" x14ac:dyDescent="0.3">
      <c r="A11" s="245">
        <v>5260</v>
      </c>
      <c r="B11" s="245">
        <v>733</v>
      </c>
      <c r="C11" s="310">
        <f>VLOOKUP(A11,[4]Sheet1!$B$17:$D$114,3,0)</f>
        <v>164755.43</v>
      </c>
    </row>
    <row r="12" spans="1:3" x14ac:dyDescent="0.3">
      <c r="A12" s="245">
        <v>5280</v>
      </c>
      <c r="B12" s="245">
        <v>733</v>
      </c>
      <c r="C12" s="310">
        <f>VLOOKUP(A12,[4]Sheet1!$B$17:$D$114,3,0)</f>
        <v>134323.82</v>
      </c>
    </row>
    <row r="13" spans="1:3" x14ac:dyDescent="0.3">
      <c r="A13" s="245">
        <v>5300</v>
      </c>
      <c r="B13" s="245">
        <v>733</v>
      </c>
      <c r="C13" s="310">
        <f>VLOOKUP(A13,[4]Sheet1!$B$17:$D$114,3,0)</f>
        <v>170083.23</v>
      </c>
    </row>
    <row r="14" spans="1:3" x14ac:dyDescent="0.3">
      <c r="A14" s="245">
        <v>5310</v>
      </c>
      <c r="B14" s="245">
        <v>733</v>
      </c>
      <c r="C14" s="310">
        <f>VLOOKUP(A14,[4]Sheet1!$B$17:$D$114,3,0)</f>
        <v>90176.86</v>
      </c>
    </row>
    <row r="15" spans="1:3" x14ac:dyDescent="0.3">
      <c r="A15" s="245">
        <v>5330</v>
      </c>
      <c r="B15" s="245">
        <v>733</v>
      </c>
      <c r="C15" s="310">
        <f>VLOOKUP(A15,[4]Sheet1!$B$17:$D$114,3,0)</f>
        <v>91556.950000000012</v>
      </c>
    </row>
    <row r="16" spans="1:3" x14ac:dyDescent="0.3">
      <c r="A16" s="245">
        <v>5350</v>
      </c>
      <c r="B16" s="245">
        <v>733</v>
      </c>
      <c r="C16" s="310">
        <f>VLOOKUP(A16,[4]Sheet1!$B$17:$D$114,3,0)</f>
        <v>176523.66999999998</v>
      </c>
    </row>
    <row r="17" spans="1:3" x14ac:dyDescent="0.3">
      <c r="A17" s="245">
        <v>5360</v>
      </c>
      <c r="B17" s="245">
        <v>733</v>
      </c>
      <c r="C17" s="310">
        <f>VLOOKUP(A17,[4]Sheet1!$B$17:$D$114,3,0)</f>
        <v>123256.31999999999</v>
      </c>
    </row>
    <row r="18" spans="1:3" x14ac:dyDescent="0.3">
      <c r="A18" s="245">
        <v>5390</v>
      </c>
      <c r="B18" s="245">
        <v>733</v>
      </c>
      <c r="C18" s="310">
        <f>VLOOKUP(A18,[4]Sheet1!$B$17:$D$114,3,0)</f>
        <v>118543.67</v>
      </c>
    </row>
    <row r="19" spans="1:3" x14ac:dyDescent="0.3">
      <c r="A19" s="245">
        <v>5400</v>
      </c>
      <c r="B19" s="245">
        <v>733</v>
      </c>
      <c r="C19" s="310">
        <f>VLOOKUP(A19,[4]Sheet1!$B$17:$D$114,3,0)</f>
        <v>110776.62999999999</v>
      </c>
    </row>
    <row r="20" spans="1:3" x14ac:dyDescent="0.3">
      <c r="A20" s="245">
        <v>5430</v>
      </c>
      <c r="B20" s="245">
        <v>733</v>
      </c>
      <c r="C20" s="310">
        <f>VLOOKUP(A20,[4]Sheet1!$B$17:$D$114,3,0)</f>
        <v>106818.22</v>
      </c>
    </row>
    <row r="21" spans="1:3" x14ac:dyDescent="0.3">
      <c r="A21" s="245">
        <v>5460</v>
      </c>
      <c r="B21" s="245">
        <v>733</v>
      </c>
      <c r="C21" s="310">
        <f>VLOOKUP(A21,[4]Sheet1!$B$17:$D$114,3,0)</f>
        <v>181332.61000000002</v>
      </c>
    </row>
    <row r="22" spans="1:3" x14ac:dyDescent="0.3">
      <c r="A22" s="245">
        <v>5480</v>
      </c>
      <c r="B22" s="245">
        <v>733</v>
      </c>
      <c r="C22" s="310">
        <f>VLOOKUP(A22,[4]Sheet1!$B$17:$D$114,3,0)</f>
        <v>100393.83</v>
      </c>
    </row>
    <row r="23" spans="1:3" x14ac:dyDescent="0.3">
      <c r="A23" s="245">
        <v>5510</v>
      </c>
      <c r="B23" s="245">
        <v>733</v>
      </c>
      <c r="C23" s="310">
        <f>VLOOKUP(A23,[4]Sheet1!$B$17:$D$114,3,0)</f>
        <v>87405.97</v>
      </c>
    </row>
    <row r="24" spans="1:3" x14ac:dyDescent="0.3">
      <c r="A24" s="245">
        <v>5520</v>
      </c>
      <c r="B24" s="245">
        <v>733</v>
      </c>
      <c r="C24" s="310">
        <f>VLOOKUP(A24,[4]Sheet1!$B$17:$D$114,3,0)</f>
        <v>127642.66</v>
      </c>
    </row>
    <row r="25" spans="1:3" x14ac:dyDescent="0.3">
      <c r="A25" s="245">
        <v>5540</v>
      </c>
      <c r="B25" s="245">
        <v>733</v>
      </c>
      <c r="C25" s="310">
        <f>VLOOKUP(A25,[4]Sheet1!$B$17:$D$114,3,0)</f>
        <v>151676.63</v>
      </c>
    </row>
    <row r="26" spans="1:3" x14ac:dyDescent="0.3">
      <c r="A26" s="245">
        <v>5550</v>
      </c>
      <c r="B26" s="245">
        <v>733</v>
      </c>
      <c r="C26" s="310">
        <f>VLOOKUP(A26,[4]Sheet1!$B$17:$D$114,3,0)</f>
        <v>178823.83</v>
      </c>
    </row>
    <row r="27" spans="1:3" x14ac:dyDescent="0.3">
      <c r="A27" s="245">
        <v>5570</v>
      </c>
      <c r="B27" s="245">
        <v>733</v>
      </c>
      <c r="C27" s="310">
        <f>VLOOKUP(A27,[4]Sheet1!$B$17:$D$114,3,0)</f>
        <v>166360.20000000001</v>
      </c>
    </row>
    <row r="28" spans="1:3" x14ac:dyDescent="0.3">
      <c r="A28" s="245">
        <v>5580</v>
      </c>
      <c r="B28" s="245">
        <v>733</v>
      </c>
      <c r="C28" s="310">
        <f>VLOOKUP(A28,[4]Sheet1!$B$17:$D$114,3,0)</f>
        <v>129637.92</v>
      </c>
    </row>
    <row r="29" spans="1:3" x14ac:dyDescent="0.3">
      <c r="A29" s="245">
        <v>5590</v>
      </c>
      <c r="B29" s="245">
        <v>733</v>
      </c>
      <c r="C29" s="310">
        <f>VLOOKUP(A29,[4]Sheet1!$B$17:$D$114,3,0)</f>
        <v>141753.87</v>
      </c>
    </row>
    <row r="30" spans="1:3" x14ac:dyDescent="0.3">
      <c r="A30" s="245">
        <v>5600</v>
      </c>
      <c r="B30" s="245">
        <v>733</v>
      </c>
      <c r="C30" s="310">
        <f>VLOOKUP(A30,[4]Sheet1!$B$17:$D$114,3,0)</f>
        <v>115435.78</v>
      </c>
    </row>
    <row r="31" spans="1:3" x14ac:dyDescent="0.3">
      <c r="A31" s="245">
        <v>5610</v>
      </c>
      <c r="B31" s="245">
        <v>733</v>
      </c>
      <c r="C31" s="310">
        <f>VLOOKUP(A31,[4]Sheet1!$B$17:$D$114,3,0)</f>
        <v>115772.78</v>
      </c>
    </row>
    <row r="32" spans="1:3" x14ac:dyDescent="0.3">
      <c r="A32" s="245">
        <v>5630</v>
      </c>
      <c r="B32" s="245">
        <v>733</v>
      </c>
      <c r="C32" s="310">
        <f>VLOOKUP(A32,[4]Sheet1!$B$17:$D$114,3,0)</f>
        <v>63655.51</v>
      </c>
    </row>
    <row r="33" spans="1:3" x14ac:dyDescent="0.3">
      <c r="A33" s="245">
        <v>5640</v>
      </c>
      <c r="B33" s="245">
        <v>733</v>
      </c>
      <c r="C33" s="310">
        <f>VLOOKUP(A33,[4]Sheet1!$B$17:$D$114,3,0)</f>
        <v>62050.75</v>
      </c>
    </row>
    <row r="34" spans="1:3" x14ac:dyDescent="0.3">
      <c r="A34" s="245">
        <v>5690</v>
      </c>
      <c r="B34" s="245">
        <v>733</v>
      </c>
      <c r="C34" s="310">
        <f>VLOOKUP(A34,[4]Sheet1!$B$17:$D$114,3,0)</f>
        <v>207565.09</v>
      </c>
    </row>
    <row r="35" spans="1:3" x14ac:dyDescent="0.3">
      <c r="A35" s="245">
        <v>5710</v>
      </c>
      <c r="B35" s="245">
        <v>733</v>
      </c>
      <c r="C35" s="310">
        <f>VLOOKUP(A35,[4]Sheet1!$B$17:$D$114,3,0)</f>
        <v>161786.62</v>
      </c>
    </row>
    <row r="36" spans="1:3" x14ac:dyDescent="0.3">
      <c r="A36" s="245">
        <v>5730</v>
      </c>
      <c r="B36" s="245">
        <v>733</v>
      </c>
      <c r="C36" s="310">
        <f>VLOOKUP(A36,[4]Sheet1!$B$17:$D$114,3,0)</f>
        <v>160978.89000000001</v>
      </c>
    </row>
    <row r="37" spans="1:3" x14ac:dyDescent="0.3">
      <c r="A37" s="245">
        <v>5740</v>
      </c>
      <c r="B37" s="245">
        <v>733</v>
      </c>
      <c r="C37" s="310">
        <f>VLOOKUP(A37,[4]Sheet1!$B$17:$D$114,3,0)</f>
        <v>174662.16</v>
      </c>
    </row>
    <row r="38" spans="1:3" x14ac:dyDescent="0.3">
      <c r="A38" s="245">
        <v>5750</v>
      </c>
      <c r="B38" s="245">
        <v>733</v>
      </c>
      <c r="C38" s="310">
        <f>VLOOKUP(A38,[4]Sheet1!$B$17:$D$114,3,0)</f>
        <v>145348.51999999999</v>
      </c>
    </row>
    <row r="39" spans="1:3" x14ac:dyDescent="0.3">
      <c r="A39" s="245">
        <v>5780</v>
      </c>
      <c r="B39" s="245">
        <v>733</v>
      </c>
      <c r="C39" s="310">
        <f>VLOOKUP(A39,[4]Sheet1!$B$17:$D$114,3,0)</f>
        <v>154431.47</v>
      </c>
    </row>
    <row r="40" spans="1:3" x14ac:dyDescent="0.3">
      <c r="A40" s="245">
        <v>5790</v>
      </c>
      <c r="B40" s="245">
        <v>733</v>
      </c>
      <c r="C40" s="310">
        <f>VLOOKUP(A40,[4]Sheet1!$B$17:$D$114,3,0)</f>
        <v>104844.37</v>
      </c>
    </row>
    <row r="41" spans="1:3" x14ac:dyDescent="0.3">
      <c r="A41" s="245">
        <v>5820</v>
      </c>
      <c r="B41" s="245">
        <v>733</v>
      </c>
      <c r="C41" s="310">
        <f>VLOOKUP(A41,[4]Sheet1!$B$17:$D$114,3,0)</f>
        <v>107417.33</v>
      </c>
    </row>
    <row r="42" spans="1:3" x14ac:dyDescent="0.3">
      <c r="A42" s="245">
        <v>5830</v>
      </c>
      <c r="B42" s="245">
        <v>733</v>
      </c>
      <c r="C42" s="310">
        <f>VLOOKUP(A42,[4]Sheet1!$B$17:$D$114,3,0)</f>
        <v>142796.96</v>
      </c>
    </row>
    <row r="43" spans="1:3" x14ac:dyDescent="0.3">
      <c r="A43" s="245">
        <v>5840</v>
      </c>
      <c r="B43" s="245">
        <v>733</v>
      </c>
      <c r="C43" s="310">
        <f>VLOOKUP(A43,[4]Sheet1!$B$17:$D$114,3,0)</f>
        <v>171174.47</v>
      </c>
    </row>
    <row r="44" spans="1:3" x14ac:dyDescent="0.3">
      <c r="A44" s="245">
        <v>5850</v>
      </c>
      <c r="B44" s="245">
        <v>733</v>
      </c>
      <c r="C44" s="310">
        <f>VLOOKUP(A44,[4]Sheet1!$B$17:$D$114,3,0)</f>
        <v>212283.09000000003</v>
      </c>
    </row>
    <row r="45" spans="1:3" x14ac:dyDescent="0.3">
      <c r="A45" s="245">
        <v>5860</v>
      </c>
      <c r="B45" s="245">
        <v>733</v>
      </c>
      <c r="C45" s="310">
        <f>VLOOKUP(A45,[4]Sheet1!$B$17:$D$114,3,0)</f>
        <v>162300.15000000002</v>
      </c>
    </row>
    <row r="46" spans="1:3" x14ac:dyDescent="0.3">
      <c r="A46" s="245">
        <v>5870</v>
      </c>
      <c r="B46" s="245">
        <v>733</v>
      </c>
      <c r="C46" s="310">
        <v>0</v>
      </c>
    </row>
    <row r="47" spans="1:3" x14ac:dyDescent="0.3">
      <c r="A47" s="245">
        <v>5880</v>
      </c>
      <c r="B47" s="245">
        <v>733</v>
      </c>
      <c r="C47" s="310">
        <v>0</v>
      </c>
    </row>
    <row r="48" spans="1:3" x14ac:dyDescent="0.3">
      <c r="A48" s="245">
        <v>5900</v>
      </c>
      <c r="B48" s="245">
        <v>733</v>
      </c>
      <c r="C48" s="310">
        <f>VLOOKUP(A48,[4]Sheet1!$B$17:$D$114,3,0)</f>
        <v>161203.56</v>
      </c>
    </row>
    <row r="49" spans="1:3" x14ac:dyDescent="0.3">
      <c r="A49" s="245">
        <v>5910</v>
      </c>
      <c r="B49" s="245">
        <v>733</v>
      </c>
      <c r="C49" s="310">
        <f>VLOOKUP(A49,[4]Sheet1!$B$17:$D$114,3,0)</f>
        <v>122036.7</v>
      </c>
    </row>
    <row r="50" spans="1:3" x14ac:dyDescent="0.3">
      <c r="A50" s="245">
        <v>5950</v>
      </c>
      <c r="B50" s="245">
        <v>733</v>
      </c>
      <c r="C50" s="310">
        <f>VLOOKUP(A50,[4]Sheet1!$B$17:$D$114,3,0)</f>
        <v>116666.09999999999</v>
      </c>
    </row>
    <row r="51" spans="1:3" x14ac:dyDescent="0.3">
      <c r="A51" s="245">
        <v>5970</v>
      </c>
      <c r="B51" s="245">
        <v>733</v>
      </c>
      <c r="C51" s="310">
        <f>VLOOKUP(A51,[4]Sheet1!$B$17:$D$114,3,0)</f>
        <v>113381.7</v>
      </c>
    </row>
    <row r="52" spans="1:3" x14ac:dyDescent="0.3">
      <c r="A52" s="245">
        <v>5980</v>
      </c>
      <c r="B52" s="245">
        <v>733</v>
      </c>
      <c r="C52" s="310">
        <f>VLOOKUP(A52,[4]Sheet1!$B$17:$D$114,3,0)</f>
        <v>170874.91999999998</v>
      </c>
    </row>
    <row r="53" spans="1:3" x14ac:dyDescent="0.3">
      <c r="A53" s="245">
        <v>6010</v>
      </c>
      <c r="B53" s="245">
        <v>733</v>
      </c>
      <c r="C53" s="310">
        <f>VLOOKUP(A53,[4]Sheet1!$B$17:$D$114,3,0)</f>
        <v>133730.06</v>
      </c>
    </row>
    <row r="54" spans="1:3" x14ac:dyDescent="0.3">
      <c r="A54" s="245">
        <v>6020</v>
      </c>
      <c r="B54" s="245">
        <v>733</v>
      </c>
      <c r="C54" s="310">
        <f>VLOOKUP(A54,[4]Sheet1!$B$17:$D$114,3,0)</f>
        <v>104839.01000000001</v>
      </c>
    </row>
    <row r="55" spans="1:3" x14ac:dyDescent="0.3">
      <c r="A55" s="245">
        <v>6030</v>
      </c>
      <c r="B55" s="245">
        <v>733</v>
      </c>
      <c r="C55" s="310">
        <f>VLOOKUP(A55,[4]Sheet1!$B$17:$D$114,3,0)</f>
        <v>108647.65000000001</v>
      </c>
    </row>
    <row r="56" spans="1:3" x14ac:dyDescent="0.3">
      <c r="A56" s="245">
        <v>6040</v>
      </c>
      <c r="B56" s="245">
        <v>733</v>
      </c>
      <c r="C56" s="310">
        <f>VLOOKUP(A56,[4]Sheet1!$B$17:$D$114,3,0)</f>
        <v>133730.06</v>
      </c>
    </row>
    <row r="57" spans="1:3" x14ac:dyDescent="0.3">
      <c r="A57" s="245">
        <v>6050</v>
      </c>
      <c r="B57" s="245">
        <v>733</v>
      </c>
      <c r="C57" s="310">
        <f>VLOOKUP(A57,[4]Sheet1!$B$17:$D$114,3,0)</f>
        <v>245416.06</v>
      </c>
    </row>
    <row r="58" spans="1:3" x14ac:dyDescent="0.3">
      <c r="A58" s="245">
        <v>6060</v>
      </c>
      <c r="B58" s="245">
        <v>733</v>
      </c>
      <c r="C58" s="310">
        <f>VLOOKUP(A58,[4]Sheet1!$B$17:$D$114,3,0)</f>
        <v>139673.02000000002</v>
      </c>
    </row>
    <row r="59" spans="1:3" x14ac:dyDescent="0.3">
      <c r="A59" s="245">
        <v>6070</v>
      </c>
      <c r="B59" s="245">
        <v>733</v>
      </c>
      <c r="C59" s="310">
        <f>VLOOKUP(A59,[4]Sheet1!$B$17:$D$114,3,0)</f>
        <v>201130</v>
      </c>
    </row>
    <row r="60" spans="1:3" x14ac:dyDescent="0.3">
      <c r="A60" s="245">
        <v>6090</v>
      </c>
      <c r="B60" s="245">
        <v>733</v>
      </c>
      <c r="C60" s="310">
        <f>VLOOKUP(A60,[4]Sheet1!$B$17:$D$114,3,0)</f>
        <v>136939.57999999999</v>
      </c>
    </row>
    <row r="61" spans="1:3" x14ac:dyDescent="0.3">
      <c r="A61" s="245">
        <v>6110</v>
      </c>
      <c r="B61" s="245">
        <v>733</v>
      </c>
      <c r="C61" s="310">
        <f>VLOOKUP(A61,[4]Sheet1!$B$17:$D$114,3,0)</f>
        <v>176855.31999999998</v>
      </c>
    </row>
    <row r="62" spans="1:3" x14ac:dyDescent="0.3">
      <c r="A62" s="245">
        <v>6130</v>
      </c>
      <c r="B62" s="245">
        <v>733</v>
      </c>
      <c r="C62" s="310">
        <f>VLOOKUP(A62,[4]Sheet1!$B$17:$D$114,3,0)</f>
        <v>219568.7</v>
      </c>
    </row>
    <row r="63" spans="1:3" x14ac:dyDescent="0.3">
      <c r="A63" s="245">
        <v>6150</v>
      </c>
      <c r="B63" s="245">
        <v>733</v>
      </c>
      <c r="C63" s="310">
        <f>VLOOKUP(A63,[4]Sheet1!$B$17:$D$114,3,0)</f>
        <v>94145.959999999992</v>
      </c>
    </row>
    <row r="64" spans="1:3" x14ac:dyDescent="0.3">
      <c r="A64" s="245">
        <v>6170</v>
      </c>
      <c r="B64" s="245">
        <v>733</v>
      </c>
      <c r="C64" s="310">
        <f>VLOOKUP(A64,[4]Sheet1!$B$17:$D$114,3,0)</f>
        <v>159866.26</v>
      </c>
    </row>
    <row r="65" spans="1:3" x14ac:dyDescent="0.3">
      <c r="A65" s="245">
        <v>6190</v>
      </c>
      <c r="B65" s="245">
        <v>733</v>
      </c>
      <c r="C65" s="310">
        <f>VLOOKUP(A65,[4]Sheet1!$B$17:$D$114,3,0)</f>
        <v>178636.61</v>
      </c>
    </row>
    <row r="66" spans="1:3" x14ac:dyDescent="0.3">
      <c r="A66" s="245">
        <v>6200</v>
      </c>
      <c r="B66" s="245">
        <v>733</v>
      </c>
      <c r="C66" s="310">
        <f>VLOOKUP(A66,[4]Sheet1!$B$17:$D$114,3,0)</f>
        <v>139908.38</v>
      </c>
    </row>
    <row r="67" spans="1:3" x14ac:dyDescent="0.3">
      <c r="A67" s="245">
        <v>6320</v>
      </c>
      <c r="B67" s="245">
        <v>733</v>
      </c>
      <c r="C67" s="310">
        <f>VLOOKUP(A67,[4]Sheet1!$B$17:$D$114,3,0)</f>
        <v>187462.8</v>
      </c>
    </row>
    <row r="68" spans="1:3" x14ac:dyDescent="0.3">
      <c r="A68" s="245">
        <v>6340</v>
      </c>
      <c r="B68" s="245">
        <v>733</v>
      </c>
      <c r="C68" s="310">
        <f>VLOOKUP(A68,[4]Sheet1!$B$17:$D$114,3,0)</f>
        <v>170340</v>
      </c>
    </row>
    <row r="69" spans="1:3" x14ac:dyDescent="0.3">
      <c r="A69" s="245">
        <v>6360</v>
      </c>
      <c r="B69" s="245">
        <v>733</v>
      </c>
      <c r="C69" s="310">
        <f>VLOOKUP(A69,[4]Sheet1!$B$17:$D$114,3,0)</f>
        <v>82912.639999999999</v>
      </c>
    </row>
    <row r="70" spans="1:3" x14ac:dyDescent="0.3">
      <c r="A70" s="245">
        <v>6380</v>
      </c>
      <c r="B70" s="245">
        <v>733</v>
      </c>
      <c r="C70" s="310">
        <f>VLOOKUP(A70,[4]Sheet1!$B$17:$D$114,3,0)</f>
        <v>106984.05</v>
      </c>
    </row>
    <row r="71" spans="1:3" x14ac:dyDescent="0.3">
      <c r="A71" s="245">
        <v>6390</v>
      </c>
      <c r="B71" s="245">
        <v>733</v>
      </c>
      <c r="C71" s="310">
        <f>VLOOKUP(A71,[4]Sheet1!$B$17:$D$114,3,0)</f>
        <v>251455.30000000002</v>
      </c>
    </row>
    <row r="72" spans="1:3" x14ac:dyDescent="0.3">
      <c r="A72" s="245">
        <v>6410</v>
      </c>
      <c r="B72" s="245">
        <v>733</v>
      </c>
      <c r="C72" s="310">
        <f>VLOOKUP(A72,[4]Sheet1!$B$17:$D$114,3,0)</f>
        <v>72198.179999999993</v>
      </c>
    </row>
    <row r="73" spans="1:3" x14ac:dyDescent="0.3">
      <c r="A73" s="245">
        <v>6420</v>
      </c>
      <c r="B73" s="245">
        <v>733</v>
      </c>
      <c r="C73" s="310">
        <f>VLOOKUP(A73,[4]Sheet1!$B$17:$D$114,3,0)</f>
        <v>114612.01</v>
      </c>
    </row>
    <row r="74" spans="1:3" x14ac:dyDescent="0.3">
      <c r="A74" s="245">
        <v>6430</v>
      </c>
      <c r="B74" s="245">
        <v>733</v>
      </c>
      <c r="C74" s="310">
        <f>VLOOKUP(A74,[4]Sheet1!$B$17:$D$114,3,0)</f>
        <v>132772.55000000002</v>
      </c>
    </row>
    <row r="75" spans="1:3" x14ac:dyDescent="0.3">
      <c r="A75" s="245">
        <v>6450</v>
      </c>
      <c r="B75" s="245">
        <v>733</v>
      </c>
      <c r="C75" s="310">
        <f>VLOOKUP(A75,[4]Sheet1!$B$17:$D$114,3,0)</f>
        <v>89764.96</v>
      </c>
    </row>
    <row r="76" spans="1:3" x14ac:dyDescent="0.3">
      <c r="A76" s="245">
        <v>6470</v>
      </c>
      <c r="B76" s="245">
        <v>733</v>
      </c>
      <c r="C76" s="310">
        <f>VLOOKUP(A76,[4]Sheet1!$B$17:$D$114,3,0)</f>
        <v>103822.67000000001</v>
      </c>
    </row>
    <row r="77" spans="1:3" x14ac:dyDescent="0.3">
      <c r="A77" s="245">
        <v>6480</v>
      </c>
      <c r="B77" s="245">
        <v>733</v>
      </c>
      <c r="C77" s="310">
        <f>VLOOKUP(A77,[4]Sheet1!$B$17:$D$114,3,0)</f>
        <v>69796.39</v>
      </c>
    </row>
    <row r="78" spans="1:3" x14ac:dyDescent="0.3">
      <c r="A78" s="245">
        <v>6490</v>
      </c>
      <c r="B78" s="245">
        <v>733</v>
      </c>
      <c r="C78" s="310">
        <f>VLOOKUP(A78,[4]Sheet1!$B$17:$D$114,3,0)</f>
        <v>155918.54</v>
      </c>
    </row>
    <row r="79" spans="1:3" x14ac:dyDescent="0.3">
      <c r="A79" s="245">
        <v>6500</v>
      </c>
      <c r="B79" s="245">
        <v>733</v>
      </c>
      <c r="C79" s="310">
        <f>VLOOKUP(A79,[4]Sheet1!$B$17:$D$114,3,0)</f>
        <v>117147.53</v>
      </c>
    </row>
    <row r="80" spans="1:3" x14ac:dyDescent="0.3">
      <c r="A80" s="245">
        <v>6580</v>
      </c>
      <c r="B80" s="245">
        <v>733</v>
      </c>
      <c r="C80" s="310">
        <f>VLOOKUP(A80,[4]Sheet1!$B$17:$D$114,3,0)</f>
        <v>147407.97</v>
      </c>
    </row>
    <row r="81" spans="1:3" x14ac:dyDescent="0.3">
      <c r="A81" s="245">
        <v>7110</v>
      </c>
      <c r="B81" s="245">
        <v>733</v>
      </c>
      <c r="C81" s="310">
        <f>VLOOKUP(A81,[4]Sheet1!$B$17:$D$114,3,0)</f>
        <v>371234.63999999996</v>
      </c>
    </row>
    <row r="82" spans="1:3" x14ac:dyDescent="0.3">
      <c r="A82" s="245">
        <v>7120</v>
      </c>
      <c r="B82" s="245">
        <v>733</v>
      </c>
      <c r="C82" s="310">
        <f>VLOOKUP(A82,[4]Sheet1!$B$17:$D$114,3,0)</f>
        <v>444235.20999999996</v>
      </c>
    </row>
    <row r="83" spans="1:3" x14ac:dyDescent="0.3">
      <c r="A83" s="245">
        <v>7140</v>
      </c>
      <c r="B83" s="245">
        <v>733</v>
      </c>
      <c r="C83" s="310">
        <f>VLOOKUP(A83,[4]Sheet1!$B$17:$D$114,3,0)</f>
        <v>134799.9</v>
      </c>
    </row>
    <row r="84" spans="1:3" x14ac:dyDescent="0.3">
      <c r="A84" s="245">
        <v>7150</v>
      </c>
      <c r="B84" s="245">
        <v>733</v>
      </c>
      <c r="C84" s="310">
        <f>VLOOKUP(A84,[4]Sheet1!$B$17:$D$114,3,0)</f>
        <v>554385.98</v>
      </c>
    </row>
    <row r="85" spans="1:3" x14ac:dyDescent="0.3">
      <c r="A85" s="245">
        <v>7160</v>
      </c>
      <c r="B85" s="245">
        <v>733</v>
      </c>
      <c r="C85" s="310">
        <f>VLOOKUP(A85,[4]Sheet1!$B$17:$D$114,3,0)</f>
        <v>197920.48</v>
      </c>
    </row>
    <row r="86" spans="1:3" x14ac:dyDescent="0.3">
      <c r="A86" s="245">
        <v>7170</v>
      </c>
      <c r="B86" s="245">
        <v>733</v>
      </c>
      <c r="C86" s="310">
        <f>VLOOKUP(A86,[4]Sheet1!$B$17:$D$114,3,0)</f>
        <v>209153.81</v>
      </c>
    </row>
    <row r="87" spans="1:3" x14ac:dyDescent="0.3">
      <c r="A87" s="245">
        <v>7180</v>
      </c>
      <c r="B87" s="245">
        <v>733</v>
      </c>
      <c r="C87" s="310">
        <f>VLOOKUP(A87,[4]Sheet1!$B$17:$D$114,3,0)</f>
        <v>246063.30000000002</v>
      </c>
    </row>
    <row r="88" spans="1:3" x14ac:dyDescent="0.3">
      <c r="A88" s="245">
        <v>7200</v>
      </c>
      <c r="B88" s="245">
        <v>733</v>
      </c>
      <c r="C88" s="310">
        <f>VLOOKUP(A88,[4]Sheet1!$B$17:$D$114,3,0)</f>
        <v>112868.17</v>
      </c>
    </row>
    <row r="89" spans="1:3" x14ac:dyDescent="0.3">
      <c r="A89" s="245">
        <v>7220</v>
      </c>
      <c r="B89" s="245">
        <v>733</v>
      </c>
      <c r="C89" s="310">
        <f>VLOOKUP(A89,[4]Sheet1!$B$17:$D$114,3,0)</f>
        <v>135671.82</v>
      </c>
    </row>
    <row r="90" spans="1:3" x14ac:dyDescent="0.3">
      <c r="A90" s="245">
        <v>7230</v>
      </c>
      <c r="B90" s="245">
        <v>733</v>
      </c>
      <c r="C90" s="310">
        <f>VLOOKUP(A90,[4]Sheet1!$B$17:$D$114,3,0)</f>
        <v>132125.29999999999</v>
      </c>
    </row>
    <row r="91" spans="1:3" x14ac:dyDescent="0.3">
      <c r="A91" s="245">
        <v>7240</v>
      </c>
      <c r="B91" s="245">
        <v>733</v>
      </c>
      <c r="C91" s="310">
        <f>VLOOKUP(A91,[4]Sheet1!$B$17:$D$114,3,0)</f>
        <v>195245.88</v>
      </c>
    </row>
    <row r="92" spans="1:3" x14ac:dyDescent="0.3">
      <c r="A92" s="245">
        <v>7260</v>
      </c>
      <c r="B92" s="245">
        <v>733</v>
      </c>
      <c r="C92" s="310">
        <f>VLOOKUP(A92,[4]Sheet1!$B$17:$D$114,3,0)</f>
        <v>208822.15999999997</v>
      </c>
    </row>
    <row r="93" spans="1:3" x14ac:dyDescent="0.3">
      <c r="A93" s="245">
        <v>7280</v>
      </c>
      <c r="B93" s="245">
        <v>733</v>
      </c>
      <c r="C93" s="310">
        <f>VLOOKUP(A93,[4]Sheet1!$B$17:$D$114,3,0)</f>
        <v>341814.02999999997</v>
      </c>
    </row>
    <row r="94" spans="1:3" x14ac:dyDescent="0.3">
      <c r="A94" s="245">
        <v>7300</v>
      </c>
      <c r="B94" s="245">
        <v>733</v>
      </c>
      <c r="C94" s="310">
        <f>VLOOKUP(A94,[4]Sheet1!$B$17:$D$114,3,0)</f>
        <v>315602.94</v>
      </c>
    </row>
    <row r="95" spans="1:3" x14ac:dyDescent="0.3">
      <c r="A95" s="245">
        <v>7360</v>
      </c>
      <c r="B95" s="245">
        <v>733</v>
      </c>
      <c r="C95" s="310">
        <f>VLOOKUP(A95,[4]Sheet1!$B$17:$D$114,3,0)</f>
        <v>55300.06</v>
      </c>
    </row>
    <row r="96" spans="1:3" x14ac:dyDescent="0.3">
      <c r="A96" s="245">
        <v>7370</v>
      </c>
      <c r="B96" s="245">
        <v>733</v>
      </c>
      <c r="C96" s="310">
        <f>VLOOKUP(A96,[4]Sheet1!$B$17:$D$114,3,0)</f>
        <v>41723.770000000004</v>
      </c>
    </row>
    <row r="97" spans="1:3" x14ac:dyDescent="0.3">
      <c r="A97" s="245">
        <v>7380</v>
      </c>
      <c r="B97" s="245">
        <v>733</v>
      </c>
      <c r="C97" s="310">
        <f>VLOOKUP(A97,[4]Sheet1!$B$17:$D$114,3,0)</f>
        <v>48522.61</v>
      </c>
    </row>
    <row r="98" spans="1:3" x14ac:dyDescent="0.3">
      <c r="A98" s="245">
        <v>7480</v>
      </c>
      <c r="B98" s="245">
        <v>733</v>
      </c>
      <c r="C98" s="310">
        <v>0</v>
      </c>
    </row>
    <row r="99" spans="1:3" x14ac:dyDescent="0.3">
      <c r="A99" s="245">
        <v>7870</v>
      </c>
      <c r="B99" s="245">
        <v>733</v>
      </c>
      <c r="C99" s="310">
        <f>VLOOKUP(A99,[4]Sheet1!$B$17:$D$114,3,0)</f>
        <v>181337.96</v>
      </c>
    </row>
    <row r="100" spans="1:3" x14ac:dyDescent="0.3">
      <c r="A100" s="245">
        <v>6120</v>
      </c>
      <c r="B100" s="245">
        <v>733</v>
      </c>
      <c r="C100" s="310">
        <v>105379.29</v>
      </c>
    </row>
    <row r="101" spans="1:3" x14ac:dyDescent="0.3">
      <c r="A101">
        <v>7210</v>
      </c>
      <c r="B101" s="245">
        <v>733</v>
      </c>
      <c r="C101" s="303">
        <v>103774.51999999999</v>
      </c>
    </row>
    <row r="102" spans="1:3" x14ac:dyDescent="0.3">
      <c r="A102">
        <v>7490</v>
      </c>
      <c r="B102" s="245">
        <v>733</v>
      </c>
      <c r="C102" s="303">
        <v>115542.76999999999</v>
      </c>
    </row>
    <row r="103" spans="1:3" x14ac:dyDescent="0.3">
      <c r="A103" s="245"/>
      <c r="B103" s="245"/>
    </row>
    <row r="104" spans="1:3" x14ac:dyDescent="0.3">
      <c r="A104" s="245"/>
      <c r="B104" s="245"/>
    </row>
    <row r="105" spans="1:3" x14ac:dyDescent="0.3">
      <c r="A105" s="245"/>
      <c r="B105" s="24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"/>
  <sheetViews>
    <sheetView workbookViewId="0">
      <selection activeCell="D1" sqref="D1:D1048576"/>
    </sheetView>
  </sheetViews>
  <sheetFormatPr defaultRowHeight="14.4" x14ac:dyDescent="0.3"/>
  <cols>
    <col min="2" max="2" width="11.109375" bestFit="1" customWidth="1"/>
    <col min="3" max="3" width="13.33203125" bestFit="1" customWidth="1"/>
    <col min="4" max="4" width="0" hidden="1" customWidth="1"/>
    <col min="10" max="12" width="18.33203125" hidden="1" customWidth="1"/>
    <col min="13" max="13" width="12.5546875" hidden="1" customWidth="1"/>
  </cols>
  <sheetData>
    <row r="1" spans="1:13" x14ac:dyDescent="0.3">
      <c r="A1" t="s">
        <v>6078</v>
      </c>
      <c r="B1" t="s">
        <v>6079</v>
      </c>
      <c r="C1" t="s">
        <v>6080</v>
      </c>
    </row>
    <row r="2" spans="1:13" x14ac:dyDescent="0.3">
      <c r="A2" s="245">
        <v>5120</v>
      </c>
      <c r="B2" s="245">
        <v>735</v>
      </c>
      <c r="C2">
        <f>VLOOKUP(A2,[5]Sheet3!$1:$1048576,2,FALSE)</f>
        <v>6725</v>
      </c>
      <c r="D2">
        <f>COUNTIF(Proportionality!C:C,A2)</f>
        <v>1</v>
      </c>
      <c r="J2">
        <v>5120</v>
      </c>
      <c r="K2" t="e">
        <f>- AITON ELEMENTARY</f>
        <v>#NAME?</v>
      </c>
      <c r="M2" s="304">
        <v>6725</v>
      </c>
    </row>
    <row r="3" spans="1:13" x14ac:dyDescent="0.3">
      <c r="A3" s="245">
        <v>5130</v>
      </c>
      <c r="B3" s="245">
        <v>735</v>
      </c>
      <c r="C3">
        <f>VLOOKUP(A3,[5]Sheet3!$1:$1048576,2,FALSE)</f>
        <v>6450</v>
      </c>
      <c r="D3">
        <f>COUNTIF(Proportionality!C:C,A3)</f>
        <v>1</v>
      </c>
      <c r="J3">
        <v>5130</v>
      </c>
      <c r="K3" t="e">
        <f>- AMIDON ELEMENTARY</f>
        <v>#NAME?</v>
      </c>
      <c r="M3" s="304">
        <v>6450</v>
      </c>
    </row>
    <row r="4" spans="1:13" x14ac:dyDescent="0.3">
      <c r="A4" s="245">
        <v>5140</v>
      </c>
      <c r="B4" s="245">
        <v>735</v>
      </c>
      <c r="C4">
        <f>VLOOKUP(A4,[5]Sheet3!$1:$1048576,2,FALSE)</f>
        <v>11625</v>
      </c>
      <c r="D4">
        <f>COUNTIF(Proportionality!C:C,A4)</f>
        <v>1</v>
      </c>
      <c r="J4">
        <v>5140</v>
      </c>
      <c r="K4" t="e">
        <f>- BANCROFT ELEMENTARY</f>
        <v>#NAME?</v>
      </c>
      <c r="M4" s="304">
        <v>11625</v>
      </c>
    </row>
    <row r="5" spans="1:13" x14ac:dyDescent="0.3">
      <c r="A5" s="245">
        <v>5150</v>
      </c>
      <c r="B5" s="245">
        <v>735</v>
      </c>
      <c r="C5">
        <f>VLOOKUP(A5,[5]Sheet3!$1:$1048576,2,FALSE)</f>
        <v>12100</v>
      </c>
      <c r="D5">
        <f>COUNTIF(Proportionality!C:C,A5)</f>
        <v>1</v>
      </c>
      <c r="J5">
        <v>5150</v>
      </c>
      <c r="K5" t="e">
        <f>- BARNARD ELEMENTARY</f>
        <v>#NAME?</v>
      </c>
      <c r="M5" s="304">
        <v>12100</v>
      </c>
    </row>
    <row r="6" spans="1:13" x14ac:dyDescent="0.3">
      <c r="A6" s="245">
        <v>5160</v>
      </c>
      <c r="B6" s="245">
        <v>735</v>
      </c>
      <c r="C6">
        <f>VLOOKUP(A6,[5]Sheet3!$1:$1048576,2,FALSE)</f>
        <v>9675</v>
      </c>
      <c r="D6">
        <f>COUNTIF(Proportionality!C:C,A6)</f>
        <v>1</v>
      </c>
      <c r="J6">
        <v>5160</v>
      </c>
      <c r="K6" t="e">
        <f>- BEERS ELEMENTARY</f>
        <v>#NAME?</v>
      </c>
      <c r="M6" s="304">
        <v>9675</v>
      </c>
    </row>
    <row r="7" spans="1:13" x14ac:dyDescent="0.3">
      <c r="A7" s="245">
        <v>5200</v>
      </c>
      <c r="B7" s="245">
        <v>735</v>
      </c>
      <c r="C7">
        <f>VLOOKUP(A7,[5]Sheet3!$1:$1048576,2,FALSE)</f>
        <v>8700</v>
      </c>
      <c r="D7">
        <f>COUNTIF(Proportionality!C:C,A7)</f>
        <v>1</v>
      </c>
      <c r="J7">
        <v>5200</v>
      </c>
      <c r="K7" t="e">
        <f>- BRENT ELEMENTARY</f>
        <v>#NAME?</v>
      </c>
      <c r="M7" s="304">
        <v>0</v>
      </c>
    </row>
    <row r="8" spans="1:13" x14ac:dyDescent="0.3">
      <c r="A8" s="245">
        <v>5210</v>
      </c>
      <c r="B8" s="245">
        <v>735</v>
      </c>
      <c r="C8">
        <f>VLOOKUP(A8,[5]Sheet3!$1:$1048576,2,FALSE)</f>
        <v>13850</v>
      </c>
      <c r="D8">
        <f>COUNTIF(Proportionality!C:C,A8)</f>
        <v>1</v>
      </c>
      <c r="J8">
        <v>5210</v>
      </c>
      <c r="K8" t="e">
        <f>- BRIGHTWOOD ELEMENTARY</f>
        <v>#NAME?</v>
      </c>
      <c r="M8" s="304">
        <v>13850</v>
      </c>
    </row>
    <row r="9" spans="1:13" x14ac:dyDescent="0.3">
      <c r="A9" s="245">
        <v>5220</v>
      </c>
      <c r="B9" s="245">
        <v>735</v>
      </c>
      <c r="C9">
        <f>VLOOKUP(A9,[5]Sheet3!$1:$1048576,2,FALSE)</f>
        <v>7600</v>
      </c>
      <c r="D9">
        <f>COUNTIF(Proportionality!C:C,A9)</f>
        <v>1</v>
      </c>
      <c r="J9">
        <v>5220</v>
      </c>
      <c r="K9" t="e">
        <f>- BROOKLAND ELEMENTARY</f>
        <v>#NAME?</v>
      </c>
      <c r="M9" s="304">
        <v>7600</v>
      </c>
    </row>
    <row r="10" spans="1:13" x14ac:dyDescent="0.3">
      <c r="A10" s="245">
        <v>5230</v>
      </c>
      <c r="B10" s="245">
        <v>735</v>
      </c>
      <c r="C10">
        <f>VLOOKUP(A10,[5]Sheet3!$1:$1048576,2,FALSE)</f>
        <v>11500</v>
      </c>
      <c r="D10">
        <f>COUNTIF(Proportionality!C:C,A10)</f>
        <v>1</v>
      </c>
      <c r="J10">
        <v>5230</v>
      </c>
      <c r="K10" t="e">
        <f>- BRUCE-MONROE ELEMENTARY</f>
        <v>#NAME?</v>
      </c>
      <c r="M10" s="304">
        <v>11500</v>
      </c>
    </row>
    <row r="11" spans="1:13" x14ac:dyDescent="0.3">
      <c r="A11" s="245">
        <v>5250</v>
      </c>
      <c r="B11" s="245">
        <v>735</v>
      </c>
      <c r="C11">
        <f>VLOOKUP(A11,[5]Sheet3!$1:$1048576,2,FALSE)</f>
        <v>7400</v>
      </c>
      <c r="D11">
        <f>COUNTIF(Proportionality!C:C,A11)</f>
        <v>1</v>
      </c>
      <c r="J11">
        <v>5250</v>
      </c>
      <c r="K11" t="e">
        <f>- BURROUGHS ELEMENTARY</f>
        <v>#NAME?</v>
      </c>
      <c r="M11" s="304">
        <v>7400</v>
      </c>
    </row>
    <row r="12" spans="1:13" x14ac:dyDescent="0.3">
      <c r="A12" s="245">
        <v>5260</v>
      </c>
      <c r="B12" s="245">
        <v>735</v>
      </c>
      <c r="C12">
        <f>VLOOKUP(A12,[5]Sheet3!$1:$1048576,2,FALSE)</f>
        <v>9200</v>
      </c>
      <c r="D12">
        <f>COUNTIF(Proportionality!C:C,A12)</f>
        <v>1</v>
      </c>
      <c r="J12">
        <v>5260</v>
      </c>
      <c r="K12" t="e">
        <f>- BURRVILLE ELEMENTARY</f>
        <v>#NAME?</v>
      </c>
      <c r="M12" s="304">
        <v>9200</v>
      </c>
    </row>
    <row r="13" spans="1:13" x14ac:dyDescent="0.3">
      <c r="A13" s="245">
        <v>5280</v>
      </c>
      <c r="B13" s="245">
        <v>735</v>
      </c>
      <c r="C13">
        <f>VLOOKUP(A13,[5]Sheet3!$1:$1048576,2,FALSE)</f>
        <v>7550</v>
      </c>
      <c r="D13">
        <f>COUNTIF(Proportionality!C:C,A13)</f>
        <v>1</v>
      </c>
      <c r="J13">
        <v>5280</v>
      </c>
      <c r="K13" t="e">
        <f>- CLEVELAND ELEMENTARY</f>
        <v>#NAME?</v>
      </c>
      <c r="M13" s="304">
        <v>7550</v>
      </c>
    </row>
    <row r="14" spans="1:13" x14ac:dyDescent="0.3">
      <c r="A14" s="245">
        <v>5300</v>
      </c>
      <c r="B14" s="245">
        <v>735</v>
      </c>
      <c r="C14">
        <f>VLOOKUP(A14,[5]Sheet3!$1:$1048576,2,FALSE)</f>
        <v>9950</v>
      </c>
      <c r="D14">
        <f>COUNTIF(Proportionality!C:C,A14)</f>
        <v>1</v>
      </c>
      <c r="J14">
        <v>5300</v>
      </c>
      <c r="K14" t="e">
        <f>- H.D. COOKE ELEMENTARY</f>
        <v>#NAME?</v>
      </c>
      <c r="M14" s="304">
        <v>9950</v>
      </c>
    </row>
    <row r="15" spans="1:13" x14ac:dyDescent="0.3">
      <c r="A15" s="245">
        <v>5310</v>
      </c>
      <c r="B15" s="245">
        <v>735</v>
      </c>
      <c r="C15">
        <f>VLOOKUP(A15,[5]Sheet3!$1:$1048576,2,FALSE)</f>
        <v>4600</v>
      </c>
      <c r="D15">
        <f>COUNTIF(Proportionality!C:C,A15)</f>
        <v>1</v>
      </c>
      <c r="J15">
        <v>5310</v>
      </c>
      <c r="K15" t="e">
        <f>- DAVIS ELEMENTARY</f>
        <v>#NAME?</v>
      </c>
      <c r="M15" s="304">
        <v>4600</v>
      </c>
    </row>
    <row r="16" spans="1:13" x14ac:dyDescent="0.3">
      <c r="A16" s="245">
        <v>5330</v>
      </c>
      <c r="B16" s="245">
        <v>735</v>
      </c>
      <c r="C16">
        <f>VLOOKUP(A16,[5]Sheet3!$1:$1048576,2,FALSE)</f>
        <v>4525</v>
      </c>
      <c r="D16">
        <f>COUNTIF(Proportionality!C:C,A16)</f>
        <v>1</v>
      </c>
      <c r="J16">
        <v>5330</v>
      </c>
      <c r="K16" t="e">
        <f>- DREW ELEMENTARY</f>
        <v>#NAME?</v>
      </c>
      <c r="M16" s="304">
        <v>4525</v>
      </c>
    </row>
    <row r="17" spans="1:13" x14ac:dyDescent="0.3">
      <c r="A17" s="245">
        <v>5340</v>
      </c>
      <c r="B17" s="245">
        <v>735</v>
      </c>
      <c r="C17">
        <f>VLOOKUP(A17,[5]Sheet3!$1:$1048576,2,FALSE)</f>
        <v>11425</v>
      </c>
      <c r="D17">
        <f>COUNTIF(Proportionality!C:C,A17)</f>
        <v>1</v>
      </c>
      <c r="J17">
        <v>5340</v>
      </c>
      <c r="K17" t="e">
        <f>- EATON ELEMENTARY</f>
        <v>#NAME?</v>
      </c>
      <c r="M17" s="304">
        <v>0</v>
      </c>
    </row>
    <row r="18" spans="1:13" x14ac:dyDescent="0.3">
      <c r="A18" s="245">
        <v>5350</v>
      </c>
      <c r="B18" s="245">
        <v>735</v>
      </c>
      <c r="C18">
        <f>VLOOKUP(A18,[5]Sheet3!$1:$1048576,2,FALSE)</f>
        <v>9500</v>
      </c>
      <c r="D18">
        <f>COUNTIF(Proportionality!C:C,A18)</f>
        <v>1</v>
      </c>
      <c r="J18">
        <v>5350</v>
      </c>
      <c r="K18" t="e">
        <f>- LANGLEY EDUCATION CAMPUS</f>
        <v>#NAME?</v>
      </c>
      <c r="M18" s="304">
        <v>9500</v>
      </c>
    </row>
    <row r="19" spans="1:13" x14ac:dyDescent="0.3">
      <c r="A19" s="245">
        <v>5360</v>
      </c>
      <c r="B19" s="245">
        <v>735</v>
      </c>
      <c r="C19">
        <f>VLOOKUP(A19,[5]Sheet3!$1:$1048576,2,FALSE)</f>
        <v>5975</v>
      </c>
      <c r="D19">
        <f>COUNTIF(Proportionality!C:C,A19)</f>
        <v>1</v>
      </c>
      <c r="J19">
        <v>5360</v>
      </c>
      <c r="K19" t="e">
        <f>- FEREBEE-HOPE ELEMENTARY</f>
        <v>#NAME?</v>
      </c>
      <c r="M19" s="304">
        <v>5975</v>
      </c>
    </row>
    <row r="20" spans="1:13" x14ac:dyDescent="0.3">
      <c r="A20" s="245">
        <v>5390</v>
      </c>
      <c r="B20" s="245">
        <v>735</v>
      </c>
      <c r="C20">
        <f>VLOOKUP(A20,[5]Sheet3!$1:$1048576,2,FALSE)</f>
        <v>6000</v>
      </c>
      <c r="D20">
        <f>COUNTIF(Proportionality!C:C,A20)</f>
        <v>1</v>
      </c>
      <c r="J20">
        <v>5390</v>
      </c>
      <c r="K20" t="e">
        <f>- GARFIELD ELEMENTARY</f>
        <v>#NAME?</v>
      </c>
      <c r="M20" s="304">
        <v>6000</v>
      </c>
    </row>
    <row r="21" spans="1:13" x14ac:dyDescent="0.3">
      <c r="A21" s="245">
        <v>5400</v>
      </c>
      <c r="B21" s="245">
        <v>735</v>
      </c>
      <c r="C21">
        <f>VLOOKUP(A21,[5]Sheet3!$1:$1048576,2,FALSE)</f>
        <v>5925</v>
      </c>
      <c r="D21">
        <f>COUNTIF(Proportionality!C:C,A21)</f>
        <v>1</v>
      </c>
      <c r="J21">
        <v>5400</v>
      </c>
      <c r="K21" t="e">
        <f>- GARRISON ELEMENTARY</f>
        <v>#NAME?</v>
      </c>
      <c r="M21" s="304">
        <v>5925</v>
      </c>
    </row>
    <row r="22" spans="1:13" x14ac:dyDescent="0.3">
      <c r="A22" s="245">
        <v>5430</v>
      </c>
      <c r="B22" s="245">
        <v>735</v>
      </c>
      <c r="C22">
        <f>VLOOKUP(A22,[5]Sheet3!$1:$1048576,2,FALSE)</f>
        <v>5750</v>
      </c>
      <c r="D22">
        <f>COUNTIF(Proportionality!C:C,A22)</f>
        <v>1</v>
      </c>
      <c r="J22">
        <v>5460</v>
      </c>
      <c r="K22" t="e">
        <f>- HENDLEY ELEMENTARY</f>
        <v>#NAME?</v>
      </c>
      <c r="M22" s="304">
        <v>8550</v>
      </c>
    </row>
    <row r="23" spans="1:13" x14ac:dyDescent="0.3">
      <c r="A23" s="245">
        <v>5450</v>
      </c>
      <c r="B23" s="245">
        <v>735</v>
      </c>
      <c r="C23">
        <f>VLOOKUP(A23,[5]Sheet3!$1:$1048576,2,FALSE)</f>
        <v>6525</v>
      </c>
      <c r="D23">
        <f>COUNTIF(Proportionality!C:C,A23)</f>
        <v>1</v>
      </c>
      <c r="J23">
        <v>5480</v>
      </c>
      <c r="K23" t="e">
        <f>- HOUSTON ELEMENTARY</f>
        <v>#NAME?</v>
      </c>
      <c r="M23" s="304">
        <v>5575</v>
      </c>
    </row>
    <row r="24" spans="1:13" x14ac:dyDescent="0.3">
      <c r="A24" s="245">
        <v>5460</v>
      </c>
      <c r="B24" s="245">
        <v>735</v>
      </c>
      <c r="C24">
        <f>VLOOKUP(A24,[5]Sheet3!$1:$1048576,2,FALSE)</f>
        <v>8550</v>
      </c>
      <c r="D24">
        <f>COUNTIF(Proportionality!C:C,A24)</f>
        <v>1</v>
      </c>
      <c r="J24">
        <v>5490</v>
      </c>
      <c r="K24" t="e">
        <f>- HYDE ELEMENTARY</f>
        <v>#NAME?</v>
      </c>
      <c r="M24" s="304">
        <v>0</v>
      </c>
    </row>
    <row r="25" spans="1:13" x14ac:dyDescent="0.3">
      <c r="A25" s="245">
        <v>5480</v>
      </c>
      <c r="B25" s="245">
        <v>735</v>
      </c>
      <c r="C25">
        <f>VLOOKUP(A25,[5]Sheet3!$1:$1048576,2,FALSE)</f>
        <v>5575</v>
      </c>
      <c r="D25">
        <f>COUNTIF(Proportionality!C:C,A25)</f>
        <v>1</v>
      </c>
      <c r="J25">
        <v>5500</v>
      </c>
      <c r="K25" t="e">
        <f>- JANNEY ELEMENTARY</f>
        <v>#NAME?</v>
      </c>
      <c r="M25" s="304">
        <v>0</v>
      </c>
    </row>
    <row r="26" spans="1:13" x14ac:dyDescent="0.3">
      <c r="A26" s="245">
        <v>5490</v>
      </c>
      <c r="B26" s="245">
        <v>735</v>
      </c>
      <c r="C26">
        <f>VLOOKUP(A26,[5]Sheet3!$1:$1048576,2,FALSE)</f>
        <v>7725.5</v>
      </c>
      <c r="D26">
        <f>COUNTIF(Proportionality!C:C,A26)</f>
        <v>1</v>
      </c>
      <c r="J26">
        <v>5510</v>
      </c>
      <c r="K26" t="e">
        <f>- KENILWORTH ELEMENTARY</f>
        <v>#NAME?</v>
      </c>
      <c r="M26" s="304">
        <v>4450</v>
      </c>
    </row>
    <row r="27" spans="1:13" x14ac:dyDescent="0.3">
      <c r="A27" s="245">
        <v>5500</v>
      </c>
      <c r="B27" s="245">
        <v>735</v>
      </c>
      <c r="C27">
        <f>VLOOKUP(A27,[5]Sheet3!$1:$1048576,2,FALSE)</f>
        <v>13700</v>
      </c>
      <c r="D27">
        <f>COUNTIF(Proportionality!C:C,A27)</f>
        <v>1</v>
      </c>
      <c r="J27">
        <v>5520</v>
      </c>
      <c r="K27" t="e">
        <f>- KETCHAM ELEMENTARY</f>
        <v>#NAME?</v>
      </c>
      <c r="M27" s="304">
        <v>6450</v>
      </c>
    </row>
    <row r="28" spans="1:13" x14ac:dyDescent="0.3">
      <c r="A28" s="245">
        <v>5510</v>
      </c>
      <c r="B28" s="245">
        <v>735</v>
      </c>
      <c r="C28">
        <f>VLOOKUP(A28,[5]Sheet3!$1:$1048576,2,FALSE)</f>
        <v>4450</v>
      </c>
      <c r="D28">
        <f>COUNTIF(Proportionality!C:C,A28)</f>
        <v>1</v>
      </c>
      <c r="J28">
        <v>5540</v>
      </c>
      <c r="K28" t="e">
        <f>- KIMBALL ELEMENTARY</f>
        <v>#NAME?</v>
      </c>
      <c r="M28" s="304">
        <v>7825</v>
      </c>
    </row>
    <row r="29" spans="1:13" x14ac:dyDescent="0.3">
      <c r="A29" s="245">
        <v>5520</v>
      </c>
      <c r="B29" s="245">
        <v>735</v>
      </c>
      <c r="C29">
        <f>VLOOKUP(A29,[5]Sheet3!$1:$1048576,2,FALSE)</f>
        <v>6450</v>
      </c>
      <c r="D29">
        <f>COUNTIF(Proportionality!C:C,A29)</f>
        <v>1</v>
      </c>
      <c r="J29">
        <v>5550</v>
      </c>
      <c r="K29" t="e">
        <f>- M. L. KING ELEMENTARY</f>
        <v>#NAME?</v>
      </c>
      <c r="M29" s="304">
        <v>8675</v>
      </c>
    </row>
    <row r="30" spans="1:13" x14ac:dyDescent="0.3">
      <c r="A30" s="245">
        <v>5530</v>
      </c>
      <c r="B30" s="245">
        <v>735</v>
      </c>
      <c r="C30">
        <f>VLOOKUP(A30,[5]Sheet3!$1:$1048576,2,FALSE)</f>
        <v>9650</v>
      </c>
      <c r="D30">
        <f>COUNTIF(Proportionality!C:C,A30)</f>
        <v>1</v>
      </c>
      <c r="J30">
        <v>5570</v>
      </c>
      <c r="K30" t="e">
        <f>- LANGDON ELEMENTARY</f>
        <v>#NAME?</v>
      </c>
      <c r="M30" s="304">
        <v>10100</v>
      </c>
    </row>
    <row r="31" spans="1:13" x14ac:dyDescent="0.3">
      <c r="A31" s="245">
        <v>5540</v>
      </c>
      <c r="B31" s="245">
        <v>735</v>
      </c>
      <c r="C31">
        <f>VLOOKUP(A31,[5]Sheet3!$1:$1048576,2,FALSE)</f>
        <v>7825</v>
      </c>
      <c r="D31">
        <f>COUNTIF(Proportionality!C:C,A31)</f>
        <v>1</v>
      </c>
      <c r="J31">
        <v>5580</v>
      </c>
      <c r="K31" t="e">
        <f>- LASALLE ELEMENTARY</f>
        <v>#NAME?</v>
      </c>
      <c r="M31" s="304">
        <v>7275</v>
      </c>
    </row>
    <row r="32" spans="1:13" x14ac:dyDescent="0.3">
      <c r="A32" s="245">
        <v>5550</v>
      </c>
      <c r="B32" s="245">
        <v>735</v>
      </c>
      <c r="C32">
        <f>VLOOKUP(A32,[5]Sheet3!$1:$1048576,2,FALSE)</f>
        <v>8675</v>
      </c>
      <c r="D32">
        <f>COUNTIF(Proportionality!C:C,A32)</f>
        <v>1</v>
      </c>
      <c r="J32">
        <v>5590</v>
      </c>
      <c r="K32" t="e">
        <f>- LECKIE ELEMENTARY</f>
        <v>#NAME?</v>
      </c>
      <c r="M32" s="304">
        <v>9050</v>
      </c>
    </row>
    <row r="33" spans="1:13" x14ac:dyDescent="0.3">
      <c r="A33" s="245">
        <v>5560</v>
      </c>
      <c r="B33" s="245">
        <v>735</v>
      </c>
      <c r="C33">
        <f>VLOOKUP(A33,[5]Sheet3!$1:$1048576,2,FALSE)</f>
        <v>17675</v>
      </c>
      <c r="D33">
        <f>COUNTIF(Proportionality!C:C,A33)</f>
        <v>1</v>
      </c>
      <c r="J33">
        <v>5600</v>
      </c>
      <c r="K33" t="e">
        <f>- LUDLOW-TAYLOR ELEMENTARY</f>
        <v>#NAME?</v>
      </c>
      <c r="M33" s="304">
        <v>6500</v>
      </c>
    </row>
    <row r="34" spans="1:13" x14ac:dyDescent="0.3">
      <c r="A34" s="245">
        <v>5570</v>
      </c>
      <c r="B34" s="245">
        <v>735</v>
      </c>
      <c r="C34">
        <f>VLOOKUP(A34,[5]Sheet3!$1:$1048576,2,FALSE)</f>
        <v>10100</v>
      </c>
      <c r="D34">
        <f>COUNTIF(Proportionality!C:C,A34)</f>
        <v>1</v>
      </c>
      <c r="J34">
        <v>5610</v>
      </c>
      <c r="K34" t="e">
        <f>- MALCOLM X ELEMENTARY</f>
        <v>#NAME?</v>
      </c>
      <c r="M34" s="304">
        <v>6525</v>
      </c>
    </row>
    <row r="35" spans="1:13" x14ac:dyDescent="0.3">
      <c r="A35" s="245">
        <v>5580</v>
      </c>
      <c r="B35" s="245">
        <v>735</v>
      </c>
      <c r="C35">
        <f>VLOOKUP(A35,[5]Sheet3!$1:$1048576,2,FALSE)</f>
        <v>7275</v>
      </c>
      <c r="D35">
        <f>COUNTIF(Proportionality!C:C,A35)</f>
        <v>1</v>
      </c>
      <c r="J35">
        <v>5630</v>
      </c>
      <c r="K35" t="e">
        <f>- THURGOOD MARSHALL ELEMENTARY</f>
        <v>#NAME?</v>
      </c>
      <c r="M35" s="304">
        <v>4025</v>
      </c>
    </row>
    <row r="36" spans="1:13" x14ac:dyDescent="0.3">
      <c r="A36" s="245">
        <v>5590</v>
      </c>
      <c r="B36" s="245">
        <v>735</v>
      </c>
      <c r="C36">
        <f>VLOOKUP(A36,[5]Sheet3!$1:$1048576,2,FALSE)</f>
        <v>9050</v>
      </c>
      <c r="D36">
        <f>COUNTIF(Proportionality!C:C,A36)</f>
        <v>1</v>
      </c>
      <c r="J36">
        <v>5640</v>
      </c>
      <c r="K36" t="e">
        <f>- MAURY ELEMENTARY</f>
        <v>#NAME?</v>
      </c>
      <c r="M36" s="304">
        <v>0</v>
      </c>
    </row>
    <row r="37" spans="1:13" x14ac:dyDescent="0.3">
      <c r="A37" s="245">
        <v>5600</v>
      </c>
      <c r="B37" s="245">
        <v>735</v>
      </c>
      <c r="C37">
        <f>VLOOKUP(A37,[5]Sheet3!$1:$1048576,2,FALSE)</f>
        <v>6500</v>
      </c>
      <c r="D37">
        <f>COUNTIF(Proportionality!C:C,A37)</f>
        <v>1</v>
      </c>
      <c r="J37">
        <v>5690</v>
      </c>
      <c r="K37" t="e">
        <f>- MINER ELEMENTARY</f>
        <v>#NAME?</v>
      </c>
      <c r="M37" s="304">
        <v>11800</v>
      </c>
    </row>
    <row r="38" spans="1:13" x14ac:dyDescent="0.3">
      <c r="A38" s="245">
        <v>5610</v>
      </c>
      <c r="B38" s="245">
        <v>735</v>
      </c>
      <c r="C38">
        <f>VLOOKUP(A38,[5]Sheet3!$1:$1048576,2,FALSE)</f>
        <v>6525</v>
      </c>
      <c r="D38">
        <f>COUNTIF(Proportionality!C:C,A38)</f>
        <v>1</v>
      </c>
      <c r="J38">
        <v>5710</v>
      </c>
      <c r="K38" t="e">
        <f>- MOTEN ELEMENTARY</f>
        <v>#NAME?</v>
      </c>
      <c r="M38" s="304">
        <v>7925</v>
      </c>
    </row>
    <row r="39" spans="1:13" x14ac:dyDescent="0.3">
      <c r="A39" s="245">
        <v>5620</v>
      </c>
      <c r="B39" s="245">
        <v>735</v>
      </c>
      <c r="C39">
        <f>VLOOKUP(A39,[5]Sheet3!$1:$1048576,2,FALSE)</f>
        <v>7250</v>
      </c>
      <c r="D39">
        <f>COUNTIF(Proportionality!C:C,A39)</f>
        <v>1</v>
      </c>
      <c r="J39">
        <v>5720</v>
      </c>
      <c r="K39" t="e">
        <f>- MURCH ELEMENTARY</f>
        <v>#NAME?</v>
      </c>
      <c r="M39" s="304">
        <v>0</v>
      </c>
    </row>
    <row r="40" spans="1:13" x14ac:dyDescent="0.3">
      <c r="A40" s="245">
        <v>5630</v>
      </c>
      <c r="B40" s="245">
        <v>735</v>
      </c>
      <c r="C40">
        <f>VLOOKUP(A40,[5]Sheet3!$1:$1048576,2,FALSE)</f>
        <v>4025</v>
      </c>
      <c r="D40">
        <f>COUNTIF(Proportionality!C:C,A40)</f>
        <v>1</v>
      </c>
      <c r="J40">
        <v>5730</v>
      </c>
      <c r="K40" t="e">
        <f>- NALLE ELEMENTARY</f>
        <v>#NAME?</v>
      </c>
      <c r="M40" s="304">
        <v>8200</v>
      </c>
    </row>
    <row r="41" spans="1:13" x14ac:dyDescent="0.3">
      <c r="A41" s="245">
        <v>5640</v>
      </c>
      <c r="B41" s="245">
        <v>735</v>
      </c>
      <c r="C41">
        <f>VLOOKUP(A41,[5]Sheet3!$1:$1048576,2,FALSE)</f>
        <v>7325</v>
      </c>
      <c r="D41">
        <f>COUNTIF(Proportionality!C:C,A41)</f>
        <v>1</v>
      </c>
      <c r="J41">
        <v>5740</v>
      </c>
      <c r="K41" t="e">
        <f>- NOYES ELEMENTARY</f>
        <v>#NAME?</v>
      </c>
      <c r="M41" s="304">
        <v>8925</v>
      </c>
    </row>
    <row r="42" spans="1:13" x14ac:dyDescent="0.3">
      <c r="A42" s="245">
        <v>5690</v>
      </c>
      <c r="B42" s="245">
        <v>735</v>
      </c>
      <c r="C42">
        <f>VLOOKUP(A42,[5]Sheet3!$1:$1048576,2,FALSE)</f>
        <v>11800</v>
      </c>
      <c r="D42">
        <f>COUNTIF(Proportionality!C:C,A42)</f>
        <v>1</v>
      </c>
      <c r="J42">
        <v>5750</v>
      </c>
      <c r="K42" t="e">
        <f>- ORR ELEMENTARY</f>
        <v>#NAME?</v>
      </c>
      <c r="M42" s="304">
        <v>7700</v>
      </c>
    </row>
    <row r="43" spans="1:13" x14ac:dyDescent="0.3">
      <c r="A43" s="245">
        <v>5710</v>
      </c>
      <c r="B43" s="245">
        <v>735</v>
      </c>
      <c r="C43">
        <f>VLOOKUP(A43,[5]Sheet3!$1:$1048576,2,FALSE)</f>
        <v>7925</v>
      </c>
      <c r="D43">
        <f>COUNTIF(Proportionality!C:C,A43)</f>
        <v>1</v>
      </c>
      <c r="J43">
        <v>5760</v>
      </c>
      <c r="K43" t="e">
        <f>- OYSTER ELEMENTARY</f>
        <v>#NAME?</v>
      </c>
      <c r="M43" s="304">
        <v>0</v>
      </c>
    </row>
    <row r="44" spans="1:13" x14ac:dyDescent="0.3">
      <c r="A44" s="245">
        <v>5720</v>
      </c>
      <c r="B44" s="245">
        <v>735</v>
      </c>
      <c r="C44">
        <f>VLOOKUP(A44,[5]Sheet3!$1:$1048576,2,FALSE)</f>
        <v>13900</v>
      </c>
      <c r="D44">
        <f>COUNTIF(Proportionality!C:C,A44)</f>
        <v>1</v>
      </c>
      <c r="J44">
        <v>5780</v>
      </c>
      <c r="K44" t="e">
        <f>- PATTERSON ELEMENTARY</f>
        <v>#NAME?</v>
      </c>
      <c r="M44" s="304">
        <v>8125</v>
      </c>
    </row>
    <row r="45" spans="1:13" x14ac:dyDescent="0.3">
      <c r="A45" s="245">
        <v>5730</v>
      </c>
      <c r="B45" s="245">
        <v>735</v>
      </c>
      <c r="C45">
        <f>VLOOKUP(A45,[5]Sheet3!$1:$1048576,2,FALSE)</f>
        <v>8200</v>
      </c>
      <c r="D45">
        <f>COUNTIF(Proportionality!C:C,A45)</f>
        <v>1</v>
      </c>
      <c r="J45">
        <v>5790</v>
      </c>
      <c r="K45" t="e">
        <f>- PAYNE ELEMENTARY</f>
        <v>#NAME?</v>
      </c>
      <c r="M45" s="304">
        <v>5900</v>
      </c>
    </row>
    <row r="46" spans="1:13" x14ac:dyDescent="0.3">
      <c r="A46" s="245">
        <v>5740</v>
      </c>
      <c r="B46" s="245">
        <v>735</v>
      </c>
      <c r="C46">
        <f>VLOOKUP(A46,[5]Sheet3!$1:$1048576,2,FALSE)</f>
        <v>8925</v>
      </c>
      <c r="D46">
        <f>COUNTIF(Proportionality!C:C,A46)</f>
        <v>1</v>
      </c>
      <c r="J46">
        <v>5820</v>
      </c>
      <c r="K46" t="e">
        <f>- PLUMMER ELEMENTARY</f>
        <v>#NAME?</v>
      </c>
      <c r="M46" s="304">
        <v>5575</v>
      </c>
    </row>
    <row r="47" spans="1:13" x14ac:dyDescent="0.3">
      <c r="A47" s="245">
        <v>5750</v>
      </c>
      <c r="B47" s="245">
        <v>735</v>
      </c>
      <c r="C47">
        <f>VLOOKUP(A47,[5]Sheet3!$1:$1048576,2,FALSE)</f>
        <v>7700</v>
      </c>
      <c r="D47">
        <f>COUNTIF(Proportionality!C:C,A47)</f>
        <v>1</v>
      </c>
      <c r="J47">
        <v>5830</v>
      </c>
      <c r="K47" t="e">
        <f>- POWELL ELEMENTARY</f>
        <v>#NAME?</v>
      </c>
      <c r="M47" s="304">
        <v>7750</v>
      </c>
    </row>
    <row r="48" spans="1:13" x14ac:dyDescent="0.3">
      <c r="A48" s="245">
        <v>5760</v>
      </c>
      <c r="B48" s="245">
        <v>735</v>
      </c>
      <c r="C48">
        <f>VLOOKUP(A48,[5]Sheet3!$1:$1048576,2,FALSE)</f>
        <v>16925</v>
      </c>
      <c r="D48">
        <f>COUNTIF(Proportionality!C:C,A48)</f>
        <v>1</v>
      </c>
      <c r="J48">
        <v>5840</v>
      </c>
      <c r="K48" t="e">
        <f>- RANDLE HIGHLANDS ELEMENTARY</f>
        <v>#NAME?</v>
      </c>
      <c r="M48" s="304">
        <v>9625</v>
      </c>
    </row>
    <row r="49" spans="1:13" x14ac:dyDescent="0.3">
      <c r="A49" s="245">
        <v>5780</v>
      </c>
      <c r="B49" s="245">
        <v>735</v>
      </c>
      <c r="C49">
        <f>VLOOKUP(A49,[5]Sheet3!$1:$1048576,2,FALSE)</f>
        <v>8125</v>
      </c>
      <c r="D49">
        <f>COUNTIF(Proportionality!C:C,A49)</f>
        <v>1</v>
      </c>
      <c r="J49">
        <v>5850</v>
      </c>
      <c r="K49" t="e">
        <f>- RAYMOND ELEMENTARY</f>
        <v>#NAME?</v>
      </c>
      <c r="M49" s="304">
        <v>11100</v>
      </c>
    </row>
    <row r="50" spans="1:13" x14ac:dyDescent="0.3">
      <c r="A50" s="245">
        <v>5790</v>
      </c>
      <c r="B50" s="245">
        <v>735</v>
      </c>
      <c r="C50">
        <f>VLOOKUP(A50,[5]Sheet3!$1:$1048576,2,FALSE)</f>
        <v>5900</v>
      </c>
      <c r="D50">
        <f>COUNTIF(Proportionality!C:C,A50)</f>
        <v>1</v>
      </c>
      <c r="J50">
        <v>5860</v>
      </c>
      <c r="K50" t="e">
        <f>- MARIE REED ELEMENTARY</f>
        <v>#NAME?</v>
      </c>
      <c r="M50" s="304">
        <v>8950</v>
      </c>
    </row>
    <row r="51" spans="1:13" x14ac:dyDescent="0.3">
      <c r="A51" s="245">
        <v>5800</v>
      </c>
      <c r="B51" s="245">
        <v>735</v>
      </c>
      <c r="C51">
        <f>VLOOKUP(A51,[5]Sheet3!$1:$1048576,2,FALSE)</f>
        <v>3750</v>
      </c>
      <c r="D51">
        <f>COUNTIF(Proportionality!C:C,A51)</f>
        <v>1</v>
      </c>
      <c r="J51">
        <v>5900</v>
      </c>
      <c r="K51" t="e">
        <f>- SAVOY ELEMENTARY</f>
        <v>#NAME?</v>
      </c>
      <c r="M51" s="304">
        <v>8650</v>
      </c>
    </row>
    <row r="52" spans="1:13" x14ac:dyDescent="0.3">
      <c r="A52" s="245">
        <v>5810</v>
      </c>
      <c r="B52" s="245">
        <v>735</v>
      </c>
      <c r="C52">
        <f>VLOOKUP(A52,[5]Sheet3!$1:$1048576,2,FALSE)</f>
        <v>2100</v>
      </c>
      <c r="D52">
        <f>COUNTIF(Proportionality!C:C,A52)</f>
        <v>1</v>
      </c>
      <c r="J52">
        <v>5910</v>
      </c>
      <c r="K52" t="e">
        <f>- SEATON ELEMENTARY</f>
        <v>#NAME?</v>
      </c>
      <c r="M52" s="304">
        <v>6625</v>
      </c>
    </row>
    <row r="53" spans="1:13" x14ac:dyDescent="0.3">
      <c r="A53" s="245">
        <v>5820</v>
      </c>
      <c r="B53" s="245">
        <v>735</v>
      </c>
      <c r="C53">
        <f>VLOOKUP(A53,[5]Sheet3!$1:$1048576,2,FALSE)</f>
        <v>5575</v>
      </c>
      <c r="D53">
        <f>COUNTIF(Proportionality!C:C,A53)</f>
        <v>1</v>
      </c>
      <c r="J53">
        <v>5950</v>
      </c>
      <c r="K53" t="e">
        <f>- SIMON ELEMENTARY</f>
        <v>#NAME?</v>
      </c>
      <c r="M53" s="304">
        <v>6300</v>
      </c>
    </row>
    <row r="54" spans="1:13" x14ac:dyDescent="0.3">
      <c r="A54" s="245">
        <v>5830</v>
      </c>
      <c r="B54" s="245">
        <v>735</v>
      </c>
      <c r="C54">
        <f>VLOOKUP(A54,[5]Sheet3!$1:$1048576,2,FALSE)</f>
        <v>7750</v>
      </c>
      <c r="D54">
        <f>COUNTIF(Proportionality!C:C,A54)</f>
        <v>1</v>
      </c>
      <c r="J54">
        <v>5970</v>
      </c>
      <c r="K54" t="e">
        <f>- SMOTHERS ELEMENTARY</f>
        <v>#NAME?</v>
      </c>
      <c r="M54" s="304">
        <v>6150</v>
      </c>
    </row>
    <row r="55" spans="1:13" x14ac:dyDescent="0.3">
      <c r="A55" s="245">
        <v>5840</v>
      </c>
      <c r="B55" s="245">
        <v>735</v>
      </c>
      <c r="C55">
        <f>VLOOKUP(A55,[5]Sheet3!$1:$1048576,2,FALSE)</f>
        <v>9625</v>
      </c>
      <c r="D55">
        <f>COUNTIF(Proportionality!C:C,A55)</f>
        <v>1</v>
      </c>
      <c r="J55">
        <v>5980</v>
      </c>
      <c r="K55" t="e">
        <f>- STANTON ELEMENTARY</f>
        <v>#NAME?</v>
      </c>
      <c r="M55" s="304">
        <v>8900</v>
      </c>
    </row>
    <row r="56" spans="1:13" x14ac:dyDescent="0.3">
      <c r="A56" s="245">
        <v>5850</v>
      </c>
      <c r="B56" s="245">
        <v>735</v>
      </c>
      <c r="C56">
        <f>VLOOKUP(A56,[5]Sheet3!$1:$1048576,2,FALSE)</f>
        <v>11100</v>
      </c>
      <c r="D56">
        <f>COUNTIF(Proportionality!C:C,A56)</f>
        <v>1</v>
      </c>
      <c r="J56">
        <v>6010</v>
      </c>
      <c r="K56" t="e">
        <f>- TAKOMA ELEMENTARY</f>
        <v>#NAME?</v>
      </c>
      <c r="M56" s="304">
        <v>7675</v>
      </c>
    </row>
    <row r="57" spans="1:13" x14ac:dyDescent="0.3">
      <c r="A57" s="245">
        <v>5860</v>
      </c>
      <c r="B57" s="245">
        <v>735</v>
      </c>
      <c r="C57">
        <f>VLOOKUP(A57,[5]Sheet3!$1:$1048576,2,FALSE)</f>
        <v>8950</v>
      </c>
      <c r="D57">
        <f>COUNTIF(Proportionality!C:C,A57)</f>
        <v>1</v>
      </c>
      <c r="J57">
        <v>6020</v>
      </c>
      <c r="K57" t="e">
        <f>- M.C. TERRELL ELEMENTARY</f>
        <v>#NAME?</v>
      </c>
      <c r="M57" s="304">
        <v>5300</v>
      </c>
    </row>
    <row r="58" spans="1:13" x14ac:dyDescent="0.3">
      <c r="A58" s="245">
        <v>5870</v>
      </c>
      <c r="B58" s="245">
        <v>735</v>
      </c>
      <c r="C58">
        <v>0</v>
      </c>
      <c r="D58">
        <f>COUNTIF(Proportionality!C:C,A58)</f>
        <v>1</v>
      </c>
      <c r="J58">
        <v>6030</v>
      </c>
      <c r="K58" t="e">
        <f>- THOMAS ELEMENTARY</f>
        <v>#NAME?</v>
      </c>
      <c r="M58" s="304">
        <v>5875</v>
      </c>
    </row>
    <row r="59" spans="1:13" x14ac:dyDescent="0.3">
      <c r="A59" s="245">
        <v>5880</v>
      </c>
      <c r="B59" s="245">
        <v>735</v>
      </c>
      <c r="C59">
        <f>VLOOKUP(A59,[5]Sheet3!$1:$1048576,2,FALSE)</f>
        <v>3950</v>
      </c>
      <c r="D59">
        <f>COUNTIF(Proportionality!C:C,A59)</f>
        <v>1</v>
      </c>
      <c r="J59">
        <v>6040</v>
      </c>
      <c r="K59" t="e">
        <f>- THOMSON ELEMENTARY</f>
        <v>#NAME?</v>
      </c>
      <c r="M59" s="304">
        <v>8225</v>
      </c>
    </row>
    <row r="60" spans="1:13" x14ac:dyDescent="0.3">
      <c r="A60" s="245">
        <v>5900</v>
      </c>
      <c r="B60" s="245">
        <v>735</v>
      </c>
      <c r="C60">
        <f>VLOOKUP(A60,[5]Sheet3!$1:$1048576,2,FALSE)</f>
        <v>8650</v>
      </c>
      <c r="D60">
        <f>COUNTIF(Proportionality!C:C,A60)</f>
        <v>1</v>
      </c>
      <c r="J60">
        <v>6050</v>
      </c>
      <c r="K60" t="e">
        <f>- TUBMAN ELEMENTARY</f>
        <v>#NAME?</v>
      </c>
      <c r="M60" s="304">
        <v>12300</v>
      </c>
    </row>
    <row r="61" spans="1:13" x14ac:dyDescent="0.3">
      <c r="A61" s="245">
        <v>5910</v>
      </c>
      <c r="B61" s="245">
        <v>735</v>
      </c>
      <c r="C61">
        <f>VLOOKUP(A61,[5]Sheet3!$1:$1048576,2,FALSE)</f>
        <v>6625</v>
      </c>
      <c r="D61">
        <f>COUNTIF(Proportionality!C:C,A61)</f>
        <v>1</v>
      </c>
      <c r="J61">
        <v>6060</v>
      </c>
      <c r="K61" t="e">
        <f>- TURNER ELEMENTARY</f>
        <v>#NAME?</v>
      </c>
      <c r="M61" s="304">
        <v>7625</v>
      </c>
    </row>
    <row r="62" spans="1:13" x14ac:dyDescent="0.3">
      <c r="A62" s="245">
        <v>5940</v>
      </c>
      <c r="B62" s="245">
        <v>735</v>
      </c>
      <c r="C62">
        <f>VLOOKUP(A62,[5]Sheet3!$1:$1048576,2,FALSE)</f>
        <v>8350</v>
      </c>
      <c r="D62">
        <f>COUNTIF(Proportionality!C:C,A62)</f>
        <v>1</v>
      </c>
      <c r="J62">
        <v>6070</v>
      </c>
      <c r="K62" t="e">
        <f>- TRUESDELL ELEMENTARY</f>
        <v>#NAME?</v>
      </c>
      <c r="M62" s="304">
        <v>10775</v>
      </c>
    </row>
    <row r="63" spans="1:13" x14ac:dyDescent="0.3">
      <c r="A63" s="245">
        <v>5950</v>
      </c>
      <c r="B63" s="245">
        <v>735</v>
      </c>
      <c r="C63">
        <f>VLOOKUP(A63,[5]Sheet3!$1:$1048576,2,FALSE)</f>
        <v>6300</v>
      </c>
      <c r="D63">
        <f>COUNTIF(Proportionality!C:C,A63)</f>
        <v>1</v>
      </c>
      <c r="J63">
        <v>6090</v>
      </c>
      <c r="K63" t="e">
        <f>- TYLER ELEMENTARY</f>
        <v>#NAME?</v>
      </c>
      <c r="M63" s="304">
        <v>10150</v>
      </c>
    </row>
    <row r="64" spans="1:13" x14ac:dyDescent="0.3">
      <c r="A64" s="245">
        <v>5970</v>
      </c>
      <c r="B64" s="245">
        <v>735</v>
      </c>
      <c r="C64">
        <f>VLOOKUP(A64,[5]Sheet3!$1:$1048576,2,FALSE)</f>
        <v>6150</v>
      </c>
      <c r="D64">
        <f>COUNTIF(Proportionality!C:C,A64)</f>
        <v>1</v>
      </c>
      <c r="J64">
        <v>6110</v>
      </c>
      <c r="K64" t="e">
        <f>- WALKER-JONES ELEMENTARY</f>
        <v>#NAME?</v>
      </c>
      <c r="M64" s="304">
        <v>10650</v>
      </c>
    </row>
    <row r="65" spans="1:13" x14ac:dyDescent="0.3">
      <c r="A65" s="245">
        <v>5980</v>
      </c>
      <c r="B65" s="245">
        <v>735</v>
      </c>
      <c r="C65">
        <f>VLOOKUP(A65,[5]Sheet3!$1:$1048576,2,FALSE)</f>
        <v>8900</v>
      </c>
      <c r="D65">
        <f>COUNTIF(Proportionality!C:C,A65)</f>
        <v>1</v>
      </c>
      <c r="J65">
        <v>6120</v>
      </c>
      <c r="K65" t="e">
        <f>- WATKINS ELEMENTARY</f>
        <v>#NAME?</v>
      </c>
      <c r="M65" s="304">
        <v>0</v>
      </c>
    </row>
    <row r="66" spans="1:13" x14ac:dyDescent="0.3">
      <c r="A66" s="245">
        <v>6000</v>
      </c>
      <c r="B66" s="245">
        <v>735</v>
      </c>
      <c r="C66">
        <f>VLOOKUP(A66,[5]Sheet3!$1:$1048576,2,FALSE)</f>
        <v>8675</v>
      </c>
      <c r="D66">
        <f>COUNTIF(Proportionality!C:C,A66)</f>
        <v>1</v>
      </c>
      <c r="J66">
        <v>6130</v>
      </c>
      <c r="K66" t="e">
        <f>- WEBB ELEMENTARY</f>
        <v>#NAME?</v>
      </c>
      <c r="M66" s="304">
        <v>12050</v>
      </c>
    </row>
    <row r="67" spans="1:13" x14ac:dyDescent="0.3">
      <c r="A67" s="245">
        <v>6010</v>
      </c>
      <c r="B67" s="245">
        <v>735</v>
      </c>
      <c r="C67">
        <f>VLOOKUP(A67,[5]Sheet3!$1:$1048576,2,FALSE)</f>
        <v>7675</v>
      </c>
      <c r="D67">
        <f>COUNTIF(Proportionality!C:C,A67)</f>
        <v>1</v>
      </c>
      <c r="J67">
        <v>6150</v>
      </c>
      <c r="K67" t="e">
        <f>- WEST ELEMENTARY</f>
        <v>#NAME?</v>
      </c>
      <c r="M67" s="304">
        <v>6100</v>
      </c>
    </row>
    <row r="68" spans="1:13" x14ac:dyDescent="0.3">
      <c r="A68" s="245">
        <v>6020</v>
      </c>
      <c r="B68" s="245">
        <v>735</v>
      </c>
      <c r="C68">
        <f>VLOOKUP(A68,[5]Sheet3!$1:$1048576,2,FALSE)</f>
        <v>5300</v>
      </c>
      <c r="D68">
        <f>COUNTIF(Proportionality!C:C,A68)</f>
        <v>1</v>
      </c>
      <c r="J68">
        <v>6170</v>
      </c>
      <c r="K68" t="e">
        <f>- WHITTIER ELEMENTARY</f>
        <v>#NAME?</v>
      </c>
      <c r="M68" s="304">
        <v>8700</v>
      </c>
    </row>
    <row r="69" spans="1:13" x14ac:dyDescent="0.3">
      <c r="A69" s="245">
        <v>6030</v>
      </c>
      <c r="B69" s="245">
        <v>735</v>
      </c>
      <c r="C69">
        <f>VLOOKUP(A69,[5]Sheet3!$1:$1048576,2,FALSE)</f>
        <v>5875</v>
      </c>
      <c r="D69">
        <f>COUNTIF(Proportionality!C:C,A69)</f>
        <v>1</v>
      </c>
      <c r="J69">
        <v>6190</v>
      </c>
      <c r="K69" t="e">
        <f>- J.O. WILSON ELEMENTARY</f>
        <v>#NAME?</v>
      </c>
      <c r="M69" s="304">
        <v>9550</v>
      </c>
    </row>
    <row r="70" spans="1:13" x14ac:dyDescent="0.3">
      <c r="A70" s="245">
        <v>6040</v>
      </c>
      <c r="B70" s="245">
        <v>735</v>
      </c>
      <c r="C70">
        <f>VLOOKUP(A70,[5]Sheet3!$1:$1048576,2,FALSE)</f>
        <v>8225</v>
      </c>
      <c r="D70">
        <f>COUNTIF(Proportionality!C:C,A70)</f>
        <v>1</v>
      </c>
      <c r="J70">
        <v>6200</v>
      </c>
      <c r="K70" t="e">
        <f>- WINSTON ELEMENTARY</f>
        <v>#NAME?</v>
      </c>
      <c r="M70" s="304">
        <v>7800</v>
      </c>
    </row>
    <row r="71" spans="1:13" x14ac:dyDescent="0.3">
      <c r="A71" s="245">
        <v>6050</v>
      </c>
      <c r="B71" s="245">
        <v>735</v>
      </c>
      <c r="C71">
        <f>VLOOKUP(A71,[5]Sheet3!$1:$1048576,2,FALSE)</f>
        <v>12300</v>
      </c>
      <c r="D71">
        <f>COUNTIF(Proportionality!C:C,A71)</f>
        <v>1</v>
      </c>
      <c r="J71">
        <v>6290</v>
      </c>
      <c r="K71" t="e">
        <f>- MONTESORI SCHOOL</f>
        <v>#NAME?</v>
      </c>
      <c r="M71" s="304">
        <v>5250</v>
      </c>
    </row>
    <row r="72" spans="1:13" x14ac:dyDescent="0.3">
      <c r="A72" s="245">
        <v>6060</v>
      </c>
      <c r="B72" s="245">
        <v>735</v>
      </c>
      <c r="C72">
        <f>VLOOKUP(A72,[5]Sheet3!$1:$1048576,2,FALSE)</f>
        <v>7625</v>
      </c>
      <c r="D72">
        <f>COUNTIF(Proportionality!C:C,A72)</f>
        <v>1</v>
      </c>
      <c r="J72">
        <v>6320</v>
      </c>
      <c r="K72" t="e">
        <f>- BROWNE JUNIOR HIGH</f>
        <v>#NAME?</v>
      </c>
      <c r="M72" s="304">
        <v>9675</v>
      </c>
    </row>
    <row r="73" spans="1:13" x14ac:dyDescent="0.3">
      <c r="A73" s="245">
        <v>6070</v>
      </c>
      <c r="B73" s="245">
        <v>735</v>
      </c>
      <c r="C73">
        <f>VLOOKUP(A73,[5]Sheet3!$1:$1048576,2,FALSE)</f>
        <v>10775</v>
      </c>
      <c r="D73">
        <f>COUNTIF(Proportionality!C:C,A73)</f>
        <v>1</v>
      </c>
      <c r="J73">
        <v>6330</v>
      </c>
      <c r="K73" t="e">
        <f>- DEAL JUNIOR HIGH</f>
        <v>#NAME?</v>
      </c>
      <c r="M73" s="304">
        <v>0</v>
      </c>
    </row>
    <row r="74" spans="1:13" x14ac:dyDescent="0.3">
      <c r="A74" s="245">
        <v>6090</v>
      </c>
      <c r="B74" s="245">
        <v>735</v>
      </c>
      <c r="C74">
        <f>VLOOKUP(A74,[5]Sheet3!$1:$1048576,2,FALSE)</f>
        <v>10150</v>
      </c>
      <c r="D74">
        <f>COUNTIF(Proportionality!C:C,A74)</f>
        <v>1</v>
      </c>
      <c r="J74">
        <v>6340</v>
      </c>
      <c r="K74" t="e">
        <f>- ELIOT JUNIOR HIGH</f>
        <v>#NAME?</v>
      </c>
      <c r="M74" s="304">
        <v>8900</v>
      </c>
    </row>
    <row r="75" spans="1:13" x14ac:dyDescent="0.3">
      <c r="A75" s="245">
        <v>6110</v>
      </c>
      <c r="B75" s="245">
        <v>735</v>
      </c>
      <c r="C75">
        <f>VLOOKUP(A75,[5]Sheet3!$1:$1048576,2,FALSE)</f>
        <v>10650</v>
      </c>
      <c r="D75">
        <f>COUNTIF(Proportionality!C:C,A75)</f>
        <v>1</v>
      </c>
      <c r="J75">
        <v>6360</v>
      </c>
      <c r="K75" t="e">
        <f>- FRANCIS JUNIOR HIGH</f>
        <v>#NAME?</v>
      </c>
      <c r="M75" s="304">
        <v>5925</v>
      </c>
    </row>
    <row r="76" spans="1:13" x14ac:dyDescent="0.3">
      <c r="A76" s="245">
        <v>6120</v>
      </c>
      <c r="B76" s="245">
        <v>735</v>
      </c>
      <c r="C76">
        <f>VLOOKUP(A76,[5]Sheet3!$1:$1048576,2,FALSE)</f>
        <v>13025</v>
      </c>
      <c r="D76">
        <f>COUNTIF(Proportionality!C:C,A76)</f>
        <v>1</v>
      </c>
      <c r="J76">
        <v>6380</v>
      </c>
      <c r="K76" t="e">
        <f>- HARDY MIDDLE</f>
        <v>#NAME?</v>
      </c>
      <c r="M76" s="304">
        <v>10375</v>
      </c>
    </row>
    <row r="77" spans="1:13" x14ac:dyDescent="0.3">
      <c r="A77" s="245">
        <v>6130</v>
      </c>
      <c r="B77" s="245">
        <v>735</v>
      </c>
      <c r="C77">
        <f>VLOOKUP(A77,[5]Sheet3!$1:$1048576,2,FALSE)</f>
        <v>12050</v>
      </c>
      <c r="D77">
        <f>COUNTIF(Proportionality!C:C,A77)</f>
        <v>1</v>
      </c>
      <c r="J77">
        <v>6390</v>
      </c>
      <c r="K77" t="e">
        <f>- HART MIDDLE</f>
        <v>#NAME?</v>
      </c>
      <c r="M77" s="304">
        <v>13350</v>
      </c>
    </row>
    <row r="78" spans="1:13" x14ac:dyDescent="0.3">
      <c r="A78" s="245">
        <v>6150</v>
      </c>
      <c r="B78" s="245">
        <v>735</v>
      </c>
      <c r="C78">
        <f>VLOOKUP(A78,[5]Sheet3!$1:$1048576,2,FALSE)</f>
        <v>6100</v>
      </c>
      <c r="D78">
        <f>COUNTIF(Proportionality!C:C,A78)</f>
        <v>1</v>
      </c>
      <c r="J78">
        <v>6410</v>
      </c>
      <c r="K78" t="e">
        <f>- JEFFERSON JUNIOR HIGH</f>
        <v>#NAME?</v>
      </c>
      <c r="M78" s="304">
        <v>4350</v>
      </c>
    </row>
    <row r="79" spans="1:13" x14ac:dyDescent="0.3">
      <c r="A79" s="245">
        <v>6170</v>
      </c>
      <c r="B79" s="245">
        <v>735</v>
      </c>
      <c r="C79">
        <f>VLOOKUP(A79,[5]Sheet3!$1:$1048576,2,FALSE)</f>
        <v>8700</v>
      </c>
      <c r="D79">
        <f>COUNTIF(Proportionality!C:C,A79)</f>
        <v>1</v>
      </c>
      <c r="J79">
        <v>6420</v>
      </c>
      <c r="K79" t="e">
        <f>- JOHNSON JUNIOR HIGH</f>
        <v>#NAME?</v>
      </c>
      <c r="M79" s="304">
        <v>6325</v>
      </c>
    </row>
    <row r="80" spans="1:13" x14ac:dyDescent="0.3">
      <c r="A80" s="245">
        <v>6190</v>
      </c>
      <c r="B80" s="245">
        <v>735</v>
      </c>
      <c r="C80">
        <f>VLOOKUP(A80,[5]Sheet3!$1:$1048576,2,FALSE)</f>
        <v>9550</v>
      </c>
      <c r="D80">
        <f>COUNTIF(Proportionality!C:C,A80)</f>
        <v>1</v>
      </c>
      <c r="J80">
        <v>6430</v>
      </c>
      <c r="K80" t="e">
        <f>- KRAMER MIDDLE</f>
        <v>#NAME?</v>
      </c>
      <c r="M80" s="304">
        <v>7025</v>
      </c>
    </row>
    <row r="81" spans="1:13" x14ac:dyDescent="0.3">
      <c r="A81" s="245">
        <v>6200</v>
      </c>
      <c r="B81" s="245">
        <v>735</v>
      </c>
      <c r="C81">
        <f>VLOOKUP(A81,[5]Sheet3!$1:$1048576,2,FALSE)</f>
        <v>7800</v>
      </c>
      <c r="D81">
        <f>COUNTIF(Proportionality!C:C,A81)</f>
        <v>1</v>
      </c>
      <c r="J81">
        <v>6450</v>
      </c>
      <c r="K81" t="e">
        <f>- MACFARLAND MIDDLE</f>
        <v>#NAME?</v>
      </c>
      <c r="M81" s="304">
        <v>5025</v>
      </c>
    </row>
    <row r="82" spans="1:13" x14ac:dyDescent="0.3">
      <c r="A82" s="245">
        <v>6290</v>
      </c>
      <c r="B82" s="245">
        <v>735</v>
      </c>
      <c r="C82">
        <f>VLOOKUP(A82,[5]Sheet3!$1:$1048576,2,FALSE)</f>
        <v>5250</v>
      </c>
      <c r="D82">
        <f>COUNTIF(Proportionality!C:C,A82)</f>
        <v>1</v>
      </c>
      <c r="J82">
        <v>6470</v>
      </c>
      <c r="K82" t="e">
        <f>- RON BROWN MIDDLE</f>
        <v>#NAME?</v>
      </c>
      <c r="M82" s="304">
        <v>5750</v>
      </c>
    </row>
    <row r="83" spans="1:13" x14ac:dyDescent="0.3">
      <c r="A83" s="245">
        <v>6320</v>
      </c>
      <c r="B83" s="245">
        <v>735</v>
      </c>
      <c r="C83">
        <f>VLOOKUP(A83,[5]Sheet3!$1:$1048576,2,FALSE)</f>
        <v>9675</v>
      </c>
      <c r="D83">
        <f>COUNTIF(Proportionality!C:C,A83)</f>
        <v>1</v>
      </c>
      <c r="J83">
        <v>6480</v>
      </c>
      <c r="K83" t="e">
        <f>- SHAW JUNIOR HIGH</f>
        <v>#NAME?</v>
      </c>
      <c r="M83" s="304">
        <v>3875</v>
      </c>
    </row>
    <row r="84" spans="1:13" x14ac:dyDescent="0.3">
      <c r="A84" s="245">
        <v>6330</v>
      </c>
      <c r="B84" s="245">
        <v>735</v>
      </c>
      <c r="C84">
        <f>VLOOKUP(A84,[5]Sheet3!$1:$1048576,2,FALSE)</f>
        <v>25349.99</v>
      </c>
      <c r="D84">
        <f>COUNTIF(Proportionality!C:C,A84)</f>
        <v>1</v>
      </c>
      <c r="J84">
        <v>6490</v>
      </c>
      <c r="K84" t="e">
        <f>- SOUSA MIDDLE</f>
        <v>#NAME?</v>
      </c>
      <c r="M84" s="304">
        <v>8725</v>
      </c>
    </row>
    <row r="85" spans="1:13" x14ac:dyDescent="0.3">
      <c r="A85" s="245">
        <v>6340</v>
      </c>
      <c r="B85" s="245">
        <v>735</v>
      </c>
      <c r="C85">
        <f>VLOOKUP(A85,[5]Sheet3!$1:$1048576,2,FALSE)</f>
        <v>8900</v>
      </c>
      <c r="D85">
        <f>COUNTIF(Proportionality!C:C,A85)</f>
        <v>1</v>
      </c>
      <c r="J85">
        <v>6500</v>
      </c>
      <c r="K85" t="e">
        <f>- STUART-HOBSON MIDDLE</f>
        <v>#NAME?</v>
      </c>
      <c r="M85" s="304">
        <v>10100</v>
      </c>
    </row>
    <row r="86" spans="1:13" x14ac:dyDescent="0.3">
      <c r="A86" s="245">
        <v>6360</v>
      </c>
      <c r="B86" s="245">
        <v>735</v>
      </c>
      <c r="C86">
        <f>VLOOKUP(A86,[5]Sheet3!$1:$1048576,2,FALSE)</f>
        <v>5925</v>
      </c>
      <c r="D86">
        <f>COUNTIF(Proportionality!C:C,A86)</f>
        <v>1</v>
      </c>
      <c r="J86">
        <v>6580</v>
      </c>
      <c r="K86" t="e">
        <f>- KELLY MILLER JUNIOR HIGH</f>
        <v>#NAME?</v>
      </c>
      <c r="M86" s="304">
        <v>8225</v>
      </c>
    </row>
    <row r="87" spans="1:13" x14ac:dyDescent="0.3">
      <c r="A87" s="245">
        <v>6390</v>
      </c>
      <c r="B87" s="245">
        <v>735</v>
      </c>
      <c r="C87">
        <f>VLOOKUP(A87,[5]Sheet3!$1:$1048576,2,FALSE)</f>
        <v>13350</v>
      </c>
      <c r="D87">
        <f>COUNTIF(Proportionality!C:C,A87)</f>
        <v>1</v>
      </c>
      <c r="J87">
        <v>7110</v>
      </c>
      <c r="K87" t="e">
        <f>- ANACOSTIA SENIOR HIGH</f>
        <v>#NAME?</v>
      </c>
      <c r="M87" s="304">
        <v>21050</v>
      </c>
    </row>
    <row r="88" spans="1:13" x14ac:dyDescent="0.3">
      <c r="A88" s="245">
        <v>6410</v>
      </c>
      <c r="B88" s="245">
        <v>735</v>
      </c>
      <c r="C88">
        <f>VLOOKUP(A88,[5]Sheet3!$1:$1048576,2,FALSE)</f>
        <v>4350</v>
      </c>
      <c r="D88">
        <f>COUNTIF(Proportionality!C:C,A88)</f>
        <v>1</v>
      </c>
      <c r="J88">
        <v>7120</v>
      </c>
      <c r="K88" t="e">
        <f>- BALLOU SENIOR HIGH</f>
        <v>#NAME?</v>
      </c>
      <c r="M88" s="304">
        <v>24349.199999999997</v>
      </c>
    </row>
    <row r="89" spans="1:13" x14ac:dyDescent="0.3">
      <c r="A89" s="245">
        <v>6420</v>
      </c>
      <c r="B89" s="245">
        <v>735</v>
      </c>
      <c r="C89">
        <f>VLOOKUP(A89,[5]Sheet3!$1:$1048576,2,FALSE)</f>
        <v>6325</v>
      </c>
      <c r="D89">
        <f>COUNTIF(Proportionality!C:C,A89)</f>
        <v>1</v>
      </c>
      <c r="J89">
        <v>7140</v>
      </c>
      <c r="K89" t="e">
        <f>- BANNEKER SENIOR HIGH</f>
        <v>#NAME?</v>
      </c>
      <c r="M89" s="304">
        <v>10325</v>
      </c>
    </row>
    <row r="90" spans="1:13" x14ac:dyDescent="0.3">
      <c r="A90" s="245">
        <v>6430</v>
      </c>
      <c r="B90" s="245">
        <v>735</v>
      </c>
      <c r="C90">
        <f>VLOOKUP(A90,[5]Sheet3!$1:$1048576,2,FALSE)</f>
        <v>7025</v>
      </c>
      <c r="D90">
        <f>COUNTIF(Proportionality!C:C,A90)</f>
        <v>1</v>
      </c>
      <c r="J90">
        <v>7150</v>
      </c>
      <c r="K90" t="e">
        <f>- COLUMBIA HEIGHTS ES</f>
        <v>#NAME?</v>
      </c>
      <c r="M90" s="304">
        <v>30325</v>
      </c>
    </row>
    <row r="91" spans="1:13" x14ac:dyDescent="0.3">
      <c r="A91" s="245">
        <v>6450</v>
      </c>
      <c r="B91" s="245">
        <v>735</v>
      </c>
      <c r="C91">
        <f>VLOOKUP(A91,[5]Sheet3!$1:$1048576,2,FALSE)</f>
        <v>5025</v>
      </c>
      <c r="D91">
        <f>COUNTIF(Proportionality!C:C,A91)</f>
        <v>1</v>
      </c>
      <c r="J91">
        <v>7160</v>
      </c>
      <c r="K91" t="e">
        <f>- CARDOZO SENIOR HIGH</f>
        <v>#NAME?</v>
      </c>
      <c r="M91" s="304">
        <v>12775</v>
      </c>
    </row>
    <row r="92" spans="1:13" x14ac:dyDescent="0.3">
      <c r="A92" s="245">
        <v>6470</v>
      </c>
      <c r="B92" s="245">
        <v>735</v>
      </c>
      <c r="C92">
        <f>VLOOKUP(A92,[5]Sheet3!$1:$1048576,2,FALSE)</f>
        <v>5750</v>
      </c>
      <c r="D92">
        <f>COUNTIF(Proportionality!C:C,A92)</f>
        <v>1</v>
      </c>
      <c r="J92">
        <v>7170</v>
      </c>
      <c r="K92" t="e">
        <f>- COOLIDGE SENIOR HIGH</f>
        <v>#NAME?</v>
      </c>
      <c r="M92" s="304">
        <v>14275</v>
      </c>
    </row>
    <row r="93" spans="1:13" x14ac:dyDescent="0.3">
      <c r="A93" s="245">
        <v>6480</v>
      </c>
      <c r="B93" s="245">
        <v>735</v>
      </c>
      <c r="C93">
        <f>VLOOKUP(A93,[5]Sheet3!$1:$1048576,2,FALSE)</f>
        <v>3875</v>
      </c>
      <c r="D93">
        <f>COUNTIF(Proportionality!C:C,A93)</f>
        <v>1</v>
      </c>
      <c r="J93">
        <v>7180</v>
      </c>
      <c r="K93" t="e">
        <f>- DUNBAR SENIOR HIGH</f>
        <v>#NAME?</v>
      </c>
      <c r="M93" s="304">
        <v>13400</v>
      </c>
    </row>
    <row r="94" spans="1:13" x14ac:dyDescent="0.3">
      <c r="A94" s="245">
        <v>6490</v>
      </c>
      <c r="B94" s="245">
        <v>735</v>
      </c>
      <c r="C94">
        <f>VLOOKUP(A94,[5]Sheet3!$1:$1048576,2,FALSE)</f>
        <v>8725</v>
      </c>
      <c r="D94">
        <f>COUNTIF(Proportionality!C:C,A94)</f>
        <v>1</v>
      </c>
      <c r="J94">
        <v>7200</v>
      </c>
      <c r="K94" t="e">
        <f>- EASTERN SENIOR HIGH</f>
        <v>#NAME?</v>
      </c>
      <c r="M94" s="304">
        <v>7650</v>
      </c>
    </row>
    <row r="95" spans="1:13" x14ac:dyDescent="0.3">
      <c r="A95" s="245">
        <v>6500</v>
      </c>
      <c r="B95" s="245">
        <v>735</v>
      </c>
      <c r="C95">
        <f>VLOOKUP(A95,[5]Sheet3!$1:$1048576,2,FALSE)</f>
        <v>10100</v>
      </c>
      <c r="D95">
        <f>COUNTIF(Proportionality!C:C,A95)</f>
        <v>1</v>
      </c>
      <c r="J95">
        <v>7220</v>
      </c>
      <c r="K95" t="e">
        <f>- LUKE C. MOORE ACADEMY</f>
        <v>#NAME?</v>
      </c>
      <c r="M95" s="304">
        <v>8100</v>
      </c>
    </row>
    <row r="96" spans="1:13" x14ac:dyDescent="0.3">
      <c r="A96" s="245">
        <v>6580</v>
      </c>
      <c r="B96" s="245">
        <v>735</v>
      </c>
      <c r="C96">
        <f>VLOOKUP(A96,[5]Sheet3!$1:$1048576,2,FALSE)</f>
        <v>8225</v>
      </c>
      <c r="D96">
        <f>COUNTIF(Proportionality!C:C,A96)</f>
        <v>1</v>
      </c>
      <c r="J96">
        <v>7230</v>
      </c>
      <c r="K96" t="e">
        <f>- PHELPS SENIOR HIGH</f>
        <v>#NAME?</v>
      </c>
      <c r="M96" s="304">
        <v>8200</v>
      </c>
    </row>
    <row r="97" spans="1:13" x14ac:dyDescent="0.3">
      <c r="A97" s="245">
        <v>7110</v>
      </c>
      <c r="B97" s="245">
        <v>735</v>
      </c>
      <c r="C97">
        <f>VLOOKUP(A97,[5]Sheet3!$1:$1048576,2,FALSE)</f>
        <v>21050</v>
      </c>
      <c r="D97">
        <f>COUNTIF(Proportionality!C:C,A97)</f>
        <v>1</v>
      </c>
      <c r="J97">
        <v>7240</v>
      </c>
      <c r="K97" t="e">
        <f>- ROOSEVELT SENIOR HIGH</f>
        <v>#NAME?</v>
      </c>
      <c r="M97" s="304">
        <v>13825</v>
      </c>
    </row>
    <row r="98" spans="1:13" x14ac:dyDescent="0.3">
      <c r="A98" s="245">
        <v>7120</v>
      </c>
      <c r="B98" s="245">
        <v>735</v>
      </c>
      <c r="C98">
        <f>VLOOKUP(A98,[5]Sheet3!$1:$1048576,2,FALSE)</f>
        <v>25374.999999999996</v>
      </c>
      <c r="D98">
        <f>COUNTIF(Proportionality!C:C,A98)</f>
        <v>1</v>
      </c>
      <c r="J98">
        <v>7260</v>
      </c>
      <c r="K98" t="e">
        <f>- SPINGARN SENIOR HIGH</f>
        <v>#NAME?</v>
      </c>
      <c r="M98" s="304">
        <v>12000</v>
      </c>
    </row>
    <row r="99" spans="1:13" x14ac:dyDescent="0.3">
      <c r="A99" s="245">
        <v>7140</v>
      </c>
      <c r="B99" s="245">
        <v>735</v>
      </c>
      <c r="C99">
        <f>VLOOKUP(A99,[5]Sheet3!$1:$1048576,2,FALSE)</f>
        <v>10325</v>
      </c>
      <c r="D99">
        <f>COUNTIF(Proportionality!C:C,A99)</f>
        <v>1</v>
      </c>
      <c r="J99">
        <v>7280</v>
      </c>
      <c r="K99" t="e">
        <f>- H.D. WOODSON SENIOR HIGH</f>
        <v>#NAME?</v>
      </c>
      <c r="M99" s="304">
        <v>21025</v>
      </c>
    </row>
    <row r="100" spans="1:13" x14ac:dyDescent="0.3">
      <c r="A100" s="245">
        <v>7150</v>
      </c>
      <c r="B100" s="245">
        <v>735</v>
      </c>
      <c r="C100">
        <f>VLOOKUP(A100,[5]Sheet3!$1:$1048576,2,FALSE)</f>
        <v>30325</v>
      </c>
      <c r="D100">
        <f>COUNTIF(Proportionality!C:C,A100)</f>
        <v>1</v>
      </c>
      <c r="J100">
        <v>7300</v>
      </c>
      <c r="K100" t="e">
        <f>- WOODROW WILSON SENIOR HIGH</f>
        <v>#NAME?</v>
      </c>
      <c r="M100" s="304">
        <v>0</v>
      </c>
    </row>
    <row r="101" spans="1:13" x14ac:dyDescent="0.3">
      <c r="A101" s="245">
        <v>7160</v>
      </c>
      <c r="B101" s="245">
        <v>735</v>
      </c>
      <c r="C101">
        <f>VLOOKUP(A101,[5]Sheet3!$1:$1048576,2,FALSE)</f>
        <v>12775</v>
      </c>
      <c r="D101">
        <f>COUNTIF(Proportionality!C:C,A101)</f>
        <v>1</v>
      </c>
      <c r="J101">
        <v>7360</v>
      </c>
      <c r="K101" t="e">
        <f>- MAMIE D LEE</f>
        <v>#NAME?</v>
      </c>
      <c r="M101" s="304">
        <v>2750</v>
      </c>
    </row>
    <row r="102" spans="1:13" x14ac:dyDescent="0.3">
      <c r="A102" s="245">
        <v>7170</v>
      </c>
      <c r="B102" s="245">
        <v>735</v>
      </c>
      <c r="C102">
        <f>VLOOKUP(A102,[5]Sheet3!$1:$1048576,2,FALSE)</f>
        <v>14275</v>
      </c>
      <c r="D102">
        <f>COUNTIF(Proportionality!C:C,A102)</f>
        <v>1</v>
      </c>
      <c r="J102">
        <v>7380</v>
      </c>
      <c r="K102" t="e">
        <f>- PROSPECT</f>
        <v>#NAME?</v>
      </c>
      <c r="M102" s="304">
        <v>2525</v>
      </c>
    </row>
    <row r="103" spans="1:13" x14ac:dyDescent="0.3">
      <c r="A103" s="245">
        <v>7180</v>
      </c>
      <c r="B103" s="245">
        <v>735</v>
      </c>
      <c r="C103">
        <f>VLOOKUP(A103,[5]Sheet3!$1:$1048576,2,FALSE)</f>
        <v>13400</v>
      </c>
      <c r="D103">
        <f>COUNTIF(Proportionality!C:C,A103)</f>
        <v>1</v>
      </c>
      <c r="J103">
        <v>7490</v>
      </c>
      <c r="K103" t="e">
        <f>- WASHINGTON METROPOLITAN HS</f>
        <v>#NAME?</v>
      </c>
      <c r="M103" s="304">
        <v>6575</v>
      </c>
    </row>
    <row r="104" spans="1:13" x14ac:dyDescent="0.3">
      <c r="A104" s="245">
        <v>7200</v>
      </c>
      <c r="B104" s="245">
        <v>735</v>
      </c>
      <c r="C104">
        <f>VLOOKUP(A104,[5]Sheet3!$1:$1048576,2,FALSE)</f>
        <v>7650</v>
      </c>
      <c r="D104">
        <f>COUNTIF(Proportionality!C:C,A104)</f>
        <v>1</v>
      </c>
      <c r="J104">
        <v>7870</v>
      </c>
      <c r="K104" t="e">
        <f>- MCKINLEY HIGH SCHOOL</f>
        <v>#NAME?</v>
      </c>
      <c r="M104" s="304">
        <v>16900</v>
      </c>
    </row>
    <row r="105" spans="1:13" x14ac:dyDescent="0.3">
      <c r="A105" s="245">
        <v>7210</v>
      </c>
      <c r="B105" s="245">
        <v>735</v>
      </c>
      <c r="C105">
        <f>VLOOKUP(A105,[5]Sheet3!$1:$1048576,2,FALSE)</f>
        <v>12925</v>
      </c>
      <c r="D105">
        <f>COUNTIF(Proportionality!C:C,A105)</f>
        <v>1</v>
      </c>
    </row>
    <row r="106" spans="1:13" x14ac:dyDescent="0.3">
      <c r="A106" s="245">
        <v>7220</v>
      </c>
      <c r="B106" s="245">
        <v>735</v>
      </c>
      <c r="C106">
        <f>VLOOKUP(A106,[5]Sheet3!$1:$1048576,2,FALSE)</f>
        <v>8100</v>
      </c>
      <c r="D106">
        <f>COUNTIF(Proportionality!C:C,A106)</f>
        <v>1</v>
      </c>
    </row>
    <row r="107" spans="1:13" x14ac:dyDescent="0.3">
      <c r="A107" s="245">
        <v>7230</v>
      </c>
      <c r="B107" s="245">
        <v>735</v>
      </c>
      <c r="C107">
        <f>VLOOKUP(A107,[5]Sheet3!$1:$1048576,2,FALSE)</f>
        <v>8200</v>
      </c>
      <c r="D107">
        <f>COUNTIF(Proportionality!C:C,A107)</f>
        <v>1</v>
      </c>
    </row>
    <row r="108" spans="1:13" x14ac:dyDescent="0.3">
      <c r="A108" s="245">
        <v>7240</v>
      </c>
      <c r="B108" s="245">
        <v>735</v>
      </c>
      <c r="C108">
        <f>VLOOKUP(A108,[5]Sheet3!$1:$1048576,2,FALSE)</f>
        <v>13825</v>
      </c>
      <c r="D108">
        <f>COUNTIF(Proportionality!C:C,A108)</f>
        <v>1</v>
      </c>
    </row>
    <row r="109" spans="1:13" x14ac:dyDescent="0.3">
      <c r="A109" s="245">
        <v>7250</v>
      </c>
      <c r="B109" s="245">
        <v>735</v>
      </c>
      <c r="C109">
        <f>VLOOKUP(A109,[5]Sheet3!$1:$1048576,2,FALSE)</f>
        <v>13200</v>
      </c>
      <c r="D109">
        <f>COUNTIF(Proportionality!C:C,A109)</f>
        <v>1</v>
      </c>
    </row>
    <row r="110" spans="1:13" x14ac:dyDescent="0.3">
      <c r="A110" s="245">
        <v>7260</v>
      </c>
      <c r="B110" s="245">
        <v>735</v>
      </c>
      <c r="C110">
        <f>VLOOKUP(A110,[5]Sheet3!$1:$1048576,2,FALSE)</f>
        <v>12000</v>
      </c>
      <c r="D110">
        <f>COUNTIF(Proportionality!C:C,A110)</f>
        <v>1</v>
      </c>
    </row>
    <row r="111" spans="1:13" x14ac:dyDescent="0.3">
      <c r="A111" s="245">
        <v>7280</v>
      </c>
      <c r="B111" s="245">
        <v>735</v>
      </c>
      <c r="C111">
        <f>VLOOKUP(A111,[5]Sheet3!$1:$1048576,2,FALSE)</f>
        <v>21025</v>
      </c>
      <c r="D111">
        <f>COUNTIF(Proportionality!C:C,A111)</f>
        <v>1</v>
      </c>
    </row>
    <row r="112" spans="1:13" x14ac:dyDescent="0.3">
      <c r="A112" s="245">
        <v>7300</v>
      </c>
      <c r="B112" s="245">
        <v>735</v>
      </c>
      <c r="C112">
        <f>VLOOKUP(A112,[5]Sheet3!$1:$1048576,2,FALSE)</f>
        <v>41200</v>
      </c>
      <c r="D112">
        <f>COUNTIF(Proportionality!C:C,A112)</f>
        <v>1</v>
      </c>
    </row>
    <row r="113" spans="1:4" x14ac:dyDescent="0.3">
      <c r="A113" s="245">
        <v>7360</v>
      </c>
      <c r="B113" s="245">
        <v>735</v>
      </c>
      <c r="C113">
        <f>VLOOKUP(A113,[5]Sheet3!$1:$1048576,2,FALSE)</f>
        <v>2750</v>
      </c>
      <c r="D113">
        <f>COUNTIF(Proportionality!C:C,A113)</f>
        <v>1</v>
      </c>
    </row>
    <row r="114" spans="1:4" x14ac:dyDescent="0.3">
      <c r="A114" s="245">
        <v>7370</v>
      </c>
      <c r="B114" s="245">
        <v>735</v>
      </c>
      <c r="C114">
        <f>VLOOKUP(A114,[5]Sheet3!$1:$1048576,2,FALSE)</f>
        <v>2275</v>
      </c>
      <c r="D114">
        <f>COUNTIF(Proportionality!C:C,A114)</f>
        <v>1</v>
      </c>
    </row>
    <row r="115" spans="1:4" x14ac:dyDescent="0.3">
      <c r="A115" s="245">
        <v>7380</v>
      </c>
      <c r="B115" s="245">
        <v>735</v>
      </c>
      <c r="C115">
        <f>VLOOKUP(A115,[5]Sheet3!$1:$1048576,2,FALSE)</f>
        <v>4501.53</v>
      </c>
      <c r="D115">
        <f>COUNTIF(Proportionality!C:C,A115)</f>
        <v>1</v>
      </c>
    </row>
    <row r="116" spans="1:4" x14ac:dyDescent="0.3">
      <c r="A116" s="245">
        <v>7480</v>
      </c>
      <c r="B116" s="245">
        <v>735</v>
      </c>
      <c r="C116">
        <v>0</v>
      </c>
      <c r="D116">
        <f>COUNTIF(Proportionality!C:C,A116)</f>
        <v>1</v>
      </c>
    </row>
    <row r="117" spans="1:4" x14ac:dyDescent="0.3">
      <c r="A117" s="245">
        <v>7870</v>
      </c>
      <c r="B117" s="245">
        <v>735</v>
      </c>
      <c r="C117">
        <f>VLOOKUP(A117,[5]Sheet3!$1:$1048576,2,FALSE)</f>
        <v>16900</v>
      </c>
      <c r="D117">
        <f>COUNTIF(Proportionality!C:C,A117)</f>
        <v>1</v>
      </c>
    </row>
    <row r="118" spans="1:4" x14ac:dyDescent="0.3">
      <c r="A118">
        <v>6380</v>
      </c>
      <c r="B118" s="245">
        <v>735</v>
      </c>
      <c r="C118">
        <f>VLOOKUP(A118,[5]Sheet3!$1:$1048576,2,FALSE)</f>
        <v>10375</v>
      </c>
    </row>
    <row r="119" spans="1:4" x14ac:dyDescent="0.3">
      <c r="A119">
        <v>7490</v>
      </c>
      <c r="B119" s="245">
        <v>735</v>
      </c>
      <c r="C119">
        <f>VLOOKUP(A119,[5]Sheet3!$1:$1048576,2,FALSE)</f>
        <v>6575</v>
      </c>
    </row>
    <row r="120" spans="1:4" x14ac:dyDescent="0.3">
      <c r="A120">
        <v>7890</v>
      </c>
      <c r="B120" s="245">
        <v>735</v>
      </c>
      <c r="C120">
        <f>VLOOKUP(A120,[5]Sheet3!$1:$1048576,2,FALSE)</f>
        <v>575</v>
      </c>
    </row>
    <row r="121" spans="1:4" x14ac:dyDescent="0.3">
      <c r="A121">
        <v>7901</v>
      </c>
      <c r="B121" s="245">
        <v>735</v>
      </c>
      <c r="C121">
        <f>VLOOKUP(A121,[5]Sheet3!$1:$1048576,2,FALSE)</f>
        <v>1625</v>
      </c>
    </row>
    <row r="122" spans="1:4" x14ac:dyDescent="0.3">
      <c r="A122" s="245"/>
      <c r="B122" s="245"/>
    </row>
    <row r="123" spans="1:4" x14ac:dyDescent="0.3">
      <c r="A123" s="245"/>
      <c r="B123" s="2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7"/>
  <sheetViews>
    <sheetView workbookViewId="0">
      <selection activeCell="C1" sqref="C1:C11"/>
    </sheetView>
  </sheetViews>
  <sheetFormatPr defaultRowHeight="14.4" x14ac:dyDescent="0.3"/>
  <cols>
    <col min="3" max="3" width="11.5546875" bestFit="1" customWidth="1"/>
  </cols>
  <sheetData>
    <row r="1" spans="1:3" x14ac:dyDescent="0.3">
      <c r="A1" s="245">
        <v>5510</v>
      </c>
      <c r="B1" s="245">
        <v>773</v>
      </c>
      <c r="C1">
        <v>0</v>
      </c>
    </row>
    <row r="2" spans="1:3" x14ac:dyDescent="0.3">
      <c r="A2" s="245">
        <v>5900</v>
      </c>
      <c r="B2" s="245">
        <v>773</v>
      </c>
      <c r="C2">
        <v>0</v>
      </c>
    </row>
    <row r="3" spans="1:3" x14ac:dyDescent="0.3">
      <c r="A3" s="245">
        <v>6280</v>
      </c>
      <c r="B3" s="245">
        <v>773</v>
      </c>
      <c r="C3">
        <v>0</v>
      </c>
    </row>
    <row r="4" spans="1:3" x14ac:dyDescent="0.3">
      <c r="A4" s="245">
        <v>6320</v>
      </c>
      <c r="B4" s="245">
        <v>773</v>
      </c>
      <c r="C4">
        <v>0</v>
      </c>
    </row>
    <row r="5" spans="1:3" x14ac:dyDescent="0.3">
      <c r="A5" s="245">
        <v>6330</v>
      </c>
      <c r="B5" s="245">
        <v>773</v>
      </c>
      <c r="C5">
        <v>0</v>
      </c>
    </row>
    <row r="6" spans="1:3" x14ac:dyDescent="0.3">
      <c r="A6" s="245">
        <v>7180</v>
      </c>
      <c r="B6" s="245">
        <v>773</v>
      </c>
      <c r="C6">
        <v>0</v>
      </c>
    </row>
    <row r="7" spans="1:3" x14ac:dyDescent="0.3">
      <c r="A7" s="245">
        <v>7200</v>
      </c>
      <c r="B7" s="245">
        <v>773</v>
      </c>
      <c r="C7">
        <v>0</v>
      </c>
    </row>
    <row r="8" spans="1:3" x14ac:dyDescent="0.3">
      <c r="A8" s="245">
        <v>7220</v>
      </c>
      <c r="B8" s="245">
        <v>773</v>
      </c>
      <c r="C8">
        <v>0</v>
      </c>
    </row>
    <row r="9" spans="1:3" x14ac:dyDescent="0.3">
      <c r="A9" s="245">
        <v>7260</v>
      </c>
      <c r="B9" s="245">
        <v>773</v>
      </c>
      <c r="C9">
        <v>0</v>
      </c>
    </row>
    <row r="10" spans="1:3" x14ac:dyDescent="0.3">
      <c r="A10" s="245">
        <v>7380</v>
      </c>
      <c r="B10" s="245">
        <v>773</v>
      </c>
      <c r="C10">
        <v>0</v>
      </c>
    </row>
    <row r="11" spans="1:3" x14ac:dyDescent="0.3">
      <c r="A11" s="245">
        <v>7920</v>
      </c>
      <c r="B11" s="245">
        <v>773</v>
      </c>
      <c r="C11">
        <v>0</v>
      </c>
    </row>
    <row r="12" spans="1:3" x14ac:dyDescent="0.3">
      <c r="B12" s="245"/>
      <c r="C12" s="246">
        <f>SUM(C1:C11)</f>
        <v>0</v>
      </c>
    </row>
    <row r="13" spans="1:3" x14ac:dyDescent="0.3">
      <c r="B13" s="245"/>
    </row>
    <row r="14" spans="1:3" x14ac:dyDescent="0.3">
      <c r="B14" s="245"/>
    </row>
    <row r="15" spans="1:3" x14ac:dyDescent="0.3">
      <c r="B15" s="245"/>
    </row>
    <row r="16" spans="1:3" x14ac:dyDescent="0.3">
      <c r="B16" s="245"/>
    </row>
    <row r="17" spans="2:2" x14ac:dyDescent="0.3">
      <c r="B17" s="245"/>
    </row>
    <row r="18" spans="2:2" x14ac:dyDescent="0.3">
      <c r="B18" s="245"/>
    </row>
    <row r="19" spans="2:2" x14ac:dyDescent="0.3">
      <c r="B19" s="245"/>
    </row>
    <row r="20" spans="2:2" x14ac:dyDescent="0.3">
      <c r="B20" s="245"/>
    </row>
    <row r="21" spans="2:2" x14ac:dyDescent="0.3">
      <c r="B21" s="245"/>
    </row>
    <row r="22" spans="2:2" x14ac:dyDescent="0.3">
      <c r="B22" s="245"/>
    </row>
    <row r="23" spans="2:2" x14ac:dyDescent="0.3">
      <c r="B23" s="245"/>
    </row>
    <row r="24" spans="2:2" x14ac:dyDescent="0.3">
      <c r="B24" s="245"/>
    </row>
    <row r="25" spans="2:2" x14ac:dyDescent="0.3">
      <c r="B25" s="245"/>
    </row>
    <row r="26" spans="2:2" x14ac:dyDescent="0.3">
      <c r="B26" s="245"/>
    </row>
    <row r="27" spans="2:2" x14ac:dyDescent="0.3">
      <c r="B27" s="245"/>
    </row>
    <row r="28" spans="2:2" x14ac:dyDescent="0.3">
      <c r="B28" s="245"/>
    </row>
    <row r="29" spans="2:2" x14ac:dyDescent="0.3">
      <c r="B29" s="245"/>
    </row>
    <row r="30" spans="2:2" x14ac:dyDescent="0.3">
      <c r="B30" s="245"/>
    </row>
    <row r="31" spans="2:2" x14ac:dyDescent="0.3">
      <c r="B31" s="245"/>
    </row>
    <row r="32" spans="2:2" x14ac:dyDescent="0.3">
      <c r="B32" s="245"/>
    </row>
    <row r="33" spans="2:2" x14ac:dyDescent="0.3">
      <c r="B33" s="245"/>
    </row>
    <row r="34" spans="2:2" x14ac:dyDescent="0.3">
      <c r="B34" s="245"/>
    </row>
    <row r="35" spans="2:2" x14ac:dyDescent="0.3">
      <c r="B35" s="245"/>
    </row>
    <row r="36" spans="2:2" x14ac:dyDescent="0.3">
      <c r="B36" s="245"/>
    </row>
    <row r="37" spans="2:2" x14ac:dyDescent="0.3">
      <c r="B37" s="245"/>
    </row>
    <row r="38" spans="2:2" x14ac:dyDescent="0.3">
      <c r="B38" s="245"/>
    </row>
    <row r="39" spans="2:2" x14ac:dyDescent="0.3">
      <c r="B39" s="245"/>
    </row>
    <row r="40" spans="2:2" x14ac:dyDescent="0.3">
      <c r="B40" s="245"/>
    </row>
    <row r="41" spans="2:2" x14ac:dyDescent="0.3">
      <c r="B41" s="245"/>
    </row>
    <row r="42" spans="2:2" x14ac:dyDescent="0.3">
      <c r="B42" s="245"/>
    </row>
    <row r="43" spans="2:2" x14ac:dyDescent="0.3">
      <c r="B43" s="245"/>
    </row>
    <row r="44" spans="2:2" x14ac:dyDescent="0.3">
      <c r="B44" s="245"/>
    </row>
    <row r="45" spans="2:2" x14ac:dyDescent="0.3">
      <c r="B45" s="245"/>
    </row>
    <row r="46" spans="2:2" x14ac:dyDescent="0.3">
      <c r="B46" s="245"/>
    </row>
    <row r="47" spans="2:2" x14ac:dyDescent="0.3">
      <c r="B47" s="245"/>
    </row>
    <row r="48" spans="2:2" x14ac:dyDescent="0.3">
      <c r="B48" s="245"/>
    </row>
    <row r="49" spans="2:2" x14ac:dyDescent="0.3">
      <c r="B49" s="245"/>
    </row>
    <row r="50" spans="2:2" x14ac:dyDescent="0.3">
      <c r="B50" s="245"/>
    </row>
    <row r="51" spans="2:2" x14ac:dyDescent="0.3">
      <c r="B51" s="245"/>
    </row>
    <row r="52" spans="2:2" x14ac:dyDescent="0.3">
      <c r="B52" s="245"/>
    </row>
    <row r="53" spans="2:2" x14ac:dyDescent="0.3">
      <c r="B53" s="245"/>
    </row>
    <row r="54" spans="2:2" x14ac:dyDescent="0.3">
      <c r="B54" s="245"/>
    </row>
    <row r="55" spans="2:2" x14ac:dyDescent="0.3">
      <c r="B55" s="245"/>
    </row>
    <row r="56" spans="2:2" x14ac:dyDescent="0.3">
      <c r="B56" s="245"/>
    </row>
    <row r="57" spans="2:2" x14ac:dyDescent="0.3">
      <c r="B57" s="245"/>
    </row>
    <row r="58" spans="2:2" x14ac:dyDescent="0.3">
      <c r="B58" s="245"/>
    </row>
    <row r="59" spans="2:2" x14ac:dyDescent="0.3">
      <c r="B59" s="245"/>
    </row>
    <row r="60" spans="2:2" x14ac:dyDescent="0.3">
      <c r="B60" s="245"/>
    </row>
    <row r="61" spans="2:2" x14ac:dyDescent="0.3">
      <c r="B61" s="245"/>
    </row>
    <row r="62" spans="2:2" x14ac:dyDescent="0.3">
      <c r="B62" s="245"/>
    </row>
    <row r="63" spans="2:2" x14ac:dyDescent="0.3">
      <c r="B63" s="245"/>
    </row>
    <row r="64" spans="2:2" x14ac:dyDescent="0.3">
      <c r="B64" s="245"/>
    </row>
    <row r="65" spans="2:2" x14ac:dyDescent="0.3">
      <c r="B65" s="245"/>
    </row>
    <row r="66" spans="2:2" x14ac:dyDescent="0.3">
      <c r="B66" s="245"/>
    </row>
    <row r="67" spans="2:2" x14ac:dyDescent="0.3">
      <c r="B67" s="245"/>
    </row>
    <row r="68" spans="2:2" x14ac:dyDescent="0.3">
      <c r="B68" s="245"/>
    </row>
    <row r="69" spans="2:2" x14ac:dyDescent="0.3">
      <c r="B69" s="245"/>
    </row>
    <row r="70" spans="2:2" x14ac:dyDescent="0.3">
      <c r="B70" s="245"/>
    </row>
    <row r="71" spans="2:2" x14ac:dyDescent="0.3">
      <c r="B71" s="245"/>
    </row>
    <row r="72" spans="2:2" x14ac:dyDescent="0.3">
      <c r="B72" s="245"/>
    </row>
    <row r="73" spans="2:2" x14ac:dyDescent="0.3">
      <c r="B73" s="245"/>
    </row>
    <row r="74" spans="2:2" x14ac:dyDescent="0.3">
      <c r="B74" s="245"/>
    </row>
    <row r="75" spans="2:2" x14ac:dyDescent="0.3">
      <c r="B75" s="245"/>
    </row>
    <row r="76" spans="2:2" x14ac:dyDescent="0.3">
      <c r="B76" s="245"/>
    </row>
    <row r="77" spans="2:2" x14ac:dyDescent="0.3">
      <c r="B77" s="245"/>
    </row>
    <row r="78" spans="2:2" x14ac:dyDescent="0.3">
      <c r="B78" s="245"/>
    </row>
    <row r="79" spans="2:2" x14ac:dyDescent="0.3">
      <c r="B79" s="245"/>
    </row>
    <row r="80" spans="2:2" x14ac:dyDescent="0.3">
      <c r="B80" s="245"/>
    </row>
    <row r="81" spans="2:2" x14ac:dyDescent="0.3">
      <c r="B81" s="245"/>
    </row>
    <row r="82" spans="2:2" x14ac:dyDescent="0.3">
      <c r="B82" s="245"/>
    </row>
    <row r="83" spans="2:2" x14ac:dyDescent="0.3">
      <c r="B83" s="245"/>
    </row>
    <row r="84" spans="2:2" x14ac:dyDescent="0.3">
      <c r="B84" s="245"/>
    </row>
    <row r="85" spans="2:2" x14ac:dyDescent="0.3">
      <c r="B85" s="245"/>
    </row>
    <row r="86" spans="2:2" x14ac:dyDescent="0.3">
      <c r="B86" s="245"/>
    </row>
    <row r="87" spans="2:2" x14ac:dyDescent="0.3">
      <c r="B87" s="245"/>
    </row>
    <row r="88" spans="2:2" x14ac:dyDescent="0.3">
      <c r="B88" s="245"/>
    </row>
    <row r="89" spans="2:2" x14ac:dyDescent="0.3">
      <c r="B89" s="245"/>
    </row>
    <row r="90" spans="2:2" x14ac:dyDescent="0.3">
      <c r="B90" s="245"/>
    </row>
    <row r="91" spans="2:2" x14ac:dyDescent="0.3">
      <c r="B91" s="245"/>
    </row>
    <row r="92" spans="2:2" x14ac:dyDescent="0.3">
      <c r="B92" s="245"/>
    </row>
    <row r="93" spans="2:2" x14ac:dyDescent="0.3">
      <c r="B93" s="245"/>
    </row>
    <row r="94" spans="2:2" x14ac:dyDescent="0.3">
      <c r="B94" s="245"/>
    </row>
    <row r="95" spans="2:2" x14ac:dyDescent="0.3">
      <c r="B95" s="245"/>
    </row>
    <row r="96" spans="2:2" x14ac:dyDescent="0.3">
      <c r="B96" s="245"/>
    </row>
    <row r="97" spans="2:2" x14ac:dyDescent="0.3">
      <c r="B97" s="245"/>
    </row>
    <row r="98" spans="2:2" x14ac:dyDescent="0.3">
      <c r="B98" s="245"/>
    </row>
    <row r="99" spans="2:2" x14ac:dyDescent="0.3">
      <c r="B99" s="245"/>
    </row>
    <row r="100" spans="2:2" x14ac:dyDescent="0.3">
      <c r="B100" s="245"/>
    </row>
    <row r="101" spans="2:2" x14ac:dyDescent="0.3">
      <c r="B101" s="245"/>
    </row>
    <row r="102" spans="2:2" x14ac:dyDescent="0.3">
      <c r="B102" s="245"/>
    </row>
    <row r="103" spans="2:2" x14ac:dyDescent="0.3">
      <c r="B103" s="245"/>
    </row>
    <row r="104" spans="2:2" x14ac:dyDescent="0.3">
      <c r="B104" s="245"/>
    </row>
    <row r="105" spans="2:2" x14ac:dyDescent="0.3">
      <c r="B105" s="245"/>
    </row>
    <row r="106" spans="2:2" x14ac:dyDescent="0.3">
      <c r="B106" s="245"/>
    </row>
    <row r="107" spans="2:2" x14ac:dyDescent="0.3">
      <c r="B107" s="245"/>
    </row>
    <row r="108" spans="2:2" x14ac:dyDescent="0.3">
      <c r="B108" s="245"/>
    </row>
    <row r="109" spans="2:2" x14ac:dyDescent="0.3">
      <c r="B109" s="245"/>
    </row>
    <row r="110" spans="2:2" x14ac:dyDescent="0.3">
      <c r="B110" s="245"/>
    </row>
    <row r="111" spans="2:2" x14ac:dyDescent="0.3">
      <c r="B111" s="245"/>
    </row>
    <row r="112" spans="2:2" x14ac:dyDescent="0.3">
      <c r="B112" s="245"/>
    </row>
    <row r="113" spans="2:2" x14ac:dyDescent="0.3">
      <c r="B113" s="245"/>
    </row>
    <row r="114" spans="2:2" x14ac:dyDescent="0.3">
      <c r="B114" s="245"/>
    </row>
    <row r="115" spans="2:2" x14ac:dyDescent="0.3">
      <c r="B115" s="245"/>
    </row>
    <row r="116" spans="2:2" x14ac:dyDescent="0.3">
      <c r="B116" s="245"/>
    </row>
    <row r="117" spans="2:2" x14ac:dyDescent="0.3">
      <c r="B117" s="24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C1" sqref="C1:C6"/>
    </sheetView>
  </sheetViews>
  <sheetFormatPr defaultRowHeight="14.4" x14ac:dyDescent="0.3"/>
  <cols>
    <col min="3" max="3" width="11.5546875" bestFit="1" customWidth="1"/>
  </cols>
  <sheetData>
    <row r="1" spans="1:3" x14ac:dyDescent="0.3">
      <c r="A1" s="245">
        <v>5490</v>
      </c>
      <c r="B1" s="245">
        <v>794</v>
      </c>
      <c r="C1">
        <v>0</v>
      </c>
    </row>
    <row r="2" spans="1:3" x14ac:dyDescent="0.3">
      <c r="A2" s="245">
        <v>5950</v>
      </c>
      <c r="B2" s="245">
        <v>794</v>
      </c>
      <c r="C2">
        <v>0</v>
      </c>
    </row>
    <row r="3" spans="1:3" x14ac:dyDescent="0.3">
      <c r="A3" s="245">
        <v>6200</v>
      </c>
      <c r="B3" s="245">
        <v>794</v>
      </c>
      <c r="C3">
        <v>0</v>
      </c>
    </row>
    <row r="4" spans="1:3" x14ac:dyDescent="0.3">
      <c r="A4" s="245">
        <v>6480</v>
      </c>
      <c r="B4" s="245">
        <v>794</v>
      </c>
      <c r="C4">
        <v>0</v>
      </c>
    </row>
    <row r="5" spans="1:3" x14ac:dyDescent="0.3">
      <c r="A5" s="245">
        <v>7170</v>
      </c>
      <c r="B5" s="245">
        <v>794</v>
      </c>
      <c r="C5">
        <v>0</v>
      </c>
    </row>
    <row r="6" spans="1:3" x14ac:dyDescent="0.3">
      <c r="A6" s="245">
        <v>7230</v>
      </c>
      <c r="B6" s="245">
        <v>794</v>
      </c>
      <c r="C6">
        <v>0</v>
      </c>
    </row>
    <row r="7" spans="1:3" x14ac:dyDescent="0.3">
      <c r="C7" s="246">
        <f>SUM(C1:C6)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tabSelected="1" workbookViewId="0">
      <selection activeCell="H16" sqref="H16"/>
    </sheetView>
  </sheetViews>
  <sheetFormatPr defaultRowHeight="14.4" x14ac:dyDescent="0.3"/>
  <cols>
    <col min="2" max="2" width="11.109375" bestFit="1" customWidth="1"/>
    <col min="3" max="3" width="14.33203125" style="246" bestFit="1" customWidth="1"/>
    <col min="4" max="4" width="0" hidden="1" customWidth="1"/>
  </cols>
  <sheetData>
    <row r="1" spans="1:4" x14ac:dyDescent="0.3">
      <c r="A1" t="s">
        <v>6078</v>
      </c>
      <c r="B1" t="s">
        <v>6079</v>
      </c>
      <c r="C1" s="246" t="s">
        <v>6080</v>
      </c>
    </row>
    <row r="2" spans="1:4" x14ac:dyDescent="0.3">
      <c r="A2" s="245">
        <v>5120</v>
      </c>
      <c r="B2" s="245">
        <v>8110</v>
      </c>
      <c r="C2" s="246">
        <f>VLOOKUP(A2,[4]Sheet1!$B$243:$D$318,3,0)</f>
        <v>355951.62</v>
      </c>
      <c r="D2">
        <f>VLOOKUP(A2,Proportionality!$C:$O,13,0)</f>
        <v>355951.62</v>
      </c>
    </row>
    <row r="3" spans="1:4" x14ac:dyDescent="0.3">
      <c r="A3" s="245">
        <v>5130</v>
      </c>
      <c r="B3" s="245">
        <v>8110</v>
      </c>
      <c r="C3" s="246">
        <f>VLOOKUP(A3,[4]Sheet1!$B$243:$D$318,3,0)</f>
        <v>172680.36</v>
      </c>
      <c r="D3">
        <f>VLOOKUP(A3,Proportionality!$C:$O,13,0)</f>
        <v>172680.36</v>
      </c>
    </row>
    <row r="4" spans="1:4" x14ac:dyDescent="0.3">
      <c r="A4" s="245">
        <v>5150</v>
      </c>
      <c r="B4" s="245">
        <v>8110</v>
      </c>
      <c r="C4" s="246">
        <f>VLOOKUP(A4,[4]Sheet1!$B$243:$D$318,3,0)</f>
        <v>559194.9</v>
      </c>
      <c r="D4">
        <f>VLOOKUP(A4,Proportionality!$C:$O,13,0)</f>
        <v>559194.9</v>
      </c>
    </row>
    <row r="5" spans="1:4" x14ac:dyDescent="0.3">
      <c r="A5" s="245">
        <v>5160</v>
      </c>
      <c r="B5" s="245">
        <v>8110</v>
      </c>
      <c r="C5" s="246">
        <f>VLOOKUP(A5,[4]Sheet1!$B$243:$D$318,3,0)</f>
        <v>512111.64999999997</v>
      </c>
      <c r="D5">
        <f>VLOOKUP(A5,Proportionality!$C:$O,13,0)</f>
        <v>512111.64999999997</v>
      </c>
    </row>
    <row r="6" spans="1:4" x14ac:dyDescent="0.3">
      <c r="A6" s="245">
        <v>5200</v>
      </c>
      <c r="B6" s="245">
        <v>8110</v>
      </c>
      <c r="C6" s="246">
        <f>VLOOKUP(A6,[4]Sheet1!$B$243:$D$318,3,0)</f>
        <v>513510.15</v>
      </c>
      <c r="D6">
        <f>VLOOKUP(A6,Proportionality!$C:$O,13,0)</f>
        <v>513510.15</v>
      </c>
    </row>
    <row r="7" spans="1:4" x14ac:dyDescent="0.3">
      <c r="A7" s="245">
        <v>5230</v>
      </c>
      <c r="B7" s="245">
        <v>8110</v>
      </c>
      <c r="C7" s="246">
        <f>VLOOKUP(A7,[4]Sheet1!$B$243:$D$318,3,0)</f>
        <v>902119.89</v>
      </c>
      <c r="D7">
        <f>VLOOKUP(A7,Proportionality!$C:$O,13,0)</f>
        <v>902119.89</v>
      </c>
    </row>
    <row r="8" spans="1:4" x14ac:dyDescent="0.3">
      <c r="A8" s="245">
        <v>5250</v>
      </c>
      <c r="B8" s="245">
        <v>8110</v>
      </c>
      <c r="C8" s="246">
        <f>VLOOKUP(A8,[4]Sheet1!$B$243:$D$318,3,0)</f>
        <v>114940.72</v>
      </c>
      <c r="D8">
        <f>VLOOKUP(A8,Proportionality!$C:$O,13,0)</f>
        <v>114940.72</v>
      </c>
    </row>
    <row r="9" spans="1:4" x14ac:dyDescent="0.3">
      <c r="A9" s="245">
        <v>5260</v>
      </c>
      <c r="B9" s="245">
        <v>8110</v>
      </c>
      <c r="C9" s="246">
        <f>VLOOKUP(A9,[4]Sheet1!$B$243:$D$318,3,0)</f>
        <v>299099.48</v>
      </c>
      <c r="D9">
        <f>VLOOKUP(A9,Proportionality!$C:$O,13,0)</f>
        <v>299099.48</v>
      </c>
    </row>
    <row r="10" spans="1:4" x14ac:dyDescent="0.3">
      <c r="A10" s="245">
        <v>5280</v>
      </c>
      <c r="B10" s="245">
        <v>8110</v>
      </c>
      <c r="C10" s="246">
        <f>VLOOKUP(A10,[4]Sheet1!$B$243:$D$318,3,0)</f>
        <v>224306.36</v>
      </c>
      <c r="D10">
        <f>VLOOKUP(A10,Proportionality!$C:$O,13,0)</f>
        <v>224306.36</v>
      </c>
    </row>
    <row r="11" spans="1:4" x14ac:dyDescent="0.3">
      <c r="A11" s="245">
        <v>5300</v>
      </c>
      <c r="B11" s="245">
        <v>8110</v>
      </c>
      <c r="C11" s="246">
        <f>VLOOKUP(A11,[4]Sheet1!$B$243:$D$318,3,0)</f>
        <v>593754.25</v>
      </c>
      <c r="D11">
        <f>VLOOKUP(A11,Proportionality!$C:$O,13,0)</f>
        <v>593754.25</v>
      </c>
    </row>
    <row r="12" spans="1:4" x14ac:dyDescent="0.3">
      <c r="A12" s="245">
        <v>5310</v>
      </c>
      <c r="B12" s="245">
        <v>8110</v>
      </c>
      <c r="C12" s="246">
        <f>VLOOKUP(A12,[4]Sheet1!$B$243:$D$318,3,0)</f>
        <v>369387.97</v>
      </c>
      <c r="D12">
        <f>VLOOKUP(A12,Proportionality!$C:$O,13,0)</f>
        <v>369387.97</v>
      </c>
    </row>
    <row r="13" spans="1:4" x14ac:dyDescent="0.3">
      <c r="A13" s="245">
        <v>5330</v>
      </c>
      <c r="B13" s="245">
        <v>8110</v>
      </c>
      <c r="C13" s="246">
        <f>VLOOKUP(A13,[4]Sheet1!$B$243:$D$318,3,0)</f>
        <v>315199.74</v>
      </c>
      <c r="D13">
        <f>VLOOKUP(A13,Proportionality!$C:$O,13,0)</f>
        <v>315199.74</v>
      </c>
    </row>
    <row r="14" spans="1:4" x14ac:dyDescent="0.3">
      <c r="A14" s="245">
        <v>5340</v>
      </c>
      <c r="B14" s="245">
        <v>8110</v>
      </c>
      <c r="C14" s="246">
        <f>VLOOKUP(A14,[4]Sheet1!$B$243:$D$318,3,0)</f>
        <v>373678.39</v>
      </c>
      <c r="D14">
        <f>VLOOKUP(A14,Proportionality!$C:$O,13,0)</f>
        <v>373678.39</v>
      </c>
    </row>
    <row r="15" spans="1:4" x14ac:dyDescent="0.3">
      <c r="A15" s="245">
        <v>5350</v>
      </c>
      <c r="B15" s="245">
        <v>8110</v>
      </c>
      <c r="C15" s="246">
        <f>VLOOKUP(A15,[4]Sheet1!$B$243:$D$318,3,0)</f>
        <v>127300.61</v>
      </c>
      <c r="D15">
        <f>VLOOKUP(A15,Proportionality!$C:$O,13,0)</f>
        <v>127300.61</v>
      </c>
    </row>
    <row r="16" spans="1:4" x14ac:dyDescent="0.3">
      <c r="A16" s="245">
        <v>5360</v>
      </c>
      <c r="B16" s="245">
        <v>8110</v>
      </c>
      <c r="C16" s="246">
        <f>VLOOKUP(A16,[4]Sheet1!$B$243:$D$318,3,0)</f>
        <v>302789.08</v>
      </c>
      <c r="D16">
        <f>VLOOKUP(A16,Proportionality!$C:$O,13,0)</f>
        <v>302789.08</v>
      </c>
    </row>
    <row r="17" spans="1:4" x14ac:dyDescent="0.3">
      <c r="A17" s="245">
        <v>5390</v>
      </c>
      <c r="B17" s="245">
        <v>8110</v>
      </c>
      <c r="C17" s="246">
        <f>VLOOKUP(A17,[4]Sheet1!$B$243:$D$318,3,0)</f>
        <v>260630.78</v>
      </c>
      <c r="D17">
        <f>VLOOKUP(A17,Proportionality!$C:$O,13,0)</f>
        <v>260630.78</v>
      </c>
    </row>
    <row r="18" spans="1:4" x14ac:dyDescent="0.3">
      <c r="A18" s="245">
        <v>5400</v>
      </c>
      <c r="B18" s="245">
        <v>8110</v>
      </c>
      <c r="C18" s="246">
        <f>VLOOKUP(A18,[4]Sheet1!$B$243:$D$318,3,0)</f>
        <v>198506.38</v>
      </c>
      <c r="D18">
        <f>VLOOKUP(A18,Proportionality!$C:$O,13,0)</f>
        <v>198506.38</v>
      </c>
    </row>
    <row r="19" spans="1:4" x14ac:dyDescent="0.3">
      <c r="A19" s="245">
        <v>5430</v>
      </c>
      <c r="B19" s="245">
        <v>8110</v>
      </c>
      <c r="C19" s="246">
        <f>VLOOKUP(A19,[4]Sheet1!$B$243:$D$318,3,0)</f>
        <v>348186.88</v>
      </c>
      <c r="D19">
        <f>VLOOKUP(A19,Proportionality!$C:$O,13,0)</f>
        <v>348186.88</v>
      </c>
    </row>
    <row r="20" spans="1:4" x14ac:dyDescent="0.3">
      <c r="A20" s="245">
        <v>5450</v>
      </c>
      <c r="B20" s="245">
        <v>8110</v>
      </c>
      <c r="C20" s="246">
        <f>VLOOKUP(A20,[4]Sheet1!$B$243:$D$318,3,0)</f>
        <v>363703.58999999997</v>
      </c>
      <c r="D20">
        <f>VLOOKUP(A20,Proportionality!$C:$O,13,0)</f>
        <v>363703.58999999997</v>
      </c>
    </row>
    <row r="21" spans="1:4" x14ac:dyDescent="0.3">
      <c r="A21" s="245">
        <v>5460</v>
      </c>
      <c r="B21" s="245">
        <v>8110</v>
      </c>
      <c r="C21" s="246">
        <f>VLOOKUP(A21,[4]Sheet1!$B$243:$D$318,3,0)</f>
        <v>238883.58000000002</v>
      </c>
      <c r="D21">
        <f>VLOOKUP(A21,Proportionality!$C:$O,13,0)</f>
        <v>238883.58000000002</v>
      </c>
    </row>
    <row r="22" spans="1:4" x14ac:dyDescent="0.3">
      <c r="A22" s="245">
        <v>5480</v>
      </c>
      <c r="B22" s="245">
        <v>8110</v>
      </c>
      <c r="C22" s="246">
        <f>VLOOKUP(A22,[4]Sheet1!$B$243:$D$318,3,0)</f>
        <v>312376.40999999997</v>
      </c>
      <c r="D22">
        <f>VLOOKUP(A22,Proportionality!$C:$O,13,0)</f>
        <v>312376.40999999997</v>
      </c>
    </row>
    <row r="23" spans="1:4" x14ac:dyDescent="0.3">
      <c r="A23" s="245">
        <v>5490</v>
      </c>
      <c r="B23" s="245">
        <v>8110</v>
      </c>
      <c r="C23" s="246">
        <f>VLOOKUP(A23,[4]Sheet1!$B$243:$D$318,3,0)</f>
        <v>369662.77999999997</v>
      </c>
      <c r="D23">
        <f>VLOOKUP(A23,Proportionality!$C:$O,13,0)</f>
        <v>369662.77999999997</v>
      </c>
    </row>
    <row r="24" spans="1:4" x14ac:dyDescent="0.3">
      <c r="A24" s="245">
        <v>5500</v>
      </c>
      <c r="B24" s="245">
        <v>8110</v>
      </c>
      <c r="C24" s="246">
        <f>VLOOKUP(A24,[4]Sheet1!$B$243:$D$318,3,0)</f>
        <v>239925.09</v>
      </c>
      <c r="D24">
        <f>VLOOKUP(A24,Proportionality!$C:$O,13,0)</f>
        <v>239925.09</v>
      </c>
    </row>
    <row r="25" spans="1:4" x14ac:dyDescent="0.3">
      <c r="A25" s="245">
        <v>5510</v>
      </c>
      <c r="B25" s="245">
        <v>8110</v>
      </c>
      <c r="C25" s="246">
        <f>VLOOKUP(A25,[4]Sheet1!$B$243:$D$318,3,0)</f>
        <v>333291.71999999997</v>
      </c>
      <c r="D25">
        <f>VLOOKUP(A25,Proportionality!$C:$O,13,0)</f>
        <v>333291.71999999997</v>
      </c>
    </row>
    <row r="26" spans="1:4" x14ac:dyDescent="0.3">
      <c r="A26" s="245">
        <v>5520</v>
      </c>
      <c r="B26" s="245">
        <v>8110</v>
      </c>
      <c r="C26" s="246">
        <f>VLOOKUP(A26,[4]Sheet1!$B$243:$D$318,3,0)</f>
        <v>294220.14</v>
      </c>
      <c r="D26">
        <f>VLOOKUP(A26,Proportionality!$C:$O,13,0)</f>
        <v>294220.14</v>
      </c>
    </row>
    <row r="27" spans="1:4" x14ac:dyDescent="0.3">
      <c r="A27" s="245">
        <v>5530</v>
      </c>
      <c r="B27" s="245">
        <v>8110</v>
      </c>
      <c r="C27" s="246">
        <f>VLOOKUP(A27,[4]Sheet1!$B$243:$D$318,3,0)</f>
        <v>282308.70999999996</v>
      </c>
      <c r="D27">
        <f>VLOOKUP(A27,Proportionality!$C:$O,13,0)</f>
        <v>282308.70999999996</v>
      </c>
    </row>
    <row r="28" spans="1:4" x14ac:dyDescent="0.3">
      <c r="A28" s="245">
        <v>5540</v>
      </c>
      <c r="B28" s="245">
        <v>8110</v>
      </c>
      <c r="C28" s="246">
        <f>VLOOKUP(A28,[4]Sheet1!$B$243:$D$318,3,0)</f>
        <v>373082.23</v>
      </c>
      <c r="D28">
        <f>VLOOKUP(A28,Proportionality!$C:$O,13,0)</f>
        <v>373082.23</v>
      </c>
    </row>
    <row r="29" spans="1:4" x14ac:dyDescent="0.3">
      <c r="A29" s="245">
        <v>5550</v>
      </c>
      <c r="B29" s="245">
        <v>8110</v>
      </c>
      <c r="C29" s="246">
        <f>VLOOKUP(A29,[4]Sheet1!$B$243:$D$318,3,0)</f>
        <v>355189.16</v>
      </c>
      <c r="D29">
        <f>VLOOKUP(A29,Proportionality!$C:$O,13,0)</f>
        <v>355189.16</v>
      </c>
    </row>
    <row r="30" spans="1:4" x14ac:dyDescent="0.3">
      <c r="A30" s="245">
        <v>5560</v>
      </c>
      <c r="B30" s="245">
        <v>8110</v>
      </c>
      <c r="C30" s="246">
        <f>VLOOKUP(A30,[4]Sheet1!$B$243:$D$318,3,0)</f>
        <v>377272.14999999997</v>
      </c>
      <c r="D30">
        <f>VLOOKUP(A30,Proportionality!$C:$O,13,0)</f>
        <v>377272.14999999997</v>
      </c>
    </row>
    <row r="31" spans="1:4" x14ac:dyDescent="0.3">
      <c r="A31" s="245">
        <v>5570</v>
      </c>
      <c r="B31" s="245">
        <v>8110</v>
      </c>
      <c r="C31" s="246">
        <f>VLOOKUP(A31,[4]Sheet1!$B$243:$D$318,3,0)</f>
        <v>429077.80000000005</v>
      </c>
      <c r="D31">
        <f>VLOOKUP(A31,Proportionality!$C:$O,13,0)</f>
        <v>429077.80000000005</v>
      </c>
    </row>
    <row r="32" spans="1:4" x14ac:dyDescent="0.3">
      <c r="A32" s="245">
        <v>5580</v>
      </c>
      <c r="B32" s="245">
        <v>8110</v>
      </c>
      <c r="C32" s="246">
        <f>VLOOKUP(A32,[4]Sheet1!$B$243:$D$318,3,0)</f>
        <v>272325.17</v>
      </c>
      <c r="D32">
        <f>VLOOKUP(A32,Proportionality!$C:$O,13,0)</f>
        <v>272325.17</v>
      </c>
    </row>
    <row r="33" spans="1:4" x14ac:dyDescent="0.3">
      <c r="A33" s="245">
        <v>5590</v>
      </c>
      <c r="B33" s="245">
        <v>8110</v>
      </c>
      <c r="C33" s="246">
        <f>VLOOKUP(A33,[4]Sheet1!$B$243:$D$318,3,0)</f>
        <v>209126.52</v>
      </c>
      <c r="D33">
        <f>VLOOKUP(A33,Proportionality!$C:$O,13,0)</f>
        <v>209126.52</v>
      </c>
    </row>
    <row r="34" spans="1:4" x14ac:dyDescent="0.3">
      <c r="A34" s="245">
        <v>5610</v>
      </c>
      <c r="B34" s="245">
        <v>8110</v>
      </c>
      <c r="C34" s="246">
        <f>VLOOKUP(A34,[4]Sheet1!$B$243:$D$318,3,0)</f>
        <v>276568.08</v>
      </c>
      <c r="D34">
        <f>VLOOKUP(A34,Proportionality!$C:$O,13,0)</f>
        <v>276568.08</v>
      </c>
    </row>
    <row r="35" spans="1:4" x14ac:dyDescent="0.3">
      <c r="A35" s="245">
        <v>5620</v>
      </c>
      <c r="B35" s="245">
        <v>8110</v>
      </c>
      <c r="C35" s="246">
        <f>VLOOKUP(A35,[4]Sheet1!$B$243:$D$318,3,0)</f>
        <v>352164.68</v>
      </c>
      <c r="D35">
        <f>VLOOKUP(A35,Proportionality!$C:$O,13,0)</f>
        <v>352164.68</v>
      </c>
    </row>
    <row r="36" spans="1:4" x14ac:dyDescent="0.3">
      <c r="A36" s="245">
        <v>5640</v>
      </c>
      <c r="B36" s="245">
        <v>8110</v>
      </c>
      <c r="C36" s="246">
        <f>VLOOKUP(A36,[4]Sheet1!$B$243:$D$318,3,0)</f>
        <v>232726.92</v>
      </c>
      <c r="D36">
        <f>VLOOKUP(A36,Proportionality!$C:$O,13,0)</f>
        <v>232726.92</v>
      </c>
    </row>
    <row r="37" spans="1:4" x14ac:dyDescent="0.3">
      <c r="A37" s="245">
        <v>5690</v>
      </c>
      <c r="B37" s="245">
        <v>8110</v>
      </c>
      <c r="C37" s="246">
        <f>VLOOKUP(A37,[4]Sheet1!$B$243:$D$318,3,0)</f>
        <v>287706.78000000003</v>
      </c>
      <c r="D37">
        <f>VLOOKUP(A37,Proportionality!$C:$O,13,0)</f>
        <v>287706.78000000003</v>
      </c>
    </row>
    <row r="38" spans="1:4" x14ac:dyDescent="0.3">
      <c r="A38" s="245">
        <v>5710</v>
      </c>
      <c r="B38" s="245">
        <v>8110</v>
      </c>
      <c r="C38" s="246">
        <f>VLOOKUP(A38,[4]Sheet1!$B$243:$D$318,3,0)</f>
        <v>196957.65</v>
      </c>
      <c r="D38">
        <f>VLOOKUP(A38,Proportionality!$C:$O,13,0)</f>
        <v>196957.65</v>
      </c>
    </row>
    <row r="39" spans="1:4" x14ac:dyDescent="0.3">
      <c r="A39" s="245">
        <v>5720</v>
      </c>
      <c r="B39" s="245">
        <v>8110</v>
      </c>
      <c r="C39" s="246">
        <f>VLOOKUP(A39,[4]Sheet1!$B$243:$D$318,3,0)</f>
        <v>65759.39</v>
      </c>
      <c r="D39">
        <f>VLOOKUP(A39,Proportionality!$C:$O,13,0)</f>
        <v>65759.39</v>
      </c>
    </row>
    <row r="40" spans="1:4" x14ac:dyDescent="0.3">
      <c r="A40" s="245">
        <v>5730</v>
      </c>
      <c r="B40" s="245">
        <v>8110</v>
      </c>
      <c r="C40" s="246">
        <f>VLOOKUP(A40,[4]Sheet1!$B$243:$D$318,3,0)</f>
        <v>290680.51</v>
      </c>
      <c r="D40">
        <f>VLOOKUP(A40,Proportionality!$C:$O,13,0)</f>
        <v>290680.51</v>
      </c>
    </row>
    <row r="41" spans="1:4" x14ac:dyDescent="0.3">
      <c r="A41" s="245">
        <v>5760</v>
      </c>
      <c r="B41" s="245">
        <v>8110</v>
      </c>
      <c r="C41" s="246">
        <f>VLOOKUP(A41,[4]Sheet1!$B$243:$D$318,3,0)</f>
        <v>607550.4</v>
      </c>
      <c r="D41">
        <f>VLOOKUP(A41,Proportionality!$C:$O,13,0)</f>
        <v>607550.4</v>
      </c>
    </row>
    <row r="42" spans="1:4" x14ac:dyDescent="0.3">
      <c r="A42" s="245">
        <v>5780</v>
      </c>
      <c r="B42" s="245">
        <v>8110</v>
      </c>
      <c r="C42" s="246">
        <f>VLOOKUP(A42,[4]Sheet1!$B$243:$D$318,3,0)</f>
        <v>392400.26999999996</v>
      </c>
      <c r="D42">
        <f>VLOOKUP(A42,Proportionality!$C:$O,13,0)</f>
        <v>392400.26999999996</v>
      </c>
    </row>
    <row r="43" spans="1:4" x14ac:dyDescent="0.3">
      <c r="A43" s="245">
        <v>5790</v>
      </c>
      <c r="B43" s="245">
        <v>8110</v>
      </c>
      <c r="C43" s="246">
        <f>VLOOKUP(A43,[4]Sheet1!$B$243:$D$318,3,0)</f>
        <v>278994.83</v>
      </c>
      <c r="D43">
        <f>VLOOKUP(A43,Proportionality!$C:$O,13,0)</f>
        <v>278994.83</v>
      </c>
    </row>
    <row r="44" spans="1:4" x14ac:dyDescent="0.3">
      <c r="A44" s="245">
        <v>5820</v>
      </c>
      <c r="B44" s="245">
        <v>8110</v>
      </c>
      <c r="C44" s="246">
        <f>VLOOKUP(A44,[4]Sheet1!$B$243:$D$318,3,0)</f>
        <v>176836.15</v>
      </c>
      <c r="D44">
        <f>VLOOKUP(A44,Proportionality!$C:$O,13,0)</f>
        <v>176836.15</v>
      </c>
    </row>
    <row r="45" spans="1:4" x14ac:dyDescent="0.3">
      <c r="A45" s="245">
        <v>5830</v>
      </c>
      <c r="B45" s="245">
        <v>8110</v>
      </c>
      <c r="C45" s="246">
        <f>VLOOKUP(A45,[4]Sheet1!$B$243:$D$318,3,0)</f>
        <v>112099.45999999999</v>
      </c>
      <c r="D45">
        <f>VLOOKUP(A45,Proportionality!$C:$O,13,0)</f>
        <v>112099.45999999999</v>
      </c>
    </row>
    <row r="46" spans="1:4" x14ac:dyDescent="0.3">
      <c r="A46" s="245">
        <v>5850</v>
      </c>
      <c r="B46" s="245">
        <v>8110</v>
      </c>
      <c r="C46" s="246">
        <f>VLOOKUP(A46,[4]Sheet1!$B$243:$D$318,3,0)</f>
        <v>331691.28000000003</v>
      </c>
      <c r="D46">
        <f>VLOOKUP(A46,Proportionality!$C:$O,13,0)</f>
        <v>331691.28000000003</v>
      </c>
    </row>
    <row r="47" spans="1:4" x14ac:dyDescent="0.3">
      <c r="A47" s="245">
        <v>5860</v>
      </c>
      <c r="B47" s="245">
        <v>8110</v>
      </c>
      <c r="C47" s="246">
        <f>VLOOKUP(A47,[4]Sheet1!$B$243:$D$318,3,0)</f>
        <v>613432.19999999995</v>
      </c>
      <c r="D47">
        <f>VLOOKUP(A47,Proportionality!$C:$O,13,0)</f>
        <v>613432.19999999995</v>
      </c>
    </row>
    <row r="48" spans="1:4" x14ac:dyDescent="0.3">
      <c r="A48" s="245">
        <v>5970</v>
      </c>
      <c r="B48" s="245">
        <v>8110</v>
      </c>
      <c r="C48" s="246">
        <f>VLOOKUP(A48,[4]Sheet1!$B$243:$D$318,3,0)</f>
        <v>110070.99</v>
      </c>
      <c r="D48">
        <f>VLOOKUP(A48,Proportionality!$C:$O,13,0)</f>
        <v>110070.99</v>
      </c>
    </row>
    <row r="49" spans="1:4" x14ac:dyDescent="0.3">
      <c r="A49" s="245">
        <v>6010</v>
      </c>
      <c r="B49" s="245">
        <v>8110</v>
      </c>
      <c r="C49" s="246">
        <f>VLOOKUP(A49,[4]Sheet1!$B$243:$D$318,3,0)</f>
        <v>270061.32999999996</v>
      </c>
      <c r="D49">
        <f>VLOOKUP(A49,Proportionality!$C:$O,13,0)</f>
        <v>270061.32999999996</v>
      </c>
    </row>
    <row r="50" spans="1:4" x14ac:dyDescent="0.3">
      <c r="A50" s="245">
        <v>6040</v>
      </c>
      <c r="B50" s="245">
        <v>8110</v>
      </c>
      <c r="C50" s="246">
        <f>VLOOKUP(A50,[4]Sheet1!$B$243:$D$318,3,0)</f>
        <v>559364.93999999994</v>
      </c>
      <c r="D50">
        <f>VLOOKUP(A50,Proportionality!$C:$O,13,0)</f>
        <v>559364.93999999994</v>
      </c>
    </row>
    <row r="51" spans="1:4" x14ac:dyDescent="0.3">
      <c r="A51" s="245">
        <v>6060</v>
      </c>
      <c r="B51" s="245">
        <v>8110</v>
      </c>
      <c r="C51" s="246">
        <f>VLOOKUP(A51,[4]Sheet1!$B$243:$D$318,3,0)</f>
        <v>184281.18</v>
      </c>
      <c r="D51">
        <f>VLOOKUP(A51,Proportionality!$C:$O,13,0)</f>
        <v>184281.18</v>
      </c>
    </row>
    <row r="52" spans="1:4" x14ac:dyDescent="0.3">
      <c r="A52" s="245">
        <v>6070</v>
      </c>
      <c r="B52" s="245">
        <v>8110</v>
      </c>
      <c r="C52" s="246">
        <f>VLOOKUP(A52,[4]Sheet1!$B$243:$D$318,3,0)</f>
        <v>57321.46</v>
      </c>
      <c r="D52">
        <f>VLOOKUP(A52,Proportionality!$C:$O,13,0)</f>
        <v>57321.46</v>
      </c>
    </row>
    <row r="53" spans="1:4" x14ac:dyDescent="0.3">
      <c r="A53" s="245">
        <v>6090</v>
      </c>
      <c r="B53" s="245">
        <v>8110</v>
      </c>
      <c r="C53" s="246">
        <f>VLOOKUP(A53,[4]Sheet1!$B$243:$D$318,3,0)</f>
        <v>164074.83000000002</v>
      </c>
      <c r="D53">
        <f>VLOOKUP(A53,Proportionality!$C:$O,13,0)</f>
        <v>164074.83000000002</v>
      </c>
    </row>
    <row r="54" spans="1:4" x14ac:dyDescent="0.3">
      <c r="A54" s="245">
        <v>6110</v>
      </c>
      <c r="B54" s="245">
        <v>8110</v>
      </c>
      <c r="C54" s="246">
        <f>VLOOKUP(A54,[4]Sheet1!$B$243:$D$318,3,0)</f>
        <v>118491.99</v>
      </c>
      <c r="D54">
        <f>VLOOKUP(A54,Proportionality!$C:$O,13,0)</f>
        <v>118491.99</v>
      </c>
    </row>
    <row r="55" spans="1:4" x14ac:dyDescent="0.3">
      <c r="A55" s="245">
        <v>6170</v>
      </c>
      <c r="B55" s="245">
        <v>8110</v>
      </c>
      <c r="C55" s="246">
        <f>VLOOKUP(A55,[4]Sheet1!$B$243:$D$318,3,0)</f>
        <v>180254.76</v>
      </c>
      <c r="D55">
        <f>VLOOKUP(A55,Proportionality!$C:$O,13,0)</f>
        <v>180254.76</v>
      </c>
    </row>
    <row r="56" spans="1:4" x14ac:dyDescent="0.3">
      <c r="A56" s="245">
        <v>6320</v>
      </c>
      <c r="B56" s="245">
        <v>8110</v>
      </c>
      <c r="C56" s="246">
        <f>VLOOKUP(A56,[4]Sheet1!$B$243:$D$318,3,0)</f>
        <v>151325.47999999998</v>
      </c>
      <c r="D56">
        <f>VLOOKUP(A56,Proportionality!$C:$O,13,0)</f>
        <v>151325.47999999998</v>
      </c>
    </row>
    <row r="57" spans="1:4" x14ac:dyDescent="0.3">
      <c r="A57" s="245">
        <v>6330</v>
      </c>
      <c r="B57" s="245">
        <v>8110</v>
      </c>
      <c r="C57" s="246">
        <f>VLOOKUP(A57,[4]Sheet1!$B$243:$D$318,3,0)</f>
        <v>264877.71999999997</v>
      </c>
      <c r="D57">
        <f>VLOOKUP(A57,Proportionality!$C:$O,13,0)</f>
        <v>264877.71999999997</v>
      </c>
    </row>
    <row r="58" spans="1:4" x14ac:dyDescent="0.3">
      <c r="A58" s="245">
        <v>6340</v>
      </c>
      <c r="B58" s="245">
        <v>8110</v>
      </c>
      <c r="C58" s="246">
        <f>VLOOKUP(A58,[4]Sheet1!$B$243:$D$318,3,0)</f>
        <v>114940.72</v>
      </c>
      <c r="D58">
        <f>VLOOKUP(A58,Proportionality!$C:$O,13,0)</f>
        <v>114940.72</v>
      </c>
    </row>
    <row r="59" spans="1:4" x14ac:dyDescent="0.3">
      <c r="A59" s="245">
        <v>6360</v>
      </c>
      <c r="B59" s="245">
        <v>8110</v>
      </c>
      <c r="C59" s="246">
        <f>VLOOKUP(A59,[4]Sheet1!$B$243:$D$318,3,0)</f>
        <v>287203.62</v>
      </c>
      <c r="D59">
        <f>VLOOKUP(A59,Proportionality!$C:$O,13,0)</f>
        <v>287203.62</v>
      </c>
    </row>
    <row r="60" spans="1:4" x14ac:dyDescent="0.3">
      <c r="A60" s="245">
        <v>6380</v>
      </c>
      <c r="B60" s="245">
        <v>8110</v>
      </c>
      <c r="C60" s="246">
        <f>VLOOKUP(A60,[4]Sheet1!$B$243:$D$318,3,0)</f>
        <v>274170.7</v>
      </c>
      <c r="D60">
        <f>VLOOKUP(A60,Proportionality!$C:$O,13,0)</f>
        <v>274170.7</v>
      </c>
    </row>
    <row r="61" spans="1:4" x14ac:dyDescent="0.3">
      <c r="A61" s="245">
        <v>6390</v>
      </c>
      <c r="B61" s="245">
        <v>8110</v>
      </c>
      <c r="C61" s="246">
        <f>VLOOKUP(A61,[4]Sheet1!$B$243:$D$318,3,0)</f>
        <v>145971.87</v>
      </c>
      <c r="D61">
        <f>VLOOKUP(A61,Proportionality!$C:$O,13,0)</f>
        <v>145971.87</v>
      </c>
    </row>
    <row r="62" spans="1:4" x14ac:dyDescent="0.3">
      <c r="A62" s="245">
        <v>6450</v>
      </c>
      <c r="B62" s="245">
        <v>8110</v>
      </c>
      <c r="C62" s="246">
        <f>VLOOKUP(A62,[4]Sheet1!$B$243:$D$318,3,0)</f>
        <v>82097.66</v>
      </c>
      <c r="D62">
        <f>VLOOKUP(A62,Proportionality!$C:$O,13,0)</f>
        <v>82097.66</v>
      </c>
    </row>
    <row r="63" spans="1:4" x14ac:dyDescent="0.3">
      <c r="A63" s="245">
        <v>6470</v>
      </c>
      <c r="B63" s="245">
        <v>8110</v>
      </c>
      <c r="C63" s="246">
        <f>VLOOKUP(A63,[4]Sheet1!$B$243:$D$318,3,0)</f>
        <v>157982.66999999998</v>
      </c>
      <c r="D63">
        <f>VLOOKUP(A63,Proportionality!$C:$O,13,0)</f>
        <v>157982.66999999998</v>
      </c>
    </row>
    <row r="64" spans="1:4" x14ac:dyDescent="0.3">
      <c r="A64" s="245">
        <v>6480</v>
      </c>
      <c r="B64" s="245">
        <v>8110</v>
      </c>
      <c r="C64" s="246">
        <f>VLOOKUP(A64,[4]Sheet1!$B$243:$D$318,3,0)</f>
        <v>57683.6</v>
      </c>
      <c r="D64">
        <f>VLOOKUP(A64,Proportionality!$C:$O,13,0)</f>
        <v>57683.6</v>
      </c>
    </row>
    <row r="65" spans="1:4" x14ac:dyDescent="0.3">
      <c r="A65" s="245">
        <v>6580</v>
      </c>
      <c r="B65" s="245">
        <v>8110</v>
      </c>
      <c r="C65" s="246">
        <f>VLOOKUP(A65,[4]Sheet1!$B$243:$D$318,3,0)</f>
        <v>63313.120000000003</v>
      </c>
      <c r="D65">
        <f>VLOOKUP(A65,Proportionality!$C:$O,13,0)</f>
        <v>63313.120000000003</v>
      </c>
    </row>
    <row r="66" spans="1:4" x14ac:dyDescent="0.3">
      <c r="A66" s="245">
        <v>7150</v>
      </c>
      <c r="B66" s="245">
        <v>8110</v>
      </c>
      <c r="C66" s="246">
        <f>VLOOKUP(A66,[4]Sheet1!$B$243:$D$318,3,0)</f>
        <v>59000.92</v>
      </c>
      <c r="D66">
        <f>VLOOKUP(A66,Proportionality!$C:$O,13,0)</f>
        <v>59000.92</v>
      </c>
    </row>
    <row r="67" spans="1:4" x14ac:dyDescent="0.3">
      <c r="A67" s="245">
        <v>7200</v>
      </c>
      <c r="B67" s="245">
        <v>8110</v>
      </c>
      <c r="C67" s="246">
        <f>VLOOKUP(A67,[4]Sheet1!$B$243:$D$318,3,0)</f>
        <v>96330.65</v>
      </c>
      <c r="D67">
        <f>VLOOKUP(A67,Proportionality!$C:$O,13,0)</f>
        <v>96330.65</v>
      </c>
    </row>
    <row r="68" spans="1:4" x14ac:dyDescent="0.3">
      <c r="A68" s="245">
        <v>7230</v>
      </c>
      <c r="B68" s="245">
        <v>8110</v>
      </c>
      <c r="C68" s="246">
        <f>VLOOKUP(A68,[4]Sheet1!$B$243:$D$318,3,0)</f>
        <v>157100.63</v>
      </c>
      <c r="D68">
        <f>VLOOKUP(A68,Proportionality!$C:$O,13,0)</f>
        <v>157100.63</v>
      </c>
    </row>
    <row r="69" spans="1:4" x14ac:dyDescent="0.3">
      <c r="A69" s="245">
        <v>7300</v>
      </c>
      <c r="B69" s="245">
        <v>8110</v>
      </c>
      <c r="C69" s="246">
        <f>VLOOKUP(A69,[4]Sheet1!$B$243:$D$318,3,0)</f>
        <v>230591.46</v>
      </c>
      <c r="D69">
        <f>VLOOKUP(A69,Proportionality!$C:$O,13,0)</f>
        <v>230591.46</v>
      </c>
    </row>
    <row r="70" spans="1:4" x14ac:dyDescent="0.3">
      <c r="A70" s="245">
        <v>7360</v>
      </c>
      <c r="B70" s="245">
        <v>8110</v>
      </c>
      <c r="C70" s="246">
        <f>VLOOKUP(A70,[4]Sheet1!$B$243:$D$318,3,0)</f>
        <v>154922.80000000002</v>
      </c>
      <c r="D70">
        <f>VLOOKUP(A70,Proportionality!$C:$O,13,0)</f>
        <v>154922.80000000002</v>
      </c>
    </row>
    <row r="71" spans="1:4" x14ac:dyDescent="0.3">
      <c r="A71" s="245">
        <v>7370</v>
      </c>
      <c r="B71" s="245">
        <v>8110</v>
      </c>
      <c r="C71" s="246">
        <f>VLOOKUP(A71,[4]Sheet1!$B$243:$D$318,3,0)</f>
        <v>118491.99</v>
      </c>
      <c r="D71">
        <f>VLOOKUP(A71,Proportionality!$C:$O,13,0)</f>
        <v>118491.99</v>
      </c>
    </row>
    <row r="72" spans="1:4" x14ac:dyDescent="0.3">
      <c r="A72">
        <v>5140</v>
      </c>
      <c r="B72" s="245">
        <v>8110</v>
      </c>
      <c r="C72" s="303">
        <v>187325.63</v>
      </c>
      <c r="D72">
        <f>VLOOKUP(A72,Proportionality!$C:$O,13,0)</f>
        <v>187325.63</v>
      </c>
    </row>
    <row r="73" spans="1:4" x14ac:dyDescent="0.3">
      <c r="A73">
        <v>5210</v>
      </c>
      <c r="B73" s="245">
        <v>8110</v>
      </c>
      <c r="C73" s="303">
        <v>280923.49</v>
      </c>
      <c r="D73">
        <f>VLOOKUP(A73,Proportionality!$C:$O,13,0)</f>
        <v>280923.49</v>
      </c>
    </row>
    <row r="74" spans="1:4" x14ac:dyDescent="0.3">
      <c r="A74">
        <v>5220</v>
      </c>
      <c r="B74" s="245">
        <v>8110</v>
      </c>
      <c r="C74" s="303">
        <v>125998.61</v>
      </c>
      <c r="D74">
        <f>VLOOKUP(A74,Proportionality!$C:$O,13,0)</f>
        <v>125998.61</v>
      </c>
    </row>
    <row r="75" spans="1:4" x14ac:dyDescent="0.3">
      <c r="A75">
        <v>5880</v>
      </c>
      <c r="B75" s="245">
        <v>8110</v>
      </c>
      <c r="C75" s="303">
        <v>48619.6</v>
      </c>
      <c r="D75">
        <f>VLOOKUP(A75,Proportionality!$C:$O,13,0)</f>
        <v>48619.6</v>
      </c>
    </row>
    <row r="76" spans="1:4" x14ac:dyDescent="0.3">
      <c r="A76">
        <v>6020</v>
      </c>
      <c r="B76" s="245">
        <v>8110</v>
      </c>
      <c r="C76" s="303">
        <v>28841.8</v>
      </c>
      <c r="D76">
        <f>VLOOKUP(A76,Proportionality!$C:$O,13,0)</f>
        <v>28841.8</v>
      </c>
    </row>
    <row r="77" spans="1:4" x14ac:dyDescent="0.3">
      <c r="A77">
        <v>6050</v>
      </c>
      <c r="B77" s="245">
        <v>8110</v>
      </c>
      <c r="C77" s="303">
        <v>59000.92</v>
      </c>
      <c r="D77">
        <f>VLOOKUP(A77,Proportionality!$C:$O,13,0)</f>
        <v>59000.92</v>
      </c>
    </row>
    <row r="78" spans="1:4" x14ac:dyDescent="0.3">
      <c r="A78" s="245"/>
      <c r="B78" s="24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I559"/>
  <sheetViews>
    <sheetView workbookViewId="0">
      <selection activeCell="G169" sqref="G169"/>
    </sheetView>
  </sheetViews>
  <sheetFormatPr defaultRowHeight="14.4" x14ac:dyDescent="0.3"/>
  <cols>
    <col min="1" max="1" width="10.5546875" bestFit="1" customWidth="1"/>
    <col min="2" max="2" width="4.33203125" bestFit="1" customWidth="1"/>
    <col min="3" max="3" width="11.88671875" bestFit="1" customWidth="1"/>
    <col min="4" max="4" width="10.109375" bestFit="1" customWidth="1"/>
    <col min="5" max="5" width="9.109375" bestFit="1" customWidth="1"/>
    <col min="6" max="6" width="10.5546875" bestFit="1" customWidth="1"/>
    <col min="7" max="7" width="45.109375" bestFit="1" customWidth="1"/>
    <col min="8" max="8" width="12.33203125" bestFit="1" customWidth="1"/>
    <col min="9" max="9" width="13.109375" style="316" bestFit="1" customWidth="1"/>
  </cols>
  <sheetData>
    <row r="1" spans="1:9" x14ac:dyDescent="0.3">
      <c r="A1" s="314" t="s">
        <v>3145</v>
      </c>
      <c r="B1" s="314" t="s">
        <v>173</v>
      </c>
      <c r="C1" s="314" t="s">
        <v>3320</v>
      </c>
      <c r="D1" s="314" t="s">
        <v>3093</v>
      </c>
      <c r="E1" s="314" t="s">
        <v>3144</v>
      </c>
      <c r="F1" s="314" t="s">
        <v>3145</v>
      </c>
      <c r="G1" s="314" t="s">
        <v>3319</v>
      </c>
      <c r="H1" s="314" t="s">
        <v>3143</v>
      </c>
      <c r="I1" s="315" t="s">
        <v>3318</v>
      </c>
    </row>
    <row r="2" spans="1:9" hidden="1" x14ac:dyDescent="0.3">
      <c r="A2">
        <v>1211</v>
      </c>
      <c r="B2" t="s">
        <v>183</v>
      </c>
      <c r="C2">
        <v>2013</v>
      </c>
      <c r="D2">
        <v>2013</v>
      </c>
      <c r="E2">
        <v>101</v>
      </c>
      <c r="G2" t="s">
        <v>3270</v>
      </c>
      <c r="H2">
        <v>2900</v>
      </c>
      <c r="I2" s="316">
        <v>1155375.2500000002</v>
      </c>
    </row>
    <row r="3" spans="1:9" x14ac:dyDescent="0.3">
      <c r="A3">
        <v>1211</v>
      </c>
      <c r="B3" t="s">
        <v>183</v>
      </c>
      <c r="C3">
        <v>2013</v>
      </c>
      <c r="D3">
        <v>2013</v>
      </c>
      <c r="E3">
        <v>733</v>
      </c>
      <c r="G3" t="s">
        <v>3270</v>
      </c>
      <c r="H3">
        <v>2900</v>
      </c>
      <c r="I3" s="316">
        <v>261057.86</v>
      </c>
    </row>
    <row r="4" spans="1:9" hidden="1" x14ac:dyDescent="0.3">
      <c r="A4">
        <v>1211</v>
      </c>
      <c r="B4" t="s">
        <v>183</v>
      </c>
      <c r="C4">
        <v>2013</v>
      </c>
      <c r="D4">
        <v>2013</v>
      </c>
      <c r="E4">
        <v>8200</v>
      </c>
      <c r="G4" t="s">
        <v>3270</v>
      </c>
      <c r="H4">
        <v>2900</v>
      </c>
      <c r="I4" s="316">
        <v>938146.41</v>
      </c>
    </row>
    <row r="5" spans="1:9" hidden="1" x14ac:dyDescent="0.3">
      <c r="A5">
        <v>1221</v>
      </c>
      <c r="B5" t="s">
        <v>183</v>
      </c>
      <c r="C5">
        <v>2013</v>
      </c>
      <c r="D5">
        <v>2013</v>
      </c>
      <c r="E5">
        <v>101</v>
      </c>
      <c r="G5" t="s">
        <v>3252</v>
      </c>
      <c r="H5">
        <v>2900</v>
      </c>
      <c r="I5" s="316">
        <v>124260.87</v>
      </c>
    </row>
    <row r="6" spans="1:9" hidden="1" x14ac:dyDescent="0.3">
      <c r="A6">
        <v>1321</v>
      </c>
      <c r="B6" t="s">
        <v>183</v>
      </c>
      <c r="C6">
        <v>2013</v>
      </c>
      <c r="D6">
        <v>2013</v>
      </c>
      <c r="E6">
        <v>101</v>
      </c>
      <c r="G6" t="s">
        <v>3297</v>
      </c>
      <c r="H6">
        <v>2900</v>
      </c>
      <c r="I6" s="316">
        <v>200000</v>
      </c>
    </row>
    <row r="7" spans="1:9" hidden="1" x14ac:dyDescent="0.3">
      <c r="A7">
        <v>1411</v>
      </c>
      <c r="B7" t="s">
        <v>183</v>
      </c>
      <c r="C7">
        <v>2013</v>
      </c>
      <c r="D7">
        <v>2013</v>
      </c>
      <c r="E7">
        <v>101</v>
      </c>
      <c r="G7" t="s">
        <v>3293</v>
      </c>
      <c r="H7">
        <v>2900</v>
      </c>
      <c r="I7" s="316">
        <v>3715321.5500000003</v>
      </c>
    </row>
    <row r="8" spans="1:9" hidden="1" x14ac:dyDescent="0.3">
      <c r="A8">
        <v>1412</v>
      </c>
      <c r="B8" t="s">
        <v>183</v>
      </c>
      <c r="C8">
        <v>2013</v>
      </c>
      <c r="D8">
        <v>2013</v>
      </c>
      <c r="E8">
        <v>101</v>
      </c>
      <c r="G8" t="s">
        <v>3211</v>
      </c>
      <c r="H8">
        <v>2900</v>
      </c>
      <c r="I8" s="316">
        <v>3269345.36</v>
      </c>
    </row>
    <row r="9" spans="1:9" hidden="1" x14ac:dyDescent="0.3">
      <c r="A9">
        <v>1412</v>
      </c>
      <c r="B9" t="s">
        <v>183</v>
      </c>
      <c r="C9">
        <v>2013</v>
      </c>
      <c r="D9">
        <v>2013</v>
      </c>
      <c r="E9">
        <v>777</v>
      </c>
      <c r="G9" t="s">
        <v>3211</v>
      </c>
      <c r="H9">
        <v>2900</v>
      </c>
      <c r="I9" s="316">
        <v>4995598.59</v>
      </c>
    </row>
    <row r="10" spans="1:9" hidden="1" x14ac:dyDescent="0.3">
      <c r="A10">
        <v>1412</v>
      </c>
      <c r="B10" t="s">
        <v>183</v>
      </c>
      <c r="C10">
        <v>2013</v>
      </c>
      <c r="D10">
        <v>2013</v>
      </c>
      <c r="E10">
        <v>796</v>
      </c>
      <c r="G10" t="s">
        <v>3211</v>
      </c>
      <c r="H10">
        <v>2900</v>
      </c>
      <c r="I10" s="316">
        <v>78873.88</v>
      </c>
    </row>
    <row r="11" spans="1:9" hidden="1" x14ac:dyDescent="0.3">
      <c r="A11">
        <v>1413</v>
      </c>
      <c r="B11" t="s">
        <v>183</v>
      </c>
      <c r="C11">
        <v>2013</v>
      </c>
      <c r="D11">
        <v>2013</v>
      </c>
      <c r="E11">
        <v>101</v>
      </c>
      <c r="G11" t="s">
        <v>3161</v>
      </c>
      <c r="H11">
        <v>2900</v>
      </c>
      <c r="I11" s="316">
        <v>399208.55</v>
      </c>
    </row>
    <row r="12" spans="1:9" hidden="1" x14ac:dyDescent="0.3">
      <c r="A12">
        <v>1414</v>
      </c>
      <c r="B12" t="s">
        <v>183</v>
      </c>
      <c r="C12">
        <v>2013</v>
      </c>
      <c r="D12">
        <v>2013</v>
      </c>
      <c r="E12">
        <v>101</v>
      </c>
      <c r="G12" t="s">
        <v>3285</v>
      </c>
      <c r="H12">
        <v>2900</v>
      </c>
      <c r="I12" s="316">
        <v>1835001.98</v>
      </c>
    </row>
    <row r="13" spans="1:9" hidden="1" x14ac:dyDescent="0.3">
      <c r="A13">
        <v>1471</v>
      </c>
      <c r="B13" t="s">
        <v>183</v>
      </c>
      <c r="C13">
        <v>2013</v>
      </c>
      <c r="D13">
        <v>2013</v>
      </c>
      <c r="E13">
        <v>101</v>
      </c>
      <c r="G13" t="s">
        <v>3190</v>
      </c>
      <c r="H13">
        <v>2900</v>
      </c>
      <c r="I13" s="316">
        <v>89552.26999999999</v>
      </c>
    </row>
    <row r="14" spans="1:9" hidden="1" x14ac:dyDescent="0.3">
      <c r="A14">
        <v>1471</v>
      </c>
      <c r="B14" t="s">
        <v>183</v>
      </c>
      <c r="C14">
        <v>2013</v>
      </c>
      <c r="D14">
        <v>2013</v>
      </c>
      <c r="E14">
        <v>8400</v>
      </c>
      <c r="G14" t="s">
        <v>3190</v>
      </c>
      <c r="H14">
        <v>2900</v>
      </c>
      <c r="I14" s="316">
        <v>205000</v>
      </c>
    </row>
    <row r="15" spans="1:9" hidden="1" x14ac:dyDescent="0.3">
      <c r="A15">
        <v>1472</v>
      </c>
      <c r="B15" t="s">
        <v>183</v>
      </c>
      <c r="C15">
        <v>2013</v>
      </c>
      <c r="D15">
        <v>2013</v>
      </c>
      <c r="E15">
        <v>101</v>
      </c>
      <c r="G15" t="s">
        <v>6053</v>
      </c>
      <c r="H15">
        <v>2900</v>
      </c>
      <c r="I15" s="316">
        <v>547127.53</v>
      </c>
    </row>
    <row r="16" spans="1:9" hidden="1" x14ac:dyDescent="0.3">
      <c r="A16">
        <v>1481</v>
      </c>
      <c r="B16" t="s">
        <v>183</v>
      </c>
      <c r="C16">
        <v>2013</v>
      </c>
      <c r="D16">
        <v>2013</v>
      </c>
      <c r="E16">
        <v>101</v>
      </c>
      <c r="G16" t="s">
        <v>3249</v>
      </c>
      <c r="H16">
        <v>2900</v>
      </c>
      <c r="I16" s="316">
        <v>649999.56000000006</v>
      </c>
    </row>
    <row r="17" spans="1:9" hidden="1" x14ac:dyDescent="0.3">
      <c r="A17">
        <v>1491</v>
      </c>
      <c r="B17" t="s">
        <v>183</v>
      </c>
      <c r="C17">
        <v>2013</v>
      </c>
      <c r="D17">
        <v>2013</v>
      </c>
      <c r="E17">
        <v>101</v>
      </c>
      <c r="G17" t="s">
        <v>3312</v>
      </c>
      <c r="H17">
        <v>2900</v>
      </c>
      <c r="I17" s="316">
        <v>333589.91000000003</v>
      </c>
    </row>
    <row r="18" spans="1:9" hidden="1" x14ac:dyDescent="0.3">
      <c r="A18">
        <v>1511</v>
      </c>
      <c r="B18" t="s">
        <v>183</v>
      </c>
      <c r="C18">
        <v>2013</v>
      </c>
      <c r="D18">
        <v>2013</v>
      </c>
      <c r="E18">
        <v>101</v>
      </c>
      <c r="G18" t="s">
        <v>3212</v>
      </c>
      <c r="H18">
        <v>2900</v>
      </c>
      <c r="I18" s="316">
        <v>882905.41999999993</v>
      </c>
    </row>
    <row r="19" spans="1:9" hidden="1" x14ac:dyDescent="0.3">
      <c r="A19">
        <v>2111</v>
      </c>
      <c r="B19" t="s">
        <v>183</v>
      </c>
      <c r="C19">
        <v>2013</v>
      </c>
      <c r="D19">
        <v>2013</v>
      </c>
      <c r="E19">
        <v>101</v>
      </c>
      <c r="G19" t="s">
        <v>3313</v>
      </c>
      <c r="H19">
        <v>2900</v>
      </c>
      <c r="I19" s="316">
        <v>963406.64999999991</v>
      </c>
    </row>
    <row r="20" spans="1:9" hidden="1" x14ac:dyDescent="0.3">
      <c r="A20">
        <v>2112</v>
      </c>
      <c r="B20" t="s">
        <v>183</v>
      </c>
      <c r="C20">
        <v>2013</v>
      </c>
      <c r="D20">
        <v>2013</v>
      </c>
      <c r="E20">
        <v>101</v>
      </c>
      <c r="G20" t="s">
        <v>3306</v>
      </c>
      <c r="H20">
        <v>2900</v>
      </c>
      <c r="I20" s="316">
        <v>237365.87</v>
      </c>
    </row>
    <row r="21" spans="1:9" hidden="1" x14ac:dyDescent="0.3">
      <c r="A21">
        <v>2171</v>
      </c>
      <c r="B21" t="s">
        <v>183</v>
      </c>
      <c r="C21">
        <v>2013</v>
      </c>
      <c r="D21">
        <v>2013</v>
      </c>
      <c r="E21">
        <v>101</v>
      </c>
      <c r="G21" t="s">
        <v>3226</v>
      </c>
      <c r="H21">
        <v>2900</v>
      </c>
      <c r="I21" s="316">
        <v>1952092.6600000001</v>
      </c>
    </row>
    <row r="22" spans="1:9" hidden="1" x14ac:dyDescent="0.3">
      <c r="A22">
        <v>2171</v>
      </c>
      <c r="B22" t="s">
        <v>183</v>
      </c>
      <c r="C22">
        <v>2013</v>
      </c>
      <c r="D22">
        <v>2013</v>
      </c>
      <c r="E22">
        <v>608</v>
      </c>
      <c r="G22" t="s">
        <v>3226</v>
      </c>
      <c r="H22">
        <v>2900</v>
      </c>
      <c r="I22" s="316">
        <v>708906.71</v>
      </c>
    </row>
    <row r="23" spans="1:9" hidden="1" x14ac:dyDescent="0.3">
      <c r="A23">
        <v>2372</v>
      </c>
      <c r="B23" t="s">
        <v>183</v>
      </c>
      <c r="C23">
        <v>2013</v>
      </c>
      <c r="D23">
        <v>2013</v>
      </c>
      <c r="E23">
        <v>101</v>
      </c>
      <c r="G23" t="s">
        <v>3268</v>
      </c>
      <c r="H23">
        <v>2900</v>
      </c>
      <c r="I23" s="316">
        <v>4377010.09</v>
      </c>
    </row>
    <row r="24" spans="1:9" hidden="1" x14ac:dyDescent="0.3">
      <c r="A24">
        <v>2372</v>
      </c>
      <c r="B24" t="s">
        <v>183</v>
      </c>
      <c r="C24">
        <v>2013</v>
      </c>
      <c r="D24">
        <v>2013</v>
      </c>
      <c r="E24">
        <v>705</v>
      </c>
      <c r="G24" t="s">
        <v>3268</v>
      </c>
      <c r="H24">
        <v>2900</v>
      </c>
      <c r="I24" s="316">
        <v>400000</v>
      </c>
    </row>
    <row r="25" spans="1:9" x14ac:dyDescent="0.3">
      <c r="A25">
        <v>2372</v>
      </c>
      <c r="B25" t="s">
        <v>183</v>
      </c>
      <c r="C25">
        <v>2013</v>
      </c>
      <c r="D25">
        <v>2013</v>
      </c>
      <c r="E25">
        <v>733</v>
      </c>
      <c r="G25" t="s">
        <v>3268</v>
      </c>
      <c r="H25">
        <v>2900</v>
      </c>
      <c r="I25" s="316">
        <v>75908.87</v>
      </c>
    </row>
    <row r="26" spans="1:9" hidden="1" x14ac:dyDescent="0.3">
      <c r="A26">
        <v>2372</v>
      </c>
      <c r="B26" t="s">
        <v>183</v>
      </c>
      <c r="C26">
        <v>2013</v>
      </c>
      <c r="D26">
        <v>2013</v>
      </c>
      <c r="E26">
        <v>790</v>
      </c>
      <c r="G26" t="s">
        <v>3268</v>
      </c>
      <c r="H26">
        <v>2900</v>
      </c>
      <c r="I26" s="316">
        <v>134853.75000000003</v>
      </c>
    </row>
    <row r="27" spans="1:9" hidden="1" x14ac:dyDescent="0.3">
      <c r="A27">
        <v>2372</v>
      </c>
      <c r="B27" t="s">
        <v>183</v>
      </c>
      <c r="C27">
        <v>2013</v>
      </c>
      <c r="D27">
        <v>2013</v>
      </c>
      <c r="E27">
        <v>792</v>
      </c>
      <c r="G27" t="s">
        <v>3268</v>
      </c>
      <c r="H27">
        <v>2900</v>
      </c>
      <c r="I27" s="316">
        <v>902604.72000000009</v>
      </c>
    </row>
    <row r="28" spans="1:9" hidden="1" x14ac:dyDescent="0.3">
      <c r="A28">
        <v>2411</v>
      </c>
      <c r="B28" t="s">
        <v>183</v>
      </c>
      <c r="C28">
        <v>2013</v>
      </c>
      <c r="D28">
        <v>2013</v>
      </c>
      <c r="E28">
        <v>101</v>
      </c>
      <c r="G28" t="s">
        <v>3177</v>
      </c>
      <c r="H28">
        <v>2900</v>
      </c>
      <c r="I28" s="316">
        <v>1175457.23</v>
      </c>
    </row>
    <row r="29" spans="1:9" hidden="1" x14ac:dyDescent="0.3">
      <c r="A29">
        <v>2411</v>
      </c>
      <c r="B29" t="s">
        <v>183</v>
      </c>
      <c r="C29">
        <v>2013</v>
      </c>
      <c r="D29">
        <v>2013</v>
      </c>
      <c r="E29">
        <v>735</v>
      </c>
      <c r="G29" t="s">
        <v>3177</v>
      </c>
      <c r="H29">
        <v>2900</v>
      </c>
      <c r="I29" s="316">
        <v>20988.39</v>
      </c>
    </row>
    <row r="30" spans="1:9" hidden="1" x14ac:dyDescent="0.3">
      <c r="A30">
        <v>2411</v>
      </c>
      <c r="B30" t="s">
        <v>183</v>
      </c>
      <c r="C30">
        <v>2013</v>
      </c>
      <c r="D30">
        <v>2013</v>
      </c>
      <c r="E30">
        <v>777</v>
      </c>
      <c r="G30" t="s">
        <v>3177</v>
      </c>
      <c r="H30">
        <v>2900</v>
      </c>
      <c r="I30" s="316">
        <v>130191.58</v>
      </c>
    </row>
    <row r="31" spans="1:9" hidden="1" x14ac:dyDescent="0.3">
      <c r="A31">
        <v>2412</v>
      </c>
      <c r="B31" t="s">
        <v>183</v>
      </c>
      <c r="C31">
        <v>2013</v>
      </c>
      <c r="D31">
        <v>2013</v>
      </c>
      <c r="E31">
        <v>101</v>
      </c>
      <c r="G31" t="s">
        <v>3191</v>
      </c>
      <c r="H31">
        <v>2900</v>
      </c>
      <c r="I31" s="316">
        <v>993256.42999999993</v>
      </c>
    </row>
    <row r="32" spans="1:9" hidden="1" x14ac:dyDescent="0.3">
      <c r="A32">
        <v>2511</v>
      </c>
      <c r="B32" t="s">
        <v>183</v>
      </c>
      <c r="C32">
        <v>2013</v>
      </c>
      <c r="D32">
        <v>2013</v>
      </c>
      <c r="E32">
        <v>101</v>
      </c>
      <c r="G32" t="s">
        <v>6054</v>
      </c>
      <c r="H32">
        <v>2900</v>
      </c>
      <c r="I32" s="316">
        <v>2862639.11</v>
      </c>
    </row>
    <row r="33" spans="1:9" x14ac:dyDescent="0.3">
      <c r="A33">
        <v>2511</v>
      </c>
      <c r="B33" t="s">
        <v>183</v>
      </c>
      <c r="C33">
        <v>2013</v>
      </c>
      <c r="D33">
        <v>2013</v>
      </c>
      <c r="E33">
        <v>733</v>
      </c>
      <c r="G33" t="s">
        <v>6054</v>
      </c>
      <c r="H33">
        <v>2900</v>
      </c>
      <c r="I33" s="316">
        <v>342698.2</v>
      </c>
    </row>
    <row r="34" spans="1:9" hidden="1" x14ac:dyDescent="0.3">
      <c r="A34">
        <v>2516</v>
      </c>
      <c r="B34" t="s">
        <v>183</v>
      </c>
      <c r="C34">
        <v>2013</v>
      </c>
      <c r="D34">
        <v>2013</v>
      </c>
      <c r="E34">
        <v>101</v>
      </c>
      <c r="G34" t="s">
        <v>6055</v>
      </c>
      <c r="H34">
        <v>2900</v>
      </c>
      <c r="I34" s="316">
        <v>1009953.21</v>
      </c>
    </row>
    <row r="35" spans="1:9" hidden="1" x14ac:dyDescent="0.3">
      <c r="A35">
        <v>3040</v>
      </c>
      <c r="B35" t="s">
        <v>183</v>
      </c>
      <c r="C35">
        <v>2013</v>
      </c>
      <c r="D35">
        <v>2013</v>
      </c>
      <c r="E35">
        <v>101</v>
      </c>
      <c r="G35" t="s">
        <v>3276</v>
      </c>
      <c r="H35">
        <v>2900</v>
      </c>
      <c r="I35" s="316">
        <v>727861.60000000009</v>
      </c>
    </row>
    <row r="36" spans="1:9" hidden="1" x14ac:dyDescent="0.3">
      <c r="A36">
        <v>3040</v>
      </c>
      <c r="B36" t="s">
        <v>183</v>
      </c>
      <c r="C36">
        <v>2013</v>
      </c>
      <c r="D36">
        <v>2013</v>
      </c>
      <c r="E36">
        <v>611</v>
      </c>
      <c r="G36" t="s">
        <v>3276</v>
      </c>
      <c r="H36">
        <v>2900</v>
      </c>
      <c r="I36" s="316">
        <v>225000</v>
      </c>
    </row>
    <row r="37" spans="1:9" hidden="1" x14ac:dyDescent="0.3">
      <c r="A37">
        <v>3040</v>
      </c>
      <c r="B37" t="s">
        <v>183</v>
      </c>
      <c r="C37">
        <v>2013</v>
      </c>
      <c r="D37">
        <v>2013</v>
      </c>
      <c r="E37">
        <v>634</v>
      </c>
      <c r="G37" t="s">
        <v>3276</v>
      </c>
      <c r="H37">
        <v>2900</v>
      </c>
      <c r="I37" s="316">
        <v>20000</v>
      </c>
    </row>
    <row r="38" spans="1:9" hidden="1" x14ac:dyDescent="0.3">
      <c r="A38">
        <v>3111</v>
      </c>
      <c r="B38" t="s">
        <v>183</v>
      </c>
      <c r="C38">
        <v>2013</v>
      </c>
      <c r="D38">
        <v>2013</v>
      </c>
      <c r="E38">
        <v>101</v>
      </c>
      <c r="G38" t="s">
        <v>6056</v>
      </c>
      <c r="H38">
        <v>2900</v>
      </c>
      <c r="I38" s="316">
        <v>299545.64</v>
      </c>
    </row>
    <row r="39" spans="1:9" hidden="1" x14ac:dyDescent="0.3">
      <c r="A39">
        <v>3112</v>
      </c>
      <c r="B39" t="s">
        <v>183</v>
      </c>
      <c r="C39">
        <v>2013</v>
      </c>
      <c r="D39">
        <v>2013</v>
      </c>
      <c r="E39">
        <v>101</v>
      </c>
      <c r="G39" t="s">
        <v>6057</v>
      </c>
      <c r="H39">
        <v>2900</v>
      </c>
      <c r="I39" s="316">
        <v>99340.800000000003</v>
      </c>
    </row>
    <row r="40" spans="1:9" hidden="1" x14ac:dyDescent="0.3">
      <c r="A40">
        <v>3115</v>
      </c>
      <c r="B40" t="s">
        <v>183</v>
      </c>
      <c r="C40">
        <v>2013</v>
      </c>
      <c r="D40">
        <v>2013</v>
      </c>
      <c r="E40">
        <v>101</v>
      </c>
      <c r="G40" t="s">
        <v>6058</v>
      </c>
      <c r="H40">
        <v>2900</v>
      </c>
      <c r="I40" s="316">
        <v>2737436.7800000003</v>
      </c>
    </row>
    <row r="41" spans="1:9" hidden="1" x14ac:dyDescent="0.3">
      <c r="A41">
        <v>3115</v>
      </c>
      <c r="B41" t="s">
        <v>183</v>
      </c>
      <c r="C41">
        <v>2013</v>
      </c>
      <c r="D41">
        <v>2013</v>
      </c>
      <c r="E41">
        <v>602</v>
      </c>
      <c r="G41" t="s">
        <v>6058</v>
      </c>
      <c r="H41">
        <v>2900</v>
      </c>
      <c r="I41" s="316">
        <v>240442.7</v>
      </c>
    </row>
    <row r="42" spans="1:9" hidden="1" x14ac:dyDescent="0.3">
      <c r="A42">
        <v>3122</v>
      </c>
      <c r="B42" t="s">
        <v>183</v>
      </c>
      <c r="C42">
        <v>2013</v>
      </c>
      <c r="D42">
        <v>2013</v>
      </c>
      <c r="E42">
        <v>101</v>
      </c>
      <c r="G42" t="s">
        <v>6059</v>
      </c>
      <c r="H42">
        <v>2900</v>
      </c>
      <c r="I42" s="316">
        <v>967253.93</v>
      </c>
    </row>
    <row r="43" spans="1:9" hidden="1" x14ac:dyDescent="0.3">
      <c r="A43">
        <v>3132</v>
      </c>
      <c r="B43" t="s">
        <v>183</v>
      </c>
      <c r="C43">
        <v>2013</v>
      </c>
      <c r="D43">
        <v>2013</v>
      </c>
      <c r="E43">
        <v>101</v>
      </c>
      <c r="G43" t="s">
        <v>3295</v>
      </c>
      <c r="H43">
        <v>2900</v>
      </c>
      <c r="I43" s="316">
        <v>449758.87</v>
      </c>
    </row>
    <row r="44" spans="1:9" hidden="1" x14ac:dyDescent="0.3">
      <c r="A44">
        <v>3132</v>
      </c>
      <c r="B44" t="s">
        <v>183</v>
      </c>
      <c r="C44">
        <v>2013</v>
      </c>
      <c r="D44">
        <v>2013</v>
      </c>
      <c r="E44">
        <v>731</v>
      </c>
      <c r="G44" t="s">
        <v>3295</v>
      </c>
      <c r="H44">
        <v>2900</v>
      </c>
      <c r="I44" s="316">
        <v>911713.33</v>
      </c>
    </row>
    <row r="45" spans="1:9" x14ac:dyDescent="0.3">
      <c r="A45">
        <v>3132</v>
      </c>
      <c r="B45" t="s">
        <v>183</v>
      </c>
      <c r="C45">
        <v>2013</v>
      </c>
      <c r="D45">
        <v>2013</v>
      </c>
      <c r="E45">
        <v>733</v>
      </c>
      <c r="G45" t="s">
        <v>3295</v>
      </c>
      <c r="H45">
        <v>2900</v>
      </c>
      <c r="I45" s="316">
        <v>600790.37</v>
      </c>
    </row>
    <row r="46" spans="1:9" hidden="1" x14ac:dyDescent="0.3">
      <c r="A46">
        <v>3132</v>
      </c>
      <c r="B46" t="s">
        <v>183</v>
      </c>
      <c r="C46">
        <v>2013</v>
      </c>
      <c r="D46">
        <v>2013</v>
      </c>
      <c r="E46">
        <v>796</v>
      </c>
      <c r="G46" t="s">
        <v>3295</v>
      </c>
      <c r="H46">
        <v>2900</v>
      </c>
      <c r="I46" s="316">
        <v>2872905.07</v>
      </c>
    </row>
    <row r="47" spans="1:9" hidden="1" x14ac:dyDescent="0.3">
      <c r="A47">
        <v>3211</v>
      </c>
      <c r="B47" t="s">
        <v>183</v>
      </c>
      <c r="C47">
        <v>2013</v>
      </c>
      <c r="D47">
        <v>2013</v>
      </c>
      <c r="E47">
        <v>101</v>
      </c>
      <c r="G47" t="s">
        <v>6060</v>
      </c>
      <c r="H47">
        <v>2900</v>
      </c>
      <c r="I47" s="316">
        <v>3990439.4000000004</v>
      </c>
    </row>
    <row r="48" spans="1:9" x14ac:dyDescent="0.3">
      <c r="A48">
        <v>3211</v>
      </c>
      <c r="B48" t="s">
        <v>183</v>
      </c>
      <c r="C48">
        <v>2013</v>
      </c>
      <c r="D48">
        <v>2013</v>
      </c>
      <c r="E48">
        <v>733</v>
      </c>
      <c r="G48" t="s">
        <v>6060</v>
      </c>
      <c r="H48">
        <v>2900</v>
      </c>
      <c r="I48" s="316">
        <v>1094935.8500000001</v>
      </c>
    </row>
    <row r="49" spans="1:9" hidden="1" x14ac:dyDescent="0.3">
      <c r="A49">
        <v>3211</v>
      </c>
      <c r="B49" t="s">
        <v>183</v>
      </c>
      <c r="C49">
        <v>2013</v>
      </c>
      <c r="D49">
        <v>2013</v>
      </c>
      <c r="E49">
        <v>735</v>
      </c>
      <c r="G49" t="s">
        <v>6060</v>
      </c>
      <c r="H49">
        <v>2900</v>
      </c>
      <c r="I49" s="316">
        <v>1565669.6099999999</v>
      </c>
    </row>
    <row r="50" spans="1:9" hidden="1" x14ac:dyDescent="0.3">
      <c r="A50">
        <v>3211</v>
      </c>
      <c r="B50" t="s">
        <v>183</v>
      </c>
      <c r="C50">
        <v>2013</v>
      </c>
      <c r="D50">
        <v>2013</v>
      </c>
      <c r="E50">
        <v>777</v>
      </c>
      <c r="G50" t="s">
        <v>6060</v>
      </c>
      <c r="H50">
        <v>2900</v>
      </c>
      <c r="I50" s="316">
        <v>396813</v>
      </c>
    </row>
    <row r="51" spans="1:9" hidden="1" x14ac:dyDescent="0.3">
      <c r="A51">
        <v>3361</v>
      </c>
      <c r="B51" t="s">
        <v>183</v>
      </c>
      <c r="C51">
        <v>2013</v>
      </c>
      <c r="D51">
        <v>2013</v>
      </c>
      <c r="E51">
        <v>633</v>
      </c>
      <c r="G51" t="s">
        <v>6061</v>
      </c>
      <c r="H51">
        <v>2900</v>
      </c>
      <c r="I51" s="316">
        <v>285000</v>
      </c>
    </row>
    <row r="52" spans="1:9" hidden="1" x14ac:dyDescent="0.3">
      <c r="A52">
        <v>3361</v>
      </c>
      <c r="B52" t="s">
        <v>183</v>
      </c>
      <c r="C52">
        <v>2013</v>
      </c>
      <c r="D52">
        <v>2013</v>
      </c>
      <c r="E52">
        <v>706</v>
      </c>
      <c r="G52" t="s">
        <v>6061</v>
      </c>
      <c r="H52">
        <v>2900</v>
      </c>
      <c r="I52" s="316">
        <v>6496016.7000000011</v>
      </c>
    </row>
    <row r="53" spans="1:9" hidden="1" x14ac:dyDescent="0.3">
      <c r="A53">
        <v>3361</v>
      </c>
      <c r="B53" t="s">
        <v>183</v>
      </c>
      <c r="C53">
        <v>2013</v>
      </c>
      <c r="D53">
        <v>2013</v>
      </c>
      <c r="E53">
        <v>738</v>
      </c>
      <c r="G53" t="s">
        <v>6061</v>
      </c>
      <c r="H53">
        <v>2900</v>
      </c>
      <c r="I53" s="316">
        <v>300000</v>
      </c>
    </row>
    <row r="54" spans="1:9" hidden="1" x14ac:dyDescent="0.3">
      <c r="A54">
        <v>3362</v>
      </c>
      <c r="B54" t="s">
        <v>183</v>
      </c>
      <c r="C54">
        <v>2013</v>
      </c>
      <c r="D54">
        <v>2013</v>
      </c>
      <c r="E54">
        <v>633</v>
      </c>
      <c r="G54" t="s">
        <v>3173</v>
      </c>
      <c r="H54">
        <v>2900</v>
      </c>
      <c r="I54" s="316">
        <v>215000</v>
      </c>
    </row>
    <row r="55" spans="1:9" hidden="1" x14ac:dyDescent="0.3">
      <c r="A55">
        <v>3363</v>
      </c>
      <c r="B55" t="s">
        <v>183</v>
      </c>
      <c r="C55">
        <v>2013</v>
      </c>
      <c r="D55">
        <v>2013</v>
      </c>
      <c r="E55">
        <v>706</v>
      </c>
      <c r="G55" t="s">
        <v>6062</v>
      </c>
      <c r="H55">
        <v>2900</v>
      </c>
      <c r="I55" s="316">
        <v>3983.3</v>
      </c>
    </row>
    <row r="56" spans="1:9" hidden="1" x14ac:dyDescent="0.3">
      <c r="A56">
        <v>3381</v>
      </c>
      <c r="B56" t="s">
        <v>183</v>
      </c>
      <c r="C56">
        <v>2013</v>
      </c>
      <c r="D56">
        <v>2013</v>
      </c>
      <c r="E56">
        <v>8200</v>
      </c>
      <c r="G56" t="s">
        <v>6063</v>
      </c>
      <c r="H56">
        <v>2900</v>
      </c>
      <c r="I56" s="316">
        <v>6297402.5300000003</v>
      </c>
    </row>
    <row r="57" spans="1:9" hidden="1" x14ac:dyDescent="0.3">
      <c r="A57">
        <v>3381</v>
      </c>
      <c r="B57" t="s">
        <v>183</v>
      </c>
      <c r="C57">
        <v>2013</v>
      </c>
      <c r="D57">
        <v>2013</v>
      </c>
      <c r="E57">
        <v>8400</v>
      </c>
      <c r="G57" t="s">
        <v>6063</v>
      </c>
      <c r="H57">
        <v>2900</v>
      </c>
      <c r="I57" s="316">
        <v>3423664.7399999998</v>
      </c>
    </row>
    <row r="58" spans="1:9" hidden="1" x14ac:dyDescent="0.3">
      <c r="A58">
        <v>3382</v>
      </c>
      <c r="B58" t="s">
        <v>183</v>
      </c>
      <c r="C58">
        <v>2013</v>
      </c>
      <c r="D58">
        <v>2013</v>
      </c>
      <c r="E58">
        <v>8200</v>
      </c>
      <c r="G58" t="s">
        <v>6063</v>
      </c>
      <c r="H58">
        <v>2900</v>
      </c>
      <c r="I58" s="316">
        <v>332230.53000000003</v>
      </c>
    </row>
    <row r="59" spans="1:9" hidden="1" x14ac:dyDescent="0.3">
      <c r="A59">
        <v>3382</v>
      </c>
      <c r="B59" t="s">
        <v>183</v>
      </c>
      <c r="C59">
        <v>2013</v>
      </c>
      <c r="D59">
        <v>2013</v>
      </c>
      <c r="E59">
        <v>8400</v>
      </c>
      <c r="G59" t="s">
        <v>6063</v>
      </c>
      <c r="H59">
        <v>2900</v>
      </c>
      <c r="I59" s="316">
        <v>212409.72</v>
      </c>
    </row>
    <row r="60" spans="1:9" hidden="1" x14ac:dyDescent="0.3">
      <c r="A60">
        <v>3411</v>
      </c>
      <c r="B60" t="s">
        <v>183</v>
      </c>
      <c r="C60">
        <v>2013</v>
      </c>
      <c r="D60">
        <v>2013</v>
      </c>
      <c r="E60">
        <v>727</v>
      </c>
      <c r="G60" t="s">
        <v>6064</v>
      </c>
      <c r="H60">
        <v>2900</v>
      </c>
      <c r="I60" s="316">
        <v>2536394.9699999997</v>
      </c>
    </row>
    <row r="61" spans="1:9" hidden="1" x14ac:dyDescent="0.3">
      <c r="A61">
        <v>3511</v>
      </c>
      <c r="B61" t="s">
        <v>183</v>
      </c>
      <c r="C61">
        <v>2013</v>
      </c>
      <c r="D61">
        <v>2013</v>
      </c>
      <c r="E61">
        <v>101</v>
      </c>
      <c r="G61" t="s">
        <v>3300</v>
      </c>
      <c r="H61">
        <v>2900</v>
      </c>
      <c r="I61" s="316">
        <v>1446986.4600000002</v>
      </c>
    </row>
    <row r="62" spans="1:9" hidden="1" x14ac:dyDescent="0.3">
      <c r="A62">
        <v>3511</v>
      </c>
      <c r="B62" t="s">
        <v>183</v>
      </c>
      <c r="C62">
        <v>2013</v>
      </c>
      <c r="D62">
        <v>2013</v>
      </c>
      <c r="E62">
        <v>756</v>
      </c>
      <c r="G62" t="s">
        <v>3300</v>
      </c>
      <c r="H62">
        <v>2900</v>
      </c>
      <c r="I62" s="316">
        <v>128323.37</v>
      </c>
    </row>
    <row r="63" spans="1:9" hidden="1" x14ac:dyDescent="0.3">
      <c r="A63">
        <v>3511</v>
      </c>
      <c r="B63" t="s">
        <v>183</v>
      </c>
      <c r="C63">
        <v>2013</v>
      </c>
      <c r="D63">
        <v>2013</v>
      </c>
      <c r="E63">
        <v>799</v>
      </c>
      <c r="G63" t="s">
        <v>3300</v>
      </c>
      <c r="H63">
        <v>2900</v>
      </c>
      <c r="I63" s="316">
        <v>1821408.2999999998</v>
      </c>
    </row>
    <row r="64" spans="1:9" hidden="1" x14ac:dyDescent="0.3">
      <c r="A64">
        <v>3512</v>
      </c>
      <c r="B64" t="s">
        <v>183</v>
      </c>
      <c r="C64">
        <v>2013</v>
      </c>
      <c r="D64">
        <v>2013</v>
      </c>
      <c r="E64">
        <v>101</v>
      </c>
      <c r="G64" t="s">
        <v>3247</v>
      </c>
      <c r="H64">
        <v>2900</v>
      </c>
      <c r="I64" s="316">
        <v>3137861.51</v>
      </c>
    </row>
    <row r="65" spans="1:9" hidden="1" x14ac:dyDescent="0.3">
      <c r="A65">
        <v>3512</v>
      </c>
      <c r="B65" t="s">
        <v>183</v>
      </c>
      <c r="C65">
        <v>2013</v>
      </c>
      <c r="D65">
        <v>2013</v>
      </c>
      <c r="E65">
        <v>756</v>
      </c>
      <c r="G65" t="s">
        <v>3247</v>
      </c>
      <c r="H65">
        <v>2900</v>
      </c>
      <c r="I65" s="316">
        <v>4651896.29</v>
      </c>
    </row>
    <row r="66" spans="1:9" hidden="1" x14ac:dyDescent="0.3">
      <c r="A66">
        <v>3512</v>
      </c>
      <c r="B66" t="s">
        <v>183</v>
      </c>
      <c r="C66">
        <v>2013</v>
      </c>
      <c r="D66">
        <v>2013</v>
      </c>
      <c r="E66">
        <v>799</v>
      </c>
      <c r="G66" t="s">
        <v>3247</v>
      </c>
      <c r="H66">
        <v>2900</v>
      </c>
      <c r="I66" s="316">
        <v>639573.63</v>
      </c>
    </row>
    <row r="67" spans="1:9" hidden="1" x14ac:dyDescent="0.3">
      <c r="A67">
        <v>3513</v>
      </c>
      <c r="B67" t="s">
        <v>183</v>
      </c>
      <c r="C67">
        <v>2013</v>
      </c>
      <c r="D67">
        <v>2013</v>
      </c>
      <c r="E67">
        <v>756</v>
      </c>
      <c r="G67" t="s">
        <v>3292</v>
      </c>
      <c r="H67">
        <v>2900</v>
      </c>
      <c r="I67" s="316">
        <v>158306</v>
      </c>
    </row>
    <row r="68" spans="1:9" hidden="1" x14ac:dyDescent="0.3">
      <c r="A68">
        <v>3514</v>
      </c>
      <c r="B68" t="s">
        <v>183</v>
      </c>
      <c r="C68">
        <v>2013</v>
      </c>
      <c r="D68">
        <v>2013</v>
      </c>
      <c r="E68">
        <v>101</v>
      </c>
      <c r="G68" t="s">
        <v>3207</v>
      </c>
      <c r="H68">
        <v>2900</v>
      </c>
      <c r="I68" s="316">
        <v>13706716.34</v>
      </c>
    </row>
    <row r="69" spans="1:9" hidden="1" x14ac:dyDescent="0.3">
      <c r="A69">
        <v>3514</v>
      </c>
      <c r="B69" t="s">
        <v>183</v>
      </c>
      <c r="C69">
        <v>2013</v>
      </c>
      <c r="D69">
        <v>2013</v>
      </c>
      <c r="E69">
        <v>756</v>
      </c>
      <c r="G69" t="s">
        <v>3207</v>
      </c>
      <c r="H69">
        <v>2900</v>
      </c>
      <c r="I69" s="316">
        <v>616601.59999999998</v>
      </c>
    </row>
    <row r="70" spans="1:9" hidden="1" x14ac:dyDescent="0.3">
      <c r="A70">
        <v>3514</v>
      </c>
      <c r="B70" t="s">
        <v>183</v>
      </c>
      <c r="C70">
        <v>2013</v>
      </c>
      <c r="D70">
        <v>2013</v>
      </c>
      <c r="E70">
        <v>799</v>
      </c>
      <c r="G70" t="s">
        <v>3207</v>
      </c>
      <c r="H70">
        <v>2900</v>
      </c>
      <c r="I70" s="316">
        <v>1466643.72</v>
      </c>
    </row>
    <row r="71" spans="1:9" hidden="1" x14ac:dyDescent="0.3">
      <c r="A71">
        <v>3515</v>
      </c>
      <c r="B71" t="s">
        <v>183</v>
      </c>
      <c r="C71">
        <v>2013</v>
      </c>
      <c r="D71">
        <v>2013</v>
      </c>
      <c r="E71">
        <v>101</v>
      </c>
      <c r="G71" t="s">
        <v>3307</v>
      </c>
      <c r="H71">
        <v>2900</v>
      </c>
      <c r="I71" s="316">
        <v>5883477.3900000006</v>
      </c>
    </row>
    <row r="72" spans="1:9" hidden="1" x14ac:dyDescent="0.3">
      <c r="A72">
        <v>3515</v>
      </c>
      <c r="B72" t="s">
        <v>183</v>
      </c>
      <c r="C72">
        <v>2013</v>
      </c>
      <c r="D72">
        <v>2013</v>
      </c>
      <c r="E72">
        <v>756</v>
      </c>
      <c r="G72" t="s">
        <v>3307</v>
      </c>
      <c r="H72">
        <v>2900</v>
      </c>
      <c r="I72" s="316">
        <v>4961835.6899999995</v>
      </c>
    </row>
    <row r="73" spans="1:9" hidden="1" x14ac:dyDescent="0.3">
      <c r="A73">
        <v>3515</v>
      </c>
      <c r="B73" t="s">
        <v>183</v>
      </c>
      <c r="C73">
        <v>2013</v>
      </c>
      <c r="D73">
        <v>2013</v>
      </c>
      <c r="E73">
        <v>799</v>
      </c>
      <c r="G73" t="s">
        <v>3307</v>
      </c>
      <c r="H73">
        <v>2900</v>
      </c>
      <c r="I73" s="316">
        <v>1072374.3500000001</v>
      </c>
    </row>
    <row r="74" spans="1:9" hidden="1" x14ac:dyDescent="0.3">
      <c r="A74">
        <v>3516</v>
      </c>
      <c r="B74" t="s">
        <v>183</v>
      </c>
      <c r="C74">
        <v>2013</v>
      </c>
      <c r="D74">
        <v>2013</v>
      </c>
      <c r="E74">
        <v>101</v>
      </c>
      <c r="G74" t="s">
        <v>3311</v>
      </c>
      <c r="H74">
        <v>2900</v>
      </c>
      <c r="I74" s="316">
        <v>958656.92999999982</v>
      </c>
    </row>
    <row r="75" spans="1:9" hidden="1" x14ac:dyDescent="0.3">
      <c r="A75">
        <v>3516</v>
      </c>
      <c r="B75" t="s">
        <v>183</v>
      </c>
      <c r="C75">
        <v>2013</v>
      </c>
      <c r="D75">
        <v>2013</v>
      </c>
      <c r="E75">
        <v>756</v>
      </c>
      <c r="G75" t="s">
        <v>3311</v>
      </c>
      <c r="H75">
        <v>2900</v>
      </c>
      <c r="I75" s="316">
        <v>50000</v>
      </c>
    </row>
    <row r="76" spans="1:9" hidden="1" x14ac:dyDescent="0.3">
      <c r="A76">
        <v>3517</v>
      </c>
      <c r="B76" t="s">
        <v>183</v>
      </c>
      <c r="C76">
        <v>2013</v>
      </c>
      <c r="D76">
        <v>2013</v>
      </c>
      <c r="E76">
        <v>101</v>
      </c>
      <c r="G76" t="s">
        <v>3310</v>
      </c>
      <c r="H76">
        <v>2900</v>
      </c>
      <c r="I76" s="316">
        <v>10202459.530000001</v>
      </c>
    </row>
    <row r="77" spans="1:9" hidden="1" x14ac:dyDescent="0.3">
      <c r="A77">
        <v>3518</v>
      </c>
      <c r="B77" t="s">
        <v>183</v>
      </c>
      <c r="C77">
        <v>2013</v>
      </c>
      <c r="D77">
        <v>2013</v>
      </c>
      <c r="E77">
        <v>101</v>
      </c>
      <c r="G77" t="s">
        <v>3228</v>
      </c>
      <c r="H77">
        <v>2900</v>
      </c>
      <c r="I77" s="316">
        <v>6207099.4299999997</v>
      </c>
    </row>
    <row r="78" spans="1:9" hidden="1" x14ac:dyDescent="0.3">
      <c r="A78">
        <v>3518</v>
      </c>
      <c r="B78" t="s">
        <v>183</v>
      </c>
      <c r="C78">
        <v>2013</v>
      </c>
      <c r="D78">
        <v>2013</v>
      </c>
      <c r="E78">
        <v>756</v>
      </c>
      <c r="G78" t="s">
        <v>3228</v>
      </c>
      <c r="H78">
        <v>2900</v>
      </c>
      <c r="I78" s="316">
        <v>1099944.05</v>
      </c>
    </row>
    <row r="79" spans="1:9" hidden="1" x14ac:dyDescent="0.3">
      <c r="A79">
        <v>3518</v>
      </c>
      <c r="B79" t="s">
        <v>183</v>
      </c>
      <c r="C79">
        <v>2013</v>
      </c>
      <c r="D79">
        <v>2013</v>
      </c>
      <c r="E79">
        <v>757</v>
      </c>
      <c r="G79" t="s">
        <v>3228</v>
      </c>
      <c r="H79">
        <v>2900</v>
      </c>
      <c r="I79" s="316">
        <v>128263</v>
      </c>
    </row>
    <row r="80" spans="1:9" hidden="1" x14ac:dyDescent="0.3">
      <c r="A80">
        <v>3519</v>
      </c>
      <c r="B80" t="s">
        <v>183</v>
      </c>
      <c r="C80">
        <v>2013</v>
      </c>
      <c r="D80">
        <v>2013</v>
      </c>
      <c r="E80">
        <v>101</v>
      </c>
      <c r="G80" t="s">
        <v>3298</v>
      </c>
      <c r="H80">
        <v>2900</v>
      </c>
      <c r="I80" s="316">
        <v>1467162.7</v>
      </c>
    </row>
    <row r="81" spans="1:9" hidden="1" x14ac:dyDescent="0.3">
      <c r="A81">
        <v>3561</v>
      </c>
      <c r="B81" t="s">
        <v>183</v>
      </c>
      <c r="C81">
        <v>2013</v>
      </c>
      <c r="D81">
        <v>2013</v>
      </c>
      <c r="E81">
        <v>101</v>
      </c>
      <c r="G81" t="s">
        <v>3316</v>
      </c>
      <c r="H81">
        <v>2900</v>
      </c>
      <c r="I81" s="316">
        <v>5500000</v>
      </c>
    </row>
    <row r="82" spans="1:9" hidden="1" x14ac:dyDescent="0.3">
      <c r="A82">
        <v>3611</v>
      </c>
      <c r="B82" t="s">
        <v>183</v>
      </c>
      <c r="C82">
        <v>2013</v>
      </c>
      <c r="D82">
        <v>2013</v>
      </c>
      <c r="E82">
        <v>101</v>
      </c>
      <c r="G82" t="s">
        <v>3283</v>
      </c>
      <c r="H82">
        <v>2900</v>
      </c>
      <c r="I82" s="316">
        <v>3175808.61</v>
      </c>
    </row>
    <row r="83" spans="1:9" hidden="1" x14ac:dyDescent="0.3">
      <c r="A83">
        <v>3611</v>
      </c>
      <c r="B83" t="s">
        <v>183</v>
      </c>
      <c r="C83">
        <v>2013</v>
      </c>
      <c r="D83">
        <v>2013</v>
      </c>
      <c r="E83">
        <v>777</v>
      </c>
      <c r="G83" t="s">
        <v>3283</v>
      </c>
      <c r="H83">
        <v>2900</v>
      </c>
      <c r="I83" s="316">
        <v>1378914.83</v>
      </c>
    </row>
    <row r="84" spans="1:9" hidden="1" x14ac:dyDescent="0.3">
      <c r="A84">
        <v>3621</v>
      </c>
      <c r="B84" t="s">
        <v>183</v>
      </c>
      <c r="C84">
        <v>2013</v>
      </c>
      <c r="D84">
        <v>2013</v>
      </c>
      <c r="E84">
        <v>101</v>
      </c>
      <c r="G84" t="s">
        <v>3296</v>
      </c>
      <c r="H84">
        <v>2900</v>
      </c>
      <c r="I84" s="316">
        <v>2008427.9899999998</v>
      </c>
    </row>
    <row r="85" spans="1:9" x14ac:dyDescent="0.3">
      <c r="A85">
        <v>3711</v>
      </c>
      <c r="B85" t="s">
        <v>183</v>
      </c>
      <c r="C85">
        <v>2013</v>
      </c>
      <c r="D85">
        <v>2013</v>
      </c>
      <c r="E85">
        <v>733</v>
      </c>
      <c r="G85" t="s">
        <v>6065</v>
      </c>
      <c r="H85">
        <v>2900</v>
      </c>
      <c r="I85" s="316">
        <v>1536942.46</v>
      </c>
    </row>
    <row r="86" spans="1:9" hidden="1" x14ac:dyDescent="0.3">
      <c r="A86">
        <v>3711</v>
      </c>
      <c r="B86" t="s">
        <v>183</v>
      </c>
      <c r="C86">
        <v>2013</v>
      </c>
      <c r="D86">
        <v>2013</v>
      </c>
      <c r="E86">
        <v>796</v>
      </c>
      <c r="G86" t="s">
        <v>6065</v>
      </c>
      <c r="H86">
        <v>2900</v>
      </c>
      <c r="I86" s="316">
        <v>921.05</v>
      </c>
    </row>
    <row r="87" spans="1:9" hidden="1" x14ac:dyDescent="0.3">
      <c r="A87">
        <v>3711</v>
      </c>
      <c r="B87" t="s">
        <v>183</v>
      </c>
      <c r="C87">
        <v>2013</v>
      </c>
      <c r="D87">
        <v>2013</v>
      </c>
      <c r="E87">
        <v>8200</v>
      </c>
      <c r="G87" t="s">
        <v>6065</v>
      </c>
      <c r="H87">
        <v>2900</v>
      </c>
      <c r="I87" s="316">
        <v>707436.96</v>
      </c>
    </row>
    <row r="88" spans="1:9" hidden="1" x14ac:dyDescent="0.3">
      <c r="A88">
        <v>3811</v>
      </c>
      <c r="B88" t="s">
        <v>183</v>
      </c>
      <c r="C88">
        <v>2013</v>
      </c>
      <c r="D88">
        <v>2013</v>
      </c>
      <c r="E88">
        <v>101</v>
      </c>
      <c r="G88" t="s">
        <v>3236</v>
      </c>
      <c r="H88">
        <v>2900</v>
      </c>
      <c r="I88" s="316">
        <v>1293340.1199999999</v>
      </c>
    </row>
    <row r="89" spans="1:9" x14ac:dyDescent="0.3">
      <c r="A89">
        <v>3811</v>
      </c>
      <c r="B89" t="s">
        <v>183</v>
      </c>
      <c r="C89">
        <v>2013</v>
      </c>
      <c r="D89">
        <v>2013</v>
      </c>
      <c r="E89">
        <v>733</v>
      </c>
      <c r="G89" t="s">
        <v>3236</v>
      </c>
      <c r="H89">
        <v>2900</v>
      </c>
      <c r="I89" s="316">
        <v>188216.77</v>
      </c>
    </row>
    <row r="90" spans="1:9" hidden="1" x14ac:dyDescent="0.3">
      <c r="A90">
        <v>3811</v>
      </c>
      <c r="B90" t="s">
        <v>183</v>
      </c>
      <c r="C90">
        <v>2013</v>
      </c>
      <c r="D90">
        <v>2013</v>
      </c>
      <c r="E90">
        <v>736</v>
      </c>
      <c r="G90" t="s">
        <v>3236</v>
      </c>
      <c r="H90">
        <v>2900</v>
      </c>
      <c r="I90" s="316">
        <v>352633.16000000003</v>
      </c>
    </row>
    <row r="91" spans="1:9" hidden="1" x14ac:dyDescent="0.3">
      <c r="A91">
        <v>4241</v>
      </c>
      <c r="B91" t="s">
        <v>183</v>
      </c>
      <c r="C91">
        <v>2013</v>
      </c>
      <c r="D91">
        <v>2013</v>
      </c>
      <c r="E91">
        <v>101</v>
      </c>
      <c r="G91" t="s">
        <v>3309</v>
      </c>
      <c r="H91">
        <v>2900</v>
      </c>
      <c r="I91" s="316">
        <v>176314.94999999998</v>
      </c>
    </row>
    <row r="92" spans="1:9" hidden="1" x14ac:dyDescent="0.3">
      <c r="A92">
        <v>4241</v>
      </c>
      <c r="B92" t="s">
        <v>183</v>
      </c>
      <c r="C92">
        <v>2013</v>
      </c>
      <c r="D92">
        <v>2013</v>
      </c>
      <c r="E92">
        <v>607</v>
      </c>
      <c r="G92" t="s">
        <v>3309</v>
      </c>
      <c r="H92">
        <v>2900</v>
      </c>
      <c r="I92" s="316">
        <v>295524.3</v>
      </c>
    </row>
    <row r="93" spans="1:9" hidden="1" x14ac:dyDescent="0.3">
      <c r="A93">
        <v>4251</v>
      </c>
      <c r="B93" t="s">
        <v>183</v>
      </c>
      <c r="C93">
        <v>2013</v>
      </c>
      <c r="D93">
        <v>2013</v>
      </c>
      <c r="E93">
        <v>101</v>
      </c>
      <c r="G93" t="s">
        <v>3317</v>
      </c>
      <c r="H93">
        <v>2900</v>
      </c>
      <c r="I93" s="316">
        <v>3256191.69</v>
      </c>
    </row>
    <row r="94" spans="1:9" hidden="1" x14ac:dyDescent="0.3">
      <c r="A94">
        <v>4251</v>
      </c>
      <c r="B94" t="s">
        <v>183</v>
      </c>
      <c r="C94">
        <v>2013</v>
      </c>
      <c r="D94">
        <v>2013</v>
      </c>
      <c r="E94">
        <v>613</v>
      </c>
      <c r="G94" t="s">
        <v>3317</v>
      </c>
      <c r="H94">
        <v>2900</v>
      </c>
      <c r="I94" s="316">
        <v>53872.37</v>
      </c>
    </row>
    <row r="95" spans="1:9" hidden="1" x14ac:dyDescent="0.3">
      <c r="A95">
        <v>4251</v>
      </c>
      <c r="B95" t="s">
        <v>183</v>
      </c>
      <c r="C95">
        <v>2013</v>
      </c>
      <c r="D95">
        <v>2013</v>
      </c>
      <c r="E95">
        <v>704</v>
      </c>
      <c r="G95" t="s">
        <v>3317</v>
      </c>
      <c r="H95">
        <v>2900</v>
      </c>
      <c r="I95" s="316">
        <v>24000</v>
      </c>
    </row>
    <row r="96" spans="1:9" hidden="1" x14ac:dyDescent="0.3">
      <c r="A96">
        <v>4311</v>
      </c>
      <c r="B96" t="s">
        <v>183</v>
      </c>
      <c r="C96">
        <v>2013</v>
      </c>
      <c r="D96">
        <v>2013</v>
      </c>
      <c r="E96">
        <v>101</v>
      </c>
      <c r="G96" t="s">
        <v>3277</v>
      </c>
      <c r="H96">
        <v>2900</v>
      </c>
      <c r="I96" s="316">
        <v>3715846.3400000003</v>
      </c>
    </row>
    <row r="97" spans="1:9" hidden="1" x14ac:dyDescent="0.3">
      <c r="A97">
        <v>4311</v>
      </c>
      <c r="B97" t="s">
        <v>183</v>
      </c>
      <c r="C97">
        <v>2013</v>
      </c>
      <c r="D97">
        <v>2013</v>
      </c>
      <c r="E97">
        <v>8200</v>
      </c>
      <c r="G97" t="s">
        <v>3277</v>
      </c>
      <c r="H97">
        <v>2900</v>
      </c>
      <c r="I97" s="316">
        <v>319713.97999999992</v>
      </c>
    </row>
    <row r="98" spans="1:9" hidden="1" x14ac:dyDescent="0.3">
      <c r="A98">
        <v>4521</v>
      </c>
      <c r="B98" t="s">
        <v>183</v>
      </c>
      <c r="C98">
        <v>2013</v>
      </c>
      <c r="D98">
        <v>2013</v>
      </c>
      <c r="E98">
        <v>101</v>
      </c>
      <c r="G98" t="s">
        <v>3315</v>
      </c>
      <c r="H98">
        <v>2900</v>
      </c>
      <c r="I98" s="316">
        <v>4922747</v>
      </c>
    </row>
    <row r="99" spans="1:9" hidden="1" x14ac:dyDescent="0.3">
      <c r="A99">
        <v>4521</v>
      </c>
      <c r="B99" t="s">
        <v>183</v>
      </c>
      <c r="C99">
        <v>2013</v>
      </c>
      <c r="D99">
        <v>2013</v>
      </c>
      <c r="E99">
        <v>634</v>
      </c>
      <c r="G99" t="s">
        <v>3315</v>
      </c>
      <c r="H99">
        <v>2900</v>
      </c>
      <c r="I99" s="316">
        <v>8484750.4299999997</v>
      </c>
    </row>
    <row r="100" spans="1:9" hidden="1" x14ac:dyDescent="0.3">
      <c r="A100">
        <v>4561</v>
      </c>
      <c r="B100" t="s">
        <v>183</v>
      </c>
      <c r="C100">
        <v>2013</v>
      </c>
      <c r="D100">
        <v>2013</v>
      </c>
      <c r="E100">
        <v>101</v>
      </c>
      <c r="G100" t="s">
        <v>3314</v>
      </c>
      <c r="H100">
        <v>2900</v>
      </c>
      <c r="I100" s="316">
        <v>1462517.93</v>
      </c>
    </row>
    <row r="101" spans="1:9" hidden="1" x14ac:dyDescent="0.3">
      <c r="A101">
        <v>4561</v>
      </c>
      <c r="B101" t="s">
        <v>183</v>
      </c>
      <c r="C101">
        <v>2013</v>
      </c>
      <c r="D101">
        <v>2013</v>
      </c>
      <c r="E101">
        <v>611</v>
      </c>
      <c r="G101" t="s">
        <v>3314</v>
      </c>
      <c r="H101">
        <v>2900</v>
      </c>
      <c r="I101" s="316">
        <v>117253.51000000001</v>
      </c>
    </row>
    <row r="102" spans="1:9" hidden="1" x14ac:dyDescent="0.3">
      <c r="A102">
        <v>4561</v>
      </c>
      <c r="B102" t="s">
        <v>183</v>
      </c>
      <c r="C102">
        <v>2013</v>
      </c>
      <c r="D102">
        <v>2013</v>
      </c>
      <c r="E102">
        <v>634</v>
      </c>
      <c r="G102" t="s">
        <v>3314</v>
      </c>
      <c r="H102">
        <v>2900</v>
      </c>
      <c r="I102" s="316">
        <v>5110</v>
      </c>
    </row>
    <row r="103" spans="1:9" hidden="1" x14ac:dyDescent="0.3">
      <c r="A103">
        <v>4571</v>
      </c>
      <c r="B103" t="s">
        <v>183</v>
      </c>
      <c r="C103">
        <v>2013</v>
      </c>
      <c r="D103">
        <v>2013</v>
      </c>
      <c r="E103">
        <v>101</v>
      </c>
      <c r="G103" t="s">
        <v>3215</v>
      </c>
      <c r="H103">
        <v>2900</v>
      </c>
      <c r="I103" s="316">
        <v>524732.54</v>
      </c>
    </row>
    <row r="104" spans="1:9" hidden="1" x14ac:dyDescent="0.3">
      <c r="A104">
        <v>4581</v>
      </c>
      <c r="B104" t="s">
        <v>183</v>
      </c>
      <c r="C104">
        <v>2013</v>
      </c>
      <c r="D104">
        <v>2013</v>
      </c>
      <c r="E104">
        <v>101</v>
      </c>
      <c r="G104" t="s">
        <v>3150</v>
      </c>
      <c r="H104">
        <v>2900</v>
      </c>
      <c r="I104" s="316">
        <v>7935355.5800000001</v>
      </c>
    </row>
    <row r="105" spans="1:9" hidden="1" x14ac:dyDescent="0.3">
      <c r="A105">
        <v>4581</v>
      </c>
      <c r="B105" t="s">
        <v>183</v>
      </c>
      <c r="C105">
        <v>2013</v>
      </c>
      <c r="D105">
        <v>2013</v>
      </c>
      <c r="E105">
        <v>611</v>
      </c>
      <c r="G105" t="s">
        <v>3150</v>
      </c>
      <c r="H105">
        <v>2900</v>
      </c>
      <c r="I105" s="316">
        <v>100000</v>
      </c>
    </row>
    <row r="106" spans="1:9" hidden="1" x14ac:dyDescent="0.3">
      <c r="A106">
        <v>4581</v>
      </c>
      <c r="B106" t="s">
        <v>183</v>
      </c>
      <c r="C106">
        <v>2013</v>
      </c>
      <c r="D106">
        <v>2013</v>
      </c>
      <c r="E106">
        <v>740</v>
      </c>
      <c r="G106" t="s">
        <v>3150</v>
      </c>
      <c r="H106">
        <v>2900</v>
      </c>
      <c r="I106" s="316">
        <v>400000</v>
      </c>
    </row>
    <row r="107" spans="1:9" hidden="1" x14ac:dyDescent="0.3">
      <c r="A107">
        <v>4581</v>
      </c>
      <c r="B107" t="s">
        <v>183</v>
      </c>
      <c r="C107">
        <v>2013</v>
      </c>
      <c r="D107">
        <v>2013</v>
      </c>
      <c r="E107">
        <v>742</v>
      </c>
      <c r="G107" t="s">
        <v>3150</v>
      </c>
      <c r="H107">
        <v>2900</v>
      </c>
      <c r="I107" s="316">
        <v>11720000</v>
      </c>
    </row>
    <row r="108" spans="1:9" hidden="1" x14ac:dyDescent="0.3">
      <c r="A108">
        <v>4581</v>
      </c>
      <c r="B108" t="s">
        <v>183</v>
      </c>
      <c r="C108">
        <v>2013</v>
      </c>
      <c r="D108">
        <v>2013</v>
      </c>
      <c r="E108">
        <v>743</v>
      </c>
      <c r="G108" t="s">
        <v>3150</v>
      </c>
      <c r="H108">
        <v>2900</v>
      </c>
      <c r="I108" s="316">
        <v>5100000</v>
      </c>
    </row>
    <row r="109" spans="1:9" hidden="1" x14ac:dyDescent="0.3">
      <c r="A109">
        <v>4581</v>
      </c>
      <c r="B109" t="s">
        <v>183</v>
      </c>
      <c r="C109">
        <v>2013</v>
      </c>
      <c r="D109">
        <v>2013</v>
      </c>
      <c r="E109">
        <v>744</v>
      </c>
      <c r="G109" t="s">
        <v>3150</v>
      </c>
      <c r="H109">
        <v>2900</v>
      </c>
      <c r="I109" s="316">
        <v>550000</v>
      </c>
    </row>
    <row r="110" spans="1:9" hidden="1" x14ac:dyDescent="0.3">
      <c r="A110">
        <v>4581</v>
      </c>
      <c r="B110" t="s">
        <v>183</v>
      </c>
      <c r="C110">
        <v>2013</v>
      </c>
      <c r="D110">
        <v>2013</v>
      </c>
      <c r="E110">
        <v>761</v>
      </c>
      <c r="G110" t="s">
        <v>3150</v>
      </c>
      <c r="H110">
        <v>2900</v>
      </c>
      <c r="I110" s="316">
        <v>1126255</v>
      </c>
    </row>
    <row r="111" spans="1:9" hidden="1" x14ac:dyDescent="0.3">
      <c r="A111">
        <v>4581</v>
      </c>
      <c r="B111" t="s">
        <v>183</v>
      </c>
      <c r="C111">
        <v>2013</v>
      </c>
      <c r="D111">
        <v>2013</v>
      </c>
      <c r="E111">
        <v>767</v>
      </c>
      <c r="G111" t="s">
        <v>3150</v>
      </c>
      <c r="H111">
        <v>2900</v>
      </c>
      <c r="I111" s="316">
        <v>4823000</v>
      </c>
    </row>
    <row r="112" spans="1:9" hidden="1" x14ac:dyDescent="0.3">
      <c r="A112">
        <v>4581</v>
      </c>
      <c r="B112" t="s">
        <v>183</v>
      </c>
      <c r="C112">
        <v>2013</v>
      </c>
      <c r="D112">
        <v>2013</v>
      </c>
      <c r="E112">
        <v>771</v>
      </c>
      <c r="G112" t="s">
        <v>3150</v>
      </c>
      <c r="H112">
        <v>2900</v>
      </c>
      <c r="I112" s="316">
        <v>1300000</v>
      </c>
    </row>
    <row r="113" spans="1:9" hidden="1" x14ac:dyDescent="0.3">
      <c r="A113">
        <v>4581</v>
      </c>
      <c r="B113" t="s">
        <v>183</v>
      </c>
      <c r="C113">
        <v>2013</v>
      </c>
      <c r="D113">
        <v>2013</v>
      </c>
      <c r="E113">
        <v>772</v>
      </c>
      <c r="G113" t="s">
        <v>3150</v>
      </c>
      <c r="H113">
        <v>2900</v>
      </c>
      <c r="I113" s="316">
        <v>477000</v>
      </c>
    </row>
    <row r="114" spans="1:9" hidden="1" x14ac:dyDescent="0.3">
      <c r="A114">
        <v>4711</v>
      </c>
      <c r="B114" t="s">
        <v>183</v>
      </c>
      <c r="C114">
        <v>2013</v>
      </c>
      <c r="D114">
        <v>2013</v>
      </c>
      <c r="E114">
        <v>101</v>
      </c>
      <c r="G114" t="s">
        <v>3168</v>
      </c>
      <c r="H114">
        <v>2900</v>
      </c>
      <c r="I114" s="316">
        <v>48459517.210000001</v>
      </c>
    </row>
    <row r="115" spans="1:9" hidden="1" x14ac:dyDescent="0.3">
      <c r="A115">
        <v>4711</v>
      </c>
      <c r="B115" t="s">
        <v>183</v>
      </c>
      <c r="C115">
        <v>2013</v>
      </c>
      <c r="D115">
        <v>2013</v>
      </c>
      <c r="E115">
        <v>604</v>
      </c>
      <c r="G115" t="s">
        <v>3168</v>
      </c>
      <c r="H115">
        <v>2900</v>
      </c>
      <c r="I115" s="316">
        <v>70621.649999999994</v>
      </c>
    </row>
    <row r="116" spans="1:9" hidden="1" x14ac:dyDescent="0.3">
      <c r="A116">
        <v>4730</v>
      </c>
      <c r="B116" t="s">
        <v>183</v>
      </c>
      <c r="C116">
        <v>2013</v>
      </c>
      <c r="D116">
        <v>2013</v>
      </c>
      <c r="E116">
        <v>101</v>
      </c>
      <c r="G116" t="s">
        <v>6066</v>
      </c>
      <c r="H116">
        <v>2900</v>
      </c>
      <c r="I116" s="316">
        <v>7580029.8100000005</v>
      </c>
    </row>
    <row r="117" spans="1:9" hidden="1" x14ac:dyDescent="0.3">
      <c r="A117">
        <v>5120</v>
      </c>
      <c r="B117" t="s">
        <v>183</v>
      </c>
      <c r="C117">
        <v>2013</v>
      </c>
      <c r="D117">
        <v>2013</v>
      </c>
      <c r="E117">
        <v>101</v>
      </c>
      <c r="G117" t="s">
        <v>3302</v>
      </c>
      <c r="H117">
        <v>2900</v>
      </c>
      <c r="I117" s="316">
        <v>1928519.6600000001</v>
      </c>
    </row>
    <row r="118" spans="1:9" x14ac:dyDescent="0.3">
      <c r="A118">
        <v>5120</v>
      </c>
      <c r="B118" t="s">
        <v>183</v>
      </c>
      <c r="C118">
        <v>2013</v>
      </c>
      <c r="D118">
        <v>2013</v>
      </c>
      <c r="E118">
        <v>733</v>
      </c>
      <c r="G118" t="s">
        <v>3302</v>
      </c>
      <c r="H118">
        <v>2900</v>
      </c>
      <c r="I118" s="316">
        <v>154543.95000000001</v>
      </c>
    </row>
    <row r="119" spans="1:9" hidden="1" x14ac:dyDescent="0.3">
      <c r="A119">
        <v>5120</v>
      </c>
      <c r="B119" t="s">
        <v>183</v>
      </c>
      <c r="C119">
        <v>2013</v>
      </c>
      <c r="D119">
        <v>2013</v>
      </c>
      <c r="E119">
        <v>735</v>
      </c>
      <c r="G119" t="s">
        <v>3302</v>
      </c>
      <c r="H119">
        <v>2900</v>
      </c>
      <c r="I119" s="316">
        <v>7723.38</v>
      </c>
    </row>
    <row r="120" spans="1:9" hidden="1" x14ac:dyDescent="0.3">
      <c r="A120">
        <v>5120</v>
      </c>
      <c r="B120" t="s">
        <v>183</v>
      </c>
      <c r="C120">
        <v>2013</v>
      </c>
      <c r="D120">
        <v>2013</v>
      </c>
      <c r="E120">
        <v>8110</v>
      </c>
      <c r="G120" t="s">
        <v>3302</v>
      </c>
      <c r="H120">
        <v>2900</v>
      </c>
      <c r="I120" s="316">
        <v>355951.62</v>
      </c>
    </row>
    <row r="121" spans="1:9" hidden="1" x14ac:dyDescent="0.3">
      <c r="A121">
        <v>5130</v>
      </c>
      <c r="B121" t="s">
        <v>183</v>
      </c>
      <c r="C121">
        <v>2013</v>
      </c>
      <c r="D121">
        <v>2013</v>
      </c>
      <c r="E121">
        <v>101</v>
      </c>
      <c r="G121" t="s">
        <v>3169</v>
      </c>
      <c r="H121">
        <v>2900</v>
      </c>
      <c r="I121" s="316">
        <v>2027255.96</v>
      </c>
    </row>
    <row r="122" spans="1:9" x14ac:dyDescent="0.3">
      <c r="A122">
        <v>5130</v>
      </c>
      <c r="B122" t="s">
        <v>183</v>
      </c>
      <c r="C122">
        <v>2013</v>
      </c>
      <c r="D122">
        <v>2013</v>
      </c>
      <c r="E122">
        <v>733</v>
      </c>
      <c r="G122" t="s">
        <v>3169</v>
      </c>
      <c r="H122">
        <v>2900</v>
      </c>
      <c r="I122" s="316">
        <v>151429.34</v>
      </c>
    </row>
    <row r="123" spans="1:9" hidden="1" x14ac:dyDescent="0.3">
      <c r="A123">
        <v>5130</v>
      </c>
      <c r="B123" t="s">
        <v>183</v>
      </c>
      <c r="C123">
        <v>2013</v>
      </c>
      <c r="D123">
        <v>2013</v>
      </c>
      <c r="E123">
        <v>735</v>
      </c>
      <c r="G123" t="s">
        <v>3169</v>
      </c>
      <c r="H123">
        <v>2900</v>
      </c>
      <c r="I123" s="316">
        <v>97887.47</v>
      </c>
    </row>
    <row r="124" spans="1:9" hidden="1" x14ac:dyDescent="0.3">
      <c r="A124">
        <v>5130</v>
      </c>
      <c r="B124" t="s">
        <v>183</v>
      </c>
      <c r="C124">
        <v>2013</v>
      </c>
      <c r="D124">
        <v>2013</v>
      </c>
      <c r="E124">
        <v>8110</v>
      </c>
      <c r="G124" t="s">
        <v>3169</v>
      </c>
      <c r="H124">
        <v>2900</v>
      </c>
      <c r="I124" s="316">
        <v>172680.36</v>
      </c>
    </row>
    <row r="125" spans="1:9" hidden="1" x14ac:dyDescent="0.3">
      <c r="A125">
        <v>5140</v>
      </c>
      <c r="B125" t="s">
        <v>183</v>
      </c>
      <c r="C125">
        <v>2013</v>
      </c>
      <c r="D125">
        <v>2013</v>
      </c>
      <c r="E125">
        <v>101</v>
      </c>
      <c r="G125" t="s">
        <v>3241</v>
      </c>
      <c r="H125">
        <v>2900</v>
      </c>
      <c r="I125" s="316">
        <v>5023370.0299999984</v>
      </c>
    </row>
    <row r="126" spans="1:9" x14ac:dyDescent="0.3">
      <c r="A126">
        <v>5140</v>
      </c>
      <c r="B126" t="s">
        <v>183</v>
      </c>
      <c r="C126">
        <v>2013</v>
      </c>
      <c r="D126">
        <v>2013</v>
      </c>
      <c r="E126">
        <v>733</v>
      </c>
      <c r="G126" t="s">
        <v>3241</v>
      </c>
      <c r="H126">
        <v>2900</v>
      </c>
      <c r="I126" s="316">
        <v>199736.26</v>
      </c>
    </row>
    <row r="127" spans="1:9" hidden="1" x14ac:dyDescent="0.3">
      <c r="A127">
        <v>5140</v>
      </c>
      <c r="B127" t="s">
        <v>183</v>
      </c>
      <c r="C127">
        <v>2013</v>
      </c>
      <c r="D127">
        <v>2013</v>
      </c>
      <c r="E127">
        <v>735</v>
      </c>
      <c r="G127" t="s">
        <v>3241</v>
      </c>
      <c r="H127">
        <v>2900</v>
      </c>
      <c r="I127" s="316">
        <v>142263.5</v>
      </c>
    </row>
    <row r="128" spans="1:9" hidden="1" x14ac:dyDescent="0.3">
      <c r="A128">
        <v>5140</v>
      </c>
      <c r="B128" t="s">
        <v>183</v>
      </c>
      <c r="C128">
        <v>2013</v>
      </c>
      <c r="D128">
        <v>2013</v>
      </c>
      <c r="E128">
        <v>8110</v>
      </c>
      <c r="G128" t="s">
        <v>3241</v>
      </c>
      <c r="H128">
        <v>2900</v>
      </c>
      <c r="I128" s="316">
        <v>187325.63</v>
      </c>
    </row>
    <row r="129" spans="1:9" hidden="1" x14ac:dyDescent="0.3">
      <c r="A129">
        <v>5150</v>
      </c>
      <c r="B129" t="s">
        <v>183</v>
      </c>
      <c r="C129">
        <v>2013</v>
      </c>
      <c r="D129">
        <v>2013</v>
      </c>
      <c r="E129">
        <v>101</v>
      </c>
      <c r="G129" t="s">
        <v>3242</v>
      </c>
      <c r="H129">
        <v>2900</v>
      </c>
      <c r="I129" s="316">
        <v>5443288.5099999998</v>
      </c>
    </row>
    <row r="130" spans="1:9" x14ac:dyDescent="0.3">
      <c r="A130">
        <v>5150</v>
      </c>
      <c r="B130" t="s">
        <v>183</v>
      </c>
      <c r="C130">
        <v>2013</v>
      </c>
      <c r="D130">
        <v>2013</v>
      </c>
      <c r="E130">
        <v>733</v>
      </c>
      <c r="G130" t="s">
        <v>3242</v>
      </c>
      <c r="H130">
        <v>2900</v>
      </c>
      <c r="I130" s="316">
        <v>165880.72000000003</v>
      </c>
    </row>
    <row r="131" spans="1:9" hidden="1" x14ac:dyDescent="0.3">
      <c r="A131">
        <v>5150</v>
      </c>
      <c r="B131" t="s">
        <v>183</v>
      </c>
      <c r="C131">
        <v>2013</v>
      </c>
      <c r="D131">
        <v>2013</v>
      </c>
      <c r="E131">
        <v>735</v>
      </c>
      <c r="G131" t="s">
        <v>3242</v>
      </c>
      <c r="H131">
        <v>2900</v>
      </c>
      <c r="I131" s="316">
        <v>108783.28</v>
      </c>
    </row>
    <row r="132" spans="1:9" hidden="1" x14ac:dyDescent="0.3">
      <c r="A132">
        <v>5150</v>
      </c>
      <c r="B132" t="s">
        <v>183</v>
      </c>
      <c r="C132">
        <v>2013</v>
      </c>
      <c r="D132">
        <v>2013</v>
      </c>
      <c r="E132">
        <v>8110</v>
      </c>
      <c r="G132" t="s">
        <v>3242</v>
      </c>
      <c r="H132">
        <v>2900</v>
      </c>
      <c r="I132" s="316">
        <v>559194.9</v>
      </c>
    </row>
    <row r="133" spans="1:9" hidden="1" x14ac:dyDescent="0.3">
      <c r="A133">
        <v>5160</v>
      </c>
      <c r="B133" t="s">
        <v>183</v>
      </c>
      <c r="C133">
        <v>2013</v>
      </c>
      <c r="D133">
        <v>2013</v>
      </c>
      <c r="E133">
        <v>101</v>
      </c>
      <c r="G133" t="s">
        <v>3194</v>
      </c>
      <c r="H133">
        <v>2900</v>
      </c>
      <c r="I133" s="316">
        <v>3615135.14</v>
      </c>
    </row>
    <row r="134" spans="1:9" x14ac:dyDescent="0.3">
      <c r="A134">
        <v>5160</v>
      </c>
      <c r="B134" t="s">
        <v>183</v>
      </c>
      <c r="C134">
        <v>2013</v>
      </c>
      <c r="D134">
        <v>2013</v>
      </c>
      <c r="E134">
        <v>733</v>
      </c>
      <c r="G134" t="s">
        <v>3194</v>
      </c>
      <c r="H134">
        <v>2900</v>
      </c>
      <c r="I134" s="316">
        <v>161851.70000000001</v>
      </c>
    </row>
    <row r="135" spans="1:9" hidden="1" x14ac:dyDescent="0.3">
      <c r="A135">
        <v>5160</v>
      </c>
      <c r="B135" t="s">
        <v>183</v>
      </c>
      <c r="C135">
        <v>2013</v>
      </c>
      <c r="D135">
        <v>2013</v>
      </c>
      <c r="E135">
        <v>735</v>
      </c>
      <c r="G135" t="s">
        <v>3194</v>
      </c>
      <c r="H135">
        <v>2900</v>
      </c>
      <c r="I135" s="316">
        <v>125098.01999999999</v>
      </c>
    </row>
    <row r="136" spans="1:9" hidden="1" x14ac:dyDescent="0.3">
      <c r="A136">
        <v>5160</v>
      </c>
      <c r="B136" t="s">
        <v>183</v>
      </c>
      <c r="C136">
        <v>2013</v>
      </c>
      <c r="D136">
        <v>2013</v>
      </c>
      <c r="E136">
        <v>8110</v>
      </c>
      <c r="G136" t="s">
        <v>3194</v>
      </c>
      <c r="H136">
        <v>2900</v>
      </c>
      <c r="I136" s="316">
        <v>512111.64999999997</v>
      </c>
    </row>
    <row r="137" spans="1:9" hidden="1" x14ac:dyDescent="0.3">
      <c r="A137">
        <v>5200</v>
      </c>
      <c r="B137" t="s">
        <v>183</v>
      </c>
      <c r="C137">
        <v>2013</v>
      </c>
      <c r="D137">
        <v>2013</v>
      </c>
      <c r="E137">
        <v>101</v>
      </c>
      <c r="G137" t="s">
        <v>3281</v>
      </c>
      <c r="H137">
        <v>2900</v>
      </c>
      <c r="I137" s="316">
        <v>2799908.5999999996</v>
      </c>
    </row>
    <row r="138" spans="1:9" hidden="1" x14ac:dyDescent="0.3">
      <c r="A138">
        <v>5200</v>
      </c>
      <c r="B138" t="s">
        <v>183</v>
      </c>
      <c r="C138">
        <v>2013</v>
      </c>
      <c r="D138">
        <v>2013</v>
      </c>
      <c r="E138">
        <v>735</v>
      </c>
      <c r="G138" t="s">
        <v>3281</v>
      </c>
      <c r="H138">
        <v>2900</v>
      </c>
      <c r="I138" s="316">
        <v>103137.72</v>
      </c>
    </row>
    <row r="139" spans="1:9" hidden="1" x14ac:dyDescent="0.3">
      <c r="A139">
        <v>5200</v>
      </c>
      <c r="B139" t="s">
        <v>183</v>
      </c>
      <c r="C139">
        <v>2013</v>
      </c>
      <c r="D139">
        <v>2013</v>
      </c>
      <c r="E139">
        <v>8110</v>
      </c>
      <c r="G139" t="s">
        <v>3281</v>
      </c>
      <c r="H139">
        <v>2900</v>
      </c>
      <c r="I139" s="316">
        <v>513510.15</v>
      </c>
    </row>
    <row r="140" spans="1:9" hidden="1" x14ac:dyDescent="0.3">
      <c r="A140">
        <v>5210</v>
      </c>
      <c r="B140" t="s">
        <v>183</v>
      </c>
      <c r="C140">
        <v>2013</v>
      </c>
      <c r="D140">
        <v>2013</v>
      </c>
      <c r="E140">
        <v>101</v>
      </c>
      <c r="G140" t="s">
        <v>3181</v>
      </c>
      <c r="H140">
        <v>2900</v>
      </c>
      <c r="I140" s="316">
        <v>5384060.6400000006</v>
      </c>
    </row>
    <row r="141" spans="1:9" x14ac:dyDescent="0.3">
      <c r="A141">
        <v>5210</v>
      </c>
      <c r="B141" t="s">
        <v>183</v>
      </c>
      <c r="C141">
        <v>2013</v>
      </c>
      <c r="D141">
        <v>2013</v>
      </c>
      <c r="E141">
        <v>733</v>
      </c>
      <c r="G141" t="s">
        <v>3181</v>
      </c>
      <c r="H141">
        <v>2900</v>
      </c>
      <c r="I141" s="316">
        <v>285206.93</v>
      </c>
    </row>
    <row r="142" spans="1:9" hidden="1" x14ac:dyDescent="0.3">
      <c r="A142">
        <v>5210</v>
      </c>
      <c r="B142" t="s">
        <v>183</v>
      </c>
      <c r="C142">
        <v>2013</v>
      </c>
      <c r="D142">
        <v>2013</v>
      </c>
      <c r="E142">
        <v>735</v>
      </c>
      <c r="G142" t="s">
        <v>3181</v>
      </c>
      <c r="H142">
        <v>2900</v>
      </c>
      <c r="I142" s="316">
        <v>76249.97</v>
      </c>
    </row>
    <row r="143" spans="1:9" hidden="1" x14ac:dyDescent="0.3">
      <c r="A143">
        <v>5210</v>
      </c>
      <c r="B143" t="s">
        <v>183</v>
      </c>
      <c r="C143">
        <v>2013</v>
      </c>
      <c r="D143">
        <v>2013</v>
      </c>
      <c r="E143">
        <v>8110</v>
      </c>
      <c r="G143" t="s">
        <v>3181</v>
      </c>
      <c r="H143">
        <v>2900</v>
      </c>
      <c r="I143" s="316">
        <v>280923.49</v>
      </c>
    </row>
    <row r="144" spans="1:9" hidden="1" x14ac:dyDescent="0.3">
      <c r="A144">
        <v>5220</v>
      </c>
      <c r="B144" t="s">
        <v>183</v>
      </c>
      <c r="C144">
        <v>2013</v>
      </c>
      <c r="D144">
        <v>2013</v>
      </c>
      <c r="E144">
        <v>101</v>
      </c>
      <c r="G144" t="s">
        <v>3187</v>
      </c>
      <c r="H144">
        <v>2900</v>
      </c>
      <c r="I144" s="316">
        <v>2584065.3200000003</v>
      </c>
    </row>
    <row r="145" spans="1:9" x14ac:dyDescent="0.3">
      <c r="A145">
        <v>5220</v>
      </c>
      <c r="B145" t="s">
        <v>183</v>
      </c>
      <c r="C145">
        <v>2013</v>
      </c>
      <c r="D145">
        <v>2013</v>
      </c>
      <c r="E145">
        <v>733</v>
      </c>
      <c r="G145" t="s">
        <v>3187</v>
      </c>
      <c r="H145">
        <v>2900</v>
      </c>
      <c r="I145" s="316">
        <v>129100.02</v>
      </c>
    </row>
    <row r="146" spans="1:9" hidden="1" x14ac:dyDescent="0.3">
      <c r="A146">
        <v>5220</v>
      </c>
      <c r="B146" t="s">
        <v>183</v>
      </c>
      <c r="C146">
        <v>2013</v>
      </c>
      <c r="D146">
        <v>2013</v>
      </c>
      <c r="E146">
        <v>735</v>
      </c>
      <c r="G146" t="s">
        <v>3187</v>
      </c>
      <c r="H146">
        <v>2900</v>
      </c>
      <c r="I146" s="316">
        <v>7672.61</v>
      </c>
    </row>
    <row r="147" spans="1:9" hidden="1" x14ac:dyDescent="0.3">
      <c r="A147">
        <v>5220</v>
      </c>
      <c r="B147" t="s">
        <v>183</v>
      </c>
      <c r="C147">
        <v>2013</v>
      </c>
      <c r="D147">
        <v>2013</v>
      </c>
      <c r="E147">
        <v>8110</v>
      </c>
      <c r="G147" t="s">
        <v>3187</v>
      </c>
      <c r="H147">
        <v>2900</v>
      </c>
      <c r="I147" s="316">
        <v>125998.61</v>
      </c>
    </row>
    <row r="148" spans="1:9" hidden="1" x14ac:dyDescent="0.3">
      <c r="A148">
        <v>5230</v>
      </c>
      <c r="B148" t="s">
        <v>183</v>
      </c>
      <c r="C148">
        <v>2013</v>
      </c>
      <c r="D148">
        <v>2013</v>
      </c>
      <c r="E148">
        <v>101</v>
      </c>
      <c r="G148" t="s">
        <v>3255</v>
      </c>
      <c r="H148">
        <v>2900</v>
      </c>
      <c r="I148" s="316">
        <v>4464938.7799999993</v>
      </c>
    </row>
    <row r="149" spans="1:9" x14ac:dyDescent="0.3">
      <c r="A149">
        <v>5230</v>
      </c>
      <c r="B149" t="s">
        <v>183</v>
      </c>
      <c r="C149">
        <v>2013</v>
      </c>
      <c r="D149">
        <v>2013</v>
      </c>
      <c r="E149">
        <v>733</v>
      </c>
      <c r="G149" t="s">
        <v>3255</v>
      </c>
      <c r="H149">
        <v>2900</v>
      </c>
      <c r="I149" s="316">
        <v>196728.31</v>
      </c>
    </row>
    <row r="150" spans="1:9" hidden="1" x14ac:dyDescent="0.3">
      <c r="A150">
        <v>5230</v>
      </c>
      <c r="B150" t="s">
        <v>183</v>
      </c>
      <c r="C150">
        <v>2013</v>
      </c>
      <c r="D150">
        <v>2013</v>
      </c>
      <c r="E150">
        <v>735</v>
      </c>
      <c r="G150" t="s">
        <v>3255</v>
      </c>
      <c r="H150">
        <v>2900</v>
      </c>
      <c r="I150" s="316">
        <v>81191.079999999987</v>
      </c>
    </row>
    <row r="151" spans="1:9" hidden="1" x14ac:dyDescent="0.3">
      <c r="A151">
        <v>5230</v>
      </c>
      <c r="B151" t="s">
        <v>183</v>
      </c>
      <c r="C151">
        <v>2013</v>
      </c>
      <c r="D151">
        <v>2013</v>
      </c>
      <c r="E151">
        <v>8110</v>
      </c>
      <c r="G151" t="s">
        <v>3255</v>
      </c>
      <c r="H151">
        <v>2900</v>
      </c>
      <c r="I151" s="316">
        <v>902119.89</v>
      </c>
    </row>
    <row r="152" spans="1:9" hidden="1" x14ac:dyDescent="0.3">
      <c r="A152">
        <v>5250</v>
      </c>
      <c r="B152" t="s">
        <v>183</v>
      </c>
      <c r="C152">
        <v>2013</v>
      </c>
      <c r="D152">
        <v>2013</v>
      </c>
      <c r="E152">
        <v>101</v>
      </c>
      <c r="G152" t="s">
        <v>3171</v>
      </c>
      <c r="H152">
        <v>2900</v>
      </c>
      <c r="I152" s="316">
        <v>3037733.1099999994</v>
      </c>
    </row>
    <row r="153" spans="1:9" x14ac:dyDescent="0.3">
      <c r="A153">
        <v>5250</v>
      </c>
      <c r="B153" t="s">
        <v>183</v>
      </c>
      <c r="C153">
        <v>2013</v>
      </c>
      <c r="D153">
        <v>2013</v>
      </c>
      <c r="E153">
        <v>733</v>
      </c>
      <c r="G153" t="s">
        <v>3171</v>
      </c>
      <c r="H153">
        <v>2900</v>
      </c>
      <c r="I153" s="316">
        <v>148549.01</v>
      </c>
    </row>
    <row r="154" spans="1:9" hidden="1" x14ac:dyDescent="0.3">
      <c r="A154">
        <v>5250</v>
      </c>
      <c r="B154" t="s">
        <v>183</v>
      </c>
      <c r="C154">
        <v>2013</v>
      </c>
      <c r="D154">
        <v>2013</v>
      </c>
      <c r="E154">
        <v>735</v>
      </c>
      <c r="G154" t="s">
        <v>3171</v>
      </c>
      <c r="H154">
        <v>2900</v>
      </c>
      <c r="I154" s="316">
        <v>98907.78</v>
      </c>
    </row>
    <row r="155" spans="1:9" hidden="1" x14ac:dyDescent="0.3">
      <c r="A155">
        <v>5250</v>
      </c>
      <c r="B155" t="s">
        <v>183</v>
      </c>
      <c r="C155">
        <v>2013</v>
      </c>
      <c r="D155">
        <v>2013</v>
      </c>
      <c r="E155">
        <v>8110</v>
      </c>
      <c r="G155" t="s">
        <v>3171</v>
      </c>
      <c r="H155">
        <v>2900</v>
      </c>
      <c r="I155" s="316">
        <v>114940.72</v>
      </c>
    </row>
    <row r="156" spans="1:9" hidden="1" x14ac:dyDescent="0.3">
      <c r="A156">
        <v>5260</v>
      </c>
      <c r="B156" t="s">
        <v>183</v>
      </c>
      <c r="C156">
        <v>2013</v>
      </c>
      <c r="D156">
        <v>2013</v>
      </c>
      <c r="E156">
        <v>101</v>
      </c>
      <c r="G156" t="s">
        <v>3227</v>
      </c>
      <c r="H156">
        <v>2900</v>
      </c>
      <c r="I156" s="316">
        <v>3045385.45</v>
      </c>
    </row>
    <row r="157" spans="1:9" x14ac:dyDescent="0.3">
      <c r="A157">
        <v>5260</v>
      </c>
      <c r="B157" t="s">
        <v>183</v>
      </c>
      <c r="C157">
        <v>2013</v>
      </c>
      <c r="D157">
        <v>2013</v>
      </c>
      <c r="E157">
        <v>733</v>
      </c>
      <c r="G157" t="s">
        <v>3227</v>
      </c>
      <c r="H157">
        <v>2900</v>
      </c>
      <c r="I157" s="316">
        <v>145934.93000000002</v>
      </c>
    </row>
    <row r="158" spans="1:9" hidden="1" x14ac:dyDescent="0.3">
      <c r="A158">
        <v>5260</v>
      </c>
      <c r="B158" t="s">
        <v>183</v>
      </c>
      <c r="C158">
        <v>2013</v>
      </c>
      <c r="D158">
        <v>2013</v>
      </c>
      <c r="E158">
        <v>735</v>
      </c>
      <c r="G158" t="s">
        <v>3227</v>
      </c>
      <c r="H158">
        <v>2900</v>
      </c>
      <c r="I158" s="316">
        <v>9066.07</v>
      </c>
    </row>
    <row r="159" spans="1:9" hidden="1" x14ac:dyDescent="0.3">
      <c r="A159">
        <v>5260</v>
      </c>
      <c r="B159" t="s">
        <v>183</v>
      </c>
      <c r="C159">
        <v>2013</v>
      </c>
      <c r="D159">
        <v>2013</v>
      </c>
      <c r="E159">
        <v>8110</v>
      </c>
      <c r="G159" t="s">
        <v>3227</v>
      </c>
      <c r="H159">
        <v>2900</v>
      </c>
      <c r="I159" s="316">
        <v>299099.48</v>
      </c>
    </row>
    <row r="160" spans="1:9" hidden="1" x14ac:dyDescent="0.3">
      <c r="A160">
        <v>5280</v>
      </c>
      <c r="B160" t="s">
        <v>183</v>
      </c>
      <c r="C160">
        <v>2013</v>
      </c>
      <c r="D160">
        <v>2013</v>
      </c>
      <c r="E160">
        <v>101</v>
      </c>
      <c r="G160" t="s">
        <v>3235</v>
      </c>
      <c r="H160">
        <v>2900</v>
      </c>
      <c r="I160" s="316">
        <v>2931246.5500000003</v>
      </c>
    </row>
    <row r="161" spans="1:9" x14ac:dyDescent="0.3">
      <c r="A161">
        <v>5280</v>
      </c>
      <c r="B161" t="s">
        <v>183</v>
      </c>
      <c r="C161">
        <v>2013</v>
      </c>
      <c r="D161">
        <v>2013</v>
      </c>
      <c r="E161">
        <v>733</v>
      </c>
      <c r="G161" t="s">
        <v>3235</v>
      </c>
      <c r="H161">
        <v>2900</v>
      </c>
      <c r="I161" s="316">
        <v>125135.12000000001</v>
      </c>
    </row>
    <row r="162" spans="1:9" hidden="1" x14ac:dyDescent="0.3">
      <c r="A162">
        <v>5280</v>
      </c>
      <c r="B162" t="s">
        <v>183</v>
      </c>
      <c r="C162">
        <v>2013</v>
      </c>
      <c r="D162">
        <v>2013</v>
      </c>
      <c r="E162">
        <v>735</v>
      </c>
      <c r="G162" t="s">
        <v>3235</v>
      </c>
      <c r="H162">
        <v>2900</v>
      </c>
      <c r="I162" s="316">
        <v>105882.35</v>
      </c>
    </row>
    <row r="163" spans="1:9" hidden="1" x14ac:dyDescent="0.3">
      <c r="A163">
        <v>5280</v>
      </c>
      <c r="B163" t="s">
        <v>183</v>
      </c>
      <c r="C163">
        <v>2013</v>
      </c>
      <c r="D163">
        <v>2013</v>
      </c>
      <c r="E163">
        <v>8110</v>
      </c>
      <c r="G163" t="s">
        <v>3235</v>
      </c>
      <c r="H163">
        <v>2900</v>
      </c>
      <c r="I163" s="316">
        <v>224306.36</v>
      </c>
    </row>
    <row r="164" spans="1:9" hidden="1" x14ac:dyDescent="0.3">
      <c r="A164">
        <v>5300</v>
      </c>
      <c r="B164" t="s">
        <v>183</v>
      </c>
      <c r="C164">
        <v>2013</v>
      </c>
      <c r="D164">
        <v>2013</v>
      </c>
      <c r="E164">
        <v>101</v>
      </c>
      <c r="G164" t="s">
        <v>3230</v>
      </c>
      <c r="H164">
        <v>2900</v>
      </c>
      <c r="I164" s="316">
        <v>3838820.35</v>
      </c>
    </row>
    <row r="165" spans="1:9" x14ac:dyDescent="0.3">
      <c r="A165">
        <v>5300</v>
      </c>
      <c r="B165" t="s">
        <v>183</v>
      </c>
      <c r="C165">
        <v>2013</v>
      </c>
      <c r="D165">
        <v>2013</v>
      </c>
      <c r="E165">
        <v>733</v>
      </c>
      <c r="G165" t="s">
        <v>3230</v>
      </c>
      <c r="H165">
        <v>2900</v>
      </c>
      <c r="I165" s="316">
        <v>170446.78999999998</v>
      </c>
    </row>
    <row r="166" spans="1:9" hidden="1" x14ac:dyDescent="0.3">
      <c r="A166">
        <v>5300</v>
      </c>
      <c r="B166" t="s">
        <v>183</v>
      </c>
      <c r="C166">
        <v>2013</v>
      </c>
      <c r="D166">
        <v>2013</v>
      </c>
      <c r="E166">
        <v>735</v>
      </c>
      <c r="G166" t="s">
        <v>3230</v>
      </c>
      <c r="H166">
        <v>2900</v>
      </c>
      <c r="I166" s="316">
        <v>100650.04999999999</v>
      </c>
    </row>
    <row r="167" spans="1:9" hidden="1" x14ac:dyDescent="0.3">
      <c r="A167">
        <v>5300</v>
      </c>
      <c r="B167" t="s">
        <v>183</v>
      </c>
      <c r="C167">
        <v>2013</v>
      </c>
      <c r="D167">
        <v>2013</v>
      </c>
      <c r="E167">
        <v>8110</v>
      </c>
      <c r="G167" t="s">
        <v>3230</v>
      </c>
      <c r="H167">
        <v>2900</v>
      </c>
      <c r="I167" s="316">
        <v>593754.25</v>
      </c>
    </row>
    <row r="168" spans="1:9" hidden="1" x14ac:dyDescent="0.3">
      <c r="A168">
        <v>5310</v>
      </c>
      <c r="B168" t="s">
        <v>183</v>
      </c>
      <c r="C168">
        <v>2013</v>
      </c>
      <c r="D168">
        <v>2013</v>
      </c>
      <c r="E168">
        <v>101</v>
      </c>
      <c r="G168" t="s">
        <v>3155</v>
      </c>
      <c r="H168">
        <v>2900</v>
      </c>
      <c r="I168" s="316">
        <v>1799852.1500000004</v>
      </c>
    </row>
    <row r="169" spans="1:9" x14ac:dyDescent="0.3">
      <c r="A169">
        <v>5310</v>
      </c>
      <c r="B169" t="s">
        <v>183</v>
      </c>
      <c r="C169">
        <v>2013</v>
      </c>
      <c r="D169">
        <v>2013</v>
      </c>
      <c r="E169">
        <v>733</v>
      </c>
      <c r="G169" t="s">
        <v>3155</v>
      </c>
      <c r="H169">
        <v>2900</v>
      </c>
      <c r="I169" s="316">
        <v>98047.23</v>
      </c>
    </row>
    <row r="170" spans="1:9" hidden="1" x14ac:dyDescent="0.3">
      <c r="A170">
        <v>5310</v>
      </c>
      <c r="B170" t="s">
        <v>183</v>
      </c>
      <c r="C170">
        <v>2013</v>
      </c>
      <c r="D170">
        <v>2013</v>
      </c>
      <c r="E170">
        <v>735</v>
      </c>
      <c r="G170" t="s">
        <v>3155</v>
      </c>
      <c r="H170">
        <v>2900</v>
      </c>
      <c r="I170" s="316">
        <v>5049.91</v>
      </c>
    </row>
    <row r="171" spans="1:9" hidden="1" x14ac:dyDescent="0.3">
      <c r="A171">
        <v>5310</v>
      </c>
      <c r="B171" t="s">
        <v>183</v>
      </c>
      <c r="C171">
        <v>2013</v>
      </c>
      <c r="D171">
        <v>2013</v>
      </c>
      <c r="E171">
        <v>8110</v>
      </c>
      <c r="G171" t="s">
        <v>3155</v>
      </c>
      <c r="H171">
        <v>2900</v>
      </c>
      <c r="I171" s="316">
        <v>369387.97</v>
      </c>
    </row>
    <row r="172" spans="1:9" hidden="1" x14ac:dyDescent="0.3">
      <c r="A172">
        <v>5330</v>
      </c>
      <c r="B172" t="s">
        <v>183</v>
      </c>
      <c r="C172">
        <v>2013</v>
      </c>
      <c r="D172">
        <v>2013</v>
      </c>
      <c r="E172">
        <v>101</v>
      </c>
      <c r="G172" t="s">
        <v>3174</v>
      </c>
      <c r="H172">
        <v>2900</v>
      </c>
      <c r="I172" s="316">
        <v>1641035.4400000002</v>
      </c>
    </row>
    <row r="173" spans="1:9" x14ac:dyDescent="0.3">
      <c r="A173">
        <v>5330</v>
      </c>
      <c r="B173" t="s">
        <v>183</v>
      </c>
      <c r="C173">
        <v>2013</v>
      </c>
      <c r="D173">
        <v>2013</v>
      </c>
      <c r="E173">
        <v>733</v>
      </c>
      <c r="G173" t="s">
        <v>3174</v>
      </c>
      <c r="H173">
        <v>2900</v>
      </c>
      <c r="I173" s="316">
        <v>89362.61</v>
      </c>
    </row>
    <row r="174" spans="1:9" hidden="1" x14ac:dyDescent="0.3">
      <c r="A174">
        <v>5330</v>
      </c>
      <c r="B174" t="s">
        <v>183</v>
      </c>
      <c r="C174">
        <v>2013</v>
      </c>
      <c r="D174">
        <v>2013</v>
      </c>
      <c r="E174">
        <v>735</v>
      </c>
      <c r="G174" t="s">
        <v>3174</v>
      </c>
      <c r="H174">
        <v>2900</v>
      </c>
      <c r="I174" s="316">
        <v>4206.01</v>
      </c>
    </row>
    <row r="175" spans="1:9" hidden="1" x14ac:dyDescent="0.3">
      <c r="A175">
        <v>5330</v>
      </c>
      <c r="B175" t="s">
        <v>183</v>
      </c>
      <c r="C175">
        <v>2013</v>
      </c>
      <c r="D175">
        <v>2013</v>
      </c>
      <c r="E175">
        <v>8110</v>
      </c>
      <c r="G175" t="s">
        <v>3174</v>
      </c>
      <c r="H175">
        <v>2900</v>
      </c>
      <c r="I175" s="316">
        <v>315199.74</v>
      </c>
    </row>
    <row r="176" spans="1:9" hidden="1" x14ac:dyDescent="0.3">
      <c r="A176">
        <v>5340</v>
      </c>
      <c r="B176" t="s">
        <v>183</v>
      </c>
      <c r="C176">
        <v>2013</v>
      </c>
      <c r="D176">
        <v>2013</v>
      </c>
      <c r="E176">
        <v>101</v>
      </c>
      <c r="G176" t="s">
        <v>3206</v>
      </c>
      <c r="H176">
        <v>2900</v>
      </c>
      <c r="I176" s="316">
        <v>3648060.4900000007</v>
      </c>
    </row>
    <row r="177" spans="1:9" hidden="1" x14ac:dyDescent="0.3">
      <c r="A177">
        <v>5340</v>
      </c>
      <c r="B177" t="s">
        <v>183</v>
      </c>
      <c r="C177">
        <v>2013</v>
      </c>
      <c r="D177">
        <v>2013</v>
      </c>
      <c r="E177">
        <v>735</v>
      </c>
      <c r="G177" t="s">
        <v>3206</v>
      </c>
      <c r="H177">
        <v>2900</v>
      </c>
      <c r="I177" s="316">
        <v>69536.42</v>
      </c>
    </row>
    <row r="178" spans="1:9" hidden="1" x14ac:dyDescent="0.3">
      <c r="A178">
        <v>5340</v>
      </c>
      <c r="B178" t="s">
        <v>183</v>
      </c>
      <c r="C178">
        <v>2013</v>
      </c>
      <c r="D178">
        <v>2013</v>
      </c>
      <c r="E178">
        <v>8110</v>
      </c>
      <c r="G178" t="s">
        <v>3206</v>
      </c>
      <c r="H178">
        <v>2900</v>
      </c>
      <c r="I178" s="316">
        <v>373678.39</v>
      </c>
    </row>
    <row r="179" spans="1:9" hidden="1" x14ac:dyDescent="0.3">
      <c r="A179">
        <v>5350</v>
      </c>
      <c r="B179" t="s">
        <v>183</v>
      </c>
      <c r="C179">
        <v>2013</v>
      </c>
      <c r="D179">
        <v>2013</v>
      </c>
      <c r="E179">
        <v>101</v>
      </c>
      <c r="G179" t="s">
        <v>6067</v>
      </c>
      <c r="H179">
        <v>2900</v>
      </c>
      <c r="I179" s="316">
        <v>3535423.1699999985</v>
      </c>
    </row>
    <row r="180" spans="1:9" x14ac:dyDescent="0.3">
      <c r="A180">
        <v>5350</v>
      </c>
      <c r="B180" t="s">
        <v>183</v>
      </c>
      <c r="C180">
        <v>2013</v>
      </c>
      <c r="D180">
        <v>2013</v>
      </c>
      <c r="E180">
        <v>733</v>
      </c>
      <c r="G180" t="s">
        <v>6067</v>
      </c>
      <c r="H180">
        <v>2900</v>
      </c>
      <c r="I180" s="316">
        <v>122652.89000000001</v>
      </c>
    </row>
    <row r="181" spans="1:9" hidden="1" x14ac:dyDescent="0.3">
      <c r="A181">
        <v>5350</v>
      </c>
      <c r="B181" t="s">
        <v>183</v>
      </c>
      <c r="C181">
        <v>2013</v>
      </c>
      <c r="D181">
        <v>2013</v>
      </c>
      <c r="E181">
        <v>735</v>
      </c>
      <c r="G181" t="s">
        <v>6067</v>
      </c>
      <c r="H181">
        <v>2900</v>
      </c>
      <c r="I181" s="316">
        <v>6654.7</v>
      </c>
    </row>
    <row r="182" spans="1:9" hidden="1" x14ac:dyDescent="0.3">
      <c r="A182">
        <v>5350</v>
      </c>
      <c r="B182" t="s">
        <v>183</v>
      </c>
      <c r="C182">
        <v>2013</v>
      </c>
      <c r="D182">
        <v>2013</v>
      </c>
      <c r="E182">
        <v>8110</v>
      </c>
      <c r="G182" t="s">
        <v>6067</v>
      </c>
      <c r="H182">
        <v>2900</v>
      </c>
      <c r="I182" s="316">
        <v>127300.61</v>
      </c>
    </row>
    <row r="183" spans="1:9" hidden="1" x14ac:dyDescent="0.3">
      <c r="A183">
        <v>5360</v>
      </c>
      <c r="B183" t="s">
        <v>183</v>
      </c>
      <c r="C183">
        <v>2013</v>
      </c>
      <c r="D183">
        <v>2013</v>
      </c>
      <c r="E183">
        <v>101</v>
      </c>
      <c r="G183" t="s">
        <v>3183</v>
      </c>
      <c r="H183">
        <v>2900</v>
      </c>
      <c r="I183" s="316">
        <v>1897947.86</v>
      </c>
    </row>
    <row r="184" spans="1:9" x14ac:dyDescent="0.3">
      <c r="A184">
        <v>5360</v>
      </c>
      <c r="B184" t="s">
        <v>183</v>
      </c>
      <c r="C184">
        <v>2013</v>
      </c>
      <c r="D184">
        <v>2013</v>
      </c>
      <c r="E184">
        <v>733</v>
      </c>
      <c r="G184" t="s">
        <v>3183</v>
      </c>
      <c r="H184">
        <v>2900</v>
      </c>
      <c r="I184" s="316">
        <v>149814.18</v>
      </c>
    </row>
    <row r="185" spans="1:9" hidden="1" x14ac:dyDescent="0.3">
      <c r="A185">
        <v>5360</v>
      </c>
      <c r="B185" t="s">
        <v>183</v>
      </c>
      <c r="C185">
        <v>2013</v>
      </c>
      <c r="D185">
        <v>2013</v>
      </c>
      <c r="E185">
        <v>735</v>
      </c>
      <c r="G185" t="s">
        <v>3183</v>
      </c>
      <c r="H185">
        <v>2900</v>
      </c>
      <c r="I185" s="316">
        <v>6683.69</v>
      </c>
    </row>
    <row r="186" spans="1:9" hidden="1" x14ac:dyDescent="0.3">
      <c r="A186">
        <v>5360</v>
      </c>
      <c r="B186" t="s">
        <v>183</v>
      </c>
      <c r="C186">
        <v>2013</v>
      </c>
      <c r="D186">
        <v>2013</v>
      </c>
      <c r="E186">
        <v>8110</v>
      </c>
      <c r="G186" t="s">
        <v>3183</v>
      </c>
      <c r="H186">
        <v>2900</v>
      </c>
      <c r="I186" s="316">
        <v>302789.08</v>
      </c>
    </row>
    <row r="187" spans="1:9" hidden="1" x14ac:dyDescent="0.3">
      <c r="A187">
        <v>5390</v>
      </c>
      <c r="B187" t="s">
        <v>183</v>
      </c>
      <c r="C187">
        <v>2013</v>
      </c>
      <c r="D187">
        <v>2013</v>
      </c>
      <c r="E187">
        <v>101</v>
      </c>
      <c r="G187" t="s">
        <v>3257</v>
      </c>
      <c r="H187">
        <v>2900</v>
      </c>
      <c r="I187" s="316">
        <v>1930193.57</v>
      </c>
    </row>
    <row r="188" spans="1:9" x14ac:dyDescent="0.3">
      <c r="A188">
        <v>5390</v>
      </c>
      <c r="B188" t="s">
        <v>183</v>
      </c>
      <c r="C188">
        <v>2013</v>
      </c>
      <c r="D188">
        <v>2013</v>
      </c>
      <c r="E188">
        <v>733</v>
      </c>
      <c r="G188" t="s">
        <v>3257</v>
      </c>
      <c r="H188">
        <v>2900</v>
      </c>
      <c r="I188" s="316">
        <v>128263.43999999999</v>
      </c>
    </row>
    <row r="189" spans="1:9" hidden="1" x14ac:dyDescent="0.3">
      <c r="A189">
        <v>5390</v>
      </c>
      <c r="B189" t="s">
        <v>183</v>
      </c>
      <c r="C189">
        <v>2013</v>
      </c>
      <c r="D189">
        <v>2013</v>
      </c>
      <c r="E189">
        <v>735</v>
      </c>
      <c r="G189" t="s">
        <v>3257</v>
      </c>
      <c r="H189">
        <v>2900</v>
      </c>
      <c r="I189" s="316">
        <v>6517.42</v>
      </c>
    </row>
    <row r="190" spans="1:9" hidden="1" x14ac:dyDescent="0.3">
      <c r="A190">
        <v>5390</v>
      </c>
      <c r="B190" t="s">
        <v>183</v>
      </c>
      <c r="C190">
        <v>2013</v>
      </c>
      <c r="D190">
        <v>2013</v>
      </c>
      <c r="E190">
        <v>8110</v>
      </c>
      <c r="G190" t="s">
        <v>3257</v>
      </c>
      <c r="H190">
        <v>2900</v>
      </c>
      <c r="I190" s="316">
        <v>260630.78</v>
      </c>
    </row>
    <row r="191" spans="1:9" hidden="1" x14ac:dyDescent="0.3">
      <c r="A191">
        <v>5400</v>
      </c>
      <c r="B191" t="s">
        <v>183</v>
      </c>
      <c r="C191">
        <v>2013</v>
      </c>
      <c r="D191">
        <v>2013</v>
      </c>
      <c r="E191">
        <v>101</v>
      </c>
      <c r="G191" t="s">
        <v>3303</v>
      </c>
      <c r="H191">
        <v>2900</v>
      </c>
      <c r="I191" s="316">
        <v>2809530.2299999995</v>
      </c>
    </row>
    <row r="192" spans="1:9" x14ac:dyDescent="0.3">
      <c r="A192">
        <v>5400</v>
      </c>
      <c r="B192" t="s">
        <v>183</v>
      </c>
      <c r="C192">
        <v>2013</v>
      </c>
      <c r="D192">
        <v>2013</v>
      </c>
      <c r="E192">
        <v>733</v>
      </c>
      <c r="G192" t="s">
        <v>3303</v>
      </c>
      <c r="H192">
        <v>2900</v>
      </c>
      <c r="I192" s="316">
        <v>105117.41</v>
      </c>
    </row>
    <row r="193" spans="1:9" hidden="1" x14ac:dyDescent="0.3">
      <c r="A193">
        <v>5400</v>
      </c>
      <c r="B193" t="s">
        <v>183</v>
      </c>
      <c r="C193">
        <v>2013</v>
      </c>
      <c r="D193">
        <v>2013</v>
      </c>
      <c r="E193">
        <v>735</v>
      </c>
      <c r="G193" t="s">
        <v>3303</v>
      </c>
      <c r="H193">
        <v>2900</v>
      </c>
      <c r="I193" s="316">
        <v>5613.92</v>
      </c>
    </row>
    <row r="194" spans="1:9" hidden="1" x14ac:dyDescent="0.3">
      <c r="A194">
        <v>5400</v>
      </c>
      <c r="B194" t="s">
        <v>183</v>
      </c>
      <c r="C194">
        <v>2013</v>
      </c>
      <c r="D194">
        <v>2013</v>
      </c>
      <c r="E194">
        <v>8110</v>
      </c>
      <c r="G194" t="s">
        <v>3303</v>
      </c>
      <c r="H194">
        <v>2900</v>
      </c>
      <c r="I194" s="316">
        <v>198506.38</v>
      </c>
    </row>
    <row r="195" spans="1:9" hidden="1" x14ac:dyDescent="0.3">
      <c r="A195">
        <v>5430</v>
      </c>
      <c r="B195" t="s">
        <v>183</v>
      </c>
      <c r="C195">
        <v>2013</v>
      </c>
      <c r="D195">
        <v>2013</v>
      </c>
      <c r="E195">
        <v>101</v>
      </c>
      <c r="G195" t="s">
        <v>3218</v>
      </c>
      <c r="H195">
        <v>2900</v>
      </c>
      <c r="I195" s="316">
        <v>1884996.2800000003</v>
      </c>
    </row>
    <row r="196" spans="1:9" x14ac:dyDescent="0.3">
      <c r="A196">
        <v>5430</v>
      </c>
      <c r="B196" t="s">
        <v>183</v>
      </c>
      <c r="C196">
        <v>2013</v>
      </c>
      <c r="D196">
        <v>2013</v>
      </c>
      <c r="E196">
        <v>733</v>
      </c>
      <c r="G196" t="s">
        <v>3218</v>
      </c>
      <c r="H196">
        <v>2900</v>
      </c>
      <c r="I196" s="316">
        <v>107196.26</v>
      </c>
    </row>
    <row r="197" spans="1:9" hidden="1" x14ac:dyDescent="0.3">
      <c r="A197">
        <v>5430</v>
      </c>
      <c r="B197" t="s">
        <v>183</v>
      </c>
      <c r="C197">
        <v>2013</v>
      </c>
      <c r="D197">
        <v>2013</v>
      </c>
      <c r="E197">
        <v>8110</v>
      </c>
      <c r="G197" t="s">
        <v>3218</v>
      </c>
      <c r="H197">
        <v>2900</v>
      </c>
      <c r="I197" s="316">
        <v>348186.88</v>
      </c>
    </row>
    <row r="198" spans="1:9" hidden="1" x14ac:dyDescent="0.3">
      <c r="A198">
        <v>5450</v>
      </c>
      <c r="B198" t="s">
        <v>183</v>
      </c>
      <c r="C198">
        <v>2013</v>
      </c>
      <c r="D198">
        <v>2013</v>
      </c>
      <c r="E198">
        <v>101</v>
      </c>
      <c r="G198" t="s">
        <v>3274</v>
      </c>
      <c r="H198">
        <v>2900</v>
      </c>
      <c r="I198" s="316">
        <v>2745861.6699999995</v>
      </c>
    </row>
    <row r="199" spans="1:9" hidden="1" x14ac:dyDescent="0.3">
      <c r="A199">
        <v>5450</v>
      </c>
      <c r="B199" t="s">
        <v>183</v>
      </c>
      <c r="C199">
        <v>2013</v>
      </c>
      <c r="D199">
        <v>2013</v>
      </c>
      <c r="E199">
        <v>735</v>
      </c>
      <c r="G199" t="s">
        <v>3274</v>
      </c>
      <c r="H199">
        <v>2900</v>
      </c>
      <c r="I199" s="316">
        <v>6700</v>
      </c>
    </row>
    <row r="200" spans="1:9" hidden="1" x14ac:dyDescent="0.3">
      <c r="A200">
        <v>5450</v>
      </c>
      <c r="B200" t="s">
        <v>183</v>
      </c>
      <c r="C200">
        <v>2013</v>
      </c>
      <c r="D200">
        <v>2013</v>
      </c>
      <c r="E200">
        <v>8110</v>
      </c>
      <c r="G200" t="s">
        <v>3274</v>
      </c>
      <c r="H200">
        <v>2900</v>
      </c>
      <c r="I200" s="316">
        <v>363703.58999999997</v>
      </c>
    </row>
    <row r="201" spans="1:9" hidden="1" x14ac:dyDescent="0.3">
      <c r="A201">
        <v>5460</v>
      </c>
      <c r="B201" t="s">
        <v>183</v>
      </c>
      <c r="C201">
        <v>2013</v>
      </c>
      <c r="D201">
        <v>2013</v>
      </c>
      <c r="E201">
        <v>101</v>
      </c>
      <c r="G201" t="s">
        <v>3154</v>
      </c>
      <c r="H201">
        <v>2900</v>
      </c>
      <c r="I201" s="316">
        <v>2725986.2500000009</v>
      </c>
    </row>
    <row r="202" spans="1:9" x14ac:dyDescent="0.3">
      <c r="A202">
        <v>5460</v>
      </c>
      <c r="B202" t="s">
        <v>183</v>
      </c>
      <c r="C202">
        <v>2013</v>
      </c>
      <c r="D202">
        <v>2013</v>
      </c>
      <c r="E202">
        <v>733</v>
      </c>
      <c r="G202" t="s">
        <v>3154</v>
      </c>
      <c r="H202">
        <v>2900</v>
      </c>
      <c r="I202" s="316">
        <v>191495.88</v>
      </c>
    </row>
    <row r="203" spans="1:9" hidden="1" x14ac:dyDescent="0.3">
      <c r="A203">
        <v>5460</v>
      </c>
      <c r="B203" t="s">
        <v>183</v>
      </c>
      <c r="C203">
        <v>2013</v>
      </c>
      <c r="D203">
        <v>2013</v>
      </c>
      <c r="E203">
        <v>735</v>
      </c>
      <c r="G203" t="s">
        <v>3154</v>
      </c>
      <c r="H203">
        <v>2900</v>
      </c>
      <c r="I203" s="316">
        <v>92309.99</v>
      </c>
    </row>
    <row r="204" spans="1:9" hidden="1" x14ac:dyDescent="0.3">
      <c r="A204">
        <v>5460</v>
      </c>
      <c r="B204" t="s">
        <v>183</v>
      </c>
      <c r="C204">
        <v>2013</v>
      </c>
      <c r="D204">
        <v>2013</v>
      </c>
      <c r="E204">
        <v>8110</v>
      </c>
      <c r="G204" t="s">
        <v>3154</v>
      </c>
      <c r="H204">
        <v>2900</v>
      </c>
      <c r="I204" s="316">
        <v>238883.58000000002</v>
      </c>
    </row>
    <row r="205" spans="1:9" hidden="1" x14ac:dyDescent="0.3">
      <c r="A205">
        <v>5480</v>
      </c>
      <c r="B205" t="s">
        <v>183</v>
      </c>
      <c r="C205">
        <v>2013</v>
      </c>
      <c r="D205">
        <v>2013</v>
      </c>
      <c r="E205">
        <v>101</v>
      </c>
      <c r="G205" t="s">
        <v>3253</v>
      </c>
      <c r="H205">
        <v>2900</v>
      </c>
      <c r="I205" s="316">
        <v>1862536.3099999998</v>
      </c>
    </row>
    <row r="206" spans="1:9" x14ac:dyDescent="0.3">
      <c r="A206">
        <v>5480</v>
      </c>
      <c r="B206" t="s">
        <v>183</v>
      </c>
      <c r="C206">
        <v>2013</v>
      </c>
      <c r="D206">
        <v>2013</v>
      </c>
      <c r="E206">
        <v>733</v>
      </c>
      <c r="G206" t="s">
        <v>3253</v>
      </c>
      <c r="H206">
        <v>2900</v>
      </c>
      <c r="I206" s="316">
        <v>114169.17</v>
      </c>
    </row>
    <row r="207" spans="1:9" hidden="1" x14ac:dyDescent="0.3">
      <c r="A207">
        <v>5480</v>
      </c>
      <c r="B207" t="s">
        <v>183</v>
      </c>
      <c r="C207">
        <v>2013</v>
      </c>
      <c r="D207">
        <v>2013</v>
      </c>
      <c r="E207">
        <v>735</v>
      </c>
      <c r="G207" t="s">
        <v>3253</v>
      </c>
      <c r="H207">
        <v>2900</v>
      </c>
      <c r="I207" s="316">
        <v>5861.3</v>
      </c>
    </row>
    <row r="208" spans="1:9" hidden="1" x14ac:dyDescent="0.3">
      <c r="A208">
        <v>5480</v>
      </c>
      <c r="B208" t="s">
        <v>183</v>
      </c>
      <c r="C208">
        <v>2013</v>
      </c>
      <c r="D208">
        <v>2013</v>
      </c>
      <c r="E208">
        <v>8110</v>
      </c>
      <c r="G208" t="s">
        <v>3253</v>
      </c>
      <c r="H208">
        <v>2900</v>
      </c>
      <c r="I208" s="316">
        <v>312376.40999999997</v>
      </c>
    </row>
    <row r="209" spans="1:9" hidden="1" x14ac:dyDescent="0.3">
      <c r="A209">
        <v>5490</v>
      </c>
      <c r="B209" t="s">
        <v>183</v>
      </c>
      <c r="C209">
        <v>2013</v>
      </c>
      <c r="D209">
        <v>2013</v>
      </c>
      <c r="E209">
        <v>101</v>
      </c>
      <c r="G209" t="s">
        <v>3193</v>
      </c>
      <c r="H209">
        <v>2900</v>
      </c>
      <c r="I209" s="316">
        <v>2431367.42</v>
      </c>
    </row>
    <row r="210" spans="1:9" hidden="1" x14ac:dyDescent="0.3">
      <c r="A210">
        <v>5490</v>
      </c>
      <c r="B210" t="s">
        <v>183</v>
      </c>
      <c r="C210">
        <v>2013</v>
      </c>
      <c r="D210">
        <v>2013</v>
      </c>
      <c r="E210">
        <v>735</v>
      </c>
      <c r="G210" t="s">
        <v>3193</v>
      </c>
      <c r="H210">
        <v>2900</v>
      </c>
      <c r="I210" s="316">
        <v>114436.92000000001</v>
      </c>
    </row>
    <row r="211" spans="1:9" hidden="1" x14ac:dyDescent="0.3">
      <c r="A211">
        <v>5490</v>
      </c>
      <c r="B211" t="s">
        <v>183</v>
      </c>
      <c r="C211">
        <v>2013</v>
      </c>
      <c r="D211">
        <v>2013</v>
      </c>
      <c r="E211">
        <v>8110</v>
      </c>
      <c r="G211" t="s">
        <v>3193</v>
      </c>
      <c r="H211">
        <v>2900</v>
      </c>
      <c r="I211" s="316">
        <v>369662.77999999997</v>
      </c>
    </row>
    <row r="212" spans="1:9" hidden="1" x14ac:dyDescent="0.3">
      <c r="A212">
        <v>5500</v>
      </c>
      <c r="B212" t="s">
        <v>183</v>
      </c>
      <c r="C212">
        <v>2013</v>
      </c>
      <c r="D212">
        <v>2013</v>
      </c>
      <c r="E212">
        <v>101</v>
      </c>
      <c r="G212" t="s">
        <v>3304</v>
      </c>
      <c r="H212">
        <v>2900</v>
      </c>
      <c r="I212" s="316">
        <v>4471340.7700000005</v>
      </c>
    </row>
    <row r="213" spans="1:9" hidden="1" x14ac:dyDescent="0.3">
      <c r="A213">
        <v>5500</v>
      </c>
      <c r="B213" t="s">
        <v>183</v>
      </c>
      <c r="C213">
        <v>2013</v>
      </c>
      <c r="D213">
        <v>2013</v>
      </c>
      <c r="E213">
        <v>735</v>
      </c>
      <c r="G213" t="s">
        <v>3304</v>
      </c>
      <c r="H213">
        <v>2900</v>
      </c>
      <c r="I213" s="316">
        <v>149288.1</v>
      </c>
    </row>
    <row r="214" spans="1:9" hidden="1" x14ac:dyDescent="0.3">
      <c r="A214">
        <v>5500</v>
      </c>
      <c r="B214" t="s">
        <v>183</v>
      </c>
      <c r="C214">
        <v>2013</v>
      </c>
      <c r="D214">
        <v>2013</v>
      </c>
      <c r="E214">
        <v>8110</v>
      </c>
      <c r="G214" t="s">
        <v>3304</v>
      </c>
      <c r="H214">
        <v>2900</v>
      </c>
      <c r="I214" s="316">
        <v>239925.09</v>
      </c>
    </row>
    <row r="215" spans="1:9" hidden="1" x14ac:dyDescent="0.3">
      <c r="A215">
        <v>5510</v>
      </c>
      <c r="B215" t="s">
        <v>183</v>
      </c>
      <c r="C215">
        <v>2013</v>
      </c>
      <c r="D215">
        <v>2013</v>
      </c>
      <c r="E215">
        <v>101</v>
      </c>
      <c r="G215" t="s">
        <v>3199</v>
      </c>
      <c r="H215">
        <v>2900</v>
      </c>
      <c r="I215" s="316">
        <v>1291803.5500000003</v>
      </c>
    </row>
    <row r="216" spans="1:9" x14ac:dyDescent="0.3">
      <c r="A216">
        <v>5510</v>
      </c>
      <c r="B216" t="s">
        <v>183</v>
      </c>
      <c r="C216">
        <v>2013</v>
      </c>
      <c r="D216">
        <v>2013</v>
      </c>
      <c r="E216">
        <v>733</v>
      </c>
      <c r="G216" t="s">
        <v>3199</v>
      </c>
      <c r="H216">
        <v>2900</v>
      </c>
      <c r="I216" s="316">
        <v>85218.33</v>
      </c>
    </row>
    <row r="217" spans="1:9" hidden="1" x14ac:dyDescent="0.3">
      <c r="A217">
        <v>5510</v>
      </c>
      <c r="B217" t="s">
        <v>183</v>
      </c>
      <c r="C217">
        <v>2013</v>
      </c>
      <c r="D217">
        <v>2013</v>
      </c>
      <c r="E217">
        <v>735</v>
      </c>
      <c r="G217" t="s">
        <v>3199</v>
      </c>
      <c r="H217">
        <v>2900</v>
      </c>
      <c r="I217" s="316">
        <v>4455.79</v>
      </c>
    </row>
    <row r="218" spans="1:9" hidden="1" x14ac:dyDescent="0.3">
      <c r="A218">
        <v>5510</v>
      </c>
      <c r="B218" t="s">
        <v>183</v>
      </c>
      <c r="C218">
        <v>2013</v>
      </c>
      <c r="D218">
        <v>2013</v>
      </c>
      <c r="E218">
        <v>8110</v>
      </c>
      <c r="G218" t="s">
        <v>3199</v>
      </c>
      <c r="H218">
        <v>2900</v>
      </c>
      <c r="I218" s="316">
        <v>333291.71999999997</v>
      </c>
    </row>
    <row r="219" spans="1:9" hidden="1" x14ac:dyDescent="0.3">
      <c r="A219">
        <v>5520</v>
      </c>
      <c r="B219" t="s">
        <v>183</v>
      </c>
      <c r="C219">
        <v>2013</v>
      </c>
      <c r="D219">
        <v>2013</v>
      </c>
      <c r="E219">
        <v>101</v>
      </c>
      <c r="G219" t="s">
        <v>3279</v>
      </c>
      <c r="H219">
        <v>2900</v>
      </c>
      <c r="I219" s="316">
        <v>1913780.05</v>
      </c>
    </row>
    <row r="220" spans="1:9" x14ac:dyDescent="0.3">
      <c r="A220">
        <v>5520</v>
      </c>
      <c r="B220" t="s">
        <v>183</v>
      </c>
      <c r="C220">
        <v>2013</v>
      </c>
      <c r="D220">
        <v>2013</v>
      </c>
      <c r="E220">
        <v>733</v>
      </c>
      <c r="G220" t="s">
        <v>3279</v>
      </c>
      <c r="H220">
        <v>2900</v>
      </c>
      <c r="I220" s="316">
        <v>132089.11000000002</v>
      </c>
    </row>
    <row r="221" spans="1:9" hidden="1" x14ac:dyDescent="0.3">
      <c r="A221">
        <v>5520</v>
      </c>
      <c r="B221" t="s">
        <v>183</v>
      </c>
      <c r="C221">
        <v>2013</v>
      </c>
      <c r="D221">
        <v>2013</v>
      </c>
      <c r="E221">
        <v>735</v>
      </c>
      <c r="G221" t="s">
        <v>3279</v>
      </c>
      <c r="H221">
        <v>2900</v>
      </c>
      <c r="I221" s="316">
        <v>6460.9</v>
      </c>
    </row>
    <row r="222" spans="1:9" hidden="1" x14ac:dyDescent="0.3">
      <c r="A222">
        <v>5520</v>
      </c>
      <c r="B222" t="s">
        <v>183</v>
      </c>
      <c r="C222">
        <v>2013</v>
      </c>
      <c r="D222">
        <v>2013</v>
      </c>
      <c r="E222">
        <v>8110</v>
      </c>
      <c r="G222" t="s">
        <v>3279</v>
      </c>
      <c r="H222">
        <v>2900</v>
      </c>
      <c r="I222" s="316">
        <v>294220.14</v>
      </c>
    </row>
    <row r="223" spans="1:9" hidden="1" x14ac:dyDescent="0.3">
      <c r="A223">
        <v>5530</v>
      </c>
      <c r="B223" t="s">
        <v>183</v>
      </c>
      <c r="C223">
        <v>2013</v>
      </c>
      <c r="D223">
        <v>2013</v>
      </c>
      <c r="E223">
        <v>101</v>
      </c>
      <c r="G223" t="s">
        <v>3213</v>
      </c>
      <c r="H223">
        <v>2900</v>
      </c>
      <c r="I223" s="316">
        <v>2918291.12</v>
      </c>
    </row>
    <row r="224" spans="1:9" hidden="1" x14ac:dyDescent="0.3">
      <c r="A224">
        <v>5530</v>
      </c>
      <c r="B224" t="s">
        <v>183</v>
      </c>
      <c r="C224">
        <v>2013</v>
      </c>
      <c r="D224">
        <v>2013</v>
      </c>
      <c r="E224">
        <v>735</v>
      </c>
      <c r="G224" t="s">
        <v>3213</v>
      </c>
      <c r="H224">
        <v>2900</v>
      </c>
      <c r="I224" s="316">
        <v>9725</v>
      </c>
    </row>
    <row r="225" spans="1:9" hidden="1" x14ac:dyDescent="0.3">
      <c r="A225">
        <v>5530</v>
      </c>
      <c r="B225" t="s">
        <v>183</v>
      </c>
      <c r="C225">
        <v>2013</v>
      </c>
      <c r="D225">
        <v>2013</v>
      </c>
      <c r="E225">
        <v>8110</v>
      </c>
      <c r="G225" t="s">
        <v>3213</v>
      </c>
      <c r="H225">
        <v>2900</v>
      </c>
      <c r="I225" s="316">
        <v>282308.70999999996</v>
      </c>
    </row>
    <row r="226" spans="1:9" hidden="1" x14ac:dyDescent="0.3">
      <c r="A226">
        <v>5540</v>
      </c>
      <c r="B226" t="s">
        <v>183</v>
      </c>
      <c r="C226">
        <v>2013</v>
      </c>
      <c r="D226">
        <v>2013</v>
      </c>
      <c r="E226">
        <v>101</v>
      </c>
      <c r="G226" t="s">
        <v>3185</v>
      </c>
      <c r="H226">
        <v>2900</v>
      </c>
      <c r="I226" s="316">
        <v>2424885.4100000006</v>
      </c>
    </row>
    <row r="227" spans="1:9" x14ac:dyDescent="0.3">
      <c r="A227">
        <v>5540</v>
      </c>
      <c r="B227" t="s">
        <v>183</v>
      </c>
      <c r="C227">
        <v>2013</v>
      </c>
      <c r="D227">
        <v>2013</v>
      </c>
      <c r="E227">
        <v>733</v>
      </c>
      <c r="G227" t="s">
        <v>3185</v>
      </c>
      <c r="H227">
        <v>2900</v>
      </c>
      <c r="I227" s="316">
        <v>160967.97</v>
      </c>
    </row>
    <row r="228" spans="1:9" hidden="1" x14ac:dyDescent="0.3">
      <c r="A228">
        <v>5540</v>
      </c>
      <c r="B228" t="s">
        <v>183</v>
      </c>
      <c r="C228">
        <v>2013</v>
      </c>
      <c r="D228">
        <v>2013</v>
      </c>
      <c r="E228">
        <v>735</v>
      </c>
      <c r="G228" t="s">
        <v>3185</v>
      </c>
      <c r="H228">
        <v>2900</v>
      </c>
      <c r="I228" s="316">
        <v>7702.33</v>
      </c>
    </row>
    <row r="229" spans="1:9" hidden="1" x14ac:dyDescent="0.3">
      <c r="A229">
        <v>5540</v>
      </c>
      <c r="B229" t="s">
        <v>183</v>
      </c>
      <c r="C229">
        <v>2013</v>
      </c>
      <c r="D229">
        <v>2013</v>
      </c>
      <c r="E229">
        <v>8110</v>
      </c>
      <c r="G229" t="s">
        <v>3185</v>
      </c>
      <c r="H229">
        <v>2900</v>
      </c>
      <c r="I229" s="316">
        <v>373082.23</v>
      </c>
    </row>
    <row r="230" spans="1:9" hidden="1" x14ac:dyDescent="0.3">
      <c r="A230">
        <v>5550</v>
      </c>
      <c r="B230" t="s">
        <v>183</v>
      </c>
      <c r="C230">
        <v>2013</v>
      </c>
      <c r="D230">
        <v>2013</v>
      </c>
      <c r="E230">
        <v>101</v>
      </c>
      <c r="G230" t="s">
        <v>3275</v>
      </c>
      <c r="H230">
        <v>2900</v>
      </c>
      <c r="I230" s="316">
        <v>2687496.6900000004</v>
      </c>
    </row>
    <row r="231" spans="1:9" x14ac:dyDescent="0.3">
      <c r="A231">
        <v>5550</v>
      </c>
      <c r="B231" t="s">
        <v>183</v>
      </c>
      <c r="C231">
        <v>2013</v>
      </c>
      <c r="D231">
        <v>2013</v>
      </c>
      <c r="E231">
        <v>733</v>
      </c>
      <c r="G231" t="s">
        <v>3275</v>
      </c>
      <c r="H231">
        <v>2900</v>
      </c>
      <c r="I231" s="316">
        <v>192471.08</v>
      </c>
    </row>
    <row r="232" spans="1:9" hidden="1" x14ac:dyDescent="0.3">
      <c r="A232">
        <v>5550</v>
      </c>
      <c r="B232" t="s">
        <v>183</v>
      </c>
      <c r="C232">
        <v>2013</v>
      </c>
      <c r="D232">
        <v>2013</v>
      </c>
      <c r="E232">
        <v>735</v>
      </c>
      <c r="G232" t="s">
        <v>3275</v>
      </c>
      <c r="H232">
        <v>2900</v>
      </c>
      <c r="I232" s="316">
        <v>8602.2000000000007</v>
      </c>
    </row>
    <row r="233" spans="1:9" hidden="1" x14ac:dyDescent="0.3">
      <c r="A233">
        <v>5550</v>
      </c>
      <c r="B233" t="s">
        <v>183</v>
      </c>
      <c r="C233">
        <v>2013</v>
      </c>
      <c r="D233">
        <v>2013</v>
      </c>
      <c r="E233">
        <v>8110</v>
      </c>
      <c r="G233" t="s">
        <v>3275</v>
      </c>
      <c r="H233">
        <v>2900</v>
      </c>
      <c r="I233" s="316">
        <v>355189.16</v>
      </c>
    </row>
    <row r="234" spans="1:9" hidden="1" x14ac:dyDescent="0.3">
      <c r="A234">
        <v>5560</v>
      </c>
      <c r="B234" t="s">
        <v>183</v>
      </c>
      <c r="C234">
        <v>2013</v>
      </c>
      <c r="D234">
        <v>2013</v>
      </c>
      <c r="E234">
        <v>101</v>
      </c>
      <c r="G234" t="s">
        <v>3308</v>
      </c>
      <c r="H234">
        <v>2900</v>
      </c>
      <c r="I234" s="316">
        <v>5485752.29</v>
      </c>
    </row>
    <row r="235" spans="1:9" hidden="1" x14ac:dyDescent="0.3">
      <c r="A235">
        <v>5560</v>
      </c>
      <c r="B235" t="s">
        <v>183</v>
      </c>
      <c r="C235">
        <v>2013</v>
      </c>
      <c r="D235">
        <v>2013</v>
      </c>
      <c r="E235">
        <v>735</v>
      </c>
      <c r="G235" t="s">
        <v>3308</v>
      </c>
      <c r="H235">
        <v>2900</v>
      </c>
      <c r="I235" s="316">
        <v>17550</v>
      </c>
    </row>
    <row r="236" spans="1:9" hidden="1" x14ac:dyDescent="0.3">
      <c r="A236">
        <v>5560</v>
      </c>
      <c r="B236" t="s">
        <v>183</v>
      </c>
      <c r="C236">
        <v>2013</v>
      </c>
      <c r="D236">
        <v>2013</v>
      </c>
      <c r="E236">
        <v>8110</v>
      </c>
      <c r="G236" t="s">
        <v>3308</v>
      </c>
      <c r="H236">
        <v>2900</v>
      </c>
      <c r="I236" s="316">
        <v>377272.14999999997</v>
      </c>
    </row>
    <row r="237" spans="1:9" hidden="1" x14ac:dyDescent="0.3">
      <c r="A237">
        <v>5570</v>
      </c>
      <c r="B237" t="s">
        <v>183</v>
      </c>
      <c r="C237">
        <v>2013</v>
      </c>
      <c r="D237">
        <v>2013</v>
      </c>
      <c r="E237">
        <v>101</v>
      </c>
      <c r="G237" t="s">
        <v>3153</v>
      </c>
      <c r="H237">
        <v>2900</v>
      </c>
      <c r="I237" s="316">
        <v>3243405.25</v>
      </c>
    </row>
    <row r="238" spans="1:9" x14ac:dyDescent="0.3">
      <c r="A238">
        <v>5570</v>
      </c>
      <c r="B238" t="s">
        <v>183</v>
      </c>
      <c r="C238">
        <v>2013</v>
      </c>
      <c r="D238">
        <v>2013</v>
      </c>
      <c r="E238">
        <v>733</v>
      </c>
      <c r="G238" t="s">
        <v>3153</v>
      </c>
      <c r="H238">
        <v>2900</v>
      </c>
      <c r="I238" s="316">
        <v>159034.56000000003</v>
      </c>
    </row>
    <row r="239" spans="1:9" hidden="1" x14ac:dyDescent="0.3">
      <c r="A239">
        <v>5570</v>
      </c>
      <c r="B239" t="s">
        <v>183</v>
      </c>
      <c r="C239">
        <v>2013</v>
      </c>
      <c r="D239">
        <v>2013</v>
      </c>
      <c r="E239">
        <v>735</v>
      </c>
      <c r="G239" t="s">
        <v>3153</v>
      </c>
      <c r="H239">
        <v>2900</v>
      </c>
      <c r="I239" s="316">
        <v>10326.790000000001</v>
      </c>
    </row>
    <row r="240" spans="1:9" hidden="1" x14ac:dyDescent="0.3">
      <c r="A240">
        <v>5570</v>
      </c>
      <c r="B240" t="s">
        <v>183</v>
      </c>
      <c r="C240">
        <v>2013</v>
      </c>
      <c r="D240">
        <v>2013</v>
      </c>
      <c r="E240">
        <v>8110</v>
      </c>
      <c r="G240" t="s">
        <v>3153</v>
      </c>
      <c r="H240">
        <v>2900</v>
      </c>
      <c r="I240" s="316">
        <v>429077.80000000005</v>
      </c>
    </row>
    <row r="241" spans="1:9" hidden="1" x14ac:dyDescent="0.3">
      <c r="A241">
        <v>5580</v>
      </c>
      <c r="B241" t="s">
        <v>183</v>
      </c>
      <c r="C241">
        <v>2013</v>
      </c>
      <c r="D241">
        <v>2013</v>
      </c>
      <c r="E241">
        <v>101</v>
      </c>
      <c r="G241" t="s">
        <v>3284</v>
      </c>
      <c r="H241">
        <v>2900</v>
      </c>
      <c r="I241" s="316">
        <v>2682561.14</v>
      </c>
    </row>
    <row r="242" spans="1:9" x14ac:dyDescent="0.3">
      <c r="A242">
        <v>5580</v>
      </c>
      <c r="B242" t="s">
        <v>183</v>
      </c>
      <c r="C242">
        <v>2013</v>
      </c>
      <c r="D242">
        <v>2013</v>
      </c>
      <c r="E242">
        <v>733</v>
      </c>
      <c r="G242" t="s">
        <v>3284</v>
      </c>
      <c r="H242">
        <v>2900</v>
      </c>
      <c r="I242" s="316">
        <v>154924.01999999999</v>
      </c>
    </row>
    <row r="243" spans="1:9" hidden="1" x14ac:dyDescent="0.3">
      <c r="A243">
        <v>5580</v>
      </c>
      <c r="B243" t="s">
        <v>183</v>
      </c>
      <c r="C243">
        <v>2013</v>
      </c>
      <c r="D243">
        <v>2013</v>
      </c>
      <c r="E243">
        <v>735</v>
      </c>
      <c r="G243" t="s">
        <v>3284</v>
      </c>
      <c r="H243">
        <v>2900</v>
      </c>
      <c r="I243" s="316">
        <v>7483.42</v>
      </c>
    </row>
    <row r="244" spans="1:9" hidden="1" x14ac:dyDescent="0.3">
      <c r="A244">
        <v>5580</v>
      </c>
      <c r="B244" t="s">
        <v>183</v>
      </c>
      <c r="C244">
        <v>2013</v>
      </c>
      <c r="D244">
        <v>2013</v>
      </c>
      <c r="E244">
        <v>8110</v>
      </c>
      <c r="G244" t="s">
        <v>3284</v>
      </c>
      <c r="H244">
        <v>2900</v>
      </c>
      <c r="I244" s="316">
        <v>272325.17</v>
      </c>
    </row>
    <row r="245" spans="1:9" hidden="1" x14ac:dyDescent="0.3">
      <c r="A245">
        <v>5590</v>
      </c>
      <c r="B245" t="s">
        <v>183</v>
      </c>
      <c r="C245">
        <v>2013</v>
      </c>
      <c r="D245">
        <v>2013</v>
      </c>
      <c r="E245">
        <v>101</v>
      </c>
      <c r="G245" t="s">
        <v>3186</v>
      </c>
      <c r="H245">
        <v>2900</v>
      </c>
      <c r="I245" s="316">
        <v>3411894.06</v>
      </c>
    </row>
    <row r="246" spans="1:9" x14ac:dyDescent="0.3">
      <c r="A246">
        <v>5590</v>
      </c>
      <c r="B246" t="s">
        <v>183</v>
      </c>
      <c r="C246">
        <v>2013</v>
      </c>
      <c r="D246">
        <v>2013</v>
      </c>
      <c r="E246">
        <v>733</v>
      </c>
      <c r="G246" t="s">
        <v>3186</v>
      </c>
      <c r="H246">
        <v>2900</v>
      </c>
      <c r="I246" s="316">
        <v>139144.32000000001</v>
      </c>
    </row>
    <row r="247" spans="1:9" hidden="1" x14ac:dyDescent="0.3">
      <c r="A247">
        <v>5590</v>
      </c>
      <c r="B247" t="s">
        <v>183</v>
      </c>
      <c r="C247">
        <v>2013</v>
      </c>
      <c r="D247">
        <v>2013</v>
      </c>
      <c r="E247">
        <v>735</v>
      </c>
      <c r="G247" t="s">
        <v>3186</v>
      </c>
      <c r="H247">
        <v>2900</v>
      </c>
      <c r="I247" s="316">
        <v>7874.92</v>
      </c>
    </row>
    <row r="248" spans="1:9" hidden="1" x14ac:dyDescent="0.3">
      <c r="A248">
        <v>5590</v>
      </c>
      <c r="B248" t="s">
        <v>183</v>
      </c>
      <c r="C248">
        <v>2013</v>
      </c>
      <c r="D248">
        <v>2013</v>
      </c>
      <c r="E248">
        <v>8110</v>
      </c>
      <c r="G248" t="s">
        <v>3186</v>
      </c>
      <c r="H248">
        <v>2900</v>
      </c>
      <c r="I248" s="316">
        <v>209126.52</v>
      </c>
    </row>
    <row r="249" spans="1:9" hidden="1" x14ac:dyDescent="0.3">
      <c r="A249">
        <v>5600</v>
      </c>
      <c r="B249" t="s">
        <v>183</v>
      </c>
      <c r="C249">
        <v>2013</v>
      </c>
      <c r="D249">
        <v>2013</v>
      </c>
      <c r="E249">
        <v>101</v>
      </c>
      <c r="G249" t="s">
        <v>3214</v>
      </c>
      <c r="H249">
        <v>2900</v>
      </c>
      <c r="I249" s="316">
        <v>3051775.0300000003</v>
      </c>
    </row>
    <row r="250" spans="1:9" x14ac:dyDescent="0.3">
      <c r="A250">
        <v>5600</v>
      </c>
      <c r="B250" t="s">
        <v>183</v>
      </c>
      <c r="C250">
        <v>2013</v>
      </c>
      <c r="D250">
        <v>2013</v>
      </c>
      <c r="E250">
        <v>733</v>
      </c>
      <c r="G250" t="s">
        <v>3214</v>
      </c>
      <c r="H250">
        <v>2900</v>
      </c>
      <c r="I250" s="316">
        <v>93608.09</v>
      </c>
    </row>
    <row r="251" spans="1:9" hidden="1" x14ac:dyDescent="0.3">
      <c r="A251">
        <v>5600</v>
      </c>
      <c r="B251" t="s">
        <v>183</v>
      </c>
      <c r="C251">
        <v>2013</v>
      </c>
      <c r="D251">
        <v>2013</v>
      </c>
      <c r="E251">
        <v>735</v>
      </c>
      <c r="G251" t="s">
        <v>3214</v>
      </c>
      <c r="H251">
        <v>2900</v>
      </c>
      <c r="I251" s="316">
        <v>7034.66</v>
      </c>
    </row>
    <row r="252" spans="1:9" hidden="1" x14ac:dyDescent="0.3">
      <c r="A252">
        <v>5610</v>
      </c>
      <c r="B252" t="s">
        <v>183</v>
      </c>
      <c r="C252">
        <v>2013</v>
      </c>
      <c r="D252">
        <v>2013</v>
      </c>
      <c r="E252">
        <v>101</v>
      </c>
      <c r="G252" t="s">
        <v>3237</v>
      </c>
      <c r="H252">
        <v>2900</v>
      </c>
      <c r="I252" s="316">
        <v>2214008.2199999997</v>
      </c>
    </row>
    <row r="253" spans="1:9" x14ac:dyDescent="0.3">
      <c r="A253">
        <v>5610</v>
      </c>
      <c r="B253" t="s">
        <v>183</v>
      </c>
      <c r="C253">
        <v>2013</v>
      </c>
      <c r="D253">
        <v>2013</v>
      </c>
      <c r="E253">
        <v>733</v>
      </c>
      <c r="G253" t="s">
        <v>3237</v>
      </c>
      <c r="H253">
        <v>2900</v>
      </c>
      <c r="I253" s="316">
        <v>104455.12000000001</v>
      </c>
    </row>
    <row r="254" spans="1:9" hidden="1" x14ac:dyDescent="0.3">
      <c r="A254">
        <v>5610</v>
      </c>
      <c r="B254" t="s">
        <v>183</v>
      </c>
      <c r="C254">
        <v>2013</v>
      </c>
      <c r="D254">
        <v>2013</v>
      </c>
      <c r="E254">
        <v>735</v>
      </c>
      <c r="G254" t="s">
        <v>3237</v>
      </c>
      <c r="H254">
        <v>2900</v>
      </c>
      <c r="I254" s="316">
        <v>6125.9500000000007</v>
      </c>
    </row>
    <row r="255" spans="1:9" hidden="1" x14ac:dyDescent="0.3">
      <c r="A255">
        <v>5610</v>
      </c>
      <c r="B255" t="s">
        <v>183</v>
      </c>
      <c r="C255">
        <v>2013</v>
      </c>
      <c r="D255">
        <v>2013</v>
      </c>
      <c r="E255">
        <v>8110</v>
      </c>
      <c r="G255" t="s">
        <v>3237</v>
      </c>
      <c r="H255">
        <v>2900</v>
      </c>
      <c r="I255" s="316">
        <v>276568.08</v>
      </c>
    </row>
    <row r="256" spans="1:9" hidden="1" x14ac:dyDescent="0.3">
      <c r="A256">
        <v>5620</v>
      </c>
      <c r="B256" t="s">
        <v>183</v>
      </c>
      <c r="C256">
        <v>2013</v>
      </c>
      <c r="D256">
        <v>2013</v>
      </c>
      <c r="E256">
        <v>101</v>
      </c>
      <c r="G256" t="s">
        <v>3254</v>
      </c>
      <c r="H256">
        <v>2900</v>
      </c>
      <c r="I256" s="316">
        <v>2183996.17</v>
      </c>
    </row>
    <row r="257" spans="1:9" hidden="1" x14ac:dyDescent="0.3">
      <c r="A257">
        <v>5620</v>
      </c>
      <c r="B257" t="s">
        <v>183</v>
      </c>
      <c r="C257">
        <v>2013</v>
      </c>
      <c r="D257">
        <v>2013</v>
      </c>
      <c r="E257">
        <v>735</v>
      </c>
      <c r="G257" t="s">
        <v>3254</v>
      </c>
      <c r="H257">
        <v>2900</v>
      </c>
      <c r="I257" s="316">
        <v>9375</v>
      </c>
    </row>
    <row r="258" spans="1:9" hidden="1" x14ac:dyDescent="0.3">
      <c r="A258">
        <v>5620</v>
      </c>
      <c r="B258" t="s">
        <v>183</v>
      </c>
      <c r="C258">
        <v>2013</v>
      </c>
      <c r="D258">
        <v>2013</v>
      </c>
      <c r="E258">
        <v>8110</v>
      </c>
      <c r="G258" t="s">
        <v>3254</v>
      </c>
      <c r="H258">
        <v>2900</v>
      </c>
      <c r="I258" s="316">
        <v>352164.68000000005</v>
      </c>
    </row>
    <row r="259" spans="1:9" hidden="1" x14ac:dyDescent="0.3">
      <c r="A259">
        <v>5630</v>
      </c>
      <c r="B259" t="s">
        <v>183</v>
      </c>
      <c r="C259">
        <v>2013</v>
      </c>
      <c r="D259">
        <v>2013</v>
      </c>
      <c r="E259">
        <v>101</v>
      </c>
      <c r="G259" t="s">
        <v>3259</v>
      </c>
      <c r="H259">
        <v>2900</v>
      </c>
      <c r="I259" s="316">
        <v>1925977.95</v>
      </c>
    </row>
    <row r="260" spans="1:9" x14ac:dyDescent="0.3">
      <c r="A260">
        <v>5630</v>
      </c>
      <c r="B260" t="s">
        <v>183</v>
      </c>
      <c r="C260">
        <v>2013</v>
      </c>
      <c r="D260">
        <v>2013</v>
      </c>
      <c r="E260">
        <v>733</v>
      </c>
      <c r="G260" t="s">
        <v>3259</v>
      </c>
      <c r="H260">
        <v>2900</v>
      </c>
      <c r="I260" s="316">
        <v>36221.409999999996</v>
      </c>
    </row>
    <row r="261" spans="1:9" hidden="1" x14ac:dyDescent="0.3">
      <c r="A261">
        <v>5630</v>
      </c>
      <c r="B261" t="s">
        <v>183</v>
      </c>
      <c r="C261">
        <v>2013</v>
      </c>
      <c r="D261">
        <v>2013</v>
      </c>
      <c r="E261">
        <v>735</v>
      </c>
      <c r="G261" t="s">
        <v>3259</v>
      </c>
      <c r="H261">
        <v>2900</v>
      </c>
      <c r="I261" s="316">
        <v>4185.0599999999995</v>
      </c>
    </row>
    <row r="262" spans="1:9" hidden="1" x14ac:dyDescent="0.3">
      <c r="A262">
        <v>5640</v>
      </c>
      <c r="B262" t="s">
        <v>183</v>
      </c>
      <c r="C262">
        <v>2013</v>
      </c>
      <c r="D262">
        <v>2013</v>
      </c>
      <c r="E262">
        <v>101</v>
      </c>
      <c r="G262" t="s">
        <v>3188</v>
      </c>
      <c r="H262">
        <v>2900</v>
      </c>
      <c r="I262" s="316">
        <v>2681932.52</v>
      </c>
    </row>
    <row r="263" spans="1:9" hidden="1" x14ac:dyDescent="0.3">
      <c r="A263">
        <v>5640</v>
      </c>
      <c r="B263" t="s">
        <v>183</v>
      </c>
      <c r="C263">
        <v>2013</v>
      </c>
      <c r="D263">
        <v>2013</v>
      </c>
      <c r="E263">
        <v>735</v>
      </c>
      <c r="G263" t="s">
        <v>3188</v>
      </c>
      <c r="H263">
        <v>2900</v>
      </c>
      <c r="I263" s="316">
        <v>79085.33</v>
      </c>
    </row>
    <row r="264" spans="1:9" hidden="1" x14ac:dyDescent="0.3">
      <c r="A264">
        <v>5640</v>
      </c>
      <c r="B264" t="s">
        <v>183</v>
      </c>
      <c r="C264">
        <v>2013</v>
      </c>
      <c r="D264">
        <v>2013</v>
      </c>
      <c r="E264">
        <v>8110</v>
      </c>
      <c r="G264" t="s">
        <v>3188</v>
      </c>
      <c r="H264">
        <v>2900</v>
      </c>
      <c r="I264" s="316">
        <v>232726.92</v>
      </c>
    </row>
    <row r="265" spans="1:9" hidden="1" x14ac:dyDescent="0.3">
      <c r="A265">
        <v>5690</v>
      </c>
      <c r="B265" t="s">
        <v>183</v>
      </c>
      <c r="C265">
        <v>2013</v>
      </c>
      <c r="D265">
        <v>2013</v>
      </c>
      <c r="E265">
        <v>101</v>
      </c>
      <c r="G265" t="s">
        <v>3238</v>
      </c>
      <c r="H265">
        <v>2900</v>
      </c>
      <c r="I265" s="316">
        <v>4161733.9000000004</v>
      </c>
    </row>
    <row r="266" spans="1:9" x14ac:dyDescent="0.3">
      <c r="A266">
        <v>5690</v>
      </c>
      <c r="B266" t="s">
        <v>183</v>
      </c>
      <c r="C266">
        <v>2013</v>
      </c>
      <c r="D266">
        <v>2013</v>
      </c>
      <c r="E266">
        <v>733</v>
      </c>
      <c r="G266" t="s">
        <v>3238</v>
      </c>
      <c r="H266">
        <v>2900</v>
      </c>
      <c r="I266" s="316">
        <v>234387.5</v>
      </c>
    </row>
    <row r="267" spans="1:9" hidden="1" x14ac:dyDescent="0.3">
      <c r="A267">
        <v>5690</v>
      </c>
      <c r="B267" t="s">
        <v>183</v>
      </c>
      <c r="C267">
        <v>2013</v>
      </c>
      <c r="D267">
        <v>2013</v>
      </c>
      <c r="E267">
        <v>735</v>
      </c>
      <c r="G267" t="s">
        <v>3238</v>
      </c>
      <c r="H267">
        <v>2900</v>
      </c>
      <c r="I267" s="316">
        <v>12015.99</v>
      </c>
    </row>
    <row r="268" spans="1:9" hidden="1" x14ac:dyDescent="0.3">
      <c r="A268">
        <v>5690</v>
      </c>
      <c r="B268" t="s">
        <v>183</v>
      </c>
      <c r="C268">
        <v>2013</v>
      </c>
      <c r="D268">
        <v>2013</v>
      </c>
      <c r="E268">
        <v>8110</v>
      </c>
      <c r="G268" t="s">
        <v>3238</v>
      </c>
      <c r="H268">
        <v>2900</v>
      </c>
      <c r="I268" s="316">
        <v>287706.77999999997</v>
      </c>
    </row>
    <row r="269" spans="1:9" hidden="1" x14ac:dyDescent="0.3">
      <c r="A269">
        <v>5710</v>
      </c>
      <c r="B269" t="s">
        <v>183</v>
      </c>
      <c r="C269">
        <v>2013</v>
      </c>
      <c r="D269">
        <v>2013</v>
      </c>
      <c r="E269">
        <v>101</v>
      </c>
      <c r="G269" t="s">
        <v>3239</v>
      </c>
      <c r="H269">
        <v>2900</v>
      </c>
      <c r="I269" s="316">
        <v>2373486.5000000005</v>
      </c>
    </row>
    <row r="270" spans="1:9" x14ac:dyDescent="0.3">
      <c r="A270">
        <v>5710</v>
      </c>
      <c r="B270" t="s">
        <v>183</v>
      </c>
      <c r="C270">
        <v>2013</v>
      </c>
      <c r="D270">
        <v>2013</v>
      </c>
      <c r="E270">
        <v>733</v>
      </c>
      <c r="G270" t="s">
        <v>3239</v>
      </c>
      <c r="H270">
        <v>2900</v>
      </c>
      <c r="I270" s="316">
        <v>193711.41999999998</v>
      </c>
    </row>
    <row r="271" spans="1:9" hidden="1" x14ac:dyDescent="0.3">
      <c r="A271">
        <v>5710</v>
      </c>
      <c r="B271" t="s">
        <v>183</v>
      </c>
      <c r="C271">
        <v>2013</v>
      </c>
      <c r="D271">
        <v>2013</v>
      </c>
      <c r="E271">
        <v>735</v>
      </c>
      <c r="G271" t="s">
        <v>3239</v>
      </c>
      <c r="H271">
        <v>2900</v>
      </c>
      <c r="I271" s="316">
        <v>8411.4500000000007</v>
      </c>
    </row>
    <row r="272" spans="1:9" hidden="1" x14ac:dyDescent="0.3">
      <c r="A272">
        <v>5710</v>
      </c>
      <c r="B272" t="s">
        <v>183</v>
      </c>
      <c r="C272">
        <v>2013</v>
      </c>
      <c r="D272">
        <v>2013</v>
      </c>
      <c r="E272">
        <v>8110</v>
      </c>
      <c r="G272" t="s">
        <v>3239</v>
      </c>
      <c r="H272">
        <v>2900</v>
      </c>
      <c r="I272" s="316">
        <v>196957.65</v>
      </c>
    </row>
    <row r="273" spans="1:9" hidden="1" x14ac:dyDescent="0.3">
      <c r="A273">
        <v>5720</v>
      </c>
      <c r="B273" t="s">
        <v>183</v>
      </c>
      <c r="C273">
        <v>2013</v>
      </c>
      <c r="D273">
        <v>2013</v>
      </c>
      <c r="E273">
        <v>101</v>
      </c>
      <c r="G273" t="s">
        <v>3189</v>
      </c>
      <c r="H273">
        <v>2900</v>
      </c>
      <c r="I273" s="316">
        <v>4605261.959999999</v>
      </c>
    </row>
    <row r="274" spans="1:9" hidden="1" x14ac:dyDescent="0.3">
      <c r="A274">
        <v>5720</v>
      </c>
      <c r="B274" t="s">
        <v>183</v>
      </c>
      <c r="C274">
        <v>2013</v>
      </c>
      <c r="D274">
        <v>2013</v>
      </c>
      <c r="E274">
        <v>735</v>
      </c>
      <c r="G274" t="s">
        <v>3189</v>
      </c>
      <c r="H274">
        <v>2900</v>
      </c>
      <c r="I274" s="316">
        <v>111113.95999999999</v>
      </c>
    </row>
    <row r="275" spans="1:9" hidden="1" x14ac:dyDescent="0.3">
      <c r="A275">
        <v>5720</v>
      </c>
      <c r="B275" t="s">
        <v>183</v>
      </c>
      <c r="C275">
        <v>2013</v>
      </c>
      <c r="D275">
        <v>2013</v>
      </c>
      <c r="E275">
        <v>8110</v>
      </c>
      <c r="G275" t="s">
        <v>3189</v>
      </c>
      <c r="H275">
        <v>2900</v>
      </c>
      <c r="I275" s="316">
        <v>65759.39</v>
      </c>
    </row>
    <row r="276" spans="1:9" hidden="1" x14ac:dyDescent="0.3">
      <c r="A276">
        <v>5730</v>
      </c>
      <c r="B276" t="s">
        <v>183</v>
      </c>
      <c r="C276">
        <v>2013</v>
      </c>
      <c r="D276">
        <v>2013</v>
      </c>
      <c r="E276">
        <v>101</v>
      </c>
      <c r="G276" t="s">
        <v>3217</v>
      </c>
      <c r="H276">
        <v>2900</v>
      </c>
      <c r="I276" s="316">
        <v>2482705.85</v>
      </c>
    </row>
    <row r="277" spans="1:9" x14ac:dyDescent="0.3">
      <c r="A277">
        <v>5730</v>
      </c>
      <c r="B277" t="s">
        <v>183</v>
      </c>
      <c r="C277">
        <v>2013</v>
      </c>
      <c r="D277">
        <v>2013</v>
      </c>
      <c r="E277">
        <v>733</v>
      </c>
      <c r="G277" t="s">
        <v>3217</v>
      </c>
      <c r="H277">
        <v>2900</v>
      </c>
      <c r="I277" s="316">
        <v>187424.12</v>
      </c>
    </row>
    <row r="278" spans="1:9" hidden="1" x14ac:dyDescent="0.3">
      <c r="A278">
        <v>5730</v>
      </c>
      <c r="B278" t="s">
        <v>183</v>
      </c>
      <c r="C278">
        <v>2013</v>
      </c>
      <c r="D278">
        <v>2013</v>
      </c>
      <c r="E278">
        <v>735</v>
      </c>
      <c r="G278" t="s">
        <v>3217</v>
      </c>
      <c r="H278">
        <v>2900</v>
      </c>
      <c r="I278" s="316">
        <v>106352.54000000001</v>
      </c>
    </row>
    <row r="279" spans="1:9" hidden="1" x14ac:dyDescent="0.3">
      <c r="A279">
        <v>5730</v>
      </c>
      <c r="B279" t="s">
        <v>183</v>
      </c>
      <c r="C279">
        <v>2013</v>
      </c>
      <c r="D279">
        <v>2013</v>
      </c>
      <c r="E279">
        <v>8110</v>
      </c>
      <c r="G279" t="s">
        <v>3217</v>
      </c>
      <c r="H279">
        <v>2900</v>
      </c>
      <c r="I279" s="316">
        <v>290680.51</v>
      </c>
    </row>
    <row r="280" spans="1:9" hidden="1" x14ac:dyDescent="0.3">
      <c r="A280">
        <v>5740</v>
      </c>
      <c r="B280" t="s">
        <v>183</v>
      </c>
      <c r="C280">
        <v>2013</v>
      </c>
      <c r="D280">
        <v>2013</v>
      </c>
      <c r="E280">
        <v>101</v>
      </c>
      <c r="G280" t="s">
        <v>3273</v>
      </c>
      <c r="H280">
        <v>2900</v>
      </c>
      <c r="I280" s="316">
        <v>3161915.16</v>
      </c>
    </row>
    <row r="281" spans="1:9" x14ac:dyDescent="0.3">
      <c r="A281">
        <v>5740</v>
      </c>
      <c r="B281" t="s">
        <v>183</v>
      </c>
      <c r="C281">
        <v>2013</v>
      </c>
      <c r="D281">
        <v>2013</v>
      </c>
      <c r="E281">
        <v>733</v>
      </c>
      <c r="G281" t="s">
        <v>3273</v>
      </c>
      <c r="H281">
        <v>2900</v>
      </c>
      <c r="I281" s="316">
        <v>205572.25</v>
      </c>
    </row>
    <row r="282" spans="1:9" hidden="1" x14ac:dyDescent="0.3">
      <c r="A282">
        <v>5740</v>
      </c>
      <c r="B282" t="s">
        <v>183</v>
      </c>
      <c r="C282">
        <v>2013</v>
      </c>
      <c r="D282">
        <v>2013</v>
      </c>
      <c r="E282">
        <v>735</v>
      </c>
      <c r="G282" t="s">
        <v>3273</v>
      </c>
      <c r="H282">
        <v>2900</v>
      </c>
      <c r="I282" s="316">
        <v>10501.02</v>
      </c>
    </row>
    <row r="283" spans="1:9" hidden="1" x14ac:dyDescent="0.3">
      <c r="A283">
        <v>5750</v>
      </c>
      <c r="B283" t="s">
        <v>183</v>
      </c>
      <c r="C283">
        <v>2013</v>
      </c>
      <c r="D283">
        <v>2013</v>
      </c>
      <c r="E283">
        <v>101</v>
      </c>
      <c r="G283" t="s">
        <v>3195</v>
      </c>
      <c r="H283">
        <v>2900</v>
      </c>
      <c r="I283" s="316">
        <v>3182710.77</v>
      </c>
    </row>
    <row r="284" spans="1:9" x14ac:dyDescent="0.3">
      <c r="A284">
        <v>5750</v>
      </c>
      <c r="B284" t="s">
        <v>183</v>
      </c>
      <c r="C284">
        <v>2013</v>
      </c>
      <c r="D284">
        <v>2013</v>
      </c>
      <c r="E284">
        <v>733</v>
      </c>
      <c r="G284" t="s">
        <v>3195</v>
      </c>
      <c r="H284">
        <v>2900</v>
      </c>
      <c r="I284" s="316">
        <v>142490.95000000001</v>
      </c>
    </row>
    <row r="285" spans="1:9" hidden="1" x14ac:dyDescent="0.3">
      <c r="A285">
        <v>5750</v>
      </c>
      <c r="B285" t="s">
        <v>183</v>
      </c>
      <c r="C285">
        <v>2013</v>
      </c>
      <c r="D285">
        <v>2013</v>
      </c>
      <c r="E285">
        <v>735</v>
      </c>
      <c r="G285" t="s">
        <v>3195</v>
      </c>
      <c r="H285">
        <v>2900</v>
      </c>
      <c r="I285" s="316">
        <v>7465.25</v>
      </c>
    </row>
    <row r="286" spans="1:9" hidden="1" x14ac:dyDescent="0.3">
      <c r="A286">
        <v>5760</v>
      </c>
      <c r="B286" t="s">
        <v>183</v>
      </c>
      <c r="C286">
        <v>2013</v>
      </c>
      <c r="D286">
        <v>2013</v>
      </c>
      <c r="E286">
        <v>101</v>
      </c>
      <c r="G286" t="s">
        <v>3200</v>
      </c>
      <c r="H286">
        <v>2900</v>
      </c>
      <c r="I286" s="316">
        <v>6735964.4899999993</v>
      </c>
    </row>
    <row r="287" spans="1:9" hidden="1" x14ac:dyDescent="0.3">
      <c r="A287">
        <v>5760</v>
      </c>
      <c r="B287" t="s">
        <v>183</v>
      </c>
      <c r="C287">
        <v>2013</v>
      </c>
      <c r="D287">
        <v>2013</v>
      </c>
      <c r="E287">
        <v>735</v>
      </c>
      <c r="G287" t="s">
        <v>3200</v>
      </c>
      <c r="H287">
        <v>2900</v>
      </c>
      <c r="I287" s="316">
        <v>116688.95999999999</v>
      </c>
    </row>
    <row r="288" spans="1:9" hidden="1" x14ac:dyDescent="0.3">
      <c r="A288">
        <v>5760</v>
      </c>
      <c r="B288" t="s">
        <v>183</v>
      </c>
      <c r="C288">
        <v>2013</v>
      </c>
      <c r="D288">
        <v>2013</v>
      </c>
      <c r="E288">
        <v>8110</v>
      </c>
      <c r="G288" t="s">
        <v>3200</v>
      </c>
      <c r="H288">
        <v>2900</v>
      </c>
      <c r="I288" s="316">
        <v>607550.4</v>
      </c>
    </row>
    <row r="289" spans="1:9" hidden="1" x14ac:dyDescent="0.3">
      <c r="A289">
        <v>5780</v>
      </c>
      <c r="B289" t="s">
        <v>183</v>
      </c>
      <c r="C289">
        <v>2013</v>
      </c>
      <c r="D289">
        <v>2013</v>
      </c>
      <c r="E289">
        <v>101</v>
      </c>
      <c r="G289" t="s">
        <v>3290</v>
      </c>
      <c r="H289">
        <v>2900</v>
      </c>
      <c r="I289" s="316">
        <v>3115021.95</v>
      </c>
    </row>
    <row r="290" spans="1:9" x14ac:dyDescent="0.3">
      <c r="A290">
        <v>5780</v>
      </c>
      <c r="B290" t="s">
        <v>183</v>
      </c>
      <c r="C290">
        <v>2013</v>
      </c>
      <c r="D290">
        <v>2013</v>
      </c>
      <c r="E290">
        <v>733</v>
      </c>
      <c r="G290" t="s">
        <v>3290</v>
      </c>
      <c r="H290">
        <v>2900</v>
      </c>
      <c r="I290" s="316">
        <v>167564.87</v>
      </c>
    </row>
    <row r="291" spans="1:9" hidden="1" x14ac:dyDescent="0.3">
      <c r="A291">
        <v>5780</v>
      </c>
      <c r="B291" t="s">
        <v>183</v>
      </c>
      <c r="C291">
        <v>2013</v>
      </c>
      <c r="D291">
        <v>2013</v>
      </c>
      <c r="E291">
        <v>735</v>
      </c>
      <c r="G291" t="s">
        <v>3290</v>
      </c>
      <c r="H291">
        <v>2900</v>
      </c>
      <c r="I291" s="316">
        <v>105437.42</v>
      </c>
    </row>
    <row r="292" spans="1:9" hidden="1" x14ac:dyDescent="0.3">
      <c r="A292">
        <v>5780</v>
      </c>
      <c r="B292" t="s">
        <v>183</v>
      </c>
      <c r="C292">
        <v>2013</v>
      </c>
      <c r="D292">
        <v>2013</v>
      </c>
      <c r="E292">
        <v>8110</v>
      </c>
      <c r="G292" t="s">
        <v>3290</v>
      </c>
      <c r="H292">
        <v>2900</v>
      </c>
      <c r="I292" s="316">
        <v>392400.26999999996</v>
      </c>
    </row>
    <row r="293" spans="1:9" hidden="1" x14ac:dyDescent="0.3">
      <c r="A293">
        <v>5790</v>
      </c>
      <c r="B293" t="s">
        <v>183</v>
      </c>
      <c r="C293">
        <v>2013</v>
      </c>
      <c r="D293">
        <v>2013</v>
      </c>
      <c r="E293">
        <v>101</v>
      </c>
      <c r="G293" t="s">
        <v>3250</v>
      </c>
      <c r="H293">
        <v>2900</v>
      </c>
      <c r="I293" s="316">
        <v>2045600.7900000003</v>
      </c>
    </row>
    <row r="294" spans="1:9" x14ac:dyDescent="0.3">
      <c r="A294">
        <v>5790</v>
      </c>
      <c r="B294" t="s">
        <v>183</v>
      </c>
      <c r="C294">
        <v>2013</v>
      </c>
      <c r="D294">
        <v>2013</v>
      </c>
      <c r="E294">
        <v>733</v>
      </c>
      <c r="G294" t="s">
        <v>3250</v>
      </c>
      <c r="H294">
        <v>2900</v>
      </c>
      <c r="I294" s="316">
        <v>108297.43</v>
      </c>
    </row>
    <row r="295" spans="1:9" hidden="1" x14ac:dyDescent="0.3">
      <c r="A295">
        <v>5790</v>
      </c>
      <c r="B295" t="s">
        <v>183</v>
      </c>
      <c r="C295">
        <v>2013</v>
      </c>
      <c r="D295">
        <v>2013</v>
      </c>
      <c r="E295">
        <v>735</v>
      </c>
      <c r="G295" t="s">
        <v>3250</v>
      </c>
      <c r="H295">
        <v>2900</v>
      </c>
      <c r="I295" s="316">
        <v>6558.72</v>
      </c>
    </row>
    <row r="296" spans="1:9" hidden="1" x14ac:dyDescent="0.3">
      <c r="A296">
        <v>5790</v>
      </c>
      <c r="B296" t="s">
        <v>183</v>
      </c>
      <c r="C296">
        <v>2013</v>
      </c>
      <c r="D296">
        <v>2013</v>
      </c>
      <c r="E296">
        <v>8110</v>
      </c>
      <c r="G296" t="s">
        <v>3250</v>
      </c>
      <c r="H296">
        <v>2900</v>
      </c>
      <c r="I296" s="316">
        <v>278994.83</v>
      </c>
    </row>
    <row r="297" spans="1:9" hidden="1" x14ac:dyDescent="0.3">
      <c r="A297">
        <v>5800</v>
      </c>
      <c r="B297" t="s">
        <v>183</v>
      </c>
      <c r="C297">
        <v>2013</v>
      </c>
      <c r="D297">
        <v>2013</v>
      </c>
      <c r="E297">
        <v>101</v>
      </c>
      <c r="G297" t="s">
        <v>3205</v>
      </c>
      <c r="H297">
        <v>2900</v>
      </c>
      <c r="I297" s="316">
        <v>2364713.8400000003</v>
      </c>
    </row>
    <row r="298" spans="1:9" hidden="1" x14ac:dyDescent="0.3">
      <c r="A298">
        <v>5800</v>
      </c>
      <c r="B298" t="s">
        <v>183</v>
      </c>
      <c r="C298">
        <v>2013</v>
      </c>
      <c r="D298">
        <v>2013</v>
      </c>
      <c r="E298">
        <v>735</v>
      </c>
      <c r="G298" t="s">
        <v>3205</v>
      </c>
      <c r="H298">
        <v>2900</v>
      </c>
      <c r="I298" s="316">
        <v>4000</v>
      </c>
    </row>
    <row r="299" spans="1:9" hidden="1" x14ac:dyDescent="0.3">
      <c r="A299">
        <v>5810</v>
      </c>
      <c r="B299" t="s">
        <v>183</v>
      </c>
      <c r="C299">
        <v>2013</v>
      </c>
      <c r="D299">
        <v>2013</v>
      </c>
      <c r="E299">
        <v>101</v>
      </c>
      <c r="G299" t="s">
        <v>3223</v>
      </c>
      <c r="H299">
        <v>2900</v>
      </c>
      <c r="I299" s="316">
        <v>1480869.9600000002</v>
      </c>
    </row>
    <row r="300" spans="1:9" hidden="1" x14ac:dyDescent="0.3">
      <c r="A300">
        <v>5810</v>
      </c>
      <c r="B300" t="s">
        <v>183</v>
      </c>
      <c r="C300">
        <v>2013</v>
      </c>
      <c r="D300">
        <v>2013</v>
      </c>
      <c r="E300">
        <v>735</v>
      </c>
      <c r="G300" t="s">
        <v>3223</v>
      </c>
      <c r="H300">
        <v>2900</v>
      </c>
      <c r="I300" s="316">
        <v>4622</v>
      </c>
    </row>
    <row r="301" spans="1:9" hidden="1" x14ac:dyDescent="0.3">
      <c r="A301">
        <v>5820</v>
      </c>
      <c r="B301" t="s">
        <v>183</v>
      </c>
      <c r="C301">
        <v>2013</v>
      </c>
      <c r="D301">
        <v>2013</v>
      </c>
      <c r="E301">
        <v>101</v>
      </c>
      <c r="G301" t="s">
        <v>3258</v>
      </c>
      <c r="H301">
        <v>2900</v>
      </c>
      <c r="I301" s="316">
        <v>2126168.09</v>
      </c>
    </row>
    <row r="302" spans="1:9" x14ac:dyDescent="0.3">
      <c r="A302">
        <v>5820</v>
      </c>
      <c r="B302" t="s">
        <v>183</v>
      </c>
      <c r="C302">
        <v>2013</v>
      </c>
      <c r="D302">
        <v>2013</v>
      </c>
      <c r="E302">
        <v>733</v>
      </c>
      <c r="G302" t="s">
        <v>3258</v>
      </c>
      <c r="H302">
        <v>2900</v>
      </c>
      <c r="I302" s="316">
        <v>102153.51999999999</v>
      </c>
    </row>
    <row r="303" spans="1:9" hidden="1" x14ac:dyDescent="0.3">
      <c r="A303">
        <v>5820</v>
      </c>
      <c r="B303" t="s">
        <v>183</v>
      </c>
      <c r="C303">
        <v>2013</v>
      </c>
      <c r="D303">
        <v>2013</v>
      </c>
      <c r="E303">
        <v>735</v>
      </c>
      <c r="G303" t="s">
        <v>3258</v>
      </c>
      <c r="H303">
        <v>2900</v>
      </c>
      <c r="I303" s="316">
        <v>5637.54</v>
      </c>
    </row>
    <row r="304" spans="1:9" hidden="1" x14ac:dyDescent="0.3">
      <c r="A304">
        <v>5820</v>
      </c>
      <c r="B304" t="s">
        <v>183</v>
      </c>
      <c r="C304">
        <v>2013</v>
      </c>
      <c r="D304">
        <v>2013</v>
      </c>
      <c r="E304">
        <v>8110</v>
      </c>
      <c r="G304" t="s">
        <v>3258</v>
      </c>
      <c r="H304">
        <v>2900</v>
      </c>
      <c r="I304" s="316">
        <v>176836.15</v>
      </c>
    </row>
    <row r="305" spans="1:9" hidden="1" x14ac:dyDescent="0.3">
      <c r="A305">
        <v>5830</v>
      </c>
      <c r="B305" t="s">
        <v>183</v>
      </c>
      <c r="C305">
        <v>2013</v>
      </c>
      <c r="D305">
        <v>2013</v>
      </c>
      <c r="E305">
        <v>101</v>
      </c>
      <c r="G305" t="s">
        <v>3243</v>
      </c>
      <c r="H305">
        <v>2900</v>
      </c>
      <c r="I305" s="316">
        <v>4483803.3600000003</v>
      </c>
    </row>
    <row r="306" spans="1:9" x14ac:dyDescent="0.3">
      <c r="A306">
        <v>5830</v>
      </c>
      <c r="B306" t="s">
        <v>183</v>
      </c>
      <c r="C306">
        <v>2013</v>
      </c>
      <c r="D306">
        <v>2013</v>
      </c>
      <c r="E306">
        <v>733</v>
      </c>
      <c r="G306" t="s">
        <v>3243</v>
      </c>
      <c r="H306">
        <v>2900</v>
      </c>
      <c r="I306" s="316">
        <v>146590.78</v>
      </c>
    </row>
    <row r="307" spans="1:9" hidden="1" x14ac:dyDescent="0.3">
      <c r="A307">
        <v>5830</v>
      </c>
      <c r="B307" t="s">
        <v>183</v>
      </c>
      <c r="C307">
        <v>2013</v>
      </c>
      <c r="D307">
        <v>2013</v>
      </c>
      <c r="E307">
        <v>735</v>
      </c>
      <c r="G307" t="s">
        <v>3243</v>
      </c>
      <c r="H307">
        <v>2900</v>
      </c>
      <c r="I307" s="316">
        <v>7922.13</v>
      </c>
    </row>
    <row r="308" spans="1:9" hidden="1" x14ac:dyDescent="0.3">
      <c r="A308">
        <v>5830</v>
      </c>
      <c r="B308" t="s">
        <v>183</v>
      </c>
      <c r="C308">
        <v>2013</v>
      </c>
      <c r="D308">
        <v>2013</v>
      </c>
      <c r="E308">
        <v>8110</v>
      </c>
      <c r="G308" t="s">
        <v>3243</v>
      </c>
      <c r="H308">
        <v>2900</v>
      </c>
      <c r="I308" s="316">
        <v>112099.45999999999</v>
      </c>
    </row>
    <row r="309" spans="1:9" hidden="1" x14ac:dyDescent="0.3">
      <c r="A309">
        <v>5840</v>
      </c>
      <c r="B309" t="s">
        <v>183</v>
      </c>
      <c r="C309">
        <v>2013</v>
      </c>
      <c r="D309">
        <v>2013</v>
      </c>
      <c r="E309">
        <v>101</v>
      </c>
      <c r="G309" t="s">
        <v>3196</v>
      </c>
      <c r="H309">
        <v>2900</v>
      </c>
      <c r="I309" s="316">
        <v>3428260.73</v>
      </c>
    </row>
    <row r="310" spans="1:9" x14ac:dyDescent="0.3">
      <c r="A310">
        <v>5840</v>
      </c>
      <c r="B310" t="s">
        <v>183</v>
      </c>
      <c r="C310">
        <v>2013</v>
      </c>
      <c r="D310">
        <v>2013</v>
      </c>
      <c r="E310">
        <v>733</v>
      </c>
      <c r="G310" t="s">
        <v>3196</v>
      </c>
      <c r="H310">
        <v>2900</v>
      </c>
      <c r="I310" s="316">
        <v>167022.53000000003</v>
      </c>
    </row>
    <row r="311" spans="1:9" hidden="1" x14ac:dyDescent="0.3">
      <c r="A311">
        <v>5840</v>
      </c>
      <c r="B311" t="s">
        <v>183</v>
      </c>
      <c r="C311">
        <v>2013</v>
      </c>
      <c r="D311">
        <v>2013</v>
      </c>
      <c r="E311">
        <v>735</v>
      </c>
      <c r="G311" t="s">
        <v>3196</v>
      </c>
      <c r="H311">
        <v>2900</v>
      </c>
      <c r="I311" s="316">
        <v>209931.84999999998</v>
      </c>
    </row>
    <row r="312" spans="1:9" hidden="1" x14ac:dyDescent="0.3">
      <c r="A312">
        <v>5850</v>
      </c>
      <c r="B312" t="s">
        <v>183</v>
      </c>
      <c r="C312">
        <v>2013</v>
      </c>
      <c r="D312">
        <v>2013</v>
      </c>
      <c r="E312">
        <v>101</v>
      </c>
      <c r="G312" t="s">
        <v>3234</v>
      </c>
      <c r="H312">
        <v>2900</v>
      </c>
      <c r="I312" s="316">
        <v>4262620.08</v>
      </c>
    </row>
    <row r="313" spans="1:9" x14ac:dyDescent="0.3">
      <c r="A313">
        <v>5850</v>
      </c>
      <c r="B313" t="s">
        <v>183</v>
      </c>
      <c r="C313">
        <v>2013</v>
      </c>
      <c r="D313">
        <v>2013</v>
      </c>
      <c r="E313">
        <v>733</v>
      </c>
      <c r="G313" t="s">
        <v>3234</v>
      </c>
      <c r="H313">
        <v>2900</v>
      </c>
      <c r="I313" s="316">
        <v>171358.46000000002</v>
      </c>
    </row>
    <row r="314" spans="1:9" hidden="1" x14ac:dyDescent="0.3">
      <c r="A314">
        <v>5850</v>
      </c>
      <c r="B314" t="s">
        <v>183</v>
      </c>
      <c r="C314">
        <v>2013</v>
      </c>
      <c r="D314">
        <v>2013</v>
      </c>
      <c r="E314">
        <v>735</v>
      </c>
      <c r="G314" t="s">
        <v>3234</v>
      </c>
      <c r="H314">
        <v>2900</v>
      </c>
      <c r="I314" s="316">
        <v>11065.22</v>
      </c>
    </row>
    <row r="315" spans="1:9" hidden="1" x14ac:dyDescent="0.3">
      <c r="A315">
        <v>5850</v>
      </c>
      <c r="B315" t="s">
        <v>183</v>
      </c>
      <c r="C315">
        <v>2013</v>
      </c>
      <c r="D315">
        <v>2013</v>
      </c>
      <c r="E315">
        <v>8110</v>
      </c>
      <c r="G315" t="s">
        <v>3234</v>
      </c>
      <c r="H315">
        <v>2900</v>
      </c>
      <c r="I315" s="316">
        <v>331691.28000000003</v>
      </c>
    </row>
    <row r="316" spans="1:9" hidden="1" x14ac:dyDescent="0.3">
      <c r="A316">
        <v>5860</v>
      </c>
      <c r="B316" t="s">
        <v>183</v>
      </c>
      <c r="C316">
        <v>2013</v>
      </c>
      <c r="D316">
        <v>2013</v>
      </c>
      <c r="E316">
        <v>101</v>
      </c>
      <c r="G316" t="s">
        <v>3282</v>
      </c>
      <c r="H316">
        <v>2900</v>
      </c>
      <c r="I316" s="316">
        <v>3439317.9499999997</v>
      </c>
    </row>
    <row r="317" spans="1:9" x14ac:dyDescent="0.3">
      <c r="A317">
        <v>5860</v>
      </c>
      <c r="B317" t="s">
        <v>183</v>
      </c>
      <c r="C317">
        <v>2013</v>
      </c>
      <c r="D317">
        <v>2013</v>
      </c>
      <c r="E317">
        <v>733</v>
      </c>
      <c r="G317" t="s">
        <v>3282</v>
      </c>
      <c r="H317">
        <v>2900</v>
      </c>
      <c r="I317" s="316">
        <v>170147.98</v>
      </c>
    </row>
    <row r="318" spans="1:9" hidden="1" x14ac:dyDescent="0.3">
      <c r="A318">
        <v>5860</v>
      </c>
      <c r="B318" t="s">
        <v>183</v>
      </c>
      <c r="C318">
        <v>2013</v>
      </c>
      <c r="D318">
        <v>2013</v>
      </c>
      <c r="E318">
        <v>735</v>
      </c>
      <c r="G318" t="s">
        <v>3282</v>
      </c>
      <c r="H318">
        <v>2900</v>
      </c>
      <c r="I318" s="316">
        <v>10313.299999999999</v>
      </c>
    </row>
    <row r="319" spans="1:9" hidden="1" x14ac:dyDescent="0.3">
      <c r="A319">
        <v>5860</v>
      </c>
      <c r="B319" t="s">
        <v>183</v>
      </c>
      <c r="C319">
        <v>2013</v>
      </c>
      <c r="D319">
        <v>2013</v>
      </c>
      <c r="E319">
        <v>8110</v>
      </c>
      <c r="G319" t="s">
        <v>3282</v>
      </c>
      <c r="H319">
        <v>2900</v>
      </c>
      <c r="I319" s="316">
        <v>613432.19999999995</v>
      </c>
    </row>
    <row r="320" spans="1:9" hidden="1" x14ac:dyDescent="0.3">
      <c r="A320">
        <v>5880</v>
      </c>
      <c r="B320" t="s">
        <v>183</v>
      </c>
      <c r="C320">
        <v>2013</v>
      </c>
      <c r="D320">
        <v>2013</v>
      </c>
      <c r="E320">
        <v>101</v>
      </c>
      <c r="G320" t="s">
        <v>3163</v>
      </c>
      <c r="H320">
        <v>2900</v>
      </c>
      <c r="I320" s="316">
        <v>1509663.7700000003</v>
      </c>
    </row>
    <row r="321" spans="1:9" hidden="1" x14ac:dyDescent="0.3">
      <c r="A321">
        <v>5880</v>
      </c>
      <c r="B321" t="s">
        <v>183</v>
      </c>
      <c r="C321">
        <v>2013</v>
      </c>
      <c r="D321">
        <v>2013</v>
      </c>
      <c r="E321">
        <v>735</v>
      </c>
      <c r="G321" t="s">
        <v>3163</v>
      </c>
      <c r="H321">
        <v>2900</v>
      </c>
      <c r="I321" s="316">
        <v>6225</v>
      </c>
    </row>
    <row r="322" spans="1:9" hidden="1" x14ac:dyDescent="0.3">
      <c r="A322">
        <v>5880</v>
      </c>
      <c r="B322" t="s">
        <v>183</v>
      </c>
      <c r="C322">
        <v>2013</v>
      </c>
      <c r="D322">
        <v>2013</v>
      </c>
      <c r="E322">
        <v>8110</v>
      </c>
      <c r="G322" t="s">
        <v>3163</v>
      </c>
      <c r="H322">
        <v>2900</v>
      </c>
      <c r="I322" s="316">
        <v>48619.6</v>
      </c>
    </row>
    <row r="323" spans="1:9" hidden="1" x14ac:dyDescent="0.3">
      <c r="A323">
        <v>5900</v>
      </c>
      <c r="B323" t="s">
        <v>183</v>
      </c>
      <c r="C323">
        <v>2013</v>
      </c>
      <c r="D323">
        <v>2013</v>
      </c>
      <c r="E323">
        <v>101</v>
      </c>
      <c r="G323" t="s">
        <v>3224</v>
      </c>
      <c r="H323">
        <v>2900</v>
      </c>
      <c r="I323" s="316">
        <v>3228392.17</v>
      </c>
    </row>
    <row r="324" spans="1:9" x14ac:dyDescent="0.3">
      <c r="A324">
        <v>5900</v>
      </c>
      <c r="B324" t="s">
        <v>183</v>
      </c>
      <c r="C324">
        <v>2013</v>
      </c>
      <c r="D324">
        <v>2013</v>
      </c>
      <c r="E324">
        <v>733</v>
      </c>
      <c r="G324" t="s">
        <v>3224</v>
      </c>
      <c r="H324">
        <v>2900</v>
      </c>
      <c r="I324" s="316">
        <v>186661.35</v>
      </c>
    </row>
    <row r="325" spans="1:9" hidden="1" x14ac:dyDescent="0.3">
      <c r="A325">
        <v>5900</v>
      </c>
      <c r="B325" t="s">
        <v>183</v>
      </c>
      <c r="C325">
        <v>2013</v>
      </c>
      <c r="D325">
        <v>2013</v>
      </c>
      <c r="E325">
        <v>735</v>
      </c>
      <c r="G325" t="s">
        <v>3224</v>
      </c>
      <c r="H325">
        <v>2900</v>
      </c>
      <c r="I325" s="316">
        <v>9038.7999999999993</v>
      </c>
    </row>
    <row r="326" spans="1:9" hidden="1" x14ac:dyDescent="0.3">
      <c r="A326">
        <v>5910</v>
      </c>
      <c r="B326" t="s">
        <v>183</v>
      </c>
      <c r="C326">
        <v>2013</v>
      </c>
      <c r="D326">
        <v>2013</v>
      </c>
      <c r="E326">
        <v>101</v>
      </c>
      <c r="G326" t="s">
        <v>3301</v>
      </c>
      <c r="H326">
        <v>2900</v>
      </c>
      <c r="I326" s="316">
        <v>3044626.3000000003</v>
      </c>
    </row>
    <row r="327" spans="1:9" x14ac:dyDescent="0.3">
      <c r="A327">
        <v>5910</v>
      </c>
      <c r="B327" t="s">
        <v>183</v>
      </c>
      <c r="C327">
        <v>2013</v>
      </c>
      <c r="D327">
        <v>2013</v>
      </c>
      <c r="E327">
        <v>733</v>
      </c>
      <c r="G327" t="s">
        <v>3301</v>
      </c>
      <c r="H327">
        <v>2900</v>
      </c>
      <c r="I327" s="316">
        <v>129004.42</v>
      </c>
    </row>
    <row r="328" spans="1:9" hidden="1" x14ac:dyDescent="0.3">
      <c r="A328">
        <v>5910</v>
      </c>
      <c r="B328" t="s">
        <v>183</v>
      </c>
      <c r="C328">
        <v>2013</v>
      </c>
      <c r="D328">
        <v>2013</v>
      </c>
      <c r="E328">
        <v>735</v>
      </c>
      <c r="G328" t="s">
        <v>3301</v>
      </c>
      <c r="H328">
        <v>2900</v>
      </c>
      <c r="I328" s="316">
        <v>7388.98</v>
      </c>
    </row>
    <row r="329" spans="1:9" hidden="1" x14ac:dyDescent="0.3">
      <c r="A329">
        <v>5940</v>
      </c>
      <c r="B329" t="s">
        <v>183</v>
      </c>
      <c r="C329">
        <v>2013</v>
      </c>
      <c r="D329">
        <v>2013</v>
      </c>
      <c r="E329">
        <v>101</v>
      </c>
      <c r="G329" t="s">
        <v>3201</v>
      </c>
      <c r="H329">
        <v>2900</v>
      </c>
      <c r="I329" s="316">
        <v>2914191.1400000006</v>
      </c>
    </row>
    <row r="330" spans="1:9" hidden="1" x14ac:dyDescent="0.3">
      <c r="A330">
        <v>5940</v>
      </c>
      <c r="B330" t="s">
        <v>183</v>
      </c>
      <c r="C330">
        <v>2013</v>
      </c>
      <c r="D330">
        <v>2013</v>
      </c>
      <c r="E330">
        <v>735</v>
      </c>
      <c r="G330" t="s">
        <v>3201</v>
      </c>
      <c r="H330">
        <v>2900</v>
      </c>
      <c r="I330" s="316">
        <v>8900</v>
      </c>
    </row>
    <row r="331" spans="1:9" hidden="1" x14ac:dyDescent="0.3">
      <c r="A331">
        <v>5950</v>
      </c>
      <c r="B331" t="s">
        <v>183</v>
      </c>
      <c r="C331">
        <v>2013</v>
      </c>
      <c r="D331">
        <v>2013</v>
      </c>
      <c r="E331">
        <v>101</v>
      </c>
      <c r="G331" t="s">
        <v>3159</v>
      </c>
      <c r="H331">
        <v>2900</v>
      </c>
      <c r="I331" s="316">
        <v>2136133.42</v>
      </c>
    </row>
    <row r="332" spans="1:9" x14ac:dyDescent="0.3">
      <c r="A332">
        <v>5950</v>
      </c>
      <c r="B332" t="s">
        <v>183</v>
      </c>
      <c r="C332">
        <v>2013</v>
      </c>
      <c r="D332">
        <v>2013</v>
      </c>
      <c r="E332">
        <v>733</v>
      </c>
      <c r="G332" t="s">
        <v>3159</v>
      </c>
      <c r="H332">
        <v>2900</v>
      </c>
      <c r="I332" s="316">
        <v>145292.18000000002</v>
      </c>
    </row>
    <row r="333" spans="1:9" hidden="1" x14ac:dyDescent="0.3">
      <c r="A333">
        <v>5950</v>
      </c>
      <c r="B333" t="s">
        <v>183</v>
      </c>
      <c r="C333">
        <v>2013</v>
      </c>
      <c r="D333">
        <v>2013</v>
      </c>
      <c r="E333">
        <v>735</v>
      </c>
      <c r="G333" t="s">
        <v>3159</v>
      </c>
      <c r="H333">
        <v>2900</v>
      </c>
      <c r="I333" s="316">
        <v>6089.58</v>
      </c>
    </row>
    <row r="334" spans="1:9" hidden="1" x14ac:dyDescent="0.3">
      <c r="A334">
        <v>5970</v>
      </c>
      <c r="B334" t="s">
        <v>183</v>
      </c>
      <c r="C334">
        <v>2013</v>
      </c>
      <c r="D334">
        <v>2013</v>
      </c>
      <c r="E334">
        <v>101</v>
      </c>
      <c r="G334" t="s">
        <v>3225</v>
      </c>
      <c r="H334">
        <v>2900</v>
      </c>
      <c r="I334" s="316">
        <v>2286614.9499999997</v>
      </c>
    </row>
    <row r="335" spans="1:9" x14ac:dyDescent="0.3">
      <c r="A335">
        <v>5970</v>
      </c>
      <c r="B335" t="s">
        <v>183</v>
      </c>
      <c r="C335">
        <v>2013</v>
      </c>
      <c r="D335">
        <v>2013</v>
      </c>
      <c r="E335">
        <v>733</v>
      </c>
      <c r="G335" t="s">
        <v>3225</v>
      </c>
      <c r="H335">
        <v>2900</v>
      </c>
      <c r="I335" s="316">
        <v>109336.31000000001</v>
      </c>
    </row>
    <row r="336" spans="1:9" hidden="1" x14ac:dyDescent="0.3">
      <c r="A336">
        <v>5970</v>
      </c>
      <c r="B336" t="s">
        <v>183</v>
      </c>
      <c r="C336">
        <v>2013</v>
      </c>
      <c r="D336">
        <v>2013</v>
      </c>
      <c r="E336">
        <v>735</v>
      </c>
      <c r="G336" t="s">
        <v>3225</v>
      </c>
      <c r="H336">
        <v>2900</v>
      </c>
      <c r="I336" s="316">
        <v>158901.93</v>
      </c>
    </row>
    <row r="337" spans="1:9" hidden="1" x14ac:dyDescent="0.3">
      <c r="A337">
        <v>5970</v>
      </c>
      <c r="B337" t="s">
        <v>183</v>
      </c>
      <c r="C337">
        <v>2013</v>
      </c>
      <c r="D337">
        <v>2013</v>
      </c>
      <c r="E337">
        <v>8110</v>
      </c>
      <c r="G337" t="s">
        <v>3225</v>
      </c>
      <c r="H337">
        <v>2900</v>
      </c>
      <c r="I337" s="316">
        <v>110070.99</v>
      </c>
    </row>
    <row r="338" spans="1:9" hidden="1" x14ac:dyDescent="0.3">
      <c r="A338">
        <v>5980</v>
      </c>
      <c r="B338" t="s">
        <v>183</v>
      </c>
      <c r="C338">
        <v>2013</v>
      </c>
      <c r="D338">
        <v>2013</v>
      </c>
      <c r="E338">
        <v>101</v>
      </c>
      <c r="G338" t="s">
        <v>3263</v>
      </c>
      <c r="H338">
        <v>2900</v>
      </c>
      <c r="I338" s="316">
        <v>3324093.54</v>
      </c>
    </row>
    <row r="339" spans="1:9" x14ac:dyDescent="0.3">
      <c r="A339">
        <v>5980</v>
      </c>
      <c r="B339" t="s">
        <v>183</v>
      </c>
      <c r="C339">
        <v>2013</v>
      </c>
      <c r="D339">
        <v>2013</v>
      </c>
      <c r="E339">
        <v>733</v>
      </c>
      <c r="G339" t="s">
        <v>3263</v>
      </c>
      <c r="H339">
        <v>2900</v>
      </c>
      <c r="I339" s="316">
        <v>187607.41999999998</v>
      </c>
    </row>
    <row r="340" spans="1:9" hidden="1" x14ac:dyDescent="0.3">
      <c r="A340">
        <v>5980</v>
      </c>
      <c r="B340" t="s">
        <v>183</v>
      </c>
      <c r="C340">
        <v>2013</v>
      </c>
      <c r="D340">
        <v>2013</v>
      </c>
      <c r="E340">
        <v>735</v>
      </c>
      <c r="G340" t="s">
        <v>3263</v>
      </c>
      <c r="H340">
        <v>2900</v>
      </c>
      <c r="I340" s="316">
        <v>10323.15</v>
      </c>
    </row>
    <row r="341" spans="1:9" hidden="1" x14ac:dyDescent="0.3">
      <c r="A341">
        <v>6000</v>
      </c>
      <c r="B341" t="s">
        <v>183</v>
      </c>
      <c r="C341">
        <v>2013</v>
      </c>
      <c r="D341">
        <v>2013</v>
      </c>
      <c r="E341">
        <v>101</v>
      </c>
      <c r="G341" t="s">
        <v>3262</v>
      </c>
      <c r="H341">
        <v>2900</v>
      </c>
      <c r="I341" s="316">
        <v>3136807.4799999995</v>
      </c>
    </row>
    <row r="342" spans="1:9" hidden="1" x14ac:dyDescent="0.3">
      <c r="A342">
        <v>6000</v>
      </c>
      <c r="B342" t="s">
        <v>183</v>
      </c>
      <c r="C342">
        <v>2013</v>
      </c>
      <c r="D342">
        <v>2013</v>
      </c>
      <c r="E342">
        <v>735</v>
      </c>
      <c r="G342" t="s">
        <v>3262</v>
      </c>
      <c r="H342">
        <v>2900</v>
      </c>
      <c r="I342" s="316">
        <v>10550</v>
      </c>
    </row>
    <row r="343" spans="1:9" hidden="1" x14ac:dyDescent="0.3">
      <c r="A343">
        <v>6010</v>
      </c>
      <c r="B343" t="s">
        <v>183</v>
      </c>
      <c r="C343">
        <v>2013</v>
      </c>
      <c r="D343">
        <v>2013</v>
      </c>
      <c r="E343">
        <v>101</v>
      </c>
      <c r="G343" t="s">
        <v>3172</v>
      </c>
      <c r="H343">
        <v>2900</v>
      </c>
      <c r="I343" s="316">
        <v>3472208.2200000007</v>
      </c>
    </row>
    <row r="344" spans="1:9" x14ac:dyDescent="0.3">
      <c r="A344">
        <v>6010</v>
      </c>
      <c r="B344" t="s">
        <v>183</v>
      </c>
      <c r="C344">
        <v>2013</v>
      </c>
      <c r="D344">
        <v>2013</v>
      </c>
      <c r="E344">
        <v>733</v>
      </c>
      <c r="G344" t="s">
        <v>3172</v>
      </c>
      <c r="H344">
        <v>2900</v>
      </c>
      <c r="I344" s="316">
        <v>136092.06</v>
      </c>
    </row>
    <row r="345" spans="1:9" hidden="1" x14ac:dyDescent="0.3">
      <c r="A345">
        <v>6010</v>
      </c>
      <c r="B345" t="s">
        <v>183</v>
      </c>
      <c r="C345">
        <v>2013</v>
      </c>
      <c r="D345">
        <v>2013</v>
      </c>
      <c r="E345">
        <v>735</v>
      </c>
      <c r="G345" t="s">
        <v>3172</v>
      </c>
      <c r="H345">
        <v>2900</v>
      </c>
      <c r="I345" s="316">
        <v>8703.2200000000012</v>
      </c>
    </row>
    <row r="346" spans="1:9" hidden="1" x14ac:dyDescent="0.3">
      <c r="A346">
        <v>6010</v>
      </c>
      <c r="B346" t="s">
        <v>183</v>
      </c>
      <c r="C346">
        <v>2013</v>
      </c>
      <c r="D346">
        <v>2013</v>
      </c>
      <c r="E346">
        <v>8110</v>
      </c>
      <c r="G346" t="s">
        <v>3172</v>
      </c>
      <c r="H346">
        <v>2900</v>
      </c>
      <c r="I346" s="316">
        <v>270061.32999999996</v>
      </c>
    </row>
    <row r="347" spans="1:9" hidden="1" x14ac:dyDescent="0.3">
      <c r="A347">
        <v>6020</v>
      </c>
      <c r="B347" t="s">
        <v>183</v>
      </c>
      <c r="C347">
        <v>2013</v>
      </c>
      <c r="D347">
        <v>2013</v>
      </c>
      <c r="E347">
        <v>101</v>
      </c>
      <c r="G347" t="s">
        <v>3248</v>
      </c>
      <c r="H347">
        <v>2900</v>
      </c>
      <c r="I347" s="316">
        <v>2000077</v>
      </c>
    </row>
    <row r="348" spans="1:9" x14ac:dyDescent="0.3">
      <c r="A348">
        <v>6020</v>
      </c>
      <c r="B348" t="s">
        <v>183</v>
      </c>
      <c r="C348">
        <v>2013</v>
      </c>
      <c r="D348">
        <v>2013</v>
      </c>
      <c r="E348">
        <v>733</v>
      </c>
      <c r="G348" t="s">
        <v>3248</v>
      </c>
      <c r="H348">
        <v>2900</v>
      </c>
      <c r="I348" s="316">
        <v>120727.54000000001</v>
      </c>
    </row>
    <row r="349" spans="1:9" hidden="1" x14ac:dyDescent="0.3">
      <c r="A349">
        <v>6020</v>
      </c>
      <c r="B349" t="s">
        <v>183</v>
      </c>
      <c r="C349">
        <v>2013</v>
      </c>
      <c r="D349">
        <v>2013</v>
      </c>
      <c r="E349">
        <v>735</v>
      </c>
      <c r="G349" t="s">
        <v>3248</v>
      </c>
      <c r="H349">
        <v>2900</v>
      </c>
      <c r="I349" s="316">
        <v>6426.31</v>
      </c>
    </row>
    <row r="350" spans="1:9" hidden="1" x14ac:dyDescent="0.3">
      <c r="A350">
        <v>6020</v>
      </c>
      <c r="B350" t="s">
        <v>183</v>
      </c>
      <c r="C350">
        <v>2013</v>
      </c>
      <c r="D350">
        <v>2013</v>
      </c>
      <c r="E350">
        <v>8110</v>
      </c>
      <c r="G350" t="s">
        <v>3248</v>
      </c>
      <c r="H350">
        <v>2900</v>
      </c>
      <c r="I350" s="316">
        <v>28841.8</v>
      </c>
    </row>
    <row r="351" spans="1:9" hidden="1" x14ac:dyDescent="0.3">
      <c r="A351">
        <v>6030</v>
      </c>
      <c r="B351" t="s">
        <v>183</v>
      </c>
      <c r="C351">
        <v>2013</v>
      </c>
      <c r="D351">
        <v>2013</v>
      </c>
      <c r="E351">
        <v>101</v>
      </c>
      <c r="G351" t="s">
        <v>3229</v>
      </c>
      <c r="H351">
        <v>2900</v>
      </c>
      <c r="I351" s="316">
        <v>3114742.75</v>
      </c>
    </row>
    <row r="352" spans="1:9" x14ac:dyDescent="0.3">
      <c r="A352">
        <v>6030</v>
      </c>
      <c r="B352" t="s">
        <v>183</v>
      </c>
      <c r="C352">
        <v>2013</v>
      </c>
      <c r="D352">
        <v>2013</v>
      </c>
      <c r="E352">
        <v>733</v>
      </c>
      <c r="G352" t="s">
        <v>3229</v>
      </c>
      <c r="H352">
        <v>2900</v>
      </c>
      <c r="I352" s="316">
        <v>136783.88</v>
      </c>
    </row>
    <row r="353" spans="1:9" hidden="1" x14ac:dyDescent="0.3">
      <c r="A353">
        <v>6030</v>
      </c>
      <c r="B353" t="s">
        <v>183</v>
      </c>
      <c r="C353">
        <v>2013</v>
      </c>
      <c r="D353">
        <v>2013</v>
      </c>
      <c r="E353">
        <v>735</v>
      </c>
      <c r="G353" t="s">
        <v>3229</v>
      </c>
      <c r="H353">
        <v>2900</v>
      </c>
      <c r="I353" s="316">
        <v>6625.8099999999995</v>
      </c>
    </row>
    <row r="354" spans="1:9" hidden="1" x14ac:dyDescent="0.3">
      <c r="A354">
        <v>6040</v>
      </c>
      <c r="B354" t="s">
        <v>183</v>
      </c>
      <c r="C354">
        <v>2013</v>
      </c>
      <c r="D354">
        <v>2013</v>
      </c>
      <c r="E354">
        <v>101</v>
      </c>
      <c r="G354" t="s">
        <v>3288</v>
      </c>
      <c r="H354">
        <v>2900</v>
      </c>
      <c r="I354" s="316">
        <v>3046367.56</v>
      </c>
    </row>
    <row r="355" spans="1:9" x14ac:dyDescent="0.3">
      <c r="A355">
        <v>6040</v>
      </c>
      <c r="B355" t="s">
        <v>183</v>
      </c>
      <c r="C355">
        <v>2013</v>
      </c>
      <c r="D355">
        <v>2013</v>
      </c>
      <c r="E355">
        <v>733</v>
      </c>
      <c r="G355" t="s">
        <v>3288</v>
      </c>
      <c r="H355">
        <v>2900</v>
      </c>
      <c r="I355" s="316">
        <v>158399.72</v>
      </c>
    </row>
    <row r="356" spans="1:9" hidden="1" x14ac:dyDescent="0.3">
      <c r="A356">
        <v>6040</v>
      </c>
      <c r="B356" t="s">
        <v>183</v>
      </c>
      <c r="C356">
        <v>2013</v>
      </c>
      <c r="D356">
        <v>2013</v>
      </c>
      <c r="E356">
        <v>735</v>
      </c>
      <c r="G356" t="s">
        <v>3288</v>
      </c>
      <c r="H356">
        <v>2900</v>
      </c>
      <c r="I356" s="316">
        <v>9499.23</v>
      </c>
    </row>
    <row r="357" spans="1:9" hidden="1" x14ac:dyDescent="0.3">
      <c r="A357">
        <v>6040</v>
      </c>
      <c r="B357" t="s">
        <v>183</v>
      </c>
      <c r="C357">
        <v>2013</v>
      </c>
      <c r="D357">
        <v>2013</v>
      </c>
      <c r="E357">
        <v>8110</v>
      </c>
      <c r="G357" t="s">
        <v>3288</v>
      </c>
      <c r="H357">
        <v>2900</v>
      </c>
      <c r="I357" s="316">
        <v>559364.93999999994</v>
      </c>
    </row>
    <row r="358" spans="1:9" hidden="1" x14ac:dyDescent="0.3">
      <c r="A358">
        <v>6050</v>
      </c>
      <c r="B358" t="s">
        <v>183</v>
      </c>
      <c r="C358">
        <v>2013</v>
      </c>
      <c r="D358">
        <v>2013</v>
      </c>
      <c r="E358">
        <v>101</v>
      </c>
      <c r="G358" t="s">
        <v>3178</v>
      </c>
      <c r="H358">
        <v>2900</v>
      </c>
      <c r="I358" s="316">
        <v>5067342.8</v>
      </c>
    </row>
    <row r="359" spans="1:9" x14ac:dyDescent="0.3">
      <c r="A359">
        <v>6050</v>
      </c>
      <c r="B359" t="s">
        <v>183</v>
      </c>
      <c r="C359">
        <v>2013</v>
      </c>
      <c r="D359">
        <v>2013</v>
      </c>
      <c r="E359">
        <v>733</v>
      </c>
      <c r="G359" t="s">
        <v>3178</v>
      </c>
      <c r="H359">
        <v>2900</v>
      </c>
      <c r="I359" s="316">
        <v>241255.48</v>
      </c>
    </row>
    <row r="360" spans="1:9" hidden="1" x14ac:dyDescent="0.3">
      <c r="A360">
        <v>6050</v>
      </c>
      <c r="B360" t="s">
        <v>183</v>
      </c>
      <c r="C360">
        <v>2013</v>
      </c>
      <c r="D360">
        <v>2013</v>
      </c>
      <c r="E360">
        <v>735</v>
      </c>
      <c r="G360" t="s">
        <v>3178</v>
      </c>
      <c r="H360">
        <v>2900</v>
      </c>
      <c r="I360" s="316">
        <v>233089.63</v>
      </c>
    </row>
    <row r="361" spans="1:9" hidden="1" x14ac:dyDescent="0.3">
      <c r="A361">
        <v>6050</v>
      </c>
      <c r="B361" t="s">
        <v>183</v>
      </c>
      <c r="C361">
        <v>2013</v>
      </c>
      <c r="D361">
        <v>2013</v>
      </c>
      <c r="E361">
        <v>8110</v>
      </c>
      <c r="G361" t="s">
        <v>3178</v>
      </c>
      <c r="H361">
        <v>2900</v>
      </c>
      <c r="I361" s="316">
        <v>59000.92</v>
      </c>
    </row>
    <row r="362" spans="1:9" hidden="1" x14ac:dyDescent="0.3">
      <c r="A362">
        <v>6060</v>
      </c>
      <c r="B362" t="s">
        <v>183</v>
      </c>
      <c r="C362">
        <v>2013</v>
      </c>
      <c r="D362">
        <v>2013</v>
      </c>
      <c r="E362">
        <v>101</v>
      </c>
      <c r="G362" t="s">
        <v>3265</v>
      </c>
      <c r="H362">
        <v>2900</v>
      </c>
      <c r="I362" s="316">
        <v>2960893.19</v>
      </c>
    </row>
    <row r="363" spans="1:9" x14ac:dyDescent="0.3">
      <c r="A363">
        <v>6060</v>
      </c>
      <c r="B363" t="s">
        <v>183</v>
      </c>
      <c r="C363">
        <v>2013</v>
      </c>
      <c r="D363">
        <v>2013</v>
      </c>
      <c r="E363">
        <v>733</v>
      </c>
      <c r="G363" t="s">
        <v>3265</v>
      </c>
      <c r="H363">
        <v>2900</v>
      </c>
      <c r="I363" s="316">
        <v>104415.43</v>
      </c>
    </row>
    <row r="364" spans="1:9" hidden="1" x14ac:dyDescent="0.3">
      <c r="A364">
        <v>6060</v>
      </c>
      <c r="B364" t="s">
        <v>183</v>
      </c>
      <c r="C364">
        <v>2013</v>
      </c>
      <c r="D364">
        <v>2013</v>
      </c>
      <c r="E364">
        <v>735</v>
      </c>
      <c r="G364" t="s">
        <v>3265</v>
      </c>
      <c r="H364">
        <v>2900</v>
      </c>
      <c r="I364" s="316">
        <v>8170.59</v>
      </c>
    </row>
    <row r="365" spans="1:9" hidden="1" x14ac:dyDescent="0.3">
      <c r="A365">
        <v>6060</v>
      </c>
      <c r="B365" t="s">
        <v>183</v>
      </c>
      <c r="C365">
        <v>2013</v>
      </c>
      <c r="D365">
        <v>2013</v>
      </c>
      <c r="E365">
        <v>8110</v>
      </c>
      <c r="G365" t="s">
        <v>3265</v>
      </c>
      <c r="H365">
        <v>2900</v>
      </c>
      <c r="I365" s="316">
        <v>184281.18</v>
      </c>
    </row>
    <row r="366" spans="1:9" hidden="1" x14ac:dyDescent="0.3">
      <c r="A366">
        <v>6070</v>
      </c>
      <c r="B366" t="s">
        <v>183</v>
      </c>
      <c r="C366">
        <v>2013</v>
      </c>
      <c r="D366">
        <v>2013</v>
      </c>
      <c r="E366">
        <v>101</v>
      </c>
      <c r="G366" t="s">
        <v>3278</v>
      </c>
      <c r="H366">
        <v>2900</v>
      </c>
      <c r="I366" s="316">
        <v>4338443.79</v>
      </c>
    </row>
    <row r="367" spans="1:9" x14ac:dyDescent="0.3">
      <c r="A367">
        <v>6070</v>
      </c>
      <c r="B367" t="s">
        <v>183</v>
      </c>
      <c r="C367">
        <v>2013</v>
      </c>
      <c r="D367">
        <v>2013</v>
      </c>
      <c r="E367">
        <v>733</v>
      </c>
      <c r="G367" t="s">
        <v>3278</v>
      </c>
      <c r="H367">
        <v>2900</v>
      </c>
      <c r="I367" s="316">
        <v>187606.25999999998</v>
      </c>
    </row>
    <row r="368" spans="1:9" hidden="1" x14ac:dyDescent="0.3">
      <c r="A368">
        <v>6070</v>
      </c>
      <c r="B368" t="s">
        <v>183</v>
      </c>
      <c r="C368">
        <v>2013</v>
      </c>
      <c r="D368">
        <v>2013</v>
      </c>
      <c r="E368">
        <v>735</v>
      </c>
      <c r="G368" t="s">
        <v>3278</v>
      </c>
      <c r="H368">
        <v>2900</v>
      </c>
      <c r="I368" s="316">
        <v>109068.04999999999</v>
      </c>
    </row>
    <row r="369" spans="1:9" hidden="1" x14ac:dyDescent="0.3">
      <c r="A369">
        <v>6070</v>
      </c>
      <c r="B369" t="s">
        <v>183</v>
      </c>
      <c r="C369">
        <v>2013</v>
      </c>
      <c r="D369">
        <v>2013</v>
      </c>
      <c r="E369">
        <v>8110</v>
      </c>
      <c r="G369" t="s">
        <v>3278</v>
      </c>
      <c r="H369">
        <v>2900</v>
      </c>
      <c r="I369" s="316">
        <v>57321.46</v>
      </c>
    </row>
    <row r="370" spans="1:9" hidden="1" x14ac:dyDescent="0.3">
      <c r="A370">
        <v>6090</v>
      </c>
      <c r="B370" t="s">
        <v>183</v>
      </c>
      <c r="C370">
        <v>2013</v>
      </c>
      <c r="D370">
        <v>2013</v>
      </c>
      <c r="E370">
        <v>101</v>
      </c>
      <c r="G370" t="s">
        <v>3216</v>
      </c>
      <c r="H370">
        <v>2900</v>
      </c>
      <c r="I370" s="316">
        <v>4961515.8099999987</v>
      </c>
    </row>
    <row r="371" spans="1:9" x14ac:dyDescent="0.3">
      <c r="A371">
        <v>6090</v>
      </c>
      <c r="B371" t="s">
        <v>183</v>
      </c>
      <c r="C371">
        <v>2013</v>
      </c>
      <c r="D371">
        <v>2013</v>
      </c>
      <c r="E371">
        <v>733</v>
      </c>
      <c r="G371" t="s">
        <v>3216</v>
      </c>
      <c r="H371">
        <v>2900</v>
      </c>
      <c r="I371" s="316">
        <v>108237.55</v>
      </c>
    </row>
    <row r="372" spans="1:9" hidden="1" x14ac:dyDescent="0.3">
      <c r="A372">
        <v>6090</v>
      </c>
      <c r="B372" t="s">
        <v>183</v>
      </c>
      <c r="C372">
        <v>2013</v>
      </c>
      <c r="D372">
        <v>2013</v>
      </c>
      <c r="E372">
        <v>735</v>
      </c>
      <c r="G372" t="s">
        <v>3216</v>
      </c>
      <c r="H372">
        <v>2900</v>
      </c>
      <c r="I372" s="316">
        <v>99112.87999999999</v>
      </c>
    </row>
    <row r="373" spans="1:9" hidden="1" x14ac:dyDescent="0.3">
      <c r="A373">
        <v>6090</v>
      </c>
      <c r="B373" t="s">
        <v>183</v>
      </c>
      <c r="C373">
        <v>2013</v>
      </c>
      <c r="D373">
        <v>2013</v>
      </c>
      <c r="E373">
        <v>8110</v>
      </c>
      <c r="G373" t="s">
        <v>3216</v>
      </c>
      <c r="H373">
        <v>2900</v>
      </c>
      <c r="I373" s="316">
        <v>164074.83000000002</v>
      </c>
    </row>
    <row r="374" spans="1:9" hidden="1" x14ac:dyDescent="0.3">
      <c r="A374">
        <v>6110</v>
      </c>
      <c r="B374" t="s">
        <v>183</v>
      </c>
      <c r="C374">
        <v>2013</v>
      </c>
      <c r="D374">
        <v>2013</v>
      </c>
      <c r="E374">
        <v>101</v>
      </c>
      <c r="G374" t="s">
        <v>3160</v>
      </c>
      <c r="H374">
        <v>2900</v>
      </c>
      <c r="I374" s="316">
        <v>4624270.6399999997</v>
      </c>
    </row>
    <row r="375" spans="1:9" x14ac:dyDescent="0.3">
      <c r="A375">
        <v>6110</v>
      </c>
      <c r="B375" t="s">
        <v>183</v>
      </c>
      <c r="C375">
        <v>2013</v>
      </c>
      <c r="D375">
        <v>2013</v>
      </c>
      <c r="E375">
        <v>733</v>
      </c>
      <c r="G375" t="s">
        <v>3160</v>
      </c>
      <c r="H375">
        <v>2900</v>
      </c>
      <c r="I375" s="316">
        <v>180768.52</v>
      </c>
    </row>
    <row r="376" spans="1:9" hidden="1" x14ac:dyDescent="0.3">
      <c r="A376">
        <v>6110</v>
      </c>
      <c r="B376" t="s">
        <v>183</v>
      </c>
      <c r="C376">
        <v>2013</v>
      </c>
      <c r="D376">
        <v>2013</v>
      </c>
      <c r="E376">
        <v>735</v>
      </c>
      <c r="G376" t="s">
        <v>3160</v>
      </c>
      <c r="H376">
        <v>2900</v>
      </c>
      <c r="I376" s="316">
        <v>90895.92</v>
      </c>
    </row>
    <row r="377" spans="1:9" hidden="1" x14ac:dyDescent="0.3">
      <c r="A377">
        <v>6110</v>
      </c>
      <c r="B377" t="s">
        <v>183</v>
      </c>
      <c r="C377">
        <v>2013</v>
      </c>
      <c r="D377">
        <v>2013</v>
      </c>
      <c r="E377">
        <v>8110</v>
      </c>
      <c r="G377" t="s">
        <v>3160</v>
      </c>
      <c r="H377">
        <v>2900</v>
      </c>
      <c r="I377" s="316">
        <v>118491.99</v>
      </c>
    </row>
    <row r="378" spans="1:9" hidden="1" x14ac:dyDescent="0.3">
      <c r="A378">
        <v>6120</v>
      </c>
      <c r="B378" t="s">
        <v>183</v>
      </c>
      <c r="C378">
        <v>2013</v>
      </c>
      <c r="D378">
        <v>2013</v>
      </c>
      <c r="E378">
        <v>101</v>
      </c>
      <c r="G378" t="s">
        <v>3222</v>
      </c>
      <c r="H378">
        <v>2900</v>
      </c>
      <c r="I378" s="316">
        <v>4312088.26</v>
      </c>
    </row>
    <row r="379" spans="1:9" hidden="1" x14ac:dyDescent="0.3">
      <c r="A379">
        <v>6120</v>
      </c>
      <c r="B379" t="s">
        <v>183</v>
      </c>
      <c r="C379">
        <v>2013</v>
      </c>
      <c r="D379">
        <v>2013</v>
      </c>
      <c r="E379">
        <v>735</v>
      </c>
      <c r="G379" t="s">
        <v>3222</v>
      </c>
      <c r="H379">
        <v>2900</v>
      </c>
      <c r="I379" s="316">
        <v>94492.2</v>
      </c>
    </row>
    <row r="380" spans="1:9" hidden="1" x14ac:dyDescent="0.3">
      <c r="A380">
        <v>6130</v>
      </c>
      <c r="B380" t="s">
        <v>183</v>
      </c>
      <c r="C380">
        <v>2013</v>
      </c>
      <c r="D380">
        <v>2013</v>
      </c>
      <c r="E380">
        <v>101</v>
      </c>
      <c r="G380" t="s">
        <v>6068</v>
      </c>
      <c r="H380">
        <v>2900</v>
      </c>
      <c r="I380" s="316">
        <v>4230822.8600000003</v>
      </c>
    </row>
    <row r="381" spans="1:9" x14ac:dyDescent="0.3">
      <c r="A381">
        <v>6130</v>
      </c>
      <c r="B381" t="s">
        <v>183</v>
      </c>
      <c r="C381">
        <v>2013</v>
      </c>
      <c r="D381">
        <v>2013</v>
      </c>
      <c r="E381">
        <v>733</v>
      </c>
      <c r="G381" t="s">
        <v>6068</v>
      </c>
      <c r="H381">
        <v>2900</v>
      </c>
      <c r="I381" s="316">
        <v>213730.83</v>
      </c>
    </row>
    <row r="382" spans="1:9" hidden="1" x14ac:dyDescent="0.3">
      <c r="A382">
        <v>6130</v>
      </c>
      <c r="B382" t="s">
        <v>183</v>
      </c>
      <c r="C382">
        <v>2013</v>
      </c>
      <c r="D382">
        <v>2013</v>
      </c>
      <c r="E382">
        <v>735</v>
      </c>
      <c r="G382" t="s">
        <v>6068</v>
      </c>
      <c r="H382">
        <v>2900</v>
      </c>
      <c r="I382" s="316">
        <v>110502</v>
      </c>
    </row>
    <row r="383" spans="1:9" hidden="1" x14ac:dyDescent="0.3">
      <c r="A383">
        <v>6150</v>
      </c>
      <c r="B383" t="s">
        <v>183</v>
      </c>
      <c r="C383">
        <v>2013</v>
      </c>
      <c r="D383">
        <v>2013</v>
      </c>
      <c r="E383">
        <v>101</v>
      </c>
      <c r="G383" t="s">
        <v>3221</v>
      </c>
      <c r="H383">
        <v>2900</v>
      </c>
      <c r="I383" s="316">
        <v>2356849.4899999998</v>
      </c>
    </row>
    <row r="384" spans="1:9" x14ac:dyDescent="0.3">
      <c r="A384">
        <v>6150</v>
      </c>
      <c r="B384" t="s">
        <v>183</v>
      </c>
      <c r="C384">
        <v>2013</v>
      </c>
      <c r="D384">
        <v>2013</v>
      </c>
      <c r="E384">
        <v>733</v>
      </c>
      <c r="G384" t="s">
        <v>3221</v>
      </c>
      <c r="H384">
        <v>2900</v>
      </c>
      <c r="I384" s="316">
        <v>88920</v>
      </c>
    </row>
    <row r="385" spans="1:9" hidden="1" x14ac:dyDescent="0.3">
      <c r="A385">
        <v>6150</v>
      </c>
      <c r="B385" t="s">
        <v>183</v>
      </c>
      <c r="C385">
        <v>2013</v>
      </c>
      <c r="D385">
        <v>2013</v>
      </c>
      <c r="E385">
        <v>735</v>
      </c>
      <c r="G385" t="s">
        <v>3221</v>
      </c>
      <c r="H385">
        <v>2900</v>
      </c>
      <c r="I385" s="316">
        <v>107178.39</v>
      </c>
    </row>
    <row r="386" spans="1:9" hidden="1" x14ac:dyDescent="0.3">
      <c r="A386">
        <v>6170</v>
      </c>
      <c r="B386" t="s">
        <v>183</v>
      </c>
      <c r="C386">
        <v>2013</v>
      </c>
      <c r="D386">
        <v>2013</v>
      </c>
      <c r="E386">
        <v>101</v>
      </c>
      <c r="G386" t="s">
        <v>3165</v>
      </c>
      <c r="H386">
        <v>2900</v>
      </c>
      <c r="I386" s="316">
        <v>2827959.3200000012</v>
      </c>
    </row>
    <row r="387" spans="1:9" x14ac:dyDescent="0.3">
      <c r="A387">
        <v>6170</v>
      </c>
      <c r="B387" t="s">
        <v>183</v>
      </c>
      <c r="C387">
        <v>2013</v>
      </c>
      <c r="D387">
        <v>2013</v>
      </c>
      <c r="E387">
        <v>733</v>
      </c>
      <c r="G387" t="s">
        <v>3165</v>
      </c>
      <c r="H387">
        <v>2900</v>
      </c>
      <c r="I387" s="316">
        <v>220813.44999999998</v>
      </c>
    </row>
    <row r="388" spans="1:9" hidden="1" x14ac:dyDescent="0.3">
      <c r="A388">
        <v>6170</v>
      </c>
      <c r="B388" t="s">
        <v>183</v>
      </c>
      <c r="C388">
        <v>2013</v>
      </c>
      <c r="D388">
        <v>2013</v>
      </c>
      <c r="E388">
        <v>735</v>
      </c>
      <c r="G388" t="s">
        <v>3165</v>
      </c>
      <c r="H388">
        <v>2900</v>
      </c>
      <c r="I388" s="316">
        <v>9592.7100000000009</v>
      </c>
    </row>
    <row r="389" spans="1:9" hidden="1" x14ac:dyDescent="0.3">
      <c r="A389">
        <v>6170</v>
      </c>
      <c r="B389" t="s">
        <v>183</v>
      </c>
      <c r="C389">
        <v>2013</v>
      </c>
      <c r="D389">
        <v>2013</v>
      </c>
      <c r="E389">
        <v>8110</v>
      </c>
      <c r="G389" t="s">
        <v>3165</v>
      </c>
      <c r="H389">
        <v>2900</v>
      </c>
      <c r="I389" s="316">
        <v>180254.76</v>
      </c>
    </row>
    <row r="390" spans="1:9" hidden="1" x14ac:dyDescent="0.3">
      <c r="A390">
        <v>6190</v>
      </c>
      <c r="B390" t="s">
        <v>183</v>
      </c>
      <c r="C390">
        <v>2013</v>
      </c>
      <c r="D390">
        <v>2013</v>
      </c>
      <c r="E390">
        <v>101</v>
      </c>
      <c r="G390" t="s">
        <v>3272</v>
      </c>
      <c r="H390">
        <v>2900</v>
      </c>
      <c r="I390" s="316">
        <v>4164014.3000000003</v>
      </c>
    </row>
    <row r="391" spans="1:9" x14ac:dyDescent="0.3">
      <c r="A391">
        <v>6190</v>
      </c>
      <c r="B391" t="s">
        <v>183</v>
      </c>
      <c r="C391">
        <v>2013</v>
      </c>
      <c r="D391">
        <v>2013</v>
      </c>
      <c r="E391">
        <v>733</v>
      </c>
      <c r="G391" t="s">
        <v>3272</v>
      </c>
      <c r="H391">
        <v>2900</v>
      </c>
      <c r="I391" s="316">
        <v>155841.17000000001</v>
      </c>
    </row>
    <row r="392" spans="1:9" hidden="1" x14ac:dyDescent="0.3">
      <c r="A392">
        <v>6190</v>
      </c>
      <c r="B392" t="s">
        <v>183</v>
      </c>
      <c r="C392">
        <v>2013</v>
      </c>
      <c r="D392">
        <v>2013</v>
      </c>
      <c r="E392">
        <v>735</v>
      </c>
      <c r="G392" t="s">
        <v>3272</v>
      </c>
      <c r="H392">
        <v>2900</v>
      </c>
      <c r="I392" s="316">
        <v>9656.9</v>
      </c>
    </row>
    <row r="393" spans="1:9" hidden="1" x14ac:dyDescent="0.3">
      <c r="A393">
        <v>6200</v>
      </c>
      <c r="B393" t="s">
        <v>183</v>
      </c>
      <c r="C393">
        <v>2013</v>
      </c>
      <c r="D393">
        <v>2013</v>
      </c>
      <c r="E393">
        <v>101</v>
      </c>
      <c r="G393" t="s">
        <v>3251</v>
      </c>
      <c r="H393">
        <v>2900</v>
      </c>
      <c r="I393" s="316">
        <v>2484758.3300000005</v>
      </c>
    </row>
    <row r="394" spans="1:9" x14ac:dyDescent="0.3">
      <c r="A394">
        <v>6200</v>
      </c>
      <c r="B394" t="s">
        <v>183</v>
      </c>
      <c r="C394">
        <v>2013</v>
      </c>
      <c r="D394">
        <v>2013</v>
      </c>
      <c r="E394">
        <v>733</v>
      </c>
      <c r="G394" t="s">
        <v>3251</v>
      </c>
      <c r="H394">
        <v>2900</v>
      </c>
      <c r="I394" s="316">
        <v>144554.20000000001</v>
      </c>
    </row>
    <row r="395" spans="1:9" hidden="1" x14ac:dyDescent="0.3">
      <c r="A395">
        <v>6200</v>
      </c>
      <c r="B395" t="s">
        <v>183</v>
      </c>
      <c r="C395">
        <v>2013</v>
      </c>
      <c r="D395">
        <v>2013</v>
      </c>
      <c r="E395">
        <v>735</v>
      </c>
      <c r="G395" t="s">
        <v>3251</v>
      </c>
      <c r="H395">
        <v>2900</v>
      </c>
      <c r="I395" s="316">
        <v>123504.47</v>
      </c>
    </row>
    <row r="396" spans="1:9" hidden="1" x14ac:dyDescent="0.3">
      <c r="A396">
        <v>6230</v>
      </c>
      <c r="B396" t="s">
        <v>183</v>
      </c>
      <c r="C396">
        <v>2013</v>
      </c>
      <c r="D396">
        <v>2013</v>
      </c>
      <c r="E396">
        <v>102</v>
      </c>
      <c r="G396" t="s">
        <v>6069</v>
      </c>
      <c r="H396">
        <v>2900</v>
      </c>
      <c r="I396" s="316">
        <v>200000</v>
      </c>
    </row>
    <row r="397" spans="1:9" hidden="1" x14ac:dyDescent="0.3">
      <c r="A397">
        <v>6230</v>
      </c>
      <c r="B397" t="s">
        <v>183</v>
      </c>
      <c r="C397">
        <v>2013</v>
      </c>
      <c r="D397">
        <v>2013</v>
      </c>
      <c r="E397">
        <v>8110</v>
      </c>
      <c r="G397" t="s">
        <v>6069</v>
      </c>
      <c r="H397">
        <v>2900</v>
      </c>
      <c r="I397" s="316">
        <v>16600000</v>
      </c>
    </row>
    <row r="398" spans="1:9" hidden="1" x14ac:dyDescent="0.3">
      <c r="A398">
        <v>6280</v>
      </c>
      <c r="B398" t="s">
        <v>183</v>
      </c>
      <c r="C398">
        <v>2013</v>
      </c>
      <c r="D398">
        <v>2013</v>
      </c>
      <c r="E398">
        <v>101</v>
      </c>
      <c r="G398" t="s">
        <v>3162</v>
      </c>
      <c r="H398">
        <v>2900</v>
      </c>
      <c r="I398" s="316">
        <v>6158920.5</v>
      </c>
    </row>
    <row r="399" spans="1:9" hidden="1" x14ac:dyDescent="0.3">
      <c r="A399">
        <v>6290</v>
      </c>
      <c r="B399" t="s">
        <v>183</v>
      </c>
      <c r="C399">
        <v>2013</v>
      </c>
      <c r="D399">
        <v>2013</v>
      </c>
      <c r="E399">
        <v>101</v>
      </c>
      <c r="G399" t="s">
        <v>3246</v>
      </c>
      <c r="H399">
        <v>2900</v>
      </c>
      <c r="I399" s="316">
        <v>1961809.9199999999</v>
      </c>
    </row>
    <row r="400" spans="1:9" hidden="1" x14ac:dyDescent="0.3">
      <c r="A400">
        <v>6290</v>
      </c>
      <c r="B400" t="s">
        <v>183</v>
      </c>
      <c r="C400">
        <v>2013</v>
      </c>
      <c r="D400">
        <v>2013</v>
      </c>
      <c r="E400">
        <v>735</v>
      </c>
      <c r="G400" t="s">
        <v>3246</v>
      </c>
      <c r="H400">
        <v>2900</v>
      </c>
      <c r="I400" s="316">
        <v>97538.959999999992</v>
      </c>
    </row>
    <row r="401" spans="1:9" hidden="1" x14ac:dyDescent="0.3">
      <c r="A401">
        <v>6320</v>
      </c>
      <c r="B401" t="s">
        <v>183</v>
      </c>
      <c r="C401">
        <v>2013</v>
      </c>
      <c r="D401">
        <v>2013</v>
      </c>
      <c r="E401">
        <v>101</v>
      </c>
      <c r="G401" t="s">
        <v>3180</v>
      </c>
      <c r="H401">
        <v>2900</v>
      </c>
      <c r="I401" s="316">
        <v>3187626.23</v>
      </c>
    </row>
    <row r="402" spans="1:9" x14ac:dyDescent="0.3">
      <c r="A402">
        <v>6320</v>
      </c>
      <c r="B402" t="s">
        <v>183</v>
      </c>
      <c r="C402">
        <v>2013</v>
      </c>
      <c r="D402">
        <v>2013</v>
      </c>
      <c r="E402">
        <v>733</v>
      </c>
      <c r="G402" t="s">
        <v>3180</v>
      </c>
      <c r="H402">
        <v>2900</v>
      </c>
      <c r="I402" s="316">
        <v>211647.84</v>
      </c>
    </row>
    <row r="403" spans="1:9" hidden="1" x14ac:dyDescent="0.3">
      <c r="A403">
        <v>6320</v>
      </c>
      <c r="B403" t="s">
        <v>183</v>
      </c>
      <c r="C403">
        <v>2013</v>
      </c>
      <c r="D403">
        <v>2013</v>
      </c>
      <c r="E403">
        <v>735</v>
      </c>
      <c r="G403" t="s">
        <v>3180</v>
      </c>
      <c r="H403">
        <v>2900</v>
      </c>
      <c r="I403" s="316">
        <v>128054.77</v>
      </c>
    </row>
    <row r="404" spans="1:9" hidden="1" x14ac:dyDescent="0.3">
      <c r="A404">
        <v>6320</v>
      </c>
      <c r="B404" t="s">
        <v>183</v>
      </c>
      <c r="C404">
        <v>2013</v>
      </c>
      <c r="D404">
        <v>2013</v>
      </c>
      <c r="E404">
        <v>8110</v>
      </c>
      <c r="G404" t="s">
        <v>3180</v>
      </c>
      <c r="H404">
        <v>2900</v>
      </c>
      <c r="I404" s="316">
        <v>151325.47999999998</v>
      </c>
    </row>
    <row r="405" spans="1:9" hidden="1" x14ac:dyDescent="0.3">
      <c r="A405">
        <v>6330</v>
      </c>
      <c r="B405" t="s">
        <v>183</v>
      </c>
      <c r="C405">
        <v>2013</v>
      </c>
      <c r="D405">
        <v>2013</v>
      </c>
      <c r="E405">
        <v>101</v>
      </c>
      <c r="G405" t="s">
        <v>3158</v>
      </c>
      <c r="H405">
        <v>2900</v>
      </c>
      <c r="I405" s="316">
        <v>8796133.7000000011</v>
      </c>
    </row>
    <row r="406" spans="1:9" hidden="1" x14ac:dyDescent="0.3">
      <c r="A406">
        <v>6330</v>
      </c>
      <c r="B406" t="s">
        <v>183</v>
      </c>
      <c r="C406">
        <v>2013</v>
      </c>
      <c r="D406">
        <v>2013</v>
      </c>
      <c r="E406">
        <v>735</v>
      </c>
      <c r="G406" t="s">
        <v>3158</v>
      </c>
      <c r="H406">
        <v>2900</v>
      </c>
      <c r="I406" s="316">
        <v>92236.64</v>
      </c>
    </row>
    <row r="407" spans="1:9" hidden="1" x14ac:dyDescent="0.3">
      <c r="A407">
        <v>6330</v>
      </c>
      <c r="B407" t="s">
        <v>183</v>
      </c>
      <c r="C407">
        <v>2013</v>
      </c>
      <c r="D407">
        <v>2013</v>
      </c>
      <c r="E407">
        <v>8110</v>
      </c>
      <c r="G407" t="s">
        <v>3158</v>
      </c>
      <c r="H407">
        <v>2900</v>
      </c>
      <c r="I407" s="316">
        <v>264877.71999999997</v>
      </c>
    </row>
    <row r="408" spans="1:9" hidden="1" x14ac:dyDescent="0.3">
      <c r="A408">
        <v>6340</v>
      </c>
      <c r="B408" t="s">
        <v>183</v>
      </c>
      <c r="C408">
        <v>2013</v>
      </c>
      <c r="D408">
        <v>2013</v>
      </c>
      <c r="E408">
        <v>101</v>
      </c>
      <c r="G408" t="s">
        <v>3233</v>
      </c>
      <c r="H408">
        <v>2900</v>
      </c>
      <c r="I408" s="316">
        <v>3781152.23</v>
      </c>
    </row>
    <row r="409" spans="1:9" x14ac:dyDescent="0.3">
      <c r="A409">
        <v>6340</v>
      </c>
      <c r="B409" t="s">
        <v>183</v>
      </c>
      <c r="C409">
        <v>2013</v>
      </c>
      <c r="D409">
        <v>2013</v>
      </c>
      <c r="E409">
        <v>733</v>
      </c>
      <c r="G409" t="s">
        <v>3233</v>
      </c>
      <c r="H409">
        <v>2900</v>
      </c>
      <c r="I409" s="316">
        <v>139536.4</v>
      </c>
    </row>
    <row r="410" spans="1:9" hidden="1" x14ac:dyDescent="0.3">
      <c r="A410">
        <v>6340</v>
      </c>
      <c r="B410" t="s">
        <v>183</v>
      </c>
      <c r="C410">
        <v>2013</v>
      </c>
      <c r="D410">
        <v>2013</v>
      </c>
      <c r="E410">
        <v>735</v>
      </c>
      <c r="G410" t="s">
        <v>3233</v>
      </c>
      <c r="H410">
        <v>2900</v>
      </c>
      <c r="I410" s="316">
        <v>6553.9500000000007</v>
      </c>
    </row>
    <row r="411" spans="1:9" hidden="1" x14ac:dyDescent="0.3">
      <c r="A411">
        <v>6340</v>
      </c>
      <c r="B411" t="s">
        <v>183</v>
      </c>
      <c r="C411">
        <v>2013</v>
      </c>
      <c r="D411">
        <v>2013</v>
      </c>
      <c r="E411">
        <v>8110</v>
      </c>
      <c r="G411" t="s">
        <v>3233</v>
      </c>
      <c r="H411">
        <v>2900</v>
      </c>
      <c r="I411" s="316">
        <v>114940.72</v>
      </c>
    </row>
    <row r="412" spans="1:9" hidden="1" x14ac:dyDescent="0.3">
      <c r="A412">
        <v>6360</v>
      </c>
      <c r="B412" t="s">
        <v>183</v>
      </c>
      <c r="C412">
        <v>2013</v>
      </c>
      <c r="D412">
        <v>2013</v>
      </c>
      <c r="E412">
        <v>101</v>
      </c>
      <c r="G412" t="s">
        <v>3166</v>
      </c>
      <c r="H412">
        <v>2900</v>
      </c>
      <c r="I412" s="316">
        <v>2085665.7100000002</v>
      </c>
    </row>
    <row r="413" spans="1:9" x14ac:dyDescent="0.3">
      <c r="A413">
        <v>6360</v>
      </c>
      <c r="B413" t="s">
        <v>183</v>
      </c>
      <c r="C413">
        <v>2013</v>
      </c>
      <c r="D413">
        <v>2013</v>
      </c>
      <c r="E413">
        <v>733</v>
      </c>
      <c r="G413" t="s">
        <v>3166</v>
      </c>
      <c r="H413">
        <v>2900</v>
      </c>
      <c r="I413" s="316">
        <v>78742.079999999987</v>
      </c>
    </row>
    <row r="414" spans="1:9" hidden="1" x14ac:dyDescent="0.3">
      <c r="A414">
        <v>6360</v>
      </c>
      <c r="B414" t="s">
        <v>183</v>
      </c>
      <c r="C414">
        <v>2013</v>
      </c>
      <c r="D414">
        <v>2013</v>
      </c>
      <c r="E414">
        <v>735</v>
      </c>
      <c r="G414" t="s">
        <v>3166</v>
      </c>
      <c r="H414">
        <v>2900</v>
      </c>
      <c r="I414" s="316">
        <v>6365.39</v>
      </c>
    </row>
    <row r="415" spans="1:9" hidden="1" x14ac:dyDescent="0.3">
      <c r="A415">
        <v>6360</v>
      </c>
      <c r="B415" t="s">
        <v>183</v>
      </c>
      <c r="C415">
        <v>2013</v>
      </c>
      <c r="D415">
        <v>2013</v>
      </c>
      <c r="E415">
        <v>8110</v>
      </c>
      <c r="G415" t="s">
        <v>3166</v>
      </c>
      <c r="H415">
        <v>2900</v>
      </c>
      <c r="I415" s="316">
        <v>287203.62</v>
      </c>
    </row>
    <row r="416" spans="1:9" hidden="1" x14ac:dyDescent="0.3">
      <c r="A416">
        <v>6380</v>
      </c>
      <c r="B416" t="s">
        <v>183</v>
      </c>
      <c r="C416">
        <v>2013</v>
      </c>
      <c r="D416">
        <v>2013</v>
      </c>
      <c r="E416">
        <v>101</v>
      </c>
      <c r="G416" t="s">
        <v>3280</v>
      </c>
      <c r="H416">
        <v>2900</v>
      </c>
      <c r="I416" s="316">
        <v>3712323.9600000004</v>
      </c>
    </row>
    <row r="417" spans="1:9" hidden="1" x14ac:dyDescent="0.3">
      <c r="A417">
        <v>6380</v>
      </c>
      <c r="B417" t="s">
        <v>183</v>
      </c>
      <c r="C417">
        <v>2013</v>
      </c>
      <c r="D417">
        <v>2013</v>
      </c>
      <c r="E417">
        <v>735</v>
      </c>
      <c r="G417" t="s">
        <v>3280</v>
      </c>
      <c r="H417">
        <v>2900</v>
      </c>
      <c r="I417" s="316">
        <v>91688.950000000012</v>
      </c>
    </row>
    <row r="418" spans="1:9" hidden="1" x14ac:dyDescent="0.3">
      <c r="A418">
        <v>6380</v>
      </c>
      <c r="B418" t="s">
        <v>183</v>
      </c>
      <c r="C418">
        <v>2013</v>
      </c>
      <c r="D418">
        <v>2013</v>
      </c>
      <c r="E418">
        <v>8110</v>
      </c>
      <c r="G418" t="s">
        <v>3280</v>
      </c>
      <c r="H418">
        <v>2900</v>
      </c>
      <c r="I418" s="316">
        <v>274170.7</v>
      </c>
    </row>
    <row r="419" spans="1:9" hidden="1" x14ac:dyDescent="0.3">
      <c r="A419">
        <v>6390</v>
      </c>
      <c r="B419" t="s">
        <v>183</v>
      </c>
      <c r="C419">
        <v>2013</v>
      </c>
      <c r="D419">
        <v>2013</v>
      </c>
      <c r="E419">
        <v>101</v>
      </c>
      <c r="G419" t="s">
        <v>3261</v>
      </c>
      <c r="H419">
        <v>2900</v>
      </c>
      <c r="I419" s="316">
        <v>4737023.1099999994</v>
      </c>
    </row>
    <row r="420" spans="1:9" x14ac:dyDescent="0.3">
      <c r="A420">
        <v>6390</v>
      </c>
      <c r="B420" t="s">
        <v>183</v>
      </c>
      <c r="C420">
        <v>2013</v>
      </c>
      <c r="D420">
        <v>2013</v>
      </c>
      <c r="E420">
        <v>733</v>
      </c>
      <c r="G420" t="s">
        <v>3261</v>
      </c>
      <c r="H420">
        <v>2900</v>
      </c>
      <c r="I420" s="316">
        <v>271513.57</v>
      </c>
    </row>
    <row r="421" spans="1:9" hidden="1" x14ac:dyDescent="0.3">
      <c r="A421">
        <v>6390</v>
      </c>
      <c r="B421" t="s">
        <v>183</v>
      </c>
      <c r="C421">
        <v>2013</v>
      </c>
      <c r="D421">
        <v>2013</v>
      </c>
      <c r="E421">
        <v>735</v>
      </c>
      <c r="G421" t="s">
        <v>3261</v>
      </c>
      <c r="H421">
        <v>2900</v>
      </c>
      <c r="I421" s="316">
        <v>13954.460000000001</v>
      </c>
    </row>
    <row r="422" spans="1:9" hidden="1" x14ac:dyDescent="0.3">
      <c r="A422">
        <v>6390</v>
      </c>
      <c r="B422" t="s">
        <v>183</v>
      </c>
      <c r="C422">
        <v>2013</v>
      </c>
      <c r="D422">
        <v>2013</v>
      </c>
      <c r="E422">
        <v>8110</v>
      </c>
      <c r="G422" t="s">
        <v>3261</v>
      </c>
      <c r="H422">
        <v>2900</v>
      </c>
      <c r="I422" s="316">
        <v>145971.87</v>
      </c>
    </row>
    <row r="423" spans="1:9" hidden="1" x14ac:dyDescent="0.3">
      <c r="A423">
        <v>6410</v>
      </c>
      <c r="B423" t="s">
        <v>183</v>
      </c>
      <c r="C423">
        <v>2013</v>
      </c>
      <c r="D423">
        <v>2013</v>
      </c>
      <c r="E423">
        <v>101</v>
      </c>
      <c r="G423" t="s">
        <v>3157</v>
      </c>
      <c r="H423">
        <v>2900</v>
      </c>
      <c r="I423" s="316">
        <v>1452652.2</v>
      </c>
    </row>
    <row r="424" spans="1:9" x14ac:dyDescent="0.3">
      <c r="A424">
        <v>6410</v>
      </c>
      <c r="B424" t="s">
        <v>183</v>
      </c>
      <c r="C424">
        <v>2013</v>
      </c>
      <c r="D424">
        <v>2013</v>
      </c>
      <c r="E424">
        <v>733</v>
      </c>
      <c r="G424" t="s">
        <v>3157</v>
      </c>
      <c r="H424">
        <v>2900</v>
      </c>
      <c r="I424" s="316">
        <v>141051.36000000002</v>
      </c>
    </row>
    <row r="425" spans="1:9" hidden="1" x14ac:dyDescent="0.3">
      <c r="A425">
        <v>6410</v>
      </c>
      <c r="B425" t="s">
        <v>183</v>
      </c>
      <c r="C425">
        <v>2013</v>
      </c>
      <c r="D425">
        <v>2013</v>
      </c>
      <c r="E425">
        <v>735</v>
      </c>
      <c r="G425" t="s">
        <v>3157</v>
      </c>
      <c r="H425">
        <v>2900</v>
      </c>
      <c r="I425" s="316">
        <v>6885</v>
      </c>
    </row>
    <row r="426" spans="1:9" hidden="1" x14ac:dyDescent="0.3">
      <c r="A426">
        <v>6420</v>
      </c>
      <c r="B426" t="s">
        <v>183</v>
      </c>
      <c r="C426">
        <v>2013</v>
      </c>
      <c r="D426">
        <v>2013</v>
      </c>
      <c r="E426">
        <v>101</v>
      </c>
      <c r="G426" t="s">
        <v>3167</v>
      </c>
      <c r="H426">
        <v>2900</v>
      </c>
      <c r="I426" s="316">
        <v>2341684.0000000005</v>
      </c>
    </row>
    <row r="427" spans="1:9" x14ac:dyDescent="0.3">
      <c r="A427">
        <v>6420</v>
      </c>
      <c r="B427" t="s">
        <v>183</v>
      </c>
      <c r="C427">
        <v>2013</v>
      </c>
      <c r="D427">
        <v>2013</v>
      </c>
      <c r="E427">
        <v>733</v>
      </c>
      <c r="G427" t="s">
        <v>3167</v>
      </c>
      <c r="H427">
        <v>2900</v>
      </c>
      <c r="I427" s="316">
        <v>140673.68000000002</v>
      </c>
    </row>
    <row r="428" spans="1:9" hidden="1" x14ac:dyDescent="0.3">
      <c r="A428">
        <v>6420</v>
      </c>
      <c r="B428" t="s">
        <v>183</v>
      </c>
      <c r="C428">
        <v>2013</v>
      </c>
      <c r="D428">
        <v>2013</v>
      </c>
      <c r="E428">
        <v>735</v>
      </c>
      <c r="G428" t="s">
        <v>3167</v>
      </c>
      <c r="H428">
        <v>2900</v>
      </c>
      <c r="I428" s="316">
        <v>94165.76999999999</v>
      </c>
    </row>
    <row r="429" spans="1:9" hidden="1" x14ac:dyDescent="0.3">
      <c r="A429">
        <v>6430</v>
      </c>
      <c r="B429" t="s">
        <v>183</v>
      </c>
      <c r="C429">
        <v>2013</v>
      </c>
      <c r="D429">
        <v>2013</v>
      </c>
      <c r="E429">
        <v>101</v>
      </c>
      <c r="G429" t="s">
        <v>3184</v>
      </c>
      <c r="H429">
        <v>2900</v>
      </c>
      <c r="I429" s="316">
        <v>2797272.4800000004</v>
      </c>
    </row>
    <row r="430" spans="1:9" x14ac:dyDescent="0.3">
      <c r="A430">
        <v>6430</v>
      </c>
      <c r="B430" t="s">
        <v>183</v>
      </c>
      <c r="C430">
        <v>2013</v>
      </c>
      <c r="D430">
        <v>2013</v>
      </c>
      <c r="E430">
        <v>733</v>
      </c>
      <c r="G430" t="s">
        <v>3184</v>
      </c>
      <c r="H430">
        <v>2900</v>
      </c>
      <c r="I430" s="316">
        <v>145229.74000000002</v>
      </c>
    </row>
    <row r="431" spans="1:9" hidden="1" x14ac:dyDescent="0.3">
      <c r="A431">
        <v>6430</v>
      </c>
      <c r="B431" t="s">
        <v>183</v>
      </c>
      <c r="C431">
        <v>2013</v>
      </c>
      <c r="D431">
        <v>2013</v>
      </c>
      <c r="E431">
        <v>735</v>
      </c>
      <c r="G431" t="s">
        <v>3184</v>
      </c>
      <c r="H431">
        <v>2900</v>
      </c>
      <c r="I431" s="316">
        <v>80498.78</v>
      </c>
    </row>
    <row r="432" spans="1:9" hidden="1" x14ac:dyDescent="0.3">
      <c r="A432">
        <v>6450</v>
      </c>
      <c r="B432" t="s">
        <v>183</v>
      </c>
      <c r="C432">
        <v>2013</v>
      </c>
      <c r="D432">
        <v>2013</v>
      </c>
      <c r="E432">
        <v>101</v>
      </c>
      <c r="G432" t="s">
        <v>3203</v>
      </c>
      <c r="H432">
        <v>2900</v>
      </c>
      <c r="I432" s="316">
        <v>2414265.3299999996</v>
      </c>
    </row>
    <row r="433" spans="1:9" x14ac:dyDescent="0.3">
      <c r="A433">
        <v>6450</v>
      </c>
      <c r="B433" t="s">
        <v>183</v>
      </c>
      <c r="C433">
        <v>2013</v>
      </c>
      <c r="D433">
        <v>2013</v>
      </c>
      <c r="E433">
        <v>733</v>
      </c>
      <c r="G433" t="s">
        <v>3203</v>
      </c>
      <c r="H433">
        <v>2900</v>
      </c>
      <c r="I433" s="316">
        <v>102045.34999999999</v>
      </c>
    </row>
    <row r="434" spans="1:9" hidden="1" x14ac:dyDescent="0.3">
      <c r="A434">
        <v>6450</v>
      </c>
      <c r="B434" t="s">
        <v>183</v>
      </c>
      <c r="C434">
        <v>2013</v>
      </c>
      <c r="D434">
        <v>2013</v>
      </c>
      <c r="E434">
        <v>735</v>
      </c>
      <c r="G434" t="s">
        <v>3203</v>
      </c>
      <c r="H434">
        <v>2900</v>
      </c>
      <c r="I434" s="316">
        <v>4653.97</v>
      </c>
    </row>
    <row r="435" spans="1:9" hidden="1" x14ac:dyDescent="0.3">
      <c r="A435">
        <v>6450</v>
      </c>
      <c r="B435" t="s">
        <v>183</v>
      </c>
      <c r="C435">
        <v>2013</v>
      </c>
      <c r="D435">
        <v>2013</v>
      </c>
      <c r="E435">
        <v>8110</v>
      </c>
      <c r="G435" t="s">
        <v>3203</v>
      </c>
      <c r="H435">
        <v>2900</v>
      </c>
      <c r="I435" s="316">
        <v>82097.66</v>
      </c>
    </row>
    <row r="436" spans="1:9" hidden="1" x14ac:dyDescent="0.3">
      <c r="A436">
        <v>6470</v>
      </c>
      <c r="B436" t="s">
        <v>183</v>
      </c>
      <c r="C436">
        <v>2013</v>
      </c>
      <c r="D436">
        <v>2013</v>
      </c>
      <c r="E436">
        <v>101</v>
      </c>
      <c r="G436" t="s">
        <v>3264</v>
      </c>
      <c r="H436">
        <v>2900</v>
      </c>
      <c r="I436" s="316">
        <v>2447228.7300000004</v>
      </c>
    </row>
    <row r="437" spans="1:9" x14ac:dyDescent="0.3">
      <c r="A437">
        <v>6470</v>
      </c>
      <c r="B437" t="s">
        <v>183</v>
      </c>
      <c r="C437">
        <v>2013</v>
      </c>
      <c r="D437">
        <v>2013</v>
      </c>
      <c r="E437">
        <v>733</v>
      </c>
      <c r="G437" t="s">
        <v>3264</v>
      </c>
      <c r="H437">
        <v>2900</v>
      </c>
      <c r="I437" s="316">
        <v>96685.069999999992</v>
      </c>
    </row>
    <row r="438" spans="1:9" hidden="1" x14ac:dyDescent="0.3">
      <c r="A438">
        <v>6470</v>
      </c>
      <c r="B438" t="s">
        <v>183</v>
      </c>
      <c r="C438">
        <v>2013</v>
      </c>
      <c r="D438">
        <v>2013</v>
      </c>
      <c r="E438">
        <v>735</v>
      </c>
      <c r="G438" t="s">
        <v>3264</v>
      </c>
      <c r="H438">
        <v>2900</v>
      </c>
      <c r="I438" s="316">
        <v>107613</v>
      </c>
    </row>
    <row r="439" spans="1:9" hidden="1" x14ac:dyDescent="0.3">
      <c r="A439">
        <v>6470</v>
      </c>
      <c r="B439" t="s">
        <v>183</v>
      </c>
      <c r="C439">
        <v>2013</v>
      </c>
      <c r="D439">
        <v>2013</v>
      </c>
      <c r="E439">
        <v>8110</v>
      </c>
      <c r="G439" t="s">
        <v>3264</v>
      </c>
      <c r="H439">
        <v>2900</v>
      </c>
      <c r="I439" s="316">
        <v>157982.66999999998</v>
      </c>
    </row>
    <row r="440" spans="1:9" hidden="1" x14ac:dyDescent="0.3">
      <c r="A440">
        <v>6480</v>
      </c>
      <c r="B440" t="s">
        <v>183</v>
      </c>
      <c r="C440">
        <v>2013</v>
      </c>
      <c r="D440">
        <v>2013</v>
      </c>
      <c r="E440">
        <v>101</v>
      </c>
      <c r="G440" t="s">
        <v>3151</v>
      </c>
      <c r="H440">
        <v>2900</v>
      </c>
      <c r="I440" s="316">
        <v>1964590.9900000002</v>
      </c>
    </row>
    <row r="441" spans="1:9" x14ac:dyDescent="0.3">
      <c r="A441">
        <v>6480</v>
      </c>
      <c r="B441" t="s">
        <v>183</v>
      </c>
      <c r="C441">
        <v>2013</v>
      </c>
      <c r="D441">
        <v>2013</v>
      </c>
      <c r="E441">
        <v>733</v>
      </c>
      <c r="G441" t="s">
        <v>3151</v>
      </c>
      <c r="H441">
        <v>2900</v>
      </c>
      <c r="I441" s="316">
        <v>93146.930000000008</v>
      </c>
    </row>
    <row r="442" spans="1:9" hidden="1" x14ac:dyDescent="0.3">
      <c r="A442">
        <v>6480</v>
      </c>
      <c r="B442" t="s">
        <v>183</v>
      </c>
      <c r="C442">
        <v>2013</v>
      </c>
      <c r="D442">
        <v>2013</v>
      </c>
      <c r="E442">
        <v>735</v>
      </c>
      <c r="G442" t="s">
        <v>3151</v>
      </c>
      <c r="H442">
        <v>2900</v>
      </c>
      <c r="I442" s="316">
        <v>4046.87</v>
      </c>
    </row>
    <row r="443" spans="1:9" hidden="1" x14ac:dyDescent="0.3">
      <c r="A443">
        <v>6480</v>
      </c>
      <c r="B443" t="s">
        <v>183</v>
      </c>
      <c r="C443">
        <v>2013</v>
      </c>
      <c r="D443">
        <v>2013</v>
      </c>
      <c r="E443">
        <v>8110</v>
      </c>
      <c r="G443" t="s">
        <v>3151</v>
      </c>
      <c r="H443">
        <v>2900</v>
      </c>
      <c r="I443" s="316">
        <v>57683.6</v>
      </c>
    </row>
    <row r="444" spans="1:9" hidden="1" x14ac:dyDescent="0.3">
      <c r="A444">
        <v>6490</v>
      </c>
      <c r="B444" t="s">
        <v>183</v>
      </c>
      <c r="C444">
        <v>2013</v>
      </c>
      <c r="D444">
        <v>2013</v>
      </c>
      <c r="E444">
        <v>101</v>
      </c>
      <c r="G444" t="s">
        <v>3294</v>
      </c>
      <c r="H444">
        <v>2900</v>
      </c>
      <c r="I444" s="316">
        <v>3383496.85</v>
      </c>
    </row>
    <row r="445" spans="1:9" x14ac:dyDescent="0.3">
      <c r="A445">
        <v>6490</v>
      </c>
      <c r="B445" t="s">
        <v>183</v>
      </c>
      <c r="C445">
        <v>2013</v>
      </c>
      <c r="D445">
        <v>2013</v>
      </c>
      <c r="E445">
        <v>733</v>
      </c>
      <c r="G445" t="s">
        <v>3294</v>
      </c>
      <c r="H445">
        <v>2900</v>
      </c>
      <c r="I445" s="316">
        <v>126322.78</v>
      </c>
    </row>
    <row r="446" spans="1:9" hidden="1" x14ac:dyDescent="0.3">
      <c r="A446">
        <v>6490</v>
      </c>
      <c r="B446" t="s">
        <v>183</v>
      </c>
      <c r="C446">
        <v>2013</v>
      </c>
      <c r="D446">
        <v>2013</v>
      </c>
      <c r="E446">
        <v>735</v>
      </c>
      <c r="G446" t="s">
        <v>3294</v>
      </c>
      <c r="H446">
        <v>2900</v>
      </c>
      <c r="I446" s="316">
        <v>4199.67</v>
      </c>
    </row>
    <row r="447" spans="1:9" hidden="1" x14ac:dyDescent="0.3">
      <c r="A447">
        <v>6500</v>
      </c>
      <c r="B447" t="s">
        <v>183</v>
      </c>
      <c r="C447">
        <v>2013</v>
      </c>
      <c r="D447">
        <v>2013</v>
      </c>
      <c r="E447">
        <v>101</v>
      </c>
      <c r="G447" t="s">
        <v>3291</v>
      </c>
      <c r="H447">
        <v>2900</v>
      </c>
      <c r="I447" s="316">
        <v>3613188.31</v>
      </c>
    </row>
    <row r="448" spans="1:9" x14ac:dyDescent="0.3">
      <c r="A448">
        <v>6500</v>
      </c>
      <c r="B448" t="s">
        <v>183</v>
      </c>
      <c r="C448">
        <v>2013</v>
      </c>
      <c r="D448">
        <v>2013</v>
      </c>
      <c r="E448">
        <v>733</v>
      </c>
      <c r="G448" t="s">
        <v>3291</v>
      </c>
      <c r="H448">
        <v>2900</v>
      </c>
      <c r="I448" s="316">
        <v>97294.780000000013</v>
      </c>
    </row>
    <row r="449" spans="1:9" hidden="1" x14ac:dyDescent="0.3">
      <c r="A449">
        <v>6500</v>
      </c>
      <c r="B449" t="s">
        <v>183</v>
      </c>
      <c r="C449">
        <v>2013</v>
      </c>
      <c r="D449">
        <v>2013</v>
      </c>
      <c r="E449">
        <v>735</v>
      </c>
      <c r="G449" t="s">
        <v>3291</v>
      </c>
      <c r="H449">
        <v>2900</v>
      </c>
      <c r="I449" s="316">
        <v>9835.7199999999993</v>
      </c>
    </row>
    <row r="450" spans="1:9" hidden="1" x14ac:dyDescent="0.3">
      <c r="A450">
        <v>6520</v>
      </c>
      <c r="B450" t="s">
        <v>183</v>
      </c>
      <c r="C450">
        <v>2013</v>
      </c>
      <c r="D450">
        <v>2013</v>
      </c>
      <c r="E450">
        <v>101</v>
      </c>
      <c r="G450" t="s">
        <v>3286</v>
      </c>
      <c r="H450">
        <v>2900</v>
      </c>
      <c r="I450" s="316">
        <v>1687459.7899999996</v>
      </c>
    </row>
    <row r="451" spans="1:9" hidden="1" x14ac:dyDescent="0.3">
      <c r="A451">
        <v>6530</v>
      </c>
      <c r="B451" t="s">
        <v>183</v>
      </c>
      <c r="C451">
        <v>2013</v>
      </c>
      <c r="D451">
        <v>2013</v>
      </c>
      <c r="E451">
        <v>101</v>
      </c>
      <c r="G451" t="s">
        <v>3305</v>
      </c>
      <c r="H451">
        <v>2900</v>
      </c>
      <c r="I451" s="316">
        <v>842998.76</v>
      </c>
    </row>
    <row r="452" spans="1:9" hidden="1" x14ac:dyDescent="0.3">
      <c r="A452">
        <v>6580</v>
      </c>
      <c r="B452" t="s">
        <v>183</v>
      </c>
      <c r="C452">
        <v>2013</v>
      </c>
      <c r="D452">
        <v>2013</v>
      </c>
      <c r="E452">
        <v>101</v>
      </c>
      <c r="G452" t="s">
        <v>3204</v>
      </c>
      <c r="H452">
        <v>2900</v>
      </c>
      <c r="I452" s="316">
        <v>3754031.41</v>
      </c>
    </row>
    <row r="453" spans="1:9" x14ac:dyDescent="0.3">
      <c r="A453">
        <v>6580</v>
      </c>
      <c r="B453" t="s">
        <v>183</v>
      </c>
      <c r="C453">
        <v>2013</v>
      </c>
      <c r="D453">
        <v>2013</v>
      </c>
      <c r="E453">
        <v>733</v>
      </c>
      <c r="G453" t="s">
        <v>3204</v>
      </c>
      <c r="H453">
        <v>2900</v>
      </c>
      <c r="I453" s="316">
        <v>210130.37</v>
      </c>
    </row>
    <row r="454" spans="1:9" hidden="1" x14ac:dyDescent="0.3">
      <c r="A454">
        <v>6580</v>
      </c>
      <c r="B454" t="s">
        <v>183</v>
      </c>
      <c r="C454">
        <v>2013</v>
      </c>
      <c r="D454">
        <v>2013</v>
      </c>
      <c r="E454">
        <v>735</v>
      </c>
      <c r="G454" t="s">
        <v>3204</v>
      </c>
      <c r="H454">
        <v>2900</v>
      </c>
      <c r="I454" s="316">
        <v>9438.380000000001</v>
      </c>
    </row>
    <row r="455" spans="1:9" hidden="1" x14ac:dyDescent="0.3">
      <c r="A455">
        <v>6580</v>
      </c>
      <c r="B455" t="s">
        <v>183</v>
      </c>
      <c r="C455">
        <v>2013</v>
      </c>
      <c r="D455">
        <v>2013</v>
      </c>
      <c r="E455">
        <v>8110</v>
      </c>
      <c r="G455" t="s">
        <v>3204</v>
      </c>
      <c r="H455">
        <v>2900</v>
      </c>
      <c r="I455" s="316">
        <v>63313.120000000003</v>
      </c>
    </row>
    <row r="456" spans="1:9" hidden="1" x14ac:dyDescent="0.3">
      <c r="A456">
        <v>7110</v>
      </c>
      <c r="B456" t="s">
        <v>183</v>
      </c>
      <c r="C456">
        <v>2013</v>
      </c>
      <c r="D456">
        <v>2013</v>
      </c>
      <c r="E456">
        <v>101</v>
      </c>
      <c r="G456" t="s">
        <v>3176</v>
      </c>
      <c r="H456">
        <v>2900</v>
      </c>
      <c r="I456" s="316">
        <v>7515492.3799999999</v>
      </c>
    </row>
    <row r="457" spans="1:9" hidden="1" x14ac:dyDescent="0.3">
      <c r="A457">
        <v>7110</v>
      </c>
      <c r="B457" t="s">
        <v>183</v>
      </c>
      <c r="C457">
        <v>2013</v>
      </c>
      <c r="D457">
        <v>2013</v>
      </c>
      <c r="E457">
        <v>602</v>
      </c>
      <c r="G457" t="s">
        <v>3176</v>
      </c>
      <c r="H457">
        <v>2900</v>
      </c>
      <c r="I457" s="316">
        <v>79057.14</v>
      </c>
    </row>
    <row r="458" spans="1:9" x14ac:dyDescent="0.3">
      <c r="A458">
        <v>7110</v>
      </c>
      <c r="B458" t="s">
        <v>183</v>
      </c>
      <c r="C458">
        <v>2013</v>
      </c>
      <c r="D458">
        <v>2013</v>
      </c>
      <c r="E458">
        <v>733</v>
      </c>
      <c r="G458" t="s">
        <v>3176</v>
      </c>
      <c r="H458">
        <v>2900</v>
      </c>
      <c r="I458" s="316">
        <v>382920.72000000003</v>
      </c>
    </row>
    <row r="459" spans="1:9" hidden="1" x14ac:dyDescent="0.3">
      <c r="A459">
        <v>7110</v>
      </c>
      <c r="B459" t="s">
        <v>183</v>
      </c>
      <c r="C459">
        <v>2013</v>
      </c>
      <c r="D459">
        <v>2013</v>
      </c>
      <c r="E459">
        <v>735</v>
      </c>
      <c r="G459" t="s">
        <v>3176</v>
      </c>
      <c r="H459">
        <v>2900</v>
      </c>
      <c r="I459" s="316">
        <v>20943.439999999999</v>
      </c>
    </row>
    <row r="460" spans="1:9" hidden="1" x14ac:dyDescent="0.3">
      <c r="A460">
        <v>7120</v>
      </c>
      <c r="B460" t="s">
        <v>183</v>
      </c>
      <c r="C460">
        <v>2013</v>
      </c>
      <c r="D460">
        <v>2013</v>
      </c>
      <c r="E460">
        <v>101</v>
      </c>
      <c r="G460" t="s">
        <v>3198</v>
      </c>
      <c r="H460">
        <v>2900</v>
      </c>
      <c r="I460" s="316">
        <v>10350015.48</v>
      </c>
    </row>
    <row r="461" spans="1:9" x14ac:dyDescent="0.3">
      <c r="A461">
        <v>7120</v>
      </c>
      <c r="B461" t="s">
        <v>183</v>
      </c>
      <c r="C461">
        <v>2013</v>
      </c>
      <c r="D461">
        <v>2013</v>
      </c>
      <c r="E461">
        <v>733</v>
      </c>
      <c r="G461" t="s">
        <v>3198</v>
      </c>
      <c r="H461">
        <v>2900</v>
      </c>
      <c r="I461" s="316">
        <v>511844.5</v>
      </c>
    </row>
    <row r="462" spans="1:9" hidden="1" x14ac:dyDescent="0.3">
      <c r="A462">
        <v>7120</v>
      </c>
      <c r="B462" t="s">
        <v>183</v>
      </c>
      <c r="C462">
        <v>2013</v>
      </c>
      <c r="D462">
        <v>2013</v>
      </c>
      <c r="E462">
        <v>735</v>
      </c>
      <c r="G462" t="s">
        <v>3198</v>
      </c>
      <c r="H462">
        <v>2900</v>
      </c>
      <c r="I462" s="316">
        <v>26115.55</v>
      </c>
    </row>
    <row r="463" spans="1:9" hidden="1" x14ac:dyDescent="0.3">
      <c r="A463">
        <v>7140</v>
      </c>
      <c r="B463" t="s">
        <v>183</v>
      </c>
      <c r="C463">
        <v>2013</v>
      </c>
      <c r="D463">
        <v>2013</v>
      </c>
      <c r="E463">
        <v>101</v>
      </c>
      <c r="G463" t="s">
        <v>3192</v>
      </c>
      <c r="H463">
        <v>2900</v>
      </c>
      <c r="I463" s="316">
        <v>3606043.0200000005</v>
      </c>
    </row>
    <row r="464" spans="1:9" x14ac:dyDescent="0.3">
      <c r="A464">
        <v>7140</v>
      </c>
      <c r="B464" t="s">
        <v>183</v>
      </c>
      <c r="C464">
        <v>2013</v>
      </c>
      <c r="D464">
        <v>2013</v>
      </c>
      <c r="E464">
        <v>733</v>
      </c>
      <c r="G464" t="s">
        <v>3192</v>
      </c>
      <c r="H464">
        <v>2900</v>
      </c>
      <c r="I464" s="316">
        <v>115658.22</v>
      </c>
    </row>
    <row r="465" spans="1:9" hidden="1" x14ac:dyDescent="0.3">
      <c r="A465">
        <v>7140</v>
      </c>
      <c r="B465" t="s">
        <v>183</v>
      </c>
      <c r="C465">
        <v>2013</v>
      </c>
      <c r="D465">
        <v>2013</v>
      </c>
      <c r="E465">
        <v>735</v>
      </c>
      <c r="G465" t="s">
        <v>3192</v>
      </c>
      <c r="H465">
        <v>2900</v>
      </c>
      <c r="I465" s="316">
        <v>10643.07</v>
      </c>
    </row>
    <row r="466" spans="1:9" hidden="1" x14ac:dyDescent="0.3">
      <c r="A466">
        <v>7150</v>
      </c>
      <c r="B466" t="s">
        <v>183</v>
      </c>
      <c r="C466">
        <v>2013</v>
      </c>
      <c r="D466">
        <v>2013</v>
      </c>
      <c r="E466">
        <v>101</v>
      </c>
      <c r="G466" t="s">
        <v>6070</v>
      </c>
      <c r="H466">
        <v>2900</v>
      </c>
      <c r="I466" s="316">
        <v>10538211.9</v>
      </c>
    </row>
    <row r="467" spans="1:9" hidden="1" x14ac:dyDescent="0.3">
      <c r="A467">
        <v>7150</v>
      </c>
      <c r="B467" t="s">
        <v>183</v>
      </c>
      <c r="C467">
        <v>2013</v>
      </c>
      <c r="D467">
        <v>2013</v>
      </c>
      <c r="E467">
        <v>602</v>
      </c>
      <c r="G467" t="s">
        <v>6070</v>
      </c>
      <c r="H467">
        <v>2900</v>
      </c>
      <c r="I467" s="316">
        <v>49982.42</v>
      </c>
    </row>
    <row r="468" spans="1:9" x14ac:dyDescent="0.3">
      <c r="A468">
        <v>7150</v>
      </c>
      <c r="B468" t="s">
        <v>183</v>
      </c>
      <c r="C468">
        <v>2013</v>
      </c>
      <c r="D468">
        <v>2013</v>
      </c>
      <c r="E468">
        <v>733</v>
      </c>
      <c r="G468" t="s">
        <v>6070</v>
      </c>
      <c r="H468">
        <v>2900</v>
      </c>
      <c r="I468" s="316">
        <v>615291.92999999993</v>
      </c>
    </row>
    <row r="469" spans="1:9" hidden="1" x14ac:dyDescent="0.3">
      <c r="A469">
        <v>7150</v>
      </c>
      <c r="B469" t="s">
        <v>183</v>
      </c>
      <c r="C469">
        <v>2013</v>
      </c>
      <c r="D469">
        <v>2013</v>
      </c>
      <c r="E469">
        <v>735</v>
      </c>
      <c r="G469" t="s">
        <v>6070</v>
      </c>
      <c r="H469">
        <v>2900</v>
      </c>
      <c r="I469" s="316">
        <v>105787.25</v>
      </c>
    </row>
    <row r="470" spans="1:9" hidden="1" x14ac:dyDescent="0.3">
      <c r="A470">
        <v>7150</v>
      </c>
      <c r="B470" t="s">
        <v>183</v>
      </c>
      <c r="C470">
        <v>2013</v>
      </c>
      <c r="D470">
        <v>2013</v>
      </c>
      <c r="E470">
        <v>8110</v>
      </c>
      <c r="G470" t="s">
        <v>6070</v>
      </c>
      <c r="H470">
        <v>2900</v>
      </c>
      <c r="I470" s="316">
        <v>59000.92</v>
      </c>
    </row>
    <row r="471" spans="1:9" hidden="1" x14ac:dyDescent="0.3">
      <c r="A471">
        <v>7160</v>
      </c>
      <c r="B471" t="s">
        <v>183</v>
      </c>
      <c r="C471">
        <v>2013</v>
      </c>
      <c r="D471">
        <v>2013</v>
      </c>
      <c r="E471">
        <v>101</v>
      </c>
      <c r="G471" t="s">
        <v>3240</v>
      </c>
      <c r="H471">
        <v>2900</v>
      </c>
      <c r="I471" s="316">
        <v>4794199.2499999991</v>
      </c>
    </row>
    <row r="472" spans="1:9" hidden="1" x14ac:dyDescent="0.3">
      <c r="A472">
        <v>7160</v>
      </c>
      <c r="B472" t="s">
        <v>183</v>
      </c>
      <c r="C472">
        <v>2013</v>
      </c>
      <c r="D472">
        <v>2013</v>
      </c>
      <c r="E472">
        <v>602</v>
      </c>
      <c r="G472" t="s">
        <v>3240</v>
      </c>
      <c r="H472">
        <v>2900</v>
      </c>
      <c r="I472" s="316">
        <v>95110.88</v>
      </c>
    </row>
    <row r="473" spans="1:9" x14ac:dyDescent="0.3">
      <c r="A473">
        <v>7160</v>
      </c>
      <c r="B473" t="s">
        <v>183</v>
      </c>
      <c r="C473">
        <v>2013</v>
      </c>
      <c r="D473">
        <v>2013</v>
      </c>
      <c r="E473">
        <v>733</v>
      </c>
      <c r="G473" t="s">
        <v>3240</v>
      </c>
      <c r="H473">
        <v>2900</v>
      </c>
      <c r="I473" s="316">
        <v>225784.15000000002</v>
      </c>
    </row>
    <row r="474" spans="1:9" hidden="1" x14ac:dyDescent="0.3">
      <c r="A474">
        <v>7160</v>
      </c>
      <c r="B474" t="s">
        <v>183</v>
      </c>
      <c r="C474">
        <v>2013</v>
      </c>
      <c r="D474">
        <v>2013</v>
      </c>
      <c r="E474">
        <v>735</v>
      </c>
      <c r="G474" t="s">
        <v>3240</v>
      </c>
      <c r="H474">
        <v>2900</v>
      </c>
      <c r="I474" s="316">
        <v>15120.099999999999</v>
      </c>
    </row>
    <row r="475" spans="1:9" hidden="1" x14ac:dyDescent="0.3">
      <c r="A475">
        <v>7170</v>
      </c>
      <c r="B475" t="s">
        <v>183</v>
      </c>
      <c r="C475">
        <v>2013</v>
      </c>
      <c r="D475">
        <v>2013</v>
      </c>
      <c r="E475">
        <v>101</v>
      </c>
      <c r="G475" t="s">
        <v>3231</v>
      </c>
      <c r="H475">
        <v>2900</v>
      </c>
      <c r="I475" s="316">
        <v>4979681.080000001</v>
      </c>
    </row>
    <row r="476" spans="1:9" hidden="1" x14ac:dyDescent="0.3">
      <c r="A476">
        <v>7170</v>
      </c>
      <c r="B476" t="s">
        <v>183</v>
      </c>
      <c r="C476">
        <v>2013</v>
      </c>
      <c r="D476">
        <v>2013</v>
      </c>
      <c r="E476">
        <v>602</v>
      </c>
      <c r="G476" t="s">
        <v>3231</v>
      </c>
      <c r="H476">
        <v>2900</v>
      </c>
      <c r="I476" s="316">
        <v>53454.29</v>
      </c>
    </row>
    <row r="477" spans="1:9" x14ac:dyDescent="0.3">
      <c r="A477">
        <v>7170</v>
      </c>
      <c r="B477" t="s">
        <v>183</v>
      </c>
      <c r="C477">
        <v>2013</v>
      </c>
      <c r="D477">
        <v>2013</v>
      </c>
      <c r="E477">
        <v>733</v>
      </c>
      <c r="G477" t="s">
        <v>3231</v>
      </c>
      <c r="H477">
        <v>2900</v>
      </c>
      <c r="I477" s="316">
        <v>241225.53</v>
      </c>
    </row>
    <row r="478" spans="1:9" hidden="1" x14ac:dyDescent="0.3">
      <c r="A478">
        <v>7170</v>
      </c>
      <c r="B478" t="s">
        <v>183</v>
      </c>
      <c r="C478">
        <v>2013</v>
      </c>
      <c r="D478">
        <v>2013</v>
      </c>
      <c r="E478">
        <v>735</v>
      </c>
      <c r="G478" t="s">
        <v>3231</v>
      </c>
      <c r="H478">
        <v>2900</v>
      </c>
      <c r="I478" s="316">
        <v>201690.52000000002</v>
      </c>
    </row>
    <row r="479" spans="1:9" hidden="1" x14ac:dyDescent="0.3">
      <c r="A479">
        <v>7180</v>
      </c>
      <c r="B479" t="s">
        <v>183</v>
      </c>
      <c r="C479">
        <v>2013</v>
      </c>
      <c r="D479">
        <v>2013</v>
      </c>
      <c r="E479">
        <v>101</v>
      </c>
      <c r="G479" t="s">
        <v>3244</v>
      </c>
      <c r="H479">
        <v>2900</v>
      </c>
      <c r="I479" s="316">
        <v>4399071.3899999997</v>
      </c>
    </row>
    <row r="480" spans="1:9" hidden="1" x14ac:dyDescent="0.3">
      <c r="A480">
        <v>7180</v>
      </c>
      <c r="B480" t="s">
        <v>183</v>
      </c>
      <c r="C480">
        <v>2013</v>
      </c>
      <c r="D480">
        <v>2013</v>
      </c>
      <c r="E480">
        <v>602</v>
      </c>
      <c r="G480" t="s">
        <v>3244</v>
      </c>
      <c r="H480">
        <v>2900</v>
      </c>
      <c r="I480" s="316">
        <v>65564.97</v>
      </c>
    </row>
    <row r="481" spans="1:9" x14ac:dyDescent="0.3">
      <c r="A481">
        <v>7180</v>
      </c>
      <c r="B481" t="s">
        <v>183</v>
      </c>
      <c r="C481">
        <v>2013</v>
      </c>
      <c r="D481">
        <v>2013</v>
      </c>
      <c r="E481">
        <v>733</v>
      </c>
      <c r="G481" t="s">
        <v>3244</v>
      </c>
      <c r="H481">
        <v>2900</v>
      </c>
      <c r="I481" s="316">
        <v>274984.30000000005</v>
      </c>
    </row>
    <row r="482" spans="1:9" hidden="1" x14ac:dyDescent="0.3">
      <c r="A482">
        <v>7180</v>
      </c>
      <c r="B482" t="s">
        <v>183</v>
      </c>
      <c r="C482">
        <v>2013</v>
      </c>
      <c r="D482">
        <v>2013</v>
      </c>
      <c r="E482">
        <v>735</v>
      </c>
      <c r="G482" t="s">
        <v>3244</v>
      </c>
      <c r="H482">
        <v>2900</v>
      </c>
      <c r="I482" s="316">
        <v>15814.19</v>
      </c>
    </row>
    <row r="483" spans="1:9" hidden="1" x14ac:dyDescent="0.3">
      <c r="A483">
        <v>7200</v>
      </c>
      <c r="B483" t="s">
        <v>183</v>
      </c>
      <c r="C483">
        <v>2013</v>
      </c>
      <c r="D483">
        <v>2013</v>
      </c>
      <c r="E483">
        <v>101</v>
      </c>
      <c r="G483" t="s">
        <v>3232</v>
      </c>
      <c r="H483">
        <v>2900</v>
      </c>
      <c r="I483" s="316">
        <v>4797948.53</v>
      </c>
    </row>
    <row r="484" spans="1:9" x14ac:dyDescent="0.3">
      <c r="A484">
        <v>7200</v>
      </c>
      <c r="B484" t="s">
        <v>183</v>
      </c>
      <c r="C484">
        <v>2013</v>
      </c>
      <c r="D484">
        <v>2013</v>
      </c>
      <c r="E484">
        <v>733</v>
      </c>
      <c r="G484" t="s">
        <v>3232</v>
      </c>
      <c r="H484">
        <v>2900</v>
      </c>
      <c r="I484" s="316">
        <v>142621.94</v>
      </c>
    </row>
    <row r="485" spans="1:9" hidden="1" x14ac:dyDescent="0.3">
      <c r="A485">
        <v>7200</v>
      </c>
      <c r="B485" t="s">
        <v>183</v>
      </c>
      <c r="C485">
        <v>2013</v>
      </c>
      <c r="D485">
        <v>2013</v>
      </c>
      <c r="E485">
        <v>735</v>
      </c>
      <c r="G485" t="s">
        <v>3232</v>
      </c>
      <c r="H485">
        <v>2900</v>
      </c>
      <c r="I485" s="316">
        <v>7769.85</v>
      </c>
    </row>
    <row r="486" spans="1:9" hidden="1" x14ac:dyDescent="0.3">
      <c r="A486">
        <v>7200</v>
      </c>
      <c r="B486" t="s">
        <v>183</v>
      </c>
      <c r="C486">
        <v>2013</v>
      </c>
      <c r="D486">
        <v>2013</v>
      </c>
      <c r="E486">
        <v>8110</v>
      </c>
      <c r="G486" t="s">
        <v>3232</v>
      </c>
      <c r="H486">
        <v>2900</v>
      </c>
      <c r="I486" s="316">
        <v>96330.65</v>
      </c>
    </row>
    <row r="487" spans="1:9" hidden="1" x14ac:dyDescent="0.3">
      <c r="A487">
        <v>7210</v>
      </c>
      <c r="B487" t="s">
        <v>183</v>
      </c>
      <c r="C487">
        <v>2013</v>
      </c>
      <c r="D487">
        <v>2013</v>
      </c>
      <c r="E487">
        <v>101</v>
      </c>
      <c r="G487" t="s">
        <v>3287</v>
      </c>
      <c r="H487">
        <v>2900</v>
      </c>
      <c r="I487" s="316">
        <v>5958800.9900000002</v>
      </c>
    </row>
    <row r="488" spans="1:9" hidden="1" x14ac:dyDescent="0.3">
      <c r="A488">
        <v>7210</v>
      </c>
      <c r="B488" t="s">
        <v>183</v>
      </c>
      <c r="C488">
        <v>2013</v>
      </c>
      <c r="D488">
        <v>2013</v>
      </c>
      <c r="E488">
        <v>735</v>
      </c>
      <c r="G488" t="s">
        <v>3287</v>
      </c>
      <c r="H488">
        <v>2900</v>
      </c>
      <c r="I488" s="316">
        <v>12325</v>
      </c>
    </row>
    <row r="489" spans="1:9" hidden="1" x14ac:dyDescent="0.3">
      <c r="A489">
        <v>7220</v>
      </c>
      <c r="B489" t="s">
        <v>183</v>
      </c>
      <c r="C489">
        <v>2013</v>
      </c>
      <c r="D489">
        <v>2013</v>
      </c>
      <c r="E489">
        <v>101</v>
      </c>
      <c r="G489" t="s">
        <v>3220</v>
      </c>
      <c r="H489">
        <v>2900</v>
      </c>
      <c r="I489" s="316">
        <v>2613544.3000000003</v>
      </c>
    </row>
    <row r="490" spans="1:9" x14ac:dyDescent="0.3">
      <c r="A490">
        <v>7220</v>
      </c>
      <c r="B490" t="s">
        <v>183</v>
      </c>
      <c r="C490">
        <v>2013</v>
      </c>
      <c r="D490">
        <v>2013</v>
      </c>
      <c r="E490">
        <v>733</v>
      </c>
      <c r="G490" t="s">
        <v>3220</v>
      </c>
      <c r="H490">
        <v>2900</v>
      </c>
      <c r="I490" s="316">
        <v>108297.43</v>
      </c>
    </row>
    <row r="491" spans="1:9" hidden="1" x14ac:dyDescent="0.3">
      <c r="A491">
        <v>7220</v>
      </c>
      <c r="B491" t="s">
        <v>183</v>
      </c>
      <c r="C491">
        <v>2013</v>
      </c>
      <c r="D491">
        <v>2013</v>
      </c>
      <c r="E491">
        <v>735</v>
      </c>
      <c r="G491" t="s">
        <v>3220</v>
      </c>
      <c r="H491">
        <v>2900</v>
      </c>
      <c r="I491" s="316">
        <v>6332.5599999999995</v>
      </c>
    </row>
    <row r="492" spans="1:9" hidden="1" x14ac:dyDescent="0.3">
      <c r="A492">
        <v>7230</v>
      </c>
      <c r="B492" t="s">
        <v>183</v>
      </c>
      <c r="C492">
        <v>2013</v>
      </c>
      <c r="D492">
        <v>2013</v>
      </c>
      <c r="E492">
        <v>101</v>
      </c>
      <c r="G492" t="s">
        <v>3256</v>
      </c>
      <c r="H492">
        <v>2900</v>
      </c>
      <c r="I492" s="316">
        <v>3996447.2299999995</v>
      </c>
    </row>
    <row r="493" spans="1:9" x14ac:dyDescent="0.3">
      <c r="A493">
        <v>7230</v>
      </c>
      <c r="B493" t="s">
        <v>183</v>
      </c>
      <c r="C493">
        <v>2013</v>
      </c>
      <c r="D493">
        <v>2013</v>
      </c>
      <c r="E493">
        <v>733</v>
      </c>
      <c r="G493" t="s">
        <v>3256</v>
      </c>
      <c r="H493">
        <v>2900</v>
      </c>
      <c r="I493" s="316">
        <v>109994.98999999999</v>
      </c>
    </row>
    <row r="494" spans="1:9" hidden="1" x14ac:dyDescent="0.3">
      <c r="A494">
        <v>7230</v>
      </c>
      <c r="B494" t="s">
        <v>183</v>
      </c>
      <c r="C494">
        <v>2013</v>
      </c>
      <c r="D494">
        <v>2013</v>
      </c>
      <c r="E494">
        <v>735</v>
      </c>
      <c r="G494" t="s">
        <v>3256</v>
      </c>
      <c r="H494">
        <v>2900</v>
      </c>
      <c r="I494" s="316">
        <v>121666.29000000001</v>
      </c>
    </row>
    <row r="495" spans="1:9" hidden="1" x14ac:dyDescent="0.3">
      <c r="A495">
        <v>7230</v>
      </c>
      <c r="B495" t="s">
        <v>183</v>
      </c>
      <c r="C495">
        <v>2013</v>
      </c>
      <c r="D495">
        <v>2013</v>
      </c>
      <c r="E495">
        <v>8110</v>
      </c>
      <c r="G495" t="s">
        <v>3256</v>
      </c>
      <c r="H495">
        <v>2900</v>
      </c>
      <c r="I495" s="316">
        <v>157100.63</v>
      </c>
    </row>
    <row r="496" spans="1:9" hidden="1" x14ac:dyDescent="0.3">
      <c r="A496">
        <v>7240</v>
      </c>
      <c r="B496" t="s">
        <v>183</v>
      </c>
      <c r="C496">
        <v>2013</v>
      </c>
      <c r="D496">
        <v>2013</v>
      </c>
      <c r="E496">
        <v>101</v>
      </c>
      <c r="G496" t="s">
        <v>3182</v>
      </c>
      <c r="H496">
        <v>2900</v>
      </c>
      <c r="I496" s="316">
        <v>5479421.8500000006</v>
      </c>
    </row>
    <row r="497" spans="1:9" hidden="1" x14ac:dyDescent="0.3">
      <c r="A497">
        <v>7240</v>
      </c>
      <c r="B497" t="s">
        <v>183</v>
      </c>
      <c r="C497">
        <v>2013</v>
      </c>
      <c r="D497">
        <v>2013</v>
      </c>
      <c r="E497">
        <v>602</v>
      </c>
      <c r="G497" t="s">
        <v>3182</v>
      </c>
      <c r="H497">
        <v>2900</v>
      </c>
      <c r="I497" s="316">
        <v>51936.15</v>
      </c>
    </row>
    <row r="498" spans="1:9" x14ac:dyDescent="0.3">
      <c r="A498">
        <v>7240</v>
      </c>
      <c r="B498" t="s">
        <v>183</v>
      </c>
      <c r="C498">
        <v>2013</v>
      </c>
      <c r="D498">
        <v>2013</v>
      </c>
      <c r="E498">
        <v>733</v>
      </c>
      <c r="G498" t="s">
        <v>3182</v>
      </c>
      <c r="H498">
        <v>2900</v>
      </c>
      <c r="I498" s="316">
        <v>238700.88</v>
      </c>
    </row>
    <row r="499" spans="1:9" hidden="1" x14ac:dyDescent="0.3">
      <c r="A499">
        <v>7240</v>
      </c>
      <c r="B499" t="s">
        <v>183</v>
      </c>
      <c r="C499">
        <v>2013</v>
      </c>
      <c r="D499">
        <v>2013</v>
      </c>
      <c r="E499">
        <v>735</v>
      </c>
      <c r="G499" t="s">
        <v>3182</v>
      </c>
      <c r="H499">
        <v>2900</v>
      </c>
      <c r="I499" s="316">
        <v>79370.66</v>
      </c>
    </row>
    <row r="500" spans="1:9" hidden="1" x14ac:dyDescent="0.3">
      <c r="A500">
        <v>7250</v>
      </c>
      <c r="B500" t="s">
        <v>183</v>
      </c>
      <c r="C500">
        <v>2013</v>
      </c>
      <c r="D500">
        <v>2013</v>
      </c>
      <c r="E500">
        <v>101</v>
      </c>
      <c r="G500" t="s">
        <v>3208</v>
      </c>
      <c r="H500">
        <v>2900</v>
      </c>
      <c r="I500" s="316">
        <v>4535741</v>
      </c>
    </row>
    <row r="501" spans="1:9" hidden="1" x14ac:dyDescent="0.3">
      <c r="A501">
        <v>7250</v>
      </c>
      <c r="B501" t="s">
        <v>183</v>
      </c>
      <c r="C501">
        <v>2013</v>
      </c>
      <c r="D501">
        <v>2013</v>
      </c>
      <c r="E501">
        <v>735</v>
      </c>
      <c r="G501" t="s">
        <v>3208</v>
      </c>
      <c r="H501">
        <v>2900</v>
      </c>
      <c r="I501" s="316">
        <v>11900</v>
      </c>
    </row>
    <row r="502" spans="1:9" hidden="1" x14ac:dyDescent="0.3">
      <c r="A502">
        <v>7260</v>
      </c>
      <c r="B502" t="s">
        <v>183</v>
      </c>
      <c r="C502">
        <v>2013</v>
      </c>
      <c r="D502">
        <v>2013</v>
      </c>
      <c r="E502">
        <v>101</v>
      </c>
      <c r="G502" t="s">
        <v>3197</v>
      </c>
      <c r="H502">
        <v>2900</v>
      </c>
      <c r="I502" s="316">
        <v>4277719.8600000003</v>
      </c>
    </row>
    <row r="503" spans="1:9" hidden="1" x14ac:dyDescent="0.3">
      <c r="A503">
        <v>7260</v>
      </c>
      <c r="B503" t="s">
        <v>183</v>
      </c>
      <c r="C503">
        <v>2013</v>
      </c>
      <c r="D503">
        <v>2013</v>
      </c>
      <c r="E503">
        <v>602</v>
      </c>
      <c r="G503" t="s">
        <v>3197</v>
      </c>
      <c r="H503">
        <v>2900</v>
      </c>
      <c r="I503" s="316">
        <v>86444.64</v>
      </c>
    </row>
    <row r="504" spans="1:9" x14ac:dyDescent="0.3">
      <c r="A504">
        <v>7260</v>
      </c>
      <c r="B504" t="s">
        <v>183</v>
      </c>
      <c r="C504">
        <v>2013</v>
      </c>
      <c r="D504">
        <v>2013</v>
      </c>
      <c r="E504">
        <v>733</v>
      </c>
      <c r="G504" t="s">
        <v>3197</v>
      </c>
      <c r="H504">
        <v>2900</v>
      </c>
      <c r="I504" s="316">
        <v>219923.28</v>
      </c>
    </row>
    <row r="505" spans="1:9" hidden="1" x14ac:dyDescent="0.3">
      <c r="A505">
        <v>7260</v>
      </c>
      <c r="B505" t="s">
        <v>183</v>
      </c>
      <c r="C505">
        <v>2013</v>
      </c>
      <c r="D505">
        <v>2013</v>
      </c>
      <c r="E505">
        <v>735</v>
      </c>
      <c r="G505" t="s">
        <v>3197</v>
      </c>
      <c r="H505">
        <v>2900</v>
      </c>
      <c r="I505" s="316">
        <v>12372.44</v>
      </c>
    </row>
    <row r="506" spans="1:9" hidden="1" x14ac:dyDescent="0.3">
      <c r="A506">
        <v>7280</v>
      </c>
      <c r="B506" t="s">
        <v>183</v>
      </c>
      <c r="C506">
        <v>2013</v>
      </c>
      <c r="D506">
        <v>2013</v>
      </c>
      <c r="E506">
        <v>101</v>
      </c>
      <c r="G506" t="s">
        <v>3179</v>
      </c>
      <c r="H506">
        <v>2900</v>
      </c>
      <c r="I506" s="316">
        <v>8034332.7300000014</v>
      </c>
    </row>
    <row r="507" spans="1:9" hidden="1" x14ac:dyDescent="0.3">
      <c r="A507">
        <v>7280</v>
      </c>
      <c r="B507" t="s">
        <v>183</v>
      </c>
      <c r="C507">
        <v>2013</v>
      </c>
      <c r="D507">
        <v>2013</v>
      </c>
      <c r="E507">
        <v>602</v>
      </c>
      <c r="G507" t="s">
        <v>3179</v>
      </c>
      <c r="H507">
        <v>2900</v>
      </c>
      <c r="I507" s="316">
        <v>93591.58</v>
      </c>
    </row>
    <row r="508" spans="1:9" x14ac:dyDescent="0.3">
      <c r="A508">
        <v>7280</v>
      </c>
      <c r="B508" t="s">
        <v>183</v>
      </c>
      <c r="C508">
        <v>2013</v>
      </c>
      <c r="D508">
        <v>2013</v>
      </c>
      <c r="E508">
        <v>733</v>
      </c>
      <c r="G508" t="s">
        <v>3179</v>
      </c>
      <c r="H508">
        <v>2900</v>
      </c>
      <c r="I508" s="316">
        <v>236656.16999999998</v>
      </c>
    </row>
    <row r="509" spans="1:9" hidden="1" x14ac:dyDescent="0.3">
      <c r="A509">
        <v>7280</v>
      </c>
      <c r="B509" t="s">
        <v>183</v>
      </c>
      <c r="C509">
        <v>2013</v>
      </c>
      <c r="D509">
        <v>2013</v>
      </c>
      <c r="E509">
        <v>735</v>
      </c>
      <c r="G509" t="s">
        <v>3179</v>
      </c>
      <c r="H509">
        <v>2900</v>
      </c>
      <c r="I509" s="316">
        <v>99069.81</v>
      </c>
    </row>
    <row r="510" spans="1:9" hidden="1" x14ac:dyDescent="0.3">
      <c r="A510">
        <v>7300</v>
      </c>
      <c r="B510" t="s">
        <v>183</v>
      </c>
      <c r="C510">
        <v>2013</v>
      </c>
      <c r="D510">
        <v>2013</v>
      </c>
      <c r="E510">
        <v>101</v>
      </c>
      <c r="G510" t="s">
        <v>3156</v>
      </c>
      <c r="H510">
        <v>2900</v>
      </c>
      <c r="I510" s="316">
        <v>12801727.560000001</v>
      </c>
    </row>
    <row r="511" spans="1:9" hidden="1" x14ac:dyDescent="0.3">
      <c r="A511">
        <v>7300</v>
      </c>
      <c r="B511" t="s">
        <v>183</v>
      </c>
      <c r="C511">
        <v>2013</v>
      </c>
      <c r="D511">
        <v>2013</v>
      </c>
      <c r="E511">
        <v>602</v>
      </c>
      <c r="G511" t="s">
        <v>3156</v>
      </c>
      <c r="H511">
        <v>2900</v>
      </c>
      <c r="I511" s="316">
        <v>85664.55</v>
      </c>
    </row>
    <row r="512" spans="1:9" x14ac:dyDescent="0.3">
      <c r="A512">
        <v>7300</v>
      </c>
      <c r="B512" t="s">
        <v>183</v>
      </c>
      <c r="C512">
        <v>2013</v>
      </c>
      <c r="D512">
        <v>2013</v>
      </c>
      <c r="E512">
        <v>733</v>
      </c>
      <c r="G512" t="s">
        <v>3156</v>
      </c>
      <c r="H512">
        <v>2900</v>
      </c>
      <c r="I512" s="316">
        <v>344257.75</v>
      </c>
    </row>
    <row r="513" spans="1:9" hidden="1" x14ac:dyDescent="0.3">
      <c r="A513">
        <v>7300</v>
      </c>
      <c r="B513" t="s">
        <v>183</v>
      </c>
      <c r="C513">
        <v>2013</v>
      </c>
      <c r="D513">
        <v>2013</v>
      </c>
      <c r="E513">
        <v>735</v>
      </c>
      <c r="G513" t="s">
        <v>3156</v>
      </c>
      <c r="H513">
        <v>2900</v>
      </c>
      <c r="I513" s="316">
        <v>45299.78</v>
      </c>
    </row>
    <row r="514" spans="1:9" hidden="1" x14ac:dyDescent="0.3">
      <c r="A514">
        <v>7300</v>
      </c>
      <c r="B514" t="s">
        <v>183</v>
      </c>
      <c r="C514">
        <v>2013</v>
      </c>
      <c r="D514">
        <v>2013</v>
      </c>
      <c r="E514">
        <v>8110</v>
      </c>
      <c r="G514" t="s">
        <v>3156</v>
      </c>
      <c r="H514">
        <v>2900</v>
      </c>
      <c r="I514" s="316">
        <v>230591.46</v>
      </c>
    </row>
    <row r="515" spans="1:9" hidden="1" x14ac:dyDescent="0.3">
      <c r="A515">
        <v>7310</v>
      </c>
      <c r="B515" t="s">
        <v>183</v>
      </c>
      <c r="C515">
        <v>2013</v>
      </c>
      <c r="D515">
        <v>2013</v>
      </c>
      <c r="E515">
        <v>101</v>
      </c>
      <c r="G515" t="s">
        <v>3209</v>
      </c>
      <c r="H515">
        <v>2900</v>
      </c>
      <c r="I515" s="316">
        <v>2643965.15</v>
      </c>
    </row>
    <row r="516" spans="1:9" hidden="1" x14ac:dyDescent="0.3">
      <c r="A516">
        <v>7320</v>
      </c>
      <c r="B516" t="s">
        <v>183</v>
      </c>
      <c r="C516">
        <v>2013</v>
      </c>
      <c r="D516">
        <v>2013</v>
      </c>
      <c r="E516">
        <v>101</v>
      </c>
      <c r="G516" t="s">
        <v>3210</v>
      </c>
      <c r="H516">
        <v>2900</v>
      </c>
      <c r="I516" s="316">
        <v>909033.57</v>
      </c>
    </row>
    <row r="517" spans="1:9" hidden="1" x14ac:dyDescent="0.3">
      <c r="A517">
        <v>7360</v>
      </c>
      <c r="B517" t="s">
        <v>183</v>
      </c>
      <c r="C517">
        <v>2013</v>
      </c>
      <c r="D517">
        <v>2013</v>
      </c>
      <c r="E517">
        <v>101</v>
      </c>
      <c r="G517" t="s">
        <v>3266</v>
      </c>
      <c r="H517">
        <v>2900</v>
      </c>
      <c r="I517" s="316">
        <v>2343090.37</v>
      </c>
    </row>
    <row r="518" spans="1:9" x14ac:dyDescent="0.3">
      <c r="A518">
        <v>7360</v>
      </c>
      <c r="B518" t="s">
        <v>183</v>
      </c>
      <c r="C518">
        <v>2013</v>
      </c>
      <c r="D518">
        <v>2013</v>
      </c>
      <c r="E518">
        <v>733</v>
      </c>
      <c r="G518" t="s">
        <v>3266</v>
      </c>
      <c r="H518">
        <v>2900</v>
      </c>
      <c r="I518" s="316">
        <v>37860.170000000006</v>
      </c>
    </row>
    <row r="519" spans="1:9" hidden="1" x14ac:dyDescent="0.3">
      <c r="A519">
        <v>7360</v>
      </c>
      <c r="B519" t="s">
        <v>183</v>
      </c>
      <c r="C519">
        <v>2013</v>
      </c>
      <c r="D519">
        <v>2013</v>
      </c>
      <c r="E519">
        <v>735</v>
      </c>
      <c r="G519" t="s">
        <v>3266</v>
      </c>
      <c r="H519">
        <v>2900</v>
      </c>
      <c r="I519" s="316">
        <v>1551.58</v>
      </c>
    </row>
    <row r="520" spans="1:9" hidden="1" x14ac:dyDescent="0.3">
      <c r="A520">
        <v>7360</v>
      </c>
      <c r="B520" t="s">
        <v>183</v>
      </c>
      <c r="C520">
        <v>2013</v>
      </c>
      <c r="D520">
        <v>2013</v>
      </c>
      <c r="E520">
        <v>8110</v>
      </c>
      <c r="G520" t="s">
        <v>3266</v>
      </c>
      <c r="H520">
        <v>2900</v>
      </c>
      <c r="I520" s="316">
        <v>154922.80000000002</v>
      </c>
    </row>
    <row r="521" spans="1:9" hidden="1" x14ac:dyDescent="0.3">
      <c r="A521">
        <v>7370</v>
      </c>
      <c r="B521" t="s">
        <v>183</v>
      </c>
      <c r="C521">
        <v>2013</v>
      </c>
      <c r="D521">
        <v>2013</v>
      </c>
      <c r="E521">
        <v>101</v>
      </c>
      <c r="G521" t="s">
        <v>3219</v>
      </c>
      <c r="H521">
        <v>2900</v>
      </c>
      <c r="I521" s="316">
        <v>2679453.77</v>
      </c>
    </row>
    <row r="522" spans="1:9" x14ac:dyDescent="0.3">
      <c r="A522">
        <v>7370</v>
      </c>
      <c r="B522" t="s">
        <v>183</v>
      </c>
      <c r="C522">
        <v>2013</v>
      </c>
      <c r="D522">
        <v>2013</v>
      </c>
      <c r="E522">
        <v>733</v>
      </c>
      <c r="G522" t="s">
        <v>3219</v>
      </c>
      <c r="H522">
        <v>2900</v>
      </c>
      <c r="I522" s="316">
        <v>46883.89</v>
      </c>
    </row>
    <row r="523" spans="1:9" hidden="1" x14ac:dyDescent="0.3">
      <c r="A523">
        <v>7370</v>
      </c>
      <c r="B523" t="s">
        <v>183</v>
      </c>
      <c r="C523">
        <v>2013</v>
      </c>
      <c r="D523">
        <v>2013</v>
      </c>
      <c r="E523">
        <v>8110</v>
      </c>
      <c r="G523" t="s">
        <v>3219</v>
      </c>
      <c r="H523">
        <v>2900</v>
      </c>
      <c r="I523" s="316">
        <v>118491.99</v>
      </c>
    </row>
    <row r="524" spans="1:9" hidden="1" x14ac:dyDescent="0.3">
      <c r="A524">
        <v>7380</v>
      </c>
      <c r="B524" t="s">
        <v>183</v>
      </c>
      <c r="C524">
        <v>2013</v>
      </c>
      <c r="D524">
        <v>2013</v>
      </c>
      <c r="E524">
        <v>101</v>
      </c>
      <c r="G524" t="s">
        <v>3267</v>
      </c>
      <c r="H524">
        <v>2900</v>
      </c>
      <c r="I524" s="316">
        <v>2386508.71</v>
      </c>
    </row>
    <row r="525" spans="1:9" x14ac:dyDescent="0.3">
      <c r="A525">
        <v>7380</v>
      </c>
      <c r="B525" t="s">
        <v>183</v>
      </c>
      <c r="C525">
        <v>2013</v>
      </c>
      <c r="D525">
        <v>2013</v>
      </c>
      <c r="E525">
        <v>733</v>
      </c>
      <c r="G525" t="s">
        <v>3267</v>
      </c>
      <c r="H525">
        <v>2900</v>
      </c>
      <c r="I525" s="316">
        <v>36046.009999999995</v>
      </c>
    </row>
    <row r="526" spans="1:9" hidden="1" x14ac:dyDescent="0.3">
      <c r="A526">
        <v>7380</v>
      </c>
      <c r="B526" t="s">
        <v>183</v>
      </c>
      <c r="C526">
        <v>2013</v>
      </c>
      <c r="D526">
        <v>2013</v>
      </c>
      <c r="E526">
        <v>735</v>
      </c>
      <c r="G526" t="s">
        <v>3267</v>
      </c>
      <c r="H526">
        <v>2900</v>
      </c>
      <c r="I526" s="316">
        <v>1976.53</v>
      </c>
    </row>
    <row r="527" spans="1:9" hidden="1" x14ac:dyDescent="0.3">
      <c r="A527">
        <v>7440</v>
      </c>
      <c r="B527" t="s">
        <v>183</v>
      </c>
      <c r="C527">
        <v>2013</v>
      </c>
      <c r="D527">
        <v>2013</v>
      </c>
      <c r="E527">
        <v>101</v>
      </c>
      <c r="G527" t="s">
        <v>6071</v>
      </c>
      <c r="H527">
        <v>2900</v>
      </c>
      <c r="I527" s="316">
        <v>969580.13</v>
      </c>
    </row>
    <row r="528" spans="1:9" hidden="1" x14ac:dyDescent="0.3">
      <c r="A528">
        <v>7450</v>
      </c>
      <c r="B528" t="s">
        <v>183</v>
      </c>
      <c r="C528">
        <v>2013</v>
      </c>
      <c r="D528">
        <v>2013</v>
      </c>
      <c r="E528">
        <v>101</v>
      </c>
      <c r="G528" t="s">
        <v>3289</v>
      </c>
      <c r="H528">
        <v>2900</v>
      </c>
      <c r="I528" s="316">
        <v>2104991.6999999997</v>
      </c>
    </row>
    <row r="529" spans="1:9" hidden="1" x14ac:dyDescent="0.3">
      <c r="A529">
        <v>7490</v>
      </c>
      <c r="B529" t="s">
        <v>183</v>
      </c>
      <c r="C529">
        <v>2013</v>
      </c>
      <c r="D529">
        <v>2013</v>
      </c>
      <c r="E529">
        <v>101</v>
      </c>
      <c r="G529" t="s">
        <v>6072</v>
      </c>
      <c r="H529">
        <v>2900</v>
      </c>
      <c r="I529" s="316">
        <v>2022006.7200000002</v>
      </c>
    </row>
    <row r="530" spans="1:9" x14ac:dyDescent="0.3">
      <c r="A530">
        <v>7490</v>
      </c>
      <c r="B530" t="s">
        <v>183</v>
      </c>
      <c r="C530">
        <v>2013</v>
      </c>
      <c r="D530">
        <v>2013</v>
      </c>
      <c r="E530">
        <v>733</v>
      </c>
      <c r="G530" t="s">
        <v>6072</v>
      </c>
      <c r="H530">
        <v>2900</v>
      </c>
      <c r="I530" s="316">
        <v>89127.37</v>
      </c>
    </row>
    <row r="531" spans="1:9" hidden="1" x14ac:dyDescent="0.3">
      <c r="A531">
        <v>7490</v>
      </c>
      <c r="B531" t="s">
        <v>183</v>
      </c>
      <c r="C531">
        <v>2013</v>
      </c>
      <c r="D531">
        <v>2013</v>
      </c>
      <c r="E531">
        <v>735</v>
      </c>
      <c r="G531" t="s">
        <v>6072</v>
      </c>
      <c r="H531">
        <v>2900</v>
      </c>
      <c r="I531" s="316">
        <v>89013.65</v>
      </c>
    </row>
    <row r="532" spans="1:9" hidden="1" x14ac:dyDescent="0.3">
      <c r="A532">
        <v>7810</v>
      </c>
      <c r="B532" t="s">
        <v>183</v>
      </c>
      <c r="C532">
        <v>2013</v>
      </c>
      <c r="D532">
        <v>2013</v>
      </c>
      <c r="E532">
        <v>101</v>
      </c>
      <c r="G532" t="s">
        <v>6073</v>
      </c>
      <c r="H532">
        <v>2900</v>
      </c>
      <c r="I532" s="316">
        <v>904628.18</v>
      </c>
    </row>
    <row r="533" spans="1:9" hidden="1" x14ac:dyDescent="0.3">
      <c r="A533">
        <v>7811</v>
      </c>
      <c r="B533" t="s">
        <v>183</v>
      </c>
      <c r="C533">
        <v>2013</v>
      </c>
      <c r="D533">
        <v>2013</v>
      </c>
      <c r="E533">
        <v>101</v>
      </c>
      <c r="G533" t="s">
        <v>3175</v>
      </c>
      <c r="H533">
        <v>2900</v>
      </c>
      <c r="I533" s="316">
        <v>2351278.27</v>
      </c>
    </row>
    <row r="534" spans="1:9" hidden="1" x14ac:dyDescent="0.3">
      <c r="A534">
        <v>7820</v>
      </c>
      <c r="B534" t="s">
        <v>183</v>
      </c>
      <c r="C534">
        <v>2013</v>
      </c>
      <c r="D534">
        <v>2013</v>
      </c>
      <c r="E534">
        <v>101</v>
      </c>
      <c r="G534" t="s">
        <v>3245</v>
      </c>
      <c r="H534">
        <v>2900</v>
      </c>
      <c r="I534" s="316">
        <v>3314632.5</v>
      </c>
    </row>
    <row r="535" spans="1:9" hidden="1" x14ac:dyDescent="0.3">
      <c r="A535">
        <v>7840</v>
      </c>
      <c r="B535" t="s">
        <v>183</v>
      </c>
      <c r="C535">
        <v>2013</v>
      </c>
      <c r="D535">
        <v>2013</v>
      </c>
      <c r="E535">
        <v>101</v>
      </c>
      <c r="G535" t="s">
        <v>3202</v>
      </c>
      <c r="H535">
        <v>2900</v>
      </c>
      <c r="I535" s="316">
        <v>2172175</v>
      </c>
    </row>
    <row r="536" spans="1:9" hidden="1" x14ac:dyDescent="0.3">
      <c r="A536">
        <v>7850</v>
      </c>
      <c r="B536" t="s">
        <v>183</v>
      </c>
      <c r="C536">
        <v>2013</v>
      </c>
      <c r="D536">
        <v>2013</v>
      </c>
      <c r="E536">
        <v>101</v>
      </c>
      <c r="G536" t="s">
        <v>3299</v>
      </c>
      <c r="H536">
        <v>2900</v>
      </c>
      <c r="I536" s="316">
        <v>3604858.39</v>
      </c>
    </row>
    <row r="537" spans="1:9" x14ac:dyDescent="0.3">
      <c r="A537">
        <v>7850</v>
      </c>
      <c r="B537" t="s">
        <v>183</v>
      </c>
      <c r="C537">
        <v>2013</v>
      </c>
      <c r="D537">
        <v>2013</v>
      </c>
      <c r="E537">
        <v>733</v>
      </c>
      <c r="G537" t="s">
        <v>3299</v>
      </c>
      <c r="H537">
        <v>2900</v>
      </c>
      <c r="I537" s="316">
        <v>161183</v>
      </c>
    </row>
    <row r="538" spans="1:9" hidden="1" x14ac:dyDescent="0.3">
      <c r="A538">
        <v>7870</v>
      </c>
      <c r="B538" t="s">
        <v>183</v>
      </c>
      <c r="C538">
        <v>2013</v>
      </c>
      <c r="D538">
        <v>2013</v>
      </c>
      <c r="E538">
        <v>101</v>
      </c>
      <c r="G538" t="s">
        <v>3152</v>
      </c>
      <c r="H538">
        <v>2900</v>
      </c>
      <c r="I538" s="316">
        <v>6328650.7000000002</v>
      </c>
    </row>
    <row r="539" spans="1:9" hidden="1" x14ac:dyDescent="0.3">
      <c r="A539">
        <v>7870</v>
      </c>
      <c r="B539" t="s">
        <v>183</v>
      </c>
      <c r="C539">
        <v>2013</v>
      </c>
      <c r="D539">
        <v>2013</v>
      </c>
      <c r="E539">
        <v>602</v>
      </c>
      <c r="G539" t="s">
        <v>3152</v>
      </c>
      <c r="H539">
        <v>2900</v>
      </c>
      <c r="I539" s="316">
        <v>81062.84</v>
      </c>
    </row>
    <row r="540" spans="1:9" x14ac:dyDescent="0.3">
      <c r="A540">
        <v>7870</v>
      </c>
      <c r="B540" t="s">
        <v>183</v>
      </c>
      <c r="C540">
        <v>2013</v>
      </c>
      <c r="D540">
        <v>2013</v>
      </c>
      <c r="E540">
        <v>733</v>
      </c>
      <c r="G540" t="s">
        <v>3152</v>
      </c>
      <c r="H540">
        <v>2900</v>
      </c>
      <c r="I540" s="316">
        <v>190496.12</v>
      </c>
    </row>
    <row r="541" spans="1:9" hidden="1" x14ac:dyDescent="0.3">
      <c r="A541">
        <v>7870</v>
      </c>
      <c r="B541" t="s">
        <v>183</v>
      </c>
      <c r="C541">
        <v>2013</v>
      </c>
      <c r="D541">
        <v>2013</v>
      </c>
      <c r="E541">
        <v>735</v>
      </c>
      <c r="G541" t="s">
        <v>3152</v>
      </c>
      <c r="H541">
        <v>2900</v>
      </c>
      <c r="I541" s="316">
        <v>17225.5</v>
      </c>
    </row>
    <row r="542" spans="1:9" hidden="1" x14ac:dyDescent="0.3">
      <c r="A542">
        <v>7890</v>
      </c>
      <c r="B542" t="s">
        <v>183</v>
      </c>
      <c r="C542">
        <v>2013</v>
      </c>
      <c r="D542">
        <v>2013</v>
      </c>
      <c r="E542">
        <v>101</v>
      </c>
      <c r="G542" t="s">
        <v>3164</v>
      </c>
      <c r="H542">
        <v>2900</v>
      </c>
      <c r="I542" s="316">
        <v>1065702.5699999998</v>
      </c>
    </row>
    <row r="543" spans="1:9" hidden="1" x14ac:dyDescent="0.3">
      <c r="A543">
        <v>7890</v>
      </c>
      <c r="B543" t="s">
        <v>183</v>
      </c>
      <c r="C543">
        <v>2013</v>
      </c>
      <c r="D543">
        <v>2013</v>
      </c>
      <c r="E543">
        <v>735</v>
      </c>
      <c r="G543" t="s">
        <v>3164</v>
      </c>
      <c r="H543">
        <v>2900</v>
      </c>
      <c r="I543" s="316">
        <v>300</v>
      </c>
    </row>
    <row r="544" spans="1:9" hidden="1" x14ac:dyDescent="0.3">
      <c r="A544">
        <v>7901</v>
      </c>
      <c r="B544" t="s">
        <v>183</v>
      </c>
      <c r="C544">
        <v>2013</v>
      </c>
      <c r="D544">
        <v>2013</v>
      </c>
      <c r="E544">
        <v>101</v>
      </c>
      <c r="G544" t="s">
        <v>3260</v>
      </c>
      <c r="H544">
        <v>2900</v>
      </c>
      <c r="I544" s="316">
        <v>185430.52</v>
      </c>
    </row>
    <row r="545" spans="1:9" hidden="1" x14ac:dyDescent="0.3">
      <c r="A545">
        <v>7901</v>
      </c>
      <c r="B545" t="s">
        <v>183</v>
      </c>
      <c r="C545">
        <v>2013</v>
      </c>
      <c r="D545">
        <v>2013</v>
      </c>
      <c r="E545">
        <v>726</v>
      </c>
      <c r="G545" t="s">
        <v>3260</v>
      </c>
      <c r="H545">
        <v>2900</v>
      </c>
      <c r="I545" s="316">
        <v>1959000</v>
      </c>
    </row>
    <row r="546" spans="1:9" hidden="1" x14ac:dyDescent="0.3">
      <c r="A546">
        <v>7901</v>
      </c>
      <c r="B546" t="s">
        <v>183</v>
      </c>
      <c r="C546">
        <v>2013</v>
      </c>
      <c r="D546">
        <v>2013</v>
      </c>
      <c r="E546">
        <v>735</v>
      </c>
      <c r="G546" t="s">
        <v>3260</v>
      </c>
      <c r="H546">
        <v>2900</v>
      </c>
      <c r="I546" s="316">
        <v>2325</v>
      </c>
    </row>
    <row r="547" spans="1:9" hidden="1" x14ac:dyDescent="0.3">
      <c r="A547">
        <v>7910</v>
      </c>
      <c r="B547" t="s">
        <v>183</v>
      </c>
      <c r="C547">
        <v>2013</v>
      </c>
      <c r="D547">
        <v>2013</v>
      </c>
      <c r="E547">
        <v>101</v>
      </c>
      <c r="G547" t="s">
        <v>3271</v>
      </c>
      <c r="H547">
        <v>2900</v>
      </c>
      <c r="I547" s="316">
        <v>12420241.949999999</v>
      </c>
    </row>
    <row r="548" spans="1:9" hidden="1" x14ac:dyDescent="0.3">
      <c r="A548">
        <v>7910</v>
      </c>
      <c r="B548" t="s">
        <v>183</v>
      </c>
      <c r="C548">
        <v>2013</v>
      </c>
      <c r="D548">
        <v>2013</v>
      </c>
      <c r="E548">
        <v>609</v>
      </c>
      <c r="G548" t="s">
        <v>3271</v>
      </c>
      <c r="H548">
        <v>2900</v>
      </c>
      <c r="I548" s="316">
        <v>244539.25</v>
      </c>
    </row>
    <row r="549" spans="1:9" hidden="1" x14ac:dyDescent="0.3">
      <c r="A549">
        <v>7920</v>
      </c>
      <c r="B549" t="s">
        <v>183</v>
      </c>
      <c r="C549">
        <v>2013</v>
      </c>
      <c r="D549">
        <v>2013</v>
      </c>
      <c r="E549">
        <v>101</v>
      </c>
      <c r="G549" t="s">
        <v>6074</v>
      </c>
      <c r="H549">
        <v>2900</v>
      </c>
      <c r="I549" s="316">
        <v>3806455.7699999996</v>
      </c>
    </row>
    <row r="550" spans="1:9" x14ac:dyDescent="0.3">
      <c r="A550">
        <v>7920</v>
      </c>
      <c r="B550" t="s">
        <v>183</v>
      </c>
      <c r="C550">
        <v>2013</v>
      </c>
      <c r="D550">
        <v>2013</v>
      </c>
      <c r="E550">
        <v>733</v>
      </c>
      <c r="G550" t="s">
        <v>6074</v>
      </c>
      <c r="H550">
        <v>2900</v>
      </c>
      <c r="I550" s="316">
        <v>112912.23</v>
      </c>
    </row>
    <row r="551" spans="1:9" hidden="1" x14ac:dyDescent="0.3">
      <c r="A551">
        <v>7920</v>
      </c>
      <c r="B551" t="s">
        <v>183</v>
      </c>
      <c r="C551">
        <v>2013</v>
      </c>
      <c r="D551">
        <v>2013</v>
      </c>
      <c r="E551">
        <v>735</v>
      </c>
      <c r="G551" t="s">
        <v>6074</v>
      </c>
      <c r="H551">
        <v>2900</v>
      </c>
      <c r="I551" s="316">
        <v>2357.69</v>
      </c>
    </row>
    <row r="552" spans="1:9" hidden="1" x14ac:dyDescent="0.3">
      <c r="A552">
        <v>7930</v>
      </c>
      <c r="B552" t="s">
        <v>183</v>
      </c>
      <c r="C552">
        <v>2013</v>
      </c>
      <c r="D552">
        <v>2013</v>
      </c>
      <c r="E552">
        <v>101</v>
      </c>
      <c r="G552" t="s">
        <v>3269</v>
      </c>
      <c r="H552">
        <v>2900</v>
      </c>
      <c r="I552" s="316">
        <v>1371693.31</v>
      </c>
    </row>
    <row r="553" spans="1:9" x14ac:dyDescent="0.3">
      <c r="A553">
        <v>7940</v>
      </c>
      <c r="B553" t="s">
        <v>183</v>
      </c>
      <c r="C553">
        <v>2013</v>
      </c>
      <c r="D553">
        <v>2013</v>
      </c>
      <c r="E553">
        <v>733</v>
      </c>
      <c r="G553" t="s">
        <v>3170</v>
      </c>
      <c r="H553">
        <v>2900</v>
      </c>
      <c r="I553" s="316">
        <v>1661283.01</v>
      </c>
    </row>
    <row r="554" spans="1:9" hidden="1" x14ac:dyDescent="0.3">
      <c r="A554">
        <v>7940</v>
      </c>
      <c r="B554" t="s">
        <v>183</v>
      </c>
      <c r="C554">
        <v>2013</v>
      </c>
      <c r="D554">
        <v>2013</v>
      </c>
      <c r="E554">
        <v>735</v>
      </c>
      <c r="G554" t="s">
        <v>3170</v>
      </c>
      <c r="H554">
        <v>2900</v>
      </c>
      <c r="I554" s="316">
        <v>886366</v>
      </c>
    </row>
    <row r="555" spans="1:9" hidden="1" x14ac:dyDescent="0.3">
      <c r="A555">
        <v>7940</v>
      </c>
      <c r="B555" t="s">
        <v>183</v>
      </c>
      <c r="C555">
        <v>2013</v>
      </c>
      <c r="D555">
        <v>2013</v>
      </c>
      <c r="E555">
        <v>736</v>
      </c>
      <c r="G555" t="s">
        <v>3170</v>
      </c>
      <c r="H555">
        <v>2900</v>
      </c>
      <c r="I555" s="316">
        <v>15588.49</v>
      </c>
    </row>
    <row r="556" spans="1:9" hidden="1" x14ac:dyDescent="0.3">
      <c r="A556">
        <v>7970</v>
      </c>
      <c r="B556" t="s">
        <v>183</v>
      </c>
      <c r="C556">
        <v>2013</v>
      </c>
      <c r="D556">
        <v>2013</v>
      </c>
      <c r="E556">
        <v>101</v>
      </c>
      <c r="G556" t="s">
        <v>6075</v>
      </c>
      <c r="H556">
        <v>2900</v>
      </c>
      <c r="I556" s="316">
        <v>15925231.57</v>
      </c>
    </row>
    <row r="557" spans="1:9" hidden="1" x14ac:dyDescent="0.3">
      <c r="A557">
        <v>7980</v>
      </c>
      <c r="B557" t="s">
        <v>183</v>
      </c>
      <c r="C557">
        <v>2013</v>
      </c>
      <c r="D557">
        <v>2013</v>
      </c>
      <c r="E557">
        <v>101</v>
      </c>
      <c r="G557" t="s">
        <v>6076</v>
      </c>
      <c r="H557">
        <v>2900</v>
      </c>
      <c r="I557" s="316">
        <v>613818.18000000005</v>
      </c>
    </row>
    <row r="558" spans="1:9" x14ac:dyDescent="0.3">
      <c r="A558">
        <v>7980</v>
      </c>
      <c r="B558" t="s">
        <v>183</v>
      </c>
      <c r="C558">
        <v>2013</v>
      </c>
      <c r="D558">
        <v>2013</v>
      </c>
      <c r="E558">
        <v>733</v>
      </c>
      <c r="G558" t="s">
        <v>6076</v>
      </c>
      <c r="H558">
        <v>2900</v>
      </c>
      <c r="I558" s="316">
        <v>9386181.8200000003</v>
      </c>
    </row>
    <row r="559" spans="1:9" hidden="1" x14ac:dyDescent="0.3">
      <c r="A559">
        <v>7990</v>
      </c>
      <c r="B559" t="s">
        <v>183</v>
      </c>
      <c r="C559">
        <v>2013</v>
      </c>
      <c r="D559">
        <v>2013</v>
      </c>
      <c r="E559">
        <v>101</v>
      </c>
      <c r="G559" t="s">
        <v>6077</v>
      </c>
      <c r="H559">
        <v>2900</v>
      </c>
      <c r="I559" s="316">
        <v>370350</v>
      </c>
    </row>
  </sheetData>
  <autoFilter ref="A1:I559">
    <filterColumn colId="4">
      <filters>
        <filter val="733"/>
      </filters>
    </filterColumn>
  </autoFilter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31"/>
  <sheetViews>
    <sheetView showOutlineSymbols="0" zoomScaleNormal="100" workbookViewId="0">
      <pane ySplit="3" topLeftCell="A4" activePane="bottomLeft" state="frozen"/>
      <selection activeCell="C1" sqref="C1"/>
      <selection pane="bottomLeft" activeCell="D15" sqref="D15"/>
    </sheetView>
  </sheetViews>
  <sheetFormatPr defaultColWidth="9.109375" defaultRowHeight="12.75" customHeight="1" x14ac:dyDescent="0.3"/>
  <cols>
    <col min="1" max="1" width="4.44140625" style="89" customWidth="1"/>
    <col min="2" max="2" width="8" style="89" customWidth="1"/>
    <col min="3" max="3" width="23.6640625" style="89" customWidth="1"/>
    <col min="4" max="4" width="8.6640625" style="88" customWidth="1"/>
    <col min="5" max="5" width="10" style="88" customWidth="1"/>
    <col min="6" max="7" width="11.109375" style="88" customWidth="1"/>
    <col min="8" max="8" width="8" style="94" customWidth="1"/>
    <col min="9" max="9" width="8" style="97" customWidth="1"/>
    <col min="10" max="10" width="6.109375" style="97" customWidth="1"/>
    <col min="11" max="11" width="8.6640625" style="97" customWidth="1"/>
    <col min="12" max="13" width="9.33203125" style="97" customWidth="1"/>
    <col min="14" max="14" width="9.109375" style="97" customWidth="1"/>
    <col min="15" max="15" width="9.6640625" style="97" customWidth="1"/>
    <col min="16" max="16" width="12.88671875" style="89" customWidth="1"/>
    <col min="17" max="17" width="11.88671875" style="99" customWidth="1"/>
    <col min="18" max="18" width="12.109375" style="89" customWidth="1"/>
    <col min="19" max="19" width="10.5546875" style="89" customWidth="1"/>
    <col min="20" max="16384" width="9.109375" style="89"/>
  </cols>
  <sheetData>
    <row r="1" spans="1:19" ht="12.75" customHeight="1" x14ac:dyDescent="0.3">
      <c r="B1" s="89">
        <v>1</v>
      </c>
      <c r="C1" s="89">
        <v>2</v>
      </c>
      <c r="D1" s="89">
        <v>3</v>
      </c>
      <c r="E1" s="89"/>
      <c r="F1" s="89"/>
      <c r="G1" s="89"/>
      <c r="H1" s="89">
        <v>4</v>
      </c>
      <c r="I1" s="89">
        <v>5</v>
      </c>
      <c r="J1" s="89"/>
      <c r="K1" s="89"/>
      <c r="L1" s="89"/>
      <c r="M1" s="89"/>
      <c r="N1" s="89">
        <v>6</v>
      </c>
      <c r="O1" s="89"/>
      <c r="P1" s="89">
        <v>7</v>
      </c>
      <c r="Q1" s="89">
        <v>8</v>
      </c>
      <c r="R1" s="89">
        <v>9</v>
      </c>
      <c r="S1" s="89">
        <v>10</v>
      </c>
    </row>
    <row r="2" spans="1:19" s="156" customFormat="1" ht="39.6" x14ac:dyDescent="0.3">
      <c r="A2" s="155"/>
      <c r="B2" s="101" t="s">
        <v>0</v>
      </c>
      <c r="C2" s="101" t="s">
        <v>134</v>
      </c>
      <c r="D2" s="103" t="s">
        <v>160</v>
      </c>
      <c r="E2" s="103" t="s">
        <v>3083</v>
      </c>
      <c r="F2" s="103" t="s">
        <v>3082</v>
      </c>
      <c r="G2" s="104" t="s">
        <v>3079</v>
      </c>
      <c r="H2" s="103" t="s">
        <v>135</v>
      </c>
      <c r="I2" s="104" t="s">
        <v>136</v>
      </c>
      <c r="J2" s="104" t="s">
        <v>3081</v>
      </c>
      <c r="K2" s="104" t="s">
        <v>3080</v>
      </c>
      <c r="L2" s="104" t="s">
        <v>3321</v>
      </c>
      <c r="M2" s="104" t="s">
        <v>3322</v>
      </c>
      <c r="N2" s="104" t="s">
        <v>3023</v>
      </c>
      <c r="O2" s="104" t="s">
        <v>3022</v>
      </c>
      <c r="P2" s="104" t="s">
        <v>137</v>
      </c>
      <c r="Q2" s="105" t="s">
        <v>3084</v>
      </c>
      <c r="R2" s="105" t="s">
        <v>139</v>
      </c>
    </row>
    <row r="3" spans="1:19" ht="13.2" x14ac:dyDescent="0.3">
      <c r="A3" s="106"/>
      <c r="B3" s="107"/>
      <c r="C3" s="108"/>
      <c r="D3" s="253" t="s">
        <v>3019</v>
      </c>
      <c r="E3" s="254" t="s">
        <v>3074</v>
      </c>
      <c r="F3" s="254" t="s">
        <v>3075</v>
      </c>
      <c r="G3" s="254" t="s">
        <v>3147</v>
      </c>
      <c r="H3" s="253" t="s">
        <v>3020</v>
      </c>
      <c r="I3" s="255" t="s">
        <v>3021</v>
      </c>
      <c r="J3" s="256" t="s">
        <v>3076</v>
      </c>
      <c r="K3" s="256" t="s">
        <v>3077</v>
      </c>
      <c r="L3" s="256" t="s">
        <v>3078</v>
      </c>
      <c r="M3" s="257" t="s">
        <v>3148</v>
      </c>
      <c r="N3" s="111">
        <v>8110</v>
      </c>
      <c r="O3" s="111" t="s">
        <v>3087</v>
      </c>
      <c r="P3" s="111" t="s">
        <v>3088</v>
      </c>
      <c r="Q3" s="111" t="s">
        <v>3089</v>
      </c>
      <c r="R3" s="111" t="s">
        <v>3090</v>
      </c>
    </row>
    <row r="4" spans="1:19" ht="13.2" x14ac:dyDescent="0.25">
      <c r="A4" s="258">
        <v>1</v>
      </c>
      <c r="B4" s="268">
        <v>5120</v>
      </c>
      <c r="C4" s="289" t="s">
        <v>14</v>
      </c>
      <c r="D4" s="270">
        <f>SUMIFS('Peoplesoft-FY13'!$K:$K,'Peoplesoft-FY13'!$S:$S,$B4,'Peoplesoft-FY13'!$Q:$Q,D$3)</f>
        <v>27.130000000000003</v>
      </c>
      <c r="E4" s="270">
        <f>SUMIFS('Peoplesoft-FY13'!$K:$K,'Peoplesoft-FY13'!$S:$S,$B4,'Peoplesoft-FY13'!$Q:$Q,E$3)</f>
        <v>0</v>
      </c>
      <c r="F4" s="270">
        <f>SUMIFS('Peoplesoft-FY13'!$K:$K,'Peoplesoft-FY13'!$S:$S,$B4,'Peoplesoft-FY13'!$Q:$Q,F$3)</f>
        <v>0</v>
      </c>
      <c r="G4" s="270">
        <f>SUMIFS('Peoplesoft-FY13'!$K:$K,'Peoplesoft-FY13'!$S:$S,$B4,'Peoplesoft-FY13'!$Q:$Q,G$3)</f>
        <v>0</v>
      </c>
      <c r="H4" s="270">
        <f>SUMIFS('Peoplesoft-FY13'!$K:$K,'Peoplesoft-FY13'!$S:$S,$B4,'Peoplesoft-FY13'!$Q:$Q,H$3)</f>
        <v>0</v>
      </c>
      <c r="I4" s="270">
        <f>SUMIFS('Peoplesoft-FY13'!$K:$K,'Peoplesoft-FY13'!$S:$S,$B4,'Peoplesoft-FY13'!$Q:$Q,I$3)</f>
        <v>0</v>
      </c>
      <c r="J4" s="270">
        <f>SUMIFS('Peoplesoft-FY13'!$K:$K,'Peoplesoft-FY13'!$S:$S,$B4,'Peoplesoft-FY13'!$Q:$Q,J$3)</f>
        <v>0</v>
      </c>
      <c r="K4" s="270">
        <f>SUMIFS('Peoplesoft-FY13'!$K:$K,'Peoplesoft-FY13'!$S:$S,$B4,'Peoplesoft-FY13'!$Q:$Q,K$3)</f>
        <v>0</v>
      </c>
      <c r="L4" s="270">
        <f>SUMIFS('Peoplesoft-FY13'!$K:$K,'Peoplesoft-FY13'!$S:$S,$B4,'Peoplesoft-FY13'!$Q:$Q,L$3)</f>
        <v>0</v>
      </c>
      <c r="M4" s="270">
        <f>SUMIFS('Peoplesoft-FY13'!$K:$K,'Peoplesoft-FY13'!$S:$S,$B4,'Peoplesoft-FY13'!$Q:$Q,M$3)</f>
        <v>0</v>
      </c>
      <c r="N4" s="270">
        <f>SUMIFS('Peoplesoft-FY13'!$K:$K,'Peoplesoft-FY13'!$S:$S,$B4,'Peoplesoft-FY13'!$Q:$Q,N$3)</f>
        <v>0</v>
      </c>
      <c r="O4" s="137">
        <f>SUM(E4:N4)</f>
        <v>0</v>
      </c>
      <c r="P4" s="115">
        <f>SUM(D4:N4)</f>
        <v>27.130000000000003</v>
      </c>
      <c r="Q4" s="116">
        <f>+O4/P4</f>
        <v>0</v>
      </c>
      <c r="R4" s="117">
        <f>+D4/P4</f>
        <v>1</v>
      </c>
      <c r="S4" s="99">
        <f t="shared" ref="S4:S65" si="0">Q4+R4</f>
        <v>1</v>
      </c>
    </row>
    <row r="5" spans="1:19" ht="13.2" x14ac:dyDescent="0.25">
      <c r="A5" s="260">
        <v>2</v>
      </c>
      <c r="B5" s="272">
        <v>5130</v>
      </c>
      <c r="C5" s="290" t="s">
        <v>15</v>
      </c>
      <c r="D5" s="274">
        <f>SUMIFS('Peoplesoft-FY13'!$K:$K,'Peoplesoft-FY13'!$S:$S,$B5,'Peoplesoft-FY13'!$Q:$Q,D$3)</f>
        <v>29.380000000000003</v>
      </c>
      <c r="E5" s="274">
        <f>SUMIFS('Peoplesoft-FY13'!$K:$K,'Peoplesoft-FY13'!$S:$S,$B5,'Peoplesoft-FY13'!$Q:$Q,E$3)</f>
        <v>0</v>
      </c>
      <c r="F5" s="274">
        <f>SUMIFS('Peoplesoft-FY13'!$K:$K,'Peoplesoft-FY13'!$S:$S,$B5,'Peoplesoft-FY13'!$Q:$Q,F$3)</f>
        <v>0</v>
      </c>
      <c r="G5" s="274">
        <f>SUMIFS('Peoplesoft-FY13'!$K:$K,'Peoplesoft-FY13'!$S:$S,$B5,'Peoplesoft-FY13'!$Q:$Q,G$3)</f>
        <v>0</v>
      </c>
      <c r="H5" s="274">
        <f>SUMIFS('Peoplesoft-FY13'!$K:$K,'Peoplesoft-FY13'!$S:$S,$B5,'Peoplesoft-FY13'!$Q:$Q,H$3)</f>
        <v>0</v>
      </c>
      <c r="I5" s="274">
        <f>SUMIFS('Peoplesoft-FY13'!$K:$K,'Peoplesoft-FY13'!$S:$S,$B5,'Peoplesoft-FY13'!$Q:$Q,I$3)</f>
        <v>0</v>
      </c>
      <c r="J5" s="274">
        <f>SUMIFS('Peoplesoft-FY13'!$K:$K,'Peoplesoft-FY13'!$S:$S,$B5,'Peoplesoft-FY13'!$Q:$Q,J$3)</f>
        <v>0</v>
      </c>
      <c r="K5" s="274">
        <f>SUMIFS('Peoplesoft-FY13'!$K:$K,'Peoplesoft-FY13'!$S:$S,$B5,'Peoplesoft-FY13'!$Q:$Q,K$3)</f>
        <v>0</v>
      </c>
      <c r="L5" s="274">
        <f>SUMIFS('Peoplesoft-FY13'!$K:$K,'Peoplesoft-FY13'!$S:$S,$B5,'Peoplesoft-FY13'!$Q:$Q,L$3)</f>
        <v>0</v>
      </c>
      <c r="M5" s="274">
        <f>SUMIFS('Peoplesoft-FY13'!$K:$K,'Peoplesoft-FY13'!$S:$S,$B5,'Peoplesoft-FY13'!$Q:$Q,M$3)</f>
        <v>0</v>
      </c>
      <c r="N5" s="274">
        <f>SUMIFS('Peoplesoft-FY13'!$K:$K,'Peoplesoft-FY13'!$S:$S,$B5,'Peoplesoft-FY13'!$Q:$Q,N$3)</f>
        <v>0</v>
      </c>
      <c r="O5" s="138">
        <f t="shared" ref="O5:O66" si="1">SUM(E5:N5)</f>
        <v>0</v>
      </c>
      <c r="P5" s="119">
        <f t="shared" ref="P5:P66" si="2">SUM(D5:N5)</f>
        <v>29.380000000000003</v>
      </c>
      <c r="Q5" s="120">
        <f t="shared" ref="Q5:Q66" si="3">+O5/P5</f>
        <v>0</v>
      </c>
      <c r="R5" s="121">
        <f t="shared" ref="R5:R23" si="4">D5/P5</f>
        <v>1</v>
      </c>
      <c r="S5" s="99">
        <f t="shared" si="0"/>
        <v>1</v>
      </c>
    </row>
    <row r="6" spans="1:19" ht="13.2" x14ac:dyDescent="0.25">
      <c r="A6" s="260">
        <v>3</v>
      </c>
      <c r="B6" s="272">
        <v>5140</v>
      </c>
      <c r="C6" s="290" t="s">
        <v>16</v>
      </c>
      <c r="D6" s="274">
        <f>SUMIFS('Peoplesoft-FY13'!$K:$K,'Peoplesoft-FY13'!$S:$S,$B6,'Peoplesoft-FY13'!$Q:$Q,D$3)</f>
        <v>67.42</v>
      </c>
      <c r="E6" s="274">
        <f>SUMIFS('Peoplesoft-FY13'!$K:$K,'Peoplesoft-FY13'!$S:$S,$B6,'Peoplesoft-FY13'!$Q:$Q,E$3)</f>
        <v>0</v>
      </c>
      <c r="F6" s="274">
        <f>SUMIFS('Peoplesoft-FY13'!$K:$K,'Peoplesoft-FY13'!$S:$S,$B6,'Peoplesoft-FY13'!$Q:$Q,F$3)</f>
        <v>0</v>
      </c>
      <c r="G6" s="274">
        <f>SUMIFS('Peoplesoft-FY13'!$K:$K,'Peoplesoft-FY13'!$S:$S,$B6,'Peoplesoft-FY13'!$Q:$Q,G$3)</f>
        <v>0</v>
      </c>
      <c r="H6" s="274">
        <f>SUMIFS('Peoplesoft-FY13'!$K:$K,'Peoplesoft-FY13'!$S:$S,$B6,'Peoplesoft-FY13'!$Q:$Q,H$3)</f>
        <v>0</v>
      </c>
      <c r="I6" s="274">
        <f>SUMIFS('Peoplesoft-FY13'!$K:$K,'Peoplesoft-FY13'!$S:$S,$B6,'Peoplesoft-FY13'!$Q:$Q,I$3)</f>
        <v>0</v>
      </c>
      <c r="J6" s="274">
        <f>SUMIFS('Peoplesoft-FY13'!$K:$K,'Peoplesoft-FY13'!$S:$S,$B6,'Peoplesoft-FY13'!$Q:$Q,J$3)</f>
        <v>0</v>
      </c>
      <c r="K6" s="274">
        <f>SUMIFS('Peoplesoft-FY13'!$K:$K,'Peoplesoft-FY13'!$S:$S,$B6,'Peoplesoft-FY13'!$Q:$Q,K$3)</f>
        <v>0</v>
      </c>
      <c r="L6" s="274">
        <f>SUMIFS('Peoplesoft-FY13'!$K:$K,'Peoplesoft-FY13'!$S:$S,$B6,'Peoplesoft-FY13'!$Q:$Q,L$3)</f>
        <v>0</v>
      </c>
      <c r="M6" s="274">
        <f>SUMIFS('Peoplesoft-FY13'!$K:$K,'Peoplesoft-FY13'!$S:$S,$B6,'Peoplesoft-FY13'!$Q:$Q,M$3)</f>
        <v>0</v>
      </c>
      <c r="N6" s="274">
        <f>SUMIFS('Peoplesoft-FY13'!$K:$K,'Peoplesoft-FY13'!$S:$S,$B6,'Peoplesoft-FY13'!$Q:$Q,N$3)</f>
        <v>0</v>
      </c>
      <c r="O6" s="138">
        <f t="shared" si="1"/>
        <v>0</v>
      </c>
      <c r="P6" s="119">
        <f t="shared" si="2"/>
        <v>67.42</v>
      </c>
      <c r="Q6" s="120">
        <f t="shared" si="3"/>
        <v>0</v>
      </c>
      <c r="R6" s="121">
        <f t="shared" si="4"/>
        <v>1</v>
      </c>
      <c r="S6" s="99">
        <f t="shared" si="0"/>
        <v>1</v>
      </c>
    </row>
    <row r="7" spans="1:19" ht="13.2" x14ac:dyDescent="0.25">
      <c r="A7" s="260">
        <v>4</v>
      </c>
      <c r="B7" s="272">
        <v>5150</v>
      </c>
      <c r="C7" s="290" t="s">
        <v>17</v>
      </c>
      <c r="D7" s="274">
        <f>SUMIFS('Peoplesoft-FY13'!$K:$K,'Peoplesoft-FY13'!$S:$S,$B7,'Peoplesoft-FY13'!$Q:$Q,D$3)</f>
        <v>76.384999999999991</v>
      </c>
      <c r="E7" s="274">
        <f>SUMIFS('Peoplesoft-FY13'!$K:$K,'Peoplesoft-FY13'!$S:$S,$B7,'Peoplesoft-FY13'!$Q:$Q,E$3)</f>
        <v>0</v>
      </c>
      <c r="F7" s="274">
        <f>SUMIFS('Peoplesoft-FY13'!$K:$K,'Peoplesoft-FY13'!$S:$S,$B7,'Peoplesoft-FY13'!$Q:$Q,F$3)</f>
        <v>0</v>
      </c>
      <c r="G7" s="274">
        <f>SUMIFS('Peoplesoft-FY13'!$K:$K,'Peoplesoft-FY13'!$S:$S,$B7,'Peoplesoft-FY13'!$Q:$Q,G$3)</f>
        <v>0</v>
      </c>
      <c r="H7" s="274">
        <f>SUMIFS('Peoplesoft-FY13'!$K:$K,'Peoplesoft-FY13'!$S:$S,$B7,'Peoplesoft-FY13'!$Q:$Q,H$3)</f>
        <v>0</v>
      </c>
      <c r="I7" s="274">
        <f>SUMIFS('Peoplesoft-FY13'!$K:$K,'Peoplesoft-FY13'!$S:$S,$B7,'Peoplesoft-FY13'!$Q:$Q,I$3)</f>
        <v>0</v>
      </c>
      <c r="J7" s="274">
        <f>SUMIFS('Peoplesoft-FY13'!$K:$K,'Peoplesoft-FY13'!$S:$S,$B7,'Peoplesoft-FY13'!$Q:$Q,J$3)</f>
        <v>0</v>
      </c>
      <c r="K7" s="274">
        <f>SUMIFS('Peoplesoft-FY13'!$K:$K,'Peoplesoft-FY13'!$S:$S,$B7,'Peoplesoft-FY13'!$Q:$Q,K$3)</f>
        <v>0</v>
      </c>
      <c r="L7" s="274">
        <f>SUMIFS('Peoplesoft-FY13'!$K:$K,'Peoplesoft-FY13'!$S:$S,$B7,'Peoplesoft-FY13'!$Q:$Q,L$3)</f>
        <v>0</v>
      </c>
      <c r="M7" s="274">
        <f>SUMIFS('Peoplesoft-FY13'!$K:$K,'Peoplesoft-FY13'!$S:$S,$B7,'Peoplesoft-FY13'!$Q:$Q,M$3)</f>
        <v>0</v>
      </c>
      <c r="N7" s="274">
        <f>SUMIFS('Peoplesoft-FY13'!$K:$K,'Peoplesoft-FY13'!$S:$S,$B7,'Peoplesoft-FY13'!$Q:$Q,N$3)</f>
        <v>0</v>
      </c>
      <c r="O7" s="138">
        <f t="shared" si="1"/>
        <v>0</v>
      </c>
      <c r="P7" s="119">
        <f t="shared" si="2"/>
        <v>76.384999999999991</v>
      </c>
      <c r="Q7" s="120">
        <f t="shared" si="3"/>
        <v>0</v>
      </c>
      <c r="R7" s="121">
        <f t="shared" si="4"/>
        <v>1</v>
      </c>
      <c r="S7" s="99">
        <f t="shared" si="0"/>
        <v>1</v>
      </c>
    </row>
    <row r="8" spans="1:19" ht="13.2" x14ac:dyDescent="0.25">
      <c r="A8" s="260">
        <v>5</v>
      </c>
      <c r="B8" s="272">
        <v>5160</v>
      </c>
      <c r="C8" s="290" t="s">
        <v>18</v>
      </c>
      <c r="D8" s="274">
        <f>SUMIFS('Peoplesoft-FY13'!$K:$K,'Peoplesoft-FY13'!$S:$S,$B8,'Peoplesoft-FY13'!$Q:$Q,D$3)</f>
        <v>54.425000000000004</v>
      </c>
      <c r="E8" s="274">
        <f>SUMIFS('Peoplesoft-FY13'!$K:$K,'Peoplesoft-FY13'!$S:$S,$B8,'Peoplesoft-FY13'!$Q:$Q,E$3)</f>
        <v>0</v>
      </c>
      <c r="F8" s="274">
        <f>SUMIFS('Peoplesoft-FY13'!$K:$K,'Peoplesoft-FY13'!$S:$S,$B8,'Peoplesoft-FY13'!$Q:$Q,F$3)</f>
        <v>0</v>
      </c>
      <c r="G8" s="274">
        <f>SUMIFS('Peoplesoft-FY13'!$K:$K,'Peoplesoft-FY13'!$S:$S,$B8,'Peoplesoft-FY13'!$Q:$Q,G$3)</f>
        <v>0</v>
      </c>
      <c r="H8" s="274">
        <f>SUMIFS('Peoplesoft-FY13'!$K:$K,'Peoplesoft-FY13'!$S:$S,$B8,'Peoplesoft-FY13'!$Q:$Q,H$3)</f>
        <v>0</v>
      </c>
      <c r="I8" s="274">
        <f>SUMIFS('Peoplesoft-FY13'!$K:$K,'Peoplesoft-FY13'!$S:$S,$B8,'Peoplesoft-FY13'!$Q:$Q,I$3)</f>
        <v>0</v>
      </c>
      <c r="J8" s="274">
        <f>SUMIFS('Peoplesoft-FY13'!$K:$K,'Peoplesoft-FY13'!$S:$S,$B8,'Peoplesoft-FY13'!$Q:$Q,J$3)</f>
        <v>0</v>
      </c>
      <c r="K8" s="274">
        <f>SUMIFS('Peoplesoft-FY13'!$K:$K,'Peoplesoft-FY13'!$S:$S,$B8,'Peoplesoft-FY13'!$Q:$Q,K$3)</f>
        <v>0</v>
      </c>
      <c r="L8" s="274">
        <f>SUMIFS('Peoplesoft-FY13'!$K:$K,'Peoplesoft-FY13'!$S:$S,$B8,'Peoplesoft-FY13'!$Q:$Q,L$3)</f>
        <v>0</v>
      </c>
      <c r="M8" s="274">
        <f>SUMIFS('Peoplesoft-FY13'!$K:$K,'Peoplesoft-FY13'!$S:$S,$B8,'Peoplesoft-FY13'!$Q:$Q,M$3)</f>
        <v>0</v>
      </c>
      <c r="N8" s="274">
        <f>SUMIFS('Peoplesoft-FY13'!$K:$K,'Peoplesoft-FY13'!$S:$S,$B8,'Peoplesoft-FY13'!$Q:$Q,N$3)</f>
        <v>0</v>
      </c>
      <c r="O8" s="138">
        <f t="shared" si="1"/>
        <v>0</v>
      </c>
      <c r="P8" s="119">
        <f t="shared" si="2"/>
        <v>54.425000000000004</v>
      </c>
      <c r="Q8" s="120">
        <f t="shared" si="3"/>
        <v>0</v>
      </c>
      <c r="R8" s="121">
        <f t="shared" si="4"/>
        <v>1</v>
      </c>
      <c r="S8" s="99">
        <f t="shared" si="0"/>
        <v>1</v>
      </c>
    </row>
    <row r="9" spans="1:19" ht="13.2" x14ac:dyDescent="0.25">
      <c r="A9" s="260">
        <v>6</v>
      </c>
      <c r="B9" s="272">
        <v>5210</v>
      </c>
      <c r="C9" s="290" t="s">
        <v>19</v>
      </c>
      <c r="D9" s="274">
        <f>SUMIFS('Peoplesoft-FY13'!$K:$K,'Peoplesoft-FY13'!$S:$S,$B9,'Peoplesoft-FY13'!$Q:$Q,D$3)</f>
        <v>67.799999999999983</v>
      </c>
      <c r="E9" s="274">
        <f>SUMIFS('Peoplesoft-FY13'!$K:$K,'Peoplesoft-FY13'!$S:$S,$B9,'Peoplesoft-FY13'!$Q:$Q,E$3)</f>
        <v>0</v>
      </c>
      <c r="F9" s="274">
        <f>SUMIFS('Peoplesoft-FY13'!$K:$K,'Peoplesoft-FY13'!$S:$S,$B9,'Peoplesoft-FY13'!$Q:$Q,F$3)</f>
        <v>0</v>
      </c>
      <c r="G9" s="274">
        <f>SUMIFS('Peoplesoft-FY13'!$K:$K,'Peoplesoft-FY13'!$S:$S,$B9,'Peoplesoft-FY13'!$Q:$Q,G$3)</f>
        <v>0</v>
      </c>
      <c r="H9" s="274">
        <f>SUMIFS('Peoplesoft-FY13'!$K:$K,'Peoplesoft-FY13'!$S:$S,$B9,'Peoplesoft-FY13'!$Q:$Q,H$3)</f>
        <v>0</v>
      </c>
      <c r="I9" s="274">
        <f>SUMIFS('Peoplesoft-FY13'!$K:$K,'Peoplesoft-FY13'!$S:$S,$B9,'Peoplesoft-FY13'!$Q:$Q,I$3)</f>
        <v>0</v>
      </c>
      <c r="J9" s="274">
        <f>SUMIFS('Peoplesoft-FY13'!$K:$K,'Peoplesoft-FY13'!$S:$S,$B9,'Peoplesoft-FY13'!$Q:$Q,J$3)</f>
        <v>0</v>
      </c>
      <c r="K9" s="274">
        <f>SUMIFS('Peoplesoft-FY13'!$K:$K,'Peoplesoft-FY13'!$S:$S,$B9,'Peoplesoft-FY13'!$Q:$Q,K$3)</f>
        <v>0</v>
      </c>
      <c r="L9" s="274">
        <f>SUMIFS('Peoplesoft-FY13'!$K:$K,'Peoplesoft-FY13'!$S:$S,$B9,'Peoplesoft-FY13'!$Q:$Q,L$3)</f>
        <v>0</v>
      </c>
      <c r="M9" s="274">
        <f>SUMIFS('Peoplesoft-FY13'!$K:$K,'Peoplesoft-FY13'!$S:$S,$B9,'Peoplesoft-FY13'!$Q:$Q,M$3)</f>
        <v>0</v>
      </c>
      <c r="N9" s="274">
        <f>SUMIFS('Peoplesoft-FY13'!$K:$K,'Peoplesoft-FY13'!$S:$S,$B9,'Peoplesoft-FY13'!$Q:$Q,N$3)</f>
        <v>0</v>
      </c>
      <c r="O9" s="138">
        <f t="shared" si="1"/>
        <v>0</v>
      </c>
      <c r="P9" s="119">
        <f t="shared" si="2"/>
        <v>67.799999999999983</v>
      </c>
      <c r="Q9" s="120">
        <f t="shared" si="3"/>
        <v>0</v>
      </c>
      <c r="R9" s="121">
        <f t="shared" si="4"/>
        <v>1</v>
      </c>
      <c r="S9" s="99">
        <f t="shared" si="0"/>
        <v>1</v>
      </c>
    </row>
    <row r="10" spans="1:19" ht="13.2" x14ac:dyDescent="0.25">
      <c r="A10" s="260">
        <v>7</v>
      </c>
      <c r="B10" s="272">
        <v>5220</v>
      </c>
      <c r="C10" s="290" t="s">
        <v>20</v>
      </c>
      <c r="D10" s="274">
        <f>SUMIFS('Peoplesoft-FY13'!$K:$K,'Peoplesoft-FY13'!$S:$S,$B10,'Peoplesoft-FY13'!$Q:$Q,D$3)</f>
        <v>33.25</v>
      </c>
      <c r="E10" s="274">
        <f>SUMIFS('Peoplesoft-FY13'!$K:$K,'Peoplesoft-FY13'!$S:$S,$B10,'Peoplesoft-FY13'!$Q:$Q,E$3)</f>
        <v>0</v>
      </c>
      <c r="F10" s="274">
        <f>SUMIFS('Peoplesoft-FY13'!$K:$K,'Peoplesoft-FY13'!$S:$S,$B10,'Peoplesoft-FY13'!$Q:$Q,F$3)</f>
        <v>0</v>
      </c>
      <c r="G10" s="274">
        <f>SUMIFS('Peoplesoft-FY13'!$K:$K,'Peoplesoft-FY13'!$S:$S,$B10,'Peoplesoft-FY13'!$Q:$Q,G$3)</f>
        <v>0</v>
      </c>
      <c r="H10" s="274">
        <f>SUMIFS('Peoplesoft-FY13'!$K:$K,'Peoplesoft-FY13'!$S:$S,$B10,'Peoplesoft-FY13'!$Q:$Q,H$3)</f>
        <v>0</v>
      </c>
      <c r="I10" s="274">
        <f>SUMIFS('Peoplesoft-FY13'!$K:$K,'Peoplesoft-FY13'!$S:$S,$B10,'Peoplesoft-FY13'!$Q:$Q,I$3)</f>
        <v>0</v>
      </c>
      <c r="J10" s="274">
        <f>SUMIFS('Peoplesoft-FY13'!$K:$K,'Peoplesoft-FY13'!$S:$S,$B10,'Peoplesoft-FY13'!$Q:$Q,J$3)</f>
        <v>0</v>
      </c>
      <c r="K10" s="274">
        <f>SUMIFS('Peoplesoft-FY13'!$K:$K,'Peoplesoft-FY13'!$S:$S,$B10,'Peoplesoft-FY13'!$Q:$Q,K$3)</f>
        <v>0</v>
      </c>
      <c r="L10" s="274">
        <f>SUMIFS('Peoplesoft-FY13'!$K:$K,'Peoplesoft-FY13'!$S:$S,$B10,'Peoplesoft-FY13'!$Q:$Q,L$3)</f>
        <v>0</v>
      </c>
      <c r="M10" s="274">
        <f>SUMIFS('Peoplesoft-FY13'!$K:$K,'Peoplesoft-FY13'!$S:$S,$B10,'Peoplesoft-FY13'!$Q:$Q,M$3)</f>
        <v>0</v>
      </c>
      <c r="N10" s="274">
        <f>SUMIFS('Peoplesoft-FY13'!$K:$K,'Peoplesoft-FY13'!$S:$S,$B10,'Peoplesoft-FY13'!$Q:$Q,N$3)</f>
        <v>0</v>
      </c>
      <c r="O10" s="138">
        <f t="shared" si="1"/>
        <v>0</v>
      </c>
      <c r="P10" s="119">
        <f t="shared" si="2"/>
        <v>33.25</v>
      </c>
      <c r="Q10" s="120">
        <f t="shared" si="3"/>
        <v>0</v>
      </c>
      <c r="R10" s="121">
        <f t="shared" si="4"/>
        <v>1</v>
      </c>
      <c r="S10" s="99">
        <f t="shared" si="0"/>
        <v>1</v>
      </c>
    </row>
    <row r="11" spans="1:19" ht="13.2" x14ac:dyDescent="0.25">
      <c r="A11" s="260">
        <v>8</v>
      </c>
      <c r="B11" s="272">
        <v>6320</v>
      </c>
      <c r="C11" s="290" t="s">
        <v>21</v>
      </c>
      <c r="D11" s="274">
        <f>SUMIFS('Peoplesoft-FY13'!$K:$K,'Peoplesoft-FY13'!$S:$S,$B11,'Peoplesoft-FY13'!$Q:$Q,D$3)</f>
        <v>46.835000000000001</v>
      </c>
      <c r="E11" s="274">
        <f>SUMIFS('Peoplesoft-FY13'!$K:$K,'Peoplesoft-FY13'!$S:$S,$B11,'Peoplesoft-FY13'!$Q:$Q,E$3)</f>
        <v>0</v>
      </c>
      <c r="F11" s="274">
        <f>SUMIFS('Peoplesoft-FY13'!$K:$K,'Peoplesoft-FY13'!$S:$S,$B11,'Peoplesoft-FY13'!$Q:$Q,F$3)</f>
        <v>0</v>
      </c>
      <c r="G11" s="274">
        <f>SUMIFS('Peoplesoft-FY13'!$K:$K,'Peoplesoft-FY13'!$S:$S,$B11,'Peoplesoft-FY13'!$Q:$Q,G$3)</f>
        <v>0</v>
      </c>
      <c r="H11" s="274">
        <f>SUMIFS('Peoplesoft-FY13'!$K:$K,'Peoplesoft-FY13'!$S:$S,$B11,'Peoplesoft-FY13'!$Q:$Q,H$3)</f>
        <v>0</v>
      </c>
      <c r="I11" s="274">
        <f>SUMIFS('Peoplesoft-FY13'!$K:$K,'Peoplesoft-FY13'!$S:$S,$B11,'Peoplesoft-FY13'!$Q:$Q,I$3)</f>
        <v>0</v>
      </c>
      <c r="J11" s="274">
        <f>SUMIFS('Peoplesoft-FY13'!$K:$K,'Peoplesoft-FY13'!$S:$S,$B11,'Peoplesoft-FY13'!$Q:$Q,J$3)</f>
        <v>0</v>
      </c>
      <c r="K11" s="274">
        <f>SUMIFS('Peoplesoft-FY13'!$K:$K,'Peoplesoft-FY13'!$S:$S,$B11,'Peoplesoft-FY13'!$Q:$Q,K$3)</f>
        <v>0</v>
      </c>
      <c r="L11" s="274">
        <f>SUMIFS('Peoplesoft-FY13'!$K:$K,'Peoplesoft-FY13'!$S:$S,$B11,'Peoplesoft-FY13'!$Q:$Q,L$3)</f>
        <v>0</v>
      </c>
      <c r="M11" s="274">
        <f>SUMIFS('Peoplesoft-FY13'!$K:$K,'Peoplesoft-FY13'!$S:$S,$B11,'Peoplesoft-FY13'!$Q:$Q,M$3)</f>
        <v>0</v>
      </c>
      <c r="N11" s="274">
        <f>SUMIFS('Peoplesoft-FY13'!$K:$K,'Peoplesoft-FY13'!$S:$S,$B11,'Peoplesoft-FY13'!$Q:$Q,N$3)</f>
        <v>0</v>
      </c>
      <c r="O11" s="138">
        <f t="shared" si="1"/>
        <v>0</v>
      </c>
      <c r="P11" s="119">
        <f t="shared" si="2"/>
        <v>46.835000000000001</v>
      </c>
      <c r="Q11" s="120">
        <f t="shared" si="3"/>
        <v>0</v>
      </c>
      <c r="R11" s="121">
        <f t="shared" si="4"/>
        <v>1</v>
      </c>
      <c r="S11" s="99">
        <f t="shared" si="0"/>
        <v>1</v>
      </c>
    </row>
    <row r="12" spans="1:19" ht="13.2" x14ac:dyDescent="0.25">
      <c r="A12" s="260">
        <v>9</v>
      </c>
      <c r="B12" s="272">
        <v>5230</v>
      </c>
      <c r="C12" s="290" t="s">
        <v>22</v>
      </c>
      <c r="D12" s="274">
        <f>SUMIFS('Peoplesoft-FY13'!$K:$K,'Peoplesoft-FY13'!$S:$S,$B12,'Peoplesoft-FY13'!$Q:$Q,D$3)</f>
        <v>66.09</v>
      </c>
      <c r="E12" s="274">
        <f>SUMIFS('Peoplesoft-FY13'!$K:$K,'Peoplesoft-FY13'!$S:$S,$B12,'Peoplesoft-FY13'!$Q:$Q,E$3)</f>
        <v>0</v>
      </c>
      <c r="F12" s="274">
        <f>SUMIFS('Peoplesoft-FY13'!$K:$K,'Peoplesoft-FY13'!$S:$S,$B12,'Peoplesoft-FY13'!$Q:$Q,F$3)</f>
        <v>0</v>
      </c>
      <c r="G12" s="274">
        <f>SUMIFS('Peoplesoft-FY13'!$K:$K,'Peoplesoft-FY13'!$S:$S,$B12,'Peoplesoft-FY13'!$Q:$Q,G$3)</f>
        <v>0</v>
      </c>
      <c r="H12" s="274">
        <f>SUMIFS('Peoplesoft-FY13'!$K:$K,'Peoplesoft-FY13'!$S:$S,$B12,'Peoplesoft-FY13'!$Q:$Q,H$3)</f>
        <v>0</v>
      </c>
      <c r="I12" s="274">
        <f>SUMIFS('Peoplesoft-FY13'!$K:$K,'Peoplesoft-FY13'!$S:$S,$B12,'Peoplesoft-FY13'!$Q:$Q,I$3)</f>
        <v>0</v>
      </c>
      <c r="J12" s="274">
        <f>SUMIFS('Peoplesoft-FY13'!$K:$K,'Peoplesoft-FY13'!$S:$S,$B12,'Peoplesoft-FY13'!$Q:$Q,J$3)</f>
        <v>0</v>
      </c>
      <c r="K12" s="274">
        <f>SUMIFS('Peoplesoft-FY13'!$K:$K,'Peoplesoft-FY13'!$S:$S,$B12,'Peoplesoft-FY13'!$Q:$Q,K$3)</f>
        <v>0</v>
      </c>
      <c r="L12" s="274">
        <f>SUMIFS('Peoplesoft-FY13'!$K:$K,'Peoplesoft-FY13'!$S:$S,$B12,'Peoplesoft-FY13'!$Q:$Q,L$3)</f>
        <v>0</v>
      </c>
      <c r="M12" s="274">
        <f>SUMIFS('Peoplesoft-FY13'!$K:$K,'Peoplesoft-FY13'!$S:$S,$B12,'Peoplesoft-FY13'!$Q:$Q,M$3)</f>
        <v>0</v>
      </c>
      <c r="N12" s="274">
        <f>SUMIFS('Peoplesoft-FY13'!$K:$K,'Peoplesoft-FY13'!$S:$S,$B12,'Peoplesoft-FY13'!$Q:$Q,N$3)</f>
        <v>0</v>
      </c>
      <c r="O12" s="138">
        <f t="shared" si="1"/>
        <v>0</v>
      </c>
      <c r="P12" s="119">
        <f t="shared" si="2"/>
        <v>66.09</v>
      </c>
      <c r="Q12" s="120">
        <f t="shared" si="3"/>
        <v>0</v>
      </c>
      <c r="R12" s="121">
        <f t="shared" si="4"/>
        <v>1</v>
      </c>
      <c r="S12" s="99">
        <f t="shared" si="0"/>
        <v>1</v>
      </c>
    </row>
    <row r="13" spans="1:19" ht="13.2" x14ac:dyDescent="0.25">
      <c r="A13" s="260">
        <v>10</v>
      </c>
      <c r="B13" s="272">
        <v>5250</v>
      </c>
      <c r="C13" s="290" t="s">
        <v>23</v>
      </c>
      <c r="D13" s="274">
        <f>SUMIFS('Peoplesoft-FY13'!$K:$K,'Peoplesoft-FY13'!$S:$S,$B13,'Peoplesoft-FY13'!$Q:$Q,D$3)</f>
        <v>50.335000000000001</v>
      </c>
      <c r="E13" s="274">
        <f>SUMIFS('Peoplesoft-FY13'!$K:$K,'Peoplesoft-FY13'!$S:$S,$B13,'Peoplesoft-FY13'!$Q:$Q,E$3)</f>
        <v>0</v>
      </c>
      <c r="F13" s="274">
        <f>SUMIFS('Peoplesoft-FY13'!$K:$K,'Peoplesoft-FY13'!$S:$S,$B13,'Peoplesoft-FY13'!$Q:$Q,F$3)</f>
        <v>0</v>
      </c>
      <c r="G13" s="274">
        <f>SUMIFS('Peoplesoft-FY13'!$K:$K,'Peoplesoft-FY13'!$S:$S,$B13,'Peoplesoft-FY13'!$Q:$Q,G$3)</f>
        <v>0</v>
      </c>
      <c r="H13" s="274">
        <f>SUMIFS('Peoplesoft-FY13'!$K:$K,'Peoplesoft-FY13'!$S:$S,$B13,'Peoplesoft-FY13'!$Q:$Q,H$3)</f>
        <v>0</v>
      </c>
      <c r="I13" s="274">
        <f>SUMIFS('Peoplesoft-FY13'!$K:$K,'Peoplesoft-FY13'!$S:$S,$B13,'Peoplesoft-FY13'!$Q:$Q,I$3)</f>
        <v>0</v>
      </c>
      <c r="J13" s="274">
        <f>SUMIFS('Peoplesoft-FY13'!$K:$K,'Peoplesoft-FY13'!$S:$S,$B13,'Peoplesoft-FY13'!$Q:$Q,J$3)</f>
        <v>0</v>
      </c>
      <c r="K13" s="274">
        <f>SUMIFS('Peoplesoft-FY13'!$K:$K,'Peoplesoft-FY13'!$S:$S,$B13,'Peoplesoft-FY13'!$Q:$Q,K$3)</f>
        <v>0</v>
      </c>
      <c r="L13" s="274">
        <f>SUMIFS('Peoplesoft-FY13'!$K:$K,'Peoplesoft-FY13'!$S:$S,$B13,'Peoplesoft-FY13'!$Q:$Q,L$3)</f>
        <v>0</v>
      </c>
      <c r="M13" s="274">
        <f>SUMIFS('Peoplesoft-FY13'!$K:$K,'Peoplesoft-FY13'!$S:$S,$B13,'Peoplesoft-FY13'!$Q:$Q,M$3)</f>
        <v>0</v>
      </c>
      <c r="N13" s="274">
        <f>SUMIFS('Peoplesoft-FY13'!$K:$K,'Peoplesoft-FY13'!$S:$S,$B13,'Peoplesoft-FY13'!$Q:$Q,N$3)</f>
        <v>0</v>
      </c>
      <c r="O13" s="138">
        <f t="shared" si="1"/>
        <v>0</v>
      </c>
      <c r="P13" s="119">
        <f t="shared" si="2"/>
        <v>50.335000000000001</v>
      </c>
      <c r="Q13" s="120">
        <f t="shared" si="3"/>
        <v>0</v>
      </c>
      <c r="R13" s="121">
        <f t="shared" si="4"/>
        <v>1</v>
      </c>
      <c r="S13" s="99">
        <f t="shared" si="0"/>
        <v>1</v>
      </c>
    </row>
    <row r="14" spans="1:19" ht="13.2" x14ac:dyDescent="0.25">
      <c r="A14" s="260">
        <v>11</v>
      </c>
      <c r="B14" s="272">
        <v>5260</v>
      </c>
      <c r="C14" s="290" t="s">
        <v>24</v>
      </c>
      <c r="D14" s="274">
        <f>SUMIFS('Peoplesoft-FY13'!$K:$K,'Peoplesoft-FY13'!$S:$S,$B14,'Peoplesoft-FY13'!$Q:$Q,D$3)</f>
        <v>46.680000000000007</v>
      </c>
      <c r="E14" s="274">
        <f>SUMIFS('Peoplesoft-FY13'!$K:$K,'Peoplesoft-FY13'!$S:$S,$B14,'Peoplesoft-FY13'!$Q:$Q,E$3)</f>
        <v>0</v>
      </c>
      <c r="F14" s="274">
        <f>SUMIFS('Peoplesoft-FY13'!$K:$K,'Peoplesoft-FY13'!$S:$S,$B14,'Peoplesoft-FY13'!$Q:$Q,F$3)</f>
        <v>0</v>
      </c>
      <c r="G14" s="274">
        <f>SUMIFS('Peoplesoft-FY13'!$K:$K,'Peoplesoft-FY13'!$S:$S,$B14,'Peoplesoft-FY13'!$Q:$Q,G$3)</f>
        <v>0</v>
      </c>
      <c r="H14" s="274">
        <f>SUMIFS('Peoplesoft-FY13'!$K:$K,'Peoplesoft-FY13'!$S:$S,$B14,'Peoplesoft-FY13'!$Q:$Q,H$3)</f>
        <v>0</v>
      </c>
      <c r="I14" s="274">
        <f>SUMIFS('Peoplesoft-FY13'!$K:$K,'Peoplesoft-FY13'!$S:$S,$B14,'Peoplesoft-FY13'!$Q:$Q,I$3)</f>
        <v>0</v>
      </c>
      <c r="J14" s="274">
        <f>SUMIFS('Peoplesoft-FY13'!$K:$K,'Peoplesoft-FY13'!$S:$S,$B14,'Peoplesoft-FY13'!$Q:$Q,J$3)</f>
        <v>0</v>
      </c>
      <c r="K14" s="274">
        <f>SUMIFS('Peoplesoft-FY13'!$K:$K,'Peoplesoft-FY13'!$S:$S,$B14,'Peoplesoft-FY13'!$Q:$Q,K$3)</f>
        <v>0</v>
      </c>
      <c r="L14" s="274">
        <f>SUMIFS('Peoplesoft-FY13'!$K:$K,'Peoplesoft-FY13'!$S:$S,$B14,'Peoplesoft-FY13'!$Q:$Q,L$3)</f>
        <v>0</v>
      </c>
      <c r="M14" s="274">
        <f>SUMIFS('Peoplesoft-FY13'!$K:$K,'Peoplesoft-FY13'!$S:$S,$B14,'Peoplesoft-FY13'!$Q:$Q,M$3)</f>
        <v>0</v>
      </c>
      <c r="N14" s="274">
        <f>SUMIFS('Peoplesoft-FY13'!$K:$K,'Peoplesoft-FY13'!$S:$S,$B14,'Peoplesoft-FY13'!$Q:$Q,N$3)</f>
        <v>0</v>
      </c>
      <c r="O14" s="138">
        <f t="shared" si="1"/>
        <v>0</v>
      </c>
      <c r="P14" s="119">
        <f t="shared" si="2"/>
        <v>46.680000000000007</v>
      </c>
      <c r="Q14" s="120">
        <f t="shared" si="3"/>
        <v>0</v>
      </c>
      <c r="R14" s="121">
        <f t="shared" si="4"/>
        <v>1</v>
      </c>
      <c r="S14" s="99">
        <f t="shared" si="0"/>
        <v>1</v>
      </c>
    </row>
    <row r="15" spans="1:19" ht="13.2" x14ac:dyDescent="0.25">
      <c r="A15" s="260">
        <v>12</v>
      </c>
      <c r="B15" s="272">
        <v>5280</v>
      </c>
      <c r="C15" s="290" t="s">
        <v>25</v>
      </c>
      <c r="D15" s="274">
        <f>SUMIFS('Peoplesoft-FY13'!$K:$K,'Peoplesoft-FY13'!$S:$S,$B15,'Peoplesoft-FY13'!$Q:$Q,D$3)</f>
        <v>41.005000000000003</v>
      </c>
      <c r="E15" s="274">
        <f>SUMIFS('Peoplesoft-FY13'!$K:$K,'Peoplesoft-FY13'!$S:$S,$B15,'Peoplesoft-FY13'!$Q:$Q,E$3)</f>
        <v>0</v>
      </c>
      <c r="F15" s="274">
        <f>SUMIFS('Peoplesoft-FY13'!$K:$K,'Peoplesoft-FY13'!$S:$S,$B15,'Peoplesoft-FY13'!$Q:$Q,F$3)</f>
        <v>0</v>
      </c>
      <c r="G15" s="274">
        <f>SUMIFS('Peoplesoft-FY13'!$K:$K,'Peoplesoft-FY13'!$S:$S,$B15,'Peoplesoft-FY13'!$Q:$Q,G$3)</f>
        <v>0</v>
      </c>
      <c r="H15" s="274">
        <f>SUMIFS('Peoplesoft-FY13'!$K:$K,'Peoplesoft-FY13'!$S:$S,$B15,'Peoplesoft-FY13'!$Q:$Q,H$3)</f>
        <v>0</v>
      </c>
      <c r="I15" s="274">
        <f>SUMIFS('Peoplesoft-FY13'!$K:$K,'Peoplesoft-FY13'!$S:$S,$B15,'Peoplesoft-FY13'!$Q:$Q,I$3)</f>
        <v>0</v>
      </c>
      <c r="J15" s="274">
        <f>SUMIFS('Peoplesoft-FY13'!$K:$K,'Peoplesoft-FY13'!$S:$S,$B15,'Peoplesoft-FY13'!$Q:$Q,J$3)</f>
        <v>0</v>
      </c>
      <c r="K15" s="274">
        <f>SUMIFS('Peoplesoft-FY13'!$K:$K,'Peoplesoft-FY13'!$S:$S,$B15,'Peoplesoft-FY13'!$Q:$Q,K$3)</f>
        <v>0</v>
      </c>
      <c r="L15" s="274">
        <f>SUMIFS('Peoplesoft-FY13'!$K:$K,'Peoplesoft-FY13'!$S:$S,$B15,'Peoplesoft-FY13'!$Q:$Q,L$3)</f>
        <v>0</v>
      </c>
      <c r="M15" s="274">
        <f>SUMIFS('Peoplesoft-FY13'!$K:$K,'Peoplesoft-FY13'!$S:$S,$B15,'Peoplesoft-FY13'!$Q:$Q,M$3)</f>
        <v>0</v>
      </c>
      <c r="N15" s="274">
        <f>SUMIFS('Peoplesoft-FY13'!$K:$K,'Peoplesoft-FY13'!$S:$S,$B15,'Peoplesoft-FY13'!$Q:$Q,N$3)</f>
        <v>0</v>
      </c>
      <c r="O15" s="138">
        <f t="shared" si="1"/>
        <v>0</v>
      </c>
      <c r="P15" s="119">
        <f t="shared" si="2"/>
        <v>41.005000000000003</v>
      </c>
      <c r="Q15" s="120">
        <f t="shared" si="3"/>
        <v>0</v>
      </c>
      <c r="R15" s="121">
        <f t="shared" si="4"/>
        <v>1</v>
      </c>
      <c r="S15" s="99">
        <f t="shared" si="0"/>
        <v>1</v>
      </c>
    </row>
    <row r="16" spans="1:19" ht="13.2" x14ac:dyDescent="0.25">
      <c r="A16" s="260">
        <v>13</v>
      </c>
      <c r="B16" s="272">
        <v>5300</v>
      </c>
      <c r="C16" s="290" t="s">
        <v>26</v>
      </c>
      <c r="D16" s="274">
        <f>SUMIFS('Peoplesoft-FY13'!$K:$K,'Peoplesoft-FY13'!$S:$S,$B16,'Peoplesoft-FY13'!$Q:$Q,D$3)</f>
        <v>57.045000000000002</v>
      </c>
      <c r="E16" s="274">
        <f>SUMIFS('Peoplesoft-FY13'!$K:$K,'Peoplesoft-FY13'!$S:$S,$B16,'Peoplesoft-FY13'!$Q:$Q,E$3)</f>
        <v>0</v>
      </c>
      <c r="F16" s="274">
        <f>SUMIFS('Peoplesoft-FY13'!$K:$K,'Peoplesoft-FY13'!$S:$S,$B16,'Peoplesoft-FY13'!$Q:$Q,F$3)</f>
        <v>0</v>
      </c>
      <c r="G16" s="274">
        <f>SUMIFS('Peoplesoft-FY13'!$K:$K,'Peoplesoft-FY13'!$S:$S,$B16,'Peoplesoft-FY13'!$Q:$Q,G$3)</f>
        <v>0</v>
      </c>
      <c r="H16" s="274">
        <f>SUMIFS('Peoplesoft-FY13'!$K:$K,'Peoplesoft-FY13'!$S:$S,$B16,'Peoplesoft-FY13'!$Q:$Q,H$3)</f>
        <v>0</v>
      </c>
      <c r="I16" s="274">
        <f>SUMIFS('Peoplesoft-FY13'!$K:$K,'Peoplesoft-FY13'!$S:$S,$B16,'Peoplesoft-FY13'!$Q:$Q,I$3)</f>
        <v>0</v>
      </c>
      <c r="J16" s="274">
        <f>SUMIFS('Peoplesoft-FY13'!$K:$K,'Peoplesoft-FY13'!$S:$S,$B16,'Peoplesoft-FY13'!$Q:$Q,J$3)</f>
        <v>0</v>
      </c>
      <c r="K16" s="274">
        <f>SUMIFS('Peoplesoft-FY13'!$K:$K,'Peoplesoft-FY13'!$S:$S,$B16,'Peoplesoft-FY13'!$Q:$Q,K$3)</f>
        <v>0</v>
      </c>
      <c r="L16" s="274">
        <f>SUMIFS('Peoplesoft-FY13'!$K:$K,'Peoplesoft-FY13'!$S:$S,$B16,'Peoplesoft-FY13'!$Q:$Q,L$3)</f>
        <v>0</v>
      </c>
      <c r="M16" s="274">
        <f>SUMIFS('Peoplesoft-FY13'!$K:$K,'Peoplesoft-FY13'!$S:$S,$B16,'Peoplesoft-FY13'!$Q:$Q,M$3)</f>
        <v>0</v>
      </c>
      <c r="N16" s="274">
        <f>SUMIFS('Peoplesoft-FY13'!$K:$K,'Peoplesoft-FY13'!$S:$S,$B16,'Peoplesoft-FY13'!$Q:$Q,N$3)</f>
        <v>0</v>
      </c>
      <c r="O16" s="138">
        <f t="shared" si="1"/>
        <v>0</v>
      </c>
      <c r="P16" s="119">
        <f t="shared" si="2"/>
        <v>57.045000000000002</v>
      </c>
      <c r="Q16" s="120">
        <f t="shared" si="3"/>
        <v>0</v>
      </c>
      <c r="R16" s="121">
        <f t="shared" si="4"/>
        <v>1</v>
      </c>
      <c r="S16" s="99">
        <f t="shared" si="0"/>
        <v>1</v>
      </c>
    </row>
    <row r="17" spans="1:19" ht="13.2" x14ac:dyDescent="0.25">
      <c r="A17" s="260">
        <v>14</v>
      </c>
      <c r="B17" s="272">
        <v>5310</v>
      </c>
      <c r="C17" s="290" t="s">
        <v>27</v>
      </c>
      <c r="D17" s="274">
        <f>SUMIFS('Peoplesoft-FY13'!$K:$K,'Peoplesoft-FY13'!$S:$S,$B17,'Peoplesoft-FY13'!$Q:$Q,D$3)</f>
        <v>26.090000000000003</v>
      </c>
      <c r="E17" s="274">
        <f>SUMIFS('Peoplesoft-FY13'!$K:$K,'Peoplesoft-FY13'!$S:$S,$B17,'Peoplesoft-FY13'!$Q:$Q,E$3)</f>
        <v>0</v>
      </c>
      <c r="F17" s="274">
        <f>SUMIFS('Peoplesoft-FY13'!$K:$K,'Peoplesoft-FY13'!$S:$S,$B17,'Peoplesoft-FY13'!$Q:$Q,F$3)</f>
        <v>0</v>
      </c>
      <c r="G17" s="274">
        <f>SUMIFS('Peoplesoft-FY13'!$K:$K,'Peoplesoft-FY13'!$S:$S,$B17,'Peoplesoft-FY13'!$Q:$Q,G$3)</f>
        <v>0</v>
      </c>
      <c r="H17" s="274">
        <f>SUMIFS('Peoplesoft-FY13'!$K:$K,'Peoplesoft-FY13'!$S:$S,$B17,'Peoplesoft-FY13'!$Q:$Q,H$3)</f>
        <v>0</v>
      </c>
      <c r="I17" s="274">
        <f>SUMIFS('Peoplesoft-FY13'!$K:$K,'Peoplesoft-FY13'!$S:$S,$B17,'Peoplesoft-FY13'!$Q:$Q,I$3)</f>
        <v>0</v>
      </c>
      <c r="J17" s="274">
        <f>SUMIFS('Peoplesoft-FY13'!$K:$K,'Peoplesoft-FY13'!$S:$S,$B17,'Peoplesoft-FY13'!$Q:$Q,J$3)</f>
        <v>0</v>
      </c>
      <c r="K17" s="274">
        <f>SUMIFS('Peoplesoft-FY13'!$K:$K,'Peoplesoft-FY13'!$S:$S,$B17,'Peoplesoft-FY13'!$Q:$Q,K$3)</f>
        <v>0</v>
      </c>
      <c r="L17" s="274">
        <f>SUMIFS('Peoplesoft-FY13'!$K:$K,'Peoplesoft-FY13'!$S:$S,$B17,'Peoplesoft-FY13'!$Q:$Q,L$3)</f>
        <v>0</v>
      </c>
      <c r="M17" s="274">
        <f>SUMIFS('Peoplesoft-FY13'!$K:$K,'Peoplesoft-FY13'!$S:$S,$B17,'Peoplesoft-FY13'!$Q:$Q,M$3)</f>
        <v>0</v>
      </c>
      <c r="N17" s="274">
        <f>SUMIFS('Peoplesoft-FY13'!$K:$K,'Peoplesoft-FY13'!$S:$S,$B17,'Peoplesoft-FY13'!$Q:$Q,N$3)</f>
        <v>0</v>
      </c>
      <c r="O17" s="138">
        <f t="shared" si="1"/>
        <v>0</v>
      </c>
      <c r="P17" s="119">
        <f t="shared" si="2"/>
        <v>26.090000000000003</v>
      </c>
      <c r="Q17" s="120">
        <f t="shared" si="3"/>
        <v>0</v>
      </c>
      <c r="R17" s="121">
        <f t="shared" si="4"/>
        <v>1</v>
      </c>
      <c r="S17" s="99">
        <f t="shared" si="0"/>
        <v>1</v>
      </c>
    </row>
    <row r="18" spans="1:19" ht="13.2" x14ac:dyDescent="0.25">
      <c r="A18" s="260">
        <v>15</v>
      </c>
      <c r="B18" s="272">
        <v>5330</v>
      </c>
      <c r="C18" s="290" t="s">
        <v>28</v>
      </c>
      <c r="D18" s="274">
        <f>SUMIFS('Peoplesoft-FY13'!$K:$K,'Peoplesoft-FY13'!$S:$S,$B18,'Peoplesoft-FY13'!$Q:$Q,D$3)</f>
        <v>26.590000000000003</v>
      </c>
      <c r="E18" s="274">
        <f>SUMIFS('Peoplesoft-FY13'!$K:$K,'Peoplesoft-FY13'!$S:$S,$B18,'Peoplesoft-FY13'!$Q:$Q,E$3)</f>
        <v>0</v>
      </c>
      <c r="F18" s="274">
        <f>SUMIFS('Peoplesoft-FY13'!$K:$K,'Peoplesoft-FY13'!$S:$S,$B18,'Peoplesoft-FY13'!$Q:$Q,F$3)</f>
        <v>0</v>
      </c>
      <c r="G18" s="274">
        <f>SUMIFS('Peoplesoft-FY13'!$K:$K,'Peoplesoft-FY13'!$S:$S,$B18,'Peoplesoft-FY13'!$Q:$Q,G$3)</f>
        <v>0</v>
      </c>
      <c r="H18" s="274">
        <f>SUMIFS('Peoplesoft-FY13'!$K:$K,'Peoplesoft-FY13'!$S:$S,$B18,'Peoplesoft-FY13'!$Q:$Q,H$3)</f>
        <v>0</v>
      </c>
      <c r="I18" s="274">
        <f>SUMIFS('Peoplesoft-FY13'!$K:$K,'Peoplesoft-FY13'!$S:$S,$B18,'Peoplesoft-FY13'!$Q:$Q,I$3)</f>
        <v>0</v>
      </c>
      <c r="J18" s="274">
        <f>SUMIFS('Peoplesoft-FY13'!$K:$K,'Peoplesoft-FY13'!$S:$S,$B18,'Peoplesoft-FY13'!$Q:$Q,J$3)</f>
        <v>0</v>
      </c>
      <c r="K18" s="274">
        <f>SUMIFS('Peoplesoft-FY13'!$K:$K,'Peoplesoft-FY13'!$S:$S,$B18,'Peoplesoft-FY13'!$Q:$Q,K$3)</f>
        <v>0</v>
      </c>
      <c r="L18" s="274">
        <f>SUMIFS('Peoplesoft-FY13'!$K:$K,'Peoplesoft-FY13'!$S:$S,$B18,'Peoplesoft-FY13'!$Q:$Q,L$3)</f>
        <v>0</v>
      </c>
      <c r="M18" s="274">
        <f>SUMIFS('Peoplesoft-FY13'!$K:$K,'Peoplesoft-FY13'!$S:$S,$B18,'Peoplesoft-FY13'!$Q:$Q,M$3)</f>
        <v>0</v>
      </c>
      <c r="N18" s="274">
        <f>SUMIFS('Peoplesoft-FY13'!$K:$K,'Peoplesoft-FY13'!$S:$S,$B18,'Peoplesoft-FY13'!$Q:$Q,N$3)</f>
        <v>0</v>
      </c>
      <c r="O18" s="138">
        <f t="shared" si="1"/>
        <v>0</v>
      </c>
      <c r="P18" s="119">
        <f t="shared" si="2"/>
        <v>26.590000000000003</v>
      </c>
      <c r="Q18" s="120">
        <f t="shared" si="3"/>
        <v>0</v>
      </c>
      <c r="R18" s="121">
        <f t="shared" si="4"/>
        <v>1</v>
      </c>
      <c r="S18" s="99">
        <f t="shared" si="0"/>
        <v>1</v>
      </c>
    </row>
    <row r="19" spans="1:19" ht="13.2" x14ac:dyDescent="0.25">
      <c r="A19" s="260">
        <v>16</v>
      </c>
      <c r="B19" s="272">
        <v>5350</v>
      </c>
      <c r="C19" s="290" t="s">
        <v>29</v>
      </c>
      <c r="D19" s="274">
        <f>SUMIFS('Peoplesoft-FY13'!$K:$K,'Peoplesoft-FY13'!$S:$S,$B19,'Peoplesoft-FY13'!$Q:$Q,D$3)</f>
        <v>53.465000000000003</v>
      </c>
      <c r="E19" s="274">
        <f>SUMIFS('Peoplesoft-FY13'!$K:$K,'Peoplesoft-FY13'!$S:$S,$B19,'Peoplesoft-FY13'!$Q:$Q,E$3)</f>
        <v>0</v>
      </c>
      <c r="F19" s="274">
        <f>SUMIFS('Peoplesoft-FY13'!$K:$K,'Peoplesoft-FY13'!$S:$S,$B19,'Peoplesoft-FY13'!$Q:$Q,F$3)</f>
        <v>0</v>
      </c>
      <c r="G19" s="274">
        <f>SUMIFS('Peoplesoft-FY13'!$K:$K,'Peoplesoft-FY13'!$S:$S,$B19,'Peoplesoft-FY13'!$Q:$Q,G$3)</f>
        <v>0</v>
      </c>
      <c r="H19" s="274">
        <f>SUMIFS('Peoplesoft-FY13'!$K:$K,'Peoplesoft-FY13'!$S:$S,$B19,'Peoplesoft-FY13'!$Q:$Q,H$3)</f>
        <v>0</v>
      </c>
      <c r="I19" s="274">
        <f>SUMIFS('Peoplesoft-FY13'!$K:$K,'Peoplesoft-FY13'!$S:$S,$B19,'Peoplesoft-FY13'!$Q:$Q,I$3)</f>
        <v>0</v>
      </c>
      <c r="J19" s="274">
        <f>SUMIFS('Peoplesoft-FY13'!$K:$K,'Peoplesoft-FY13'!$S:$S,$B19,'Peoplesoft-FY13'!$Q:$Q,J$3)</f>
        <v>0</v>
      </c>
      <c r="K19" s="274">
        <f>SUMIFS('Peoplesoft-FY13'!$K:$K,'Peoplesoft-FY13'!$S:$S,$B19,'Peoplesoft-FY13'!$Q:$Q,K$3)</f>
        <v>0</v>
      </c>
      <c r="L19" s="274">
        <f>SUMIFS('Peoplesoft-FY13'!$K:$K,'Peoplesoft-FY13'!$S:$S,$B19,'Peoplesoft-FY13'!$Q:$Q,L$3)</f>
        <v>0</v>
      </c>
      <c r="M19" s="274">
        <f>SUMIFS('Peoplesoft-FY13'!$K:$K,'Peoplesoft-FY13'!$S:$S,$B19,'Peoplesoft-FY13'!$Q:$Q,M$3)</f>
        <v>0</v>
      </c>
      <c r="N19" s="274">
        <f>SUMIFS('Peoplesoft-FY13'!$K:$K,'Peoplesoft-FY13'!$S:$S,$B19,'Peoplesoft-FY13'!$Q:$Q,N$3)</f>
        <v>0</v>
      </c>
      <c r="O19" s="138">
        <f t="shared" si="1"/>
        <v>0</v>
      </c>
      <c r="P19" s="119">
        <f t="shared" si="2"/>
        <v>53.465000000000003</v>
      </c>
      <c r="Q19" s="120">
        <f t="shared" si="3"/>
        <v>0</v>
      </c>
      <c r="R19" s="121">
        <f t="shared" si="4"/>
        <v>1</v>
      </c>
      <c r="S19" s="99">
        <f t="shared" si="0"/>
        <v>1</v>
      </c>
    </row>
    <row r="20" spans="1:19" ht="13.2" x14ac:dyDescent="0.25">
      <c r="A20" s="260">
        <v>17</v>
      </c>
      <c r="B20" s="272">
        <v>5360</v>
      </c>
      <c r="C20" s="290" t="s">
        <v>30</v>
      </c>
      <c r="D20" s="274">
        <f>SUMIFS('Peoplesoft-FY13'!$K:$K,'Peoplesoft-FY13'!$S:$S,$B20,'Peoplesoft-FY13'!$Q:$Q,D$3)</f>
        <v>30.335000000000001</v>
      </c>
      <c r="E20" s="274">
        <f>SUMIFS('Peoplesoft-FY13'!$K:$K,'Peoplesoft-FY13'!$S:$S,$B20,'Peoplesoft-FY13'!$Q:$Q,E$3)</f>
        <v>0</v>
      </c>
      <c r="F20" s="274">
        <f>SUMIFS('Peoplesoft-FY13'!$K:$K,'Peoplesoft-FY13'!$S:$S,$B20,'Peoplesoft-FY13'!$Q:$Q,F$3)</f>
        <v>0</v>
      </c>
      <c r="G20" s="274">
        <f>SUMIFS('Peoplesoft-FY13'!$K:$K,'Peoplesoft-FY13'!$S:$S,$B20,'Peoplesoft-FY13'!$Q:$Q,G$3)</f>
        <v>0</v>
      </c>
      <c r="H20" s="274">
        <f>SUMIFS('Peoplesoft-FY13'!$K:$K,'Peoplesoft-FY13'!$S:$S,$B20,'Peoplesoft-FY13'!$Q:$Q,H$3)</f>
        <v>0</v>
      </c>
      <c r="I20" s="274">
        <f>SUMIFS('Peoplesoft-FY13'!$K:$K,'Peoplesoft-FY13'!$S:$S,$B20,'Peoplesoft-FY13'!$Q:$Q,I$3)</f>
        <v>0</v>
      </c>
      <c r="J20" s="274">
        <f>SUMIFS('Peoplesoft-FY13'!$K:$K,'Peoplesoft-FY13'!$S:$S,$B20,'Peoplesoft-FY13'!$Q:$Q,J$3)</f>
        <v>0</v>
      </c>
      <c r="K20" s="274">
        <f>SUMIFS('Peoplesoft-FY13'!$K:$K,'Peoplesoft-FY13'!$S:$S,$B20,'Peoplesoft-FY13'!$Q:$Q,K$3)</f>
        <v>0</v>
      </c>
      <c r="L20" s="274">
        <f>SUMIFS('Peoplesoft-FY13'!$K:$K,'Peoplesoft-FY13'!$S:$S,$B20,'Peoplesoft-FY13'!$Q:$Q,L$3)</f>
        <v>0</v>
      </c>
      <c r="M20" s="274">
        <f>SUMIFS('Peoplesoft-FY13'!$K:$K,'Peoplesoft-FY13'!$S:$S,$B20,'Peoplesoft-FY13'!$Q:$Q,M$3)</f>
        <v>0</v>
      </c>
      <c r="N20" s="274">
        <f>SUMIFS('Peoplesoft-FY13'!$K:$K,'Peoplesoft-FY13'!$S:$S,$B20,'Peoplesoft-FY13'!$Q:$Q,N$3)</f>
        <v>0</v>
      </c>
      <c r="O20" s="138">
        <f t="shared" si="1"/>
        <v>0</v>
      </c>
      <c r="P20" s="119">
        <f t="shared" si="2"/>
        <v>30.335000000000001</v>
      </c>
      <c r="Q20" s="120">
        <f t="shared" si="3"/>
        <v>0</v>
      </c>
      <c r="R20" s="121">
        <f t="shared" si="4"/>
        <v>1</v>
      </c>
      <c r="S20" s="99">
        <f t="shared" si="0"/>
        <v>1</v>
      </c>
    </row>
    <row r="21" spans="1:19" ht="13.2" x14ac:dyDescent="0.25">
      <c r="A21" s="260">
        <v>18</v>
      </c>
      <c r="B21" s="272">
        <v>6360</v>
      </c>
      <c r="C21" s="290" t="s">
        <v>140</v>
      </c>
      <c r="D21" s="274">
        <f>SUMIFS('Peoplesoft-FY13'!$K:$K,'Peoplesoft-FY13'!$S:$S,$B21,'Peoplesoft-FY13'!$Q:$Q,D$3)</f>
        <v>30.005000000000003</v>
      </c>
      <c r="E21" s="274">
        <f>SUMIFS('Peoplesoft-FY13'!$K:$K,'Peoplesoft-FY13'!$S:$S,$B21,'Peoplesoft-FY13'!$Q:$Q,E$3)</f>
        <v>0</v>
      </c>
      <c r="F21" s="274">
        <f>SUMIFS('Peoplesoft-FY13'!$K:$K,'Peoplesoft-FY13'!$S:$S,$B21,'Peoplesoft-FY13'!$Q:$Q,F$3)</f>
        <v>0</v>
      </c>
      <c r="G21" s="274">
        <f>SUMIFS('Peoplesoft-FY13'!$K:$K,'Peoplesoft-FY13'!$S:$S,$B21,'Peoplesoft-FY13'!$Q:$Q,G$3)</f>
        <v>0</v>
      </c>
      <c r="H21" s="274">
        <f>SUMIFS('Peoplesoft-FY13'!$K:$K,'Peoplesoft-FY13'!$S:$S,$B21,'Peoplesoft-FY13'!$Q:$Q,H$3)</f>
        <v>0</v>
      </c>
      <c r="I21" s="274">
        <f>SUMIFS('Peoplesoft-FY13'!$K:$K,'Peoplesoft-FY13'!$S:$S,$B21,'Peoplesoft-FY13'!$Q:$Q,I$3)</f>
        <v>0</v>
      </c>
      <c r="J21" s="274">
        <f>SUMIFS('Peoplesoft-FY13'!$K:$K,'Peoplesoft-FY13'!$S:$S,$B21,'Peoplesoft-FY13'!$Q:$Q,J$3)</f>
        <v>0</v>
      </c>
      <c r="K21" s="274">
        <f>SUMIFS('Peoplesoft-FY13'!$K:$K,'Peoplesoft-FY13'!$S:$S,$B21,'Peoplesoft-FY13'!$Q:$Q,K$3)</f>
        <v>0</v>
      </c>
      <c r="L21" s="274">
        <f>SUMIFS('Peoplesoft-FY13'!$K:$K,'Peoplesoft-FY13'!$S:$S,$B21,'Peoplesoft-FY13'!$Q:$Q,L$3)</f>
        <v>0</v>
      </c>
      <c r="M21" s="274">
        <f>SUMIFS('Peoplesoft-FY13'!$K:$K,'Peoplesoft-FY13'!$S:$S,$B21,'Peoplesoft-FY13'!$Q:$Q,M$3)</f>
        <v>0</v>
      </c>
      <c r="N21" s="274">
        <f>SUMIFS('Peoplesoft-FY13'!$K:$K,'Peoplesoft-FY13'!$S:$S,$B21,'Peoplesoft-FY13'!$Q:$Q,N$3)</f>
        <v>0</v>
      </c>
      <c r="O21" s="138">
        <f t="shared" si="1"/>
        <v>0</v>
      </c>
      <c r="P21" s="119">
        <f t="shared" si="2"/>
        <v>30.005000000000003</v>
      </c>
      <c r="Q21" s="120">
        <f t="shared" si="3"/>
        <v>0</v>
      </c>
      <c r="R21" s="121">
        <f t="shared" si="4"/>
        <v>1</v>
      </c>
      <c r="S21" s="99">
        <f t="shared" si="0"/>
        <v>1</v>
      </c>
    </row>
    <row r="22" spans="1:19" ht="13.2" x14ac:dyDescent="0.25">
      <c r="A22" s="260">
        <v>19</v>
      </c>
      <c r="B22" s="272">
        <v>5390</v>
      </c>
      <c r="C22" s="290" t="s">
        <v>32</v>
      </c>
      <c r="D22" s="274">
        <f>SUMIFS('Peoplesoft-FY13'!$K:$K,'Peoplesoft-FY13'!$S:$S,$B22,'Peoplesoft-FY13'!$Q:$Q,D$3)</f>
        <v>26.835000000000001</v>
      </c>
      <c r="E22" s="274">
        <f>SUMIFS('Peoplesoft-FY13'!$K:$K,'Peoplesoft-FY13'!$S:$S,$B22,'Peoplesoft-FY13'!$Q:$Q,E$3)</f>
        <v>0</v>
      </c>
      <c r="F22" s="274">
        <f>SUMIFS('Peoplesoft-FY13'!$K:$K,'Peoplesoft-FY13'!$S:$S,$B22,'Peoplesoft-FY13'!$Q:$Q,F$3)</f>
        <v>0</v>
      </c>
      <c r="G22" s="274">
        <f>SUMIFS('Peoplesoft-FY13'!$K:$K,'Peoplesoft-FY13'!$S:$S,$B22,'Peoplesoft-FY13'!$Q:$Q,G$3)</f>
        <v>0</v>
      </c>
      <c r="H22" s="274">
        <f>SUMIFS('Peoplesoft-FY13'!$K:$K,'Peoplesoft-FY13'!$S:$S,$B22,'Peoplesoft-FY13'!$Q:$Q,H$3)</f>
        <v>0</v>
      </c>
      <c r="I22" s="274">
        <f>SUMIFS('Peoplesoft-FY13'!$K:$K,'Peoplesoft-FY13'!$S:$S,$B22,'Peoplesoft-FY13'!$Q:$Q,I$3)</f>
        <v>0</v>
      </c>
      <c r="J22" s="274">
        <f>SUMIFS('Peoplesoft-FY13'!$K:$K,'Peoplesoft-FY13'!$S:$S,$B22,'Peoplesoft-FY13'!$Q:$Q,J$3)</f>
        <v>0</v>
      </c>
      <c r="K22" s="274">
        <f>SUMIFS('Peoplesoft-FY13'!$K:$K,'Peoplesoft-FY13'!$S:$S,$B22,'Peoplesoft-FY13'!$Q:$Q,K$3)</f>
        <v>0</v>
      </c>
      <c r="L22" s="274">
        <f>SUMIFS('Peoplesoft-FY13'!$K:$K,'Peoplesoft-FY13'!$S:$S,$B22,'Peoplesoft-FY13'!$Q:$Q,L$3)</f>
        <v>0</v>
      </c>
      <c r="M22" s="274">
        <f>SUMIFS('Peoplesoft-FY13'!$K:$K,'Peoplesoft-FY13'!$S:$S,$B22,'Peoplesoft-FY13'!$Q:$Q,M$3)</f>
        <v>0</v>
      </c>
      <c r="N22" s="274">
        <f>SUMIFS('Peoplesoft-FY13'!$K:$K,'Peoplesoft-FY13'!$S:$S,$B22,'Peoplesoft-FY13'!$Q:$Q,N$3)</f>
        <v>0</v>
      </c>
      <c r="O22" s="138">
        <f t="shared" si="1"/>
        <v>0</v>
      </c>
      <c r="P22" s="119">
        <f t="shared" si="2"/>
        <v>26.835000000000001</v>
      </c>
      <c r="Q22" s="120">
        <f t="shared" si="3"/>
        <v>0</v>
      </c>
      <c r="R22" s="121">
        <f t="shared" si="4"/>
        <v>1</v>
      </c>
      <c r="S22" s="99">
        <f t="shared" si="0"/>
        <v>1</v>
      </c>
    </row>
    <row r="23" spans="1:19" ht="13.2" x14ac:dyDescent="0.25">
      <c r="A23" s="260">
        <v>20</v>
      </c>
      <c r="B23" s="272">
        <v>5400</v>
      </c>
      <c r="C23" s="290" t="s">
        <v>33</v>
      </c>
      <c r="D23" s="274">
        <f>SUMIFS('Peoplesoft-FY13'!$K:$K,'Peoplesoft-FY13'!$S:$S,$B23,'Peoplesoft-FY13'!$Q:$Q,D$3)</f>
        <v>38.360000000000007</v>
      </c>
      <c r="E23" s="274">
        <f>SUMIFS('Peoplesoft-FY13'!$K:$K,'Peoplesoft-FY13'!$S:$S,$B23,'Peoplesoft-FY13'!$Q:$Q,E$3)</f>
        <v>0</v>
      </c>
      <c r="F23" s="274">
        <f>SUMIFS('Peoplesoft-FY13'!$K:$K,'Peoplesoft-FY13'!$S:$S,$B23,'Peoplesoft-FY13'!$Q:$Q,F$3)</f>
        <v>0</v>
      </c>
      <c r="G23" s="274">
        <f>SUMIFS('Peoplesoft-FY13'!$K:$K,'Peoplesoft-FY13'!$S:$S,$B23,'Peoplesoft-FY13'!$Q:$Q,G$3)</f>
        <v>0</v>
      </c>
      <c r="H23" s="274">
        <f>SUMIFS('Peoplesoft-FY13'!$K:$K,'Peoplesoft-FY13'!$S:$S,$B23,'Peoplesoft-FY13'!$Q:$Q,H$3)</f>
        <v>0</v>
      </c>
      <c r="I23" s="274">
        <f>SUMIFS('Peoplesoft-FY13'!$K:$K,'Peoplesoft-FY13'!$S:$S,$B23,'Peoplesoft-FY13'!$Q:$Q,I$3)</f>
        <v>0</v>
      </c>
      <c r="J23" s="274">
        <f>SUMIFS('Peoplesoft-FY13'!$K:$K,'Peoplesoft-FY13'!$S:$S,$B23,'Peoplesoft-FY13'!$Q:$Q,J$3)</f>
        <v>0</v>
      </c>
      <c r="K23" s="274">
        <f>SUMIFS('Peoplesoft-FY13'!$K:$K,'Peoplesoft-FY13'!$S:$S,$B23,'Peoplesoft-FY13'!$Q:$Q,K$3)</f>
        <v>0</v>
      </c>
      <c r="L23" s="274">
        <f>SUMIFS('Peoplesoft-FY13'!$K:$K,'Peoplesoft-FY13'!$S:$S,$B23,'Peoplesoft-FY13'!$Q:$Q,L$3)</f>
        <v>0</v>
      </c>
      <c r="M23" s="274">
        <f>SUMIFS('Peoplesoft-FY13'!$K:$K,'Peoplesoft-FY13'!$S:$S,$B23,'Peoplesoft-FY13'!$Q:$Q,M$3)</f>
        <v>0</v>
      </c>
      <c r="N23" s="274">
        <f>SUMIFS('Peoplesoft-FY13'!$K:$K,'Peoplesoft-FY13'!$S:$S,$B23,'Peoplesoft-FY13'!$Q:$Q,N$3)</f>
        <v>0</v>
      </c>
      <c r="O23" s="138">
        <f t="shared" si="1"/>
        <v>0</v>
      </c>
      <c r="P23" s="119">
        <f t="shared" si="2"/>
        <v>38.360000000000007</v>
      </c>
      <c r="Q23" s="120">
        <f t="shared" si="3"/>
        <v>0</v>
      </c>
      <c r="R23" s="121">
        <f t="shared" si="4"/>
        <v>1</v>
      </c>
      <c r="S23" s="99">
        <f t="shared" si="0"/>
        <v>1</v>
      </c>
    </row>
    <row r="24" spans="1:19" ht="13.2" x14ac:dyDescent="0.25">
      <c r="A24" s="260">
        <v>21</v>
      </c>
      <c r="B24" s="272">
        <v>5430</v>
      </c>
      <c r="C24" s="290" t="s">
        <v>35</v>
      </c>
      <c r="D24" s="274">
        <f>SUMIFS('Peoplesoft-FY13'!$K:$K,'Peoplesoft-FY13'!$S:$S,$B24,'Peoplesoft-FY13'!$Q:$Q,D$3)</f>
        <v>29.590000000000003</v>
      </c>
      <c r="E24" s="274">
        <f>SUMIFS('Peoplesoft-FY13'!$K:$K,'Peoplesoft-FY13'!$S:$S,$B24,'Peoplesoft-FY13'!$Q:$Q,E$3)</f>
        <v>0</v>
      </c>
      <c r="F24" s="274">
        <f>SUMIFS('Peoplesoft-FY13'!$K:$K,'Peoplesoft-FY13'!$S:$S,$B24,'Peoplesoft-FY13'!$Q:$Q,F$3)</f>
        <v>0</v>
      </c>
      <c r="G24" s="274">
        <f>SUMIFS('Peoplesoft-FY13'!$K:$K,'Peoplesoft-FY13'!$S:$S,$B24,'Peoplesoft-FY13'!$Q:$Q,G$3)</f>
        <v>0</v>
      </c>
      <c r="H24" s="274">
        <f>SUMIFS('Peoplesoft-FY13'!$K:$K,'Peoplesoft-FY13'!$S:$S,$B24,'Peoplesoft-FY13'!$Q:$Q,H$3)</f>
        <v>0</v>
      </c>
      <c r="I24" s="274">
        <f>SUMIFS('Peoplesoft-FY13'!$K:$K,'Peoplesoft-FY13'!$S:$S,$B24,'Peoplesoft-FY13'!$Q:$Q,I$3)</f>
        <v>0</v>
      </c>
      <c r="J24" s="274">
        <f>SUMIFS('Peoplesoft-FY13'!$K:$K,'Peoplesoft-FY13'!$S:$S,$B24,'Peoplesoft-FY13'!$Q:$Q,J$3)</f>
        <v>0</v>
      </c>
      <c r="K24" s="274">
        <f>SUMIFS('Peoplesoft-FY13'!$K:$K,'Peoplesoft-FY13'!$S:$S,$B24,'Peoplesoft-FY13'!$Q:$Q,K$3)</f>
        <v>0</v>
      </c>
      <c r="L24" s="274">
        <f>SUMIFS('Peoplesoft-FY13'!$K:$K,'Peoplesoft-FY13'!$S:$S,$B24,'Peoplesoft-FY13'!$Q:$Q,L$3)</f>
        <v>0</v>
      </c>
      <c r="M24" s="274">
        <f>SUMIFS('Peoplesoft-FY13'!$K:$K,'Peoplesoft-FY13'!$S:$S,$B24,'Peoplesoft-FY13'!$Q:$Q,M$3)</f>
        <v>0</v>
      </c>
      <c r="N24" s="274">
        <f>SUMIFS('Peoplesoft-FY13'!$K:$K,'Peoplesoft-FY13'!$S:$S,$B24,'Peoplesoft-FY13'!$Q:$Q,N$3)</f>
        <v>0</v>
      </c>
      <c r="O24" s="138">
        <f t="shared" si="1"/>
        <v>0</v>
      </c>
      <c r="P24" s="119">
        <f t="shared" si="2"/>
        <v>29.590000000000003</v>
      </c>
      <c r="Q24" s="120">
        <f t="shared" si="3"/>
        <v>0</v>
      </c>
      <c r="R24" s="121">
        <f t="shared" ref="R24:R53" si="5">D24/P24</f>
        <v>1</v>
      </c>
      <c r="S24" s="99">
        <f t="shared" si="0"/>
        <v>1</v>
      </c>
    </row>
    <row r="25" spans="1:19" ht="13.2" x14ac:dyDescent="0.25">
      <c r="A25" s="260">
        <v>22</v>
      </c>
      <c r="B25" s="272">
        <v>5460</v>
      </c>
      <c r="C25" s="290" t="s">
        <v>36</v>
      </c>
      <c r="D25" s="274">
        <f>SUMIFS('Peoplesoft-FY13'!$K:$K,'Peoplesoft-FY13'!$S:$S,$B25,'Peoplesoft-FY13'!$Q:$Q,D$3)</f>
        <v>40.630000000000003</v>
      </c>
      <c r="E25" s="274">
        <f>SUMIFS('Peoplesoft-FY13'!$K:$K,'Peoplesoft-FY13'!$S:$S,$B25,'Peoplesoft-FY13'!$Q:$Q,E$3)</f>
        <v>0</v>
      </c>
      <c r="F25" s="274">
        <f>SUMIFS('Peoplesoft-FY13'!$K:$K,'Peoplesoft-FY13'!$S:$S,$B25,'Peoplesoft-FY13'!$Q:$Q,F$3)</f>
        <v>0</v>
      </c>
      <c r="G25" s="274">
        <f>SUMIFS('Peoplesoft-FY13'!$K:$K,'Peoplesoft-FY13'!$S:$S,$B25,'Peoplesoft-FY13'!$Q:$Q,G$3)</f>
        <v>0</v>
      </c>
      <c r="H25" s="274">
        <f>SUMIFS('Peoplesoft-FY13'!$K:$K,'Peoplesoft-FY13'!$S:$S,$B25,'Peoplesoft-FY13'!$Q:$Q,H$3)</f>
        <v>0</v>
      </c>
      <c r="I25" s="274">
        <f>SUMIFS('Peoplesoft-FY13'!$K:$K,'Peoplesoft-FY13'!$S:$S,$B25,'Peoplesoft-FY13'!$Q:$Q,I$3)</f>
        <v>0</v>
      </c>
      <c r="J25" s="274">
        <f>SUMIFS('Peoplesoft-FY13'!$K:$K,'Peoplesoft-FY13'!$S:$S,$B25,'Peoplesoft-FY13'!$Q:$Q,J$3)</f>
        <v>0</v>
      </c>
      <c r="K25" s="274">
        <f>SUMIFS('Peoplesoft-FY13'!$K:$K,'Peoplesoft-FY13'!$S:$S,$B25,'Peoplesoft-FY13'!$Q:$Q,K$3)</f>
        <v>0</v>
      </c>
      <c r="L25" s="274">
        <f>SUMIFS('Peoplesoft-FY13'!$K:$K,'Peoplesoft-FY13'!$S:$S,$B25,'Peoplesoft-FY13'!$Q:$Q,L$3)</f>
        <v>0</v>
      </c>
      <c r="M25" s="274">
        <f>SUMIFS('Peoplesoft-FY13'!$K:$K,'Peoplesoft-FY13'!$S:$S,$B25,'Peoplesoft-FY13'!$Q:$Q,M$3)</f>
        <v>0</v>
      </c>
      <c r="N25" s="274">
        <f>SUMIFS('Peoplesoft-FY13'!$K:$K,'Peoplesoft-FY13'!$S:$S,$B25,'Peoplesoft-FY13'!$Q:$Q,N$3)</f>
        <v>0</v>
      </c>
      <c r="O25" s="138">
        <f t="shared" si="1"/>
        <v>0</v>
      </c>
      <c r="P25" s="119">
        <f t="shared" si="2"/>
        <v>40.630000000000003</v>
      </c>
      <c r="Q25" s="120">
        <f t="shared" si="3"/>
        <v>0</v>
      </c>
      <c r="R25" s="121">
        <f t="shared" si="5"/>
        <v>1</v>
      </c>
      <c r="S25" s="99">
        <f t="shared" si="0"/>
        <v>1</v>
      </c>
    </row>
    <row r="26" spans="1:19" ht="13.2" x14ac:dyDescent="0.25">
      <c r="A26" s="260">
        <v>23</v>
      </c>
      <c r="B26" s="272">
        <v>5480</v>
      </c>
      <c r="C26" s="290" t="s">
        <v>37</v>
      </c>
      <c r="D26" s="274">
        <f>SUMIFS('Peoplesoft-FY13'!$K:$K,'Peoplesoft-FY13'!$S:$S,$B26,'Peoplesoft-FY13'!$Q:$Q,D$3)</f>
        <v>27.67</v>
      </c>
      <c r="E26" s="274">
        <f>SUMIFS('Peoplesoft-FY13'!$K:$K,'Peoplesoft-FY13'!$S:$S,$B26,'Peoplesoft-FY13'!$Q:$Q,E$3)</f>
        <v>0</v>
      </c>
      <c r="F26" s="274">
        <f>SUMIFS('Peoplesoft-FY13'!$K:$K,'Peoplesoft-FY13'!$S:$S,$B26,'Peoplesoft-FY13'!$Q:$Q,F$3)</f>
        <v>0</v>
      </c>
      <c r="G26" s="274">
        <f>SUMIFS('Peoplesoft-FY13'!$K:$K,'Peoplesoft-FY13'!$S:$S,$B26,'Peoplesoft-FY13'!$Q:$Q,G$3)</f>
        <v>0</v>
      </c>
      <c r="H26" s="274">
        <f>SUMIFS('Peoplesoft-FY13'!$K:$K,'Peoplesoft-FY13'!$S:$S,$B26,'Peoplesoft-FY13'!$Q:$Q,H$3)</f>
        <v>0</v>
      </c>
      <c r="I26" s="274">
        <f>SUMIFS('Peoplesoft-FY13'!$K:$K,'Peoplesoft-FY13'!$S:$S,$B26,'Peoplesoft-FY13'!$Q:$Q,I$3)</f>
        <v>0</v>
      </c>
      <c r="J26" s="274">
        <f>SUMIFS('Peoplesoft-FY13'!$K:$K,'Peoplesoft-FY13'!$S:$S,$B26,'Peoplesoft-FY13'!$Q:$Q,J$3)</f>
        <v>0</v>
      </c>
      <c r="K26" s="274">
        <f>SUMIFS('Peoplesoft-FY13'!$K:$K,'Peoplesoft-FY13'!$S:$S,$B26,'Peoplesoft-FY13'!$Q:$Q,K$3)</f>
        <v>0</v>
      </c>
      <c r="L26" s="274">
        <f>SUMIFS('Peoplesoft-FY13'!$K:$K,'Peoplesoft-FY13'!$S:$S,$B26,'Peoplesoft-FY13'!$Q:$Q,L$3)</f>
        <v>0</v>
      </c>
      <c r="M26" s="274">
        <f>SUMIFS('Peoplesoft-FY13'!$K:$K,'Peoplesoft-FY13'!$S:$S,$B26,'Peoplesoft-FY13'!$Q:$Q,M$3)</f>
        <v>0</v>
      </c>
      <c r="N26" s="274">
        <f>SUMIFS('Peoplesoft-FY13'!$K:$K,'Peoplesoft-FY13'!$S:$S,$B26,'Peoplesoft-FY13'!$Q:$Q,N$3)</f>
        <v>0</v>
      </c>
      <c r="O26" s="138">
        <f t="shared" si="1"/>
        <v>0</v>
      </c>
      <c r="P26" s="119">
        <f t="shared" si="2"/>
        <v>27.67</v>
      </c>
      <c r="Q26" s="120">
        <f t="shared" si="3"/>
        <v>0</v>
      </c>
      <c r="R26" s="121">
        <f t="shared" si="5"/>
        <v>1</v>
      </c>
      <c r="S26" s="99">
        <f t="shared" si="0"/>
        <v>1</v>
      </c>
    </row>
    <row r="27" spans="1:19" ht="13.2" x14ac:dyDescent="0.25">
      <c r="A27" s="260">
        <v>24</v>
      </c>
      <c r="B27" s="272">
        <v>5510</v>
      </c>
      <c r="C27" s="290" t="s">
        <v>38</v>
      </c>
      <c r="D27" s="274">
        <f>SUMIFS('Peoplesoft-FY13'!$K:$K,'Peoplesoft-FY13'!$S:$S,$B27,'Peoplesoft-FY13'!$Q:$Q,D$3)</f>
        <v>19.25</v>
      </c>
      <c r="E27" s="274">
        <f>SUMIFS('Peoplesoft-FY13'!$K:$K,'Peoplesoft-FY13'!$S:$S,$B27,'Peoplesoft-FY13'!$Q:$Q,E$3)</f>
        <v>0</v>
      </c>
      <c r="F27" s="274">
        <f>SUMIFS('Peoplesoft-FY13'!$K:$K,'Peoplesoft-FY13'!$S:$S,$B27,'Peoplesoft-FY13'!$Q:$Q,F$3)</f>
        <v>0</v>
      </c>
      <c r="G27" s="274">
        <f>SUMIFS('Peoplesoft-FY13'!$K:$K,'Peoplesoft-FY13'!$S:$S,$B27,'Peoplesoft-FY13'!$Q:$Q,G$3)</f>
        <v>0</v>
      </c>
      <c r="H27" s="274">
        <f>SUMIFS('Peoplesoft-FY13'!$K:$K,'Peoplesoft-FY13'!$S:$S,$B27,'Peoplesoft-FY13'!$Q:$Q,H$3)</f>
        <v>0</v>
      </c>
      <c r="I27" s="274">
        <f>SUMIFS('Peoplesoft-FY13'!$K:$K,'Peoplesoft-FY13'!$S:$S,$B27,'Peoplesoft-FY13'!$Q:$Q,I$3)</f>
        <v>0</v>
      </c>
      <c r="J27" s="274">
        <f>SUMIFS('Peoplesoft-FY13'!$K:$K,'Peoplesoft-FY13'!$S:$S,$B27,'Peoplesoft-FY13'!$Q:$Q,J$3)</f>
        <v>0</v>
      </c>
      <c r="K27" s="274">
        <f>SUMIFS('Peoplesoft-FY13'!$K:$K,'Peoplesoft-FY13'!$S:$S,$B27,'Peoplesoft-FY13'!$Q:$Q,K$3)</f>
        <v>0</v>
      </c>
      <c r="L27" s="274">
        <f>SUMIFS('Peoplesoft-FY13'!$K:$K,'Peoplesoft-FY13'!$S:$S,$B27,'Peoplesoft-FY13'!$Q:$Q,L$3)</f>
        <v>0</v>
      </c>
      <c r="M27" s="274">
        <f>SUMIFS('Peoplesoft-FY13'!$K:$K,'Peoplesoft-FY13'!$S:$S,$B27,'Peoplesoft-FY13'!$Q:$Q,M$3)</f>
        <v>0</v>
      </c>
      <c r="N27" s="274">
        <f>SUMIFS('Peoplesoft-FY13'!$K:$K,'Peoplesoft-FY13'!$S:$S,$B27,'Peoplesoft-FY13'!$Q:$Q,N$3)</f>
        <v>0</v>
      </c>
      <c r="O27" s="138">
        <f t="shared" si="1"/>
        <v>0</v>
      </c>
      <c r="P27" s="119">
        <f t="shared" si="2"/>
        <v>19.25</v>
      </c>
      <c r="Q27" s="120">
        <f t="shared" si="3"/>
        <v>0</v>
      </c>
      <c r="R27" s="121">
        <f t="shared" si="5"/>
        <v>1</v>
      </c>
      <c r="S27" s="99">
        <f t="shared" si="0"/>
        <v>1</v>
      </c>
    </row>
    <row r="28" spans="1:19" ht="13.2" x14ac:dyDescent="0.25">
      <c r="A28" s="260">
        <v>25</v>
      </c>
      <c r="B28" s="272">
        <v>5520</v>
      </c>
      <c r="C28" s="290" t="s">
        <v>39</v>
      </c>
      <c r="D28" s="274">
        <f>SUMIFS('Peoplesoft-FY13'!$K:$K,'Peoplesoft-FY13'!$S:$S,$B28,'Peoplesoft-FY13'!$Q:$Q,D$3)</f>
        <v>29.25</v>
      </c>
      <c r="E28" s="274">
        <f>SUMIFS('Peoplesoft-FY13'!$K:$K,'Peoplesoft-FY13'!$S:$S,$B28,'Peoplesoft-FY13'!$Q:$Q,E$3)</f>
        <v>0</v>
      </c>
      <c r="F28" s="274">
        <f>SUMIFS('Peoplesoft-FY13'!$K:$K,'Peoplesoft-FY13'!$S:$S,$B28,'Peoplesoft-FY13'!$Q:$Q,F$3)</f>
        <v>0</v>
      </c>
      <c r="G28" s="274">
        <f>SUMIFS('Peoplesoft-FY13'!$K:$K,'Peoplesoft-FY13'!$S:$S,$B28,'Peoplesoft-FY13'!$Q:$Q,G$3)</f>
        <v>0</v>
      </c>
      <c r="H28" s="274">
        <f>SUMIFS('Peoplesoft-FY13'!$K:$K,'Peoplesoft-FY13'!$S:$S,$B28,'Peoplesoft-FY13'!$Q:$Q,H$3)</f>
        <v>0</v>
      </c>
      <c r="I28" s="274">
        <f>SUMIFS('Peoplesoft-FY13'!$K:$K,'Peoplesoft-FY13'!$S:$S,$B28,'Peoplesoft-FY13'!$Q:$Q,I$3)</f>
        <v>0</v>
      </c>
      <c r="J28" s="274">
        <f>SUMIFS('Peoplesoft-FY13'!$K:$K,'Peoplesoft-FY13'!$S:$S,$B28,'Peoplesoft-FY13'!$Q:$Q,J$3)</f>
        <v>0</v>
      </c>
      <c r="K28" s="274">
        <f>SUMIFS('Peoplesoft-FY13'!$K:$K,'Peoplesoft-FY13'!$S:$S,$B28,'Peoplesoft-FY13'!$Q:$Q,K$3)</f>
        <v>0</v>
      </c>
      <c r="L28" s="274">
        <f>SUMIFS('Peoplesoft-FY13'!$K:$K,'Peoplesoft-FY13'!$S:$S,$B28,'Peoplesoft-FY13'!$Q:$Q,L$3)</f>
        <v>0</v>
      </c>
      <c r="M28" s="274">
        <f>SUMIFS('Peoplesoft-FY13'!$K:$K,'Peoplesoft-FY13'!$S:$S,$B28,'Peoplesoft-FY13'!$Q:$Q,M$3)</f>
        <v>0</v>
      </c>
      <c r="N28" s="274">
        <f>SUMIFS('Peoplesoft-FY13'!$K:$K,'Peoplesoft-FY13'!$S:$S,$B28,'Peoplesoft-FY13'!$Q:$Q,N$3)</f>
        <v>0</v>
      </c>
      <c r="O28" s="138">
        <f t="shared" si="1"/>
        <v>0</v>
      </c>
      <c r="P28" s="119">
        <f t="shared" si="2"/>
        <v>29.25</v>
      </c>
      <c r="Q28" s="120">
        <f t="shared" si="3"/>
        <v>0</v>
      </c>
      <c r="R28" s="121">
        <f t="shared" si="5"/>
        <v>1</v>
      </c>
      <c r="S28" s="99">
        <f t="shared" si="0"/>
        <v>1</v>
      </c>
    </row>
    <row r="29" spans="1:19" ht="13.2" x14ac:dyDescent="0.25">
      <c r="A29" s="260">
        <v>26</v>
      </c>
      <c r="B29" s="272">
        <v>5540</v>
      </c>
      <c r="C29" s="290" t="s">
        <v>40</v>
      </c>
      <c r="D29" s="274">
        <f>SUMIFS('Peoplesoft-FY13'!$K:$K,'Peoplesoft-FY13'!$S:$S,$B29,'Peoplesoft-FY13'!$Q:$Q,D$3)</f>
        <v>33.625</v>
      </c>
      <c r="E29" s="274">
        <f>SUMIFS('Peoplesoft-FY13'!$K:$K,'Peoplesoft-FY13'!$S:$S,$B29,'Peoplesoft-FY13'!$Q:$Q,E$3)</f>
        <v>0</v>
      </c>
      <c r="F29" s="274">
        <f>SUMIFS('Peoplesoft-FY13'!$K:$K,'Peoplesoft-FY13'!$S:$S,$B29,'Peoplesoft-FY13'!$Q:$Q,F$3)</f>
        <v>0</v>
      </c>
      <c r="G29" s="274">
        <f>SUMIFS('Peoplesoft-FY13'!$K:$K,'Peoplesoft-FY13'!$S:$S,$B29,'Peoplesoft-FY13'!$Q:$Q,G$3)</f>
        <v>0</v>
      </c>
      <c r="H29" s="274">
        <f>SUMIFS('Peoplesoft-FY13'!$K:$K,'Peoplesoft-FY13'!$S:$S,$B29,'Peoplesoft-FY13'!$Q:$Q,H$3)</f>
        <v>0</v>
      </c>
      <c r="I29" s="274">
        <f>SUMIFS('Peoplesoft-FY13'!$K:$K,'Peoplesoft-FY13'!$S:$S,$B29,'Peoplesoft-FY13'!$Q:$Q,I$3)</f>
        <v>0</v>
      </c>
      <c r="J29" s="274">
        <f>SUMIFS('Peoplesoft-FY13'!$K:$K,'Peoplesoft-FY13'!$S:$S,$B29,'Peoplesoft-FY13'!$Q:$Q,J$3)</f>
        <v>0</v>
      </c>
      <c r="K29" s="274">
        <f>SUMIFS('Peoplesoft-FY13'!$K:$K,'Peoplesoft-FY13'!$S:$S,$B29,'Peoplesoft-FY13'!$Q:$Q,K$3)</f>
        <v>0</v>
      </c>
      <c r="L29" s="274">
        <f>SUMIFS('Peoplesoft-FY13'!$K:$K,'Peoplesoft-FY13'!$S:$S,$B29,'Peoplesoft-FY13'!$Q:$Q,L$3)</f>
        <v>0</v>
      </c>
      <c r="M29" s="274">
        <f>SUMIFS('Peoplesoft-FY13'!$K:$K,'Peoplesoft-FY13'!$S:$S,$B29,'Peoplesoft-FY13'!$Q:$Q,M$3)</f>
        <v>0</v>
      </c>
      <c r="N29" s="274">
        <f>SUMIFS('Peoplesoft-FY13'!$K:$K,'Peoplesoft-FY13'!$S:$S,$B29,'Peoplesoft-FY13'!$Q:$Q,N$3)</f>
        <v>0</v>
      </c>
      <c r="O29" s="138">
        <f t="shared" si="1"/>
        <v>0</v>
      </c>
      <c r="P29" s="119">
        <f t="shared" si="2"/>
        <v>33.625</v>
      </c>
      <c r="Q29" s="120">
        <f t="shared" si="3"/>
        <v>0</v>
      </c>
      <c r="R29" s="121">
        <f t="shared" si="5"/>
        <v>1</v>
      </c>
      <c r="S29" s="99">
        <f t="shared" si="0"/>
        <v>1</v>
      </c>
    </row>
    <row r="30" spans="1:19" ht="13.2" x14ac:dyDescent="0.25">
      <c r="A30" s="260">
        <v>27</v>
      </c>
      <c r="B30" s="272">
        <v>5550</v>
      </c>
      <c r="C30" s="290" t="s">
        <v>41</v>
      </c>
      <c r="D30" s="274">
        <f>SUMIFS('Peoplesoft-FY13'!$K:$K,'Peoplesoft-FY13'!$S:$S,$B30,'Peoplesoft-FY13'!$Q:$Q,D$3)</f>
        <v>35.125</v>
      </c>
      <c r="E30" s="274">
        <f>SUMIFS('Peoplesoft-FY13'!$K:$K,'Peoplesoft-FY13'!$S:$S,$B30,'Peoplesoft-FY13'!$Q:$Q,E$3)</f>
        <v>0</v>
      </c>
      <c r="F30" s="274">
        <f>SUMIFS('Peoplesoft-FY13'!$K:$K,'Peoplesoft-FY13'!$S:$S,$B30,'Peoplesoft-FY13'!$Q:$Q,F$3)</f>
        <v>0</v>
      </c>
      <c r="G30" s="274">
        <f>SUMIFS('Peoplesoft-FY13'!$K:$K,'Peoplesoft-FY13'!$S:$S,$B30,'Peoplesoft-FY13'!$Q:$Q,G$3)</f>
        <v>0</v>
      </c>
      <c r="H30" s="274">
        <f>SUMIFS('Peoplesoft-FY13'!$K:$K,'Peoplesoft-FY13'!$S:$S,$B30,'Peoplesoft-FY13'!$Q:$Q,H$3)</f>
        <v>0</v>
      </c>
      <c r="I30" s="274">
        <f>SUMIFS('Peoplesoft-FY13'!$K:$K,'Peoplesoft-FY13'!$S:$S,$B30,'Peoplesoft-FY13'!$Q:$Q,I$3)</f>
        <v>0</v>
      </c>
      <c r="J30" s="274">
        <f>SUMIFS('Peoplesoft-FY13'!$K:$K,'Peoplesoft-FY13'!$S:$S,$B30,'Peoplesoft-FY13'!$Q:$Q,J$3)</f>
        <v>0</v>
      </c>
      <c r="K30" s="274">
        <f>SUMIFS('Peoplesoft-FY13'!$K:$K,'Peoplesoft-FY13'!$S:$S,$B30,'Peoplesoft-FY13'!$Q:$Q,K$3)</f>
        <v>0</v>
      </c>
      <c r="L30" s="274">
        <f>SUMIFS('Peoplesoft-FY13'!$K:$K,'Peoplesoft-FY13'!$S:$S,$B30,'Peoplesoft-FY13'!$Q:$Q,L$3)</f>
        <v>0</v>
      </c>
      <c r="M30" s="274">
        <f>SUMIFS('Peoplesoft-FY13'!$K:$K,'Peoplesoft-FY13'!$S:$S,$B30,'Peoplesoft-FY13'!$Q:$Q,M$3)</f>
        <v>0</v>
      </c>
      <c r="N30" s="274">
        <f>SUMIFS('Peoplesoft-FY13'!$K:$K,'Peoplesoft-FY13'!$S:$S,$B30,'Peoplesoft-FY13'!$Q:$Q,N$3)</f>
        <v>0</v>
      </c>
      <c r="O30" s="138">
        <f t="shared" si="1"/>
        <v>0</v>
      </c>
      <c r="P30" s="119">
        <f t="shared" si="2"/>
        <v>35.125</v>
      </c>
      <c r="Q30" s="120">
        <f t="shared" si="3"/>
        <v>0</v>
      </c>
      <c r="R30" s="121">
        <f t="shared" si="5"/>
        <v>1</v>
      </c>
      <c r="S30" s="99">
        <f t="shared" si="0"/>
        <v>1</v>
      </c>
    </row>
    <row r="31" spans="1:19" ht="13.2" x14ac:dyDescent="0.25">
      <c r="A31" s="260">
        <v>28</v>
      </c>
      <c r="B31" s="272">
        <v>5570</v>
      </c>
      <c r="C31" s="290" t="s">
        <v>42</v>
      </c>
      <c r="D31" s="274">
        <f>SUMIFS('Peoplesoft-FY13'!$K:$K,'Peoplesoft-FY13'!$S:$S,$B31,'Peoplesoft-FY13'!$Q:$Q,D$3)</f>
        <v>46</v>
      </c>
      <c r="E31" s="274">
        <f>SUMIFS('Peoplesoft-FY13'!$K:$K,'Peoplesoft-FY13'!$S:$S,$B31,'Peoplesoft-FY13'!$Q:$Q,E$3)</f>
        <v>0</v>
      </c>
      <c r="F31" s="274">
        <f>SUMIFS('Peoplesoft-FY13'!$K:$K,'Peoplesoft-FY13'!$S:$S,$B31,'Peoplesoft-FY13'!$Q:$Q,F$3)</f>
        <v>0</v>
      </c>
      <c r="G31" s="274">
        <f>SUMIFS('Peoplesoft-FY13'!$K:$K,'Peoplesoft-FY13'!$S:$S,$B31,'Peoplesoft-FY13'!$Q:$Q,G$3)</f>
        <v>0</v>
      </c>
      <c r="H31" s="274">
        <f>SUMIFS('Peoplesoft-FY13'!$K:$K,'Peoplesoft-FY13'!$S:$S,$B31,'Peoplesoft-FY13'!$Q:$Q,H$3)</f>
        <v>0</v>
      </c>
      <c r="I31" s="274">
        <f>SUMIFS('Peoplesoft-FY13'!$K:$K,'Peoplesoft-FY13'!$S:$S,$B31,'Peoplesoft-FY13'!$Q:$Q,I$3)</f>
        <v>0</v>
      </c>
      <c r="J31" s="274">
        <f>SUMIFS('Peoplesoft-FY13'!$K:$K,'Peoplesoft-FY13'!$S:$S,$B31,'Peoplesoft-FY13'!$Q:$Q,J$3)</f>
        <v>0</v>
      </c>
      <c r="K31" s="274">
        <f>SUMIFS('Peoplesoft-FY13'!$K:$K,'Peoplesoft-FY13'!$S:$S,$B31,'Peoplesoft-FY13'!$Q:$Q,K$3)</f>
        <v>0</v>
      </c>
      <c r="L31" s="274">
        <f>SUMIFS('Peoplesoft-FY13'!$K:$K,'Peoplesoft-FY13'!$S:$S,$B31,'Peoplesoft-FY13'!$Q:$Q,L$3)</f>
        <v>0</v>
      </c>
      <c r="M31" s="274">
        <f>SUMIFS('Peoplesoft-FY13'!$K:$K,'Peoplesoft-FY13'!$S:$S,$B31,'Peoplesoft-FY13'!$Q:$Q,M$3)</f>
        <v>0</v>
      </c>
      <c r="N31" s="274">
        <f>SUMIFS('Peoplesoft-FY13'!$K:$K,'Peoplesoft-FY13'!$S:$S,$B31,'Peoplesoft-FY13'!$Q:$Q,N$3)</f>
        <v>0</v>
      </c>
      <c r="O31" s="138">
        <f t="shared" si="1"/>
        <v>0</v>
      </c>
      <c r="P31" s="119">
        <f t="shared" si="2"/>
        <v>46</v>
      </c>
      <c r="Q31" s="120">
        <f t="shared" si="3"/>
        <v>0</v>
      </c>
      <c r="R31" s="121">
        <f t="shared" si="5"/>
        <v>1</v>
      </c>
      <c r="S31" s="99">
        <f t="shared" si="0"/>
        <v>1</v>
      </c>
    </row>
    <row r="32" spans="1:19" ht="13.2" x14ac:dyDescent="0.25">
      <c r="A32" s="260">
        <v>29</v>
      </c>
      <c r="B32" s="272">
        <v>5580</v>
      </c>
      <c r="C32" s="290" t="s">
        <v>141</v>
      </c>
      <c r="D32" s="274">
        <f>SUMIFS('Peoplesoft-FY13'!$K:$K,'Peoplesoft-FY13'!$S:$S,$B32,'Peoplesoft-FY13'!$Q:$Q,D$3)</f>
        <v>41.63</v>
      </c>
      <c r="E32" s="274">
        <f>SUMIFS('Peoplesoft-FY13'!$K:$K,'Peoplesoft-FY13'!$S:$S,$B32,'Peoplesoft-FY13'!$Q:$Q,E$3)</f>
        <v>0</v>
      </c>
      <c r="F32" s="274">
        <f>SUMIFS('Peoplesoft-FY13'!$K:$K,'Peoplesoft-FY13'!$S:$S,$B32,'Peoplesoft-FY13'!$Q:$Q,F$3)</f>
        <v>0</v>
      </c>
      <c r="G32" s="274">
        <f>SUMIFS('Peoplesoft-FY13'!$K:$K,'Peoplesoft-FY13'!$S:$S,$B32,'Peoplesoft-FY13'!$Q:$Q,G$3)</f>
        <v>0</v>
      </c>
      <c r="H32" s="274">
        <f>SUMIFS('Peoplesoft-FY13'!$K:$K,'Peoplesoft-FY13'!$S:$S,$B32,'Peoplesoft-FY13'!$Q:$Q,H$3)</f>
        <v>0</v>
      </c>
      <c r="I32" s="274">
        <f>SUMIFS('Peoplesoft-FY13'!$K:$K,'Peoplesoft-FY13'!$S:$S,$B32,'Peoplesoft-FY13'!$Q:$Q,I$3)</f>
        <v>0</v>
      </c>
      <c r="J32" s="274">
        <f>SUMIFS('Peoplesoft-FY13'!$K:$K,'Peoplesoft-FY13'!$S:$S,$B32,'Peoplesoft-FY13'!$Q:$Q,J$3)</f>
        <v>0</v>
      </c>
      <c r="K32" s="274">
        <f>SUMIFS('Peoplesoft-FY13'!$K:$K,'Peoplesoft-FY13'!$S:$S,$B32,'Peoplesoft-FY13'!$Q:$Q,K$3)</f>
        <v>0</v>
      </c>
      <c r="L32" s="274">
        <f>SUMIFS('Peoplesoft-FY13'!$K:$K,'Peoplesoft-FY13'!$S:$S,$B32,'Peoplesoft-FY13'!$Q:$Q,L$3)</f>
        <v>0</v>
      </c>
      <c r="M32" s="274">
        <f>SUMIFS('Peoplesoft-FY13'!$K:$K,'Peoplesoft-FY13'!$S:$S,$B32,'Peoplesoft-FY13'!$Q:$Q,M$3)</f>
        <v>0</v>
      </c>
      <c r="N32" s="274">
        <f>SUMIFS('Peoplesoft-FY13'!$K:$K,'Peoplesoft-FY13'!$S:$S,$B32,'Peoplesoft-FY13'!$Q:$Q,N$3)</f>
        <v>0</v>
      </c>
      <c r="O32" s="138">
        <f t="shared" si="1"/>
        <v>0</v>
      </c>
      <c r="P32" s="119">
        <f t="shared" si="2"/>
        <v>41.63</v>
      </c>
      <c r="Q32" s="120">
        <f t="shared" si="3"/>
        <v>0</v>
      </c>
      <c r="R32" s="121">
        <f t="shared" si="5"/>
        <v>1</v>
      </c>
      <c r="S32" s="99">
        <f t="shared" si="0"/>
        <v>1</v>
      </c>
    </row>
    <row r="33" spans="1:19" ht="13.2" x14ac:dyDescent="0.25">
      <c r="A33" s="260">
        <v>30</v>
      </c>
      <c r="B33" s="272">
        <v>5590</v>
      </c>
      <c r="C33" s="290" t="s">
        <v>44</v>
      </c>
      <c r="D33" s="274">
        <f>SUMIFS('Peoplesoft-FY13'!$K:$K,'Peoplesoft-FY13'!$S:$S,$B33,'Peoplesoft-FY13'!$Q:$Q,D$3)</f>
        <v>48.175000000000004</v>
      </c>
      <c r="E33" s="274">
        <f>SUMIFS('Peoplesoft-FY13'!$K:$K,'Peoplesoft-FY13'!$S:$S,$B33,'Peoplesoft-FY13'!$Q:$Q,E$3)</f>
        <v>0</v>
      </c>
      <c r="F33" s="274">
        <f>SUMIFS('Peoplesoft-FY13'!$K:$K,'Peoplesoft-FY13'!$S:$S,$B33,'Peoplesoft-FY13'!$Q:$Q,F$3)</f>
        <v>0</v>
      </c>
      <c r="G33" s="274">
        <f>SUMIFS('Peoplesoft-FY13'!$K:$K,'Peoplesoft-FY13'!$S:$S,$B33,'Peoplesoft-FY13'!$Q:$Q,G$3)</f>
        <v>0</v>
      </c>
      <c r="H33" s="274">
        <f>SUMIFS('Peoplesoft-FY13'!$K:$K,'Peoplesoft-FY13'!$S:$S,$B33,'Peoplesoft-FY13'!$Q:$Q,H$3)</f>
        <v>0</v>
      </c>
      <c r="I33" s="274">
        <f>SUMIFS('Peoplesoft-FY13'!$K:$K,'Peoplesoft-FY13'!$S:$S,$B33,'Peoplesoft-FY13'!$Q:$Q,I$3)</f>
        <v>0</v>
      </c>
      <c r="J33" s="274">
        <f>SUMIFS('Peoplesoft-FY13'!$K:$K,'Peoplesoft-FY13'!$S:$S,$B33,'Peoplesoft-FY13'!$Q:$Q,J$3)</f>
        <v>0</v>
      </c>
      <c r="K33" s="274">
        <f>SUMIFS('Peoplesoft-FY13'!$K:$K,'Peoplesoft-FY13'!$S:$S,$B33,'Peoplesoft-FY13'!$Q:$Q,K$3)</f>
        <v>0</v>
      </c>
      <c r="L33" s="274">
        <f>SUMIFS('Peoplesoft-FY13'!$K:$K,'Peoplesoft-FY13'!$S:$S,$B33,'Peoplesoft-FY13'!$Q:$Q,L$3)</f>
        <v>0</v>
      </c>
      <c r="M33" s="274">
        <f>SUMIFS('Peoplesoft-FY13'!$K:$K,'Peoplesoft-FY13'!$S:$S,$B33,'Peoplesoft-FY13'!$Q:$Q,M$3)</f>
        <v>0</v>
      </c>
      <c r="N33" s="274">
        <f>SUMIFS('Peoplesoft-FY13'!$K:$K,'Peoplesoft-FY13'!$S:$S,$B33,'Peoplesoft-FY13'!$Q:$Q,N$3)</f>
        <v>0</v>
      </c>
      <c r="O33" s="138">
        <f t="shared" si="1"/>
        <v>0</v>
      </c>
      <c r="P33" s="119">
        <f t="shared" si="2"/>
        <v>48.175000000000004</v>
      </c>
      <c r="Q33" s="120">
        <f t="shared" si="3"/>
        <v>0</v>
      </c>
      <c r="R33" s="121">
        <f t="shared" si="5"/>
        <v>1</v>
      </c>
      <c r="S33" s="99">
        <f t="shared" si="0"/>
        <v>1</v>
      </c>
    </row>
    <row r="34" spans="1:19" ht="13.2" x14ac:dyDescent="0.25">
      <c r="A34" s="260">
        <v>31</v>
      </c>
      <c r="B34" s="272">
        <v>5600</v>
      </c>
      <c r="C34" s="290" t="s">
        <v>45</v>
      </c>
      <c r="D34" s="274">
        <f>SUMIFS('Peoplesoft-FY13'!$K:$K,'Peoplesoft-FY13'!$S:$S,$B34,'Peoplesoft-FY13'!$Q:$Q,D$3)</f>
        <v>44.220000000000006</v>
      </c>
      <c r="E34" s="274">
        <f>SUMIFS('Peoplesoft-FY13'!$K:$K,'Peoplesoft-FY13'!$S:$S,$B34,'Peoplesoft-FY13'!$Q:$Q,E$3)</f>
        <v>0</v>
      </c>
      <c r="F34" s="274">
        <f>SUMIFS('Peoplesoft-FY13'!$K:$K,'Peoplesoft-FY13'!$S:$S,$B34,'Peoplesoft-FY13'!$Q:$Q,F$3)</f>
        <v>0</v>
      </c>
      <c r="G34" s="274">
        <f>SUMIFS('Peoplesoft-FY13'!$K:$K,'Peoplesoft-FY13'!$S:$S,$B34,'Peoplesoft-FY13'!$Q:$Q,G$3)</f>
        <v>0</v>
      </c>
      <c r="H34" s="274">
        <f>SUMIFS('Peoplesoft-FY13'!$K:$K,'Peoplesoft-FY13'!$S:$S,$B34,'Peoplesoft-FY13'!$Q:$Q,H$3)</f>
        <v>0</v>
      </c>
      <c r="I34" s="274">
        <f>SUMIFS('Peoplesoft-FY13'!$K:$K,'Peoplesoft-FY13'!$S:$S,$B34,'Peoplesoft-FY13'!$Q:$Q,I$3)</f>
        <v>0</v>
      </c>
      <c r="J34" s="274">
        <f>SUMIFS('Peoplesoft-FY13'!$K:$K,'Peoplesoft-FY13'!$S:$S,$B34,'Peoplesoft-FY13'!$Q:$Q,J$3)</f>
        <v>0</v>
      </c>
      <c r="K34" s="274">
        <f>SUMIFS('Peoplesoft-FY13'!$K:$K,'Peoplesoft-FY13'!$S:$S,$B34,'Peoplesoft-FY13'!$Q:$Q,K$3)</f>
        <v>0</v>
      </c>
      <c r="L34" s="274">
        <f>SUMIFS('Peoplesoft-FY13'!$K:$K,'Peoplesoft-FY13'!$S:$S,$B34,'Peoplesoft-FY13'!$Q:$Q,L$3)</f>
        <v>0</v>
      </c>
      <c r="M34" s="274">
        <f>SUMIFS('Peoplesoft-FY13'!$K:$K,'Peoplesoft-FY13'!$S:$S,$B34,'Peoplesoft-FY13'!$Q:$Q,M$3)</f>
        <v>0</v>
      </c>
      <c r="N34" s="274">
        <f>SUMIFS('Peoplesoft-FY13'!$K:$K,'Peoplesoft-FY13'!$S:$S,$B34,'Peoplesoft-FY13'!$Q:$Q,N$3)</f>
        <v>0</v>
      </c>
      <c r="O34" s="138">
        <f t="shared" si="1"/>
        <v>0</v>
      </c>
      <c r="P34" s="119">
        <f t="shared" si="2"/>
        <v>44.220000000000006</v>
      </c>
      <c r="Q34" s="120">
        <f t="shared" si="3"/>
        <v>0</v>
      </c>
      <c r="R34" s="121">
        <f t="shared" si="5"/>
        <v>1</v>
      </c>
      <c r="S34" s="99">
        <f t="shared" si="0"/>
        <v>1</v>
      </c>
    </row>
    <row r="35" spans="1:19" ht="13.2" x14ac:dyDescent="0.25">
      <c r="A35" s="260">
        <v>32</v>
      </c>
      <c r="B35" s="272">
        <v>5610</v>
      </c>
      <c r="C35" s="290" t="s">
        <v>46</v>
      </c>
      <c r="D35" s="274">
        <f>SUMIFS('Peoplesoft-FY13'!$K:$K,'Peoplesoft-FY13'!$S:$S,$B35,'Peoplesoft-FY13'!$Q:$Q,D$3)</f>
        <v>37.045000000000002</v>
      </c>
      <c r="E35" s="274">
        <f>SUMIFS('Peoplesoft-FY13'!$K:$K,'Peoplesoft-FY13'!$S:$S,$B35,'Peoplesoft-FY13'!$Q:$Q,E$3)</f>
        <v>0</v>
      </c>
      <c r="F35" s="274">
        <f>SUMIFS('Peoplesoft-FY13'!$K:$K,'Peoplesoft-FY13'!$S:$S,$B35,'Peoplesoft-FY13'!$Q:$Q,F$3)</f>
        <v>0</v>
      </c>
      <c r="G35" s="274">
        <f>SUMIFS('Peoplesoft-FY13'!$K:$K,'Peoplesoft-FY13'!$S:$S,$B35,'Peoplesoft-FY13'!$Q:$Q,G$3)</f>
        <v>0</v>
      </c>
      <c r="H35" s="274">
        <f>SUMIFS('Peoplesoft-FY13'!$K:$K,'Peoplesoft-FY13'!$S:$S,$B35,'Peoplesoft-FY13'!$Q:$Q,H$3)</f>
        <v>0</v>
      </c>
      <c r="I35" s="274">
        <f>SUMIFS('Peoplesoft-FY13'!$K:$K,'Peoplesoft-FY13'!$S:$S,$B35,'Peoplesoft-FY13'!$Q:$Q,I$3)</f>
        <v>0</v>
      </c>
      <c r="J35" s="274">
        <f>SUMIFS('Peoplesoft-FY13'!$K:$K,'Peoplesoft-FY13'!$S:$S,$B35,'Peoplesoft-FY13'!$Q:$Q,J$3)</f>
        <v>0</v>
      </c>
      <c r="K35" s="274">
        <f>SUMIFS('Peoplesoft-FY13'!$K:$K,'Peoplesoft-FY13'!$S:$S,$B35,'Peoplesoft-FY13'!$Q:$Q,K$3)</f>
        <v>0</v>
      </c>
      <c r="L35" s="274">
        <f>SUMIFS('Peoplesoft-FY13'!$K:$K,'Peoplesoft-FY13'!$S:$S,$B35,'Peoplesoft-FY13'!$Q:$Q,L$3)</f>
        <v>0</v>
      </c>
      <c r="M35" s="274">
        <f>SUMIFS('Peoplesoft-FY13'!$K:$K,'Peoplesoft-FY13'!$S:$S,$B35,'Peoplesoft-FY13'!$Q:$Q,M$3)</f>
        <v>0</v>
      </c>
      <c r="N35" s="274">
        <f>SUMIFS('Peoplesoft-FY13'!$K:$K,'Peoplesoft-FY13'!$S:$S,$B35,'Peoplesoft-FY13'!$Q:$Q,N$3)</f>
        <v>0</v>
      </c>
      <c r="O35" s="138">
        <f t="shared" si="1"/>
        <v>0</v>
      </c>
      <c r="P35" s="119">
        <f t="shared" si="2"/>
        <v>37.045000000000002</v>
      </c>
      <c r="Q35" s="120">
        <f t="shared" si="3"/>
        <v>0</v>
      </c>
      <c r="R35" s="121">
        <f t="shared" si="5"/>
        <v>1</v>
      </c>
      <c r="S35" s="99">
        <f t="shared" si="0"/>
        <v>1</v>
      </c>
    </row>
    <row r="36" spans="1:19" ht="13.2" x14ac:dyDescent="0.25">
      <c r="A36" s="260">
        <v>33</v>
      </c>
      <c r="B36" s="272">
        <v>5630</v>
      </c>
      <c r="C36" s="290" t="s">
        <v>142</v>
      </c>
      <c r="D36" s="274">
        <f>SUMIFS('Peoplesoft-FY13'!$K:$K,'Peoplesoft-FY13'!$S:$S,$B36,'Peoplesoft-FY13'!$Q:$Q,D$3)</f>
        <v>21.96</v>
      </c>
      <c r="E36" s="274">
        <f>SUMIFS('Peoplesoft-FY13'!$K:$K,'Peoplesoft-FY13'!$S:$S,$B36,'Peoplesoft-FY13'!$Q:$Q,E$3)</f>
        <v>0</v>
      </c>
      <c r="F36" s="274">
        <f>SUMIFS('Peoplesoft-FY13'!$K:$K,'Peoplesoft-FY13'!$S:$S,$B36,'Peoplesoft-FY13'!$Q:$Q,F$3)</f>
        <v>0</v>
      </c>
      <c r="G36" s="274">
        <f>SUMIFS('Peoplesoft-FY13'!$K:$K,'Peoplesoft-FY13'!$S:$S,$B36,'Peoplesoft-FY13'!$Q:$Q,G$3)</f>
        <v>0</v>
      </c>
      <c r="H36" s="274">
        <f>SUMIFS('Peoplesoft-FY13'!$K:$K,'Peoplesoft-FY13'!$S:$S,$B36,'Peoplesoft-FY13'!$Q:$Q,H$3)</f>
        <v>0</v>
      </c>
      <c r="I36" s="274">
        <f>SUMIFS('Peoplesoft-FY13'!$K:$K,'Peoplesoft-FY13'!$S:$S,$B36,'Peoplesoft-FY13'!$Q:$Q,I$3)</f>
        <v>0</v>
      </c>
      <c r="J36" s="274">
        <f>SUMIFS('Peoplesoft-FY13'!$K:$K,'Peoplesoft-FY13'!$S:$S,$B36,'Peoplesoft-FY13'!$Q:$Q,J$3)</f>
        <v>0</v>
      </c>
      <c r="K36" s="274">
        <f>SUMIFS('Peoplesoft-FY13'!$K:$K,'Peoplesoft-FY13'!$S:$S,$B36,'Peoplesoft-FY13'!$Q:$Q,K$3)</f>
        <v>0</v>
      </c>
      <c r="L36" s="274">
        <f>SUMIFS('Peoplesoft-FY13'!$K:$K,'Peoplesoft-FY13'!$S:$S,$B36,'Peoplesoft-FY13'!$Q:$Q,L$3)</f>
        <v>0</v>
      </c>
      <c r="M36" s="274">
        <f>SUMIFS('Peoplesoft-FY13'!$K:$K,'Peoplesoft-FY13'!$S:$S,$B36,'Peoplesoft-FY13'!$Q:$Q,M$3)</f>
        <v>0</v>
      </c>
      <c r="N36" s="274">
        <f>SUMIFS('Peoplesoft-FY13'!$K:$K,'Peoplesoft-FY13'!$S:$S,$B36,'Peoplesoft-FY13'!$Q:$Q,N$3)</f>
        <v>0</v>
      </c>
      <c r="O36" s="138">
        <f t="shared" si="1"/>
        <v>0</v>
      </c>
      <c r="P36" s="119">
        <f t="shared" si="2"/>
        <v>21.96</v>
      </c>
      <c r="Q36" s="120">
        <f t="shared" si="3"/>
        <v>0</v>
      </c>
      <c r="R36" s="121">
        <f t="shared" si="5"/>
        <v>1</v>
      </c>
      <c r="S36" s="99">
        <f t="shared" si="0"/>
        <v>1</v>
      </c>
    </row>
    <row r="37" spans="1:19" ht="13.2" x14ac:dyDescent="0.25">
      <c r="A37" s="260">
        <v>34</v>
      </c>
      <c r="B37" s="272">
        <v>5640</v>
      </c>
      <c r="C37" s="290" t="s">
        <v>48</v>
      </c>
      <c r="D37" s="274">
        <f>SUMIFS('Peoplesoft-FY13'!$K:$K,'Peoplesoft-FY13'!$S:$S,$B37,'Peoplesoft-FY13'!$Q:$Q,D$3)</f>
        <v>38.835000000000001</v>
      </c>
      <c r="E37" s="274">
        <f>SUMIFS('Peoplesoft-FY13'!$K:$K,'Peoplesoft-FY13'!$S:$S,$B37,'Peoplesoft-FY13'!$Q:$Q,E$3)</f>
        <v>0</v>
      </c>
      <c r="F37" s="274">
        <f>SUMIFS('Peoplesoft-FY13'!$K:$K,'Peoplesoft-FY13'!$S:$S,$B37,'Peoplesoft-FY13'!$Q:$Q,F$3)</f>
        <v>0</v>
      </c>
      <c r="G37" s="274">
        <f>SUMIFS('Peoplesoft-FY13'!$K:$K,'Peoplesoft-FY13'!$S:$S,$B37,'Peoplesoft-FY13'!$Q:$Q,G$3)</f>
        <v>0</v>
      </c>
      <c r="H37" s="274">
        <f>SUMIFS('Peoplesoft-FY13'!$K:$K,'Peoplesoft-FY13'!$S:$S,$B37,'Peoplesoft-FY13'!$Q:$Q,H$3)</f>
        <v>0</v>
      </c>
      <c r="I37" s="274">
        <f>SUMIFS('Peoplesoft-FY13'!$K:$K,'Peoplesoft-FY13'!$S:$S,$B37,'Peoplesoft-FY13'!$Q:$Q,I$3)</f>
        <v>0</v>
      </c>
      <c r="J37" s="274">
        <f>SUMIFS('Peoplesoft-FY13'!$K:$K,'Peoplesoft-FY13'!$S:$S,$B37,'Peoplesoft-FY13'!$Q:$Q,J$3)</f>
        <v>0</v>
      </c>
      <c r="K37" s="274">
        <f>SUMIFS('Peoplesoft-FY13'!$K:$K,'Peoplesoft-FY13'!$S:$S,$B37,'Peoplesoft-FY13'!$Q:$Q,K$3)</f>
        <v>0</v>
      </c>
      <c r="L37" s="274">
        <f>SUMIFS('Peoplesoft-FY13'!$K:$K,'Peoplesoft-FY13'!$S:$S,$B37,'Peoplesoft-FY13'!$Q:$Q,L$3)</f>
        <v>0</v>
      </c>
      <c r="M37" s="274">
        <f>SUMIFS('Peoplesoft-FY13'!$K:$K,'Peoplesoft-FY13'!$S:$S,$B37,'Peoplesoft-FY13'!$Q:$Q,M$3)</f>
        <v>0</v>
      </c>
      <c r="N37" s="274">
        <f>SUMIFS('Peoplesoft-FY13'!$K:$K,'Peoplesoft-FY13'!$S:$S,$B37,'Peoplesoft-FY13'!$Q:$Q,N$3)</f>
        <v>0</v>
      </c>
      <c r="O37" s="138">
        <f t="shared" si="1"/>
        <v>0</v>
      </c>
      <c r="P37" s="119">
        <f t="shared" si="2"/>
        <v>38.835000000000001</v>
      </c>
      <c r="Q37" s="120">
        <f t="shared" si="3"/>
        <v>0</v>
      </c>
      <c r="R37" s="121">
        <f t="shared" si="5"/>
        <v>1</v>
      </c>
      <c r="S37" s="99">
        <f t="shared" si="0"/>
        <v>1</v>
      </c>
    </row>
    <row r="38" spans="1:19" ht="13.2" x14ac:dyDescent="0.25">
      <c r="A38" s="260">
        <v>35</v>
      </c>
      <c r="B38" s="272">
        <v>5690</v>
      </c>
      <c r="C38" s="290" t="s">
        <v>49</v>
      </c>
      <c r="D38" s="274">
        <f>SUMIFS('Peoplesoft-FY13'!$K:$K,'Peoplesoft-FY13'!$S:$S,$B38,'Peoplesoft-FY13'!$Q:$Q,D$3)</f>
        <v>65.05</v>
      </c>
      <c r="E38" s="274">
        <f>SUMIFS('Peoplesoft-FY13'!$K:$K,'Peoplesoft-FY13'!$S:$S,$B38,'Peoplesoft-FY13'!$Q:$Q,E$3)</f>
        <v>0</v>
      </c>
      <c r="F38" s="274">
        <f>SUMIFS('Peoplesoft-FY13'!$K:$K,'Peoplesoft-FY13'!$S:$S,$B38,'Peoplesoft-FY13'!$Q:$Q,F$3)</f>
        <v>0</v>
      </c>
      <c r="G38" s="274">
        <f>SUMIFS('Peoplesoft-FY13'!$K:$K,'Peoplesoft-FY13'!$S:$S,$B38,'Peoplesoft-FY13'!$Q:$Q,G$3)</f>
        <v>0</v>
      </c>
      <c r="H38" s="274">
        <f>SUMIFS('Peoplesoft-FY13'!$K:$K,'Peoplesoft-FY13'!$S:$S,$B38,'Peoplesoft-FY13'!$Q:$Q,H$3)</f>
        <v>0</v>
      </c>
      <c r="I38" s="274">
        <f>SUMIFS('Peoplesoft-FY13'!$K:$K,'Peoplesoft-FY13'!$S:$S,$B38,'Peoplesoft-FY13'!$Q:$Q,I$3)</f>
        <v>0</v>
      </c>
      <c r="J38" s="274">
        <f>SUMIFS('Peoplesoft-FY13'!$K:$K,'Peoplesoft-FY13'!$S:$S,$B38,'Peoplesoft-FY13'!$Q:$Q,J$3)</f>
        <v>0</v>
      </c>
      <c r="K38" s="274">
        <f>SUMIFS('Peoplesoft-FY13'!$K:$K,'Peoplesoft-FY13'!$S:$S,$B38,'Peoplesoft-FY13'!$Q:$Q,K$3)</f>
        <v>0</v>
      </c>
      <c r="L38" s="274">
        <f>SUMIFS('Peoplesoft-FY13'!$K:$K,'Peoplesoft-FY13'!$S:$S,$B38,'Peoplesoft-FY13'!$Q:$Q,L$3)</f>
        <v>0</v>
      </c>
      <c r="M38" s="274">
        <f>SUMIFS('Peoplesoft-FY13'!$K:$K,'Peoplesoft-FY13'!$S:$S,$B38,'Peoplesoft-FY13'!$Q:$Q,M$3)</f>
        <v>0</v>
      </c>
      <c r="N38" s="274">
        <f>SUMIFS('Peoplesoft-FY13'!$K:$K,'Peoplesoft-FY13'!$S:$S,$B38,'Peoplesoft-FY13'!$Q:$Q,N$3)</f>
        <v>0</v>
      </c>
      <c r="O38" s="138">
        <f t="shared" si="1"/>
        <v>0</v>
      </c>
      <c r="P38" s="119">
        <f t="shared" si="2"/>
        <v>65.05</v>
      </c>
      <c r="Q38" s="120">
        <f t="shared" si="3"/>
        <v>0</v>
      </c>
      <c r="R38" s="121">
        <f t="shared" si="5"/>
        <v>1</v>
      </c>
      <c r="S38" s="99">
        <f t="shared" si="0"/>
        <v>1</v>
      </c>
    </row>
    <row r="39" spans="1:19" ht="13.2" x14ac:dyDescent="0.25">
      <c r="A39" s="260">
        <v>36</v>
      </c>
      <c r="B39" s="272">
        <v>5710</v>
      </c>
      <c r="C39" s="290" t="s">
        <v>50</v>
      </c>
      <c r="D39" s="274">
        <f>SUMIFS('Peoplesoft-FY13'!$K:$K,'Peoplesoft-FY13'!$S:$S,$B39,'Peoplesoft-FY13'!$Q:$Q,D$3)</f>
        <v>35.75</v>
      </c>
      <c r="E39" s="274">
        <f>SUMIFS('Peoplesoft-FY13'!$K:$K,'Peoplesoft-FY13'!$S:$S,$B39,'Peoplesoft-FY13'!$Q:$Q,E$3)</f>
        <v>0</v>
      </c>
      <c r="F39" s="274">
        <f>SUMIFS('Peoplesoft-FY13'!$K:$K,'Peoplesoft-FY13'!$S:$S,$B39,'Peoplesoft-FY13'!$Q:$Q,F$3)</f>
        <v>0</v>
      </c>
      <c r="G39" s="274">
        <f>SUMIFS('Peoplesoft-FY13'!$K:$K,'Peoplesoft-FY13'!$S:$S,$B39,'Peoplesoft-FY13'!$Q:$Q,G$3)</f>
        <v>0</v>
      </c>
      <c r="H39" s="274">
        <f>SUMIFS('Peoplesoft-FY13'!$K:$K,'Peoplesoft-FY13'!$S:$S,$B39,'Peoplesoft-FY13'!$Q:$Q,H$3)</f>
        <v>0</v>
      </c>
      <c r="I39" s="274">
        <f>SUMIFS('Peoplesoft-FY13'!$K:$K,'Peoplesoft-FY13'!$S:$S,$B39,'Peoplesoft-FY13'!$Q:$Q,I$3)</f>
        <v>0</v>
      </c>
      <c r="J39" s="274">
        <f>SUMIFS('Peoplesoft-FY13'!$K:$K,'Peoplesoft-FY13'!$S:$S,$B39,'Peoplesoft-FY13'!$Q:$Q,J$3)</f>
        <v>0</v>
      </c>
      <c r="K39" s="274">
        <f>SUMIFS('Peoplesoft-FY13'!$K:$K,'Peoplesoft-FY13'!$S:$S,$B39,'Peoplesoft-FY13'!$Q:$Q,K$3)</f>
        <v>0</v>
      </c>
      <c r="L39" s="274">
        <f>SUMIFS('Peoplesoft-FY13'!$K:$K,'Peoplesoft-FY13'!$S:$S,$B39,'Peoplesoft-FY13'!$Q:$Q,L$3)</f>
        <v>0</v>
      </c>
      <c r="M39" s="274">
        <f>SUMIFS('Peoplesoft-FY13'!$K:$K,'Peoplesoft-FY13'!$S:$S,$B39,'Peoplesoft-FY13'!$Q:$Q,M$3)</f>
        <v>0</v>
      </c>
      <c r="N39" s="274">
        <f>SUMIFS('Peoplesoft-FY13'!$K:$K,'Peoplesoft-FY13'!$S:$S,$B39,'Peoplesoft-FY13'!$Q:$Q,N$3)</f>
        <v>0</v>
      </c>
      <c r="O39" s="138">
        <f t="shared" si="1"/>
        <v>0</v>
      </c>
      <c r="P39" s="119">
        <f t="shared" si="2"/>
        <v>35.75</v>
      </c>
      <c r="Q39" s="120">
        <f t="shared" si="3"/>
        <v>0</v>
      </c>
      <c r="R39" s="121">
        <f t="shared" si="5"/>
        <v>1</v>
      </c>
      <c r="S39" s="99">
        <f t="shared" si="0"/>
        <v>1</v>
      </c>
    </row>
    <row r="40" spans="1:19" ht="13.2" x14ac:dyDescent="0.25">
      <c r="A40" s="260">
        <v>37</v>
      </c>
      <c r="B40" s="272">
        <v>5730</v>
      </c>
      <c r="C40" s="290" t="s">
        <v>51</v>
      </c>
      <c r="D40" s="274">
        <f>SUMIFS('Peoplesoft-FY13'!$K:$K,'Peoplesoft-FY13'!$S:$S,$B40,'Peoplesoft-FY13'!$Q:$Q,D$3)</f>
        <v>40.545000000000002</v>
      </c>
      <c r="E40" s="274">
        <f>SUMIFS('Peoplesoft-FY13'!$K:$K,'Peoplesoft-FY13'!$S:$S,$B40,'Peoplesoft-FY13'!$Q:$Q,E$3)</f>
        <v>0</v>
      </c>
      <c r="F40" s="274">
        <f>SUMIFS('Peoplesoft-FY13'!$K:$K,'Peoplesoft-FY13'!$S:$S,$B40,'Peoplesoft-FY13'!$Q:$Q,F$3)</f>
        <v>0</v>
      </c>
      <c r="G40" s="274">
        <f>SUMIFS('Peoplesoft-FY13'!$K:$K,'Peoplesoft-FY13'!$S:$S,$B40,'Peoplesoft-FY13'!$Q:$Q,G$3)</f>
        <v>0</v>
      </c>
      <c r="H40" s="274">
        <f>SUMIFS('Peoplesoft-FY13'!$K:$K,'Peoplesoft-FY13'!$S:$S,$B40,'Peoplesoft-FY13'!$Q:$Q,H$3)</f>
        <v>0</v>
      </c>
      <c r="I40" s="274">
        <f>SUMIFS('Peoplesoft-FY13'!$K:$K,'Peoplesoft-FY13'!$S:$S,$B40,'Peoplesoft-FY13'!$Q:$Q,I$3)</f>
        <v>0</v>
      </c>
      <c r="J40" s="274">
        <f>SUMIFS('Peoplesoft-FY13'!$K:$K,'Peoplesoft-FY13'!$S:$S,$B40,'Peoplesoft-FY13'!$Q:$Q,J$3)</f>
        <v>0</v>
      </c>
      <c r="K40" s="274">
        <f>SUMIFS('Peoplesoft-FY13'!$K:$K,'Peoplesoft-FY13'!$S:$S,$B40,'Peoplesoft-FY13'!$Q:$Q,K$3)</f>
        <v>0</v>
      </c>
      <c r="L40" s="274">
        <f>SUMIFS('Peoplesoft-FY13'!$K:$K,'Peoplesoft-FY13'!$S:$S,$B40,'Peoplesoft-FY13'!$Q:$Q,L$3)</f>
        <v>0</v>
      </c>
      <c r="M40" s="274">
        <f>SUMIFS('Peoplesoft-FY13'!$K:$K,'Peoplesoft-FY13'!$S:$S,$B40,'Peoplesoft-FY13'!$Q:$Q,M$3)</f>
        <v>0</v>
      </c>
      <c r="N40" s="274">
        <f>SUMIFS('Peoplesoft-FY13'!$K:$K,'Peoplesoft-FY13'!$S:$S,$B40,'Peoplesoft-FY13'!$Q:$Q,N$3)</f>
        <v>0</v>
      </c>
      <c r="O40" s="138">
        <f t="shared" si="1"/>
        <v>0</v>
      </c>
      <c r="P40" s="119">
        <f t="shared" si="2"/>
        <v>40.545000000000002</v>
      </c>
      <c r="Q40" s="120">
        <f t="shared" si="3"/>
        <v>0</v>
      </c>
      <c r="R40" s="121">
        <f t="shared" si="5"/>
        <v>1</v>
      </c>
      <c r="S40" s="99">
        <f t="shared" si="0"/>
        <v>1</v>
      </c>
    </row>
    <row r="41" spans="1:19" ht="13.2" x14ac:dyDescent="0.25">
      <c r="A41" s="260">
        <v>38</v>
      </c>
      <c r="B41" s="272">
        <v>5740</v>
      </c>
      <c r="C41" s="290" t="s">
        <v>52</v>
      </c>
      <c r="D41" s="274">
        <f>SUMIFS('Peoplesoft-FY13'!$K:$K,'Peoplesoft-FY13'!$S:$S,$B41,'Peoplesoft-FY13'!$Q:$Q,D$3)</f>
        <v>49.125</v>
      </c>
      <c r="E41" s="274">
        <f>SUMIFS('Peoplesoft-FY13'!$K:$K,'Peoplesoft-FY13'!$S:$S,$B41,'Peoplesoft-FY13'!$Q:$Q,E$3)</f>
        <v>0</v>
      </c>
      <c r="F41" s="274">
        <f>SUMIFS('Peoplesoft-FY13'!$K:$K,'Peoplesoft-FY13'!$S:$S,$B41,'Peoplesoft-FY13'!$Q:$Q,F$3)</f>
        <v>0</v>
      </c>
      <c r="G41" s="274">
        <f>SUMIFS('Peoplesoft-FY13'!$K:$K,'Peoplesoft-FY13'!$S:$S,$B41,'Peoplesoft-FY13'!$Q:$Q,G$3)</f>
        <v>0</v>
      </c>
      <c r="H41" s="274">
        <f>SUMIFS('Peoplesoft-FY13'!$K:$K,'Peoplesoft-FY13'!$S:$S,$B41,'Peoplesoft-FY13'!$Q:$Q,H$3)</f>
        <v>0</v>
      </c>
      <c r="I41" s="274">
        <f>SUMIFS('Peoplesoft-FY13'!$K:$K,'Peoplesoft-FY13'!$S:$S,$B41,'Peoplesoft-FY13'!$Q:$Q,I$3)</f>
        <v>0</v>
      </c>
      <c r="J41" s="274">
        <f>SUMIFS('Peoplesoft-FY13'!$K:$K,'Peoplesoft-FY13'!$S:$S,$B41,'Peoplesoft-FY13'!$Q:$Q,J$3)</f>
        <v>0</v>
      </c>
      <c r="K41" s="274">
        <f>SUMIFS('Peoplesoft-FY13'!$K:$K,'Peoplesoft-FY13'!$S:$S,$B41,'Peoplesoft-FY13'!$Q:$Q,K$3)</f>
        <v>0</v>
      </c>
      <c r="L41" s="274">
        <f>SUMIFS('Peoplesoft-FY13'!$K:$K,'Peoplesoft-FY13'!$S:$S,$B41,'Peoplesoft-FY13'!$Q:$Q,L$3)</f>
        <v>0</v>
      </c>
      <c r="M41" s="274">
        <f>SUMIFS('Peoplesoft-FY13'!$K:$K,'Peoplesoft-FY13'!$S:$S,$B41,'Peoplesoft-FY13'!$Q:$Q,M$3)</f>
        <v>0</v>
      </c>
      <c r="N41" s="274">
        <f>SUMIFS('Peoplesoft-FY13'!$K:$K,'Peoplesoft-FY13'!$S:$S,$B41,'Peoplesoft-FY13'!$Q:$Q,N$3)</f>
        <v>0</v>
      </c>
      <c r="O41" s="138">
        <f t="shared" si="1"/>
        <v>0</v>
      </c>
      <c r="P41" s="119">
        <f t="shared" si="2"/>
        <v>49.125</v>
      </c>
      <c r="Q41" s="120">
        <f t="shared" si="3"/>
        <v>0</v>
      </c>
      <c r="R41" s="121">
        <f t="shared" si="5"/>
        <v>1</v>
      </c>
      <c r="S41" s="99">
        <f t="shared" si="0"/>
        <v>1</v>
      </c>
    </row>
    <row r="42" spans="1:19" ht="13.2" x14ac:dyDescent="0.25">
      <c r="A42" s="260">
        <v>39</v>
      </c>
      <c r="B42" s="272">
        <v>5750</v>
      </c>
      <c r="C42" s="290" t="s">
        <v>53</v>
      </c>
      <c r="D42" s="274">
        <f>SUMIFS('Peoplesoft-FY13'!$K:$K,'Peoplesoft-FY13'!$S:$S,$B42,'Peoplesoft-FY13'!$Q:$Q,D$3)</f>
        <v>37.630000000000003</v>
      </c>
      <c r="E42" s="274">
        <f>SUMIFS('Peoplesoft-FY13'!$K:$K,'Peoplesoft-FY13'!$S:$S,$B42,'Peoplesoft-FY13'!$Q:$Q,E$3)</f>
        <v>0</v>
      </c>
      <c r="F42" s="274">
        <f>SUMIFS('Peoplesoft-FY13'!$K:$K,'Peoplesoft-FY13'!$S:$S,$B42,'Peoplesoft-FY13'!$Q:$Q,F$3)</f>
        <v>0</v>
      </c>
      <c r="G42" s="274">
        <f>SUMIFS('Peoplesoft-FY13'!$K:$K,'Peoplesoft-FY13'!$S:$S,$B42,'Peoplesoft-FY13'!$Q:$Q,G$3)</f>
        <v>0</v>
      </c>
      <c r="H42" s="274">
        <f>SUMIFS('Peoplesoft-FY13'!$K:$K,'Peoplesoft-FY13'!$S:$S,$B42,'Peoplesoft-FY13'!$Q:$Q,H$3)</f>
        <v>0</v>
      </c>
      <c r="I42" s="274">
        <f>SUMIFS('Peoplesoft-FY13'!$K:$K,'Peoplesoft-FY13'!$S:$S,$B42,'Peoplesoft-FY13'!$Q:$Q,I$3)</f>
        <v>0</v>
      </c>
      <c r="J42" s="274">
        <f>SUMIFS('Peoplesoft-FY13'!$K:$K,'Peoplesoft-FY13'!$S:$S,$B42,'Peoplesoft-FY13'!$Q:$Q,J$3)</f>
        <v>0</v>
      </c>
      <c r="K42" s="274">
        <f>SUMIFS('Peoplesoft-FY13'!$K:$K,'Peoplesoft-FY13'!$S:$S,$B42,'Peoplesoft-FY13'!$Q:$Q,K$3)</f>
        <v>0</v>
      </c>
      <c r="L42" s="274">
        <f>SUMIFS('Peoplesoft-FY13'!$K:$K,'Peoplesoft-FY13'!$S:$S,$B42,'Peoplesoft-FY13'!$Q:$Q,L$3)</f>
        <v>0</v>
      </c>
      <c r="M42" s="274">
        <f>SUMIFS('Peoplesoft-FY13'!$K:$K,'Peoplesoft-FY13'!$S:$S,$B42,'Peoplesoft-FY13'!$Q:$Q,M$3)</f>
        <v>0</v>
      </c>
      <c r="N42" s="274">
        <f>SUMIFS('Peoplesoft-FY13'!$K:$K,'Peoplesoft-FY13'!$S:$S,$B42,'Peoplesoft-FY13'!$Q:$Q,N$3)</f>
        <v>0</v>
      </c>
      <c r="O42" s="138">
        <f t="shared" si="1"/>
        <v>0</v>
      </c>
      <c r="P42" s="119">
        <f t="shared" si="2"/>
        <v>37.630000000000003</v>
      </c>
      <c r="Q42" s="120">
        <f t="shared" si="3"/>
        <v>0</v>
      </c>
      <c r="R42" s="121">
        <f t="shared" si="5"/>
        <v>1</v>
      </c>
      <c r="S42" s="99">
        <f t="shared" si="0"/>
        <v>1</v>
      </c>
    </row>
    <row r="43" spans="1:19" ht="13.2" x14ac:dyDescent="0.25">
      <c r="A43" s="260">
        <v>40</v>
      </c>
      <c r="B43" s="272">
        <v>5780</v>
      </c>
      <c r="C43" s="290" t="s">
        <v>54</v>
      </c>
      <c r="D43" s="274">
        <f>SUMIFS('Peoplesoft-FY13'!$K:$K,'Peoplesoft-FY13'!$S:$S,$B43,'Peoplesoft-FY13'!$Q:$Q,D$3)</f>
        <v>48.465000000000003</v>
      </c>
      <c r="E43" s="274">
        <f>SUMIFS('Peoplesoft-FY13'!$K:$K,'Peoplesoft-FY13'!$S:$S,$B43,'Peoplesoft-FY13'!$Q:$Q,E$3)</f>
        <v>0</v>
      </c>
      <c r="F43" s="274">
        <f>SUMIFS('Peoplesoft-FY13'!$K:$K,'Peoplesoft-FY13'!$S:$S,$B43,'Peoplesoft-FY13'!$Q:$Q,F$3)</f>
        <v>0</v>
      </c>
      <c r="G43" s="274">
        <f>SUMIFS('Peoplesoft-FY13'!$K:$K,'Peoplesoft-FY13'!$S:$S,$B43,'Peoplesoft-FY13'!$Q:$Q,G$3)</f>
        <v>0</v>
      </c>
      <c r="H43" s="274">
        <f>SUMIFS('Peoplesoft-FY13'!$K:$K,'Peoplesoft-FY13'!$S:$S,$B43,'Peoplesoft-FY13'!$Q:$Q,H$3)</f>
        <v>0</v>
      </c>
      <c r="I43" s="274">
        <f>SUMIFS('Peoplesoft-FY13'!$K:$K,'Peoplesoft-FY13'!$S:$S,$B43,'Peoplesoft-FY13'!$Q:$Q,I$3)</f>
        <v>0</v>
      </c>
      <c r="J43" s="274">
        <f>SUMIFS('Peoplesoft-FY13'!$K:$K,'Peoplesoft-FY13'!$S:$S,$B43,'Peoplesoft-FY13'!$Q:$Q,J$3)</f>
        <v>0</v>
      </c>
      <c r="K43" s="274">
        <f>SUMIFS('Peoplesoft-FY13'!$K:$K,'Peoplesoft-FY13'!$S:$S,$B43,'Peoplesoft-FY13'!$Q:$Q,K$3)</f>
        <v>0</v>
      </c>
      <c r="L43" s="274">
        <f>SUMIFS('Peoplesoft-FY13'!$K:$K,'Peoplesoft-FY13'!$S:$S,$B43,'Peoplesoft-FY13'!$Q:$Q,L$3)</f>
        <v>0</v>
      </c>
      <c r="M43" s="274">
        <f>SUMIFS('Peoplesoft-FY13'!$K:$K,'Peoplesoft-FY13'!$S:$S,$B43,'Peoplesoft-FY13'!$Q:$Q,M$3)</f>
        <v>0</v>
      </c>
      <c r="N43" s="274">
        <f>SUMIFS('Peoplesoft-FY13'!$K:$K,'Peoplesoft-FY13'!$S:$S,$B43,'Peoplesoft-FY13'!$Q:$Q,N$3)</f>
        <v>0</v>
      </c>
      <c r="O43" s="138">
        <f t="shared" si="1"/>
        <v>0</v>
      </c>
      <c r="P43" s="119">
        <f t="shared" si="2"/>
        <v>48.465000000000003</v>
      </c>
      <c r="Q43" s="120">
        <f t="shared" si="3"/>
        <v>0</v>
      </c>
      <c r="R43" s="121">
        <f t="shared" si="5"/>
        <v>1</v>
      </c>
      <c r="S43" s="99">
        <f t="shared" si="0"/>
        <v>1</v>
      </c>
    </row>
    <row r="44" spans="1:19" ht="13.2" x14ac:dyDescent="0.25">
      <c r="A44" s="260">
        <v>41</v>
      </c>
      <c r="B44" s="272">
        <v>5790</v>
      </c>
      <c r="C44" s="290" t="s">
        <v>55</v>
      </c>
      <c r="D44" s="274">
        <f>SUMIFS('Peoplesoft-FY13'!$K:$K,'Peoplesoft-FY13'!$S:$S,$B44,'Peoplesoft-FY13'!$Q:$Q,D$3)</f>
        <v>34.690000000000005</v>
      </c>
      <c r="E44" s="274">
        <f>SUMIFS('Peoplesoft-FY13'!$K:$K,'Peoplesoft-FY13'!$S:$S,$B44,'Peoplesoft-FY13'!$Q:$Q,E$3)</f>
        <v>0</v>
      </c>
      <c r="F44" s="274">
        <f>SUMIFS('Peoplesoft-FY13'!$K:$K,'Peoplesoft-FY13'!$S:$S,$B44,'Peoplesoft-FY13'!$Q:$Q,F$3)</f>
        <v>0</v>
      </c>
      <c r="G44" s="274">
        <f>SUMIFS('Peoplesoft-FY13'!$K:$K,'Peoplesoft-FY13'!$S:$S,$B44,'Peoplesoft-FY13'!$Q:$Q,G$3)</f>
        <v>0</v>
      </c>
      <c r="H44" s="274">
        <f>SUMIFS('Peoplesoft-FY13'!$K:$K,'Peoplesoft-FY13'!$S:$S,$B44,'Peoplesoft-FY13'!$Q:$Q,H$3)</f>
        <v>0</v>
      </c>
      <c r="I44" s="274">
        <f>SUMIFS('Peoplesoft-FY13'!$K:$K,'Peoplesoft-FY13'!$S:$S,$B44,'Peoplesoft-FY13'!$Q:$Q,I$3)</f>
        <v>0</v>
      </c>
      <c r="J44" s="274">
        <f>SUMIFS('Peoplesoft-FY13'!$K:$K,'Peoplesoft-FY13'!$S:$S,$B44,'Peoplesoft-FY13'!$Q:$Q,J$3)</f>
        <v>0</v>
      </c>
      <c r="K44" s="274">
        <f>SUMIFS('Peoplesoft-FY13'!$K:$K,'Peoplesoft-FY13'!$S:$S,$B44,'Peoplesoft-FY13'!$Q:$Q,K$3)</f>
        <v>0</v>
      </c>
      <c r="L44" s="274">
        <f>SUMIFS('Peoplesoft-FY13'!$K:$K,'Peoplesoft-FY13'!$S:$S,$B44,'Peoplesoft-FY13'!$Q:$Q,L$3)</f>
        <v>0</v>
      </c>
      <c r="M44" s="274">
        <f>SUMIFS('Peoplesoft-FY13'!$K:$K,'Peoplesoft-FY13'!$S:$S,$B44,'Peoplesoft-FY13'!$Q:$Q,M$3)</f>
        <v>0</v>
      </c>
      <c r="N44" s="274">
        <f>SUMIFS('Peoplesoft-FY13'!$K:$K,'Peoplesoft-FY13'!$S:$S,$B44,'Peoplesoft-FY13'!$Q:$Q,N$3)</f>
        <v>0</v>
      </c>
      <c r="O44" s="138">
        <f t="shared" si="1"/>
        <v>0</v>
      </c>
      <c r="P44" s="119">
        <f t="shared" si="2"/>
        <v>34.690000000000005</v>
      </c>
      <c r="Q44" s="120">
        <f t="shared" si="3"/>
        <v>0</v>
      </c>
      <c r="R44" s="121">
        <f t="shared" si="5"/>
        <v>1</v>
      </c>
      <c r="S44" s="99">
        <f t="shared" si="0"/>
        <v>1</v>
      </c>
    </row>
    <row r="45" spans="1:19" ht="13.2" x14ac:dyDescent="0.25">
      <c r="A45" s="260">
        <v>42</v>
      </c>
      <c r="B45" s="272">
        <v>5820</v>
      </c>
      <c r="C45" s="290" t="s">
        <v>56</v>
      </c>
      <c r="D45" s="274">
        <f>SUMIFS('Peoplesoft-FY13'!$K:$K,'Peoplesoft-FY13'!$S:$S,$B45,'Peoplesoft-FY13'!$Q:$Q,D$3)</f>
        <v>28.215000000000003</v>
      </c>
      <c r="E45" s="274">
        <f>SUMIFS('Peoplesoft-FY13'!$K:$K,'Peoplesoft-FY13'!$S:$S,$B45,'Peoplesoft-FY13'!$Q:$Q,E$3)</f>
        <v>0</v>
      </c>
      <c r="F45" s="274">
        <f>SUMIFS('Peoplesoft-FY13'!$K:$K,'Peoplesoft-FY13'!$S:$S,$B45,'Peoplesoft-FY13'!$Q:$Q,F$3)</f>
        <v>0</v>
      </c>
      <c r="G45" s="274">
        <f>SUMIFS('Peoplesoft-FY13'!$K:$K,'Peoplesoft-FY13'!$S:$S,$B45,'Peoplesoft-FY13'!$Q:$Q,G$3)</f>
        <v>0</v>
      </c>
      <c r="H45" s="274">
        <f>SUMIFS('Peoplesoft-FY13'!$K:$K,'Peoplesoft-FY13'!$S:$S,$B45,'Peoplesoft-FY13'!$Q:$Q,H$3)</f>
        <v>0</v>
      </c>
      <c r="I45" s="274">
        <f>SUMIFS('Peoplesoft-FY13'!$K:$K,'Peoplesoft-FY13'!$S:$S,$B45,'Peoplesoft-FY13'!$Q:$Q,I$3)</f>
        <v>0</v>
      </c>
      <c r="J45" s="274">
        <f>SUMIFS('Peoplesoft-FY13'!$K:$K,'Peoplesoft-FY13'!$S:$S,$B45,'Peoplesoft-FY13'!$Q:$Q,J$3)</f>
        <v>0</v>
      </c>
      <c r="K45" s="274">
        <f>SUMIFS('Peoplesoft-FY13'!$K:$K,'Peoplesoft-FY13'!$S:$S,$B45,'Peoplesoft-FY13'!$Q:$Q,K$3)</f>
        <v>0</v>
      </c>
      <c r="L45" s="274">
        <f>SUMIFS('Peoplesoft-FY13'!$K:$K,'Peoplesoft-FY13'!$S:$S,$B45,'Peoplesoft-FY13'!$Q:$Q,L$3)</f>
        <v>0</v>
      </c>
      <c r="M45" s="274">
        <f>SUMIFS('Peoplesoft-FY13'!$K:$K,'Peoplesoft-FY13'!$S:$S,$B45,'Peoplesoft-FY13'!$Q:$Q,M$3)</f>
        <v>0</v>
      </c>
      <c r="N45" s="274">
        <f>SUMIFS('Peoplesoft-FY13'!$K:$K,'Peoplesoft-FY13'!$S:$S,$B45,'Peoplesoft-FY13'!$Q:$Q,N$3)</f>
        <v>0</v>
      </c>
      <c r="O45" s="138">
        <f t="shared" si="1"/>
        <v>0</v>
      </c>
      <c r="P45" s="119">
        <f t="shared" si="2"/>
        <v>28.215000000000003</v>
      </c>
      <c r="Q45" s="120">
        <f t="shared" si="3"/>
        <v>0</v>
      </c>
      <c r="R45" s="121">
        <f t="shared" si="5"/>
        <v>1</v>
      </c>
      <c r="S45" s="99">
        <f t="shared" si="0"/>
        <v>1</v>
      </c>
    </row>
    <row r="46" spans="1:19" ht="13.2" x14ac:dyDescent="0.25">
      <c r="A46" s="260">
        <v>43</v>
      </c>
      <c r="B46" s="272">
        <v>5830</v>
      </c>
      <c r="C46" s="290" t="s">
        <v>57</v>
      </c>
      <c r="D46" s="274">
        <f>SUMIFS('Peoplesoft-FY13'!$K:$K,'Peoplesoft-FY13'!$S:$S,$B46,'Peoplesoft-FY13'!$Q:$Q,D$3)</f>
        <v>56.045000000000002</v>
      </c>
      <c r="E46" s="274">
        <f>SUMIFS('Peoplesoft-FY13'!$K:$K,'Peoplesoft-FY13'!$S:$S,$B46,'Peoplesoft-FY13'!$Q:$Q,E$3)</f>
        <v>0</v>
      </c>
      <c r="F46" s="274">
        <f>SUMIFS('Peoplesoft-FY13'!$K:$K,'Peoplesoft-FY13'!$S:$S,$B46,'Peoplesoft-FY13'!$Q:$Q,F$3)</f>
        <v>0</v>
      </c>
      <c r="G46" s="274">
        <f>SUMIFS('Peoplesoft-FY13'!$K:$K,'Peoplesoft-FY13'!$S:$S,$B46,'Peoplesoft-FY13'!$Q:$Q,G$3)</f>
        <v>0</v>
      </c>
      <c r="H46" s="274">
        <f>SUMIFS('Peoplesoft-FY13'!$K:$K,'Peoplesoft-FY13'!$S:$S,$B46,'Peoplesoft-FY13'!$Q:$Q,H$3)</f>
        <v>0</v>
      </c>
      <c r="I46" s="274">
        <f>SUMIFS('Peoplesoft-FY13'!$K:$K,'Peoplesoft-FY13'!$S:$S,$B46,'Peoplesoft-FY13'!$Q:$Q,I$3)</f>
        <v>0</v>
      </c>
      <c r="J46" s="274">
        <f>SUMIFS('Peoplesoft-FY13'!$K:$K,'Peoplesoft-FY13'!$S:$S,$B46,'Peoplesoft-FY13'!$Q:$Q,J$3)</f>
        <v>0</v>
      </c>
      <c r="K46" s="274">
        <f>SUMIFS('Peoplesoft-FY13'!$K:$K,'Peoplesoft-FY13'!$S:$S,$B46,'Peoplesoft-FY13'!$Q:$Q,K$3)</f>
        <v>0</v>
      </c>
      <c r="L46" s="274">
        <f>SUMIFS('Peoplesoft-FY13'!$K:$K,'Peoplesoft-FY13'!$S:$S,$B46,'Peoplesoft-FY13'!$Q:$Q,L$3)</f>
        <v>0</v>
      </c>
      <c r="M46" s="274">
        <f>SUMIFS('Peoplesoft-FY13'!$K:$K,'Peoplesoft-FY13'!$S:$S,$B46,'Peoplesoft-FY13'!$Q:$Q,M$3)</f>
        <v>0</v>
      </c>
      <c r="N46" s="274">
        <f>SUMIFS('Peoplesoft-FY13'!$K:$K,'Peoplesoft-FY13'!$S:$S,$B46,'Peoplesoft-FY13'!$Q:$Q,N$3)</f>
        <v>0</v>
      </c>
      <c r="O46" s="138">
        <f t="shared" si="1"/>
        <v>0</v>
      </c>
      <c r="P46" s="119">
        <f t="shared" si="2"/>
        <v>56.045000000000002</v>
      </c>
      <c r="Q46" s="120">
        <f t="shared" si="3"/>
        <v>0</v>
      </c>
      <c r="R46" s="121">
        <f t="shared" si="5"/>
        <v>1</v>
      </c>
      <c r="S46" s="99">
        <f t="shared" si="0"/>
        <v>1</v>
      </c>
    </row>
    <row r="47" spans="1:19" ht="13.2" x14ac:dyDescent="0.25">
      <c r="A47" s="260">
        <v>44</v>
      </c>
      <c r="B47" s="272">
        <v>5840</v>
      </c>
      <c r="C47" s="290" t="s">
        <v>58</v>
      </c>
      <c r="D47" s="274">
        <f>SUMIFS('Peoplesoft-FY13'!$K:$K,'Peoplesoft-FY13'!$S:$S,$B47,'Peoplesoft-FY13'!$Q:$Q,D$3)</f>
        <v>45.085000000000001</v>
      </c>
      <c r="E47" s="274">
        <f>SUMIFS('Peoplesoft-FY13'!$K:$K,'Peoplesoft-FY13'!$S:$S,$B47,'Peoplesoft-FY13'!$Q:$Q,E$3)</f>
        <v>0</v>
      </c>
      <c r="F47" s="274">
        <f>SUMIFS('Peoplesoft-FY13'!$K:$K,'Peoplesoft-FY13'!$S:$S,$B47,'Peoplesoft-FY13'!$Q:$Q,F$3)</f>
        <v>0</v>
      </c>
      <c r="G47" s="274">
        <f>SUMIFS('Peoplesoft-FY13'!$K:$K,'Peoplesoft-FY13'!$S:$S,$B47,'Peoplesoft-FY13'!$Q:$Q,G$3)</f>
        <v>0</v>
      </c>
      <c r="H47" s="274">
        <f>SUMIFS('Peoplesoft-FY13'!$K:$K,'Peoplesoft-FY13'!$S:$S,$B47,'Peoplesoft-FY13'!$Q:$Q,H$3)</f>
        <v>0</v>
      </c>
      <c r="I47" s="274">
        <f>SUMIFS('Peoplesoft-FY13'!$K:$K,'Peoplesoft-FY13'!$S:$S,$B47,'Peoplesoft-FY13'!$Q:$Q,I$3)</f>
        <v>0</v>
      </c>
      <c r="J47" s="274">
        <f>SUMIFS('Peoplesoft-FY13'!$K:$K,'Peoplesoft-FY13'!$S:$S,$B47,'Peoplesoft-FY13'!$Q:$Q,J$3)</f>
        <v>0</v>
      </c>
      <c r="K47" s="274">
        <f>SUMIFS('Peoplesoft-FY13'!$K:$K,'Peoplesoft-FY13'!$S:$S,$B47,'Peoplesoft-FY13'!$Q:$Q,K$3)</f>
        <v>0</v>
      </c>
      <c r="L47" s="274">
        <f>SUMIFS('Peoplesoft-FY13'!$K:$K,'Peoplesoft-FY13'!$S:$S,$B47,'Peoplesoft-FY13'!$Q:$Q,L$3)</f>
        <v>0</v>
      </c>
      <c r="M47" s="274">
        <f>SUMIFS('Peoplesoft-FY13'!$K:$K,'Peoplesoft-FY13'!$S:$S,$B47,'Peoplesoft-FY13'!$Q:$Q,M$3)</f>
        <v>0</v>
      </c>
      <c r="N47" s="274">
        <f>SUMIFS('Peoplesoft-FY13'!$K:$K,'Peoplesoft-FY13'!$S:$S,$B47,'Peoplesoft-FY13'!$Q:$Q,N$3)</f>
        <v>0</v>
      </c>
      <c r="O47" s="138">
        <f t="shared" si="1"/>
        <v>0</v>
      </c>
      <c r="P47" s="119">
        <f t="shared" si="2"/>
        <v>45.085000000000001</v>
      </c>
      <c r="Q47" s="120">
        <f t="shared" si="3"/>
        <v>0</v>
      </c>
      <c r="R47" s="121">
        <f t="shared" si="5"/>
        <v>1</v>
      </c>
      <c r="S47" s="99">
        <f t="shared" si="0"/>
        <v>1</v>
      </c>
    </row>
    <row r="48" spans="1:19" ht="13.2" x14ac:dyDescent="0.25">
      <c r="A48" s="260">
        <v>45</v>
      </c>
      <c r="B48" s="272">
        <v>5850</v>
      </c>
      <c r="C48" s="290" t="s">
        <v>59</v>
      </c>
      <c r="D48" s="274">
        <f>SUMIFS('Peoplesoft-FY13'!$K:$K,'Peoplesoft-FY13'!$S:$S,$B48,'Peoplesoft-FY13'!$Q:$Q,D$3)</f>
        <v>58.300000000000004</v>
      </c>
      <c r="E48" s="274">
        <f>SUMIFS('Peoplesoft-FY13'!$K:$K,'Peoplesoft-FY13'!$S:$S,$B48,'Peoplesoft-FY13'!$Q:$Q,E$3)</f>
        <v>0</v>
      </c>
      <c r="F48" s="274">
        <f>SUMIFS('Peoplesoft-FY13'!$K:$K,'Peoplesoft-FY13'!$S:$S,$B48,'Peoplesoft-FY13'!$Q:$Q,F$3)</f>
        <v>0</v>
      </c>
      <c r="G48" s="274">
        <f>SUMIFS('Peoplesoft-FY13'!$K:$K,'Peoplesoft-FY13'!$S:$S,$B48,'Peoplesoft-FY13'!$Q:$Q,G$3)</f>
        <v>0</v>
      </c>
      <c r="H48" s="274">
        <f>SUMIFS('Peoplesoft-FY13'!$K:$K,'Peoplesoft-FY13'!$S:$S,$B48,'Peoplesoft-FY13'!$Q:$Q,H$3)</f>
        <v>0</v>
      </c>
      <c r="I48" s="274">
        <f>SUMIFS('Peoplesoft-FY13'!$K:$K,'Peoplesoft-FY13'!$S:$S,$B48,'Peoplesoft-FY13'!$Q:$Q,I$3)</f>
        <v>0</v>
      </c>
      <c r="J48" s="274">
        <f>SUMIFS('Peoplesoft-FY13'!$K:$K,'Peoplesoft-FY13'!$S:$S,$B48,'Peoplesoft-FY13'!$Q:$Q,J$3)</f>
        <v>0</v>
      </c>
      <c r="K48" s="274">
        <f>SUMIFS('Peoplesoft-FY13'!$K:$K,'Peoplesoft-FY13'!$S:$S,$B48,'Peoplesoft-FY13'!$Q:$Q,K$3)</f>
        <v>0</v>
      </c>
      <c r="L48" s="274">
        <f>SUMIFS('Peoplesoft-FY13'!$K:$K,'Peoplesoft-FY13'!$S:$S,$B48,'Peoplesoft-FY13'!$Q:$Q,L$3)</f>
        <v>0</v>
      </c>
      <c r="M48" s="274">
        <f>SUMIFS('Peoplesoft-FY13'!$K:$K,'Peoplesoft-FY13'!$S:$S,$B48,'Peoplesoft-FY13'!$Q:$Q,M$3)</f>
        <v>0</v>
      </c>
      <c r="N48" s="274">
        <f>SUMIFS('Peoplesoft-FY13'!$K:$K,'Peoplesoft-FY13'!$S:$S,$B48,'Peoplesoft-FY13'!$Q:$Q,N$3)</f>
        <v>0</v>
      </c>
      <c r="O48" s="138">
        <f t="shared" si="1"/>
        <v>0</v>
      </c>
      <c r="P48" s="119">
        <f t="shared" si="2"/>
        <v>58.300000000000004</v>
      </c>
      <c r="Q48" s="120">
        <f t="shared" si="3"/>
        <v>0</v>
      </c>
      <c r="R48" s="121">
        <f t="shared" si="5"/>
        <v>1</v>
      </c>
      <c r="S48" s="99">
        <f t="shared" si="0"/>
        <v>1</v>
      </c>
    </row>
    <row r="49" spans="1:200" ht="13.2" x14ac:dyDescent="0.25">
      <c r="A49" s="260">
        <v>46</v>
      </c>
      <c r="B49" s="272">
        <v>5860</v>
      </c>
      <c r="C49" s="290" t="s">
        <v>60</v>
      </c>
      <c r="D49" s="274">
        <f>SUMIFS('Peoplesoft-FY13'!$K:$K,'Peoplesoft-FY13'!$S:$S,$B49,'Peoplesoft-FY13'!$Q:$Q,D$3)</f>
        <v>53.085000000000001</v>
      </c>
      <c r="E49" s="274">
        <f>SUMIFS('Peoplesoft-FY13'!$K:$K,'Peoplesoft-FY13'!$S:$S,$B49,'Peoplesoft-FY13'!$Q:$Q,E$3)</f>
        <v>0</v>
      </c>
      <c r="F49" s="274">
        <f>SUMIFS('Peoplesoft-FY13'!$K:$K,'Peoplesoft-FY13'!$S:$S,$B49,'Peoplesoft-FY13'!$Q:$Q,F$3)</f>
        <v>0</v>
      </c>
      <c r="G49" s="274">
        <f>SUMIFS('Peoplesoft-FY13'!$K:$K,'Peoplesoft-FY13'!$S:$S,$B49,'Peoplesoft-FY13'!$Q:$Q,G$3)</f>
        <v>0</v>
      </c>
      <c r="H49" s="274">
        <f>SUMIFS('Peoplesoft-FY13'!$K:$K,'Peoplesoft-FY13'!$S:$S,$B49,'Peoplesoft-FY13'!$Q:$Q,H$3)</f>
        <v>0</v>
      </c>
      <c r="I49" s="274">
        <f>SUMIFS('Peoplesoft-FY13'!$K:$K,'Peoplesoft-FY13'!$S:$S,$B49,'Peoplesoft-FY13'!$Q:$Q,I$3)</f>
        <v>0</v>
      </c>
      <c r="J49" s="274">
        <f>SUMIFS('Peoplesoft-FY13'!$K:$K,'Peoplesoft-FY13'!$S:$S,$B49,'Peoplesoft-FY13'!$Q:$Q,J$3)</f>
        <v>0</v>
      </c>
      <c r="K49" s="274">
        <f>SUMIFS('Peoplesoft-FY13'!$K:$K,'Peoplesoft-FY13'!$S:$S,$B49,'Peoplesoft-FY13'!$Q:$Q,K$3)</f>
        <v>0</v>
      </c>
      <c r="L49" s="274">
        <f>SUMIFS('Peoplesoft-FY13'!$K:$K,'Peoplesoft-FY13'!$S:$S,$B49,'Peoplesoft-FY13'!$Q:$Q,L$3)</f>
        <v>0</v>
      </c>
      <c r="M49" s="274">
        <f>SUMIFS('Peoplesoft-FY13'!$K:$K,'Peoplesoft-FY13'!$S:$S,$B49,'Peoplesoft-FY13'!$Q:$Q,M$3)</f>
        <v>0</v>
      </c>
      <c r="N49" s="274">
        <f>SUMIFS('Peoplesoft-FY13'!$K:$K,'Peoplesoft-FY13'!$S:$S,$B49,'Peoplesoft-FY13'!$Q:$Q,N$3)</f>
        <v>0</v>
      </c>
      <c r="O49" s="138">
        <f t="shared" si="1"/>
        <v>0</v>
      </c>
      <c r="P49" s="119">
        <f t="shared" si="2"/>
        <v>53.085000000000001</v>
      </c>
      <c r="Q49" s="120">
        <f t="shared" si="3"/>
        <v>0</v>
      </c>
      <c r="R49" s="121">
        <f t="shared" si="5"/>
        <v>1</v>
      </c>
      <c r="S49" s="99">
        <f t="shared" si="0"/>
        <v>1</v>
      </c>
    </row>
    <row r="50" spans="1:200" ht="13.2" x14ac:dyDescent="0.25">
      <c r="A50" s="260">
        <v>47</v>
      </c>
      <c r="B50" s="272">
        <v>5870</v>
      </c>
      <c r="C50" s="290" t="s">
        <v>61</v>
      </c>
      <c r="D50" s="274">
        <f>SUMIFS('Peoplesoft-FY13'!$K:$K,'Peoplesoft-FY13'!$S:$S,$B50,'Peoplesoft-FY13'!$Q:$Q,D$3)</f>
        <v>12.875</v>
      </c>
      <c r="E50" s="274">
        <f>SUMIFS('Peoplesoft-FY13'!$K:$K,'Peoplesoft-FY13'!$S:$S,$B50,'Peoplesoft-FY13'!$Q:$Q,E$3)</f>
        <v>0</v>
      </c>
      <c r="F50" s="274">
        <f>SUMIFS('Peoplesoft-FY13'!$K:$K,'Peoplesoft-FY13'!$S:$S,$B50,'Peoplesoft-FY13'!$Q:$Q,F$3)</f>
        <v>0</v>
      </c>
      <c r="G50" s="274">
        <f>SUMIFS('Peoplesoft-FY13'!$K:$K,'Peoplesoft-FY13'!$S:$S,$B50,'Peoplesoft-FY13'!$Q:$Q,G$3)</f>
        <v>0</v>
      </c>
      <c r="H50" s="274">
        <f>SUMIFS('Peoplesoft-FY13'!$K:$K,'Peoplesoft-FY13'!$S:$S,$B50,'Peoplesoft-FY13'!$Q:$Q,H$3)</f>
        <v>0</v>
      </c>
      <c r="I50" s="274">
        <f>SUMIFS('Peoplesoft-FY13'!$K:$K,'Peoplesoft-FY13'!$S:$S,$B50,'Peoplesoft-FY13'!$Q:$Q,I$3)</f>
        <v>0</v>
      </c>
      <c r="J50" s="274">
        <f>SUMIFS('Peoplesoft-FY13'!$K:$K,'Peoplesoft-FY13'!$S:$S,$B50,'Peoplesoft-FY13'!$Q:$Q,J$3)</f>
        <v>0</v>
      </c>
      <c r="K50" s="274">
        <f>SUMIFS('Peoplesoft-FY13'!$K:$K,'Peoplesoft-FY13'!$S:$S,$B50,'Peoplesoft-FY13'!$Q:$Q,K$3)</f>
        <v>0</v>
      </c>
      <c r="L50" s="274">
        <f>SUMIFS('Peoplesoft-FY13'!$K:$K,'Peoplesoft-FY13'!$S:$S,$B50,'Peoplesoft-FY13'!$Q:$Q,L$3)</f>
        <v>0</v>
      </c>
      <c r="M50" s="274">
        <f>SUMIFS('Peoplesoft-FY13'!$K:$K,'Peoplesoft-FY13'!$S:$S,$B50,'Peoplesoft-FY13'!$Q:$Q,M$3)</f>
        <v>0</v>
      </c>
      <c r="N50" s="274">
        <f>SUMIFS('Peoplesoft-FY13'!$K:$K,'Peoplesoft-FY13'!$S:$S,$B50,'Peoplesoft-FY13'!$Q:$Q,N$3)</f>
        <v>0</v>
      </c>
      <c r="O50" s="138">
        <f t="shared" si="1"/>
        <v>0</v>
      </c>
      <c r="P50" s="119">
        <f t="shared" si="2"/>
        <v>12.875</v>
      </c>
      <c r="Q50" s="120">
        <f t="shared" si="3"/>
        <v>0</v>
      </c>
      <c r="R50" s="121">
        <f t="shared" si="5"/>
        <v>1</v>
      </c>
      <c r="S50" s="99">
        <f t="shared" si="0"/>
        <v>1</v>
      </c>
    </row>
    <row r="51" spans="1:200" ht="13.2" x14ac:dyDescent="0.25">
      <c r="A51" s="260">
        <v>48</v>
      </c>
      <c r="B51" s="272">
        <v>5880</v>
      </c>
      <c r="C51" s="291" t="s">
        <v>143</v>
      </c>
      <c r="D51" s="274">
        <f>SUMIFS('Peoplesoft-FY13'!$K:$K,'Peoplesoft-FY13'!$S:$S,$B51,'Peoplesoft-FY13'!$Q:$Q,D$3)</f>
        <v>20.545000000000002</v>
      </c>
      <c r="E51" s="274">
        <f>SUMIFS('Peoplesoft-FY13'!$K:$K,'Peoplesoft-FY13'!$S:$S,$B51,'Peoplesoft-FY13'!$Q:$Q,E$3)</f>
        <v>0</v>
      </c>
      <c r="F51" s="274">
        <f>SUMIFS('Peoplesoft-FY13'!$K:$K,'Peoplesoft-FY13'!$S:$S,$B51,'Peoplesoft-FY13'!$Q:$Q,F$3)</f>
        <v>0</v>
      </c>
      <c r="G51" s="274">
        <f>SUMIFS('Peoplesoft-FY13'!$K:$K,'Peoplesoft-FY13'!$S:$S,$B51,'Peoplesoft-FY13'!$Q:$Q,G$3)</f>
        <v>0</v>
      </c>
      <c r="H51" s="274">
        <f>SUMIFS('Peoplesoft-FY13'!$K:$K,'Peoplesoft-FY13'!$S:$S,$B51,'Peoplesoft-FY13'!$Q:$Q,H$3)</f>
        <v>0</v>
      </c>
      <c r="I51" s="274">
        <f>SUMIFS('Peoplesoft-FY13'!$K:$K,'Peoplesoft-FY13'!$S:$S,$B51,'Peoplesoft-FY13'!$Q:$Q,I$3)</f>
        <v>0</v>
      </c>
      <c r="J51" s="274">
        <f>SUMIFS('Peoplesoft-FY13'!$K:$K,'Peoplesoft-FY13'!$S:$S,$B51,'Peoplesoft-FY13'!$Q:$Q,J$3)</f>
        <v>0</v>
      </c>
      <c r="K51" s="274">
        <f>SUMIFS('Peoplesoft-FY13'!$K:$K,'Peoplesoft-FY13'!$S:$S,$B51,'Peoplesoft-FY13'!$Q:$Q,K$3)</f>
        <v>0</v>
      </c>
      <c r="L51" s="274">
        <f>SUMIFS('Peoplesoft-FY13'!$K:$K,'Peoplesoft-FY13'!$S:$S,$B51,'Peoplesoft-FY13'!$Q:$Q,L$3)</f>
        <v>0</v>
      </c>
      <c r="M51" s="274">
        <f>SUMIFS('Peoplesoft-FY13'!$K:$K,'Peoplesoft-FY13'!$S:$S,$B51,'Peoplesoft-FY13'!$Q:$Q,M$3)</f>
        <v>0</v>
      </c>
      <c r="N51" s="274">
        <f>SUMIFS('Peoplesoft-FY13'!$K:$K,'Peoplesoft-FY13'!$S:$S,$B51,'Peoplesoft-FY13'!$Q:$Q,N$3)</f>
        <v>0</v>
      </c>
      <c r="O51" s="138">
        <f t="shared" si="1"/>
        <v>0</v>
      </c>
      <c r="P51" s="119">
        <f t="shared" si="2"/>
        <v>20.545000000000002</v>
      </c>
      <c r="Q51" s="120">
        <f t="shared" si="3"/>
        <v>0</v>
      </c>
      <c r="R51" s="121">
        <f t="shared" si="5"/>
        <v>1</v>
      </c>
      <c r="S51" s="99">
        <f t="shared" si="0"/>
        <v>1</v>
      </c>
    </row>
    <row r="52" spans="1:200" ht="13.2" x14ac:dyDescent="0.25">
      <c r="A52" s="260">
        <v>49</v>
      </c>
      <c r="B52" s="272">
        <v>5900</v>
      </c>
      <c r="C52" s="290" t="s">
        <v>63</v>
      </c>
      <c r="D52" s="274">
        <f>SUMIFS('Peoplesoft-FY13'!$K:$K,'Peoplesoft-FY13'!$S:$S,$B52,'Peoplesoft-FY13'!$Q:$Q,D$3)</f>
        <v>40.795000000000002</v>
      </c>
      <c r="E52" s="274">
        <f>SUMIFS('Peoplesoft-FY13'!$K:$K,'Peoplesoft-FY13'!$S:$S,$B52,'Peoplesoft-FY13'!$Q:$Q,E$3)</f>
        <v>0</v>
      </c>
      <c r="F52" s="274">
        <f>SUMIFS('Peoplesoft-FY13'!$K:$K,'Peoplesoft-FY13'!$S:$S,$B52,'Peoplesoft-FY13'!$Q:$Q,F$3)</f>
        <v>0</v>
      </c>
      <c r="G52" s="274">
        <f>SUMIFS('Peoplesoft-FY13'!$K:$K,'Peoplesoft-FY13'!$S:$S,$B52,'Peoplesoft-FY13'!$Q:$Q,G$3)</f>
        <v>0</v>
      </c>
      <c r="H52" s="274">
        <f>SUMIFS('Peoplesoft-FY13'!$K:$K,'Peoplesoft-FY13'!$S:$S,$B52,'Peoplesoft-FY13'!$Q:$Q,H$3)</f>
        <v>0</v>
      </c>
      <c r="I52" s="274">
        <f>SUMIFS('Peoplesoft-FY13'!$K:$K,'Peoplesoft-FY13'!$S:$S,$B52,'Peoplesoft-FY13'!$Q:$Q,I$3)</f>
        <v>0</v>
      </c>
      <c r="J52" s="274">
        <f>SUMIFS('Peoplesoft-FY13'!$K:$K,'Peoplesoft-FY13'!$S:$S,$B52,'Peoplesoft-FY13'!$Q:$Q,J$3)</f>
        <v>0</v>
      </c>
      <c r="K52" s="274">
        <f>SUMIFS('Peoplesoft-FY13'!$K:$K,'Peoplesoft-FY13'!$S:$S,$B52,'Peoplesoft-FY13'!$Q:$Q,K$3)</f>
        <v>0</v>
      </c>
      <c r="L52" s="274">
        <f>SUMIFS('Peoplesoft-FY13'!$K:$K,'Peoplesoft-FY13'!$S:$S,$B52,'Peoplesoft-FY13'!$Q:$Q,L$3)</f>
        <v>0</v>
      </c>
      <c r="M52" s="274">
        <f>SUMIFS('Peoplesoft-FY13'!$K:$K,'Peoplesoft-FY13'!$S:$S,$B52,'Peoplesoft-FY13'!$Q:$Q,M$3)</f>
        <v>0</v>
      </c>
      <c r="N52" s="274">
        <f>SUMIFS('Peoplesoft-FY13'!$K:$K,'Peoplesoft-FY13'!$S:$S,$B52,'Peoplesoft-FY13'!$Q:$Q,N$3)</f>
        <v>0</v>
      </c>
      <c r="O52" s="138">
        <f t="shared" si="1"/>
        <v>0</v>
      </c>
      <c r="P52" s="119">
        <f t="shared" si="2"/>
        <v>40.795000000000002</v>
      </c>
      <c r="Q52" s="120">
        <f t="shared" si="3"/>
        <v>0</v>
      </c>
      <c r="R52" s="121">
        <f t="shared" si="5"/>
        <v>1</v>
      </c>
      <c r="S52" s="99">
        <f t="shared" si="0"/>
        <v>1</v>
      </c>
    </row>
    <row r="53" spans="1:200" ht="13.2" x14ac:dyDescent="0.25">
      <c r="A53" s="260">
        <v>50</v>
      </c>
      <c r="B53" s="272">
        <v>5910</v>
      </c>
      <c r="C53" s="290" t="s">
        <v>64</v>
      </c>
      <c r="D53" s="274">
        <f>SUMIFS('Peoplesoft-FY13'!$K:$K,'Peoplesoft-FY13'!$S:$S,$B53,'Peoplesoft-FY13'!$Q:$Q,D$3)</f>
        <v>41.255000000000003</v>
      </c>
      <c r="E53" s="274">
        <f>SUMIFS('Peoplesoft-FY13'!$K:$K,'Peoplesoft-FY13'!$S:$S,$B53,'Peoplesoft-FY13'!$Q:$Q,E$3)</f>
        <v>0</v>
      </c>
      <c r="F53" s="274">
        <f>SUMIFS('Peoplesoft-FY13'!$K:$K,'Peoplesoft-FY13'!$S:$S,$B53,'Peoplesoft-FY13'!$Q:$Q,F$3)</f>
        <v>0</v>
      </c>
      <c r="G53" s="274">
        <f>SUMIFS('Peoplesoft-FY13'!$K:$K,'Peoplesoft-FY13'!$S:$S,$B53,'Peoplesoft-FY13'!$Q:$Q,G$3)</f>
        <v>0</v>
      </c>
      <c r="H53" s="274">
        <f>SUMIFS('Peoplesoft-FY13'!$K:$K,'Peoplesoft-FY13'!$S:$S,$B53,'Peoplesoft-FY13'!$Q:$Q,H$3)</f>
        <v>0</v>
      </c>
      <c r="I53" s="274">
        <f>SUMIFS('Peoplesoft-FY13'!$K:$K,'Peoplesoft-FY13'!$S:$S,$B53,'Peoplesoft-FY13'!$Q:$Q,I$3)</f>
        <v>0</v>
      </c>
      <c r="J53" s="274">
        <f>SUMIFS('Peoplesoft-FY13'!$K:$K,'Peoplesoft-FY13'!$S:$S,$B53,'Peoplesoft-FY13'!$Q:$Q,J$3)</f>
        <v>0</v>
      </c>
      <c r="K53" s="274">
        <f>SUMIFS('Peoplesoft-FY13'!$K:$K,'Peoplesoft-FY13'!$S:$S,$B53,'Peoplesoft-FY13'!$Q:$Q,K$3)</f>
        <v>0</v>
      </c>
      <c r="L53" s="274">
        <f>SUMIFS('Peoplesoft-FY13'!$K:$K,'Peoplesoft-FY13'!$S:$S,$B53,'Peoplesoft-FY13'!$Q:$Q,L$3)</f>
        <v>0</v>
      </c>
      <c r="M53" s="274">
        <f>SUMIFS('Peoplesoft-FY13'!$K:$K,'Peoplesoft-FY13'!$S:$S,$B53,'Peoplesoft-FY13'!$Q:$Q,M$3)</f>
        <v>0</v>
      </c>
      <c r="N53" s="274">
        <f>SUMIFS('Peoplesoft-FY13'!$K:$K,'Peoplesoft-FY13'!$S:$S,$B53,'Peoplesoft-FY13'!$Q:$Q,N$3)</f>
        <v>0</v>
      </c>
      <c r="O53" s="138">
        <f t="shared" si="1"/>
        <v>0</v>
      </c>
      <c r="P53" s="119">
        <f t="shared" si="2"/>
        <v>41.255000000000003</v>
      </c>
      <c r="Q53" s="120">
        <f t="shared" si="3"/>
        <v>0</v>
      </c>
      <c r="R53" s="121">
        <f t="shared" si="5"/>
        <v>1</v>
      </c>
      <c r="S53" s="99">
        <f t="shared" si="0"/>
        <v>1</v>
      </c>
    </row>
    <row r="54" spans="1:200" ht="13.2" x14ac:dyDescent="0.25">
      <c r="A54" s="260">
        <v>51</v>
      </c>
      <c r="B54" s="272">
        <v>5950</v>
      </c>
      <c r="C54" s="290" t="s">
        <v>65</v>
      </c>
      <c r="D54" s="274">
        <f>SUMIFS('Peoplesoft-FY13'!$K:$K,'Peoplesoft-FY13'!$S:$S,$B54,'Peoplesoft-FY13'!$Q:$Q,D$3)</f>
        <v>33.71</v>
      </c>
      <c r="E54" s="274">
        <f>SUMIFS('Peoplesoft-FY13'!$K:$K,'Peoplesoft-FY13'!$S:$S,$B54,'Peoplesoft-FY13'!$Q:$Q,E$3)</f>
        <v>0</v>
      </c>
      <c r="F54" s="274">
        <f>SUMIFS('Peoplesoft-FY13'!$K:$K,'Peoplesoft-FY13'!$S:$S,$B54,'Peoplesoft-FY13'!$Q:$Q,F$3)</f>
        <v>0</v>
      </c>
      <c r="G54" s="274">
        <f>SUMIFS('Peoplesoft-FY13'!$K:$K,'Peoplesoft-FY13'!$S:$S,$B54,'Peoplesoft-FY13'!$Q:$Q,G$3)</f>
        <v>0</v>
      </c>
      <c r="H54" s="274">
        <f>SUMIFS('Peoplesoft-FY13'!$K:$K,'Peoplesoft-FY13'!$S:$S,$B54,'Peoplesoft-FY13'!$Q:$Q,H$3)</f>
        <v>0</v>
      </c>
      <c r="I54" s="274">
        <f>SUMIFS('Peoplesoft-FY13'!$K:$K,'Peoplesoft-FY13'!$S:$S,$B54,'Peoplesoft-FY13'!$Q:$Q,I$3)</f>
        <v>0</v>
      </c>
      <c r="J54" s="274">
        <f>SUMIFS('Peoplesoft-FY13'!$K:$K,'Peoplesoft-FY13'!$S:$S,$B54,'Peoplesoft-FY13'!$Q:$Q,J$3)</f>
        <v>0</v>
      </c>
      <c r="K54" s="274">
        <f>SUMIFS('Peoplesoft-FY13'!$K:$K,'Peoplesoft-FY13'!$S:$S,$B54,'Peoplesoft-FY13'!$Q:$Q,K$3)</f>
        <v>0</v>
      </c>
      <c r="L54" s="274">
        <f>SUMIFS('Peoplesoft-FY13'!$K:$K,'Peoplesoft-FY13'!$S:$S,$B54,'Peoplesoft-FY13'!$Q:$Q,L$3)</f>
        <v>0</v>
      </c>
      <c r="M54" s="274">
        <f>SUMIFS('Peoplesoft-FY13'!$K:$K,'Peoplesoft-FY13'!$S:$S,$B54,'Peoplesoft-FY13'!$Q:$Q,M$3)</f>
        <v>0</v>
      </c>
      <c r="N54" s="274">
        <f>SUMIFS('Peoplesoft-FY13'!$K:$K,'Peoplesoft-FY13'!$S:$S,$B54,'Peoplesoft-FY13'!$Q:$Q,N$3)</f>
        <v>0</v>
      </c>
      <c r="O54" s="138">
        <f t="shared" si="1"/>
        <v>0</v>
      </c>
      <c r="P54" s="119">
        <f t="shared" si="2"/>
        <v>33.71</v>
      </c>
      <c r="Q54" s="120">
        <f t="shared" si="3"/>
        <v>0</v>
      </c>
      <c r="R54" s="121">
        <f t="shared" ref="R54:R70" si="6">D54/P54</f>
        <v>1</v>
      </c>
      <c r="S54" s="99">
        <f t="shared" si="0"/>
        <v>1</v>
      </c>
    </row>
    <row r="55" spans="1:200" ht="13.2" x14ac:dyDescent="0.25">
      <c r="A55" s="260">
        <v>52</v>
      </c>
      <c r="B55" s="272">
        <v>5970</v>
      </c>
      <c r="C55" s="290" t="s">
        <v>66</v>
      </c>
      <c r="D55" s="274">
        <f>SUMIFS('Peoplesoft-FY13'!$K:$K,'Peoplesoft-FY13'!$S:$S,$B55,'Peoplesoft-FY13'!$Q:$Q,D$3)</f>
        <v>29.734999999999996</v>
      </c>
      <c r="E55" s="274">
        <f>SUMIFS('Peoplesoft-FY13'!$K:$K,'Peoplesoft-FY13'!$S:$S,$B55,'Peoplesoft-FY13'!$Q:$Q,E$3)</f>
        <v>0</v>
      </c>
      <c r="F55" s="274">
        <f>SUMIFS('Peoplesoft-FY13'!$K:$K,'Peoplesoft-FY13'!$S:$S,$B55,'Peoplesoft-FY13'!$Q:$Q,F$3)</f>
        <v>0</v>
      </c>
      <c r="G55" s="274">
        <f>SUMIFS('Peoplesoft-FY13'!$K:$K,'Peoplesoft-FY13'!$S:$S,$B55,'Peoplesoft-FY13'!$Q:$Q,G$3)</f>
        <v>0</v>
      </c>
      <c r="H55" s="274">
        <f>SUMIFS('Peoplesoft-FY13'!$K:$K,'Peoplesoft-FY13'!$S:$S,$B55,'Peoplesoft-FY13'!$Q:$Q,H$3)</f>
        <v>0</v>
      </c>
      <c r="I55" s="274">
        <f>SUMIFS('Peoplesoft-FY13'!$K:$K,'Peoplesoft-FY13'!$S:$S,$B55,'Peoplesoft-FY13'!$Q:$Q,I$3)</f>
        <v>0</v>
      </c>
      <c r="J55" s="274">
        <f>SUMIFS('Peoplesoft-FY13'!$K:$K,'Peoplesoft-FY13'!$S:$S,$B55,'Peoplesoft-FY13'!$Q:$Q,J$3)</f>
        <v>0</v>
      </c>
      <c r="K55" s="274">
        <f>SUMIFS('Peoplesoft-FY13'!$K:$K,'Peoplesoft-FY13'!$S:$S,$B55,'Peoplesoft-FY13'!$Q:$Q,K$3)</f>
        <v>0</v>
      </c>
      <c r="L55" s="274">
        <f>SUMIFS('Peoplesoft-FY13'!$K:$K,'Peoplesoft-FY13'!$S:$S,$B55,'Peoplesoft-FY13'!$Q:$Q,L$3)</f>
        <v>0</v>
      </c>
      <c r="M55" s="274">
        <f>SUMIFS('Peoplesoft-FY13'!$K:$K,'Peoplesoft-FY13'!$S:$S,$B55,'Peoplesoft-FY13'!$Q:$Q,M$3)</f>
        <v>0</v>
      </c>
      <c r="N55" s="274">
        <f>SUMIFS('Peoplesoft-FY13'!$K:$K,'Peoplesoft-FY13'!$S:$S,$B55,'Peoplesoft-FY13'!$Q:$Q,N$3)</f>
        <v>0</v>
      </c>
      <c r="O55" s="138">
        <f t="shared" si="1"/>
        <v>0</v>
      </c>
      <c r="P55" s="119">
        <f t="shared" si="2"/>
        <v>29.734999999999996</v>
      </c>
      <c r="Q55" s="120">
        <f t="shared" si="3"/>
        <v>0</v>
      </c>
      <c r="R55" s="121">
        <f t="shared" si="6"/>
        <v>1</v>
      </c>
      <c r="S55" s="99">
        <f t="shared" si="0"/>
        <v>1</v>
      </c>
    </row>
    <row r="56" spans="1:200" s="95" customFormat="1" ht="13.2" x14ac:dyDescent="0.25">
      <c r="A56" s="260">
        <v>53</v>
      </c>
      <c r="B56" s="272">
        <v>5980</v>
      </c>
      <c r="C56" s="290" t="s">
        <v>67</v>
      </c>
      <c r="D56" s="274">
        <f>SUMIFS('Peoplesoft-FY13'!$K:$K,'Peoplesoft-FY13'!$S:$S,$B56,'Peoplesoft-FY13'!$Q:$Q,D$3)</f>
        <v>43.63</v>
      </c>
      <c r="E56" s="274">
        <f>SUMIFS('Peoplesoft-FY13'!$K:$K,'Peoplesoft-FY13'!$S:$S,$B56,'Peoplesoft-FY13'!$Q:$Q,E$3)</f>
        <v>0</v>
      </c>
      <c r="F56" s="274">
        <f>SUMIFS('Peoplesoft-FY13'!$K:$K,'Peoplesoft-FY13'!$S:$S,$B56,'Peoplesoft-FY13'!$Q:$Q,F$3)</f>
        <v>0</v>
      </c>
      <c r="G56" s="274">
        <f>SUMIFS('Peoplesoft-FY13'!$K:$K,'Peoplesoft-FY13'!$S:$S,$B56,'Peoplesoft-FY13'!$Q:$Q,G$3)</f>
        <v>0</v>
      </c>
      <c r="H56" s="274">
        <f>SUMIFS('Peoplesoft-FY13'!$K:$K,'Peoplesoft-FY13'!$S:$S,$B56,'Peoplesoft-FY13'!$Q:$Q,H$3)</f>
        <v>0</v>
      </c>
      <c r="I56" s="274">
        <f>SUMIFS('Peoplesoft-FY13'!$K:$K,'Peoplesoft-FY13'!$S:$S,$B56,'Peoplesoft-FY13'!$Q:$Q,I$3)</f>
        <v>0</v>
      </c>
      <c r="J56" s="274">
        <f>SUMIFS('Peoplesoft-FY13'!$K:$K,'Peoplesoft-FY13'!$S:$S,$B56,'Peoplesoft-FY13'!$Q:$Q,J$3)</f>
        <v>0</v>
      </c>
      <c r="K56" s="274">
        <f>SUMIFS('Peoplesoft-FY13'!$K:$K,'Peoplesoft-FY13'!$S:$S,$B56,'Peoplesoft-FY13'!$Q:$Q,K$3)</f>
        <v>0</v>
      </c>
      <c r="L56" s="274">
        <f>SUMIFS('Peoplesoft-FY13'!$K:$K,'Peoplesoft-FY13'!$S:$S,$B56,'Peoplesoft-FY13'!$Q:$Q,L$3)</f>
        <v>0</v>
      </c>
      <c r="M56" s="274">
        <f>SUMIFS('Peoplesoft-FY13'!$K:$K,'Peoplesoft-FY13'!$S:$S,$B56,'Peoplesoft-FY13'!$Q:$Q,M$3)</f>
        <v>0</v>
      </c>
      <c r="N56" s="274">
        <f>SUMIFS('Peoplesoft-FY13'!$K:$K,'Peoplesoft-FY13'!$S:$S,$B56,'Peoplesoft-FY13'!$Q:$Q,N$3)</f>
        <v>0</v>
      </c>
      <c r="O56" s="138">
        <f t="shared" si="1"/>
        <v>0</v>
      </c>
      <c r="P56" s="119">
        <f t="shared" si="2"/>
        <v>43.63</v>
      </c>
      <c r="Q56" s="120">
        <f t="shared" si="3"/>
        <v>0</v>
      </c>
      <c r="R56" s="121">
        <f t="shared" si="6"/>
        <v>1</v>
      </c>
      <c r="S56" s="99">
        <f t="shared" si="0"/>
        <v>1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</row>
    <row r="57" spans="1:200" ht="13.2" x14ac:dyDescent="0.25">
      <c r="A57" s="260">
        <v>54</v>
      </c>
      <c r="B57" s="272">
        <v>6010</v>
      </c>
      <c r="C57" s="290" t="s">
        <v>68</v>
      </c>
      <c r="D57" s="274">
        <f>SUMIFS('Peoplesoft-FY13'!$K:$K,'Peoplesoft-FY13'!$S:$S,$B57,'Peoplesoft-FY13'!$Q:$Q,D$3)</f>
        <v>53.050000000000004</v>
      </c>
      <c r="E57" s="274">
        <f>SUMIFS('Peoplesoft-FY13'!$K:$K,'Peoplesoft-FY13'!$S:$S,$B57,'Peoplesoft-FY13'!$Q:$Q,E$3)</f>
        <v>0</v>
      </c>
      <c r="F57" s="274">
        <f>SUMIFS('Peoplesoft-FY13'!$K:$K,'Peoplesoft-FY13'!$S:$S,$B57,'Peoplesoft-FY13'!$Q:$Q,F$3)</f>
        <v>0</v>
      </c>
      <c r="G57" s="274">
        <f>SUMIFS('Peoplesoft-FY13'!$K:$K,'Peoplesoft-FY13'!$S:$S,$B57,'Peoplesoft-FY13'!$Q:$Q,G$3)</f>
        <v>0</v>
      </c>
      <c r="H57" s="274">
        <f>SUMIFS('Peoplesoft-FY13'!$K:$K,'Peoplesoft-FY13'!$S:$S,$B57,'Peoplesoft-FY13'!$Q:$Q,H$3)</f>
        <v>0</v>
      </c>
      <c r="I57" s="274">
        <f>SUMIFS('Peoplesoft-FY13'!$K:$K,'Peoplesoft-FY13'!$S:$S,$B57,'Peoplesoft-FY13'!$Q:$Q,I$3)</f>
        <v>0</v>
      </c>
      <c r="J57" s="274">
        <f>SUMIFS('Peoplesoft-FY13'!$K:$K,'Peoplesoft-FY13'!$S:$S,$B57,'Peoplesoft-FY13'!$Q:$Q,J$3)</f>
        <v>0</v>
      </c>
      <c r="K57" s="274">
        <f>SUMIFS('Peoplesoft-FY13'!$K:$K,'Peoplesoft-FY13'!$S:$S,$B57,'Peoplesoft-FY13'!$Q:$Q,K$3)</f>
        <v>0</v>
      </c>
      <c r="L57" s="274">
        <f>SUMIFS('Peoplesoft-FY13'!$K:$K,'Peoplesoft-FY13'!$S:$S,$B57,'Peoplesoft-FY13'!$Q:$Q,L$3)</f>
        <v>0</v>
      </c>
      <c r="M57" s="274">
        <f>SUMIFS('Peoplesoft-FY13'!$K:$K,'Peoplesoft-FY13'!$S:$S,$B57,'Peoplesoft-FY13'!$Q:$Q,M$3)</f>
        <v>0</v>
      </c>
      <c r="N57" s="274">
        <f>SUMIFS('Peoplesoft-FY13'!$K:$K,'Peoplesoft-FY13'!$S:$S,$B57,'Peoplesoft-FY13'!$Q:$Q,N$3)</f>
        <v>0</v>
      </c>
      <c r="O57" s="138">
        <f t="shared" si="1"/>
        <v>0</v>
      </c>
      <c r="P57" s="119">
        <f t="shared" si="2"/>
        <v>53.050000000000004</v>
      </c>
      <c r="Q57" s="120">
        <f t="shared" si="3"/>
        <v>0</v>
      </c>
      <c r="R57" s="121">
        <f t="shared" si="6"/>
        <v>1</v>
      </c>
      <c r="S57" s="99">
        <f t="shared" si="0"/>
        <v>1</v>
      </c>
    </row>
    <row r="58" spans="1:200" ht="13.2" x14ac:dyDescent="0.25">
      <c r="A58" s="260">
        <v>55</v>
      </c>
      <c r="B58" s="272">
        <v>6020</v>
      </c>
      <c r="C58" s="290" t="s">
        <v>69</v>
      </c>
      <c r="D58" s="274">
        <f>SUMIFS('Peoplesoft-FY13'!$K:$K,'Peoplesoft-FY13'!$S:$S,$B58,'Peoplesoft-FY13'!$Q:$Q,D$3)</f>
        <v>29.75</v>
      </c>
      <c r="E58" s="274">
        <f>SUMIFS('Peoplesoft-FY13'!$K:$K,'Peoplesoft-FY13'!$S:$S,$B58,'Peoplesoft-FY13'!$Q:$Q,E$3)</f>
        <v>0</v>
      </c>
      <c r="F58" s="274">
        <f>SUMIFS('Peoplesoft-FY13'!$K:$K,'Peoplesoft-FY13'!$S:$S,$B58,'Peoplesoft-FY13'!$Q:$Q,F$3)</f>
        <v>0</v>
      </c>
      <c r="G58" s="274">
        <f>SUMIFS('Peoplesoft-FY13'!$K:$K,'Peoplesoft-FY13'!$S:$S,$B58,'Peoplesoft-FY13'!$Q:$Q,G$3)</f>
        <v>0</v>
      </c>
      <c r="H58" s="274">
        <f>SUMIFS('Peoplesoft-FY13'!$K:$K,'Peoplesoft-FY13'!$S:$S,$B58,'Peoplesoft-FY13'!$Q:$Q,H$3)</f>
        <v>0</v>
      </c>
      <c r="I58" s="274">
        <f>SUMIFS('Peoplesoft-FY13'!$K:$K,'Peoplesoft-FY13'!$S:$S,$B58,'Peoplesoft-FY13'!$Q:$Q,I$3)</f>
        <v>0</v>
      </c>
      <c r="J58" s="274">
        <f>SUMIFS('Peoplesoft-FY13'!$K:$K,'Peoplesoft-FY13'!$S:$S,$B58,'Peoplesoft-FY13'!$Q:$Q,J$3)</f>
        <v>0</v>
      </c>
      <c r="K58" s="274">
        <f>SUMIFS('Peoplesoft-FY13'!$K:$K,'Peoplesoft-FY13'!$S:$S,$B58,'Peoplesoft-FY13'!$Q:$Q,K$3)</f>
        <v>0</v>
      </c>
      <c r="L58" s="274">
        <f>SUMIFS('Peoplesoft-FY13'!$K:$K,'Peoplesoft-FY13'!$S:$S,$B58,'Peoplesoft-FY13'!$Q:$Q,L$3)</f>
        <v>0</v>
      </c>
      <c r="M58" s="274">
        <f>SUMIFS('Peoplesoft-FY13'!$K:$K,'Peoplesoft-FY13'!$S:$S,$B58,'Peoplesoft-FY13'!$Q:$Q,M$3)</f>
        <v>0</v>
      </c>
      <c r="N58" s="274">
        <f>SUMIFS('Peoplesoft-FY13'!$K:$K,'Peoplesoft-FY13'!$S:$S,$B58,'Peoplesoft-FY13'!$Q:$Q,N$3)</f>
        <v>0</v>
      </c>
      <c r="O58" s="138">
        <f t="shared" si="1"/>
        <v>0</v>
      </c>
      <c r="P58" s="119">
        <f t="shared" si="2"/>
        <v>29.75</v>
      </c>
      <c r="Q58" s="120">
        <f t="shared" si="3"/>
        <v>0</v>
      </c>
      <c r="R58" s="121">
        <f t="shared" si="6"/>
        <v>1</v>
      </c>
      <c r="S58" s="99">
        <f t="shared" si="0"/>
        <v>1</v>
      </c>
    </row>
    <row r="59" spans="1:200" ht="13.2" x14ac:dyDescent="0.25">
      <c r="A59" s="260">
        <v>56</v>
      </c>
      <c r="B59" s="272">
        <v>6030</v>
      </c>
      <c r="C59" s="290" t="s">
        <v>70</v>
      </c>
      <c r="D59" s="274">
        <f>SUMIFS('Peoplesoft-FY13'!$K:$K,'Peoplesoft-FY13'!$S:$S,$B59,'Peoplesoft-FY13'!$Q:$Q,D$3)</f>
        <v>39.795000000000002</v>
      </c>
      <c r="E59" s="274">
        <f>SUMIFS('Peoplesoft-FY13'!$K:$K,'Peoplesoft-FY13'!$S:$S,$B59,'Peoplesoft-FY13'!$Q:$Q,E$3)</f>
        <v>0</v>
      </c>
      <c r="F59" s="274">
        <f>SUMIFS('Peoplesoft-FY13'!$K:$K,'Peoplesoft-FY13'!$S:$S,$B59,'Peoplesoft-FY13'!$Q:$Q,F$3)</f>
        <v>0</v>
      </c>
      <c r="G59" s="274">
        <f>SUMIFS('Peoplesoft-FY13'!$K:$K,'Peoplesoft-FY13'!$S:$S,$B59,'Peoplesoft-FY13'!$Q:$Q,G$3)</f>
        <v>0</v>
      </c>
      <c r="H59" s="274">
        <f>SUMIFS('Peoplesoft-FY13'!$K:$K,'Peoplesoft-FY13'!$S:$S,$B59,'Peoplesoft-FY13'!$Q:$Q,H$3)</f>
        <v>0</v>
      </c>
      <c r="I59" s="274">
        <f>SUMIFS('Peoplesoft-FY13'!$K:$K,'Peoplesoft-FY13'!$S:$S,$B59,'Peoplesoft-FY13'!$Q:$Q,I$3)</f>
        <v>0</v>
      </c>
      <c r="J59" s="274">
        <f>SUMIFS('Peoplesoft-FY13'!$K:$K,'Peoplesoft-FY13'!$S:$S,$B59,'Peoplesoft-FY13'!$Q:$Q,J$3)</f>
        <v>0</v>
      </c>
      <c r="K59" s="274">
        <f>SUMIFS('Peoplesoft-FY13'!$K:$K,'Peoplesoft-FY13'!$S:$S,$B59,'Peoplesoft-FY13'!$Q:$Q,K$3)</f>
        <v>0</v>
      </c>
      <c r="L59" s="274">
        <f>SUMIFS('Peoplesoft-FY13'!$K:$K,'Peoplesoft-FY13'!$S:$S,$B59,'Peoplesoft-FY13'!$Q:$Q,L$3)</f>
        <v>0</v>
      </c>
      <c r="M59" s="274">
        <f>SUMIFS('Peoplesoft-FY13'!$K:$K,'Peoplesoft-FY13'!$S:$S,$B59,'Peoplesoft-FY13'!$Q:$Q,M$3)</f>
        <v>0</v>
      </c>
      <c r="N59" s="274">
        <f>SUMIFS('Peoplesoft-FY13'!$K:$K,'Peoplesoft-FY13'!$S:$S,$B59,'Peoplesoft-FY13'!$Q:$Q,N$3)</f>
        <v>0</v>
      </c>
      <c r="O59" s="138">
        <f t="shared" si="1"/>
        <v>0</v>
      </c>
      <c r="P59" s="119">
        <f t="shared" si="2"/>
        <v>39.795000000000002</v>
      </c>
      <c r="Q59" s="120">
        <f t="shared" si="3"/>
        <v>0</v>
      </c>
      <c r="R59" s="121">
        <f t="shared" si="6"/>
        <v>1</v>
      </c>
      <c r="S59" s="99">
        <f t="shared" si="0"/>
        <v>1</v>
      </c>
    </row>
    <row r="60" spans="1:200" s="96" customFormat="1" ht="13.2" x14ac:dyDescent="0.25">
      <c r="A60" s="260">
        <v>57</v>
      </c>
      <c r="B60" s="292">
        <v>6040</v>
      </c>
      <c r="C60" s="293" t="s">
        <v>71</v>
      </c>
      <c r="D60" s="274">
        <f>SUMIFS('Peoplesoft-FY13'!$K:$K,'Peoplesoft-FY13'!$S:$S,$B60,'Peoplesoft-FY13'!$Q:$Q,D$3)</f>
        <v>47.755000000000003</v>
      </c>
      <c r="E60" s="274">
        <f>SUMIFS('Peoplesoft-FY13'!$K:$K,'Peoplesoft-FY13'!$S:$S,$B60,'Peoplesoft-FY13'!$Q:$Q,E$3)</f>
        <v>0</v>
      </c>
      <c r="F60" s="274">
        <f>SUMIFS('Peoplesoft-FY13'!$K:$K,'Peoplesoft-FY13'!$S:$S,$B60,'Peoplesoft-FY13'!$Q:$Q,F$3)</f>
        <v>0</v>
      </c>
      <c r="G60" s="274">
        <f>SUMIFS('Peoplesoft-FY13'!$K:$K,'Peoplesoft-FY13'!$S:$S,$B60,'Peoplesoft-FY13'!$Q:$Q,G$3)</f>
        <v>0</v>
      </c>
      <c r="H60" s="274">
        <f>SUMIFS('Peoplesoft-FY13'!$K:$K,'Peoplesoft-FY13'!$S:$S,$B60,'Peoplesoft-FY13'!$Q:$Q,H$3)</f>
        <v>0</v>
      </c>
      <c r="I60" s="274">
        <f>SUMIFS('Peoplesoft-FY13'!$K:$K,'Peoplesoft-FY13'!$S:$S,$B60,'Peoplesoft-FY13'!$Q:$Q,I$3)</f>
        <v>0</v>
      </c>
      <c r="J60" s="274">
        <f>SUMIFS('Peoplesoft-FY13'!$K:$K,'Peoplesoft-FY13'!$S:$S,$B60,'Peoplesoft-FY13'!$Q:$Q,J$3)</f>
        <v>0</v>
      </c>
      <c r="K60" s="274">
        <f>SUMIFS('Peoplesoft-FY13'!$K:$K,'Peoplesoft-FY13'!$S:$S,$B60,'Peoplesoft-FY13'!$Q:$Q,K$3)</f>
        <v>0</v>
      </c>
      <c r="L60" s="274">
        <f>SUMIFS('Peoplesoft-FY13'!$K:$K,'Peoplesoft-FY13'!$S:$S,$B60,'Peoplesoft-FY13'!$Q:$Q,L$3)</f>
        <v>0</v>
      </c>
      <c r="M60" s="274">
        <f>SUMIFS('Peoplesoft-FY13'!$K:$K,'Peoplesoft-FY13'!$S:$S,$B60,'Peoplesoft-FY13'!$Q:$Q,M$3)</f>
        <v>0</v>
      </c>
      <c r="N60" s="274">
        <f>SUMIFS('Peoplesoft-FY13'!$K:$K,'Peoplesoft-FY13'!$S:$S,$B60,'Peoplesoft-FY13'!$Q:$Q,N$3)</f>
        <v>0</v>
      </c>
      <c r="O60" s="138">
        <f t="shared" si="1"/>
        <v>0</v>
      </c>
      <c r="P60" s="119">
        <f t="shared" si="2"/>
        <v>47.755000000000003</v>
      </c>
      <c r="Q60" s="120">
        <f t="shared" si="3"/>
        <v>0</v>
      </c>
      <c r="R60" s="121">
        <f t="shared" si="6"/>
        <v>1</v>
      </c>
      <c r="S60" s="99">
        <f t="shared" si="0"/>
        <v>1</v>
      </c>
    </row>
    <row r="61" spans="1:200" ht="13.2" x14ac:dyDescent="0.25">
      <c r="A61" s="260">
        <v>58</v>
      </c>
      <c r="B61" s="272">
        <v>6070</v>
      </c>
      <c r="C61" s="290" t="s">
        <v>72</v>
      </c>
      <c r="D61" s="274">
        <f>SUMIFS('Peoplesoft-FY13'!$K:$K,'Peoplesoft-FY13'!$S:$S,$B61,'Peoplesoft-FY13'!$Q:$Q,D$3)</f>
        <v>55.21</v>
      </c>
      <c r="E61" s="274">
        <f>SUMIFS('Peoplesoft-FY13'!$K:$K,'Peoplesoft-FY13'!$S:$S,$B61,'Peoplesoft-FY13'!$Q:$Q,E$3)</f>
        <v>0</v>
      </c>
      <c r="F61" s="274">
        <f>SUMIFS('Peoplesoft-FY13'!$K:$K,'Peoplesoft-FY13'!$S:$S,$B61,'Peoplesoft-FY13'!$Q:$Q,F$3)</f>
        <v>0</v>
      </c>
      <c r="G61" s="274">
        <f>SUMIFS('Peoplesoft-FY13'!$K:$K,'Peoplesoft-FY13'!$S:$S,$B61,'Peoplesoft-FY13'!$Q:$Q,G$3)</f>
        <v>0</v>
      </c>
      <c r="H61" s="274">
        <f>SUMIFS('Peoplesoft-FY13'!$K:$K,'Peoplesoft-FY13'!$S:$S,$B61,'Peoplesoft-FY13'!$Q:$Q,H$3)</f>
        <v>0</v>
      </c>
      <c r="I61" s="274">
        <f>SUMIFS('Peoplesoft-FY13'!$K:$K,'Peoplesoft-FY13'!$S:$S,$B61,'Peoplesoft-FY13'!$Q:$Q,I$3)</f>
        <v>0</v>
      </c>
      <c r="J61" s="274">
        <f>SUMIFS('Peoplesoft-FY13'!$K:$K,'Peoplesoft-FY13'!$S:$S,$B61,'Peoplesoft-FY13'!$Q:$Q,J$3)</f>
        <v>0</v>
      </c>
      <c r="K61" s="274">
        <f>SUMIFS('Peoplesoft-FY13'!$K:$K,'Peoplesoft-FY13'!$S:$S,$B61,'Peoplesoft-FY13'!$Q:$Q,K$3)</f>
        <v>0</v>
      </c>
      <c r="L61" s="274">
        <f>SUMIFS('Peoplesoft-FY13'!$K:$K,'Peoplesoft-FY13'!$S:$S,$B61,'Peoplesoft-FY13'!$Q:$Q,L$3)</f>
        <v>0</v>
      </c>
      <c r="M61" s="274">
        <f>SUMIFS('Peoplesoft-FY13'!$K:$K,'Peoplesoft-FY13'!$S:$S,$B61,'Peoplesoft-FY13'!$Q:$Q,M$3)</f>
        <v>0</v>
      </c>
      <c r="N61" s="274">
        <f>SUMIFS('Peoplesoft-FY13'!$K:$K,'Peoplesoft-FY13'!$S:$S,$B61,'Peoplesoft-FY13'!$Q:$Q,N$3)</f>
        <v>0</v>
      </c>
      <c r="O61" s="138">
        <f t="shared" si="1"/>
        <v>0</v>
      </c>
      <c r="P61" s="119">
        <f t="shared" si="2"/>
        <v>55.21</v>
      </c>
      <c r="Q61" s="120">
        <f t="shared" si="3"/>
        <v>0</v>
      </c>
      <c r="R61" s="121">
        <f t="shared" si="6"/>
        <v>1</v>
      </c>
      <c r="S61" s="99">
        <f t="shared" si="0"/>
        <v>1</v>
      </c>
    </row>
    <row r="62" spans="1:200" ht="13.2" x14ac:dyDescent="0.25">
      <c r="A62" s="260">
        <v>59</v>
      </c>
      <c r="B62" s="272">
        <v>6050</v>
      </c>
      <c r="C62" s="290" t="s">
        <v>73</v>
      </c>
      <c r="D62" s="274">
        <f>SUMIFS('Peoplesoft-FY13'!$K:$K,'Peoplesoft-FY13'!$S:$S,$B62,'Peoplesoft-FY13'!$Q:$Q,D$3)</f>
        <v>65.92</v>
      </c>
      <c r="E62" s="274">
        <f>SUMIFS('Peoplesoft-FY13'!$K:$K,'Peoplesoft-FY13'!$S:$S,$B62,'Peoplesoft-FY13'!$Q:$Q,E$3)</f>
        <v>0</v>
      </c>
      <c r="F62" s="274">
        <f>SUMIFS('Peoplesoft-FY13'!$K:$K,'Peoplesoft-FY13'!$S:$S,$B62,'Peoplesoft-FY13'!$Q:$Q,F$3)</f>
        <v>0</v>
      </c>
      <c r="G62" s="274">
        <f>SUMIFS('Peoplesoft-FY13'!$K:$K,'Peoplesoft-FY13'!$S:$S,$B62,'Peoplesoft-FY13'!$Q:$Q,G$3)</f>
        <v>0</v>
      </c>
      <c r="H62" s="274">
        <f>SUMIFS('Peoplesoft-FY13'!$K:$K,'Peoplesoft-FY13'!$S:$S,$B62,'Peoplesoft-FY13'!$Q:$Q,H$3)</f>
        <v>0</v>
      </c>
      <c r="I62" s="274">
        <f>SUMIFS('Peoplesoft-FY13'!$K:$K,'Peoplesoft-FY13'!$S:$S,$B62,'Peoplesoft-FY13'!$Q:$Q,I$3)</f>
        <v>0</v>
      </c>
      <c r="J62" s="274">
        <f>SUMIFS('Peoplesoft-FY13'!$K:$K,'Peoplesoft-FY13'!$S:$S,$B62,'Peoplesoft-FY13'!$Q:$Q,J$3)</f>
        <v>0</v>
      </c>
      <c r="K62" s="274">
        <f>SUMIFS('Peoplesoft-FY13'!$K:$K,'Peoplesoft-FY13'!$S:$S,$B62,'Peoplesoft-FY13'!$Q:$Q,K$3)</f>
        <v>0</v>
      </c>
      <c r="L62" s="274">
        <f>SUMIFS('Peoplesoft-FY13'!$K:$K,'Peoplesoft-FY13'!$S:$S,$B62,'Peoplesoft-FY13'!$Q:$Q,L$3)</f>
        <v>0</v>
      </c>
      <c r="M62" s="274">
        <f>SUMIFS('Peoplesoft-FY13'!$K:$K,'Peoplesoft-FY13'!$S:$S,$B62,'Peoplesoft-FY13'!$Q:$Q,M$3)</f>
        <v>0</v>
      </c>
      <c r="N62" s="274">
        <f>SUMIFS('Peoplesoft-FY13'!$K:$K,'Peoplesoft-FY13'!$S:$S,$B62,'Peoplesoft-FY13'!$Q:$Q,N$3)</f>
        <v>0</v>
      </c>
      <c r="O62" s="138">
        <f t="shared" si="1"/>
        <v>0</v>
      </c>
      <c r="P62" s="119">
        <f t="shared" si="2"/>
        <v>65.92</v>
      </c>
      <c r="Q62" s="120">
        <f>+O62/P62</f>
        <v>0</v>
      </c>
      <c r="R62" s="121">
        <f t="shared" si="6"/>
        <v>1</v>
      </c>
      <c r="S62" s="99">
        <f t="shared" si="0"/>
        <v>1</v>
      </c>
    </row>
    <row r="63" spans="1:200" ht="13.2" x14ac:dyDescent="0.25">
      <c r="A63" s="260">
        <v>60</v>
      </c>
      <c r="B63" s="272">
        <v>6060</v>
      </c>
      <c r="C63" s="290" t="s">
        <v>74</v>
      </c>
      <c r="D63" s="274">
        <f>SUMIFS('Peoplesoft-FY13'!$K:$K,'Peoplesoft-FY13'!$S:$S,$B63,'Peoplesoft-FY13'!$Q:$Q,D$3)</f>
        <v>36.545000000000002</v>
      </c>
      <c r="E63" s="274">
        <f>SUMIFS('Peoplesoft-FY13'!$K:$K,'Peoplesoft-FY13'!$S:$S,$B63,'Peoplesoft-FY13'!$Q:$Q,E$3)</f>
        <v>0</v>
      </c>
      <c r="F63" s="274">
        <f>SUMIFS('Peoplesoft-FY13'!$K:$K,'Peoplesoft-FY13'!$S:$S,$B63,'Peoplesoft-FY13'!$Q:$Q,F$3)</f>
        <v>0</v>
      </c>
      <c r="G63" s="274">
        <f>SUMIFS('Peoplesoft-FY13'!$K:$K,'Peoplesoft-FY13'!$S:$S,$B63,'Peoplesoft-FY13'!$Q:$Q,G$3)</f>
        <v>0</v>
      </c>
      <c r="H63" s="274">
        <f>SUMIFS('Peoplesoft-FY13'!$K:$K,'Peoplesoft-FY13'!$S:$S,$B63,'Peoplesoft-FY13'!$Q:$Q,H$3)</f>
        <v>0</v>
      </c>
      <c r="I63" s="274">
        <f>SUMIFS('Peoplesoft-FY13'!$K:$K,'Peoplesoft-FY13'!$S:$S,$B63,'Peoplesoft-FY13'!$Q:$Q,I$3)</f>
        <v>0</v>
      </c>
      <c r="J63" s="274">
        <f>SUMIFS('Peoplesoft-FY13'!$K:$K,'Peoplesoft-FY13'!$S:$S,$B63,'Peoplesoft-FY13'!$Q:$Q,J$3)</f>
        <v>0</v>
      </c>
      <c r="K63" s="274">
        <f>SUMIFS('Peoplesoft-FY13'!$K:$K,'Peoplesoft-FY13'!$S:$S,$B63,'Peoplesoft-FY13'!$Q:$Q,K$3)</f>
        <v>0</v>
      </c>
      <c r="L63" s="274">
        <f>SUMIFS('Peoplesoft-FY13'!$K:$K,'Peoplesoft-FY13'!$S:$S,$B63,'Peoplesoft-FY13'!$Q:$Q,L$3)</f>
        <v>0</v>
      </c>
      <c r="M63" s="274">
        <f>SUMIFS('Peoplesoft-FY13'!$K:$K,'Peoplesoft-FY13'!$S:$S,$B63,'Peoplesoft-FY13'!$Q:$Q,M$3)</f>
        <v>0</v>
      </c>
      <c r="N63" s="274">
        <f>SUMIFS('Peoplesoft-FY13'!$K:$K,'Peoplesoft-FY13'!$S:$S,$B63,'Peoplesoft-FY13'!$Q:$Q,N$3)</f>
        <v>0</v>
      </c>
      <c r="O63" s="138">
        <f t="shared" si="1"/>
        <v>0</v>
      </c>
      <c r="P63" s="119">
        <f t="shared" si="2"/>
        <v>36.545000000000002</v>
      </c>
      <c r="Q63" s="120">
        <f t="shared" si="3"/>
        <v>0</v>
      </c>
      <c r="R63" s="121">
        <f t="shared" si="6"/>
        <v>1</v>
      </c>
      <c r="S63" s="99">
        <f t="shared" si="0"/>
        <v>1</v>
      </c>
    </row>
    <row r="64" spans="1:200" ht="13.2" x14ac:dyDescent="0.25">
      <c r="A64" s="260">
        <v>61</v>
      </c>
      <c r="B64" s="272">
        <v>6090</v>
      </c>
      <c r="C64" s="290" t="s">
        <v>75</v>
      </c>
      <c r="D64" s="274">
        <f>SUMIFS('Peoplesoft-FY13'!$K:$K,'Peoplesoft-FY13'!$S:$S,$B64,'Peoplesoft-FY13'!$Q:$Q,D$3)</f>
        <v>74.974999999999994</v>
      </c>
      <c r="E64" s="274">
        <f>SUMIFS('Peoplesoft-FY13'!$K:$K,'Peoplesoft-FY13'!$S:$S,$B64,'Peoplesoft-FY13'!$Q:$Q,E$3)</f>
        <v>0</v>
      </c>
      <c r="F64" s="274">
        <f>SUMIFS('Peoplesoft-FY13'!$K:$K,'Peoplesoft-FY13'!$S:$S,$B64,'Peoplesoft-FY13'!$Q:$Q,F$3)</f>
        <v>0</v>
      </c>
      <c r="G64" s="274">
        <f>SUMIFS('Peoplesoft-FY13'!$K:$K,'Peoplesoft-FY13'!$S:$S,$B64,'Peoplesoft-FY13'!$Q:$Q,G$3)</f>
        <v>0</v>
      </c>
      <c r="H64" s="274">
        <f>SUMIFS('Peoplesoft-FY13'!$K:$K,'Peoplesoft-FY13'!$S:$S,$B64,'Peoplesoft-FY13'!$Q:$Q,H$3)</f>
        <v>0</v>
      </c>
      <c r="I64" s="274">
        <f>SUMIFS('Peoplesoft-FY13'!$K:$K,'Peoplesoft-FY13'!$S:$S,$B64,'Peoplesoft-FY13'!$Q:$Q,I$3)</f>
        <v>0</v>
      </c>
      <c r="J64" s="274">
        <f>SUMIFS('Peoplesoft-FY13'!$K:$K,'Peoplesoft-FY13'!$S:$S,$B64,'Peoplesoft-FY13'!$Q:$Q,J$3)</f>
        <v>0</v>
      </c>
      <c r="K64" s="274">
        <f>SUMIFS('Peoplesoft-FY13'!$K:$K,'Peoplesoft-FY13'!$S:$S,$B64,'Peoplesoft-FY13'!$Q:$Q,K$3)</f>
        <v>0</v>
      </c>
      <c r="L64" s="274">
        <f>SUMIFS('Peoplesoft-FY13'!$K:$K,'Peoplesoft-FY13'!$S:$S,$B64,'Peoplesoft-FY13'!$Q:$Q,L$3)</f>
        <v>0</v>
      </c>
      <c r="M64" s="274">
        <f>SUMIFS('Peoplesoft-FY13'!$K:$K,'Peoplesoft-FY13'!$S:$S,$B64,'Peoplesoft-FY13'!$Q:$Q,M$3)</f>
        <v>0</v>
      </c>
      <c r="N64" s="274">
        <f>SUMIFS('Peoplesoft-FY13'!$K:$K,'Peoplesoft-FY13'!$S:$S,$B64,'Peoplesoft-FY13'!$Q:$Q,N$3)</f>
        <v>0</v>
      </c>
      <c r="O64" s="138">
        <f>SUM(E64:N64)</f>
        <v>0</v>
      </c>
      <c r="P64" s="119">
        <f t="shared" si="2"/>
        <v>74.974999999999994</v>
      </c>
      <c r="Q64" s="120">
        <f t="shared" si="3"/>
        <v>0</v>
      </c>
      <c r="R64" s="121">
        <f t="shared" si="6"/>
        <v>1</v>
      </c>
      <c r="S64" s="99">
        <f t="shared" si="0"/>
        <v>1</v>
      </c>
    </row>
    <row r="65" spans="1:19" ht="13.2" x14ac:dyDescent="0.25">
      <c r="A65" s="260">
        <v>62</v>
      </c>
      <c r="B65" s="272">
        <v>6110</v>
      </c>
      <c r="C65" s="290" t="s">
        <v>76</v>
      </c>
      <c r="D65" s="274">
        <f>SUMIFS('Peoplesoft-FY13'!$K:$K,'Peoplesoft-FY13'!$S:$S,$B65,'Peoplesoft-FY13'!$Q:$Q,D$3)</f>
        <v>64.100000000000009</v>
      </c>
      <c r="E65" s="274">
        <f>SUMIFS('Peoplesoft-FY13'!$K:$K,'Peoplesoft-FY13'!$S:$S,$B65,'Peoplesoft-FY13'!$Q:$Q,E$3)</f>
        <v>0</v>
      </c>
      <c r="F65" s="274">
        <f>SUMIFS('Peoplesoft-FY13'!$K:$K,'Peoplesoft-FY13'!$S:$S,$B65,'Peoplesoft-FY13'!$Q:$Q,F$3)</f>
        <v>0</v>
      </c>
      <c r="G65" s="274">
        <f>SUMIFS('Peoplesoft-FY13'!$K:$K,'Peoplesoft-FY13'!$S:$S,$B65,'Peoplesoft-FY13'!$Q:$Q,G$3)</f>
        <v>0</v>
      </c>
      <c r="H65" s="274">
        <f>SUMIFS('Peoplesoft-FY13'!$K:$K,'Peoplesoft-FY13'!$S:$S,$B65,'Peoplesoft-FY13'!$Q:$Q,H$3)</f>
        <v>0</v>
      </c>
      <c r="I65" s="274">
        <f>SUMIFS('Peoplesoft-FY13'!$K:$K,'Peoplesoft-FY13'!$S:$S,$B65,'Peoplesoft-FY13'!$Q:$Q,I$3)</f>
        <v>0</v>
      </c>
      <c r="J65" s="274">
        <f>SUMIFS('Peoplesoft-FY13'!$K:$K,'Peoplesoft-FY13'!$S:$S,$B65,'Peoplesoft-FY13'!$Q:$Q,J$3)</f>
        <v>0</v>
      </c>
      <c r="K65" s="274">
        <f>SUMIFS('Peoplesoft-FY13'!$K:$K,'Peoplesoft-FY13'!$S:$S,$B65,'Peoplesoft-FY13'!$Q:$Q,K$3)</f>
        <v>0</v>
      </c>
      <c r="L65" s="274">
        <f>SUMIFS('Peoplesoft-FY13'!$K:$K,'Peoplesoft-FY13'!$S:$S,$B65,'Peoplesoft-FY13'!$Q:$Q,L$3)</f>
        <v>0</v>
      </c>
      <c r="M65" s="274">
        <f>SUMIFS('Peoplesoft-FY13'!$K:$K,'Peoplesoft-FY13'!$S:$S,$B65,'Peoplesoft-FY13'!$Q:$Q,M$3)</f>
        <v>0</v>
      </c>
      <c r="N65" s="274">
        <f>SUMIFS('Peoplesoft-FY13'!$K:$K,'Peoplesoft-FY13'!$S:$S,$B65,'Peoplesoft-FY13'!$Q:$Q,N$3)</f>
        <v>0</v>
      </c>
      <c r="O65" s="138">
        <f t="shared" si="1"/>
        <v>0</v>
      </c>
      <c r="P65" s="119">
        <f t="shared" si="2"/>
        <v>64.100000000000009</v>
      </c>
      <c r="Q65" s="120">
        <f t="shared" si="3"/>
        <v>0</v>
      </c>
      <c r="R65" s="121">
        <f t="shared" si="6"/>
        <v>1</v>
      </c>
      <c r="S65" s="99">
        <f t="shared" si="0"/>
        <v>1</v>
      </c>
    </row>
    <row r="66" spans="1:19" s="93" customFormat="1" ht="13.2" x14ac:dyDescent="0.25">
      <c r="A66" s="260">
        <v>63</v>
      </c>
      <c r="B66" s="272">
        <v>6130</v>
      </c>
      <c r="C66" s="290" t="s">
        <v>144</v>
      </c>
      <c r="D66" s="274">
        <f>SUMIFS('Peoplesoft-FY13'!$K:$K,'Peoplesoft-FY13'!$S:$S,$B66,'Peoplesoft-FY13'!$Q:$Q,D$3)</f>
        <v>52.545000000000002</v>
      </c>
      <c r="E66" s="274">
        <f>SUMIFS('Peoplesoft-FY13'!$K:$K,'Peoplesoft-FY13'!$S:$S,$B66,'Peoplesoft-FY13'!$Q:$Q,E$3)</f>
        <v>0</v>
      </c>
      <c r="F66" s="274">
        <f>SUMIFS('Peoplesoft-FY13'!$K:$K,'Peoplesoft-FY13'!$S:$S,$B66,'Peoplesoft-FY13'!$Q:$Q,F$3)</f>
        <v>0</v>
      </c>
      <c r="G66" s="274">
        <f>SUMIFS('Peoplesoft-FY13'!$K:$K,'Peoplesoft-FY13'!$S:$S,$B66,'Peoplesoft-FY13'!$Q:$Q,G$3)</f>
        <v>0</v>
      </c>
      <c r="H66" s="274">
        <f>SUMIFS('Peoplesoft-FY13'!$K:$K,'Peoplesoft-FY13'!$S:$S,$B66,'Peoplesoft-FY13'!$Q:$Q,H$3)</f>
        <v>0</v>
      </c>
      <c r="I66" s="274">
        <f>SUMIFS('Peoplesoft-FY13'!$K:$K,'Peoplesoft-FY13'!$S:$S,$B66,'Peoplesoft-FY13'!$Q:$Q,I$3)</f>
        <v>0</v>
      </c>
      <c r="J66" s="274">
        <f>SUMIFS('Peoplesoft-FY13'!$K:$K,'Peoplesoft-FY13'!$S:$S,$B66,'Peoplesoft-FY13'!$Q:$Q,J$3)</f>
        <v>0</v>
      </c>
      <c r="K66" s="274">
        <f>SUMIFS('Peoplesoft-FY13'!$K:$K,'Peoplesoft-FY13'!$S:$S,$B66,'Peoplesoft-FY13'!$Q:$Q,K$3)</f>
        <v>0</v>
      </c>
      <c r="L66" s="274">
        <f>SUMIFS('Peoplesoft-FY13'!$K:$K,'Peoplesoft-FY13'!$S:$S,$B66,'Peoplesoft-FY13'!$Q:$Q,L$3)</f>
        <v>0</v>
      </c>
      <c r="M66" s="274">
        <f>SUMIFS('Peoplesoft-FY13'!$K:$K,'Peoplesoft-FY13'!$S:$S,$B66,'Peoplesoft-FY13'!$Q:$Q,M$3)</f>
        <v>0</v>
      </c>
      <c r="N66" s="274">
        <f>SUMIFS('Peoplesoft-FY13'!$K:$K,'Peoplesoft-FY13'!$S:$S,$B66,'Peoplesoft-FY13'!$Q:$Q,N$3)</f>
        <v>0</v>
      </c>
      <c r="O66" s="138">
        <f t="shared" si="1"/>
        <v>0</v>
      </c>
      <c r="P66" s="119">
        <f t="shared" si="2"/>
        <v>52.545000000000002</v>
      </c>
      <c r="Q66" s="120">
        <f t="shared" si="3"/>
        <v>0</v>
      </c>
      <c r="R66" s="121">
        <f t="shared" si="6"/>
        <v>1</v>
      </c>
      <c r="S66" s="99">
        <f>Q66+R66</f>
        <v>1</v>
      </c>
    </row>
    <row r="67" spans="1:19" ht="13.2" x14ac:dyDescent="0.25">
      <c r="A67" s="260">
        <v>64</v>
      </c>
      <c r="B67" s="272">
        <v>6150</v>
      </c>
      <c r="C67" s="290" t="s">
        <v>78</v>
      </c>
      <c r="D67" s="274">
        <f>SUMIFS('Peoplesoft-FY13'!$K:$K,'Peoplesoft-FY13'!$S:$S,$B67,'Peoplesoft-FY13'!$Q:$Q,D$3)</f>
        <v>33.125</v>
      </c>
      <c r="E67" s="274">
        <f>SUMIFS('Peoplesoft-FY13'!$K:$K,'Peoplesoft-FY13'!$S:$S,$B67,'Peoplesoft-FY13'!$Q:$Q,E$3)</f>
        <v>0</v>
      </c>
      <c r="F67" s="274">
        <f>SUMIFS('Peoplesoft-FY13'!$K:$K,'Peoplesoft-FY13'!$S:$S,$B67,'Peoplesoft-FY13'!$Q:$Q,F$3)</f>
        <v>0</v>
      </c>
      <c r="G67" s="274">
        <f>SUMIFS('Peoplesoft-FY13'!$K:$K,'Peoplesoft-FY13'!$S:$S,$B67,'Peoplesoft-FY13'!$Q:$Q,G$3)</f>
        <v>0</v>
      </c>
      <c r="H67" s="274">
        <f>SUMIFS('Peoplesoft-FY13'!$K:$K,'Peoplesoft-FY13'!$S:$S,$B67,'Peoplesoft-FY13'!$Q:$Q,H$3)</f>
        <v>0</v>
      </c>
      <c r="I67" s="274">
        <f>SUMIFS('Peoplesoft-FY13'!$K:$K,'Peoplesoft-FY13'!$S:$S,$B67,'Peoplesoft-FY13'!$Q:$Q,I$3)</f>
        <v>0</v>
      </c>
      <c r="J67" s="274">
        <f>SUMIFS('Peoplesoft-FY13'!$K:$K,'Peoplesoft-FY13'!$S:$S,$B67,'Peoplesoft-FY13'!$Q:$Q,J$3)</f>
        <v>0</v>
      </c>
      <c r="K67" s="274">
        <f>SUMIFS('Peoplesoft-FY13'!$K:$K,'Peoplesoft-FY13'!$S:$S,$B67,'Peoplesoft-FY13'!$Q:$Q,K$3)</f>
        <v>0</v>
      </c>
      <c r="L67" s="274">
        <f>SUMIFS('Peoplesoft-FY13'!$K:$K,'Peoplesoft-FY13'!$S:$S,$B67,'Peoplesoft-FY13'!$Q:$Q,L$3)</f>
        <v>0</v>
      </c>
      <c r="M67" s="274">
        <f>SUMIFS('Peoplesoft-FY13'!$K:$K,'Peoplesoft-FY13'!$S:$S,$B67,'Peoplesoft-FY13'!$Q:$Q,M$3)</f>
        <v>0</v>
      </c>
      <c r="N67" s="274">
        <f>SUMIFS('Peoplesoft-FY13'!$K:$K,'Peoplesoft-FY13'!$S:$S,$B67,'Peoplesoft-FY13'!$Q:$Q,N$3)</f>
        <v>0</v>
      </c>
      <c r="O67" s="138">
        <f>SUM(E67:N67)</f>
        <v>0</v>
      </c>
      <c r="P67" s="119">
        <f>SUM(D67:N67)</f>
        <v>33.125</v>
      </c>
      <c r="Q67" s="120">
        <f t="shared" ref="Q67:Q129" si="7">+O67/P67</f>
        <v>0</v>
      </c>
      <c r="R67" s="121">
        <f t="shared" si="6"/>
        <v>1</v>
      </c>
      <c r="S67" s="99">
        <f>Q67+R67</f>
        <v>1</v>
      </c>
    </row>
    <row r="68" spans="1:19" ht="13.2" x14ac:dyDescent="0.25">
      <c r="A68" s="260">
        <v>65</v>
      </c>
      <c r="B68" s="272">
        <v>6170</v>
      </c>
      <c r="C68" s="290" t="s">
        <v>79</v>
      </c>
      <c r="D68" s="274">
        <f>SUMIFS('Peoplesoft-FY13'!$K:$K,'Peoplesoft-FY13'!$S:$S,$B68,'Peoplesoft-FY13'!$Q:$Q,D$3)</f>
        <v>48.005000000000003</v>
      </c>
      <c r="E68" s="274">
        <f>SUMIFS('Peoplesoft-FY13'!$K:$K,'Peoplesoft-FY13'!$S:$S,$B68,'Peoplesoft-FY13'!$Q:$Q,E$3)</f>
        <v>0</v>
      </c>
      <c r="F68" s="274">
        <f>SUMIFS('Peoplesoft-FY13'!$K:$K,'Peoplesoft-FY13'!$S:$S,$B68,'Peoplesoft-FY13'!$Q:$Q,F$3)</f>
        <v>0</v>
      </c>
      <c r="G68" s="274">
        <f>SUMIFS('Peoplesoft-FY13'!$K:$K,'Peoplesoft-FY13'!$S:$S,$B68,'Peoplesoft-FY13'!$Q:$Q,G$3)</f>
        <v>0</v>
      </c>
      <c r="H68" s="274">
        <f>SUMIFS('Peoplesoft-FY13'!$K:$K,'Peoplesoft-FY13'!$S:$S,$B68,'Peoplesoft-FY13'!$Q:$Q,H$3)</f>
        <v>0</v>
      </c>
      <c r="I68" s="274">
        <f>SUMIFS('Peoplesoft-FY13'!$K:$K,'Peoplesoft-FY13'!$S:$S,$B68,'Peoplesoft-FY13'!$Q:$Q,I$3)</f>
        <v>0</v>
      </c>
      <c r="J68" s="274">
        <f>SUMIFS('Peoplesoft-FY13'!$K:$K,'Peoplesoft-FY13'!$S:$S,$B68,'Peoplesoft-FY13'!$Q:$Q,J$3)</f>
        <v>0</v>
      </c>
      <c r="K68" s="274">
        <f>SUMIFS('Peoplesoft-FY13'!$K:$K,'Peoplesoft-FY13'!$S:$S,$B68,'Peoplesoft-FY13'!$Q:$Q,K$3)</f>
        <v>0</v>
      </c>
      <c r="L68" s="274">
        <f>SUMIFS('Peoplesoft-FY13'!$K:$K,'Peoplesoft-FY13'!$S:$S,$B68,'Peoplesoft-FY13'!$Q:$Q,L$3)</f>
        <v>0</v>
      </c>
      <c r="M68" s="274">
        <f>SUMIFS('Peoplesoft-FY13'!$K:$K,'Peoplesoft-FY13'!$S:$S,$B68,'Peoplesoft-FY13'!$Q:$Q,M$3)</f>
        <v>0</v>
      </c>
      <c r="N68" s="274">
        <f>SUMIFS('Peoplesoft-FY13'!$K:$K,'Peoplesoft-FY13'!$S:$S,$B68,'Peoplesoft-FY13'!$Q:$Q,N$3)</f>
        <v>0</v>
      </c>
      <c r="O68" s="138">
        <f>SUM(E68:N68)</f>
        <v>0</v>
      </c>
      <c r="P68" s="119">
        <f>SUM(D68:N68)</f>
        <v>48.005000000000003</v>
      </c>
      <c r="Q68" s="120">
        <f t="shared" si="7"/>
        <v>0</v>
      </c>
      <c r="R68" s="121">
        <f t="shared" si="6"/>
        <v>1</v>
      </c>
      <c r="S68" s="99">
        <f>Q68+R68</f>
        <v>1</v>
      </c>
    </row>
    <row r="69" spans="1:19" ht="13.2" x14ac:dyDescent="0.25">
      <c r="A69" s="260">
        <v>66</v>
      </c>
      <c r="B69" s="272">
        <v>6190</v>
      </c>
      <c r="C69" s="290" t="s">
        <v>80</v>
      </c>
      <c r="D69" s="274">
        <f>SUMIFS('Peoplesoft-FY13'!$K:$K,'Peoplesoft-FY13'!$S:$S,$B69,'Peoplesoft-FY13'!$Q:$Q,D$3)</f>
        <v>57.965000000000003</v>
      </c>
      <c r="E69" s="274">
        <f>SUMIFS('Peoplesoft-FY13'!$K:$K,'Peoplesoft-FY13'!$S:$S,$B69,'Peoplesoft-FY13'!$Q:$Q,E$3)</f>
        <v>0</v>
      </c>
      <c r="F69" s="274">
        <f>SUMIFS('Peoplesoft-FY13'!$K:$K,'Peoplesoft-FY13'!$S:$S,$B69,'Peoplesoft-FY13'!$Q:$Q,F$3)</f>
        <v>0</v>
      </c>
      <c r="G69" s="274">
        <f>SUMIFS('Peoplesoft-FY13'!$K:$K,'Peoplesoft-FY13'!$S:$S,$B69,'Peoplesoft-FY13'!$Q:$Q,G$3)</f>
        <v>0</v>
      </c>
      <c r="H69" s="274">
        <f>SUMIFS('Peoplesoft-FY13'!$K:$K,'Peoplesoft-FY13'!$S:$S,$B69,'Peoplesoft-FY13'!$Q:$Q,H$3)</f>
        <v>0</v>
      </c>
      <c r="I69" s="274">
        <f>SUMIFS('Peoplesoft-FY13'!$K:$K,'Peoplesoft-FY13'!$S:$S,$B69,'Peoplesoft-FY13'!$Q:$Q,I$3)</f>
        <v>0</v>
      </c>
      <c r="J69" s="274">
        <f>SUMIFS('Peoplesoft-FY13'!$K:$K,'Peoplesoft-FY13'!$S:$S,$B69,'Peoplesoft-FY13'!$Q:$Q,J$3)</f>
        <v>0</v>
      </c>
      <c r="K69" s="274">
        <f>SUMIFS('Peoplesoft-FY13'!$K:$K,'Peoplesoft-FY13'!$S:$S,$B69,'Peoplesoft-FY13'!$Q:$Q,K$3)</f>
        <v>0</v>
      </c>
      <c r="L69" s="274">
        <f>SUMIFS('Peoplesoft-FY13'!$K:$K,'Peoplesoft-FY13'!$S:$S,$B69,'Peoplesoft-FY13'!$Q:$Q,L$3)</f>
        <v>0</v>
      </c>
      <c r="M69" s="274">
        <f>SUMIFS('Peoplesoft-FY13'!$K:$K,'Peoplesoft-FY13'!$S:$S,$B69,'Peoplesoft-FY13'!$Q:$Q,M$3)</f>
        <v>0</v>
      </c>
      <c r="N69" s="274">
        <f>SUMIFS('Peoplesoft-FY13'!$K:$K,'Peoplesoft-FY13'!$S:$S,$B69,'Peoplesoft-FY13'!$Q:$Q,N$3)</f>
        <v>0</v>
      </c>
      <c r="O69" s="138">
        <f>SUM(E69:N69)</f>
        <v>0</v>
      </c>
      <c r="P69" s="119">
        <f>SUM(D69:N69)</f>
        <v>57.965000000000003</v>
      </c>
      <c r="Q69" s="120">
        <f t="shared" si="7"/>
        <v>0</v>
      </c>
      <c r="R69" s="121">
        <f t="shared" si="6"/>
        <v>1</v>
      </c>
      <c r="S69" s="99">
        <f>Q69+R69</f>
        <v>1</v>
      </c>
    </row>
    <row r="70" spans="1:19" ht="13.2" x14ac:dyDescent="0.25">
      <c r="A70" s="294">
        <v>67</v>
      </c>
      <c r="B70" s="295">
        <v>6200</v>
      </c>
      <c r="C70" s="296" t="s">
        <v>81</v>
      </c>
      <c r="D70" s="278">
        <f>SUMIFS('Peoplesoft-FY13'!$K:$K,'Peoplesoft-FY13'!$S:$S,$B70,'Peoplesoft-FY13'!$Q:$Q,D$3)</f>
        <v>39.295000000000002</v>
      </c>
      <c r="E70" s="278">
        <f>SUMIFS('Peoplesoft-FY13'!$K:$K,'Peoplesoft-FY13'!$S:$S,$B70,'Peoplesoft-FY13'!$Q:$Q,E$3)</f>
        <v>0</v>
      </c>
      <c r="F70" s="278">
        <f>SUMIFS('Peoplesoft-FY13'!$K:$K,'Peoplesoft-FY13'!$S:$S,$B70,'Peoplesoft-FY13'!$Q:$Q,F$3)</f>
        <v>0</v>
      </c>
      <c r="G70" s="278">
        <f>SUMIFS('Peoplesoft-FY13'!$K:$K,'Peoplesoft-FY13'!$S:$S,$B70,'Peoplesoft-FY13'!$Q:$Q,G$3)</f>
        <v>0</v>
      </c>
      <c r="H70" s="278">
        <f>SUMIFS('Peoplesoft-FY13'!$K:$K,'Peoplesoft-FY13'!$S:$S,$B70,'Peoplesoft-FY13'!$Q:$Q,H$3)</f>
        <v>0</v>
      </c>
      <c r="I70" s="278">
        <f>SUMIFS('Peoplesoft-FY13'!$K:$K,'Peoplesoft-FY13'!$S:$S,$B70,'Peoplesoft-FY13'!$Q:$Q,I$3)</f>
        <v>0</v>
      </c>
      <c r="J70" s="278">
        <f>SUMIFS('Peoplesoft-FY13'!$K:$K,'Peoplesoft-FY13'!$S:$S,$B70,'Peoplesoft-FY13'!$Q:$Q,J$3)</f>
        <v>0</v>
      </c>
      <c r="K70" s="278">
        <f>SUMIFS('Peoplesoft-FY13'!$K:$K,'Peoplesoft-FY13'!$S:$S,$B70,'Peoplesoft-FY13'!$Q:$Q,K$3)</f>
        <v>0</v>
      </c>
      <c r="L70" s="278">
        <f>SUMIFS('Peoplesoft-FY13'!$K:$K,'Peoplesoft-FY13'!$S:$S,$B70,'Peoplesoft-FY13'!$Q:$Q,L$3)</f>
        <v>0</v>
      </c>
      <c r="M70" s="278">
        <f>SUMIFS('Peoplesoft-FY13'!$K:$K,'Peoplesoft-FY13'!$S:$S,$B70,'Peoplesoft-FY13'!$Q:$Q,M$3)</f>
        <v>0</v>
      </c>
      <c r="N70" s="278">
        <f>SUMIFS('Peoplesoft-FY13'!$K:$K,'Peoplesoft-FY13'!$S:$S,$B70,'Peoplesoft-FY13'!$Q:$Q,N$3)</f>
        <v>0</v>
      </c>
      <c r="O70" s="139">
        <f>SUM(E70:N70)</f>
        <v>0</v>
      </c>
      <c r="P70" s="124">
        <f>SUM(D70:N70)</f>
        <v>39.295000000000002</v>
      </c>
      <c r="Q70" s="125">
        <f t="shared" si="7"/>
        <v>0</v>
      </c>
      <c r="R70" s="126">
        <f t="shared" si="6"/>
        <v>1</v>
      </c>
      <c r="S70" s="99">
        <f>Q70+R70</f>
        <v>1</v>
      </c>
    </row>
    <row r="71" spans="1:19" ht="13.2" x14ac:dyDescent="0.3">
      <c r="A71" s="93"/>
      <c r="B71" s="112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127"/>
      <c r="O71" s="127"/>
      <c r="P71" s="128"/>
      <c r="Q71" s="129"/>
      <c r="R71" s="99"/>
      <c r="S71" s="99"/>
    </row>
    <row r="72" spans="1:19" ht="13.2" x14ac:dyDescent="0.3">
      <c r="A72" s="93"/>
      <c r="B72" s="112"/>
      <c r="C72" s="130" t="s">
        <v>145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128"/>
      <c r="O72" s="127"/>
      <c r="P72" s="128"/>
      <c r="Q72" s="129"/>
      <c r="R72" s="99"/>
      <c r="S72" s="99"/>
    </row>
    <row r="73" spans="1:19" ht="13.2" x14ac:dyDescent="0.25">
      <c r="A73" s="258">
        <v>1</v>
      </c>
      <c r="B73" s="268">
        <v>6340</v>
      </c>
      <c r="C73" s="289" t="s">
        <v>83</v>
      </c>
      <c r="D73" s="270">
        <f>SUMIFS('Peoplesoft-FY13'!$K:$K,'Peoplesoft-FY13'!$S:$S,$B73,'Peoplesoft-FY13'!$Q:$Q,D$3)</f>
        <v>45.295000000000002</v>
      </c>
      <c r="E73" s="270">
        <f>SUMIFS('Peoplesoft-FY13'!$K:$K,'Peoplesoft-FY13'!$S:$S,$B73,'Peoplesoft-FY13'!$Q:$Q,E$3)</f>
        <v>0</v>
      </c>
      <c r="F73" s="270">
        <f>SUMIFS('Peoplesoft-FY13'!$K:$K,'Peoplesoft-FY13'!$S:$S,$B73,'Peoplesoft-FY13'!$Q:$Q,F$3)</f>
        <v>0</v>
      </c>
      <c r="G73" s="270">
        <f>SUMIFS('Peoplesoft-FY13'!$K:$K,'Peoplesoft-FY13'!$S:$S,$B73,'Peoplesoft-FY13'!$Q:$Q,G$3)</f>
        <v>0</v>
      </c>
      <c r="H73" s="270">
        <f>SUMIFS('Peoplesoft-FY13'!$K:$K,'Peoplesoft-FY13'!$S:$S,$B73,'Peoplesoft-FY13'!$Q:$Q,H$3)</f>
        <v>0</v>
      </c>
      <c r="I73" s="270">
        <f>SUMIFS('Peoplesoft-FY13'!$K:$K,'Peoplesoft-FY13'!$S:$S,$B73,'Peoplesoft-FY13'!$Q:$Q,I$3)</f>
        <v>0</v>
      </c>
      <c r="J73" s="270">
        <f>SUMIFS('Peoplesoft-FY13'!$K:$K,'Peoplesoft-FY13'!$S:$S,$B73,'Peoplesoft-FY13'!$Q:$Q,J$3)</f>
        <v>0</v>
      </c>
      <c r="K73" s="270">
        <f>SUMIFS('Peoplesoft-FY13'!$K:$K,'Peoplesoft-FY13'!$S:$S,$B73,'Peoplesoft-FY13'!$Q:$Q,K$3)</f>
        <v>0</v>
      </c>
      <c r="L73" s="270">
        <f>SUMIFS('Peoplesoft-FY13'!$K:$K,'Peoplesoft-FY13'!$S:$S,$B73,'Peoplesoft-FY13'!$Q:$Q,L$3)</f>
        <v>0</v>
      </c>
      <c r="M73" s="270">
        <f>SUMIFS('Peoplesoft-FY13'!$K:$K,'Peoplesoft-FY13'!$S:$S,$B73,'Peoplesoft-FY13'!$Q:$Q,M$3)</f>
        <v>0</v>
      </c>
      <c r="N73" s="270">
        <f>SUMIFS('Peoplesoft-FY13'!$K:$K,'Peoplesoft-FY13'!$S:$S,$B73,'Peoplesoft-FY13'!$Q:$Q,N$3)</f>
        <v>0</v>
      </c>
      <c r="O73" s="137">
        <f t="shared" ref="O73:O84" si="8">SUM(E73:N73)</f>
        <v>0</v>
      </c>
      <c r="P73" s="115">
        <f t="shared" ref="P73:P84" si="9">SUM(D73:N73)</f>
        <v>45.295000000000002</v>
      </c>
      <c r="Q73" s="116">
        <f t="shared" si="7"/>
        <v>0</v>
      </c>
      <c r="R73" s="117">
        <f t="shared" ref="R73:R84" si="10">D73/P73</f>
        <v>1</v>
      </c>
      <c r="S73" s="99">
        <f>Q73+R73</f>
        <v>1</v>
      </c>
    </row>
    <row r="74" spans="1:19" ht="13.2" x14ac:dyDescent="0.25">
      <c r="A74" s="260">
        <v>2</v>
      </c>
      <c r="B74" s="284">
        <v>6380</v>
      </c>
      <c r="C74" s="291" t="s">
        <v>146</v>
      </c>
      <c r="D74" s="274">
        <f>SUMIFS('Peoplesoft-FY13'!$K:$K,'Peoplesoft-FY13'!$S:$S,$B74,'Peoplesoft-FY13'!$Q:$Q,D$3)</f>
        <v>44.274999999999999</v>
      </c>
      <c r="E74" s="274">
        <f>SUMIFS('Peoplesoft-FY13'!$K:$K,'Peoplesoft-FY13'!$S:$S,$B74,'Peoplesoft-FY13'!$Q:$Q,E$3)</f>
        <v>0</v>
      </c>
      <c r="F74" s="274">
        <f>SUMIFS('Peoplesoft-FY13'!$K:$K,'Peoplesoft-FY13'!$S:$S,$B74,'Peoplesoft-FY13'!$Q:$Q,F$3)</f>
        <v>0</v>
      </c>
      <c r="G74" s="274">
        <f>SUMIFS('Peoplesoft-FY13'!$K:$K,'Peoplesoft-FY13'!$S:$S,$B74,'Peoplesoft-FY13'!$Q:$Q,G$3)</f>
        <v>0</v>
      </c>
      <c r="H74" s="274">
        <f>SUMIFS('Peoplesoft-FY13'!$K:$K,'Peoplesoft-FY13'!$S:$S,$B74,'Peoplesoft-FY13'!$Q:$Q,H$3)</f>
        <v>0</v>
      </c>
      <c r="I74" s="274">
        <f>SUMIFS('Peoplesoft-FY13'!$K:$K,'Peoplesoft-FY13'!$S:$S,$B74,'Peoplesoft-FY13'!$Q:$Q,I$3)</f>
        <v>0</v>
      </c>
      <c r="J74" s="274">
        <f>SUMIFS('Peoplesoft-FY13'!$K:$K,'Peoplesoft-FY13'!$S:$S,$B74,'Peoplesoft-FY13'!$Q:$Q,J$3)</f>
        <v>0</v>
      </c>
      <c r="K74" s="274">
        <f>SUMIFS('Peoplesoft-FY13'!$K:$K,'Peoplesoft-FY13'!$S:$S,$B74,'Peoplesoft-FY13'!$Q:$Q,K$3)</f>
        <v>0</v>
      </c>
      <c r="L74" s="274">
        <f>SUMIFS('Peoplesoft-FY13'!$K:$K,'Peoplesoft-FY13'!$S:$S,$B74,'Peoplesoft-FY13'!$Q:$Q,L$3)</f>
        <v>0</v>
      </c>
      <c r="M74" s="274">
        <f>SUMIFS('Peoplesoft-FY13'!$K:$K,'Peoplesoft-FY13'!$S:$S,$B74,'Peoplesoft-FY13'!$Q:$Q,M$3)</f>
        <v>0</v>
      </c>
      <c r="N74" s="274">
        <f>SUMIFS('Peoplesoft-FY13'!$K:$K,'Peoplesoft-FY13'!$S:$S,$B74,'Peoplesoft-FY13'!$Q:$Q,N$3)</f>
        <v>0</v>
      </c>
      <c r="O74" s="138">
        <f t="shared" si="8"/>
        <v>0</v>
      </c>
      <c r="P74" s="119">
        <f t="shared" si="9"/>
        <v>44.274999999999999</v>
      </c>
      <c r="Q74" s="120">
        <f t="shared" si="7"/>
        <v>0</v>
      </c>
      <c r="R74" s="121">
        <f t="shared" si="10"/>
        <v>1</v>
      </c>
      <c r="S74" s="99">
        <f t="shared" ref="S74:S84" si="11">Q74+R74</f>
        <v>1</v>
      </c>
    </row>
    <row r="75" spans="1:19" ht="13.2" x14ac:dyDescent="0.25">
      <c r="A75" s="260">
        <v>3</v>
      </c>
      <c r="B75" s="272">
        <v>6390</v>
      </c>
      <c r="C75" s="290" t="s">
        <v>147</v>
      </c>
      <c r="D75" s="274">
        <f>SUMIFS('Peoplesoft-FY13'!$K:$K,'Peoplesoft-FY13'!$S:$S,$B75,'Peoplesoft-FY13'!$Q:$Q,D$3)</f>
        <v>64.13</v>
      </c>
      <c r="E75" s="274">
        <f>SUMIFS('Peoplesoft-FY13'!$K:$K,'Peoplesoft-FY13'!$S:$S,$B75,'Peoplesoft-FY13'!$Q:$Q,E$3)</f>
        <v>0</v>
      </c>
      <c r="F75" s="274">
        <f>SUMIFS('Peoplesoft-FY13'!$K:$K,'Peoplesoft-FY13'!$S:$S,$B75,'Peoplesoft-FY13'!$Q:$Q,F$3)</f>
        <v>0</v>
      </c>
      <c r="G75" s="274">
        <f>SUMIFS('Peoplesoft-FY13'!$K:$K,'Peoplesoft-FY13'!$S:$S,$B75,'Peoplesoft-FY13'!$Q:$Q,G$3)</f>
        <v>0</v>
      </c>
      <c r="H75" s="274">
        <f>SUMIFS('Peoplesoft-FY13'!$K:$K,'Peoplesoft-FY13'!$S:$S,$B75,'Peoplesoft-FY13'!$Q:$Q,H$3)</f>
        <v>0</v>
      </c>
      <c r="I75" s="274">
        <f>SUMIFS('Peoplesoft-FY13'!$K:$K,'Peoplesoft-FY13'!$S:$S,$B75,'Peoplesoft-FY13'!$Q:$Q,I$3)</f>
        <v>0</v>
      </c>
      <c r="J75" s="274">
        <f>SUMIFS('Peoplesoft-FY13'!$K:$K,'Peoplesoft-FY13'!$S:$S,$B75,'Peoplesoft-FY13'!$Q:$Q,J$3)</f>
        <v>0</v>
      </c>
      <c r="K75" s="274">
        <f>SUMIFS('Peoplesoft-FY13'!$K:$K,'Peoplesoft-FY13'!$S:$S,$B75,'Peoplesoft-FY13'!$Q:$Q,K$3)</f>
        <v>0</v>
      </c>
      <c r="L75" s="274">
        <f>SUMIFS('Peoplesoft-FY13'!$K:$K,'Peoplesoft-FY13'!$S:$S,$B75,'Peoplesoft-FY13'!$Q:$Q,L$3)</f>
        <v>0</v>
      </c>
      <c r="M75" s="274">
        <f>SUMIFS('Peoplesoft-FY13'!$K:$K,'Peoplesoft-FY13'!$S:$S,$B75,'Peoplesoft-FY13'!$Q:$Q,M$3)</f>
        <v>0</v>
      </c>
      <c r="N75" s="274">
        <f>SUMIFS('Peoplesoft-FY13'!$K:$K,'Peoplesoft-FY13'!$S:$S,$B75,'Peoplesoft-FY13'!$Q:$Q,N$3)</f>
        <v>0</v>
      </c>
      <c r="O75" s="138">
        <f t="shared" si="8"/>
        <v>0</v>
      </c>
      <c r="P75" s="119">
        <f t="shared" si="9"/>
        <v>64.13</v>
      </c>
      <c r="Q75" s="120">
        <f t="shared" si="7"/>
        <v>0</v>
      </c>
      <c r="R75" s="121">
        <f t="shared" si="10"/>
        <v>1</v>
      </c>
      <c r="S75" s="99">
        <f t="shared" si="11"/>
        <v>1</v>
      </c>
    </row>
    <row r="76" spans="1:19" ht="13.2" x14ac:dyDescent="0.25">
      <c r="A76" s="260">
        <v>4</v>
      </c>
      <c r="B76" s="272">
        <v>6410</v>
      </c>
      <c r="C76" s="290" t="s">
        <v>148</v>
      </c>
      <c r="D76" s="274">
        <f>SUMIFS('Peoplesoft-FY13'!$K:$K,'Peoplesoft-FY13'!$S:$S,$B76,'Peoplesoft-FY13'!$Q:$Q,D$3)</f>
        <v>37.92</v>
      </c>
      <c r="E76" s="274">
        <f>SUMIFS('Peoplesoft-FY13'!$K:$K,'Peoplesoft-FY13'!$S:$S,$B76,'Peoplesoft-FY13'!$Q:$Q,E$3)</f>
        <v>0</v>
      </c>
      <c r="F76" s="274">
        <f>SUMIFS('Peoplesoft-FY13'!$K:$K,'Peoplesoft-FY13'!$S:$S,$B76,'Peoplesoft-FY13'!$Q:$Q,F$3)</f>
        <v>0</v>
      </c>
      <c r="G76" s="274">
        <f>SUMIFS('Peoplesoft-FY13'!$K:$K,'Peoplesoft-FY13'!$S:$S,$B76,'Peoplesoft-FY13'!$Q:$Q,G$3)</f>
        <v>0</v>
      </c>
      <c r="H76" s="274">
        <f>SUMIFS('Peoplesoft-FY13'!$K:$K,'Peoplesoft-FY13'!$S:$S,$B76,'Peoplesoft-FY13'!$Q:$Q,H$3)</f>
        <v>0</v>
      </c>
      <c r="I76" s="274">
        <f>SUMIFS('Peoplesoft-FY13'!$K:$K,'Peoplesoft-FY13'!$S:$S,$B76,'Peoplesoft-FY13'!$Q:$Q,I$3)</f>
        <v>0</v>
      </c>
      <c r="J76" s="274">
        <f>SUMIFS('Peoplesoft-FY13'!$K:$K,'Peoplesoft-FY13'!$S:$S,$B76,'Peoplesoft-FY13'!$Q:$Q,J$3)</f>
        <v>0</v>
      </c>
      <c r="K76" s="274">
        <f>SUMIFS('Peoplesoft-FY13'!$K:$K,'Peoplesoft-FY13'!$S:$S,$B76,'Peoplesoft-FY13'!$Q:$Q,K$3)</f>
        <v>0</v>
      </c>
      <c r="L76" s="274">
        <f>SUMIFS('Peoplesoft-FY13'!$K:$K,'Peoplesoft-FY13'!$S:$S,$B76,'Peoplesoft-FY13'!$Q:$Q,L$3)</f>
        <v>0</v>
      </c>
      <c r="M76" s="274">
        <f>SUMIFS('Peoplesoft-FY13'!$K:$K,'Peoplesoft-FY13'!$S:$S,$B76,'Peoplesoft-FY13'!$Q:$Q,M$3)</f>
        <v>0</v>
      </c>
      <c r="N76" s="274">
        <f>SUMIFS('Peoplesoft-FY13'!$K:$K,'Peoplesoft-FY13'!$S:$S,$B76,'Peoplesoft-FY13'!$Q:$Q,N$3)</f>
        <v>0</v>
      </c>
      <c r="O76" s="138">
        <f t="shared" si="8"/>
        <v>0</v>
      </c>
      <c r="P76" s="119">
        <f t="shared" si="9"/>
        <v>37.92</v>
      </c>
      <c r="Q76" s="120">
        <f t="shared" si="7"/>
        <v>0</v>
      </c>
      <c r="R76" s="121">
        <f t="shared" si="10"/>
        <v>1</v>
      </c>
      <c r="S76" s="99">
        <f t="shared" si="11"/>
        <v>1</v>
      </c>
    </row>
    <row r="77" spans="1:19" ht="13.2" x14ac:dyDescent="0.25">
      <c r="A77" s="260">
        <v>5</v>
      </c>
      <c r="B77" s="272">
        <v>6420</v>
      </c>
      <c r="C77" s="290" t="s">
        <v>149</v>
      </c>
      <c r="D77" s="274">
        <f>SUMIFS('Peoplesoft-FY13'!$K:$K,'Peoplesoft-FY13'!$S:$S,$B77,'Peoplesoft-FY13'!$Q:$Q,D$3)</f>
        <v>38.21</v>
      </c>
      <c r="E77" s="274">
        <f>SUMIFS('Peoplesoft-FY13'!$K:$K,'Peoplesoft-FY13'!$S:$S,$B77,'Peoplesoft-FY13'!$Q:$Q,E$3)</f>
        <v>0</v>
      </c>
      <c r="F77" s="274">
        <f>SUMIFS('Peoplesoft-FY13'!$K:$K,'Peoplesoft-FY13'!$S:$S,$B77,'Peoplesoft-FY13'!$Q:$Q,F$3)</f>
        <v>0</v>
      </c>
      <c r="G77" s="274">
        <f>SUMIFS('Peoplesoft-FY13'!$K:$K,'Peoplesoft-FY13'!$S:$S,$B77,'Peoplesoft-FY13'!$Q:$Q,G$3)</f>
        <v>0</v>
      </c>
      <c r="H77" s="274">
        <f>SUMIFS('Peoplesoft-FY13'!$K:$K,'Peoplesoft-FY13'!$S:$S,$B77,'Peoplesoft-FY13'!$Q:$Q,H$3)</f>
        <v>0</v>
      </c>
      <c r="I77" s="274">
        <f>SUMIFS('Peoplesoft-FY13'!$K:$K,'Peoplesoft-FY13'!$S:$S,$B77,'Peoplesoft-FY13'!$Q:$Q,I$3)</f>
        <v>0</v>
      </c>
      <c r="J77" s="274">
        <f>SUMIFS('Peoplesoft-FY13'!$K:$K,'Peoplesoft-FY13'!$S:$S,$B77,'Peoplesoft-FY13'!$Q:$Q,J$3)</f>
        <v>0</v>
      </c>
      <c r="K77" s="274">
        <f>SUMIFS('Peoplesoft-FY13'!$K:$K,'Peoplesoft-FY13'!$S:$S,$B77,'Peoplesoft-FY13'!$Q:$Q,K$3)</f>
        <v>0</v>
      </c>
      <c r="L77" s="274">
        <f>SUMIFS('Peoplesoft-FY13'!$K:$K,'Peoplesoft-FY13'!$S:$S,$B77,'Peoplesoft-FY13'!$Q:$Q,L$3)</f>
        <v>0</v>
      </c>
      <c r="M77" s="274">
        <f>SUMIFS('Peoplesoft-FY13'!$K:$K,'Peoplesoft-FY13'!$S:$S,$B77,'Peoplesoft-FY13'!$Q:$Q,M$3)</f>
        <v>0</v>
      </c>
      <c r="N77" s="274">
        <f>SUMIFS('Peoplesoft-FY13'!$K:$K,'Peoplesoft-FY13'!$S:$S,$B77,'Peoplesoft-FY13'!$Q:$Q,N$3)</f>
        <v>0</v>
      </c>
      <c r="O77" s="138">
        <f t="shared" si="8"/>
        <v>0</v>
      </c>
      <c r="P77" s="119">
        <f t="shared" si="9"/>
        <v>38.21</v>
      </c>
      <c r="Q77" s="120">
        <f t="shared" si="7"/>
        <v>0</v>
      </c>
      <c r="R77" s="121">
        <f t="shared" si="10"/>
        <v>1</v>
      </c>
      <c r="S77" s="99">
        <f t="shared" si="11"/>
        <v>1</v>
      </c>
    </row>
    <row r="78" spans="1:19" ht="13.2" x14ac:dyDescent="0.25">
      <c r="A78" s="260">
        <v>6</v>
      </c>
      <c r="B78" s="272">
        <v>6580</v>
      </c>
      <c r="C78" s="290" t="s">
        <v>150</v>
      </c>
      <c r="D78" s="274">
        <f>SUMIFS('Peoplesoft-FY13'!$K:$K,'Peoplesoft-FY13'!$S:$S,$B78,'Peoplesoft-FY13'!$Q:$Q,D$3)</f>
        <v>49.5</v>
      </c>
      <c r="E78" s="274">
        <f>SUMIFS('Peoplesoft-FY13'!$K:$K,'Peoplesoft-FY13'!$S:$S,$B78,'Peoplesoft-FY13'!$Q:$Q,E$3)</f>
        <v>0</v>
      </c>
      <c r="F78" s="274">
        <f>SUMIFS('Peoplesoft-FY13'!$K:$K,'Peoplesoft-FY13'!$S:$S,$B78,'Peoplesoft-FY13'!$Q:$Q,F$3)</f>
        <v>0</v>
      </c>
      <c r="G78" s="274">
        <f>SUMIFS('Peoplesoft-FY13'!$K:$K,'Peoplesoft-FY13'!$S:$S,$B78,'Peoplesoft-FY13'!$Q:$Q,G$3)</f>
        <v>0</v>
      </c>
      <c r="H78" s="274">
        <f>SUMIFS('Peoplesoft-FY13'!$K:$K,'Peoplesoft-FY13'!$S:$S,$B78,'Peoplesoft-FY13'!$Q:$Q,H$3)</f>
        <v>0</v>
      </c>
      <c r="I78" s="274">
        <f>SUMIFS('Peoplesoft-FY13'!$K:$K,'Peoplesoft-FY13'!$S:$S,$B78,'Peoplesoft-FY13'!$Q:$Q,I$3)</f>
        <v>0</v>
      </c>
      <c r="J78" s="274">
        <f>SUMIFS('Peoplesoft-FY13'!$K:$K,'Peoplesoft-FY13'!$S:$S,$B78,'Peoplesoft-FY13'!$Q:$Q,J$3)</f>
        <v>0</v>
      </c>
      <c r="K78" s="274">
        <f>SUMIFS('Peoplesoft-FY13'!$K:$K,'Peoplesoft-FY13'!$S:$S,$B78,'Peoplesoft-FY13'!$Q:$Q,K$3)</f>
        <v>0</v>
      </c>
      <c r="L78" s="274">
        <f>SUMIFS('Peoplesoft-FY13'!$K:$K,'Peoplesoft-FY13'!$S:$S,$B78,'Peoplesoft-FY13'!$Q:$Q,L$3)</f>
        <v>0</v>
      </c>
      <c r="M78" s="274">
        <f>SUMIFS('Peoplesoft-FY13'!$K:$K,'Peoplesoft-FY13'!$S:$S,$B78,'Peoplesoft-FY13'!$Q:$Q,M$3)</f>
        <v>0</v>
      </c>
      <c r="N78" s="274">
        <f>SUMIFS('Peoplesoft-FY13'!$K:$K,'Peoplesoft-FY13'!$S:$S,$B78,'Peoplesoft-FY13'!$Q:$Q,N$3)</f>
        <v>0</v>
      </c>
      <c r="O78" s="138">
        <f t="shared" si="8"/>
        <v>0</v>
      </c>
      <c r="P78" s="119">
        <f t="shared" si="9"/>
        <v>49.5</v>
      </c>
      <c r="Q78" s="120">
        <f t="shared" si="7"/>
        <v>0</v>
      </c>
      <c r="R78" s="121">
        <f t="shared" si="10"/>
        <v>1</v>
      </c>
      <c r="S78" s="99">
        <f t="shared" si="11"/>
        <v>1</v>
      </c>
    </row>
    <row r="79" spans="1:19" ht="13.2" x14ac:dyDescent="0.25">
      <c r="A79" s="260">
        <v>7</v>
      </c>
      <c r="B79" s="272">
        <v>6430</v>
      </c>
      <c r="C79" s="290" t="s">
        <v>151</v>
      </c>
      <c r="D79" s="274">
        <f>SUMIFS('Peoplesoft-FY13'!$K:$K,'Peoplesoft-FY13'!$S:$S,$B79,'Peoplesoft-FY13'!$Q:$Q,D$3)</f>
        <v>39.25</v>
      </c>
      <c r="E79" s="274">
        <f>SUMIFS('Peoplesoft-FY13'!$K:$K,'Peoplesoft-FY13'!$S:$S,$B79,'Peoplesoft-FY13'!$Q:$Q,E$3)</f>
        <v>0</v>
      </c>
      <c r="F79" s="274">
        <f>SUMIFS('Peoplesoft-FY13'!$K:$K,'Peoplesoft-FY13'!$S:$S,$B79,'Peoplesoft-FY13'!$Q:$Q,F$3)</f>
        <v>0</v>
      </c>
      <c r="G79" s="274">
        <f>SUMIFS('Peoplesoft-FY13'!$K:$K,'Peoplesoft-FY13'!$S:$S,$B79,'Peoplesoft-FY13'!$Q:$Q,G$3)</f>
        <v>0</v>
      </c>
      <c r="H79" s="274">
        <f>SUMIFS('Peoplesoft-FY13'!$K:$K,'Peoplesoft-FY13'!$S:$S,$B79,'Peoplesoft-FY13'!$Q:$Q,H$3)</f>
        <v>0</v>
      </c>
      <c r="I79" s="274">
        <f>SUMIFS('Peoplesoft-FY13'!$K:$K,'Peoplesoft-FY13'!$S:$S,$B79,'Peoplesoft-FY13'!$Q:$Q,I$3)</f>
        <v>0</v>
      </c>
      <c r="J79" s="274">
        <f>SUMIFS('Peoplesoft-FY13'!$K:$K,'Peoplesoft-FY13'!$S:$S,$B79,'Peoplesoft-FY13'!$Q:$Q,J$3)</f>
        <v>0</v>
      </c>
      <c r="K79" s="274">
        <f>SUMIFS('Peoplesoft-FY13'!$K:$K,'Peoplesoft-FY13'!$S:$S,$B79,'Peoplesoft-FY13'!$Q:$Q,K$3)</f>
        <v>0</v>
      </c>
      <c r="L79" s="274">
        <f>SUMIFS('Peoplesoft-FY13'!$K:$K,'Peoplesoft-FY13'!$S:$S,$B79,'Peoplesoft-FY13'!$Q:$Q,L$3)</f>
        <v>0</v>
      </c>
      <c r="M79" s="274">
        <f>SUMIFS('Peoplesoft-FY13'!$K:$K,'Peoplesoft-FY13'!$S:$S,$B79,'Peoplesoft-FY13'!$Q:$Q,M$3)</f>
        <v>0</v>
      </c>
      <c r="N79" s="274">
        <f>SUMIFS('Peoplesoft-FY13'!$K:$K,'Peoplesoft-FY13'!$S:$S,$B79,'Peoplesoft-FY13'!$Q:$Q,N$3)</f>
        <v>0</v>
      </c>
      <c r="O79" s="138">
        <f t="shared" si="8"/>
        <v>0</v>
      </c>
      <c r="P79" s="119">
        <f t="shared" si="9"/>
        <v>39.25</v>
      </c>
      <c r="Q79" s="120">
        <f t="shared" si="7"/>
        <v>0</v>
      </c>
      <c r="R79" s="121">
        <f t="shared" si="10"/>
        <v>1</v>
      </c>
      <c r="S79" s="99">
        <f t="shared" si="11"/>
        <v>1</v>
      </c>
    </row>
    <row r="80" spans="1:19" ht="13.2" x14ac:dyDescent="0.25">
      <c r="A80" s="260">
        <v>8</v>
      </c>
      <c r="B80" s="272">
        <v>6450</v>
      </c>
      <c r="C80" s="290" t="s">
        <v>152</v>
      </c>
      <c r="D80" s="274">
        <f>SUMIFS('Peoplesoft-FY13'!$K:$K,'Peoplesoft-FY13'!$S:$S,$B80,'Peoplesoft-FY13'!$Q:$Q,D$3)</f>
        <v>34.085000000000001</v>
      </c>
      <c r="E80" s="274">
        <f>SUMIFS('Peoplesoft-FY13'!$K:$K,'Peoplesoft-FY13'!$S:$S,$B80,'Peoplesoft-FY13'!$Q:$Q,E$3)</f>
        <v>0</v>
      </c>
      <c r="F80" s="274">
        <f>SUMIFS('Peoplesoft-FY13'!$K:$K,'Peoplesoft-FY13'!$S:$S,$B80,'Peoplesoft-FY13'!$Q:$Q,F$3)</f>
        <v>0</v>
      </c>
      <c r="G80" s="274">
        <f>SUMIFS('Peoplesoft-FY13'!$K:$K,'Peoplesoft-FY13'!$S:$S,$B80,'Peoplesoft-FY13'!$Q:$Q,G$3)</f>
        <v>0</v>
      </c>
      <c r="H80" s="274">
        <f>SUMIFS('Peoplesoft-FY13'!$K:$K,'Peoplesoft-FY13'!$S:$S,$B80,'Peoplesoft-FY13'!$Q:$Q,H$3)</f>
        <v>0</v>
      </c>
      <c r="I80" s="274">
        <f>SUMIFS('Peoplesoft-FY13'!$K:$K,'Peoplesoft-FY13'!$S:$S,$B80,'Peoplesoft-FY13'!$Q:$Q,I$3)</f>
        <v>0</v>
      </c>
      <c r="J80" s="274">
        <f>SUMIFS('Peoplesoft-FY13'!$K:$K,'Peoplesoft-FY13'!$S:$S,$B80,'Peoplesoft-FY13'!$Q:$Q,J$3)</f>
        <v>0</v>
      </c>
      <c r="K80" s="274">
        <f>SUMIFS('Peoplesoft-FY13'!$K:$K,'Peoplesoft-FY13'!$S:$S,$B80,'Peoplesoft-FY13'!$Q:$Q,K$3)</f>
        <v>0</v>
      </c>
      <c r="L80" s="274">
        <f>SUMIFS('Peoplesoft-FY13'!$K:$K,'Peoplesoft-FY13'!$S:$S,$B80,'Peoplesoft-FY13'!$Q:$Q,L$3)</f>
        <v>0</v>
      </c>
      <c r="M80" s="274">
        <f>SUMIFS('Peoplesoft-FY13'!$K:$K,'Peoplesoft-FY13'!$S:$S,$B80,'Peoplesoft-FY13'!$Q:$Q,M$3)</f>
        <v>0</v>
      </c>
      <c r="N80" s="274">
        <f>SUMIFS('Peoplesoft-FY13'!$K:$K,'Peoplesoft-FY13'!$S:$S,$B80,'Peoplesoft-FY13'!$Q:$Q,N$3)</f>
        <v>0</v>
      </c>
      <c r="O80" s="138">
        <f t="shared" si="8"/>
        <v>0</v>
      </c>
      <c r="P80" s="119">
        <f t="shared" si="9"/>
        <v>34.085000000000001</v>
      </c>
      <c r="Q80" s="120">
        <f t="shared" si="7"/>
        <v>0</v>
      </c>
      <c r="R80" s="121">
        <f t="shared" si="10"/>
        <v>1</v>
      </c>
      <c r="S80" s="99">
        <f t="shared" si="11"/>
        <v>1</v>
      </c>
    </row>
    <row r="81" spans="1:19" ht="13.2" x14ac:dyDescent="0.25">
      <c r="A81" s="260">
        <v>9</v>
      </c>
      <c r="B81" s="272">
        <v>6470</v>
      </c>
      <c r="C81" s="290" t="s">
        <v>153</v>
      </c>
      <c r="D81" s="274">
        <f>SUMIFS('Peoplesoft-FY13'!$K:$K,'Peoplesoft-FY13'!$S:$S,$B81,'Peoplesoft-FY13'!$Q:$Q,D$3)</f>
        <v>39.215000000000003</v>
      </c>
      <c r="E81" s="274">
        <f>SUMIFS('Peoplesoft-FY13'!$K:$K,'Peoplesoft-FY13'!$S:$S,$B81,'Peoplesoft-FY13'!$Q:$Q,E$3)</f>
        <v>0</v>
      </c>
      <c r="F81" s="274">
        <f>SUMIFS('Peoplesoft-FY13'!$K:$K,'Peoplesoft-FY13'!$S:$S,$B81,'Peoplesoft-FY13'!$Q:$Q,F$3)</f>
        <v>0</v>
      </c>
      <c r="G81" s="274">
        <f>SUMIFS('Peoplesoft-FY13'!$K:$K,'Peoplesoft-FY13'!$S:$S,$B81,'Peoplesoft-FY13'!$Q:$Q,G$3)</f>
        <v>0</v>
      </c>
      <c r="H81" s="274">
        <f>SUMIFS('Peoplesoft-FY13'!$K:$K,'Peoplesoft-FY13'!$S:$S,$B81,'Peoplesoft-FY13'!$Q:$Q,H$3)</f>
        <v>0</v>
      </c>
      <c r="I81" s="274">
        <f>SUMIFS('Peoplesoft-FY13'!$K:$K,'Peoplesoft-FY13'!$S:$S,$B81,'Peoplesoft-FY13'!$Q:$Q,I$3)</f>
        <v>0</v>
      </c>
      <c r="J81" s="274">
        <f>SUMIFS('Peoplesoft-FY13'!$K:$K,'Peoplesoft-FY13'!$S:$S,$B81,'Peoplesoft-FY13'!$Q:$Q,J$3)</f>
        <v>0</v>
      </c>
      <c r="K81" s="274">
        <f>SUMIFS('Peoplesoft-FY13'!$K:$K,'Peoplesoft-FY13'!$S:$S,$B81,'Peoplesoft-FY13'!$Q:$Q,K$3)</f>
        <v>0</v>
      </c>
      <c r="L81" s="274">
        <f>SUMIFS('Peoplesoft-FY13'!$K:$K,'Peoplesoft-FY13'!$S:$S,$B81,'Peoplesoft-FY13'!$Q:$Q,L$3)</f>
        <v>0</v>
      </c>
      <c r="M81" s="274">
        <f>SUMIFS('Peoplesoft-FY13'!$K:$K,'Peoplesoft-FY13'!$S:$S,$B81,'Peoplesoft-FY13'!$Q:$Q,M$3)</f>
        <v>0</v>
      </c>
      <c r="N81" s="274">
        <f>SUMIFS('Peoplesoft-FY13'!$K:$K,'Peoplesoft-FY13'!$S:$S,$B81,'Peoplesoft-FY13'!$Q:$Q,N$3)</f>
        <v>0</v>
      </c>
      <c r="O81" s="138">
        <f t="shared" si="8"/>
        <v>0</v>
      </c>
      <c r="P81" s="119">
        <f t="shared" si="9"/>
        <v>39.215000000000003</v>
      </c>
      <c r="Q81" s="120">
        <f t="shared" si="7"/>
        <v>0</v>
      </c>
      <c r="R81" s="121">
        <f t="shared" si="10"/>
        <v>1</v>
      </c>
      <c r="S81" s="99">
        <f t="shared" si="11"/>
        <v>1</v>
      </c>
    </row>
    <row r="82" spans="1:19" ht="13.2" x14ac:dyDescent="0.25">
      <c r="A82" s="260">
        <v>10</v>
      </c>
      <c r="B82" s="272">
        <v>6480</v>
      </c>
      <c r="C82" s="290" t="s">
        <v>154</v>
      </c>
      <c r="D82" s="274">
        <f>SUMIFS('Peoplesoft-FY13'!$K:$K,'Peoplesoft-FY13'!$S:$S,$B82,'Peoplesoft-FY13'!$Q:$Q,D$3)</f>
        <v>32.255000000000003</v>
      </c>
      <c r="E82" s="274">
        <f>SUMIFS('Peoplesoft-FY13'!$K:$K,'Peoplesoft-FY13'!$S:$S,$B82,'Peoplesoft-FY13'!$Q:$Q,E$3)</f>
        <v>0</v>
      </c>
      <c r="F82" s="274">
        <f>SUMIFS('Peoplesoft-FY13'!$K:$K,'Peoplesoft-FY13'!$S:$S,$B82,'Peoplesoft-FY13'!$Q:$Q,F$3)</f>
        <v>0</v>
      </c>
      <c r="G82" s="274">
        <f>SUMIFS('Peoplesoft-FY13'!$K:$K,'Peoplesoft-FY13'!$S:$S,$B82,'Peoplesoft-FY13'!$Q:$Q,G$3)</f>
        <v>0</v>
      </c>
      <c r="H82" s="274">
        <f>SUMIFS('Peoplesoft-FY13'!$K:$K,'Peoplesoft-FY13'!$S:$S,$B82,'Peoplesoft-FY13'!$Q:$Q,H$3)</f>
        <v>0</v>
      </c>
      <c r="I82" s="274">
        <f>SUMIFS('Peoplesoft-FY13'!$K:$K,'Peoplesoft-FY13'!$S:$S,$B82,'Peoplesoft-FY13'!$Q:$Q,I$3)</f>
        <v>0</v>
      </c>
      <c r="J82" s="274">
        <f>SUMIFS('Peoplesoft-FY13'!$K:$K,'Peoplesoft-FY13'!$S:$S,$B82,'Peoplesoft-FY13'!$Q:$Q,J$3)</f>
        <v>0</v>
      </c>
      <c r="K82" s="274">
        <f>SUMIFS('Peoplesoft-FY13'!$K:$K,'Peoplesoft-FY13'!$S:$S,$B82,'Peoplesoft-FY13'!$Q:$Q,K$3)</f>
        <v>0</v>
      </c>
      <c r="L82" s="274">
        <f>SUMIFS('Peoplesoft-FY13'!$K:$K,'Peoplesoft-FY13'!$S:$S,$B82,'Peoplesoft-FY13'!$Q:$Q,L$3)</f>
        <v>0</v>
      </c>
      <c r="M82" s="274">
        <f>SUMIFS('Peoplesoft-FY13'!$K:$K,'Peoplesoft-FY13'!$S:$S,$B82,'Peoplesoft-FY13'!$Q:$Q,M$3)</f>
        <v>0</v>
      </c>
      <c r="N82" s="274">
        <f>SUMIFS('Peoplesoft-FY13'!$K:$K,'Peoplesoft-FY13'!$S:$S,$B82,'Peoplesoft-FY13'!$Q:$Q,N$3)</f>
        <v>0</v>
      </c>
      <c r="O82" s="138">
        <f t="shared" si="8"/>
        <v>0</v>
      </c>
      <c r="P82" s="119">
        <f t="shared" si="9"/>
        <v>32.255000000000003</v>
      </c>
      <c r="Q82" s="120">
        <f t="shared" si="7"/>
        <v>0</v>
      </c>
      <c r="R82" s="121">
        <f t="shared" si="10"/>
        <v>1</v>
      </c>
      <c r="S82" s="99">
        <f t="shared" si="11"/>
        <v>1</v>
      </c>
    </row>
    <row r="83" spans="1:19" ht="13.2" x14ac:dyDescent="0.25">
      <c r="A83" s="260">
        <v>11</v>
      </c>
      <c r="B83" s="272">
        <v>6490</v>
      </c>
      <c r="C83" s="290" t="s">
        <v>155</v>
      </c>
      <c r="D83" s="274">
        <f>SUMIFS('Peoplesoft-FY13'!$K:$K,'Peoplesoft-FY13'!$S:$S,$B83,'Peoplesoft-FY13'!$Q:$Q,D$3)</f>
        <v>36</v>
      </c>
      <c r="E83" s="274">
        <f>SUMIFS('Peoplesoft-FY13'!$K:$K,'Peoplesoft-FY13'!$S:$S,$B83,'Peoplesoft-FY13'!$Q:$Q,E$3)</f>
        <v>0</v>
      </c>
      <c r="F83" s="274">
        <f>SUMIFS('Peoplesoft-FY13'!$K:$K,'Peoplesoft-FY13'!$S:$S,$B83,'Peoplesoft-FY13'!$Q:$Q,F$3)</f>
        <v>0</v>
      </c>
      <c r="G83" s="274">
        <f>SUMIFS('Peoplesoft-FY13'!$K:$K,'Peoplesoft-FY13'!$S:$S,$B83,'Peoplesoft-FY13'!$Q:$Q,G$3)</f>
        <v>0</v>
      </c>
      <c r="H83" s="274">
        <f>SUMIFS('Peoplesoft-FY13'!$K:$K,'Peoplesoft-FY13'!$S:$S,$B83,'Peoplesoft-FY13'!$Q:$Q,H$3)</f>
        <v>0</v>
      </c>
      <c r="I83" s="274">
        <f>SUMIFS('Peoplesoft-FY13'!$K:$K,'Peoplesoft-FY13'!$S:$S,$B83,'Peoplesoft-FY13'!$Q:$Q,I$3)</f>
        <v>0</v>
      </c>
      <c r="J83" s="274">
        <f>SUMIFS('Peoplesoft-FY13'!$K:$K,'Peoplesoft-FY13'!$S:$S,$B83,'Peoplesoft-FY13'!$Q:$Q,J$3)</f>
        <v>0</v>
      </c>
      <c r="K83" s="274">
        <f>SUMIFS('Peoplesoft-FY13'!$K:$K,'Peoplesoft-FY13'!$S:$S,$B83,'Peoplesoft-FY13'!$Q:$Q,K$3)</f>
        <v>0</v>
      </c>
      <c r="L83" s="274">
        <f>SUMIFS('Peoplesoft-FY13'!$K:$K,'Peoplesoft-FY13'!$S:$S,$B83,'Peoplesoft-FY13'!$Q:$Q,L$3)</f>
        <v>0</v>
      </c>
      <c r="M83" s="274">
        <f>SUMIFS('Peoplesoft-FY13'!$K:$K,'Peoplesoft-FY13'!$S:$S,$B83,'Peoplesoft-FY13'!$Q:$Q,M$3)</f>
        <v>0</v>
      </c>
      <c r="N83" s="274">
        <f>SUMIFS('Peoplesoft-FY13'!$K:$K,'Peoplesoft-FY13'!$S:$S,$B83,'Peoplesoft-FY13'!$Q:$Q,N$3)</f>
        <v>0</v>
      </c>
      <c r="O83" s="138">
        <f t="shared" si="8"/>
        <v>0</v>
      </c>
      <c r="P83" s="119">
        <f t="shared" si="9"/>
        <v>36</v>
      </c>
      <c r="Q83" s="120">
        <f t="shared" si="7"/>
        <v>0</v>
      </c>
      <c r="R83" s="121">
        <f t="shared" si="10"/>
        <v>1</v>
      </c>
      <c r="S83" s="99">
        <f t="shared" si="11"/>
        <v>1</v>
      </c>
    </row>
    <row r="84" spans="1:19" ht="13.2" x14ac:dyDescent="0.25">
      <c r="A84" s="294">
        <v>12</v>
      </c>
      <c r="B84" s="287">
        <v>6500</v>
      </c>
      <c r="C84" s="296" t="s">
        <v>156</v>
      </c>
      <c r="D84" s="278">
        <f>SUMIFS('Peoplesoft-FY13'!$K:$K,'Peoplesoft-FY13'!$S:$S,$B84,'Peoplesoft-FY13'!$Q:$Q,D$3)</f>
        <v>44.13</v>
      </c>
      <c r="E84" s="278">
        <f>SUMIFS('Peoplesoft-FY13'!$K:$K,'Peoplesoft-FY13'!$S:$S,$B84,'Peoplesoft-FY13'!$Q:$Q,E$3)</f>
        <v>0</v>
      </c>
      <c r="F84" s="278">
        <f>SUMIFS('Peoplesoft-FY13'!$K:$K,'Peoplesoft-FY13'!$S:$S,$B84,'Peoplesoft-FY13'!$Q:$Q,F$3)</f>
        <v>0</v>
      </c>
      <c r="G84" s="278">
        <f>SUMIFS('Peoplesoft-FY13'!$K:$K,'Peoplesoft-FY13'!$S:$S,$B84,'Peoplesoft-FY13'!$Q:$Q,G$3)</f>
        <v>0</v>
      </c>
      <c r="H84" s="278">
        <f>SUMIFS('Peoplesoft-FY13'!$K:$K,'Peoplesoft-FY13'!$S:$S,$B84,'Peoplesoft-FY13'!$Q:$Q,H$3)</f>
        <v>0</v>
      </c>
      <c r="I84" s="278">
        <f>SUMIFS('Peoplesoft-FY13'!$K:$K,'Peoplesoft-FY13'!$S:$S,$B84,'Peoplesoft-FY13'!$Q:$Q,I$3)</f>
        <v>0</v>
      </c>
      <c r="J84" s="278">
        <f>SUMIFS('Peoplesoft-FY13'!$K:$K,'Peoplesoft-FY13'!$S:$S,$B84,'Peoplesoft-FY13'!$Q:$Q,J$3)</f>
        <v>0</v>
      </c>
      <c r="K84" s="278">
        <f>SUMIFS('Peoplesoft-FY13'!$K:$K,'Peoplesoft-FY13'!$S:$S,$B84,'Peoplesoft-FY13'!$Q:$Q,K$3)</f>
        <v>0</v>
      </c>
      <c r="L84" s="278">
        <f>SUMIFS('Peoplesoft-FY13'!$K:$K,'Peoplesoft-FY13'!$S:$S,$B84,'Peoplesoft-FY13'!$Q:$Q,L$3)</f>
        <v>0</v>
      </c>
      <c r="M84" s="278">
        <f>SUMIFS('Peoplesoft-FY13'!$K:$K,'Peoplesoft-FY13'!$S:$S,$B84,'Peoplesoft-FY13'!$Q:$Q,M$3)</f>
        <v>0</v>
      </c>
      <c r="N84" s="278">
        <f>SUMIFS('Peoplesoft-FY13'!$K:$K,'Peoplesoft-FY13'!$S:$S,$B84,'Peoplesoft-FY13'!$Q:$Q,N$3)</f>
        <v>0</v>
      </c>
      <c r="O84" s="139">
        <f t="shared" si="8"/>
        <v>0</v>
      </c>
      <c r="P84" s="124">
        <f t="shared" si="9"/>
        <v>44.13</v>
      </c>
      <c r="Q84" s="125">
        <f t="shared" si="7"/>
        <v>0</v>
      </c>
      <c r="R84" s="126">
        <f t="shared" si="10"/>
        <v>1</v>
      </c>
      <c r="S84" s="99">
        <f t="shared" si="11"/>
        <v>1</v>
      </c>
    </row>
    <row r="85" spans="1:19" ht="13.2" x14ac:dyDescent="0.3">
      <c r="A85" s="93"/>
      <c r="B85" s="112"/>
      <c r="C85" s="93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7"/>
      <c r="P85" s="128"/>
      <c r="Q85" s="129"/>
      <c r="R85" s="99"/>
      <c r="S85" s="99"/>
    </row>
    <row r="86" spans="1:19" ht="13.2" x14ac:dyDescent="0.3">
      <c r="A86" s="93"/>
      <c r="B86" s="112"/>
      <c r="C86" s="130" t="s">
        <v>157</v>
      </c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7"/>
      <c r="P86" s="128"/>
      <c r="Q86" s="129"/>
      <c r="R86" s="99"/>
      <c r="S86" s="99"/>
    </row>
    <row r="87" spans="1:19" ht="13.2" x14ac:dyDescent="0.25">
      <c r="A87" s="267">
        <f>+'COMPARABILITY FY13 '!B87</f>
        <v>1</v>
      </c>
      <c r="B87" s="268">
        <f>+'COMPARABILITY FY13 '!C87</f>
        <v>7110</v>
      </c>
      <c r="C87" s="269" t="str">
        <f>+'COMPARABILITY FY13 '!D87</f>
        <v>Anacostia SHS</v>
      </c>
      <c r="D87" s="270">
        <f>SUMIFS('Peoplesoft-FY13'!$K:$K,'Peoplesoft-FY13'!$S:$S,$B87,'Peoplesoft-FY13'!$Q:$Q,D$3)</f>
        <v>100.16999999999999</v>
      </c>
      <c r="E87" s="270">
        <f>SUMIFS('Peoplesoft-FY13'!$K:$K,'Peoplesoft-FY13'!$S:$S,$B87,'Peoplesoft-FY13'!$Q:$Q,E$3)</f>
        <v>1</v>
      </c>
      <c r="F87" s="270">
        <f>SUMIFS('Peoplesoft-FY13'!$K:$K,'Peoplesoft-FY13'!$S:$S,$B87,'Peoplesoft-FY13'!$Q:$Q,F$3)</f>
        <v>0</v>
      </c>
      <c r="G87" s="270">
        <f>SUMIFS('Peoplesoft-FY13'!$K:$K,'Peoplesoft-FY13'!$S:$S,$B87,'Peoplesoft-FY13'!$Q:$Q,G$3)</f>
        <v>0</v>
      </c>
      <c r="H87" s="270">
        <f>SUMIFS('Peoplesoft-FY13'!$K:$K,'Peoplesoft-FY13'!$S:$S,$B87,'Peoplesoft-FY13'!$Q:$Q,H$3)</f>
        <v>0</v>
      </c>
      <c r="I87" s="270">
        <f>SUMIFS('Peoplesoft-FY13'!$K:$K,'Peoplesoft-FY13'!$S:$S,$B87,'Peoplesoft-FY13'!$Q:$Q,I$3)</f>
        <v>0</v>
      </c>
      <c r="J87" s="270">
        <f>SUMIFS('Peoplesoft-FY13'!$K:$K,'Peoplesoft-FY13'!$S:$S,$B87,'Peoplesoft-FY13'!$Q:$Q,J$3)</f>
        <v>0</v>
      </c>
      <c r="K87" s="270">
        <f>SUMIFS('Peoplesoft-FY13'!$K:$K,'Peoplesoft-FY13'!$S:$S,$B87,'Peoplesoft-FY13'!$Q:$Q,K$3)</f>
        <v>0</v>
      </c>
      <c r="L87" s="270">
        <f>SUMIFS('Peoplesoft-FY13'!$K:$K,'Peoplesoft-FY13'!$S:$S,$B87,'Peoplesoft-FY13'!$Q:$Q,L$3)</f>
        <v>0</v>
      </c>
      <c r="M87" s="270">
        <f>SUMIFS('Peoplesoft-FY13'!$K:$K,'Peoplesoft-FY13'!$S:$S,$B87,'Peoplesoft-FY13'!$Q:$Q,M$3)</f>
        <v>0</v>
      </c>
      <c r="N87" s="270">
        <f>SUMIFS('Peoplesoft-FY13'!$K:$K,'Peoplesoft-FY13'!$S:$S,$B87,'Peoplesoft-FY13'!$Q:$Q,N$3)</f>
        <v>0</v>
      </c>
      <c r="O87" s="137">
        <f t="shared" ref="O87:O105" si="12">SUM(E87:N87)</f>
        <v>1</v>
      </c>
      <c r="P87" s="115">
        <f t="shared" ref="P87:P105" si="13">SUM(D87:N87)</f>
        <v>101.16999999999999</v>
      </c>
      <c r="Q87" s="116">
        <f t="shared" si="7"/>
        <v>9.8843530690916285E-3</v>
      </c>
      <c r="R87" s="117">
        <f t="shared" ref="R87:R105" si="14">D87/P87</f>
        <v>0.99011564693090837</v>
      </c>
      <c r="S87" s="99">
        <f t="shared" ref="S87:S105" si="15">Q87+R87</f>
        <v>1</v>
      </c>
    </row>
    <row r="88" spans="1:19" ht="13.2" x14ac:dyDescent="0.25">
      <c r="A88" s="271">
        <f>+'COMPARABILITY FY13 '!B88</f>
        <v>2</v>
      </c>
      <c r="B88" s="272">
        <f>+'COMPARABILITY FY13 '!C88</f>
        <v>7120</v>
      </c>
      <c r="C88" s="273" t="str">
        <f>+'COMPARABILITY FY13 '!D88</f>
        <v>Ballou SHS</v>
      </c>
      <c r="D88" s="274">
        <f>SUMIFS('Peoplesoft-FY13'!$K:$K,'Peoplesoft-FY13'!$S:$S,$B88,'Peoplesoft-FY13'!$Q:$Q,D$3)</f>
        <v>118.00499999999998</v>
      </c>
      <c r="E88" s="274">
        <f>SUMIFS('Peoplesoft-FY13'!$K:$K,'Peoplesoft-FY13'!$S:$S,$B88,'Peoplesoft-FY13'!$Q:$Q,E$3)</f>
        <v>0</v>
      </c>
      <c r="F88" s="274">
        <f>SUMIFS('Peoplesoft-FY13'!$K:$K,'Peoplesoft-FY13'!$S:$S,$B88,'Peoplesoft-FY13'!$Q:$Q,F$3)</f>
        <v>0</v>
      </c>
      <c r="G88" s="274">
        <f>SUMIFS('Peoplesoft-FY13'!$K:$K,'Peoplesoft-FY13'!$S:$S,$B88,'Peoplesoft-FY13'!$Q:$Q,G$3)</f>
        <v>0</v>
      </c>
      <c r="H88" s="274">
        <f>SUMIFS('Peoplesoft-FY13'!$K:$K,'Peoplesoft-FY13'!$S:$S,$B88,'Peoplesoft-FY13'!$Q:$Q,H$3)</f>
        <v>0</v>
      </c>
      <c r="I88" s="274">
        <f>SUMIFS('Peoplesoft-FY13'!$K:$K,'Peoplesoft-FY13'!$S:$S,$B88,'Peoplesoft-FY13'!$Q:$Q,I$3)</f>
        <v>0</v>
      </c>
      <c r="J88" s="274">
        <f>SUMIFS('Peoplesoft-FY13'!$K:$K,'Peoplesoft-FY13'!$S:$S,$B88,'Peoplesoft-FY13'!$Q:$Q,J$3)</f>
        <v>0</v>
      </c>
      <c r="K88" s="274">
        <f>SUMIFS('Peoplesoft-FY13'!$K:$K,'Peoplesoft-FY13'!$S:$S,$B88,'Peoplesoft-FY13'!$Q:$Q,K$3)</f>
        <v>0</v>
      </c>
      <c r="L88" s="274">
        <f>SUMIFS('Peoplesoft-FY13'!$K:$K,'Peoplesoft-FY13'!$S:$S,$B88,'Peoplesoft-FY13'!$Q:$Q,L$3)</f>
        <v>0</v>
      </c>
      <c r="M88" s="274">
        <f>SUMIFS('Peoplesoft-FY13'!$K:$K,'Peoplesoft-FY13'!$S:$S,$B88,'Peoplesoft-FY13'!$Q:$Q,M$3)</f>
        <v>0</v>
      </c>
      <c r="N88" s="274">
        <f>SUMIFS('Peoplesoft-FY13'!$K:$K,'Peoplesoft-FY13'!$S:$S,$B88,'Peoplesoft-FY13'!$Q:$Q,N$3)</f>
        <v>0</v>
      </c>
      <c r="O88" s="138">
        <f t="shared" si="12"/>
        <v>0</v>
      </c>
      <c r="P88" s="119">
        <f t="shared" si="13"/>
        <v>118.00499999999998</v>
      </c>
      <c r="Q88" s="120">
        <f t="shared" si="7"/>
        <v>0</v>
      </c>
      <c r="R88" s="121">
        <f t="shared" si="14"/>
        <v>1</v>
      </c>
      <c r="S88" s="99">
        <f t="shared" si="15"/>
        <v>1</v>
      </c>
    </row>
    <row r="89" spans="1:19" ht="13.2" x14ac:dyDescent="0.25">
      <c r="A89" s="271">
        <f>+'COMPARABILITY FY13 '!B89</f>
        <v>3</v>
      </c>
      <c r="B89" s="272">
        <f>+'COMPARABILITY FY13 '!C89</f>
        <v>7140</v>
      </c>
      <c r="C89" s="273" t="str">
        <f>+'COMPARABILITY FY13 '!D89</f>
        <v>Banneker SHS</v>
      </c>
      <c r="D89" s="274">
        <f>SUMIFS('Peoplesoft-FY13'!$K:$K,'Peoplesoft-FY13'!$S:$S,$B89,'Peoplesoft-FY13'!$Q:$Q,D$3)</f>
        <v>44.5</v>
      </c>
      <c r="E89" s="274">
        <f>SUMIFS('Peoplesoft-FY13'!$K:$K,'Peoplesoft-FY13'!$S:$S,$B89,'Peoplesoft-FY13'!$Q:$Q,E$3)</f>
        <v>0</v>
      </c>
      <c r="F89" s="274">
        <f>SUMIFS('Peoplesoft-FY13'!$K:$K,'Peoplesoft-FY13'!$S:$S,$B89,'Peoplesoft-FY13'!$Q:$Q,F$3)</f>
        <v>0</v>
      </c>
      <c r="G89" s="274">
        <f>SUMIFS('Peoplesoft-FY13'!$K:$K,'Peoplesoft-FY13'!$S:$S,$B89,'Peoplesoft-FY13'!$Q:$Q,G$3)</f>
        <v>0</v>
      </c>
      <c r="H89" s="274">
        <f>SUMIFS('Peoplesoft-FY13'!$K:$K,'Peoplesoft-FY13'!$S:$S,$B89,'Peoplesoft-FY13'!$Q:$Q,H$3)</f>
        <v>0</v>
      </c>
      <c r="I89" s="274">
        <f>SUMIFS('Peoplesoft-FY13'!$K:$K,'Peoplesoft-FY13'!$S:$S,$B89,'Peoplesoft-FY13'!$Q:$Q,I$3)</f>
        <v>0</v>
      </c>
      <c r="J89" s="274">
        <f>SUMIFS('Peoplesoft-FY13'!$K:$K,'Peoplesoft-FY13'!$S:$S,$B89,'Peoplesoft-FY13'!$Q:$Q,J$3)</f>
        <v>0</v>
      </c>
      <c r="K89" s="274">
        <f>SUMIFS('Peoplesoft-FY13'!$K:$K,'Peoplesoft-FY13'!$S:$S,$B89,'Peoplesoft-FY13'!$Q:$Q,K$3)</f>
        <v>0</v>
      </c>
      <c r="L89" s="274">
        <f>SUMIFS('Peoplesoft-FY13'!$K:$K,'Peoplesoft-FY13'!$S:$S,$B89,'Peoplesoft-FY13'!$Q:$Q,L$3)</f>
        <v>0</v>
      </c>
      <c r="M89" s="274">
        <f>SUMIFS('Peoplesoft-FY13'!$K:$K,'Peoplesoft-FY13'!$S:$S,$B89,'Peoplesoft-FY13'!$Q:$Q,M$3)</f>
        <v>0</v>
      </c>
      <c r="N89" s="274">
        <f>SUMIFS('Peoplesoft-FY13'!$K:$K,'Peoplesoft-FY13'!$S:$S,$B89,'Peoplesoft-FY13'!$Q:$Q,N$3)</f>
        <v>0</v>
      </c>
      <c r="O89" s="138">
        <f t="shared" si="12"/>
        <v>0</v>
      </c>
      <c r="P89" s="119">
        <f t="shared" si="13"/>
        <v>44.5</v>
      </c>
      <c r="Q89" s="120">
        <f t="shared" si="7"/>
        <v>0</v>
      </c>
      <c r="R89" s="121">
        <f t="shared" si="14"/>
        <v>1</v>
      </c>
      <c r="S89" s="99">
        <f t="shared" si="15"/>
        <v>1</v>
      </c>
    </row>
    <row r="90" spans="1:19" ht="13.2" x14ac:dyDescent="0.25">
      <c r="A90" s="271">
        <f>+'COMPARABILITY FY13 '!B90</f>
        <v>4</v>
      </c>
      <c r="B90" s="272">
        <f>+'COMPARABILITY FY13 '!C90</f>
        <v>7150</v>
      </c>
      <c r="C90" s="273" t="str">
        <f>+'COMPARABILITY FY13 '!D90</f>
        <v>Columbia Heights EC</v>
      </c>
      <c r="D90" s="274">
        <f>SUMIFS('Peoplesoft-FY13'!$K:$K,'Peoplesoft-FY13'!$S:$S,$B90,'Peoplesoft-FY13'!$Q:$Q,D$3)</f>
        <v>137.5</v>
      </c>
      <c r="E90" s="274">
        <f>SUMIFS('Peoplesoft-FY13'!$K:$K,'Peoplesoft-FY13'!$S:$S,$B90,'Peoplesoft-FY13'!$Q:$Q,E$3)</f>
        <v>1.5</v>
      </c>
      <c r="F90" s="274">
        <f>SUMIFS('Peoplesoft-FY13'!$K:$K,'Peoplesoft-FY13'!$S:$S,$B90,'Peoplesoft-FY13'!$Q:$Q,F$3)</f>
        <v>0</v>
      </c>
      <c r="G90" s="274">
        <f>SUMIFS('Peoplesoft-FY13'!$K:$K,'Peoplesoft-FY13'!$S:$S,$B90,'Peoplesoft-FY13'!$Q:$Q,G$3)</f>
        <v>0</v>
      </c>
      <c r="H90" s="274">
        <f>SUMIFS('Peoplesoft-FY13'!$K:$K,'Peoplesoft-FY13'!$S:$S,$B90,'Peoplesoft-FY13'!$Q:$Q,H$3)</f>
        <v>0</v>
      </c>
      <c r="I90" s="274">
        <f>SUMIFS('Peoplesoft-FY13'!$K:$K,'Peoplesoft-FY13'!$S:$S,$B90,'Peoplesoft-FY13'!$Q:$Q,I$3)</f>
        <v>0</v>
      </c>
      <c r="J90" s="274">
        <f>SUMIFS('Peoplesoft-FY13'!$K:$K,'Peoplesoft-FY13'!$S:$S,$B90,'Peoplesoft-FY13'!$Q:$Q,J$3)</f>
        <v>0</v>
      </c>
      <c r="K90" s="274">
        <f>SUMIFS('Peoplesoft-FY13'!$K:$K,'Peoplesoft-FY13'!$S:$S,$B90,'Peoplesoft-FY13'!$Q:$Q,K$3)</f>
        <v>0</v>
      </c>
      <c r="L90" s="274">
        <f>SUMIFS('Peoplesoft-FY13'!$K:$K,'Peoplesoft-FY13'!$S:$S,$B90,'Peoplesoft-FY13'!$Q:$Q,L$3)</f>
        <v>0</v>
      </c>
      <c r="M90" s="274">
        <f>SUMIFS('Peoplesoft-FY13'!$K:$K,'Peoplesoft-FY13'!$S:$S,$B90,'Peoplesoft-FY13'!$Q:$Q,M$3)</f>
        <v>0</v>
      </c>
      <c r="N90" s="274">
        <f>SUMIFS('Peoplesoft-FY13'!$K:$K,'Peoplesoft-FY13'!$S:$S,$B90,'Peoplesoft-FY13'!$Q:$Q,N$3)</f>
        <v>0</v>
      </c>
      <c r="O90" s="138">
        <f t="shared" si="12"/>
        <v>1.5</v>
      </c>
      <c r="P90" s="119">
        <f t="shared" si="13"/>
        <v>139</v>
      </c>
      <c r="Q90" s="120">
        <f t="shared" si="7"/>
        <v>1.0791366906474821E-2</v>
      </c>
      <c r="R90" s="121">
        <f t="shared" si="14"/>
        <v>0.98920863309352514</v>
      </c>
      <c r="S90" s="99">
        <f t="shared" si="15"/>
        <v>1</v>
      </c>
    </row>
    <row r="91" spans="1:19" s="91" customFormat="1" ht="13.2" x14ac:dyDescent="0.25">
      <c r="A91" s="271">
        <f>+'COMPARABILITY FY13 '!B91</f>
        <v>5</v>
      </c>
      <c r="B91" s="272">
        <f>+'COMPARABILITY FY13 '!C91</f>
        <v>7160</v>
      </c>
      <c r="C91" s="273" t="str">
        <f>+'COMPARABILITY FY13 '!D91</f>
        <v>Cardozo SHS</v>
      </c>
      <c r="D91" s="274">
        <f>SUMIFS('Peoplesoft-FY13'!$K:$K,'Peoplesoft-FY13'!$S:$S,$B91,'Peoplesoft-FY13'!$Q:$Q,D$3)</f>
        <v>68.67</v>
      </c>
      <c r="E91" s="274">
        <f>SUMIFS('Peoplesoft-FY13'!$K:$K,'Peoplesoft-FY13'!$S:$S,$B91,'Peoplesoft-FY13'!$Q:$Q,E$3)</f>
        <v>1</v>
      </c>
      <c r="F91" s="274">
        <f>SUMIFS('Peoplesoft-FY13'!$K:$K,'Peoplesoft-FY13'!$S:$S,$B91,'Peoplesoft-FY13'!$Q:$Q,F$3)</f>
        <v>0</v>
      </c>
      <c r="G91" s="274">
        <f>SUMIFS('Peoplesoft-FY13'!$K:$K,'Peoplesoft-FY13'!$S:$S,$B91,'Peoplesoft-FY13'!$Q:$Q,G$3)</f>
        <v>0</v>
      </c>
      <c r="H91" s="274">
        <f>SUMIFS('Peoplesoft-FY13'!$K:$K,'Peoplesoft-FY13'!$S:$S,$B91,'Peoplesoft-FY13'!$Q:$Q,H$3)</f>
        <v>0</v>
      </c>
      <c r="I91" s="274">
        <f>SUMIFS('Peoplesoft-FY13'!$K:$K,'Peoplesoft-FY13'!$S:$S,$B91,'Peoplesoft-FY13'!$Q:$Q,I$3)</f>
        <v>0</v>
      </c>
      <c r="J91" s="274">
        <f>SUMIFS('Peoplesoft-FY13'!$K:$K,'Peoplesoft-FY13'!$S:$S,$B91,'Peoplesoft-FY13'!$Q:$Q,J$3)</f>
        <v>0</v>
      </c>
      <c r="K91" s="274">
        <f>SUMIFS('Peoplesoft-FY13'!$K:$K,'Peoplesoft-FY13'!$S:$S,$B91,'Peoplesoft-FY13'!$Q:$Q,K$3)</f>
        <v>0</v>
      </c>
      <c r="L91" s="274">
        <f>SUMIFS('Peoplesoft-FY13'!$K:$K,'Peoplesoft-FY13'!$S:$S,$B91,'Peoplesoft-FY13'!$Q:$Q,L$3)</f>
        <v>0</v>
      </c>
      <c r="M91" s="274">
        <f>SUMIFS('Peoplesoft-FY13'!$K:$K,'Peoplesoft-FY13'!$S:$S,$B91,'Peoplesoft-FY13'!$Q:$Q,M$3)</f>
        <v>0</v>
      </c>
      <c r="N91" s="274">
        <f>SUMIFS('Peoplesoft-FY13'!$K:$K,'Peoplesoft-FY13'!$S:$S,$B91,'Peoplesoft-FY13'!$Q:$Q,N$3)</f>
        <v>0</v>
      </c>
      <c r="O91" s="138">
        <f t="shared" si="12"/>
        <v>1</v>
      </c>
      <c r="P91" s="119">
        <f t="shared" si="13"/>
        <v>69.67</v>
      </c>
      <c r="Q91" s="120">
        <f t="shared" si="7"/>
        <v>1.4353380221042055E-2</v>
      </c>
      <c r="R91" s="121">
        <f t="shared" si="14"/>
        <v>0.98564661977895796</v>
      </c>
      <c r="S91" s="99">
        <f t="shared" si="15"/>
        <v>1</v>
      </c>
    </row>
    <row r="92" spans="1:19" ht="13.2" x14ac:dyDescent="0.25">
      <c r="A92" s="271">
        <f>+'COMPARABILITY FY13 '!B92</f>
        <v>6</v>
      </c>
      <c r="B92" s="272">
        <f>+'COMPARABILITY FY13 '!C92</f>
        <v>7170</v>
      </c>
      <c r="C92" s="273" t="str">
        <f>+'COMPARABILITY FY13 '!D92</f>
        <v>Coolidge SHS</v>
      </c>
      <c r="D92" s="274">
        <f>SUMIFS('Peoplesoft-FY13'!$K:$K,'Peoplesoft-FY13'!$S:$S,$B92,'Peoplesoft-FY13'!$Q:$Q,D$3)</f>
        <v>64.875</v>
      </c>
      <c r="E92" s="274">
        <f>SUMIFS('Peoplesoft-FY13'!$K:$K,'Peoplesoft-FY13'!$S:$S,$B92,'Peoplesoft-FY13'!$Q:$Q,E$3)</f>
        <v>0.5</v>
      </c>
      <c r="F92" s="274">
        <f>SUMIFS('Peoplesoft-FY13'!$K:$K,'Peoplesoft-FY13'!$S:$S,$B92,'Peoplesoft-FY13'!$Q:$Q,F$3)</f>
        <v>0</v>
      </c>
      <c r="G92" s="274">
        <f>SUMIFS('Peoplesoft-FY13'!$K:$K,'Peoplesoft-FY13'!$S:$S,$B92,'Peoplesoft-FY13'!$Q:$Q,G$3)</f>
        <v>0</v>
      </c>
      <c r="H92" s="274">
        <f>SUMIFS('Peoplesoft-FY13'!$K:$K,'Peoplesoft-FY13'!$S:$S,$B92,'Peoplesoft-FY13'!$Q:$Q,H$3)</f>
        <v>0</v>
      </c>
      <c r="I92" s="274">
        <f>SUMIFS('Peoplesoft-FY13'!$K:$K,'Peoplesoft-FY13'!$S:$S,$B92,'Peoplesoft-FY13'!$Q:$Q,I$3)</f>
        <v>0</v>
      </c>
      <c r="J92" s="274">
        <f>SUMIFS('Peoplesoft-FY13'!$K:$K,'Peoplesoft-FY13'!$S:$S,$B92,'Peoplesoft-FY13'!$Q:$Q,J$3)</f>
        <v>0</v>
      </c>
      <c r="K92" s="274">
        <f>SUMIFS('Peoplesoft-FY13'!$K:$K,'Peoplesoft-FY13'!$S:$S,$B92,'Peoplesoft-FY13'!$Q:$Q,K$3)</f>
        <v>0</v>
      </c>
      <c r="L92" s="274">
        <f>SUMIFS('Peoplesoft-FY13'!$K:$K,'Peoplesoft-FY13'!$S:$S,$B92,'Peoplesoft-FY13'!$Q:$Q,L$3)</f>
        <v>0</v>
      </c>
      <c r="M92" s="274">
        <f>SUMIFS('Peoplesoft-FY13'!$K:$K,'Peoplesoft-FY13'!$S:$S,$B92,'Peoplesoft-FY13'!$Q:$Q,M$3)</f>
        <v>0</v>
      </c>
      <c r="N92" s="274">
        <f>SUMIFS('Peoplesoft-FY13'!$K:$K,'Peoplesoft-FY13'!$S:$S,$B92,'Peoplesoft-FY13'!$Q:$Q,N$3)</f>
        <v>0</v>
      </c>
      <c r="O92" s="138">
        <f t="shared" si="12"/>
        <v>0.5</v>
      </c>
      <c r="P92" s="119">
        <f t="shared" si="13"/>
        <v>65.375</v>
      </c>
      <c r="Q92" s="120">
        <f t="shared" si="7"/>
        <v>7.6481835564053535E-3</v>
      </c>
      <c r="R92" s="121">
        <f t="shared" si="14"/>
        <v>0.9923518164435946</v>
      </c>
      <c r="S92" s="99">
        <f t="shared" si="15"/>
        <v>1</v>
      </c>
    </row>
    <row r="93" spans="1:19" ht="13.2" x14ac:dyDescent="0.25">
      <c r="A93" s="271">
        <f>+'COMPARABILITY FY13 '!B93</f>
        <v>7</v>
      </c>
      <c r="B93" s="272">
        <f>+'COMPARABILITY FY13 '!C93</f>
        <v>7180</v>
      </c>
      <c r="C93" s="273" t="str">
        <f>+'COMPARABILITY FY13 '!D93</f>
        <v>Dunbar SHS</v>
      </c>
      <c r="D93" s="274">
        <f>SUMIFS('Peoplesoft-FY13'!$K:$K,'Peoplesoft-FY13'!$S:$S,$B93,'Peoplesoft-FY13'!$Q:$Q,D$3)</f>
        <v>65.63</v>
      </c>
      <c r="E93" s="274">
        <f>SUMIFS('Peoplesoft-FY13'!$K:$K,'Peoplesoft-FY13'!$S:$S,$B93,'Peoplesoft-FY13'!$Q:$Q,E$3)</f>
        <v>1</v>
      </c>
      <c r="F93" s="274">
        <f>SUMIFS('Peoplesoft-FY13'!$K:$K,'Peoplesoft-FY13'!$S:$S,$B93,'Peoplesoft-FY13'!$Q:$Q,F$3)</f>
        <v>0</v>
      </c>
      <c r="G93" s="274">
        <f>SUMIFS('Peoplesoft-FY13'!$K:$K,'Peoplesoft-FY13'!$S:$S,$B93,'Peoplesoft-FY13'!$Q:$Q,G$3)</f>
        <v>0</v>
      </c>
      <c r="H93" s="274">
        <f>SUMIFS('Peoplesoft-FY13'!$K:$K,'Peoplesoft-FY13'!$S:$S,$B93,'Peoplesoft-FY13'!$Q:$Q,H$3)</f>
        <v>0</v>
      </c>
      <c r="I93" s="274">
        <f>SUMIFS('Peoplesoft-FY13'!$K:$K,'Peoplesoft-FY13'!$S:$S,$B93,'Peoplesoft-FY13'!$Q:$Q,I$3)</f>
        <v>0</v>
      </c>
      <c r="J93" s="274">
        <f>SUMIFS('Peoplesoft-FY13'!$K:$K,'Peoplesoft-FY13'!$S:$S,$B93,'Peoplesoft-FY13'!$Q:$Q,J$3)</f>
        <v>0</v>
      </c>
      <c r="K93" s="274">
        <f>SUMIFS('Peoplesoft-FY13'!$K:$K,'Peoplesoft-FY13'!$S:$S,$B93,'Peoplesoft-FY13'!$Q:$Q,K$3)</f>
        <v>0</v>
      </c>
      <c r="L93" s="274">
        <f>SUMIFS('Peoplesoft-FY13'!$K:$K,'Peoplesoft-FY13'!$S:$S,$B93,'Peoplesoft-FY13'!$Q:$Q,L$3)</f>
        <v>0</v>
      </c>
      <c r="M93" s="274">
        <f>SUMIFS('Peoplesoft-FY13'!$K:$K,'Peoplesoft-FY13'!$S:$S,$B93,'Peoplesoft-FY13'!$Q:$Q,M$3)</f>
        <v>0</v>
      </c>
      <c r="N93" s="274">
        <f>SUMIFS('Peoplesoft-FY13'!$K:$K,'Peoplesoft-FY13'!$S:$S,$B93,'Peoplesoft-FY13'!$Q:$Q,N$3)</f>
        <v>0</v>
      </c>
      <c r="O93" s="138">
        <f t="shared" si="12"/>
        <v>1</v>
      </c>
      <c r="P93" s="119">
        <f t="shared" si="13"/>
        <v>66.63</v>
      </c>
      <c r="Q93" s="120">
        <f t="shared" si="7"/>
        <v>1.5008254539996999E-2</v>
      </c>
      <c r="R93" s="121">
        <f t="shared" si="14"/>
        <v>0.98499174546000301</v>
      </c>
      <c r="S93" s="99">
        <f t="shared" si="15"/>
        <v>1</v>
      </c>
    </row>
    <row r="94" spans="1:19" ht="13.2" x14ac:dyDescent="0.25">
      <c r="A94" s="271">
        <f>+'COMPARABILITY FY13 '!B94</f>
        <v>8</v>
      </c>
      <c r="B94" s="272">
        <f>+'COMPARABILITY FY13 '!C94</f>
        <v>7200</v>
      </c>
      <c r="C94" s="273" t="str">
        <f>+'COMPARABILITY FY13 '!D94</f>
        <v>Eastern SHS</v>
      </c>
      <c r="D94" s="274">
        <f>SUMIFS('Peoplesoft-FY13'!$K:$K,'Peoplesoft-FY13'!$S:$S,$B94,'Peoplesoft-FY13'!$Q:$Q,D$3)</f>
        <v>59.295000000000002</v>
      </c>
      <c r="E94" s="274">
        <f>SUMIFS('Peoplesoft-FY13'!$K:$K,'Peoplesoft-FY13'!$S:$S,$B94,'Peoplesoft-FY13'!$Q:$Q,E$3)</f>
        <v>0</v>
      </c>
      <c r="F94" s="274">
        <f>SUMIFS('Peoplesoft-FY13'!$K:$K,'Peoplesoft-FY13'!$S:$S,$B94,'Peoplesoft-FY13'!$Q:$Q,F$3)</f>
        <v>0</v>
      </c>
      <c r="G94" s="274">
        <f>SUMIFS('Peoplesoft-FY13'!$K:$K,'Peoplesoft-FY13'!$S:$S,$B94,'Peoplesoft-FY13'!$Q:$Q,G$3)</f>
        <v>0</v>
      </c>
      <c r="H94" s="274">
        <f>SUMIFS('Peoplesoft-FY13'!$K:$K,'Peoplesoft-FY13'!$S:$S,$B94,'Peoplesoft-FY13'!$Q:$Q,H$3)</f>
        <v>0</v>
      </c>
      <c r="I94" s="274">
        <f>SUMIFS('Peoplesoft-FY13'!$K:$K,'Peoplesoft-FY13'!$S:$S,$B94,'Peoplesoft-FY13'!$Q:$Q,I$3)</f>
        <v>0</v>
      </c>
      <c r="J94" s="274">
        <f>SUMIFS('Peoplesoft-FY13'!$K:$K,'Peoplesoft-FY13'!$S:$S,$B94,'Peoplesoft-FY13'!$Q:$Q,J$3)</f>
        <v>0</v>
      </c>
      <c r="K94" s="274">
        <f>SUMIFS('Peoplesoft-FY13'!$K:$K,'Peoplesoft-FY13'!$S:$S,$B94,'Peoplesoft-FY13'!$Q:$Q,K$3)</f>
        <v>0</v>
      </c>
      <c r="L94" s="274">
        <f>SUMIFS('Peoplesoft-FY13'!$K:$K,'Peoplesoft-FY13'!$S:$S,$B94,'Peoplesoft-FY13'!$Q:$Q,L$3)</f>
        <v>0</v>
      </c>
      <c r="M94" s="274">
        <f>SUMIFS('Peoplesoft-FY13'!$K:$K,'Peoplesoft-FY13'!$S:$S,$B94,'Peoplesoft-FY13'!$Q:$Q,M$3)</f>
        <v>0</v>
      </c>
      <c r="N94" s="274">
        <f>SUMIFS('Peoplesoft-FY13'!$K:$K,'Peoplesoft-FY13'!$S:$S,$B94,'Peoplesoft-FY13'!$Q:$Q,N$3)</f>
        <v>0</v>
      </c>
      <c r="O94" s="138">
        <f t="shared" si="12"/>
        <v>0</v>
      </c>
      <c r="P94" s="119">
        <f t="shared" si="13"/>
        <v>59.295000000000002</v>
      </c>
      <c r="Q94" s="120">
        <f t="shared" si="7"/>
        <v>0</v>
      </c>
      <c r="R94" s="121">
        <f t="shared" si="14"/>
        <v>1</v>
      </c>
      <c r="S94" s="99">
        <f t="shared" si="15"/>
        <v>1</v>
      </c>
    </row>
    <row r="95" spans="1:19" ht="13.2" x14ac:dyDescent="0.25">
      <c r="A95" s="271">
        <f>+'COMPARABILITY FY13 '!B95</f>
        <v>10</v>
      </c>
      <c r="B95" s="272">
        <f>+'COMPARABILITY FY13 '!C95</f>
        <v>7220</v>
      </c>
      <c r="C95" s="273" t="str">
        <f>+'COMPARABILITY FY13 '!D95</f>
        <v>Luke C. Moore SHS</v>
      </c>
      <c r="D95" s="274">
        <f>SUMIFS('Peoplesoft-FY13'!$K:$K,'Peoplesoft-FY13'!$S:$S,$B95,'Peoplesoft-FY13'!$Q:$Q,D$3)</f>
        <v>30</v>
      </c>
      <c r="E95" s="274">
        <f>SUMIFS('Peoplesoft-FY13'!$K:$K,'Peoplesoft-FY13'!$S:$S,$B95,'Peoplesoft-FY13'!$Q:$Q,E$3)</f>
        <v>0</v>
      </c>
      <c r="F95" s="274">
        <f>SUMIFS('Peoplesoft-FY13'!$K:$K,'Peoplesoft-FY13'!$S:$S,$B95,'Peoplesoft-FY13'!$Q:$Q,F$3)</f>
        <v>0</v>
      </c>
      <c r="G95" s="274">
        <f>SUMIFS('Peoplesoft-FY13'!$K:$K,'Peoplesoft-FY13'!$S:$S,$B95,'Peoplesoft-FY13'!$Q:$Q,G$3)</f>
        <v>0</v>
      </c>
      <c r="H95" s="274">
        <f>SUMIFS('Peoplesoft-FY13'!$K:$K,'Peoplesoft-FY13'!$S:$S,$B95,'Peoplesoft-FY13'!$Q:$Q,H$3)</f>
        <v>0</v>
      </c>
      <c r="I95" s="274">
        <f>SUMIFS('Peoplesoft-FY13'!$K:$K,'Peoplesoft-FY13'!$S:$S,$B95,'Peoplesoft-FY13'!$Q:$Q,I$3)</f>
        <v>0</v>
      </c>
      <c r="J95" s="274">
        <f>SUMIFS('Peoplesoft-FY13'!$K:$K,'Peoplesoft-FY13'!$S:$S,$B95,'Peoplesoft-FY13'!$Q:$Q,J$3)</f>
        <v>0</v>
      </c>
      <c r="K95" s="274">
        <f>SUMIFS('Peoplesoft-FY13'!$K:$K,'Peoplesoft-FY13'!$S:$S,$B95,'Peoplesoft-FY13'!$Q:$Q,K$3)</f>
        <v>0</v>
      </c>
      <c r="L95" s="274">
        <f>SUMIFS('Peoplesoft-FY13'!$K:$K,'Peoplesoft-FY13'!$S:$S,$B95,'Peoplesoft-FY13'!$Q:$Q,L$3)</f>
        <v>1</v>
      </c>
      <c r="M95" s="274">
        <f>SUMIFS('Peoplesoft-FY13'!$K:$K,'Peoplesoft-FY13'!$S:$S,$B95,'Peoplesoft-FY13'!$Q:$Q,M$3)</f>
        <v>0</v>
      </c>
      <c r="N95" s="274">
        <f>SUMIFS('Peoplesoft-FY13'!$K:$K,'Peoplesoft-FY13'!$S:$S,$B95,'Peoplesoft-FY13'!$Q:$Q,N$3)</f>
        <v>0</v>
      </c>
      <c r="O95" s="138">
        <f t="shared" si="12"/>
        <v>1</v>
      </c>
      <c r="P95" s="119">
        <f t="shared" si="13"/>
        <v>31</v>
      </c>
      <c r="Q95" s="120">
        <f t="shared" si="7"/>
        <v>3.2258064516129031E-2</v>
      </c>
      <c r="R95" s="121">
        <f t="shared" si="14"/>
        <v>0.967741935483871</v>
      </c>
      <c r="S95" s="99">
        <f t="shared" si="15"/>
        <v>1</v>
      </c>
    </row>
    <row r="96" spans="1:19" ht="13.2" x14ac:dyDescent="0.25">
      <c r="A96" s="271">
        <f>+'COMPARABILITY FY13 '!B96</f>
        <v>11</v>
      </c>
      <c r="B96" s="272">
        <f>+'COMPARABILITY FY13 '!C96</f>
        <v>7230</v>
      </c>
      <c r="C96" s="273" t="str">
        <f>+'COMPARABILITY FY13 '!D96</f>
        <v>Phelps SHS</v>
      </c>
      <c r="D96" s="274">
        <f>SUMIFS('Peoplesoft-FY13'!$K:$K,'Peoplesoft-FY13'!$S:$S,$B96,'Peoplesoft-FY13'!$Q:$Q,D$3)</f>
        <v>45</v>
      </c>
      <c r="E96" s="274">
        <f>SUMIFS('Peoplesoft-FY13'!$K:$K,'Peoplesoft-FY13'!$S:$S,$B96,'Peoplesoft-FY13'!$Q:$Q,E$3)</f>
        <v>0</v>
      </c>
      <c r="F96" s="274">
        <f>SUMIFS('Peoplesoft-FY13'!$K:$K,'Peoplesoft-FY13'!$S:$S,$B96,'Peoplesoft-FY13'!$Q:$Q,F$3)</f>
        <v>0</v>
      </c>
      <c r="G96" s="274">
        <f>SUMIFS('Peoplesoft-FY13'!$K:$K,'Peoplesoft-FY13'!$S:$S,$B96,'Peoplesoft-FY13'!$Q:$Q,G$3)</f>
        <v>0</v>
      </c>
      <c r="H96" s="274">
        <f>SUMIFS('Peoplesoft-FY13'!$K:$K,'Peoplesoft-FY13'!$S:$S,$B96,'Peoplesoft-FY13'!$Q:$Q,H$3)</f>
        <v>0</v>
      </c>
      <c r="I96" s="274">
        <f>SUMIFS('Peoplesoft-FY13'!$K:$K,'Peoplesoft-FY13'!$S:$S,$B96,'Peoplesoft-FY13'!$Q:$Q,I$3)</f>
        <v>0</v>
      </c>
      <c r="J96" s="274">
        <f>SUMIFS('Peoplesoft-FY13'!$K:$K,'Peoplesoft-FY13'!$S:$S,$B96,'Peoplesoft-FY13'!$Q:$Q,J$3)</f>
        <v>0</v>
      </c>
      <c r="K96" s="274">
        <f>SUMIFS('Peoplesoft-FY13'!$K:$K,'Peoplesoft-FY13'!$S:$S,$B96,'Peoplesoft-FY13'!$Q:$Q,K$3)</f>
        <v>0</v>
      </c>
      <c r="L96" s="274">
        <f>SUMIFS('Peoplesoft-FY13'!$K:$K,'Peoplesoft-FY13'!$S:$S,$B96,'Peoplesoft-FY13'!$Q:$Q,L$3)</f>
        <v>0</v>
      </c>
      <c r="M96" s="274">
        <f>SUMIFS('Peoplesoft-FY13'!$K:$K,'Peoplesoft-FY13'!$S:$S,$B96,'Peoplesoft-FY13'!$Q:$Q,M$3)</f>
        <v>0</v>
      </c>
      <c r="N96" s="274">
        <f>SUMIFS('Peoplesoft-FY13'!$K:$K,'Peoplesoft-FY13'!$S:$S,$B96,'Peoplesoft-FY13'!$Q:$Q,N$3)</f>
        <v>0</v>
      </c>
      <c r="O96" s="138">
        <f t="shared" si="12"/>
        <v>0</v>
      </c>
      <c r="P96" s="119">
        <f t="shared" si="13"/>
        <v>45</v>
      </c>
      <c r="Q96" s="120">
        <f t="shared" si="7"/>
        <v>0</v>
      </c>
      <c r="R96" s="121">
        <f t="shared" si="14"/>
        <v>1</v>
      </c>
      <c r="S96" s="99">
        <f t="shared" si="15"/>
        <v>1</v>
      </c>
    </row>
    <row r="97" spans="1:21" ht="13.2" x14ac:dyDescent="0.25">
      <c r="A97" s="271">
        <f>+'COMPARABILITY FY13 '!B97</f>
        <v>12</v>
      </c>
      <c r="B97" s="272">
        <f>+'COMPARABILITY FY13 '!C97</f>
        <v>7240</v>
      </c>
      <c r="C97" s="273" t="str">
        <f>+'COMPARABILITY FY13 '!D97</f>
        <v>Roosevelt SHS</v>
      </c>
      <c r="D97" s="274">
        <f>SUMIFS('Peoplesoft-FY13'!$K:$K,'Peoplesoft-FY13'!$S:$S,$B97,'Peoplesoft-FY13'!$Q:$Q,D$3)</f>
        <v>78.960000000000008</v>
      </c>
      <c r="E97" s="274">
        <f>SUMIFS('Peoplesoft-FY13'!$K:$K,'Peoplesoft-FY13'!$S:$S,$B97,'Peoplesoft-FY13'!$Q:$Q,E$3)</f>
        <v>0.5</v>
      </c>
      <c r="F97" s="274">
        <f>SUMIFS('Peoplesoft-FY13'!$K:$K,'Peoplesoft-FY13'!$S:$S,$B97,'Peoplesoft-FY13'!$Q:$Q,F$3)</f>
        <v>0</v>
      </c>
      <c r="G97" s="274">
        <f>SUMIFS('Peoplesoft-FY13'!$K:$K,'Peoplesoft-FY13'!$S:$S,$B97,'Peoplesoft-FY13'!$Q:$Q,G$3)</f>
        <v>0</v>
      </c>
      <c r="H97" s="274">
        <f>SUMIFS('Peoplesoft-FY13'!$K:$K,'Peoplesoft-FY13'!$S:$S,$B97,'Peoplesoft-FY13'!$Q:$Q,H$3)</f>
        <v>0</v>
      </c>
      <c r="I97" s="274">
        <f>SUMIFS('Peoplesoft-FY13'!$K:$K,'Peoplesoft-FY13'!$S:$S,$B97,'Peoplesoft-FY13'!$Q:$Q,I$3)</f>
        <v>0</v>
      </c>
      <c r="J97" s="274">
        <f>SUMIFS('Peoplesoft-FY13'!$K:$K,'Peoplesoft-FY13'!$S:$S,$B97,'Peoplesoft-FY13'!$Q:$Q,J$3)</f>
        <v>0</v>
      </c>
      <c r="K97" s="274">
        <f>SUMIFS('Peoplesoft-FY13'!$K:$K,'Peoplesoft-FY13'!$S:$S,$B97,'Peoplesoft-FY13'!$Q:$Q,K$3)</f>
        <v>0</v>
      </c>
      <c r="L97" s="274">
        <f>SUMIFS('Peoplesoft-FY13'!$K:$K,'Peoplesoft-FY13'!$S:$S,$B97,'Peoplesoft-FY13'!$Q:$Q,L$3)</f>
        <v>0</v>
      </c>
      <c r="M97" s="274">
        <f>SUMIFS('Peoplesoft-FY13'!$K:$K,'Peoplesoft-FY13'!$S:$S,$B97,'Peoplesoft-FY13'!$Q:$Q,M$3)</f>
        <v>0</v>
      </c>
      <c r="N97" s="274">
        <f>SUMIFS('Peoplesoft-FY13'!$K:$K,'Peoplesoft-FY13'!$S:$S,$B97,'Peoplesoft-FY13'!$Q:$Q,N$3)</f>
        <v>0</v>
      </c>
      <c r="O97" s="138">
        <f t="shared" si="12"/>
        <v>0.5</v>
      </c>
      <c r="P97" s="119">
        <f t="shared" si="13"/>
        <v>79.460000000000008</v>
      </c>
      <c r="Q97" s="120">
        <f t="shared" si="7"/>
        <v>6.2924742008557757E-3</v>
      </c>
      <c r="R97" s="121">
        <f t="shared" si="14"/>
        <v>0.99370752579914423</v>
      </c>
      <c r="S97" s="99">
        <f t="shared" si="15"/>
        <v>1</v>
      </c>
    </row>
    <row r="98" spans="1:21" ht="13.2" x14ac:dyDescent="0.25">
      <c r="A98" s="271">
        <f>+'COMPARABILITY FY13 '!B98</f>
        <v>13</v>
      </c>
      <c r="B98" s="272">
        <f>+'COMPARABILITY FY13 '!C98</f>
        <v>7260</v>
      </c>
      <c r="C98" s="273" t="str">
        <f>+'COMPARABILITY FY13 '!D98</f>
        <v>Spingarn SHS</v>
      </c>
      <c r="D98" s="274">
        <f>SUMIFS('Peoplesoft-FY13'!$K:$K,'Peoplesoft-FY13'!$S:$S,$B98,'Peoplesoft-FY13'!$Q:$Q,D$3)</f>
        <v>58.96</v>
      </c>
      <c r="E98" s="274">
        <f>SUMIFS('Peoplesoft-FY13'!$K:$K,'Peoplesoft-FY13'!$S:$S,$B98,'Peoplesoft-FY13'!$Q:$Q,E$3)</f>
        <v>1</v>
      </c>
      <c r="F98" s="274">
        <f>SUMIFS('Peoplesoft-FY13'!$K:$K,'Peoplesoft-FY13'!$S:$S,$B98,'Peoplesoft-FY13'!$Q:$Q,F$3)</f>
        <v>0</v>
      </c>
      <c r="G98" s="274">
        <f>SUMIFS('Peoplesoft-FY13'!$K:$K,'Peoplesoft-FY13'!$S:$S,$B98,'Peoplesoft-FY13'!$Q:$Q,G$3)</f>
        <v>0</v>
      </c>
      <c r="H98" s="274">
        <f>SUMIFS('Peoplesoft-FY13'!$K:$K,'Peoplesoft-FY13'!$S:$S,$B98,'Peoplesoft-FY13'!$Q:$Q,H$3)</f>
        <v>0</v>
      </c>
      <c r="I98" s="274">
        <f>SUMIFS('Peoplesoft-FY13'!$K:$K,'Peoplesoft-FY13'!$S:$S,$B98,'Peoplesoft-FY13'!$Q:$Q,I$3)</f>
        <v>0</v>
      </c>
      <c r="J98" s="274">
        <f>SUMIFS('Peoplesoft-FY13'!$K:$K,'Peoplesoft-FY13'!$S:$S,$B98,'Peoplesoft-FY13'!$Q:$Q,J$3)</f>
        <v>0</v>
      </c>
      <c r="K98" s="274">
        <f>SUMIFS('Peoplesoft-FY13'!$K:$K,'Peoplesoft-FY13'!$S:$S,$B98,'Peoplesoft-FY13'!$Q:$Q,K$3)</f>
        <v>0</v>
      </c>
      <c r="L98" s="274">
        <f>SUMIFS('Peoplesoft-FY13'!$K:$K,'Peoplesoft-FY13'!$S:$S,$B98,'Peoplesoft-FY13'!$Q:$Q,L$3)</f>
        <v>0</v>
      </c>
      <c r="M98" s="274">
        <f>SUMIFS('Peoplesoft-FY13'!$K:$K,'Peoplesoft-FY13'!$S:$S,$B98,'Peoplesoft-FY13'!$Q:$Q,M$3)</f>
        <v>0</v>
      </c>
      <c r="N98" s="274">
        <f>SUMIFS('Peoplesoft-FY13'!$K:$K,'Peoplesoft-FY13'!$S:$S,$B98,'Peoplesoft-FY13'!$Q:$Q,N$3)</f>
        <v>0</v>
      </c>
      <c r="O98" s="138">
        <f t="shared" si="12"/>
        <v>1</v>
      </c>
      <c r="P98" s="119">
        <f t="shared" si="13"/>
        <v>59.96</v>
      </c>
      <c r="Q98" s="120">
        <f t="shared" si="7"/>
        <v>1.6677785190126752E-2</v>
      </c>
      <c r="R98" s="121">
        <f t="shared" si="14"/>
        <v>0.98332221480987325</v>
      </c>
      <c r="S98" s="99">
        <f t="shared" si="15"/>
        <v>1</v>
      </c>
    </row>
    <row r="99" spans="1:21" ht="13.2" x14ac:dyDescent="0.25">
      <c r="A99" s="271">
        <f>+'COMPARABILITY FY13 '!B99</f>
        <v>14</v>
      </c>
      <c r="B99" s="272">
        <f>+'COMPARABILITY FY13 '!C99</f>
        <v>7280</v>
      </c>
      <c r="C99" s="273" t="str">
        <f>+'COMPARABILITY FY13 '!D99</f>
        <v>Woodson SHS</v>
      </c>
      <c r="D99" s="274">
        <f>SUMIFS('Peoplesoft-FY13'!$K:$K,'Peoplesoft-FY13'!$S:$S,$B99,'Peoplesoft-FY13'!$Q:$Q,D$3)</f>
        <v>94.67</v>
      </c>
      <c r="E99" s="274">
        <f>SUMIFS('Peoplesoft-FY13'!$K:$K,'Peoplesoft-FY13'!$S:$S,$B99,'Peoplesoft-FY13'!$Q:$Q,E$3)</f>
        <v>1</v>
      </c>
      <c r="F99" s="274">
        <f>SUMIFS('Peoplesoft-FY13'!$K:$K,'Peoplesoft-FY13'!$S:$S,$B99,'Peoplesoft-FY13'!$Q:$Q,F$3)</f>
        <v>0</v>
      </c>
      <c r="G99" s="274">
        <f>SUMIFS('Peoplesoft-FY13'!$K:$K,'Peoplesoft-FY13'!$S:$S,$B99,'Peoplesoft-FY13'!$Q:$Q,G$3)</f>
        <v>0</v>
      </c>
      <c r="H99" s="274">
        <f>SUMIFS('Peoplesoft-FY13'!$K:$K,'Peoplesoft-FY13'!$S:$S,$B99,'Peoplesoft-FY13'!$Q:$Q,H$3)</f>
        <v>0</v>
      </c>
      <c r="I99" s="274">
        <f>SUMIFS('Peoplesoft-FY13'!$K:$K,'Peoplesoft-FY13'!$S:$S,$B99,'Peoplesoft-FY13'!$Q:$Q,I$3)</f>
        <v>0</v>
      </c>
      <c r="J99" s="274">
        <f>SUMIFS('Peoplesoft-FY13'!$K:$K,'Peoplesoft-FY13'!$S:$S,$B99,'Peoplesoft-FY13'!$Q:$Q,J$3)</f>
        <v>0</v>
      </c>
      <c r="K99" s="274">
        <f>SUMIFS('Peoplesoft-FY13'!$K:$K,'Peoplesoft-FY13'!$S:$S,$B99,'Peoplesoft-FY13'!$Q:$Q,K$3)</f>
        <v>0</v>
      </c>
      <c r="L99" s="274">
        <f>SUMIFS('Peoplesoft-FY13'!$K:$K,'Peoplesoft-FY13'!$S:$S,$B99,'Peoplesoft-FY13'!$Q:$Q,L$3)</f>
        <v>0</v>
      </c>
      <c r="M99" s="274">
        <f>SUMIFS('Peoplesoft-FY13'!$K:$K,'Peoplesoft-FY13'!$S:$S,$B99,'Peoplesoft-FY13'!$Q:$Q,M$3)</f>
        <v>0</v>
      </c>
      <c r="N99" s="274">
        <f>SUMIFS('Peoplesoft-FY13'!$K:$K,'Peoplesoft-FY13'!$S:$S,$B99,'Peoplesoft-FY13'!$Q:$Q,N$3)</f>
        <v>0</v>
      </c>
      <c r="O99" s="138">
        <f t="shared" si="12"/>
        <v>1</v>
      </c>
      <c r="P99" s="119">
        <f t="shared" si="13"/>
        <v>95.67</v>
      </c>
      <c r="Q99" s="120">
        <f t="shared" si="7"/>
        <v>1.0452597470471413E-2</v>
      </c>
      <c r="R99" s="121">
        <f t="shared" si="14"/>
        <v>0.98954740252952855</v>
      </c>
      <c r="S99" s="99">
        <f t="shared" si="15"/>
        <v>1</v>
      </c>
    </row>
    <row r="100" spans="1:21" ht="13.2" x14ac:dyDescent="0.25">
      <c r="A100" s="271">
        <f>+'COMPARABILITY FY13 '!B100</f>
        <v>15</v>
      </c>
      <c r="B100" s="272">
        <f>+'COMPARABILITY FY13 '!C100</f>
        <v>7300</v>
      </c>
      <c r="C100" s="273" t="str">
        <f>+'COMPARABILITY FY13 '!D100</f>
        <v>Wilson SHS</v>
      </c>
      <c r="D100" s="274">
        <f>SUMIFS('Peoplesoft-FY13'!$K:$K,'Peoplesoft-FY13'!$S:$S,$B100,'Peoplesoft-FY13'!$Q:$Q,D$3)</f>
        <v>161.57500000000002</v>
      </c>
      <c r="E100" s="274">
        <f>SUMIFS('Peoplesoft-FY13'!$K:$K,'Peoplesoft-FY13'!$S:$S,$B100,'Peoplesoft-FY13'!$Q:$Q,E$3)</f>
        <v>1</v>
      </c>
      <c r="F100" s="274">
        <f>SUMIFS('Peoplesoft-FY13'!$K:$K,'Peoplesoft-FY13'!$S:$S,$B100,'Peoplesoft-FY13'!$Q:$Q,F$3)</f>
        <v>0</v>
      </c>
      <c r="G100" s="274">
        <f>SUMIFS('Peoplesoft-FY13'!$K:$K,'Peoplesoft-FY13'!$S:$S,$B100,'Peoplesoft-FY13'!$Q:$Q,G$3)</f>
        <v>0</v>
      </c>
      <c r="H100" s="274">
        <f>SUMIFS('Peoplesoft-FY13'!$K:$K,'Peoplesoft-FY13'!$S:$S,$B100,'Peoplesoft-FY13'!$Q:$Q,H$3)</f>
        <v>0</v>
      </c>
      <c r="I100" s="274">
        <f>SUMIFS('Peoplesoft-FY13'!$K:$K,'Peoplesoft-FY13'!$S:$S,$B100,'Peoplesoft-FY13'!$Q:$Q,I$3)</f>
        <v>0</v>
      </c>
      <c r="J100" s="274">
        <f>SUMIFS('Peoplesoft-FY13'!$K:$K,'Peoplesoft-FY13'!$S:$S,$B100,'Peoplesoft-FY13'!$Q:$Q,J$3)</f>
        <v>0</v>
      </c>
      <c r="K100" s="274">
        <f>SUMIFS('Peoplesoft-FY13'!$K:$K,'Peoplesoft-FY13'!$S:$S,$B100,'Peoplesoft-FY13'!$Q:$Q,K$3)</f>
        <v>0</v>
      </c>
      <c r="L100" s="274">
        <f>SUMIFS('Peoplesoft-FY13'!$K:$K,'Peoplesoft-FY13'!$S:$S,$B100,'Peoplesoft-FY13'!$Q:$Q,L$3)</f>
        <v>0</v>
      </c>
      <c r="M100" s="274">
        <f>SUMIFS('Peoplesoft-FY13'!$K:$K,'Peoplesoft-FY13'!$S:$S,$B100,'Peoplesoft-FY13'!$Q:$Q,M$3)</f>
        <v>0</v>
      </c>
      <c r="N100" s="274">
        <f>SUMIFS('Peoplesoft-FY13'!$K:$K,'Peoplesoft-FY13'!$S:$S,$B100,'Peoplesoft-FY13'!$Q:$Q,N$3)</f>
        <v>0</v>
      </c>
      <c r="O100" s="138">
        <f t="shared" si="12"/>
        <v>1</v>
      </c>
      <c r="P100" s="119">
        <f t="shared" si="13"/>
        <v>162.57500000000002</v>
      </c>
      <c r="Q100" s="120">
        <f t="shared" si="7"/>
        <v>6.1510072274334913E-3</v>
      </c>
      <c r="R100" s="134">
        <f t="shared" si="14"/>
        <v>0.99384899277256655</v>
      </c>
      <c r="S100" s="135">
        <f t="shared" si="15"/>
        <v>1</v>
      </c>
      <c r="U100" s="89" t="s">
        <v>159</v>
      </c>
    </row>
    <row r="101" spans="1:21" ht="13.2" x14ac:dyDescent="0.25">
      <c r="A101" s="271">
        <f>+'COMPARABILITY FY13 '!B101</f>
        <v>16</v>
      </c>
      <c r="B101" s="272">
        <f>+'COMPARABILITY FY13 '!C101</f>
        <v>7360</v>
      </c>
      <c r="C101" s="273" t="str">
        <f>+'COMPARABILITY FY13 '!D101</f>
        <v>Mamie D Lee</v>
      </c>
      <c r="D101" s="274">
        <f>SUMIFS('Peoplesoft-FY13'!$K:$K,'Peoplesoft-FY13'!$S:$S,$B101,'Peoplesoft-FY13'!$Q:$Q,D$3)</f>
        <v>32.810000000000009</v>
      </c>
      <c r="E101" s="274">
        <f>SUMIFS('Peoplesoft-FY13'!$K:$K,'Peoplesoft-FY13'!$S:$S,$B101,'Peoplesoft-FY13'!$Q:$Q,E$3)</f>
        <v>0</v>
      </c>
      <c r="F101" s="274">
        <f>SUMIFS('Peoplesoft-FY13'!$K:$K,'Peoplesoft-FY13'!$S:$S,$B101,'Peoplesoft-FY13'!$Q:$Q,F$3)</f>
        <v>0</v>
      </c>
      <c r="G101" s="274">
        <f>SUMIFS('Peoplesoft-FY13'!$K:$K,'Peoplesoft-FY13'!$S:$S,$B101,'Peoplesoft-FY13'!$Q:$Q,G$3)</f>
        <v>0</v>
      </c>
      <c r="H101" s="274">
        <f>SUMIFS('Peoplesoft-FY13'!$K:$K,'Peoplesoft-FY13'!$S:$S,$B101,'Peoplesoft-FY13'!$Q:$Q,H$3)</f>
        <v>0</v>
      </c>
      <c r="I101" s="274">
        <f>SUMIFS('Peoplesoft-FY13'!$K:$K,'Peoplesoft-FY13'!$S:$S,$B101,'Peoplesoft-FY13'!$Q:$Q,I$3)</f>
        <v>0</v>
      </c>
      <c r="J101" s="274">
        <f>SUMIFS('Peoplesoft-FY13'!$K:$K,'Peoplesoft-FY13'!$S:$S,$B101,'Peoplesoft-FY13'!$Q:$Q,J$3)</f>
        <v>0</v>
      </c>
      <c r="K101" s="274">
        <f>SUMIFS('Peoplesoft-FY13'!$K:$K,'Peoplesoft-FY13'!$S:$S,$B101,'Peoplesoft-FY13'!$Q:$Q,K$3)</f>
        <v>0</v>
      </c>
      <c r="L101" s="274">
        <f>SUMIFS('Peoplesoft-FY13'!$K:$K,'Peoplesoft-FY13'!$S:$S,$B101,'Peoplesoft-FY13'!$Q:$Q,L$3)</f>
        <v>0</v>
      </c>
      <c r="M101" s="274">
        <f>SUMIFS('Peoplesoft-FY13'!$K:$K,'Peoplesoft-FY13'!$S:$S,$B101,'Peoplesoft-FY13'!$Q:$Q,M$3)</f>
        <v>0</v>
      </c>
      <c r="N101" s="274">
        <f>SUMIFS('Peoplesoft-FY13'!$K:$K,'Peoplesoft-FY13'!$S:$S,$B101,'Peoplesoft-FY13'!$Q:$Q,N$3)</f>
        <v>0</v>
      </c>
      <c r="O101" s="138">
        <f t="shared" si="12"/>
        <v>0</v>
      </c>
      <c r="P101" s="119">
        <f t="shared" si="13"/>
        <v>32.810000000000009</v>
      </c>
      <c r="Q101" s="120">
        <f t="shared" si="7"/>
        <v>0</v>
      </c>
      <c r="R101" s="121">
        <f t="shared" si="14"/>
        <v>1</v>
      </c>
      <c r="S101" s="99">
        <f t="shared" si="15"/>
        <v>1</v>
      </c>
    </row>
    <row r="102" spans="1:21" ht="13.2" x14ac:dyDescent="0.25">
      <c r="A102" s="271">
        <f>+'COMPARABILITY FY13 '!B102</f>
        <v>17</v>
      </c>
      <c r="B102" s="272">
        <f>+'COMPARABILITY FY13 '!C102</f>
        <v>7370</v>
      </c>
      <c r="C102" s="273" t="str">
        <f>+'COMPARABILITY FY13 '!D102</f>
        <v>Sharpe Health Spec Ed</v>
      </c>
      <c r="D102" s="274">
        <f>SUMIFS('Peoplesoft-FY13'!$K:$K,'Peoplesoft-FY13'!$S:$S,$B102,'Peoplesoft-FY13'!$Q:$Q,D$3)</f>
        <v>36.885000000000005</v>
      </c>
      <c r="E102" s="274">
        <f>SUMIFS('Peoplesoft-FY13'!$K:$K,'Peoplesoft-FY13'!$S:$S,$B102,'Peoplesoft-FY13'!$Q:$Q,E$3)</f>
        <v>0</v>
      </c>
      <c r="F102" s="274">
        <f>SUMIFS('Peoplesoft-FY13'!$K:$K,'Peoplesoft-FY13'!$S:$S,$B102,'Peoplesoft-FY13'!$Q:$Q,F$3)</f>
        <v>0</v>
      </c>
      <c r="G102" s="274">
        <f>SUMIFS('Peoplesoft-FY13'!$K:$K,'Peoplesoft-FY13'!$S:$S,$B102,'Peoplesoft-FY13'!$Q:$Q,G$3)</f>
        <v>0</v>
      </c>
      <c r="H102" s="274">
        <f>SUMIFS('Peoplesoft-FY13'!$K:$K,'Peoplesoft-FY13'!$S:$S,$B102,'Peoplesoft-FY13'!$Q:$Q,H$3)</f>
        <v>0</v>
      </c>
      <c r="I102" s="274">
        <f>SUMIFS('Peoplesoft-FY13'!$K:$K,'Peoplesoft-FY13'!$S:$S,$B102,'Peoplesoft-FY13'!$Q:$Q,I$3)</f>
        <v>0</v>
      </c>
      <c r="J102" s="274">
        <f>SUMIFS('Peoplesoft-FY13'!$K:$K,'Peoplesoft-FY13'!$S:$S,$B102,'Peoplesoft-FY13'!$Q:$Q,J$3)</f>
        <v>0</v>
      </c>
      <c r="K102" s="274">
        <f>SUMIFS('Peoplesoft-FY13'!$K:$K,'Peoplesoft-FY13'!$S:$S,$B102,'Peoplesoft-FY13'!$Q:$Q,K$3)</f>
        <v>0</v>
      </c>
      <c r="L102" s="274">
        <f>SUMIFS('Peoplesoft-FY13'!$K:$K,'Peoplesoft-FY13'!$S:$S,$B102,'Peoplesoft-FY13'!$Q:$Q,L$3)</f>
        <v>0</v>
      </c>
      <c r="M102" s="274">
        <f>SUMIFS('Peoplesoft-FY13'!$K:$K,'Peoplesoft-FY13'!$S:$S,$B102,'Peoplesoft-FY13'!$Q:$Q,M$3)</f>
        <v>0</v>
      </c>
      <c r="N102" s="274">
        <f>SUMIFS('Peoplesoft-FY13'!$K:$K,'Peoplesoft-FY13'!$S:$S,$B102,'Peoplesoft-FY13'!$Q:$Q,N$3)</f>
        <v>0</v>
      </c>
      <c r="O102" s="138">
        <f t="shared" si="12"/>
        <v>0</v>
      </c>
      <c r="P102" s="119">
        <f t="shared" si="13"/>
        <v>36.885000000000005</v>
      </c>
      <c r="Q102" s="120">
        <f t="shared" si="7"/>
        <v>0</v>
      </c>
      <c r="R102" s="121">
        <f t="shared" si="14"/>
        <v>1</v>
      </c>
      <c r="S102" s="99">
        <f t="shared" si="15"/>
        <v>1</v>
      </c>
    </row>
    <row r="103" spans="1:21" ht="13.2" x14ac:dyDescent="0.25">
      <c r="A103" s="271">
        <f>+'COMPARABILITY FY13 '!B103</f>
        <v>18</v>
      </c>
      <c r="B103" s="272">
        <f>+'COMPARABILITY FY13 '!C103</f>
        <v>7380</v>
      </c>
      <c r="C103" s="273" t="str">
        <f>+'COMPARABILITY FY13 '!D103</f>
        <v>Prospect  LC</v>
      </c>
      <c r="D103" s="274">
        <f>SUMIFS('Peoplesoft-FY13'!$K:$K,'Peoplesoft-FY13'!$S:$S,$B103,'Peoplesoft-FY13'!$Q:$Q,D$3)</f>
        <v>35.295000000000002</v>
      </c>
      <c r="E103" s="274">
        <f>SUMIFS('Peoplesoft-FY13'!$K:$K,'Peoplesoft-FY13'!$S:$S,$B103,'Peoplesoft-FY13'!$Q:$Q,E$3)</f>
        <v>0</v>
      </c>
      <c r="F103" s="274">
        <f>SUMIFS('Peoplesoft-FY13'!$K:$K,'Peoplesoft-FY13'!$S:$S,$B103,'Peoplesoft-FY13'!$Q:$Q,F$3)</f>
        <v>0</v>
      </c>
      <c r="G103" s="274">
        <f>SUMIFS('Peoplesoft-FY13'!$K:$K,'Peoplesoft-FY13'!$S:$S,$B103,'Peoplesoft-FY13'!$Q:$Q,G$3)</f>
        <v>0</v>
      </c>
      <c r="H103" s="274">
        <f>SUMIFS('Peoplesoft-FY13'!$K:$K,'Peoplesoft-FY13'!$S:$S,$B103,'Peoplesoft-FY13'!$Q:$Q,H$3)</f>
        <v>0</v>
      </c>
      <c r="I103" s="274">
        <f>SUMIFS('Peoplesoft-FY13'!$K:$K,'Peoplesoft-FY13'!$S:$S,$B103,'Peoplesoft-FY13'!$Q:$Q,I$3)</f>
        <v>0</v>
      </c>
      <c r="J103" s="274">
        <f>SUMIFS('Peoplesoft-FY13'!$K:$K,'Peoplesoft-FY13'!$S:$S,$B103,'Peoplesoft-FY13'!$Q:$Q,J$3)</f>
        <v>0</v>
      </c>
      <c r="K103" s="274">
        <f>SUMIFS('Peoplesoft-FY13'!$K:$K,'Peoplesoft-FY13'!$S:$S,$B103,'Peoplesoft-FY13'!$Q:$Q,K$3)</f>
        <v>0</v>
      </c>
      <c r="L103" s="274">
        <f>SUMIFS('Peoplesoft-FY13'!$K:$K,'Peoplesoft-FY13'!$S:$S,$B103,'Peoplesoft-FY13'!$Q:$Q,L$3)</f>
        <v>0</v>
      </c>
      <c r="M103" s="274">
        <f>SUMIFS('Peoplesoft-FY13'!$K:$K,'Peoplesoft-FY13'!$S:$S,$B103,'Peoplesoft-FY13'!$Q:$Q,M$3)</f>
        <v>0</v>
      </c>
      <c r="N103" s="274">
        <f>SUMIFS('Peoplesoft-FY13'!$K:$K,'Peoplesoft-FY13'!$S:$S,$B103,'Peoplesoft-FY13'!$Q:$Q,N$3)</f>
        <v>0</v>
      </c>
      <c r="O103" s="138">
        <f t="shared" si="12"/>
        <v>0</v>
      </c>
      <c r="P103" s="119">
        <f t="shared" si="13"/>
        <v>35.295000000000002</v>
      </c>
      <c r="Q103" s="120">
        <f t="shared" si="7"/>
        <v>0</v>
      </c>
      <c r="R103" s="121">
        <f t="shared" si="14"/>
        <v>1</v>
      </c>
      <c r="S103" s="99">
        <f t="shared" si="15"/>
        <v>1</v>
      </c>
    </row>
    <row r="104" spans="1:21" ht="13.2" x14ac:dyDescent="0.25">
      <c r="A104" s="271">
        <f>+'COMPARABILITY FY13 '!B104</f>
        <v>19</v>
      </c>
      <c r="B104" s="272">
        <f>+'COMPARABILITY FY13 '!C104</f>
        <v>7480</v>
      </c>
      <c r="C104" s="273" t="str">
        <f>+'COMPARABILITY FY13 '!D104</f>
        <v>New Transition Academy</v>
      </c>
      <c r="D104" s="274">
        <f>SUMIFS('Peoplesoft-FY13'!$K:$K,'Peoplesoft-FY13'!$S:$S,$B104,'Peoplesoft-FY13'!$Q:$Q,D$3)</f>
        <v>14.625</v>
      </c>
      <c r="E104" s="274">
        <f>SUMIFS('Peoplesoft-FY13'!$K:$K,'Peoplesoft-FY13'!$S:$S,$B104,'Peoplesoft-FY13'!$Q:$Q,E$3)</f>
        <v>0</v>
      </c>
      <c r="F104" s="274">
        <f>SUMIFS('Peoplesoft-FY13'!$K:$K,'Peoplesoft-FY13'!$S:$S,$B104,'Peoplesoft-FY13'!$Q:$Q,F$3)</f>
        <v>0</v>
      </c>
      <c r="G104" s="274">
        <f>SUMIFS('Peoplesoft-FY13'!$K:$K,'Peoplesoft-FY13'!$S:$S,$B104,'Peoplesoft-FY13'!$Q:$Q,G$3)</f>
        <v>0</v>
      </c>
      <c r="H104" s="274">
        <f>SUMIFS('Peoplesoft-FY13'!$K:$K,'Peoplesoft-FY13'!$S:$S,$B104,'Peoplesoft-FY13'!$Q:$Q,H$3)</f>
        <v>0</v>
      </c>
      <c r="I104" s="274">
        <f>SUMIFS('Peoplesoft-FY13'!$K:$K,'Peoplesoft-FY13'!$S:$S,$B104,'Peoplesoft-FY13'!$Q:$Q,I$3)</f>
        <v>0</v>
      </c>
      <c r="J104" s="274">
        <f>SUMIFS('Peoplesoft-FY13'!$K:$K,'Peoplesoft-FY13'!$S:$S,$B104,'Peoplesoft-FY13'!$Q:$Q,J$3)</f>
        <v>0</v>
      </c>
      <c r="K104" s="274">
        <f>SUMIFS('Peoplesoft-FY13'!$K:$K,'Peoplesoft-FY13'!$S:$S,$B104,'Peoplesoft-FY13'!$Q:$Q,K$3)</f>
        <v>0</v>
      </c>
      <c r="L104" s="274">
        <f>SUMIFS('Peoplesoft-FY13'!$K:$K,'Peoplesoft-FY13'!$S:$S,$B104,'Peoplesoft-FY13'!$Q:$Q,L$3)</f>
        <v>0</v>
      </c>
      <c r="M104" s="274">
        <f>SUMIFS('Peoplesoft-FY13'!$K:$K,'Peoplesoft-FY13'!$S:$S,$B104,'Peoplesoft-FY13'!$Q:$Q,M$3)</f>
        <v>0</v>
      </c>
      <c r="N104" s="274">
        <f>SUMIFS('Peoplesoft-FY13'!$K:$K,'Peoplesoft-FY13'!$S:$S,$B104,'Peoplesoft-FY13'!$Q:$Q,N$3)</f>
        <v>0</v>
      </c>
      <c r="O104" s="138">
        <f t="shared" si="12"/>
        <v>0</v>
      </c>
      <c r="P104" s="119">
        <f t="shared" si="13"/>
        <v>14.625</v>
      </c>
      <c r="Q104" s="120">
        <f t="shared" si="7"/>
        <v>0</v>
      </c>
      <c r="R104" s="121">
        <f t="shared" si="14"/>
        <v>1</v>
      </c>
      <c r="S104" s="99">
        <f t="shared" si="15"/>
        <v>1</v>
      </c>
    </row>
    <row r="105" spans="1:21" ht="13.2" x14ac:dyDescent="0.25">
      <c r="A105" s="271">
        <f>+'COMPARABILITY FY13 '!B105</f>
        <v>20</v>
      </c>
      <c r="B105" s="272">
        <f>+'COMPARABILITY FY13 '!C106</f>
        <v>7870</v>
      </c>
      <c r="C105" s="273" t="str">
        <f>+'COMPARABILITY FY13 '!D106</f>
        <v>McKinley SHS</v>
      </c>
      <c r="D105" s="274">
        <f>SUMIFS('Peoplesoft-FY13'!$K:$K,'Peoplesoft-FY13'!$S:$S,$B105,'Peoplesoft-FY13'!$Q:$Q,D$3)</f>
        <v>70.209999999999994</v>
      </c>
      <c r="E105" s="274">
        <f>SUMIFS('Peoplesoft-FY13'!$K:$K,'Peoplesoft-FY13'!$S:$S,$B105,'Peoplesoft-FY13'!$Q:$Q,E$3)</f>
        <v>2</v>
      </c>
      <c r="F105" s="274">
        <f>SUMIFS('Peoplesoft-FY13'!$K:$K,'Peoplesoft-FY13'!$S:$S,$B105,'Peoplesoft-FY13'!$Q:$Q,F$3)</f>
        <v>0</v>
      </c>
      <c r="G105" s="274">
        <f>SUMIFS('Peoplesoft-FY13'!$K:$K,'Peoplesoft-FY13'!$S:$S,$B105,'Peoplesoft-FY13'!$Q:$Q,G$3)</f>
        <v>0</v>
      </c>
      <c r="H105" s="274">
        <f>SUMIFS('Peoplesoft-FY13'!$K:$K,'Peoplesoft-FY13'!$S:$S,$B105,'Peoplesoft-FY13'!$Q:$Q,H$3)</f>
        <v>0</v>
      </c>
      <c r="I105" s="274">
        <f>SUMIFS('Peoplesoft-FY13'!$K:$K,'Peoplesoft-FY13'!$S:$S,$B105,'Peoplesoft-FY13'!$Q:$Q,I$3)</f>
        <v>0</v>
      </c>
      <c r="J105" s="274">
        <f>SUMIFS('Peoplesoft-FY13'!$K:$K,'Peoplesoft-FY13'!$S:$S,$B105,'Peoplesoft-FY13'!$Q:$Q,J$3)</f>
        <v>0</v>
      </c>
      <c r="K105" s="274">
        <f>SUMIFS('Peoplesoft-FY13'!$K:$K,'Peoplesoft-FY13'!$S:$S,$B105,'Peoplesoft-FY13'!$Q:$Q,K$3)</f>
        <v>0</v>
      </c>
      <c r="L105" s="274">
        <f>SUMIFS('Peoplesoft-FY13'!$K:$K,'Peoplesoft-FY13'!$S:$S,$B105,'Peoplesoft-FY13'!$Q:$Q,L$3)</f>
        <v>0</v>
      </c>
      <c r="M105" s="274">
        <f>SUMIFS('Peoplesoft-FY13'!$K:$K,'Peoplesoft-FY13'!$S:$S,$B105,'Peoplesoft-FY13'!$Q:$Q,M$3)</f>
        <v>0</v>
      </c>
      <c r="N105" s="274">
        <f>SUMIFS('Peoplesoft-FY13'!$K:$K,'Peoplesoft-FY13'!$S:$S,$B105,'Peoplesoft-FY13'!$Q:$Q,N$3)</f>
        <v>0</v>
      </c>
      <c r="O105" s="138">
        <f t="shared" si="12"/>
        <v>2</v>
      </c>
      <c r="P105" s="119">
        <f t="shared" si="13"/>
        <v>72.209999999999994</v>
      </c>
      <c r="Q105" s="120">
        <f t="shared" si="7"/>
        <v>2.7696994876055949E-2</v>
      </c>
      <c r="R105" s="121">
        <f t="shared" si="14"/>
        <v>0.97230300512394408</v>
      </c>
      <c r="S105" s="99">
        <f t="shared" si="15"/>
        <v>1</v>
      </c>
    </row>
    <row r="106" spans="1:21" ht="13.2" x14ac:dyDescent="0.25">
      <c r="A106" s="297">
        <f>+'COMPARABILITY FY13 '!B106</f>
        <v>21</v>
      </c>
      <c r="B106" s="276">
        <v>7490</v>
      </c>
      <c r="C106" s="277" t="s">
        <v>4249</v>
      </c>
      <c r="D106" s="278">
        <f>SUMIFS('Peoplesoft-FY13'!$K:$K,'Peoplesoft-FY13'!$S:$S,$B106,'Peoplesoft-FY13'!$Q:$Q,D$3)</f>
        <v>34.679999999999993</v>
      </c>
      <c r="E106" s="278">
        <f>SUMIFS('Peoplesoft-FY13'!$K:$K,'Peoplesoft-FY13'!$S:$S,$B106,'Peoplesoft-FY13'!$Q:$Q,E$3)</f>
        <v>0</v>
      </c>
      <c r="F106" s="278">
        <f>SUMIFS('Peoplesoft-FY13'!$K:$K,'Peoplesoft-FY13'!$S:$S,$B106,'Peoplesoft-FY13'!$Q:$Q,F$3)</f>
        <v>0</v>
      </c>
      <c r="G106" s="278">
        <f>SUMIFS('Peoplesoft-FY13'!$K:$K,'Peoplesoft-FY13'!$S:$S,$B106,'Peoplesoft-FY13'!$Q:$Q,G$3)</f>
        <v>0</v>
      </c>
      <c r="H106" s="278">
        <f>SUMIFS('Peoplesoft-FY13'!$K:$K,'Peoplesoft-FY13'!$S:$S,$B106,'Peoplesoft-FY13'!$Q:$Q,H$3)</f>
        <v>0</v>
      </c>
      <c r="I106" s="278">
        <f>SUMIFS('Peoplesoft-FY13'!$K:$K,'Peoplesoft-FY13'!$S:$S,$B106,'Peoplesoft-FY13'!$Q:$Q,I$3)</f>
        <v>0</v>
      </c>
      <c r="J106" s="278">
        <f>SUMIFS('Peoplesoft-FY13'!$K:$K,'Peoplesoft-FY13'!$S:$S,$B106,'Peoplesoft-FY13'!$Q:$Q,J$3)</f>
        <v>0</v>
      </c>
      <c r="K106" s="278">
        <f>SUMIFS('Peoplesoft-FY13'!$K:$K,'Peoplesoft-FY13'!$S:$S,$B106,'Peoplesoft-FY13'!$Q:$Q,K$3)</f>
        <v>0</v>
      </c>
      <c r="L106" s="278">
        <f>SUMIFS('Peoplesoft-FY13'!$K:$K,'Peoplesoft-FY13'!$S:$S,$B106,'Peoplesoft-FY13'!$Q:$Q,L$3)</f>
        <v>0</v>
      </c>
      <c r="M106" s="278">
        <f>SUMIFS('Peoplesoft-FY13'!$K:$K,'Peoplesoft-FY13'!$S:$S,$B106,'Peoplesoft-FY13'!$Q:$Q,M$3)</f>
        <v>0</v>
      </c>
      <c r="N106" s="278">
        <f>SUMIFS('Peoplesoft-FY13'!$K:$K,'Peoplesoft-FY13'!$S:$S,$B106,'Peoplesoft-FY13'!$Q:$Q,N$3)</f>
        <v>0</v>
      </c>
      <c r="O106" s="139">
        <f>SUM(E106:N106)</f>
        <v>0</v>
      </c>
      <c r="P106" s="124">
        <f>SUM(D106:N106)</f>
        <v>34.679999999999993</v>
      </c>
      <c r="Q106" s="125">
        <f>+O106/P106</f>
        <v>0</v>
      </c>
      <c r="R106" s="126">
        <f>D106/P106</f>
        <v>1</v>
      </c>
      <c r="S106" s="99">
        <f>Q106+R106</f>
        <v>1</v>
      </c>
    </row>
    <row r="107" spans="1:21" ht="13.2" x14ac:dyDescent="0.3">
      <c r="B107" s="90"/>
      <c r="O107" s="127"/>
      <c r="P107" s="128"/>
      <c r="Q107" s="129"/>
      <c r="R107" s="99"/>
    </row>
    <row r="108" spans="1:21" ht="13.2" x14ac:dyDescent="0.3">
      <c r="B108" s="90"/>
      <c r="C108" s="89" t="str">
        <f>+'COMPARABILITY FY13 '!D109</f>
        <v>Non-Title I Schools</v>
      </c>
      <c r="O108" s="127"/>
      <c r="P108" s="128"/>
      <c r="Q108" s="129"/>
      <c r="R108" s="99"/>
    </row>
    <row r="109" spans="1:21" ht="13.2" x14ac:dyDescent="0.25">
      <c r="A109" s="280">
        <f>+'COMPARABILITY FY13 '!B110</f>
        <v>1</v>
      </c>
      <c r="B109" s="281">
        <f>+'COMPARABILITY FY13 '!C110</f>
        <v>5200</v>
      </c>
      <c r="C109" s="282" t="str">
        <f>+'COMPARABILITY FY13 '!D110</f>
        <v>Brent ES</v>
      </c>
      <c r="D109" s="270">
        <f>SUMIFS('Peoplesoft-FY13'!$K:$K,'Peoplesoft-FY13'!$S:$S,$B109,'Peoplesoft-FY13'!$Q:$Q,D$3)</f>
        <v>43.84</v>
      </c>
      <c r="E109" s="270">
        <f>SUMIFS('Peoplesoft-FY13'!$K:$K,'Peoplesoft-FY13'!$S:$S,$B109,'Peoplesoft-FY13'!$Q:$Q,E$3)</f>
        <v>0</v>
      </c>
      <c r="F109" s="270">
        <f>SUMIFS('Peoplesoft-FY13'!$K:$K,'Peoplesoft-FY13'!$S:$S,$B109,'Peoplesoft-FY13'!$Q:$Q,F$3)</f>
        <v>0</v>
      </c>
      <c r="G109" s="270">
        <f>SUMIFS('Peoplesoft-FY13'!$K:$K,'Peoplesoft-FY13'!$S:$S,$B109,'Peoplesoft-FY13'!$Q:$Q,G$3)</f>
        <v>0</v>
      </c>
      <c r="H109" s="270">
        <f>SUMIFS('Peoplesoft-FY13'!$K:$K,'Peoplesoft-FY13'!$S:$S,$B109,'Peoplesoft-FY13'!$Q:$Q,H$3)</f>
        <v>0</v>
      </c>
      <c r="I109" s="270">
        <f>SUMIFS('Peoplesoft-FY13'!$K:$K,'Peoplesoft-FY13'!$S:$S,$B109,'Peoplesoft-FY13'!$Q:$Q,I$3)</f>
        <v>0</v>
      </c>
      <c r="J109" s="270">
        <f>SUMIFS('Peoplesoft-FY13'!$K:$K,'Peoplesoft-FY13'!$S:$S,$B109,'Peoplesoft-FY13'!$Q:$Q,J$3)</f>
        <v>0</v>
      </c>
      <c r="K109" s="270">
        <f>SUMIFS('Peoplesoft-FY13'!$K:$K,'Peoplesoft-FY13'!$S:$S,$B109,'Peoplesoft-FY13'!$Q:$Q,K$3)</f>
        <v>0</v>
      </c>
      <c r="L109" s="270">
        <f>SUMIFS('Peoplesoft-FY13'!$K:$K,'Peoplesoft-FY13'!$S:$S,$B109,'Peoplesoft-FY13'!$Q:$Q,L$3)</f>
        <v>0</v>
      </c>
      <c r="M109" s="270">
        <f>SUMIFS('Peoplesoft-FY13'!$K:$K,'Peoplesoft-FY13'!$S:$S,$B109,'Peoplesoft-FY13'!$Q:$Q,M$3)</f>
        <v>0</v>
      </c>
      <c r="N109" s="270">
        <f>SUMIFS('Peoplesoft-FY13'!$K:$K,'Peoplesoft-FY13'!$S:$S,$B109,'Peoplesoft-FY13'!$Q:$Q,N$3)</f>
        <v>0</v>
      </c>
      <c r="O109" s="137">
        <f t="shared" ref="O109:O127" si="16">SUM(E109:N109)</f>
        <v>0</v>
      </c>
      <c r="P109" s="115">
        <f t="shared" ref="P109:P127" si="17">SUM(D109:N109)</f>
        <v>43.84</v>
      </c>
      <c r="Q109" s="116">
        <f t="shared" ref="Q109:Q127" si="18">+O109/P109</f>
        <v>0</v>
      </c>
      <c r="R109" s="117">
        <f t="shared" ref="R109:R127" si="19">D109/P109</f>
        <v>1</v>
      </c>
      <c r="S109" s="99">
        <f t="shared" ref="S109:S122" si="20">Q109+R109</f>
        <v>1</v>
      </c>
    </row>
    <row r="110" spans="1:21" ht="13.2" x14ac:dyDescent="0.25">
      <c r="A110" s="283">
        <f>+'COMPARABILITY FY13 '!B111</f>
        <v>2</v>
      </c>
      <c r="B110" s="284">
        <f>+'COMPARABILITY FY13 '!C111</f>
        <v>5340</v>
      </c>
      <c r="C110" s="285" t="str">
        <f>+'COMPARABILITY FY13 '!D111</f>
        <v>Eaton ES</v>
      </c>
      <c r="D110" s="274">
        <f>SUMIFS('Peoplesoft-FY13'!$K:$K,'Peoplesoft-FY13'!$S:$S,$B110,'Peoplesoft-FY13'!$Q:$Q,D$3)</f>
        <v>47.42</v>
      </c>
      <c r="E110" s="274">
        <f>SUMIFS('Peoplesoft-FY13'!$K:$K,'Peoplesoft-FY13'!$S:$S,$B110,'Peoplesoft-FY13'!$Q:$Q,E$3)</f>
        <v>0</v>
      </c>
      <c r="F110" s="274">
        <f>SUMIFS('Peoplesoft-FY13'!$K:$K,'Peoplesoft-FY13'!$S:$S,$B110,'Peoplesoft-FY13'!$Q:$Q,F$3)</f>
        <v>0</v>
      </c>
      <c r="G110" s="274">
        <f>SUMIFS('Peoplesoft-FY13'!$K:$K,'Peoplesoft-FY13'!$S:$S,$B110,'Peoplesoft-FY13'!$Q:$Q,G$3)</f>
        <v>0</v>
      </c>
      <c r="H110" s="274">
        <f>SUMIFS('Peoplesoft-FY13'!$K:$K,'Peoplesoft-FY13'!$S:$S,$B110,'Peoplesoft-FY13'!$Q:$Q,H$3)</f>
        <v>0</v>
      </c>
      <c r="I110" s="274">
        <f>SUMIFS('Peoplesoft-FY13'!$K:$K,'Peoplesoft-FY13'!$S:$S,$B110,'Peoplesoft-FY13'!$Q:$Q,I$3)</f>
        <v>0</v>
      </c>
      <c r="J110" s="274">
        <f>SUMIFS('Peoplesoft-FY13'!$K:$K,'Peoplesoft-FY13'!$S:$S,$B110,'Peoplesoft-FY13'!$Q:$Q,J$3)</f>
        <v>0</v>
      </c>
      <c r="K110" s="274">
        <f>SUMIFS('Peoplesoft-FY13'!$K:$K,'Peoplesoft-FY13'!$S:$S,$B110,'Peoplesoft-FY13'!$Q:$Q,K$3)</f>
        <v>0</v>
      </c>
      <c r="L110" s="274">
        <f>SUMIFS('Peoplesoft-FY13'!$K:$K,'Peoplesoft-FY13'!$S:$S,$B110,'Peoplesoft-FY13'!$Q:$Q,L$3)</f>
        <v>0</v>
      </c>
      <c r="M110" s="274">
        <f>SUMIFS('Peoplesoft-FY13'!$K:$K,'Peoplesoft-FY13'!$S:$S,$B110,'Peoplesoft-FY13'!$Q:$Q,M$3)</f>
        <v>0</v>
      </c>
      <c r="N110" s="274">
        <f>SUMIFS('Peoplesoft-FY13'!$K:$K,'Peoplesoft-FY13'!$S:$S,$B110,'Peoplesoft-FY13'!$Q:$Q,N$3)</f>
        <v>0</v>
      </c>
      <c r="O110" s="138">
        <f t="shared" si="16"/>
        <v>0</v>
      </c>
      <c r="P110" s="119">
        <f t="shared" si="17"/>
        <v>47.42</v>
      </c>
      <c r="Q110" s="120">
        <f t="shared" si="18"/>
        <v>0</v>
      </c>
      <c r="R110" s="121">
        <f t="shared" si="19"/>
        <v>1</v>
      </c>
      <c r="S110" s="99">
        <f t="shared" si="20"/>
        <v>1</v>
      </c>
    </row>
    <row r="111" spans="1:21" ht="13.2" x14ac:dyDescent="0.25">
      <c r="A111" s="283">
        <f>+'COMPARABILITY FY13 '!B112</f>
        <v>3</v>
      </c>
      <c r="B111" s="284">
        <f>+'COMPARABILITY FY13 '!C112</f>
        <v>5450</v>
      </c>
      <c r="C111" s="285" t="str">
        <f>+'COMPARABILITY FY13 '!D112</f>
        <v>Hearst ES</v>
      </c>
      <c r="D111" s="274">
        <f>SUMIFS('Peoplesoft-FY13'!$K:$K,'Peoplesoft-FY13'!$S:$S,$B111,'Peoplesoft-FY13'!$Q:$Q,D$3)</f>
        <v>36.425000000000004</v>
      </c>
      <c r="E111" s="274">
        <f>SUMIFS('Peoplesoft-FY13'!$K:$K,'Peoplesoft-FY13'!$S:$S,$B111,'Peoplesoft-FY13'!$Q:$Q,E$3)</f>
        <v>0</v>
      </c>
      <c r="F111" s="274">
        <f>SUMIFS('Peoplesoft-FY13'!$K:$K,'Peoplesoft-FY13'!$S:$S,$B111,'Peoplesoft-FY13'!$Q:$Q,F$3)</f>
        <v>0</v>
      </c>
      <c r="G111" s="274">
        <f>SUMIFS('Peoplesoft-FY13'!$K:$K,'Peoplesoft-FY13'!$S:$S,$B111,'Peoplesoft-FY13'!$Q:$Q,G$3)</f>
        <v>0</v>
      </c>
      <c r="H111" s="274">
        <f>SUMIFS('Peoplesoft-FY13'!$K:$K,'Peoplesoft-FY13'!$S:$S,$B111,'Peoplesoft-FY13'!$Q:$Q,H$3)</f>
        <v>0</v>
      </c>
      <c r="I111" s="274">
        <f>SUMIFS('Peoplesoft-FY13'!$K:$K,'Peoplesoft-FY13'!$S:$S,$B111,'Peoplesoft-FY13'!$Q:$Q,I$3)</f>
        <v>0</v>
      </c>
      <c r="J111" s="274">
        <f>SUMIFS('Peoplesoft-FY13'!$K:$K,'Peoplesoft-FY13'!$S:$S,$B111,'Peoplesoft-FY13'!$Q:$Q,J$3)</f>
        <v>0</v>
      </c>
      <c r="K111" s="274">
        <f>SUMIFS('Peoplesoft-FY13'!$K:$K,'Peoplesoft-FY13'!$S:$S,$B111,'Peoplesoft-FY13'!$Q:$Q,K$3)</f>
        <v>0</v>
      </c>
      <c r="L111" s="274">
        <f>SUMIFS('Peoplesoft-FY13'!$K:$K,'Peoplesoft-FY13'!$S:$S,$B111,'Peoplesoft-FY13'!$Q:$Q,L$3)</f>
        <v>0</v>
      </c>
      <c r="M111" s="274">
        <f>SUMIFS('Peoplesoft-FY13'!$K:$K,'Peoplesoft-FY13'!$S:$S,$B111,'Peoplesoft-FY13'!$Q:$Q,M$3)</f>
        <v>0</v>
      </c>
      <c r="N111" s="274">
        <f>SUMIFS('Peoplesoft-FY13'!$K:$K,'Peoplesoft-FY13'!$S:$S,$B111,'Peoplesoft-FY13'!$Q:$Q,N$3)</f>
        <v>0</v>
      </c>
      <c r="O111" s="138">
        <f t="shared" si="16"/>
        <v>0</v>
      </c>
      <c r="P111" s="119">
        <f t="shared" si="17"/>
        <v>36.425000000000004</v>
      </c>
      <c r="Q111" s="120">
        <f t="shared" si="18"/>
        <v>0</v>
      </c>
      <c r="R111" s="121">
        <f t="shared" si="19"/>
        <v>1</v>
      </c>
      <c r="S111" s="99">
        <f t="shared" si="20"/>
        <v>1</v>
      </c>
    </row>
    <row r="112" spans="1:21" ht="13.2" x14ac:dyDescent="0.25">
      <c r="A112" s="283">
        <f>+'COMPARABILITY FY13 '!B113</f>
        <v>4</v>
      </c>
      <c r="B112" s="284">
        <f>+'COMPARABILITY FY13 '!C113</f>
        <v>5490</v>
      </c>
      <c r="C112" s="285" t="str">
        <f>+'COMPARABILITY FY13 '!D113</f>
        <v>Hyde ES</v>
      </c>
      <c r="D112" s="274">
        <f>SUMIFS('Peoplesoft-FY13'!$K:$K,'Peoplesoft-FY13'!$S:$S,$B112,'Peoplesoft-FY13'!$Q:$Q,D$3)</f>
        <v>35.080000000000005</v>
      </c>
      <c r="E112" s="274">
        <f>SUMIFS('Peoplesoft-FY13'!$K:$K,'Peoplesoft-FY13'!$S:$S,$B112,'Peoplesoft-FY13'!$Q:$Q,E$3)</f>
        <v>0</v>
      </c>
      <c r="F112" s="274">
        <f>SUMIFS('Peoplesoft-FY13'!$K:$K,'Peoplesoft-FY13'!$S:$S,$B112,'Peoplesoft-FY13'!$Q:$Q,F$3)</f>
        <v>0</v>
      </c>
      <c r="G112" s="274">
        <f>SUMIFS('Peoplesoft-FY13'!$K:$K,'Peoplesoft-FY13'!$S:$S,$B112,'Peoplesoft-FY13'!$Q:$Q,G$3)</f>
        <v>0</v>
      </c>
      <c r="H112" s="274">
        <f>SUMIFS('Peoplesoft-FY13'!$K:$K,'Peoplesoft-FY13'!$S:$S,$B112,'Peoplesoft-FY13'!$Q:$Q,H$3)</f>
        <v>0</v>
      </c>
      <c r="I112" s="274">
        <f>SUMIFS('Peoplesoft-FY13'!$K:$K,'Peoplesoft-FY13'!$S:$S,$B112,'Peoplesoft-FY13'!$Q:$Q,I$3)</f>
        <v>0</v>
      </c>
      <c r="J112" s="274">
        <f>SUMIFS('Peoplesoft-FY13'!$K:$K,'Peoplesoft-FY13'!$S:$S,$B112,'Peoplesoft-FY13'!$Q:$Q,J$3)</f>
        <v>0</v>
      </c>
      <c r="K112" s="274">
        <f>SUMIFS('Peoplesoft-FY13'!$K:$K,'Peoplesoft-FY13'!$S:$S,$B112,'Peoplesoft-FY13'!$Q:$Q,K$3)</f>
        <v>0</v>
      </c>
      <c r="L112" s="274">
        <f>SUMIFS('Peoplesoft-FY13'!$K:$K,'Peoplesoft-FY13'!$S:$S,$B112,'Peoplesoft-FY13'!$Q:$Q,L$3)</f>
        <v>0</v>
      </c>
      <c r="M112" s="274">
        <f>SUMIFS('Peoplesoft-FY13'!$K:$K,'Peoplesoft-FY13'!$S:$S,$B112,'Peoplesoft-FY13'!$Q:$Q,M$3)</f>
        <v>0.5</v>
      </c>
      <c r="N112" s="274">
        <f>SUMIFS('Peoplesoft-FY13'!$K:$K,'Peoplesoft-FY13'!$S:$S,$B112,'Peoplesoft-FY13'!$Q:$Q,N$3)</f>
        <v>0</v>
      </c>
      <c r="O112" s="138">
        <f t="shared" si="16"/>
        <v>0.5</v>
      </c>
      <c r="P112" s="119">
        <f t="shared" si="17"/>
        <v>35.580000000000005</v>
      </c>
      <c r="Q112" s="120">
        <f t="shared" si="18"/>
        <v>1.4052838673412027E-2</v>
      </c>
      <c r="R112" s="121">
        <f t="shared" si="19"/>
        <v>0.985947161326588</v>
      </c>
      <c r="S112" s="99">
        <f t="shared" si="20"/>
        <v>1</v>
      </c>
    </row>
    <row r="113" spans="1:19" ht="13.2" x14ac:dyDescent="0.25">
      <c r="A113" s="283">
        <f>+'COMPARABILITY FY13 '!B114</f>
        <v>5</v>
      </c>
      <c r="B113" s="284">
        <f>+'COMPARABILITY FY13 '!C114</f>
        <v>5500</v>
      </c>
      <c r="C113" s="285" t="str">
        <f>+'COMPARABILITY FY13 '!D114</f>
        <v>Janney ES</v>
      </c>
      <c r="D113" s="274">
        <f>SUMIFS('Peoplesoft-FY13'!$K:$K,'Peoplesoft-FY13'!$S:$S,$B113,'Peoplesoft-FY13'!$Q:$Q,D$3)</f>
        <v>58.705000000000005</v>
      </c>
      <c r="E113" s="274">
        <f>SUMIFS('Peoplesoft-FY13'!$K:$K,'Peoplesoft-FY13'!$S:$S,$B113,'Peoplesoft-FY13'!$Q:$Q,E$3)</f>
        <v>0</v>
      </c>
      <c r="F113" s="274">
        <f>SUMIFS('Peoplesoft-FY13'!$K:$K,'Peoplesoft-FY13'!$S:$S,$B113,'Peoplesoft-FY13'!$Q:$Q,F$3)</f>
        <v>0</v>
      </c>
      <c r="G113" s="274">
        <f>SUMIFS('Peoplesoft-FY13'!$K:$K,'Peoplesoft-FY13'!$S:$S,$B113,'Peoplesoft-FY13'!$Q:$Q,G$3)</f>
        <v>0</v>
      </c>
      <c r="H113" s="274">
        <f>SUMIFS('Peoplesoft-FY13'!$K:$K,'Peoplesoft-FY13'!$S:$S,$B113,'Peoplesoft-FY13'!$Q:$Q,H$3)</f>
        <v>0</v>
      </c>
      <c r="I113" s="274">
        <f>SUMIFS('Peoplesoft-FY13'!$K:$K,'Peoplesoft-FY13'!$S:$S,$B113,'Peoplesoft-FY13'!$Q:$Q,I$3)</f>
        <v>0</v>
      </c>
      <c r="J113" s="274">
        <f>SUMIFS('Peoplesoft-FY13'!$K:$K,'Peoplesoft-FY13'!$S:$S,$B113,'Peoplesoft-FY13'!$Q:$Q,J$3)</f>
        <v>0</v>
      </c>
      <c r="K113" s="274">
        <f>SUMIFS('Peoplesoft-FY13'!$K:$K,'Peoplesoft-FY13'!$S:$S,$B113,'Peoplesoft-FY13'!$Q:$Q,K$3)</f>
        <v>0</v>
      </c>
      <c r="L113" s="274">
        <f>SUMIFS('Peoplesoft-FY13'!$K:$K,'Peoplesoft-FY13'!$S:$S,$B113,'Peoplesoft-FY13'!$Q:$Q,L$3)</f>
        <v>0</v>
      </c>
      <c r="M113" s="274">
        <f>SUMIFS('Peoplesoft-FY13'!$K:$K,'Peoplesoft-FY13'!$S:$S,$B113,'Peoplesoft-FY13'!$Q:$Q,M$3)</f>
        <v>0</v>
      </c>
      <c r="N113" s="274">
        <f>SUMIFS('Peoplesoft-FY13'!$K:$K,'Peoplesoft-FY13'!$S:$S,$B113,'Peoplesoft-FY13'!$Q:$Q,N$3)</f>
        <v>0</v>
      </c>
      <c r="O113" s="138">
        <f t="shared" si="16"/>
        <v>0</v>
      </c>
      <c r="P113" s="119">
        <f t="shared" si="17"/>
        <v>58.705000000000005</v>
      </c>
      <c r="Q113" s="120">
        <f t="shared" si="18"/>
        <v>0</v>
      </c>
      <c r="R113" s="121">
        <f t="shared" si="19"/>
        <v>1</v>
      </c>
      <c r="S113" s="99">
        <f t="shared" si="20"/>
        <v>1</v>
      </c>
    </row>
    <row r="114" spans="1:19" ht="13.2" x14ac:dyDescent="0.25">
      <c r="A114" s="283">
        <f>+'COMPARABILITY FY13 '!B115</f>
        <v>6</v>
      </c>
      <c r="B114" s="284">
        <f>+'COMPARABILITY FY13 '!C115</f>
        <v>5530</v>
      </c>
      <c r="C114" s="285" t="str">
        <f>+'COMPARABILITY FY13 '!D115</f>
        <v>Key ES</v>
      </c>
      <c r="D114" s="274">
        <f>SUMIFS('Peoplesoft-FY13'!$K:$K,'Peoplesoft-FY13'!$S:$S,$B114,'Peoplesoft-FY13'!$Q:$Q,D$3)</f>
        <v>37.835000000000001</v>
      </c>
      <c r="E114" s="274">
        <f>SUMIFS('Peoplesoft-FY13'!$K:$K,'Peoplesoft-FY13'!$S:$S,$B114,'Peoplesoft-FY13'!$Q:$Q,E$3)</f>
        <v>0</v>
      </c>
      <c r="F114" s="274">
        <f>SUMIFS('Peoplesoft-FY13'!$K:$K,'Peoplesoft-FY13'!$S:$S,$B114,'Peoplesoft-FY13'!$Q:$Q,F$3)</f>
        <v>0</v>
      </c>
      <c r="G114" s="274">
        <f>SUMIFS('Peoplesoft-FY13'!$K:$K,'Peoplesoft-FY13'!$S:$S,$B114,'Peoplesoft-FY13'!$Q:$Q,G$3)</f>
        <v>0</v>
      </c>
      <c r="H114" s="274">
        <f>SUMIFS('Peoplesoft-FY13'!$K:$K,'Peoplesoft-FY13'!$S:$S,$B114,'Peoplesoft-FY13'!$Q:$Q,H$3)</f>
        <v>0</v>
      </c>
      <c r="I114" s="274">
        <f>SUMIFS('Peoplesoft-FY13'!$K:$K,'Peoplesoft-FY13'!$S:$S,$B114,'Peoplesoft-FY13'!$Q:$Q,I$3)</f>
        <v>0</v>
      </c>
      <c r="J114" s="274">
        <f>SUMIFS('Peoplesoft-FY13'!$K:$K,'Peoplesoft-FY13'!$S:$S,$B114,'Peoplesoft-FY13'!$Q:$Q,J$3)</f>
        <v>0</v>
      </c>
      <c r="K114" s="274">
        <f>SUMIFS('Peoplesoft-FY13'!$K:$K,'Peoplesoft-FY13'!$S:$S,$B114,'Peoplesoft-FY13'!$Q:$Q,K$3)</f>
        <v>0</v>
      </c>
      <c r="L114" s="274">
        <f>SUMIFS('Peoplesoft-FY13'!$K:$K,'Peoplesoft-FY13'!$S:$S,$B114,'Peoplesoft-FY13'!$Q:$Q,L$3)</f>
        <v>0</v>
      </c>
      <c r="M114" s="274">
        <f>SUMIFS('Peoplesoft-FY13'!$K:$K,'Peoplesoft-FY13'!$S:$S,$B114,'Peoplesoft-FY13'!$Q:$Q,M$3)</f>
        <v>0</v>
      </c>
      <c r="N114" s="274">
        <f>SUMIFS('Peoplesoft-FY13'!$K:$K,'Peoplesoft-FY13'!$S:$S,$B114,'Peoplesoft-FY13'!$Q:$Q,N$3)</f>
        <v>0</v>
      </c>
      <c r="O114" s="138">
        <f t="shared" si="16"/>
        <v>0</v>
      </c>
      <c r="P114" s="119">
        <f t="shared" si="17"/>
        <v>37.835000000000001</v>
      </c>
      <c r="Q114" s="120">
        <f t="shared" si="18"/>
        <v>0</v>
      </c>
      <c r="R114" s="121">
        <f t="shared" si="19"/>
        <v>1</v>
      </c>
      <c r="S114" s="99">
        <f t="shared" si="20"/>
        <v>1</v>
      </c>
    </row>
    <row r="115" spans="1:19" ht="13.2" x14ac:dyDescent="0.25">
      <c r="A115" s="283">
        <f>+'COMPARABILITY FY13 '!B116</f>
        <v>7</v>
      </c>
      <c r="B115" s="284">
        <f>+'COMPARABILITY FY13 '!C116</f>
        <v>5560</v>
      </c>
      <c r="C115" s="285" t="str">
        <f>+'COMPARABILITY FY13 '!D116</f>
        <v>Lafayette ES</v>
      </c>
      <c r="D115" s="274">
        <f>SUMIFS('Peoplesoft-FY13'!$K:$K,'Peoplesoft-FY13'!$S:$S,$B115,'Peoplesoft-FY13'!$Q:$Q,D$3)</f>
        <v>67.924999999999997</v>
      </c>
      <c r="E115" s="274">
        <f>SUMIFS('Peoplesoft-FY13'!$K:$K,'Peoplesoft-FY13'!$S:$S,$B115,'Peoplesoft-FY13'!$Q:$Q,E$3)</f>
        <v>0</v>
      </c>
      <c r="F115" s="274">
        <f>SUMIFS('Peoplesoft-FY13'!$K:$K,'Peoplesoft-FY13'!$S:$S,$B115,'Peoplesoft-FY13'!$Q:$Q,F$3)</f>
        <v>0</v>
      </c>
      <c r="G115" s="274">
        <f>SUMIFS('Peoplesoft-FY13'!$K:$K,'Peoplesoft-FY13'!$S:$S,$B115,'Peoplesoft-FY13'!$Q:$Q,G$3)</f>
        <v>0</v>
      </c>
      <c r="H115" s="274">
        <f>SUMIFS('Peoplesoft-FY13'!$K:$K,'Peoplesoft-FY13'!$S:$S,$B115,'Peoplesoft-FY13'!$Q:$Q,H$3)</f>
        <v>0</v>
      </c>
      <c r="I115" s="274">
        <f>SUMIFS('Peoplesoft-FY13'!$K:$K,'Peoplesoft-FY13'!$S:$S,$B115,'Peoplesoft-FY13'!$Q:$Q,I$3)</f>
        <v>0</v>
      </c>
      <c r="J115" s="274">
        <f>SUMIFS('Peoplesoft-FY13'!$K:$K,'Peoplesoft-FY13'!$S:$S,$B115,'Peoplesoft-FY13'!$Q:$Q,J$3)</f>
        <v>0</v>
      </c>
      <c r="K115" s="274">
        <f>SUMIFS('Peoplesoft-FY13'!$K:$K,'Peoplesoft-FY13'!$S:$S,$B115,'Peoplesoft-FY13'!$Q:$Q,K$3)</f>
        <v>0</v>
      </c>
      <c r="L115" s="274">
        <f>SUMIFS('Peoplesoft-FY13'!$K:$K,'Peoplesoft-FY13'!$S:$S,$B115,'Peoplesoft-FY13'!$Q:$Q,L$3)</f>
        <v>0</v>
      </c>
      <c r="M115" s="274">
        <f>SUMIFS('Peoplesoft-FY13'!$K:$K,'Peoplesoft-FY13'!$S:$S,$B115,'Peoplesoft-FY13'!$Q:$Q,M$3)</f>
        <v>0</v>
      </c>
      <c r="N115" s="274">
        <f>SUMIFS('Peoplesoft-FY13'!$K:$K,'Peoplesoft-FY13'!$S:$S,$B115,'Peoplesoft-FY13'!$Q:$Q,N$3)</f>
        <v>0</v>
      </c>
      <c r="O115" s="138">
        <f t="shared" si="16"/>
        <v>0</v>
      </c>
      <c r="P115" s="119">
        <f t="shared" si="17"/>
        <v>67.924999999999997</v>
      </c>
      <c r="Q115" s="120">
        <f t="shared" si="18"/>
        <v>0</v>
      </c>
      <c r="R115" s="121">
        <f t="shared" si="19"/>
        <v>1</v>
      </c>
      <c r="S115" s="99">
        <f t="shared" si="20"/>
        <v>1</v>
      </c>
    </row>
    <row r="116" spans="1:19" ht="13.2" x14ac:dyDescent="0.25">
      <c r="A116" s="283">
        <f>+'COMPARABILITY FY13 '!B117</f>
        <v>8</v>
      </c>
      <c r="B116" s="284">
        <f>+'COMPARABILITY FY13 '!C117</f>
        <v>5620</v>
      </c>
      <c r="C116" s="285" t="str">
        <f>+'COMPARABILITY FY13 '!D117</f>
        <v>Mann ES</v>
      </c>
      <c r="D116" s="274">
        <f>SUMIFS('Peoplesoft-FY13'!$K:$K,'Peoplesoft-FY13'!$S:$S,$B116,'Peoplesoft-FY13'!$Q:$Q,D$3)</f>
        <v>37.81</v>
      </c>
      <c r="E116" s="274">
        <f>SUMIFS('Peoplesoft-FY13'!$K:$K,'Peoplesoft-FY13'!$S:$S,$B116,'Peoplesoft-FY13'!$Q:$Q,E$3)</f>
        <v>0</v>
      </c>
      <c r="F116" s="274">
        <f>SUMIFS('Peoplesoft-FY13'!$K:$K,'Peoplesoft-FY13'!$S:$S,$B116,'Peoplesoft-FY13'!$Q:$Q,F$3)</f>
        <v>0</v>
      </c>
      <c r="G116" s="274">
        <f>SUMIFS('Peoplesoft-FY13'!$K:$K,'Peoplesoft-FY13'!$S:$S,$B116,'Peoplesoft-FY13'!$Q:$Q,G$3)</f>
        <v>0</v>
      </c>
      <c r="H116" s="274">
        <f>SUMIFS('Peoplesoft-FY13'!$K:$K,'Peoplesoft-FY13'!$S:$S,$B116,'Peoplesoft-FY13'!$Q:$Q,H$3)</f>
        <v>0</v>
      </c>
      <c r="I116" s="274">
        <f>SUMIFS('Peoplesoft-FY13'!$K:$K,'Peoplesoft-FY13'!$S:$S,$B116,'Peoplesoft-FY13'!$Q:$Q,I$3)</f>
        <v>0</v>
      </c>
      <c r="J116" s="274">
        <f>SUMIFS('Peoplesoft-FY13'!$K:$K,'Peoplesoft-FY13'!$S:$S,$B116,'Peoplesoft-FY13'!$Q:$Q,J$3)</f>
        <v>0</v>
      </c>
      <c r="K116" s="274">
        <f>SUMIFS('Peoplesoft-FY13'!$K:$K,'Peoplesoft-FY13'!$S:$S,$B116,'Peoplesoft-FY13'!$Q:$Q,K$3)</f>
        <v>0</v>
      </c>
      <c r="L116" s="274">
        <f>SUMIFS('Peoplesoft-FY13'!$K:$K,'Peoplesoft-FY13'!$S:$S,$B116,'Peoplesoft-FY13'!$Q:$Q,L$3)</f>
        <v>0</v>
      </c>
      <c r="M116" s="274">
        <f>SUMIFS('Peoplesoft-FY13'!$K:$K,'Peoplesoft-FY13'!$S:$S,$B116,'Peoplesoft-FY13'!$Q:$Q,M$3)</f>
        <v>0</v>
      </c>
      <c r="N116" s="274">
        <f>SUMIFS('Peoplesoft-FY13'!$K:$K,'Peoplesoft-FY13'!$S:$S,$B116,'Peoplesoft-FY13'!$Q:$Q,N$3)</f>
        <v>0</v>
      </c>
      <c r="O116" s="138">
        <f t="shared" si="16"/>
        <v>0</v>
      </c>
      <c r="P116" s="119">
        <f t="shared" si="17"/>
        <v>37.81</v>
      </c>
      <c r="Q116" s="120">
        <f t="shared" si="18"/>
        <v>0</v>
      </c>
      <c r="R116" s="121">
        <f t="shared" si="19"/>
        <v>1</v>
      </c>
      <c r="S116" s="99">
        <f t="shared" si="20"/>
        <v>1</v>
      </c>
    </row>
    <row r="117" spans="1:19" ht="13.2" x14ac:dyDescent="0.25">
      <c r="A117" s="283">
        <f>+'COMPARABILITY FY13 '!B118</f>
        <v>9</v>
      </c>
      <c r="B117" s="284">
        <f>+'COMPARABILITY FY13 '!C118</f>
        <v>5720</v>
      </c>
      <c r="C117" s="285" t="str">
        <f>+'COMPARABILITY FY13 '!D118</f>
        <v>Murch ES</v>
      </c>
      <c r="D117" s="274">
        <f>SUMIFS('Peoplesoft-FY13'!$K:$K,'Peoplesoft-FY13'!$S:$S,$B117,'Peoplesoft-FY13'!$Q:$Q,D$3)</f>
        <v>60.875</v>
      </c>
      <c r="E117" s="274">
        <f>SUMIFS('Peoplesoft-FY13'!$K:$K,'Peoplesoft-FY13'!$S:$S,$B117,'Peoplesoft-FY13'!$Q:$Q,E$3)</f>
        <v>0</v>
      </c>
      <c r="F117" s="274">
        <f>SUMIFS('Peoplesoft-FY13'!$K:$K,'Peoplesoft-FY13'!$S:$S,$B117,'Peoplesoft-FY13'!$Q:$Q,F$3)</f>
        <v>0</v>
      </c>
      <c r="G117" s="274">
        <f>SUMIFS('Peoplesoft-FY13'!$K:$K,'Peoplesoft-FY13'!$S:$S,$B117,'Peoplesoft-FY13'!$Q:$Q,G$3)</f>
        <v>0</v>
      </c>
      <c r="H117" s="274">
        <f>SUMIFS('Peoplesoft-FY13'!$K:$K,'Peoplesoft-FY13'!$S:$S,$B117,'Peoplesoft-FY13'!$Q:$Q,H$3)</f>
        <v>0</v>
      </c>
      <c r="I117" s="274">
        <f>SUMIFS('Peoplesoft-FY13'!$K:$K,'Peoplesoft-FY13'!$S:$S,$B117,'Peoplesoft-FY13'!$Q:$Q,I$3)</f>
        <v>0</v>
      </c>
      <c r="J117" s="274">
        <f>SUMIFS('Peoplesoft-FY13'!$K:$K,'Peoplesoft-FY13'!$S:$S,$B117,'Peoplesoft-FY13'!$Q:$Q,J$3)</f>
        <v>0</v>
      </c>
      <c r="K117" s="274">
        <f>SUMIFS('Peoplesoft-FY13'!$K:$K,'Peoplesoft-FY13'!$S:$S,$B117,'Peoplesoft-FY13'!$Q:$Q,K$3)</f>
        <v>0</v>
      </c>
      <c r="L117" s="274">
        <f>SUMIFS('Peoplesoft-FY13'!$K:$K,'Peoplesoft-FY13'!$S:$S,$B117,'Peoplesoft-FY13'!$Q:$Q,L$3)</f>
        <v>0</v>
      </c>
      <c r="M117" s="274">
        <f>SUMIFS('Peoplesoft-FY13'!$K:$K,'Peoplesoft-FY13'!$S:$S,$B117,'Peoplesoft-FY13'!$Q:$Q,M$3)</f>
        <v>0</v>
      </c>
      <c r="N117" s="274">
        <f>SUMIFS('Peoplesoft-FY13'!$K:$K,'Peoplesoft-FY13'!$S:$S,$B117,'Peoplesoft-FY13'!$Q:$Q,N$3)</f>
        <v>0</v>
      </c>
      <c r="O117" s="138">
        <f t="shared" si="16"/>
        <v>0</v>
      </c>
      <c r="P117" s="119">
        <f t="shared" si="17"/>
        <v>60.875</v>
      </c>
      <c r="Q117" s="120">
        <f t="shared" si="18"/>
        <v>0</v>
      </c>
      <c r="R117" s="121">
        <f t="shared" si="19"/>
        <v>1</v>
      </c>
      <c r="S117" s="99">
        <f t="shared" si="20"/>
        <v>1</v>
      </c>
    </row>
    <row r="118" spans="1:19" ht="13.2" x14ac:dyDescent="0.25">
      <c r="A118" s="283">
        <f>+'COMPARABILITY FY13 '!B119</f>
        <v>10</v>
      </c>
      <c r="B118" s="284">
        <f>+'COMPARABILITY FY13 '!C119</f>
        <v>5760</v>
      </c>
      <c r="C118" s="285" t="str">
        <f>+'COMPARABILITY FY13 '!D119</f>
        <v>Oyster-Adams ES</v>
      </c>
      <c r="D118" s="274">
        <f>SUMIFS('Peoplesoft-FY13'!$K:$K,'Peoplesoft-FY13'!$S:$S,$B118,'Peoplesoft-FY13'!$Q:$Q,D$3)</f>
        <v>92.819999999999951</v>
      </c>
      <c r="E118" s="274">
        <f>SUMIFS('Peoplesoft-FY13'!$K:$K,'Peoplesoft-FY13'!$S:$S,$B118,'Peoplesoft-FY13'!$Q:$Q,E$3)</f>
        <v>0</v>
      </c>
      <c r="F118" s="274">
        <f>SUMIFS('Peoplesoft-FY13'!$K:$K,'Peoplesoft-FY13'!$S:$S,$B118,'Peoplesoft-FY13'!$Q:$Q,F$3)</f>
        <v>0</v>
      </c>
      <c r="G118" s="274">
        <f>SUMIFS('Peoplesoft-FY13'!$K:$K,'Peoplesoft-FY13'!$S:$S,$B118,'Peoplesoft-FY13'!$Q:$Q,G$3)</f>
        <v>0</v>
      </c>
      <c r="H118" s="274">
        <f>SUMIFS('Peoplesoft-FY13'!$K:$K,'Peoplesoft-FY13'!$S:$S,$B118,'Peoplesoft-FY13'!$Q:$Q,H$3)</f>
        <v>0</v>
      </c>
      <c r="I118" s="274">
        <f>SUMIFS('Peoplesoft-FY13'!$K:$K,'Peoplesoft-FY13'!$S:$S,$B118,'Peoplesoft-FY13'!$Q:$Q,I$3)</f>
        <v>0</v>
      </c>
      <c r="J118" s="274">
        <f>SUMIFS('Peoplesoft-FY13'!$K:$K,'Peoplesoft-FY13'!$S:$S,$B118,'Peoplesoft-FY13'!$Q:$Q,J$3)</f>
        <v>0</v>
      </c>
      <c r="K118" s="274">
        <f>SUMIFS('Peoplesoft-FY13'!$K:$K,'Peoplesoft-FY13'!$S:$S,$B118,'Peoplesoft-FY13'!$Q:$Q,K$3)</f>
        <v>0</v>
      </c>
      <c r="L118" s="274">
        <f>SUMIFS('Peoplesoft-FY13'!$K:$K,'Peoplesoft-FY13'!$S:$S,$B118,'Peoplesoft-FY13'!$Q:$Q,L$3)</f>
        <v>0</v>
      </c>
      <c r="M118" s="274">
        <f>SUMIFS('Peoplesoft-FY13'!$K:$K,'Peoplesoft-FY13'!$S:$S,$B118,'Peoplesoft-FY13'!$Q:$Q,M$3)</f>
        <v>0</v>
      </c>
      <c r="N118" s="274">
        <f>SUMIFS('Peoplesoft-FY13'!$K:$K,'Peoplesoft-FY13'!$S:$S,$B118,'Peoplesoft-FY13'!$Q:$Q,N$3)</f>
        <v>0</v>
      </c>
      <c r="O118" s="138">
        <f t="shared" si="16"/>
        <v>0</v>
      </c>
      <c r="P118" s="119">
        <f t="shared" si="17"/>
        <v>92.819999999999951</v>
      </c>
      <c r="Q118" s="120">
        <f t="shared" si="18"/>
        <v>0</v>
      </c>
      <c r="R118" s="121">
        <f t="shared" si="19"/>
        <v>1</v>
      </c>
      <c r="S118" s="99">
        <f t="shared" si="20"/>
        <v>1</v>
      </c>
    </row>
    <row r="119" spans="1:19" ht="13.2" x14ac:dyDescent="0.25">
      <c r="A119" s="283">
        <f>+'COMPARABILITY FY13 '!B120</f>
        <v>11</v>
      </c>
      <c r="B119" s="284">
        <f>+'COMPARABILITY FY13 '!C120</f>
        <v>5800</v>
      </c>
      <c r="C119" s="285" t="str">
        <f>+'COMPARABILITY FY13 '!D120</f>
        <v xml:space="preserve">Peabody ES </v>
      </c>
      <c r="D119" s="274">
        <f>SUMIFS('Peoplesoft-FY13'!$K:$K,'Peoplesoft-FY13'!$S:$S,$B119,'Peoplesoft-FY13'!$Q:$Q,D$3)</f>
        <v>31.260000000000005</v>
      </c>
      <c r="E119" s="274">
        <f>SUMIFS('Peoplesoft-FY13'!$K:$K,'Peoplesoft-FY13'!$S:$S,$B119,'Peoplesoft-FY13'!$Q:$Q,E$3)</f>
        <v>0</v>
      </c>
      <c r="F119" s="274">
        <f>SUMIFS('Peoplesoft-FY13'!$K:$K,'Peoplesoft-FY13'!$S:$S,$B119,'Peoplesoft-FY13'!$Q:$Q,F$3)</f>
        <v>0</v>
      </c>
      <c r="G119" s="274">
        <f>SUMIFS('Peoplesoft-FY13'!$K:$K,'Peoplesoft-FY13'!$S:$S,$B119,'Peoplesoft-FY13'!$Q:$Q,G$3)</f>
        <v>0</v>
      </c>
      <c r="H119" s="274">
        <f>SUMIFS('Peoplesoft-FY13'!$K:$K,'Peoplesoft-FY13'!$S:$S,$B119,'Peoplesoft-FY13'!$Q:$Q,H$3)</f>
        <v>0</v>
      </c>
      <c r="I119" s="274">
        <f>SUMIFS('Peoplesoft-FY13'!$K:$K,'Peoplesoft-FY13'!$S:$S,$B119,'Peoplesoft-FY13'!$Q:$Q,I$3)</f>
        <v>0</v>
      </c>
      <c r="J119" s="274">
        <f>SUMIFS('Peoplesoft-FY13'!$K:$K,'Peoplesoft-FY13'!$S:$S,$B119,'Peoplesoft-FY13'!$Q:$Q,J$3)</f>
        <v>0</v>
      </c>
      <c r="K119" s="274">
        <f>SUMIFS('Peoplesoft-FY13'!$K:$K,'Peoplesoft-FY13'!$S:$S,$B119,'Peoplesoft-FY13'!$Q:$Q,K$3)</f>
        <v>0</v>
      </c>
      <c r="L119" s="274">
        <f>SUMIFS('Peoplesoft-FY13'!$K:$K,'Peoplesoft-FY13'!$S:$S,$B119,'Peoplesoft-FY13'!$Q:$Q,L$3)</f>
        <v>0</v>
      </c>
      <c r="M119" s="274">
        <f>SUMIFS('Peoplesoft-FY13'!$K:$K,'Peoplesoft-FY13'!$S:$S,$B119,'Peoplesoft-FY13'!$Q:$Q,M$3)</f>
        <v>0</v>
      </c>
      <c r="N119" s="274">
        <f>SUMIFS('Peoplesoft-FY13'!$K:$K,'Peoplesoft-FY13'!$S:$S,$B119,'Peoplesoft-FY13'!$Q:$Q,N$3)</f>
        <v>0</v>
      </c>
      <c r="O119" s="138">
        <f t="shared" si="16"/>
        <v>0</v>
      </c>
      <c r="P119" s="119">
        <f t="shared" si="17"/>
        <v>31.260000000000005</v>
      </c>
      <c r="Q119" s="120">
        <f t="shared" si="18"/>
        <v>0</v>
      </c>
      <c r="R119" s="121">
        <f t="shared" si="19"/>
        <v>1</v>
      </c>
      <c r="S119" s="99">
        <f t="shared" si="20"/>
        <v>1</v>
      </c>
    </row>
    <row r="120" spans="1:19" ht="13.2" x14ac:dyDescent="0.25">
      <c r="A120" s="283">
        <f>+'COMPARABILITY FY13 '!B121</f>
        <v>12</v>
      </c>
      <c r="B120" s="284">
        <f>+'COMPARABILITY FY13 '!C121</f>
        <v>5810</v>
      </c>
      <c r="C120" s="285" t="str">
        <f>+'COMPARABILITY FY13 '!D121</f>
        <v>Reggio Emilia</v>
      </c>
      <c r="D120" s="274">
        <f>SUMIFS('Peoplesoft-FY13'!$K:$K,'Peoplesoft-FY13'!$S:$S,$B120,'Peoplesoft-FY13'!$Q:$Q,D$3)</f>
        <v>19.71</v>
      </c>
      <c r="E120" s="274">
        <f>SUMIFS('Peoplesoft-FY13'!$K:$K,'Peoplesoft-FY13'!$S:$S,$B120,'Peoplesoft-FY13'!$Q:$Q,E$3)</f>
        <v>0</v>
      </c>
      <c r="F120" s="274">
        <f>SUMIFS('Peoplesoft-FY13'!$K:$K,'Peoplesoft-FY13'!$S:$S,$B120,'Peoplesoft-FY13'!$Q:$Q,F$3)</f>
        <v>0</v>
      </c>
      <c r="G120" s="274">
        <f>SUMIFS('Peoplesoft-FY13'!$K:$K,'Peoplesoft-FY13'!$S:$S,$B120,'Peoplesoft-FY13'!$Q:$Q,G$3)</f>
        <v>0</v>
      </c>
      <c r="H120" s="274">
        <f>SUMIFS('Peoplesoft-FY13'!$K:$K,'Peoplesoft-FY13'!$S:$S,$B120,'Peoplesoft-FY13'!$Q:$Q,H$3)</f>
        <v>0</v>
      </c>
      <c r="I120" s="274">
        <f>SUMIFS('Peoplesoft-FY13'!$K:$K,'Peoplesoft-FY13'!$S:$S,$B120,'Peoplesoft-FY13'!$Q:$Q,I$3)</f>
        <v>0</v>
      </c>
      <c r="J120" s="274">
        <f>SUMIFS('Peoplesoft-FY13'!$K:$K,'Peoplesoft-FY13'!$S:$S,$B120,'Peoplesoft-FY13'!$Q:$Q,J$3)</f>
        <v>0</v>
      </c>
      <c r="K120" s="274">
        <f>SUMIFS('Peoplesoft-FY13'!$K:$K,'Peoplesoft-FY13'!$S:$S,$B120,'Peoplesoft-FY13'!$Q:$Q,K$3)</f>
        <v>0</v>
      </c>
      <c r="L120" s="274">
        <f>SUMIFS('Peoplesoft-FY13'!$K:$K,'Peoplesoft-FY13'!$S:$S,$B120,'Peoplesoft-FY13'!$Q:$Q,L$3)</f>
        <v>0</v>
      </c>
      <c r="M120" s="274">
        <f>SUMIFS('Peoplesoft-FY13'!$K:$K,'Peoplesoft-FY13'!$S:$S,$B120,'Peoplesoft-FY13'!$Q:$Q,M$3)</f>
        <v>0</v>
      </c>
      <c r="N120" s="274">
        <f>SUMIFS('Peoplesoft-FY13'!$K:$K,'Peoplesoft-FY13'!$S:$S,$B120,'Peoplesoft-FY13'!$Q:$Q,N$3)</f>
        <v>0</v>
      </c>
      <c r="O120" s="138">
        <f t="shared" si="16"/>
        <v>0</v>
      </c>
      <c r="P120" s="119">
        <f t="shared" si="17"/>
        <v>19.71</v>
      </c>
      <c r="Q120" s="120">
        <f t="shared" si="18"/>
        <v>0</v>
      </c>
      <c r="R120" s="121">
        <f t="shared" si="19"/>
        <v>1</v>
      </c>
      <c r="S120" s="99">
        <f t="shared" si="20"/>
        <v>1</v>
      </c>
    </row>
    <row r="121" spans="1:19" ht="13.2" x14ac:dyDescent="0.25">
      <c r="A121" s="283">
        <f>+'COMPARABILITY FY13 '!B122</f>
        <v>13</v>
      </c>
      <c r="B121" s="284">
        <f>+'COMPARABILITY FY13 '!C122</f>
        <v>5940</v>
      </c>
      <c r="C121" s="285" t="str">
        <f>+'COMPARABILITY FY13 '!D122</f>
        <v>Shepherd ES</v>
      </c>
      <c r="D121" s="274">
        <f>SUMIFS('Peoplesoft-FY13'!$K:$K,'Peoplesoft-FY13'!$S:$S,$B121,'Peoplesoft-FY13'!$Q:$Q,D$3)</f>
        <v>35</v>
      </c>
      <c r="E121" s="274">
        <f>SUMIFS('Peoplesoft-FY13'!$K:$K,'Peoplesoft-FY13'!$S:$S,$B121,'Peoplesoft-FY13'!$Q:$Q,E$3)</f>
        <v>0</v>
      </c>
      <c r="F121" s="274">
        <f>SUMIFS('Peoplesoft-FY13'!$K:$K,'Peoplesoft-FY13'!$S:$S,$B121,'Peoplesoft-FY13'!$Q:$Q,F$3)</f>
        <v>0</v>
      </c>
      <c r="G121" s="274">
        <f>SUMIFS('Peoplesoft-FY13'!$K:$K,'Peoplesoft-FY13'!$S:$S,$B121,'Peoplesoft-FY13'!$Q:$Q,G$3)</f>
        <v>0</v>
      </c>
      <c r="H121" s="274">
        <f>SUMIFS('Peoplesoft-FY13'!$K:$K,'Peoplesoft-FY13'!$S:$S,$B121,'Peoplesoft-FY13'!$Q:$Q,H$3)</f>
        <v>0</v>
      </c>
      <c r="I121" s="274">
        <f>SUMIFS('Peoplesoft-FY13'!$K:$K,'Peoplesoft-FY13'!$S:$S,$B121,'Peoplesoft-FY13'!$Q:$Q,I$3)</f>
        <v>0</v>
      </c>
      <c r="J121" s="274">
        <f>SUMIFS('Peoplesoft-FY13'!$K:$K,'Peoplesoft-FY13'!$S:$S,$B121,'Peoplesoft-FY13'!$Q:$Q,J$3)</f>
        <v>0</v>
      </c>
      <c r="K121" s="274">
        <f>SUMIFS('Peoplesoft-FY13'!$K:$K,'Peoplesoft-FY13'!$S:$S,$B121,'Peoplesoft-FY13'!$Q:$Q,K$3)</f>
        <v>0</v>
      </c>
      <c r="L121" s="274">
        <f>SUMIFS('Peoplesoft-FY13'!$K:$K,'Peoplesoft-FY13'!$S:$S,$B121,'Peoplesoft-FY13'!$Q:$Q,L$3)</f>
        <v>0</v>
      </c>
      <c r="M121" s="274">
        <f>SUMIFS('Peoplesoft-FY13'!$K:$K,'Peoplesoft-FY13'!$S:$S,$B121,'Peoplesoft-FY13'!$Q:$Q,M$3)</f>
        <v>0</v>
      </c>
      <c r="N121" s="274">
        <f>SUMIFS('Peoplesoft-FY13'!$K:$K,'Peoplesoft-FY13'!$S:$S,$B121,'Peoplesoft-FY13'!$Q:$Q,N$3)</f>
        <v>0</v>
      </c>
      <c r="O121" s="138">
        <f t="shared" si="16"/>
        <v>0</v>
      </c>
      <c r="P121" s="119">
        <f t="shared" si="17"/>
        <v>35</v>
      </c>
      <c r="Q121" s="120">
        <f t="shared" si="18"/>
        <v>0</v>
      </c>
      <c r="R121" s="121">
        <f t="shared" si="19"/>
        <v>1</v>
      </c>
      <c r="S121" s="99">
        <f t="shared" si="20"/>
        <v>1</v>
      </c>
    </row>
    <row r="122" spans="1:19" ht="13.2" x14ac:dyDescent="0.25">
      <c r="A122" s="283">
        <f>+'COMPARABILITY FY13 '!B123</f>
        <v>14</v>
      </c>
      <c r="B122" s="284">
        <f>+'COMPARABILITY FY13 '!C123</f>
        <v>6000</v>
      </c>
      <c r="C122" s="285" t="str">
        <f>+'COMPARABILITY FY13 '!D123</f>
        <v>Stoddert ES</v>
      </c>
      <c r="D122" s="274">
        <f>SUMIFS('Peoplesoft-FY13'!$K:$K,'Peoplesoft-FY13'!$S:$S,$B122,'Peoplesoft-FY13'!$Q:$Q,D$3)</f>
        <v>35.625</v>
      </c>
      <c r="E122" s="274">
        <f>SUMIFS('Peoplesoft-FY13'!$K:$K,'Peoplesoft-FY13'!$S:$S,$B122,'Peoplesoft-FY13'!$Q:$Q,E$3)</f>
        <v>0</v>
      </c>
      <c r="F122" s="274">
        <f>SUMIFS('Peoplesoft-FY13'!$K:$K,'Peoplesoft-FY13'!$S:$S,$B122,'Peoplesoft-FY13'!$Q:$Q,F$3)</f>
        <v>0</v>
      </c>
      <c r="G122" s="274">
        <f>SUMIFS('Peoplesoft-FY13'!$K:$K,'Peoplesoft-FY13'!$S:$S,$B122,'Peoplesoft-FY13'!$Q:$Q,G$3)</f>
        <v>0</v>
      </c>
      <c r="H122" s="274">
        <f>SUMIFS('Peoplesoft-FY13'!$K:$K,'Peoplesoft-FY13'!$S:$S,$B122,'Peoplesoft-FY13'!$Q:$Q,H$3)</f>
        <v>0</v>
      </c>
      <c r="I122" s="274">
        <f>SUMIFS('Peoplesoft-FY13'!$K:$K,'Peoplesoft-FY13'!$S:$S,$B122,'Peoplesoft-FY13'!$Q:$Q,I$3)</f>
        <v>0</v>
      </c>
      <c r="J122" s="274">
        <f>SUMIFS('Peoplesoft-FY13'!$K:$K,'Peoplesoft-FY13'!$S:$S,$B122,'Peoplesoft-FY13'!$Q:$Q,J$3)</f>
        <v>0</v>
      </c>
      <c r="K122" s="274">
        <f>SUMIFS('Peoplesoft-FY13'!$K:$K,'Peoplesoft-FY13'!$S:$S,$B122,'Peoplesoft-FY13'!$Q:$Q,K$3)</f>
        <v>0</v>
      </c>
      <c r="L122" s="274">
        <f>SUMIFS('Peoplesoft-FY13'!$K:$K,'Peoplesoft-FY13'!$S:$S,$B122,'Peoplesoft-FY13'!$Q:$Q,L$3)</f>
        <v>0</v>
      </c>
      <c r="M122" s="274">
        <f>SUMIFS('Peoplesoft-FY13'!$K:$K,'Peoplesoft-FY13'!$S:$S,$B122,'Peoplesoft-FY13'!$Q:$Q,M$3)</f>
        <v>0</v>
      </c>
      <c r="N122" s="274">
        <f>SUMIFS('Peoplesoft-FY13'!$K:$K,'Peoplesoft-FY13'!$S:$S,$B122,'Peoplesoft-FY13'!$Q:$Q,N$3)</f>
        <v>0</v>
      </c>
      <c r="O122" s="138">
        <f t="shared" si="16"/>
        <v>0</v>
      </c>
      <c r="P122" s="119">
        <f t="shared" si="17"/>
        <v>35.625</v>
      </c>
      <c r="Q122" s="120">
        <f t="shared" si="18"/>
        <v>0</v>
      </c>
      <c r="R122" s="121">
        <f t="shared" si="19"/>
        <v>1</v>
      </c>
      <c r="S122" s="99">
        <f t="shared" si="20"/>
        <v>1</v>
      </c>
    </row>
    <row r="123" spans="1:19" ht="13.2" x14ac:dyDescent="0.25">
      <c r="A123" s="283">
        <f>+'COMPARABILITY FY13 '!B124</f>
        <v>15</v>
      </c>
      <c r="B123" s="284">
        <f>+'COMPARABILITY FY13 '!C124</f>
        <v>6120</v>
      </c>
      <c r="C123" s="285" t="str">
        <f>+'COMPARABILITY FY13 '!D124</f>
        <v>Watkins ES</v>
      </c>
      <c r="D123" s="274">
        <f>SUMIFS('Peoplesoft-FY13'!$K:$K,'Peoplesoft-FY13'!$S:$S,$B123,'Peoplesoft-FY13'!$Q:$Q,D$3)</f>
        <v>49.375</v>
      </c>
      <c r="E123" s="274">
        <f>SUMIFS('Peoplesoft-FY13'!$K:$K,'Peoplesoft-FY13'!$S:$S,$B123,'Peoplesoft-FY13'!$Q:$Q,E$3)</f>
        <v>0</v>
      </c>
      <c r="F123" s="274">
        <f>SUMIFS('Peoplesoft-FY13'!$K:$K,'Peoplesoft-FY13'!$S:$S,$B123,'Peoplesoft-FY13'!$Q:$Q,F$3)</f>
        <v>0</v>
      </c>
      <c r="G123" s="274">
        <f>SUMIFS('Peoplesoft-FY13'!$K:$K,'Peoplesoft-FY13'!$S:$S,$B123,'Peoplesoft-FY13'!$Q:$Q,G$3)</f>
        <v>0</v>
      </c>
      <c r="H123" s="274">
        <f>SUMIFS('Peoplesoft-FY13'!$K:$K,'Peoplesoft-FY13'!$S:$S,$B123,'Peoplesoft-FY13'!$Q:$Q,H$3)</f>
        <v>0</v>
      </c>
      <c r="I123" s="274">
        <f>SUMIFS('Peoplesoft-FY13'!$K:$K,'Peoplesoft-FY13'!$S:$S,$B123,'Peoplesoft-FY13'!$Q:$Q,I$3)</f>
        <v>0</v>
      </c>
      <c r="J123" s="274">
        <f>SUMIFS('Peoplesoft-FY13'!$K:$K,'Peoplesoft-FY13'!$S:$S,$B123,'Peoplesoft-FY13'!$Q:$Q,J$3)</f>
        <v>0</v>
      </c>
      <c r="K123" s="274">
        <f>SUMIFS('Peoplesoft-FY13'!$K:$K,'Peoplesoft-FY13'!$S:$S,$B123,'Peoplesoft-FY13'!$Q:$Q,K$3)</f>
        <v>0</v>
      </c>
      <c r="L123" s="274">
        <f>SUMIFS('Peoplesoft-FY13'!$K:$K,'Peoplesoft-FY13'!$S:$S,$B123,'Peoplesoft-FY13'!$Q:$Q,L$3)</f>
        <v>0</v>
      </c>
      <c r="M123" s="274">
        <f>SUMIFS('Peoplesoft-FY13'!$K:$K,'Peoplesoft-FY13'!$S:$S,$B123,'Peoplesoft-FY13'!$Q:$Q,M$3)</f>
        <v>0</v>
      </c>
      <c r="N123" s="274">
        <f>SUMIFS('Peoplesoft-FY13'!$K:$K,'Peoplesoft-FY13'!$S:$S,$B123,'Peoplesoft-FY13'!$Q:$Q,N$3)</f>
        <v>0</v>
      </c>
      <c r="O123" s="138">
        <f t="shared" si="16"/>
        <v>0</v>
      </c>
      <c r="P123" s="119">
        <f t="shared" si="17"/>
        <v>49.375</v>
      </c>
      <c r="Q123" s="120">
        <f t="shared" si="18"/>
        <v>0</v>
      </c>
      <c r="R123" s="121">
        <f t="shared" si="19"/>
        <v>1</v>
      </c>
      <c r="S123" s="99">
        <f>Q123+R123</f>
        <v>1</v>
      </c>
    </row>
    <row r="124" spans="1:19" ht="13.2" x14ac:dyDescent="0.25">
      <c r="A124" s="283">
        <f>+'COMPARABILITY FY13 '!B125</f>
        <v>16</v>
      </c>
      <c r="B124" s="284">
        <v>6290</v>
      </c>
      <c r="C124" s="286" t="s">
        <v>4250</v>
      </c>
      <c r="D124" s="274">
        <f>SUMIFS('Peoplesoft-FY13'!$K:$K,'Peoplesoft-FY13'!$S:$S,$B124,'Peoplesoft-FY13'!$Q:$Q,D$3)</f>
        <v>24.890000000000004</v>
      </c>
      <c r="E124" s="274">
        <f>SUMIFS('Peoplesoft-FY13'!$K:$K,'Peoplesoft-FY13'!$S:$S,$B124,'Peoplesoft-FY13'!$Q:$Q,E$3)</f>
        <v>0</v>
      </c>
      <c r="F124" s="274">
        <f>SUMIFS('Peoplesoft-FY13'!$K:$K,'Peoplesoft-FY13'!$S:$S,$B124,'Peoplesoft-FY13'!$Q:$Q,F$3)</f>
        <v>0</v>
      </c>
      <c r="G124" s="274">
        <f>SUMIFS('Peoplesoft-FY13'!$K:$K,'Peoplesoft-FY13'!$S:$S,$B124,'Peoplesoft-FY13'!$Q:$Q,G$3)</f>
        <v>0</v>
      </c>
      <c r="H124" s="274">
        <f>SUMIFS('Peoplesoft-FY13'!$K:$K,'Peoplesoft-FY13'!$S:$S,$B124,'Peoplesoft-FY13'!$Q:$Q,H$3)</f>
        <v>0</v>
      </c>
      <c r="I124" s="274">
        <f>SUMIFS('Peoplesoft-FY13'!$K:$K,'Peoplesoft-FY13'!$S:$S,$B124,'Peoplesoft-FY13'!$Q:$Q,I$3)</f>
        <v>0</v>
      </c>
      <c r="J124" s="274">
        <f>SUMIFS('Peoplesoft-FY13'!$K:$K,'Peoplesoft-FY13'!$S:$S,$B124,'Peoplesoft-FY13'!$Q:$Q,J$3)</f>
        <v>0</v>
      </c>
      <c r="K124" s="274">
        <f>SUMIFS('Peoplesoft-FY13'!$K:$K,'Peoplesoft-FY13'!$S:$S,$B124,'Peoplesoft-FY13'!$Q:$Q,K$3)</f>
        <v>0</v>
      </c>
      <c r="L124" s="274">
        <f>SUMIFS('Peoplesoft-FY13'!$K:$K,'Peoplesoft-FY13'!$S:$S,$B124,'Peoplesoft-FY13'!$Q:$Q,L$3)</f>
        <v>0</v>
      </c>
      <c r="M124" s="274">
        <f>SUMIFS('Peoplesoft-FY13'!$K:$K,'Peoplesoft-FY13'!$S:$S,$B124,'Peoplesoft-FY13'!$Q:$Q,M$3)</f>
        <v>0</v>
      </c>
      <c r="N124" s="274">
        <f>SUMIFS('Peoplesoft-FY13'!$K:$K,'Peoplesoft-FY13'!$S:$S,$B124,'Peoplesoft-FY13'!$Q:$Q,N$3)</f>
        <v>0</v>
      </c>
      <c r="O124" s="138">
        <f>SUM(E124:N124)</f>
        <v>0</v>
      </c>
      <c r="P124" s="119">
        <f>SUM(D124:N124)</f>
        <v>24.890000000000004</v>
      </c>
      <c r="Q124" s="120">
        <f>+O124/P124</f>
        <v>0</v>
      </c>
      <c r="R124" s="121">
        <f>D124/P124</f>
        <v>1</v>
      </c>
      <c r="S124" s="99">
        <f>Q124+R124</f>
        <v>1</v>
      </c>
    </row>
    <row r="125" spans="1:19" ht="13.2" x14ac:dyDescent="0.25">
      <c r="A125" s="283">
        <f>+'COMPARABILITY FY13 '!B126</f>
        <v>17</v>
      </c>
      <c r="B125" s="284">
        <f>+'COMPARABILITY FY13 '!C126</f>
        <v>6330</v>
      </c>
      <c r="C125" s="285" t="str">
        <f>+'COMPARABILITY FY13 '!D126</f>
        <v>Deal MS</v>
      </c>
      <c r="D125" s="274">
        <f>SUMIFS('Peoplesoft-FY13'!$K:$K,'Peoplesoft-FY13'!$S:$S,$B125,'Peoplesoft-FY13'!$Q:$Q,D$3)</f>
        <v>101.16999999999999</v>
      </c>
      <c r="E125" s="274">
        <f>SUMIFS('Peoplesoft-FY13'!$K:$K,'Peoplesoft-FY13'!$S:$S,$B125,'Peoplesoft-FY13'!$Q:$Q,E$3)</f>
        <v>0</v>
      </c>
      <c r="F125" s="274">
        <f>SUMIFS('Peoplesoft-FY13'!$K:$K,'Peoplesoft-FY13'!$S:$S,$B125,'Peoplesoft-FY13'!$Q:$Q,F$3)</f>
        <v>0</v>
      </c>
      <c r="G125" s="274">
        <f>SUMIFS('Peoplesoft-FY13'!$K:$K,'Peoplesoft-FY13'!$S:$S,$B125,'Peoplesoft-FY13'!$Q:$Q,G$3)</f>
        <v>0</v>
      </c>
      <c r="H125" s="274">
        <f>SUMIFS('Peoplesoft-FY13'!$K:$K,'Peoplesoft-FY13'!$S:$S,$B125,'Peoplesoft-FY13'!$Q:$Q,H$3)</f>
        <v>0</v>
      </c>
      <c r="I125" s="274">
        <f>SUMIFS('Peoplesoft-FY13'!$K:$K,'Peoplesoft-FY13'!$S:$S,$B125,'Peoplesoft-FY13'!$Q:$Q,I$3)</f>
        <v>0</v>
      </c>
      <c r="J125" s="274">
        <f>SUMIFS('Peoplesoft-FY13'!$K:$K,'Peoplesoft-FY13'!$S:$S,$B125,'Peoplesoft-FY13'!$Q:$Q,J$3)</f>
        <v>0</v>
      </c>
      <c r="K125" s="274">
        <f>SUMIFS('Peoplesoft-FY13'!$K:$K,'Peoplesoft-FY13'!$S:$S,$B125,'Peoplesoft-FY13'!$Q:$Q,K$3)</f>
        <v>0</v>
      </c>
      <c r="L125" s="274">
        <f>SUMIFS('Peoplesoft-FY13'!$K:$K,'Peoplesoft-FY13'!$S:$S,$B125,'Peoplesoft-FY13'!$Q:$Q,L$3)</f>
        <v>0</v>
      </c>
      <c r="M125" s="274">
        <f>SUMIFS('Peoplesoft-FY13'!$K:$K,'Peoplesoft-FY13'!$S:$S,$B125,'Peoplesoft-FY13'!$Q:$Q,M$3)</f>
        <v>0</v>
      </c>
      <c r="N125" s="274">
        <f>SUMIFS('Peoplesoft-FY13'!$K:$K,'Peoplesoft-FY13'!$S:$S,$B125,'Peoplesoft-FY13'!$Q:$Q,N$3)</f>
        <v>0</v>
      </c>
      <c r="O125" s="138">
        <f t="shared" si="16"/>
        <v>0</v>
      </c>
      <c r="P125" s="119">
        <f t="shared" si="17"/>
        <v>101.16999999999999</v>
      </c>
      <c r="Q125" s="120">
        <f t="shared" si="18"/>
        <v>0</v>
      </c>
      <c r="R125" s="121">
        <f t="shared" si="19"/>
        <v>1</v>
      </c>
      <c r="S125" s="99">
        <f>Q125+R125</f>
        <v>1</v>
      </c>
    </row>
    <row r="126" spans="1:19" ht="13.2" x14ac:dyDescent="0.25">
      <c r="A126" s="283">
        <f>+'COMPARABILITY FY13 '!B127</f>
        <v>18</v>
      </c>
      <c r="B126" s="272">
        <f>+'COMPARABILITY FY13 '!C127</f>
        <v>7210</v>
      </c>
      <c r="C126" s="273" t="str">
        <f>+'COMPARABILITY FY13 '!D127</f>
        <v>Ellington SHS (Targeted Assistance)</v>
      </c>
      <c r="D126" s="274">
        <f>SUMIFS('Peoplesoft-FY13'!$K:$K,'Peoplesoft-FY13'!$S:$S,$B126,'Peoplesoft-FY13'!$Q:$Q,D$3)</f>
        <v>7.2</v>
      </c>
      <c r="E126" s="274">
        <f>SUMIFS('Peoplesoft-FY13'!$K:$K,'Peoplesoft-FY13'!$S:$S,$B126,'Peoplesoft-FY13'!$Q:$Q,E$3)</f>
        <v>0</v>
      </c>
      <c r="F126" s="274">
        <f>SUMIFS('Peoplesoft-FY13'!$K:$K,'Peoplesoft-FY13'!$S:$S,$B126,'Peoplesoft-FY13'!$Q:$Q,F$3)</f>
        <v>0</v>
      </c>
      <c r="G126" s="274">
        <f>SUMIFS('Peoplesoft-FY13'!$K:$K,'Peoplesoft-FY13'!$S:$S,$B126,'Peoplesoft-FY13'!$Q:$Q,G$3)</f>
        <v>0</v>
      </c>
      <c r="H126" s="274">
        <f>SUMIFS('Peoplesoft-FY13'!$K:$K,'Peoplesoft-FY13'!$S:$S,$B126,'Peoplesoft-FY13'!$Q:$Q,H$3)</f>
        <v>0</v>
      </c>
      <c r="I126" s="274">
        <f>SUMIFS('Peoplesoft-FY13'!$K:$K,'Peoplesoft-FY13'!$S:$S,$B126,'Peoplesoft-FY13'!$Q:$Q,I$3)</f>
        <v>0</v>
      </c>
      <c r="J126" s="274">
        <f>SUMIFS('Peoplesoft-FY13'!$K:$K,'Peoplesoft-FY13'!$S:$S,$B126,'Peoplesoft-FY13'!$Q:$Q,J$3)</f>
        <v>0</v>
      </c>
      <c r="K126" s="274">
        <f>SUMIFS('Peoplesoft-FY13'!$K:$K,'Peoplesoft-FY13'!$S:$S,$B126,'Peoplesoft-FY13'!$Q:$Q,K$3)</f>
        <v>0</v>
      </c>
      <c r="L126" s="274">
        <f>SUMIFS('Peoplesoft-FY13'!$K:$K,'Peoplesoft-FY13'!$S:$S,$B126,'Peoplesoft-FY13'!$Q:$Q,L$3)</f>
        <v>0</v>
      </c>
      <c r="M126" s="274">
        <f>SUMIFS('Peoplesoft-FY13'!$K:$K,'Peoplesoft-FY13'!$S:$S,$B126,'Peoplesoft-FY13'!$Q:$Q,M$3)</f>
        <v>0</v>
      </c>
      <c r="N126" s="274">
        <f>SUMIFS('Peoplesoft-FY13'!$K:$K,'Peoplesoft-FY13'!$S:$S,$B126,'Peoplesoft-FY13'!$Q:$Q,N$3)</f>
        <v>0</v>
      </c>
      <c r="O126" s="138">
        <f>SUM(E126:N126)</f>
        <v>0</v>
      </c>
      <c r="P126" s="119">
        <f>SUM(D126:N126)</f>
        <v>7.2</v>
      </c>
      <c r="Q126" s="120">
        <f>+O126/P126</f>
        <v>0</v>
      </c>
      <c r="R126" s="121">
        <f>D126/P126</f>
        <v>1</v>
      </c>
      <c r="S126" s="99">
        <f>Q126+R126</f>
        <v>1</v>
      </c>
    </row>
    <row r="127" spans="1:19" ht="13.2" x14ac:dyDescent="0.25">
      <c r="A127" s="275">
        <f>+'COMPARABILITY FY13 '!B128</f>
        <v>19</v>
      </c>
      <c r="B127" s="287">
        <f>+'COMPARABILITY FY13 '!C128</f>
        <v>7250</v>
      </c>
      <c r="C127" s="288" t="str">
        <f>+'COMPARABILITY FY13 '!D128</f>
        <v>School W/O Walls SHS</v>
      </c>
      <c r="D127" s="278">
        <f>SUMIFS('Peoplesoft-FY13'!$K:$K,'Peoplesoft-FY13'!$S:$S,$B127,'Peoplesoft-FY13'!$Q:$Q,D$3)</f>
        <v>49</v>
      </c>
      <c r="E127" s="278">
        <f>SUMIFS('Peoplesoft-FY13'!$K:$K,'Peoplesoft-FY13'!$S:$S,$B127,'Peoplesoft-FY13'!$Q:$Q,E$3)</f>
        <v>0</v>
      </c>
      <c r="F127" s="278">
        <f>SUMIFS('Peoplesoft-FY13'!$K:$K,'Peoplesoft-FY13'!$S:$S,$B127,'Peoplesoft-FY13'!$Q:$Q,F$3)</f>
        <v>0</v>
      </c>
      <c r="G127" s="278">
        <f>SUMIFS('Peoplesoft-FY13'!$K:$K,'Peoplesoft-FY13'!$S:$S,$B127,'Peoplesoft-FY13'!$Q:$Q,G$3)</f>
        <v>0</v>
      </c>
      <c r="H127" s="278">
        <f>SUMIFS('Peoplesoft-FY13'!$K:$K,'Peoplesoft-FY13'!$S:$S,$B127,'Peoplesoft-FY13'!$Q:$Q,H$3)</f>
        <v>0</v>
      </c>
      <c r="I127" s="278">
        <f>SUMIFS('Peoplesoft-FY13'!$K:$K,'Peoplesoft-FY13'!$S:$S,$B127,'Peoplesoft-FY13'!$Q:$Q,I$3)</f>
        <v>0</v>
      </c>
      <c r="J127" s="278">
        <f>SUMIFS('Peoplesoft-FY13'!$K:$K,'Peoplesoft-FY13'!$S:$S,$B127,'Peoplesoft-FY13'!$Q:$Q,J$3)</f>
        <v>0</v>
      </c>
      <c r="K127" s="278">
        <f>SUMIFS('Peoplesoft-FY13'!$K:$K,'Peoplesoft-FY13'!$S:$S,$B127,'Peoplesoft-FY13'!$Q:$Q,K$3)</f>
        <v>0</v>
      </c>
      <c r="L127" s="278">
        <f>SUMIFS('Peoplesoft-FY13'!$K:$K,'Peoplesoft-FY13'!$S:$S,$B127,'Peoplesoft-FY13'!$Q:$Q,L$3)</f>
        <v>0</v>
      </c>
      <c r="M127" s="278">
        <f>SUMIFS('Peoplesoft-FY13'!$K:$K,'Peoplesoft-FY13'!$S:$S,$B127,'Peoplesoft-FY13'!$Q:$Q,M$3)</f>
        <v>0</v>
      </c>
      <c r="N127" s="278">
        <f>SUMIFS('Peoplesoft-FY13'!$K:$K,'Peoplesoft-FY13'!$S:$S,$B127,'Peoplesoft-FY13'!$Q:$Q,N$3)</f>
        <v>0</v>
      </c>
      <c r="O127" s="139">
        <f t="shared" si="16"/>
        <v>0</v>
      </c>
      <c r="P127" s="124">
        <f t="shared" si="17"/>
        <v>49</v>
      </c>
      <c r="Q127" s="125">
        <f t="shared" si="18"/>
        <v>0</v>
      </c>
      <c r="R127" s="126">
        <f t="shared" si="19"/>
        <v>1</v>
      </c>
      <c r="S127" s="99">
        <f>Q127+R127</f>
        <v>1</v>
      </c>
    </row>
    <row r="128" spans="1:19" ht="13.2" x14ac:dyDescent="0.3">
      <c r="B128" s="90"/>
      <c r="C128" s="136"/>
      <c r="O128" s="127"/>
      <c r="P128" s="128"/>
      <c r="Q128" s="129"/>
      <c r="R128" s="99"/>
    </row>
    <row r="129" spans="2:18" ht="13.2" x14ac:dyDescent="0.3">
      <c r="B129" s="90"/>
      <c r="C129" s="91" t="s">
        <v>158</v>
      </c>
      <c r="D129" s="92">
        <f>SUM(D4:D127)</f>
        <v>5589.5750000000044</v>
      </c>
      <c r="E129" s="92">
        <f t="shared" ref="E129:O129" si="21">SUM(E4:E127)</f>
        <v>10.5</v>
      </c>
      <c r="F129" s="92">
        <f t="shared" si="21"/>
        <v>0</v>
      </c>
      <c r="G129" s="92">
        <f>SUM(G4:G127)</f>
        <v>0</v>
      </c>
      <c r="H129" s="92">
        <f t="shared" si="21"/>
        <v>0</v>
      </c>
      <c r="I129" s="92">
        <f t="shared" si="21"/>
        <v>0</v>
      </c>
      <c r="J129" s="92">
        <f t="shared" si="21"/>
        <v>0</v>
      </c>
      <c r="K129" s="92">
        <f t="shared" si="21"/>
        <v>0</v>
      </c>
      <c r="L129" s="92">
        <f t="shared" si="21"/>
        <v>1</v>
      </c>
      <c r="M129" s="92">
        <f t="shared" si="21"/>
        <v>0.5</v>
      </c>
      <c r="N129" s="92">
        <f t="shared" si="21"/>
        <v>0</v>
      </c>
      <c r="O129" s="92">
        <f t="shared" si="21"/>
        <v>12</v>
      </c>
      <c r="P129" s="128">
        <f>SUM(D129:N129)</f>
        <v>5601.5750000000044</v>
      </c>
      <c r="Q129" s="129">
        <f t="shared" si="7"/>
        <v>2.1422546337414015E-3</v>
      </c>
      <c r="R129" s="99">
        <f>D129/P129</f>
        <v>0.9978577453662586</v>
      </c>
    </row>
    <row r="131" spans="2:18" ht="12.75" customHeight="1" x14ac:dyDescent="0.3">
      <c r="N131" s="98"/>
      <c r="O131" s="98"/>
    </row>
  </sheetData>
  <autoFilter ref="A2:GR2"/>
  <sortState ref="A88:GL107">
    <sortCondition ref="B88:B107"/>
  </sortState>
  <printOptions horizontalCentered="1" gridLines="1"/>
  <pageMargins left="0" right="0" top="1.17" bottom="0.75" header="0" footer="0"/>
  <pageSetup scale="65" fitToWidth="0" fitToHeight="0" orientation="landscape" r:id="rId1"/>
  <headerFooter alignWithMargins="0">
    <oddHeader>&amp;C&amp;"Arial,Bold"&amp;14DC Public Schools
Schoolwide Model
Proportionality
Local Vs. Federal
FY 2011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S129"/>
  <sheetViews>
    <sheetView showOutlineSymbols="0" zoomScaleNormal="100" workbookViewId="0">
      <pane ySplit="3" topLeftCell="A7" activePane="bottomLeft" state="frozen"/>
      <selection pane="bottomLeft" activeCell="E9" sqref="E9"/>
    </sheetView>
  </sheetViews>
  <sheetFormatPr defaultColWidth="9.109375" defaultRowHeight="12.75" customHeight="1" x14ac:dyDescent="0.3"/>
  <cols>
    <col min="1" max="1" width="8" style="89" customWidth="1"/>
    <col min="2" max="2" width="4.44140625" style="89" customWidth="1"/>
    <col min="3" max="3" width="8" style="89" customWidth="1"/>
    <col min="4" max="4" width="32" style="89" bestFit="1" customWidth="1"/>
    <col min="5" max="5" width="14.6640625" style="88" bestFit="1" customWidth="1"/>
    <col min="6" max="6" width="13.88671875" style="88" customWidth="1"/>
    <col min="7" max="8" width="11.6640625" style="88" customWidth="1"/>
    <col min="9" max="9" width="10.109375" style="94" customWidth="1"/>
    <col min="10" max="14" width="13" style="97" customWidth="1"/>
    <col min="15" max="15" width="13.33203125" style="97" customWidth="1"/>
    <col min="16" max="16" width="13.109375" style="97" bestFit="1" customWidth="1"/>
    <col min="17" max="17" width="18.5546875" style="89" bestFit="1" customWidth="1"/>
    <col min="18" max="18" width="14.109375" style="99" bestFit="1" customWidth="1"/>
    <col min="19" max="19" width="12.109375" style="89" customWidth="1"/>
    <col min="20" max="20" width="10.5546875" style="89" customWidth="1"/>
    <col min="21" max="16384" width="9.109375" style="89"/>
  </cols>
  <sheetData>
    <row r="1" spans="1:20" ht="12.75" customHeight="1" x14ac:dyDescent="0.3">
      <c r="A1" s="89">
        <v>1</v>
      </c>
      <c r="C1" s="89">
        <v>1</v>
      </c>
      <c r="D1" s="89">
        <v>2</v>
      </c>
      <c r="E1" s="89">
        <v>3</v>
      </c>
      <c r="F1" s="89"/>
      <c r="G1" s="89"/>
      <c r="H1" s="89"/>
      <c r="I1" s="89">
        <v>4</v>
      </c>
      <c r="J1" s="89">
        <v>5</v>
      </c>
      <c r="K1" s="89"/>
      <c r="L1" s="89"/>
      <c r="M1" s="89"/>
      <c r="N1" s="89"/>
      <c r="O1" s="89">
        <v>6</v>
      </c>
      <c r="P1" s="89"/>
      <c r="Q1" s="89">
        <v>7</v>
      </c>
      <c r="R1" s="89">
        <v>8</v>
      </c>
      <c r="S1" s="89">
        <v>9</v>
      </c>
      <c r="T1" s="89">
        <v>10</v>
      </c>
    </row>
    <row r="2" spans="1:20" ht="26.4" x14ac:dyDescent="0.3">
      <c r="A2" s="101" t="s">
        <v>0</v>
      </c>
      <c r="B2" s="100"/>
      <c r="C2" s="101" t="s">
        <v>0</v>
      </c>
      <c r="D2" s="102" t="s">
        <v>134</v>
      </c>
      <c r="E2" s="103" t="s">
        <v>160</v>
      </c>
      <c r="F2" s="103" t="s">
        <v>3083</v>
      </c>
      <c r="G2" s="103" t="s">
        <v>3082</v>
      </c>
      <c r="H2" s="104" t="s">
        <v>3079</v>
      </c>
      <c r="I2" s="103" t="s">
        <v>135</v>
      </c>
      <c r="J2" s="104" t="s">
        <v>136</v>
      </c>
      <c r="K2" s="104" t="s">
        <v>3081</v>
      </c>
      <c r="L2" s="104" t="s">
        <v>3080</v>
      </c>
      <c r="M2" s="104" t="s">
        <v>3321</v>
      </c>
      <c r="N2" s="104" t="s">
        <v>3322</v>
      </c>
      <c r="O2" s="104" t="s">
        <v>3023</v>
      </c>
      <c r="P2" s="104" t="s">
        <v>3022</v>
      </c>
      <c r="Q2" s="104" t="s">
        <v>137</v>
      </c>
      <c r="R2" s="105" t="s">
        <v>138</v>
      </c>
      <c r="S2" s="105" t="s">
        <v>139</v>
      </c>
    </row>
    <row r="3" spans="1:20" ht="13.2" x14ac:dyDescent="0.3">
      <c r="A3" s="107"/>
      <c r="B3" s="106"/>
      <c r="C3" s="107"/>
      <c r="D3" s="108"/>
      <c r="E3" s="109" t="s">
        <v>3019</v>
      </c>
      <c r="F3" s="151" t="s">
        <v>3074</v>
      </c>
      <c r="G3" s="151" t="s">
        <v>3075</v>
      </c>
      <c r="H3" s="151" t="s">
        <v>3147</v>
      </c>
      <c r="I3" s="109" t="s">
        <v>3020</v>
      </c>
      <c r="J3" s="110" t="s">
        <v>3021</v>
      </c>
      <c r="K3" s="152" t="s">
        <v>3076</v>
      </c>
      <c r="L3" s="152" t="s">
        <v>3077</v>
      </c>
      <c r="M3" s="152" t="s">
        <v>3078</v>
      </c>
      <c r="N3" s="152" t="s">
        <v>3148</v>
      </c>
      <c r="O3" s="111">
        <v>8110</v>
      </c>
      <c r="P3" s="111" t="s">
        <v>3085</v>
      </c>
      <c r="Q3" s="111" t="s">
        <v>3086</v>
      </c>
      <c r="R3" s="111"/>
      <c r="S3" s="111"/>
    </row>
    <row r="4" spans="1:20" ht="13.2" x14ac:dyDescent="0.25">
      <c r="A4" s="267">
        <v>5120</v>
      </c>
      <c r="B4" s="93">
        <v>1</v>
      </c>
      <c r="C4" s="267">
        <v>5120</v>
      </c>
      <c r="D4" s="289" t="s">
        <v>14</v>
      </c>
      <c r="E4" s="113">
        <f>SUMIFS('Peoplesoft-FY13'!L:L,'Peoplesoft-FY13'!S:S,C4,'Peoplesoft-FY13'!Q:Q,$E$3)-P4</f>
        <v>1333635.54</v>
      </c>
      <c r="F4" s="113"/>
      <c r="G4" s="113">
        <f>SUMIFS('Peoplesoft-FY13'!$L:$L,'Peoplesoft-FY13'!$S:$S,$C4,'Peoplesoft-FY13'!$Q:$Q,G$3)</f>
        <v>0</v>
      </c>
      <c r="H4" s="113">
        <v>0</v>
      </c>
      <c r="I4" s="113">
        <f>VLOOKUP(C4,'733 - Title I'!A2:C99,3,FALSE)</f>
        <v>136008.84</v>
      </c>
      <c r="J4" s="113">
        <f>VLOOKUP(C4,'735 - Title II'!A2:C123,3,FALSE)</f>
        <v>6725</v>
      </c>
      <c r="K4" s="113">
        <f>SUMIFS('Peoplesoft-FY13'!$L:$L,'Peoplesoft-FY13'!$S:$S,$C4,'Peoplesoft-FY13'!$Q:$Q,K$3)</f>
        <v>0</v>
      </c>
      <c r="L4" s="113">
        <f>SUMIFS('Peoplesoft-FY13'!$L:$L,'Peoplesoft-FY13'!$S:$S,$C4,'Peoplesoft-FY13'!$Q:$Q,L$3)</f>
        <v>0</v>
      </c>
      <c r="M4" s="113">
        <v>0</v>
      </c>
      <c r="N4" s="113">
        <v>0</v>
      </c>
      <c r="O4" s="113">
        <f>VLOOKUP(C4,'8110 - Federal Payments'!A:C,3,FALSE)</f>
        <v>355951.62</v>
      </c>
      <c r="P4" s="114">
        <f t="shared" ref="P4:P35" si="0">SUM(F4:O4)</f>
        <v>498685.45999999996</v>
      </c>
      <c r="Q4" s="115">
        <f t="shared" ref="Q4:Q35" si="1">SUM(E4:O4)</f>
        <v>1832321</v>
      </c>
      <c r="R4" s="116">
        <f>+P4/Q4</f>
        <v>0.27216053300704407</v>
      </c>
      <c r="S4" s="259">
        <f>+E4/Q4</f>
        <v>0.72783946699295599</v>
      </c>
      <c r="T4" s="117">
        <f t="shared" ref="T4:T65" si="2">R4+S4</f>
        <v>1</v>
      </c>
    </row>
    <row r="5" spans="1:20" ht="13.2" x14ac:dyDescent="0.25">
      <c r="A5" s="271">
        <v>5130</v>
      </c>
      <c r="B5" s="93">
        <v>2</v>
      </c>
      <c r="C5" s="271">
        <v>5130</v>
      </c>
      <c r="D5" s="290" t="s">
        <v>15</v>
      </c>
      <c r="E5" s="261">
        <f>SUMIFS('Peoplesoft-FY13'!L:L,'Peoplesoft-FY13'!S:S,C5,'Peoplesoft-FY13'!Q:Q,$E$3)-P5</f>
        <v>1583035.8299999998</v>
      </c>
      <c r="F5" s="261">
        <f>SUMIFS('Peoplesoft-FY13'!$L:$L,'Peoplesoft-FY13'!$S:$S,$C5,'Peoplesoft-FY13'!$Q:$Q,F$3)</f>
        <v>0</v>
      </c>
      <c r="G5" s="261">
        <f>SUMIFS('Peoplesoft-FY13'!$L:$L,'Peoplesoft-FY13'!$S:$S,$C5,'Peoplesoft-FY13'!$Q:$Q,G$3)</f>
        <v>0</v>
      </c>
      <c r="H5" s="261">
        <v>0</v>
      </c>
      <c r="I5" s="261">
        <f>VLOOKUP(C5,'733 - Title I'!A2:C105,3,FALSE)</f>
        <v>126471.19</v>
      </c>
      <c r="J5" s="261">
        <f>VLOOKUP(C5,'735 - Title II'!A2:C123,3,FALSE)</f>
        <v>6450</v>
      </c>
      <c r="K5" s="261">
        <f>SUMIFS('Peoplesoft-FY13'!$L:$L,'Peoplesoft-FY13'!$S:$S,$C5,'Peoplesoft-FY13'!$Q:$Q,K$3)</f>
        <v>0</v>
      </c>
      <c r="L5" s="261">
        <f>SUMIFS('Peoplesoft-FY13'!$L:$L,'Peoplesoft-FY13'!$S:$S,$C5,'Peoplesoft-FY13'!$Q:$Q,L$3)</f>
        <v>0</v>
      </c>
      <c r="M5" s="261">
        <v>0</v>
      </c>
      <c r="N5" s="261">
        <v>0</v>
      </c>
      <c r="O5" s="261">
        <f>VLOOKUP(C5,'8110 - Federal Payments'!A:C,3,FALSE)</f>
        <v>172680.36</v>
      </c>
      <c r="P5" s="118">
        <f t="shared" si="0"/>
        <v>305601.55</v>
      </c>
      <c r="Q5" s="119">
        <f t="shared" si="1"/>
        <v>1888637.38</v>
      </c>
      <c r="R5" s="120">
        <f t="shared" ref="R5:R66" si="3">+P5/Q5</f>
        <v>0.16181060124945743</v>
      </c>
      <c r="S5" s="262">
        <f t="shared" ref="S5:S36" si="4">E5/Q5</f>
        <v>0.83818939875054255</v>
      </c>
      <c r="T5" s="121">
        <f t="shared" si="2"/>
        <v>1</v>
      </c>
    </row>
    <row r="6" spans="1:20" ht="13.2" x14ac:dyDescent="0.25">
      <c r="A6" s="271">
        <v>5140</v>
      </c>
      <c r="B6" s="93">
        <v>3</v>
      </c>
      <c r="C6" s="271">
        <v>5140</v>
      </c>
      <c r="D6" s="290" t="s">
        <v>16</v>
      </c>
      <c r="E6" s="261">
        <f>SUMIFS('Peoplesoft-FY13'!L:L,'Peoplesoft-FY13'!S:S,C6,'Peoplesoft-FY13'!Q:Q,$E$3)-P6</f>
        <v>3934928.6100000003</v>
      </c>
      <c r="F6" s="261">
        <f>SUMIFS('Peoplesoft-FY13'!$L:$L,'Peoplesoft-FY13'!$S:$S,$C6,'Peoplesoft-FY13'!$Q:$Q,F$3)</f>
        <v>0</v>
      </c>
      <c r="G6" s="261">
        <f>SUMIFS('Peoplesoft-FY13'!$L:$L,'Peoplesoft-FY13'!$S:$S,$C6,'Peoplesoft-FY13'!$Q:$Q,G$3)</f>
        <v>0</v>
      </c>
      <c r="H6" s="261">
        <v>0</v>
      </c>
      <c r="I6" s="261">
        <f>VLOOKUP(C6,'733 - Title I'!A2:C105,3,FALSE)</f>
        <v>201130</v>
      </c>
      <c r="J6" s="261">
        <f>VLOOKUP(C6,'735 - Title II'!A2:C123,3,FALSE)</f>
        <v>11625</v>
      </c>
      <c r="K6" s="261">
        <f>SUMIFS('Peoplesoft-FY13'!$L:$L,'Peoplesoft-FY13'!$S:$S,$C6,'Peoplesoft-FY13'!$Q:$Q,K$3)</f>
        <v>0</v>
      </c>
      <c r="L6" s="261">
        <f>SUMIFS('Peoplesoft-FY13'!$L:$L,'Peoplesoft-FY13'!$S:$S,$C6,'Peoplesoft-FY13'!$Q:$Q,L$3)</f>
        <v>0</v>
      </c>
      <c r="M6" s="261">
        <v>0</v>
      </c>
      <c r="N6" s="261">
        <v>0</v>
      </c>
      <c r="O6" s="261">
        <f>VLOOKUP(C6,'8110 - Federal Payments'!A:C,3,FALSE)</f>
        <v>187325.63</v>
      </c>
      <c r="P6" s="118">
        <f t="shared" si="0"/>
        <v>400080.63</v>
      </c>
      <c r="Q6" s="119">
        <f t="shared" si="1"/>
        <v>4335009.24</v>
      </c>
      <c r="R6" s="120">
        <f t="shared" si="3"/>
        <v>9.2290606051856988E-2</v>
      </c>
      <c r="S6" s="262">
        <f t="shared" si="4"/>
        <v>0.90770939394814298</v>
      </c>
      <c r="T6" s="121">
        <f t="shared" si="2"/>
        <v>1</v>
      </c>
    </row>
    <row r="7" spans="1:20" ht="13.2" x14ac:dyDescent="0.25">
      <c r="A7" s="271">
        <v>5150</v>
      </c>
      <c r="B7" s="93">
        <v>4</v>
      </c>
      <c r="C7" s="271">
        <v>5150</v>
      </c>
      <c r="D7" s="290" t="s">
        <v>17</v>
      </c>
      <c r="E7" s="261">
        <f>SUMIFS('Peoplesoft-FY13'!L:L,'Peoplesoft-FY13'!S:S,C7,'Peoplesoft-FY13'!Q:Q,$E$3)-P7</f>
        <v>4281979.37</v>
      </c>
      <c r="F7" s="261">
        <f>SUMIFS('Peoplesoft-FY13'!$L:$L,'Peoplesoft-FY13'!$S:$S,$C7,'Peoplesoft-FY13'!$Q:$Q,F$3)</f>
        <v>0</v>
      </c>
      <c r="G7" s="261">
        <f>SUMIFS('Peoplesoft-FY13'!$L:$L,'Peoplesoft-FY13'!$S:$S,$C7,'Peoplesoft-FY13'!$Q:$Q,G$3)</f>
        <v>0</v>
      </c>
      <c r="H7" s="261">
        <v>0</v>
      </c>
      <c r="I7" s="261">
        <f>VLOOKUP(C7,'733 - Title I'!A2:C105,3,FALSE)</f>
        <v>211293.49</v>
      </c>
      <c r="J7" s="261">
        <f>VLOOKUP(C7,'735 - Title II'!A2:C123,3,FALSE)</f>
        <v>12100</v>
      </c>
      <c r="K7" s="261">
        <f>SUMIFS('Peoplesoft-FY13'!$L:$L,'Peoplesoft-FY13'!$S:$S,$C7,'Peoplesoft-FY13'!$Q:$Q,K$3)</f>
        <v>0</v>
      </c>
      <c r="L7" s="261">
        <f>SUMIFS('Peoplesoft-FY13'!$L:$L,'Peoplesoft-FY13'!$S:$S,$C7,'Peoplesoft-FY13'!$Q:$Q,L$3)</f>
        <v>0</v>
      </c>
      <c r="M7" s="261">
        <v>0</v>
      </c>
      <c r="N7" s="261">
        <v>0</v>
      </c>
      <c r="O7" s="261">
        <f>VLOOKUP(C7,'8110 - Federal Payments'!A:C,3,FALSE)</f>
        <v>559194.9</v>
      </c>
      <c r="P7" s="118">
        <f t="shared" si="0"/>
        <v>782588.39</v>
      </c>
      <c r="Q7" s="119">
        <f t="shared" si="1"/>
        <v>5064567.7600000007</v>
      </c>
      <c r="R7" s="120">
        <f t="shared" si="3"/>
        <v>0.15452224692912389</v>
      </c>
      <c r="S7" s="262">
        <f t="shared" si="4"/>
        <v>0.84547775307087603</v>
      </c>
      <c r="T7" s="121">
        <f t="shared" si="2"/>
        <v>0.99999999999999989</v>
      </c>
    </row>
    <row r="8" spans="1:20" ht="13.2" x14ac:dyDescent="0.25">
      <c r="A8" s="271">
        <v>5160</v>
      </c>
      <c r="B8" s="93">
        <v>5</v>
      </c>
      <c r="C8" s="271">
        <v>5160</v>
      </c>
      <c r="D8" s="290" t="s">
        <v>18</v>
      </c>
      <c r="E8" s="261">
        <f>SUMIFS('Peoplesoft-FY13'!L:L,'Peoplesoft-FY13'!S:S,C8,'Peoplesoft-FY13'!Q:Q,$E$3)-P8</f>
        <v>2803974.9699999997</v>
      </c>
      <c r="F8" s="261">
        <f>SUMIFS('Peoplesoft-FY13'!$L:$L,'Peoplesoft-FY13'!$S:$S,$C8,'Peoplesoft-FY13'!$Q:$Q,F$3)</f>
        <v>0</v>
      </c>
      <c r="G8" s="261">
        <f>SUMIFS('Peoplesoft-FY13'!$L:$L,'Peoplesoft-FY13'!$S:$S,$C8,'Peoplesoft-FY13'!$Q:$Q,G$3)</f>
        <v>0</v>
      </c>
      <c r="H8" s="261">
        <v>0</v>
      </c>
      <c r="I8" s="261">
        <f>VLOOKUP(C8,'733 - Title I'!A2:C105,3,FALSE)</f>
        <v>163107.88</v>
      </c>
      <c r="J8" s="261">
        <f>VLOOKUP(C8,'735 - Title II'!A2:C123,3,FALSE)</f>
        <v>9675</v>
      </c>
      <c r="K8" s="261">
        <f>SUMIFS('Peoplesoft-FY13'!$L:$L,'Peoplesoft-FY13'!$S:$S,$C8,'Peoplesoft-FY13'!$Q:$Q,K$3)</f>
        <v>0</v>
      </c>
      <c r="L8" s="261">
        <f>SUMIFS('Peoplesoft-FY13'!$L:$L,'Peoplesoft-FY13'!$S:$S,$C8,'Peoplesoft-FY13'!$Q:$Q,L$3)</f>
        <v>0</v>
      </c>
      <c r="M8" s="261">
        <v>0</v>
      </c>
      <c r="N8" s="261">
        <v>0</v>
      </c>
      <c r="O8" s="261">
        <f>VLOOKUP(C8,'8110 - Federal Payments'!A:C,3,FALSE)</f>
        <v>512111.64999999997</v>
      </c>
      <c r="P8" s="118">
        <f t="shared" si="0"/>
        <v>684894.53</v>
      </c>
      <c r="Q8" s="119">
        <f t="shared" si="1"/>
        <v>3488869.4999999995</v>
      </c>
      <c r="R8" s="120">
        <f t="shared" si="3"/>
        <v>0.19630844031282915</v>
      </c>
      <c r="S8" s="262">
        <f t="shared" si="4"/>
        <v>0.80369155968717088</v>
      </c>
      <c r="T8" s="121">
        <f t="shared" si="2"/>
        <v>1</v>
      </c>
    </row>
    <row r="9" spans="1:20" ht="13.2" x14ac:dyDescent="0.25">
      <c r="A9" s="271">
        <v>5210</v>
      </c>
      <c r="B9" s="93">
        <v>6</v>
      </c>
      <c r="C9" s="271">
        <v>5210</v>
      </c>
      <c r="D9" s="290" t="s">
        <v>19</v>
      </c>
      <c r="E9" s="261">
        <f>SUMIFS('Peoplesoft-FY13'!L:L,'Peoplesoft-FY13'!S:S,C9,'Peoplesoft-FY13'!Q:Q,$E$3)-P9</f>
        <v>4591115.71</v>
      </c>
      <c r="F9" s="261">
        <f>SUMIFS('Peoplesoft-FY13'!$L:$L,'Peoplesoft-FY13'!$S:$S,$C9,'Peoplesoft-FY13'!$Q:$Q,F$3)</f>
        <v>0</v>
      </c>
      <c r="G9" s="261">
        <f>SUMIFS('Peoplesoft-FY13'!$L:$L,'Peoplesoft-FY13'!$S:$S,$C9,'Peoplesoft-FY13'!$Q:$Q,G$3)</f>
        <v>0</v>
      </c>
      <c r="H9" s="261">
        <v>0</v>
      </c>
      <c r="I9" s="261">
        <f>VLOOKUP(C9,'733 - Title I'!A2:C105,3,FALSE)</f>
        <v>265347.18</v>
      </c>
      <c r="J9" s="261">
        <f>VLOOKUP(C9,'735 - Title II'!A2:C123,3,FALSE)</f>
        <v>13850</v>
      </c>
      <c r="K9" s="261">
        <f>SUMIFS('Peoplesoft-FY13'!$L:$L,'Peoplesoft-FY13'!$S:$S,$C9,'Peoplesoft-FY13'!$Q:$Q,K$3)</f>
        <v>0</v>
      </c>
      <c r="L9" s="261">
        <f>SUMIFS('Peoplesoft-FY13'!$L:$L,'Peoplesoft-FY13'!$S:$S,$C9,'Peoplesoft-FY13'!$Q:$Q,L$3)</f>
        <v>0</v>
      </c>
      <c r="M9" s="261">
        <v>0</v>
      </c>
      <c r="N9" s="261">
        <v>0</v>
      </c>
      <c r="O9" s="261">
        <f>VLOOKUP(C9,'8110 - Federal Payments'!A:C,3,FALSE)</f>
        <v>280923.49</v>
      </c>
      <c r="P9" s="118">
        <f t="shared" si="0"/>
        <v>560120.66999999993</v>
      </c>
      <c r="Q9" s="119">
        <f t="shared" si="1"/>
        <v>5151236.38</v>
      </c>
      <c r="R9" s="120">
        <f t="shared" si="3"/>
        <v>0.10873519067668953</v>
      </c>
      <c r="S9" s="262">
        <f t="shared" si="4"/>
        <v>0.89126480932331043</v>
      </c>
      <c r="T9" s="121">
        <f t="shared" si="2"/>
        <v>1</v>
      </c>
    </row>
    <row r="10" spans="1:20" ht="13.2" x14ac:dyDescent="0.25">
      <c r="A10" s="271">
        <v>5220</v>
      </c>
      <c r="B10" s="93">
        <v>7</v>
      </c>
      <c r="C10" s="271">
        <v>5220</v>
      </c>
      <c r="D10" s="290" t="s">
        <v>20</v>
      </c>
      <c r="E10" s="261">
        <f>SUMIFS('Peoplesoft-FY13'!L:L,'Peoplesoft-FY13'!S:S,C10,'Peoplesoft-FY13'!Q:Q,$E$3)-P10</f>
        <v>2211115.2200000002</v>
      </c>
      <c r="F10" s="261">
        <f>SUMIFS('Peoplesoft-FY13'!$L:$L,'Peoplesoft-FY13'!$S:$S,$C10,'Peoplesoft-FY13'!$Q:$Q,F$3)</f>
        <v>0</v>
      </c>
      <c r="G10" s="261">
        <f>SUMIFS('Peoplesoft-FY13'!$L:$L,'Peoplesoft-FY13'!$S:$S,$C10,'Peoplesoft-FY13'!$Q:$Q,G$3)</f>
        <v>0</v>
      </c>
      <c r="H10" s="261">
        <v>0</v>
      </c>
      <c r="I10" s="261">
        <f>VLOOKUP(C10,'733 - Title I'!A2:C105,3,FALSE)</f>
        <v>124636.41</v>
      </c>
      <c r="J10" s="261">
        <f>VLOOKUP(C10,'735 - Title II'!A2:C123,3,FALSE)</f>
        <v>7600</v>
      </c>
      <c r="K10" s="261">
        <f>SUMIFS('Peoplesoft-FY13'!$L:$L,'Peoplesoft-FY13'!$S:$S,$C10,'Peoplesoft-FY13'!$Q:$Q,K$3)</f>
        <v>0</v>
      </c>
      <c r="L10" s="261">
        <f>SUMIFS('Peoplesoft-FY13'!$L:$L,'Peoplesoft-FY13'!$S:$S,$C10,'Peoplesoft-FY13'!$Q:$Q,L$3)</f>
        <v>0</v>
      </c>
      <c r="M10" s="261">
        <v>0</v>
      </c>
      <c r="N10" s="261">
        <v>0</v>
      </c>
      <c r="O10" s="261">
        <f>VLOOKUP(C10,'8110 - Federal Payments'!A:C,3,FALSE)</f>
        <v>125998.61</v>
      </c>
      <c r="P10" s="118">
        <f t="shared" si="0"/>
        <v>258235.02000000002</v>
      </c>
      <c r="Q10" s="119">
        <f t="shared" si="1"/>
        <v>2469350.2400000002</v>
      </c>
      <c r="R10" s="120">
        <f t="shared" si="3"/>
        <v>0.10457610095844484</v>
      </c>
      <c r="S10" s="262">
        <f t="shared" si="4"/>
        <v>0.89542389904155517</v>
      </c>
      <c r="T10" s="121">
        <f t="shared" si="2"/>
        <v>1</v>
      </c>
    </row>
    <row r="11" spans="1:20" ht="13.2" x14ac:dyDescent="0.25">
      <c r="A11" s="271">
        <v>6320</v>
      </c>
      <c r="B11" s="93">
        <v>8</v>
      </c>
      <c r="C11" s="271">
        <v>6320</v>
      </c>
      <c r="D11" s="290" t="s">
        <v>21</v>
      </c>
      <c r="E11" s="261">
        <f>SUMIFS('Peoplesoft-FY13'!L:L,'Peoplesoft-FY13'!S:S,C11,'Peoplesoft-FY13'!Q:Q,$E$3)-P11</f>
        <v>3121727.72</v>
      </c>
      <c r="F11" s="261">
        <f>SUMIFS('Peoplesoft-FY13'!$L:$L,'Peoplesoft-FY13'!$S:$S,$C11,'Peoplesoft-FY13'!$Q:$Q,F$3)</f>
        <v>0</v>
      </c>
      <c r="G11" s="261">
        <f>SUMIFS('Peoplesoft-FY13'!$L:$L,'Peoplesoft-FY13'!$S:$S,$C11,'Peoplesoft-FY13'!$Q:$Q,G$3)</f>
        <v>0</v>
      </c>
      <c r="H11" s="261">
        <v>0</v>
      </c>
      <c r="I11" s="261">
        <f>VLOOKUP(C11,'733 - Title I'!A2:C106,3,FALSE)</f>
        <v>187462.8</v>
      </c>
      <c r="J11" s="261">
        <f>VLOOKUP(C11,'735 - Title II'!A2:C123,3,FALSE)</f>
        <v>9675</v>
      </c>
      <c r="K11" s="261">
        <f>SUMIFS('Peoplesoft-FY13'!$L:$L,'Peoplesoft-FY13'!$S:$S,$C11,'Peoplesoft-FY13'!$Q:$Q,K$3)</f>
        <v>0</v>
      </c>
      <c r="L11" s="261">
        <f>SUMIFS('Peoplesoft-FY13'!$L:$L,'Peoplesoft-FY13'!$S:$S,$C11,'Peoplesoft-FY13'!$Q:$Q,L$3)</f>
        <v>0</v>
      </c>
      <c r="M11" s="261">
        <f>VLOOKUP(C11,'773'!A:C,3,FALSE)</f>
        <v>0</v>
      </c>
      <c r="N11" s="261">
        <v>0</v>
      </c>
      <c r="O11" s="261">
        <f>VLOOKUP(C11,'8110 - Federal Payments'!A:C,3,FALSE)</f>
        <v>151325.47999999998</v>
      </c>
      <c r="P11" s="118">
        <f t="shared" si="0"/>
        <v>348463.27999999997</v>
      </c>
      <c r="Q11" s="119">
        <f t="shared" si="1"/>
        <v>3470191</v>
      </c>
      <c r="R11" s="120">
        <f t="shared" si="3"/>
        <v>0.10041616729453796</v>
      </c>
      <c r="S11" s="262">
        <f t="shared" si="4"/>
        <v>0.89958383270546205</v>
      </c>
      <c r="T11" s="121">
        <f t="shared" si="2"/>
        <v>1</v>
      </c>
    </row>
    <row r="12" spans="1:20" ht="13.2" x14ac:dyDescent="0.25">
      <c r="A12" s="271">
        <v>5230</v>
      </c>
      <c r="B12" s="93">
        <v>9</v>
      </c>
      <c r="C12" s="271">
        <v>5230</v>
      </c>
      <c r="D12" s="290" t="s">
        <v>22</v>
      </c>
      <c r="E12" s="261">
        <f>SUMIFS('Peoplesoft-FY13'!L:L,'Peoplesoft-FY13'!S:S,C12,'Peoplesoft-FY13'!Q:Q,$E$3)-P12</f>
        <v>3198650.8099999996</v>
      </c>
      <c r="F12" s="261">
        <f>SUMIFS('Peoplesoft-FY13'!$L:$L,'Peoplesoft-FY13'!$S:$S,$C12,'Peoplesoft-FY13'!$Q:$Q,F$3)</f>
        <v>0</v>
      </c>
      <c r="G12" s="261">
        <f>SUMIFS('Peoplesoft-FY13'!$L:$L,'Peoplesoft-FY13'!$S:$S,$C12,'Peoplesoft-FY13'!$Q:$Q,G$3)</f>
        <v>0</v>
      </c>
      <c r="H12" s="261">
        <v>0</v>
      </c>
      <c r="I12" s="261">
        <f>VLOOKUP(C12,'733 - Title I'!A2:C107,3,FALSE)</f>
        <v>224211.82</v>
      </c>
      <c r="J12" s="261">
        <f>VLOOKUP(C12,'735 - Title II'!A2:C123,3,FALSE)</f>
        <v>11500</v>
      </c>
      <c r="K12" s="261">
        <f>SUMIFS('Peoplesoft-FY13'!$L:$L,'Peoplesoft-FY13'!$S:$S,$C12,'Peoplesoft-FY13'!$Q:$Q,K$3)</f>
        <v>0</v>
      </c>
      <c r="L12" s="261">
        <f>SUMIFS('Peoplesoft-FY13'!$L:$L,'Peoplesoft-FY13'!$S:$S,$C12,'Peoplesoft-FY13'!$Q:$Q,L$3)</f>
        <v>0</v>
      </c>
      <c r="M12" s="261">
        <v>0</v>
      </c>
      <c r="N12" s="261">
        <v>0</v>
      </c>
      <c r="O12" s="261">
        <f>VLOOKUP(C12,'8110 - Federal Payments'!A:C,3,FALSE)</f>
        <v>902119.89</v>
      </c>
      <c r="P12" s="118">
        <f t="shared" si="0"/>
        <v>1137831.71</v>
      </c>
      <c r="Q12" s="119">
        <f t="shared" si="1"/>
        <v>4336482.5199999996</v>
      </c>
      <c r="R12" s="120">
        <f t="shared" si="3"/>
        <v>0.26238586337020448</v>
      </c>
      <c r="S12" s="262">
        <f t="shared" si="4"/>
        <v>0.73761413662979547</v>
      </c>
      <c r="T12" s="121">
        <f t="shared" si="2"/>
        <v>1</v>
      </c>
    </row>
    <row r="13" spans="1:20" ht="13.2" x14ac:dyDescent="0.25">
      <c r="A13" s="271">
        <v>5250</v>
      </c>
      <c r="B13" s="93">
        <v>10</v>
      </c>
      <c r="C13" s="271">
        <v>5250</v>
      </c>
      <c r="D13" s="290" t="s">
        <v>23</v>
      </c>
      <c r="E13" s="261">
        <f>SUMIFS('Peoplesoft-FY13'!L:L,'Peoplesoft-FY13'!S:S,C13,'Peoplesoft-FY13'!Q:Q,$E$3)-P13</f>
        <v>3274751.1</v>
      </c>
      <c r="F13" s="261">
        <f>SUMIFS('Peoplesoft-FY13'!$L:$L,'Peoplesoft-FY13'!$S:$S,$C13,'Peoplesoft-FY13'!$Q:$Q,F$3)</f>
        <v>0</v>
      </c>
      <c r="G13" s="261">
        <f>SUMIFS('Peoplesoft-FY13'!$L:$L,'Peoplesoft-FY13'!$S:$S,$C13,'Peoplesoft-FY13'!$Q:$Q,G$3)</f>
        <v>0</v>
      </c>
      <c r="H13" s="261">
        <v>0</v>
      </c>
      <c r="I13" s="261">
        <f>VLOOKUP(C13,'733 - Title I'!A2:C108,3,FALSE)</f>
        <v>126241.17000000001</v>
      </c>
      <c r="J13" s="261">
        <f>VLOOKUP(C13,'735 - Title II'!A2:C123,3,FALSE)</f>
        <v>7400</v>
      </c>
      <c r="K13" s="261">
        <f>SUMIFS('Peoplesoft-FY13'!$L:$L,'Peoplesoft-FY13'!$S:$S,$C13,'Peoplesoft-FY13'!$Q:$Q,K$3)</f>
        <v>0</v>
      </c>
      <c r="L13" s="261">
        <f>SUMIFS('Peoplesoft-FY13'!$L:$L,'Peoplesoft-FY13'!$S:$S,$C13,'Peoplesoft-FY13'!$Q:$Q,L$3)</f>
        <v>0</v>
      </c>
      <c r="M13" s="261">
        <v>0</v>
      </c>
      <c r="N13" s="261">
        <v>0</v>
      </c>
      <c r="O13" s="261">
        <f>VLOOKUP(C13,'8110 - Federal Payments'!A:C,3,FALSE)</f>
        <v>114940.72</v>
      </c>
      <c r="P13" s="118">
        <f t="shared" si="0"/>
        <v>248581.89</v>
      </c>
      <c r="Q13" s="119">
        <f t="shared" si="1"/>
        <v>3523332.99</v>
      </c>
      <c r="R13" s="120">
        <f t="shared" si="3"/>
        <v>7.05530503944789E-2</v>
      </c>
      <c r="S13" s="262">
        <f t="shared" si="4"/>
        <v>0.9294469496055211</v>
      </c>
      <c r="T13" s="121">
        <f t="shared" si="2"/>
        <v>1</v>
      </c>
    </row>
    <row r="14" spans="1:20" ht="13.2" x14ac:dyDescent="0.25">
      <c r="A14" s="271">
        <v>5260</v>
      </c>
      <c r="B14" s="93">
        <v>11</v>
      </c>
      <c r="C14" s="271">
        <v>5260</v>
      </c>
      <c r="D14" s="290" t="s">
        <v>24</v>
      </c>
      <c r="E14" s="261">
        <f>SUMIFS('Peoplesoft-FY13'!L:L,'Peoplesoft-FY13'!S:S,C14,'Peoplesoft-FY13'!Q:Q,$E$3)-P14</f>
        <v>2676330.2399999993</v>
      </c>
      <c r="F14" s="261">
        <f>SUMIFS('Peoplesoft-FY13'!$L:$L,'Peoplesoft-FY13'!$S:$S,$C14,'Peoplesoft-FY13'!$Q:$Q,F$3)</f>
        <v>0</v>
      </c>
      <c r="G14" s="261">
        <f>SUMIFS('Peoplesoft-FY13'!$L:$L,'Peoplesoft-FY13'!$S:$S,$C14,'Peoplesoft-FY13'!$Q:$Q,G$3)</f>
        <v>0</v>
      </c>
      <c r="H14" s="261">
        <v>0</v>
      </c>
      <c r="I14" s="261">
        <f>VLOOKUP(C14,'733 - Title I'!A2:C109,3,FALSE)</f>
        <v>164755.43</v>
      </c>
      <c r="J14" s="261">
        <f>VLOOKUP(C14,'735 - Title II'!A3:C123,3,FALSE)</f>
        <v>9200</v>
      </c>
      <c r="K14" s="261">
        <f>SUMIFS('Peoplesoft-FY13'!$L:$L,'Peoplesoft-FY13'!$S:$S,$C14,'Peoplesoft-FY13'!$Q:$Q,K$3)</f>
        <v>0</v>
      </c>
      <c r="L14" s="261">
        <f>SUMIFS('Peoplesoft-FY13'!$L:$L,'Peoplesoft-FY13'!$S:$S,$C14,'Peoplesoft-FY13'!$Q:$Q,L$3)</f>
        <v>0</v>
      </c>
      <c r="M14" s="261">
        <v>0</v>
      </c>
      <c r="N14" s="261">
        <v>0</v>
      </c>
      <c r="O14" s="261">
        <f>VLOOKUP(C14,'8110 - Federal Payments'!A:C,3,FALSE)</f>
        <v>299099.48</v>
      </c>
      <c r="P14" s="118">
        <f t="shared" si="0"/>
        <v>473054.91</v>
      </c>
      <c r="Q14" s="119">
        <f t="shared" si="1"/>
        <v>3149385.1499999994</v>
      </c>
      <c r="R14" s="120">
        <f t="shared" si="3"/>
        <v>0.15020548058404354</v>
      </c>
      <c r="S14" s="262">
        <f t="shared" si="4"/>
        <v>0.84979451941595641</v>
      </c>
      <c r="T14" s="121">
        <f t="shared" si="2"/>
        <v>1</v>
      </c>
    </row>
    <row r="15" spans="1:20" ht="13.2" x14ac:dyDescent="0.25">
      <c r="A15" s="271">
        <v>5280</v>
      </c>
      <c r="B15" s="93">
        <v>12</v>
      </c>
      <c r="C15" s="271">
        <v>5280</v>
      </c>
      <c r="D15" s="290" t="s">
        <v>25</v>
      </c>
      <c r="E15" s="261">
        <f>SUMIFS('Peoplesoft-FY13'!L:L,'Peoplesoft-FY13'!S:S,C15,'Peoplesoft-FY13'!Q:Q,$E$3)-P15</f>
        <v>2743399.6999999997</v>
      </c>
      <c r="F15" s="261">
        <f>SUMIFS('Peoplesoft-FY13'!$L:$L,'Peoplesoft-FY13'!$S:$S,$C15,'Peoplesoft-FY13'!$Q:$Q,F$3)</f>
        <v>0</v>
      </c>
      <c r="G15" s="261">
        <f>SUMIFS('Peoplesoft-FY13'!$L:$L,'Peoplesoft-FY13'!$S:$S,$C15,'Peoplesoft-FY13'!$Q:$Q,G$3)</f>
        <v>0</v>
      </c>
      <c r="H15" s="261">
        <v>0</v>
      </c>
      <c r="I15" s="261">
        <f>VLOOKUP(C15,'733 - Title I'!A2:C110,3,FALSE)</f>
        <v>134323.82</v>
      </c>
      <c r="J15" s="261">
        <f>VLOOKUP(C15,'735 - Title II'!A4:C123,3,FALSE)</f>
        <v>7550</v>
      </c>
      <c r="K15" s="261">
        <f>SUMIFS('Peoplesoft-FY13'!$L:$L,'Peoplesoft-FY13'!$S:$S,$C15,'Peoplesoft-FY13'!$Q:$Q,K$3)</f>
        <v>0</v>
      </c>
      <c r="L15" s="261">
        <f>SUMIFS('Peoplesoft-FY13'!$L:$L,'Peoplesoft-FY13'!$S:$S,$C15,'Peoplesoft-FY13'!$Q:$Q,L$3)</f>
        <v>0</v>
      </c>
      <c r="M15" s="261">
        <v>0</v>
      </c>
      <c r="N15" s="261">
        <v>0</v>
      </c>
      <c r="O15" s="261">
        <f>VLOOKUP(C15,'8110 - Federal Payments'!A:C,3,FALSE)</f>
        <v>224306.36</v>
      </c>
      <c r="P15" s="118">
        <f t="shared" si="0"/>
        <v>366180.18</v>
      </c>
      <c r="Q15" s="119">
        <f t="shared" si="1"/>
        <v>3109579.8799999994</v>
      </c>
      <c r="R15" s="120">
        <f t="shared" si="3"/>
        <v>0.11775873080321064</v>
      </c>
      <c r="S15" s="262">
        <f t="shared" si="4"/>
        <v>0.88224126919678947</v>
      </c>
      <c r="T15" s="121">
        <f t="shared" si="2"/>
        <v>1</v>
      </c>
    </row>
    <row r="16" spans="1:20" ht="13.2" x14ac:dyDescent="0.25">
      <c r="A16" s="271">
        <v>5300</v>
      </c>
      <c r="B16" s="93">
        <v>13</v>
      </c>
      <c r="C16" s="271">
        <v>5300</v>
      </c>
      <c r="D16" s="290" t="s">
        <v>26</v>
      </c>
      <c r="E16" s="261">
        <f>SUMIFS('Peoplesoft-FY13'!L:L,'Peoplesoft-FY13'!S:S,C16,'Peoplesoft-FY13'!Q:Q,$E$3)-P16</f>
        <v>2592337.9</v>
      </c>
      <c r="F16" s="261">
        <f>SUMIFS('Peoplesoft-FY13'!$L:$L,'Peoplesoft-FY13'!$S:$S,$C16,'Peoplesoft-FY13'!$Q:$Q,F$3)</f>
        <v>0</v>
      </c>
      <c r="G16" s="261">
        <f>SUMIFS('Peoplesoft-FY13'!$L:$L,'Peoplesoft-FY13'!$S:$S,$C16,'Peoplesoft-FY13'!$Q:$Q,G$3)</f>
        <v>0</v>
      </c>
      <c r="H16" s="261">
        <v>0</v>
      </c>
      <c r="I16" s="261">
        <f>VLOOKUP(C16,'733 - Title I'!A2:C111,3,FALSE)</f>
        <v>170083.23</v>
      </c>
      <c r="J16" s="261">
        <f>VLOOKUP(C16,'735 - Title II'!A5:C123,3,FALSE)</f>
        <v>9950</v>
      </c>
      <c r="K16" s="261">
        <f>SUMIFS('Peoplesoft-FY13'!$L:$L,'Peoplesoft-FY13'!$S:$S,$C16,'Peoplesoft-FY13'!$Q:$Q,K$3)</f>
        <v>0</v>
      </c>
      <c r="L16" s="261">
        <f>SUMIFS('Peoplesoft-FY13'!$L:$L,'Peoplesoft-FY13'!$S:$S,$C16,'Peoplesoft-FY13'!$Q:$Q,L$3)</f>
        <v>0</v>
      </c>
      <c r="M16" s="261">
        <v>0</v>
      </c>
      <c r="N16" s="261">
        <v>0</v>
      </c>
      <c r="O16" s="261">
        <f>VLOOKUP(C16,'8110 - Federal Payments'!A:C,3,FALSE)</f>
        <v>593754.25</v>
      </c>
      <c r="P16" s="118">
        <f t="shared" si="0"/>
        <v>773787.48</v>
      </c>
      <c r="Q16" s="119">
        <f t="shared" si="1"/>
        <v>3366125.38</v>
      </c>
      <c r="R16" s="120">
        <f t="shared" si="3"/>
        <v>0.2298748242110934</v>
      </c>
      <c r="S16" s="262">
        <f t="shared" si="4"/>
        <v>0.7701251757889066</v>
      </c>
      <c r="T16" s="121">
        <f t="shared" si="2"/>
        <v>1</v>
      </c>
    </row>
    <row r="17" spans="1:20" ht="13.2" x14ac:dyDescent="0.25">
      <c r="A17" s="271">
        <v>5310</v>
      </c>
      <c r="B17" s="93">
        <v>14</v>
      </c>
      <c r="C17" s="271">
        <v>5310</v>
      </c>
      <c r="D17" s="290" t="s">
        <v>27</v>
      </c>
      <c r="E17" s="261">
        <f>SUMIFS('Peoplesoft-FY13'!L:L,'Peoplesoft-FY13'!S:S,C17,'Peoplesoft-FY13'!Q:Q,$E$3)-P17</f>
        <v>1226324.81</v>
      </c>
      <c r="F17" s="261">
        <f>SUMIFS('Peoplesoft-FY13'!$L:$L,'Peoplesoft-FY13'!$S:$S,$C17,'Peoplesoft-FY13'!$Q:$Q,F$3)</f>
        <v>0</v>
      </c>
      <c r="G17" s="261">
        <f>SUMIFS('Peoplesoft-FY13'!$L:$L,'Peoplesoft-FY13'!$S:$S,$C17,'Peoplesoft-FY13'!$Q:$Q,G$3)</f>
        <v>0</v>
      </c>
      <c r="H17" s="261">
        <v>0</v>
      </c>
      <c r="I17" s="261">
        <f>VLOOKUP(C17,'733 - Title I'!A2:C112,3,FALSE)</f>
        <v>90176.86</v>
      </c>
      <c r="J17" s="261">
        <f>VLOOKUP(C17,'735 - Title II'!A6:C123,3,FALSE)</f>
        <v>4600</v>
      </c>
      <c r="K17" s="261">
        <f>SUMIFS('Peoplesoft-FY13'!$L:$L,'Peoplesoft-FY13'!$S:$S,$C17,'Peoplesoft-FY13'!$Q:$Q,K$3)</f>
        <v>0</v>
      </c>
      <c r="L17" s="261">
        <f>SUMIFS('Peoplesoft-FY13'!$L:$L,'Peoplesoft-FY13'!$S:$S,$C17,'Peoplesoft-FY13'!$Q:$Q,L$3)</f>
        <v>0</v>
      </c>
      <c r="M17" s="261">
        <v>0</v>
      </c>
      <c r="N17" s="261">
        <v>0</v>
      </c>
      <c r="O17" s="261">
        <f>VLOOKUP(C17,'8110 - Federal Payments'!A:C,3,FALSE)</f>
        <v>369387.97</v>
      </c>
      <c r="P17" s="118">
        <f t="shared" si="0"/>
        <v>464164.82999999996</v>
      </c>
      <c r="Q17" s="119">
        <f t="shared" si="1"/>
        <v>1690489.6400000001</v>
      </c>
      <c r="R17" s="120">
        <f t="shared" si="3"/>
        <v>0.2745741937821044</v>
      </c>
      <c r="S17" s="262">
        <f t="shared" si="4"/>
        <v>0.72542580621789554</v>
      </c>
      <c r="T17" s="121">
        <f t="shared" si="2"/>
        <v>1</v>
      </c>
    </row>
    <row r="18" spans="1:20" ht="13.2" x14ac:dyDescent="0.25">
      <c r="A18" s="271">
        <v>5330</v>
      </c>
      <c r="B18" s="93">
        <v>15</v>
      </c>
      <c r="C18" s="271">
        <v>5330</v>
      </c>
      <c r="D18" s="290" t="s">
        <v>28</v>
      </c>
      <c r="E18" s="261">
        <f>SUMIFS('Peoplesoft-FY13'!L:L,'Peoplesoft-FY13'!S:S,C18,'Peoplesoft-FY13'!Q:Q,$E$3)-P18</f>
        <v>1429399.8099999998</v>
      </c>
      <c r="F18" s="261">
        <f>SUMIFS('Peoplesoft-FY13'!$L:$L,'Peoplesoft-FY13'!$S:$S,$C18,'Peoplesoft-FY13'!$Q:$Q,F$3)</f>
        <v>0</v>
      </c>
      <c r="G18" s="261">
        <f>SUMIFS('Peoplesoft-FY13'!$L:$L,'Peoplesoft-FY13'!$S:$S,$C18,'Peoplesoft-FY13'!$Q:$Q,G$3)</f>
        <v>0</v>
      </c>
      <c r="H18" s="261">
        <v>0</v>
      </c>
      <c r="I18" s="261">
        <f>VLOOKUP(C18,'733 - Title I'!A2:C113,3,FALSE)</f>
        <v>91556.950000000012</v>
      </c>
      <c r="J18" s="261">
        <f>VLOOKUP(C18,'735 - Title II'!A7:C123,3,FALSE)</f>
        <v>4525</v>
      </c>
      <c r="K18" s="261">
        <f>SUMIFS('Peoplesoft-FY13'!$L:$L,'Peoplesoft-FY13'!$S:$S,$C18,'Peoplesoft-FY13'!$Q:$Q,K$3)</f>
        <v>0</v>
      </c>
      <c r="L18" s="261">
        <f>SUMIFS('Peoplesoft-FY13'!$L:$L,'Peoplesoft-FY13'!$S:$S,$C18,'Peoplesoft-FY13'!$Q:$Q,L$3)</f>
        <v>0</v>
      </c>
      <c r="M18" s="261">
        <v>0</v>
      </c>
      <c r="N18" s="261">
        <v>0</v>
      </c>
      <c r="O18" s="261">
        <f>VLOOKUP(C18,'8110 - Federal Payments'!A:C,3,FALSE)</f>
        <v>315199.74</v>
      </c>
      <c r="P18" s="118">
        <f t="shared" si="0"/>
        <v>411281.69</v>
      </c>
      <c r="Q18" s="119">
        <f t="shared" si="1"/>
        <v>1840681.4999999998</v>
      </c>
      <c r="R18" s="120">
        <f t="shared" si="3"/>
        <v>0.22343989984144463</v>
      </c>
      <c r="S18" s="262">
        <f t="shared" si="4"/>
        <v>0.77656010015855537</v>
      </c>
      <c r="T18" s="121">
        <f t="shared" si="2"/>
        <v>1</v>
      </c>
    </row>
    <row r="19" spans="1:20" ht="13.2" x14ac:dyDescent="0.25">
      <c r="A19" s="271">
        <v>5350</v>
      </c>
      <c r="B19" s="93">
        <v>16</v>
      </c>
      <c r="C19" s="271">
        <v>5350</v>
      </c>
      <c r="D19" s="290" t="s">
        <v>29</v>
      </c>
      <c r="E19" s="261">
        <f>SUMIFS('Peoplesoft-FY13'!L:L,'Peoplesoft-FY13'!S:S,C19,'Peoplesoft-FY13'!Q:Q,$E$3)-P19</f>
        <v>3428924.85</v>
      </c>
      <c r="F19" s="261">
        <f>SUMIFS('Peoplesoft-FY13'!$L:$L,'Peoplesoft-FY13'!$S:$S,$C19,'Peoplesoft-FY13'!$Q:$Q,F$3)</f>
        <v>0</v>
      </c>
      <c r="G19" s="261">
        <f>SUMIFS('Peoplesoft-FY13'!$L:$L,'Peoplesoft-FY13'!$S:$S,$C19,'Peoplesoft-FY13'!$Q:$Q,G$3)</f>
        <v>0</v>
      </c>
      <c r="H19" s="261">
        <v>0</v>
      </c>
      <c r="I19" s="261">
        <f>VLOOKUP(C19,'733 - Title I'!A3:C114,3,FALSE)</f>
        <v>176523.66999999998</v>
      </c>
      <c r="J19" s="261">
        <f>VLOOKUP(C19,'735 - Title II'!A8:C123,3,FALSE)</f>
        <v>9500</v>
      </c>
      <c r="K19" s="261">
        <f>SUMIFS('Peoplesoft-FY13'!$L:$L,'Peoplesoft-FY13'!$S:$S,$C19,'Peoplesoft-FY13'!$Q:$Q,K$3)</f>
        <v>0</v>
      </c>
      <c r="L19" s="261">
        <f>SUMIFS('Peoplesoft-FY13'!$L:$L,'Peoplesoft-FY13'!$S:$S,$C19,'Peoplesoft-FY13'!$Q:$Q,L$3)</f>
        <v>0</v>
      </c>
      <c r="M19" s="261">
        <v>0</v>
      </c>
      <c r="N19" s="261">
        <v>0</v>
      </c>
      <c r="O19" s="261">
        <f>VLOOKUP(C19,'8110 - Federal Payments'!A:C,3,FALSE)</f>
        <v>127300.61</v>
      </c>
      <c r="P19" s="118">
        <f t="shared" si="0"/>
        <v>313324.27999999997</v>
      </c>
      <c r="Q19" s="119">
        <f t="shared" si="1"/>
        <v>3742249.13</v>
      </c>
      <c r="R19" s="120">
        <f t="shared" si="3"/>
        <v>8.372619489392466E-2</v>
      </c>
      <c r="S19" s="262">
        <f t="shared" si="4"/>
        <v>0.91627380510607537</v>
      </c>
      <c r="T19" s="121">
        <f t="shared" si="2"/>
        <v>1</v>
      </c>
    </row>
    <row r="20" spans="1:20" ht="13.2" x14ac:dyDescent="0.25">
      <c r="A20" s="271">
        <v>5360</v>
      </c>
      <c r="B20" s="93">
        <v>17</v>
      </c>
      <c r="C20" s="271">
        <v>5360</v>
      </c>
      <c r="D20" s="290" t="s">
        <v>30</v>
      </c>
      <c r="E20" s="261">
        <f>SUMIFS('Peoplesoft-FY13'!L:L,'Peoplesoft-FY13'!S:S,C20,'Peoplesoft-FY13'!Q:Q,$E$3)-P20</f>
        <v>1771402.5900000003</v>
      </c>
      <c r="F20" s="261">
        <f>SUMIFS('Peoplesoft-FY13'!$L:$L,'Peoplesoft-FY13'!$S:$S,$C20,'Peoplesoft-FY13'!$Q:$Q,F$3)</f>
        <v>0</v>
      </c>
      <c r="G20" s="261">
        <f>SUMIFS('Peoplesoft-FY13'!$L:$L,'Peoplesoft-FY13'!$S:$S,$C20,'Peoplesoft-FY13'!$Q:$Q,G$3)</f>
        <v>0</v>
      </c>
      <c r="H20" s="261">
        <v>0</v>
      </c>
      <c r="I20" s="261">
        <f>VLOOKUP(C20,'733 - Title I'!A4:C115,3,FALSE)</f>
        <v>123256.31999999999</v>
      </c>
      <c r="J20" s="261">
        <f>VLOOKUP(C20,'735 - Title II'!A9:C123,3,FALSE)</f>
        <v>5975</v>
      </c>
      <c r="K20" s="261">
        <f>SUMIFS('Peoplesoft-FY13'!$L:$L,'Peoplesoft-FY13'!$S:$S,$C20,'Peoplesoft-FY13'!$Q:$Q,K$3)</f>
        <v>0</v>
      </c>
      <c r="L20" s="261">
        <f>SUMIFS('Peoplesoft-FY13'!$L:$L,'Peoplesoft-FY13'!$S:$S,$C20,'Peoplesoft-FY13'!$Q:$Q,L$3)</f>
        <v>0</v>
      </c>
      <c r="M20" s="261">
        <v>0</v>
      </c>
      <c r="N20" s="261">
        <v>0</v>
      </c>
      <c r="O20" s="261">
        <f>VLOOKUP(C20,'8110 - Federal Payments'!A:C,3,FALSE)</f>
        <v>302789.08</v>
      </c>
      <c r="P20" s="118">
        <f t="shared" si="0"/>
        <v>432020.4</v>
      </c>
      <c r="Q20" s="119">
        <f t="shared" si="1"/>
        <v>2203422.9900000002</v>
      </c>
      <c r="R20" s="120">
        <f t="shared" si="3"/>
        <v>0.19606784623773033</v>
      </c>
      <c r="S20" s="262">
        <f t="shared" si="4"/>
        <v>0.80393215376226979</v>
      </c>
      <c r="T20" s="121">
        <f t="shared" si="2"/>
        <v>1</v>
      </c>
    </row>
    <row r="21" spans="1:20" ht="13.2" x14ac:dyDescent="0.25">
      <c r="A21" s="271">
        <v>6360</v>
      </c>
      <c r="B21" s="93">
        <v>18</v>
      </c>
      <c r="C21" s="271">
        <v>6360</v>
      </c>
      <c r="D21" s="290" t="s">
        <v>140</v>
      </c>
      <c r="E21" s="261">
        <f>SUMIFS('Peoplesoft-FY13'!L:L,'Peoplesoft-FY13'!S:S,C21,'Peoplesoft-FY13'!Q:Q,$E$3)-P21</f>
        <v>1914533.36</v>
      </c>
      <c r="F21" s="261">
        <f>SUMIFS('Peoplesoft-FY13'!$L:$L,'Peoplesoft-FY13'!$S:$S,$C21,'Peoplesoft-FY13'!$Q:$Q,F$3)</f>
        <v>0</v>
      </c>
      <c r="G21" s="261">
        <f>SUMIFS('Peoplesoft-FY13'!$L:$L,'Peoplesoft-FY13'!$S:$S,$C21,'Peoplesoft-FY13'!$Q:$Q,G$3)</f>
        <v>0</v>
      </c>
      <c r="H21" s="261">
        <v>0</v>
      </c>
      <c r="I21" s="261">
        <f>VLOOKUP(C21,'733 - Title I'!A5:C116,3,FALSE)</f>
        <v>82912.639999999999</v>
      </c>
      <c r="J21" s="261">
        <f>VLOOKUP(C21,'735 - Title II'!A10:C124,3,FALSE)</f>
        <v>5925</v>
      </c>
      <c r="K21" s="261">
        <f>SUMIFS('Peoplesoft-FY13'!$L:$L,'Peoplesoft-FY13'!$S:$S,$C21,'Peoplesoft-FY13'!$Q:$Q,K$3)</f>
        <v>0</v>
      </c>
      <c r="L21" s="261">
        <f>SUMIFS('Peoplesoft-FY13'!$L:$L,'Peoplesoft-FY13'!$S:$S,$C21,'Peoplesoft-FY13'!$Q:$Q,L$3)</f>
        <v>0</v>
      </c>
      <c r="M21" s="261">
        <v>0</v>
      </c>
      <c r="N21" s="261">
        <v>0</v>
      </c>
      <c r="O21" s="261">
        <f>VLOOKUP(C21,'8110 - Federal Payments'!A:C,3,FALSE)</f>
        <v>287203.62</v>
      </c>
      <c r="P21" s="118">
        <f t="shared" si="0"/>
        <v>376041.26</v>
      </c>
      <c r="Q21" s="119">
        <f t="shared" si="1"/>
        <v>2290574.62</v>
      </c>
      <c r="R21" s="120">
        <f t="shared" si="3"/>
        <v>0.16416896298274711</v>
      </c>
      <c r="S21" s="262">
        <f t="shared" si="4"/>
        <v>0.83583103701725292</v>
      </c>
      <c r="T21" s="121">
        <f t="shared" si="2"/>
        <v>1</v>
      </c>
    </row>
    <row r="22" spans="1:20" ht="13.2" x14ac:dyDescent="0.25">
      <c r="A22" s="271">
        <v>5390</v>
      </c>
      <c r="B22" s="93">
        <v>19</v>
      </c>
      <c r="C22" s="271">
        <v>5390</v>
      </c>
      <c r="D22" s="290" t="s">
        <v>32</v>
      </c>
      <c r="E22" s="261">
        <f>SUMIFS('Peoplesoft-FY13'!L:L,'Peoplesoft-FY13'!S:S,C22,'Peoplesoft-FY13'!Q:Q,$E$3)-P22</f>
        <v>1711794.93</v>
      </c>
      <c r="F22" s="261">
        <f>SUMIFS('Peoplesoft-FY13'!$L:$L,'Peoplesoft-FY13'!$S:$S,$C22,'Peoplesoft-FY13'!$Q:$Q,F$3)</f>
        <v>0</v>
      </c>
      <c r="G22" s="261">
        <f>SUMIFS('Peoplesoft-FY13'!$L:$L,'Peoplesoft-FY13'!$S:$S,$C22,'Peoplesoft-FY13'!$Q:$Q,G$3)</f>
        <v>0</v>
      </c>
      <c r="H22" s="261">
        <f>VLOOKUP(C22,'731'!A:C,3,FALSE)</f>
        <v>0</v>
      </c>
      <c r="I22" s="261">
        <f>VLOOKUP(C22,'733 - Title I'!A6:C117,3,FALSE)</f>
        <v>118543.67</v>
      </c>
      <c r="J22" s="261">
        <f>VLOOKUP(C22,'735 - Title II'!A11:C125,3,FALSE)</f>
        <v>6000</v>
      </c>
      <c r="K22" s="261">
        <f>SUMIFS('Peoplesoft-FY13'!$L:$L,'Peoplesoft-FY13'!$S:$S,$C22,'Peoplesoft-FY13'!$Q:$Q,K$3)</f>
        <v>0</v>
      </c>
      <c r="L22" s="261">
        <f>SUMIFS('Peoplesoft-FY13'!$L:$L,'Peoplesoft-FY13'!$S:$S,$C22,'Peoplesoft-FY13'!$Q:$Q,L$3)</f>
        <v>0</v>
      </c>
      <c r="M22" s="261">
        <v>0</v>
      </c>
      <c r="N22" s="261">
        <v>0</v>
      </c>
      <c r="O22" s="261">
        <f>VLOOKUP(C22,'8110 - Federal Payments'!A:C,3,FALSE)</f>
        <v>260630.78</v>
      </c>
      <c r="P22" s="118">
        <f t="shared" si="0"/>
        <v>385174.45</v>
      </c>
      <c r="Q22" s="119">
        <f t="shared" si="1"/>
        <v>2096969.38</v>
      </c>
      <c r="R22" s="120">
        <f t="shared" si="3"/>
        <v>0.18368148513451352</v>
      </c>
      <c r="S22" s="262">
        <f t="shared" si="4"/>
        <v>0.81631851486548646</v>
      </c>
      <c r="T22" s="121">
        <f t="shared" si="2"/>
        <v>1</v>
      </c>
    </row>
    <row r="23" spans="1:20" ht="13.2" x14ac:dyDescent="0.25">
      <c r="A23" s="271">
        <v>5400</v>
      </c>
      <c r="B23" s="93">
        <v>20</v>
      </c>
      <c r="C23" s="271">
        <v>5400</v>
      </c>
      <c r="D23" s="290" t="s">
        <v>33</v>
      </c>
      <c r="E23" s="261">
        <f>SUMIFS('Peoplesoft-FY13'!L:L,'Peoplesoft-FY13'!S:S,C23,'Peoplesoft-FY13'!Q:Q,$E$3)-P23</f>
        <v>2233487.12</v>
      </c>
      <c r="F23" s="261">
        <f>SUMIFS('Peoplesoft-FY13'!$L:$L,'Peoplesoft-FY13'!$S:$S,$C23,'Peoplesoft-FY13'!$Q:$Q,F$3)</f>
        <v>0</v>
      </c>
      <c r="G23" s="261">
        <f>SUMIFS('Peoplesoft-FY13'!$L:$L,'Peoplesoft-FY13'!$S:$S,$C23,'Peoplesoft-FY13'!$Q:$Q,G$3)</f>
        <v>0</v>
      </c>
      <c r="H23" s="261">
        <v>0</v>
      </c>
      <c r="I23" s="261">
        <f>VLOOKUP(C23,'733 - Title I'!A7:C118,3,FALSE)</f>
        <v>110776.62999999999</v>
      </c>
      <c r="J23" s="261">
        <f>VLOOKUP(C23,'735 - Title II'!A12:C126,3,FALSE)</f>
        <v>5925</v>
      </c>
      <c r="K23" s="261">
        <f>SUMIFS('Peoplesoft-FY13'!$L:$L,'Peoplesoft-FY13'!$S:$S,$C23,'Peoplesoft-FY13'!$Q:$Q,K$3)</f>
        <v>0</v>
      </c>
      <c r="L23" s="261">
        <f>SUMIFS('Peoplesoft-FY13'!$L:$L,'Peoplesoft-FY13'!$S:$S,$C23,'Peoplesoft-FY13'!$Q:$Q,L$3)</f>
        <v>0</v>
      </c>
      <c r="M23" s="261">
        <v>0</v>
      </c>
      <c r="N23" s="261">
        <v>0</v>
      </c>
      <c r="O23" s="261">
        <f>VLOOKUP(C23,'8110 - Federal Payments'!A:C,3,FALSE)</f>
        <v>198506.38</v>
      </c>
      <c r="P23" s="118">
        <f t="shared" si="0"/>
        <v>315208.01</v>
      </c>
      <c r="Q23" s="119">
        <f t="shared" si="1"/>
        <v>2548695.13</v>
      </c>
      <c r="R23" s="120">
        <f t="shared" si="3"/>
        <v>0.12367427013524368</v>
      </c>
      <c r="S23" s="262">
        <f t="shared" si="4"/>
        <v>0.87632572986475643</v>
      </c>
      <c r="T23" s="121">
        <f t="shared" si="2"/>
        <v>1</v>
      </c>
    </row>
    <row r="24" spans="1:20" ht="13.2" x14ac:dyDescent="0.25">
      <c r="A24" s="271">
        <v>5430</v>
      </c>
      <c r="B24" s="93">
        <v>22</v>
      </c>
      <c r="C24" s="271">
        <v>5430</v>
      </c>
      <c r="D24" s="290" t="s">
        <v>35</v>
      </c>
      <c r="E24" s="261">
        <f>SUMIFS('Peoplesoft-FY13'!L:L,'Peoplesoft-FY13'!S:S,C24,'Peoplesoft-FY13'!Q:Q,$E$3)-P24</f>
        <v>1440603.0299999998</v>
      </c>
      <c r="F24" s="261">
        <f>SUMIFS('Peoplesoft-FY13'!$L:$L,'Peoplesoft-FY13'!$S:$S,$C24,'Peoplesoft-FY13'!$Q:$Q,F$3)</f>
        <v>0</v>
      </c>
      <c r="G24" s="261">
        <f>SUMIFS('Peoplesoft-FY13'!$L:$L,'Peoplesoft-FY13'!$S:$S,$C24,'Peoplesoft-FY13'!$Q:$Q,G$3)</f>
        <v>0</v>
      </c>
      <c r="H24" s="261">
        <v>0</v>
      </c>
      <c r="I24" s="261">
        <f>VLOOKUP(C24,'733 - Title I'!A9:C120,3,FALSE)</f>
        <v>106818.22</v>
      </c>
      <c r="J24" s="261">
        <f>VLOOKUP(C24,'735 - Title II'!A14:C128,3,FALSE)</f>
        <v>5750</v>
      </c>
      <c r="K24" s="261">
        <f>SUMIFS('Peoplesoft-FY13'!$L:$L,'Peoplesoft-FY13'!$S:$S,$C24,'Peoplesoft-FY13'!$Q:$Q,K$3)</f>
        <v>0</v>
      </c>
      <c r="L24" s="261">
        <f>SUMIFS('Peoplesoft-FY13'!$L:$L,'Peoplesoft-FY13'!$S:$S,$C24,'Peoplesoft-FY13'!$Q:$Q,L$3)</f>
        <v>0</v>
      </c>
      <c r="M24" s="261">
        <v>0</v>
      </c>
      <c r="N24" s="261">
        <v>0</v>
      </c>
      <c r="O24" s="261">
        <f>VLOOKUP(C24,'8110 - Federal Payments'!A:C,3,FALSE)</f>
        <v>348186.88</v>
      </c>
      <c r="P24" s="118">
        <f t="shared" si="0"/>
        <v>460755.1</v>
      </c>
      <c r="Q24" s="119">
        <f t="shared" si="1"/>
        <v>1901358.13</v>
      </c>
      <c r="R24" s="120">
        <f t="shared" si="3"/>
        <v>0.24232946583293069</v>
      </c>
      <c r="S24" s="262">
        <f t="shared" si="4"/>
        <v>0.7576705341670692</v>
      </c>
      <c r="T24" s="121">
        <f t="shared" si="2"/>
        <v>0.99999999999999989</v>
      </c>
    </row>
    <row r="25" spans="1:20" ht="13.2" x14ac:dyDescent="0.25">
      <c r="A25" s="271">
        <v>5460</v>
      </c>
      <c r="B25" s="93">
        <v>23</v>
      </c>
      <c r="C25" s="271">
        <v>5460</v>
      </c>
      <c r="D25" s="290" t="s">
        <v>36</v>
      </c>
      <c r="E25" s="261">
        <f>SUMIFS('Peoplesoft-FY13'!L:L,'Peoplesoft-FY13'!S:S,C25,'Peoplesoft-FY13'!Q:Q,$E$3)-P25</f>
        <v>2399749.16</v>
      </c>
      <c r="F25" s="261">
        <f>SUMIFS('Peoplesoft-FY13'!$L:$L,'Peoplesoft-FY13'!$S:$S,$C25,'Peoplesoft-FY13'!$Q:$Q,F$3)</f>
        <v>0</v>
      </c>
      <c r="G25" s="261">
        <f>SUMIFS('Peoplesoft-FY13'!$L:$L,'Peoplesoft-FY13'!$S:$S,$C25,'Peoplesoft-FY13'!$Q:$Q,G$3)</f>
        <v>0</v>
      </c>
      <c r="H25" s="261">
        <v>0</v>
      </c>
      <c r="I25" s="261">
        <f>VLOOKUP(C25,'733 - Title I'!A10:C121,3,FALSE)</f>
        <v>181332.61000000002</v>
      </c>
      <c r="J25" s="261">
        <f>VLOOKUP(C25,'735 - Title II'!A15:C129,3,FALSE)</f>
        <v>8550</v>
      </c>
      <c r="K25" s="261">
        <f>SUMIFS('Peoplesoft-FY13'!$L:$L,'Peoplesoft-FY13'!$S:$S,$C25,'Peoplesoft-FY13'!$Q:$Q,K$3)</f>
        <v>0</v>
      </c>
      <c r="L25" s="261">
        <f>SUMIFS('Peoplesoft-FY13'!$L:$L,'Peoplesoft-FY13'!$S:$S,$C25,'Peoplesoft-FY13'!$Q:$Q,L$3)</f>
        <v>0</v>
      </c>
      <c r="M25" s="261">
        <v>0</v>
      </c>
      <c r="N25" s="261">
        <v>0</v>
      </c>
      <c r="O25" s="261">
        <f>VLOOKUP(C25,'8110 - Federal Payments'!A:C,3,FALSE)</f>
        <v>238883.58000000002</v>
      </c>
      <c r="P25" s="118">
        <f t="shared" si="0"/>
        <v>428766.19000000006</v>
      </c>
      <c r="Q25" s="119">
        <f t="shared" si="1"/>
        <v>2828515.35</v>
      </c>
      <c r="R25" s="120">
        <f t="shared" si="3"/>
        <v>0.151587011893006</v>
      </c>
      <c r="S25" s="262">
        <f t="shared" si="4"/>
        <v>0.84841298810699406</v>
      </c>
      <c r="T25" s="121">
        <f t="shared" si="2"/>
        <v>1</v>
      </c>
    </row>
    <row r="26" spans="1:20" ht="13.2" x14ac:dyDescent="0.25">
      <c r="A26" s="271">
        <v>5480</v>
      </c>
      <c r="B26" s="93">
        <v>24</v>
      </c>
      <c r="C26" s="271">
        <v>5480</v>
      </c>
      <c r="D26" s="290" t="s">
        <v>37</v>
      </c>
      <c r="E26" s="261">
        <f>SUMIFS('Peoplesoft-FY13'!L:L,'Peoplesoft-FY13'!S:S,C26,'Peoplesoft-FY13'!Q:Q,$E$3)-P26</f>
        <v>1800760.76</v>
      </c>
      <c r="F26" s="261">
        <f>SUMIFS('Peoplesoft-FY13'!$L:$L,'Peoplesoft-FY13'!$S:$S,$C26,'Peoplesoft-FY13'!$Q:$Q,F$3)</f>
        <v>0</v>
      </c>
      <c r="G26" s="261">
        <f>SUMIFS('Peoplesoft-FY13'!$L:$L,'Peoplesoft-FY13'!$S:$S,$C26,'Peoplesoft-FY13'!$Q:$Q,G$3)</f>
        <v>0</v>
      </c>
      <c r="H26" s="261">
        <v>0</v>
      </c>
      <c r="I26" s="261">
        <f>VLOOKUP(C26,'733 - Title I'!A11:C122,3,FALSE)</f>
        <v>100393.83</v>
      </c>
      <c r="J26" s="261">
        <f>VLOOKUP(C26,'735 - Title II'!A16:C130,3,FALSE)</f>
        <v>5575</v>
      </c>
      <c r="K26" s="261">
        <f>SUMIFS('Peoplesoft-FY13'!$L:$L,'Peoplesoft-FY13'!$S:$S,$C26,'Peoplesoft-FY13'!$Q:$Q,K$3)</f>
        <v>0</v>
      </c>
      <c r="L26" s="261">
        <f>SUMIFS('Peoplesoft-FY13'!$L:$L,'Peoplesoft-FY13'!$S:$S,$C26,'Peoplesoft-FY13'!$Q:$Q,L$3)</f>
        <v>0</v>
      </c>
      <c r="M26" s="261">
        <v>0</v>
      </c>
      <c r="N26" s="261">
        <v>0</v>
      </c>
      <c r="O26" s="261">
        <f>VLOOKUP(C26,'8110 - Federal Payments'!A:C,3,FALSE)</f>
        <v>312376.40999999997</v>
      </c>
      <c r="P26" s="118">
        <f t="shared" si="0"/>
        <v>418345.24</v>
      </c>
      <c r="Q26" s="119">
        <f t="shared" si="1"/>
        <v>2219106</v>
      </c>
      <c r="R26" s="120">
        <f t="shared" si="3"/>
        <v>0.18851971920223728</v>
      </c>
      <c r="S26" s="262">
        <f t="shared" si="4"/>
        <v>0.81148028079776269</v>
      </c>
      <c r="T26" s="121">
        <f t="shared" si="2"/>
        <v>1</v>
      </c>
    </row>
    <row r="27" spans="1:20" ht="13.2" x14ac:dyDescent="0.25">
      <c r="A27" s="271">
        <v>5510</v>
      </c>
      <c r="B27" s="93">
        <v>25</v>
      </c>
      <c r="C27" s="271">
        <v>5510</v>
      </c>
      <c r="D27" s="290" t="s">
        <v>38</v>
      </c>
      <c r="E27" s="261">
        <f>SUMIFS('Peoplesoft-FY13'!L:L,'Peoplesoft-FY13'!S:S,C27,'Peoplesoft-FY13'!Q:Q,$E$3)-P27</f>
        <v>1238493.31</v>
      </c>
      <c r="F27" s="261">
        <f>SUMIFS('Peoplesoft-FY13'!$L:$L,'Peoplesoft-FY13'!$S:$S,$C27,'Peoplesoft-FY13'!$Q:$Q,F$3)</f>
        <v>0</v>
      </c>
      <c r="G27" s="261">
        <f>SUMIFS('Peoplesoft-FY13'!$L:$L,'Peoplesoft-FY13'!$S:$S,$C27,'Peoplesoft-FY13'!$Q:$Q,G$3)</f>
        <v>0</v>
      </c>
      <c r="H27" s="261">
        <v>0</v>
      </c>
      <c r="I27" s="261">
        <f>VLOOKUP(C27,'733 - Title I'!A12:C123,3,FALSE)</f>
        <v>87405.97</v>
      </c>
      <c r="J27" s="261">
        <f>VLOOKUP(C27,'735 - Title II'!A17:C131,3,FALSE)</f>
        <v>4450</v>
      </c>
      <c r="K27" s="261">
        <f>SUMIFS('Peoplesoft-FY13'!$L:$L,'Peoplesoft-FY13'!$S:$S,$C27,'Peoplesoft-FY13'!$Q:$Q,K$3)</f>
        <v>0</v>
      </c>
      <c r="L27" s="261">
        <f>SUMIFS('Peoplesoft-FY13'!$L:$L,'Peoplesoft-FY13'!$S:$S,$C27,'Peoplesoft-FY13'!$Q:$Q,L$3)</f>
        <v>0</v>
      </c>
      <c r="M27" s="261">
        <f>VLOOKUP(C27,'773'!A:C,3,FALSE)</f>
        <v>0</v>
      </c>
      <c r="N27" s="261">
        <v>0</v>
      </c>
      <c r="O27" s="261">
        <f>VLOOKUP(C27,'8110 - Federal Payments'!A:C,3,FALSE)</f>
        <v>333291.71999999997</v>
      </c>
      <c r="P27" s="118">
        <f t="shared" si="0"/>
        <v>425147.68999999994</v>
      </c>
      <c r="Q27" s="119">
        <f t="shared" si="1"/>
        <v>1663641</v>
      </c>
      <c r="R27" s="120">
        <f t="shared" si="3"/>
        <v>0.25555254408853828</v>
      </c>
      <c r="S27" s="262">
        <f t="shared" si="4"/>
        <v>0.74444745591146166</v>
      </c>
      <c r="T27" s="121">
        <f t="shared" si="2"/>
        <v>1</v>
      </c>
    </row>
    <row r="28" spans="1:20" ht="13.2" x14ac:dyDescent="0.25">
      <c r="A28" s="271">
        <v>5520</v>
      </c>
      <c r="B28" s="93">
        <v>26</v>
      </c>
      <c r="C28" s="271">
        <v>5520</v>
      </c>
      <c r="D28" s="290" t="s">
        <v>39</v>
      </c>
      <c r="E28" s="261">
        <f>SUMIFS('Peoplesoft-FY13'!L:L,'Peoplesoft-FY13'!S:S,C28,'Peoplesoft-FY13'!Q:Q,$E$3)-P28</f>
        <v>1484773.7</v>
      </c>
      <c r="F28" s="261">
        <f>SUMIFS('Peoplesoft-FY13'!$L:$L,'Peoplesoft-FY13'!$S:$S,$C28,'Peoplesoft-FY13'!$Q:$Q,F$3)</f>
        <v>0</v>
      </c>
      <c r="G28" s="261">
        <f>SUMIFS('Peoplesoft-FY13'!$L:$L,'Peoplesoft-FY13'!$S:$S,$C28,'Peoplesoft-FY13'!$Q:$Q,G$3)</f>
        <v>0</v>
      </c>
      <c r="H28" s="261">
        <v>0</v>
      </c>
      <c r="I28" s="261">
        <f>VLOOKUP(C28,'733 - Title I'!A13:C124,3,FALSE)</f>
        <v>127642.66</v>
      </c>
      <c r="J28" s="261">
        <f>VLOOKUP(C28,'735 - Title II'!A18:C132,3,FALSE)</f>
        <v>6450</v>
      </c>
      <c r="K28" s="261">
        <f>SUMIFS('Peoplesoft-FY13'!$L:$L,'Peoplesoft-FY13'!$S:$S,$C28,'Peoplesoft-FY13'!$Q:$Q,K$3)</f>
        <v>0</v>
      </c>
      <c r="L28" s="261">
        <f>SUMIFS('Peoplesoft-FY13'!$L:$L,'Peoplesoft-FY13'!$S:$S,$C28,'Peoplesoft-FY13'!$Q:$Q,L$3)</f>
        <v>0</v>
      </c>
      <c r="M28" s="261">
        <v>0</v>
      </c>
      <c r="N28" s="261">
        <v>0</v>
      </c>
      <c r="O28" s="261">
        <f>VLOOKUP(C28,'8110 - Federal Payments'!A:C,3,FALSE)</f>
        <v>294220.14</v>
      </c>
      <c r="P28" s="118">
        <f t="shared" si="0"/>
        <v>428312.80000000005</v>
      </c>
      <c r="Q28" s="119">
        <f t="shared" si="1"/>
        <v>1913086.5</v>
      </c>
      <c r="R28" s="120">
        <f t="shared" si="3"/>
        <v>0.22388574693303206</v>
      </c>
      <c r="S28" s="262">
        <f t="shared" si="4"/>
        <v>0.77611425306696791</v>
      </c>
      <c r="T28" s="121">
        <f t="shared" si="2"/>
        <v>1</v>
      </c>
    </row>
    <row r="29" spans="1:20" ht="13.2" x14ac:dyDescent="0.25">
      <c r="A29" s="271">
        <v>5540</v>
      </c>
      <c r="B29" s="93">
        <v>27</v>
      </c>
      <c r="C29" s="271">
        <v>5540</v>
      </c>
      <c r="D29" s="290" t="s">
        <v>40</v>
      </c>
      <c r="E29" s="261">
        <f>SUMIFS('Peoplesoft-FY13'!L:L,'Peoplesoft-FY13'!S:S,C29,'Peoplesoft-FY13'!Q:Q,$E$3)-P29</f>
        <v>2123697.89</v>
      </c>
      <c r="F29" s="261">
        <f>SUMIFS('Peoplesoft-FY13'!$L:$L,'Peoplesoft-FY13'!$S:$S,$C29,'Peoplesoft-FY13'!$Q:$Q,F$3)</f>
        <v>0</v>
      </c>
      <c r="G29" s="261">
        <f>SUMIFS('Peoplesoft-FY13'!$L:$L,'Peoplesoft-FY13'!$S:$S,$C29,'Peoplesoft-FY13'!$Q:$Q,G$3)</f>
        <v>0</v>
      </c>
      <c r="H29" s="261">
        <v>0</v>
      </c>
      <c r="I29" s="261">
        <f>VLOOKUP(C29,'733 - Title I'!A14:C125,3,FALSE)</f>
        <v>151676.63</v>
      </c>
      <c r="J29" s="261">
        <f>VLOOKUP(C29,'735 - Title II'!A19:C133,3,FALSE)</f>
        <v>7825</v>
      </c>
      <c r="K29" s="261">
        <f>SUMIFS('Peoplesoft-FY13'!$L:$L,'Peoplesoft-FY13'!$S:$S,$C29,'Peoplesoft-FY13'!$Q:$Q,K$3)</f>
        <v>0</v>
      </c>
      <c r="L29" s="261">
        <f>SUMIFS('Peoplesoft-FY13'!$L:$L,'Peoplesoft-FY13'!$S:$S,$C29,'Peoplesoft-FY13'!$Q:$Q,L$3)</f>
        <v>0</v>
      </c>
      <c r="M29" s="261">
        <v>0</v>
      </c>
      <c r="N29" s="261">
        <v>0</v>
      </c>
      <c r="O29" s="261">
        <f>VLOOKUP(C29,'8110 - Federal Payments'!A:C,3,FALSE)</f>
        <v>373082.23</v>
      </c>
      <c r="P29" s="118">
        <f t="shared" si="0"/>
        <v>532583.86</v>
      </c>
      <c r="Q29" s="119">
        <f t="shared" si="1"/>
        <v>2656281.75</v>
      </c>
      <c r="R29" s="120">
        <f t="shared" si="3"/>
        <v>0.2004997624969565</v>
      </c>
      <c r="S29" s="262">
        <f t="shared" si="4"/>
        <v>0.79950023750304355</v>
      </c>
      <c r="T29" s="121">
        <f t="shared" si="2"/>
        <v>1</v>
      </c>
    </row>
    <row r="30" spans="1:20" ht="13.2" x14ac:dyDescent="0.25">
      <c r="A30" s="271">
        <v>5550</v>
      </c>
      <c r="B30" s="93">
        <v>28</v>
      </c>
      <c r="C30" s="271">
        <v>5550</v>
      </c>
      <c r="D30" s="290" t="s">
        <v>41</v>
      </c>
      <c r="E30" s="261">
        <f>SUMIFS('Peoplesoft-FY13'!L:L,'Peoplesoft-FY13'!S:S,C30,'Peoplesoft-FY13'!Q:Q,$E$3)-P30</f>
        <v>2027203.2699999998</v>
      </c>
      <c r="F30" s="261">
        <f>SUMIFS('Peoplesoft-FY13'!$L:$L,'Peoplesoft-FY13'!$S:$S,$C30,'Peoplesoft-FY13'!$Q:$Q,F$3)</f>
        <v>0</v>
      </c>
      <c r="G30" s="261">
        <f>SUMIFS('Peoplesoft-FY13'!$L:$L,'Peoplesoft-FY13'!$S:$S,$C30,'Peoplesoft-FY13'!$Q:$Q,G$3)</f>
        <v>0</v>
      </c>
      <c r="H30" s="261">
        <v>0</v>
      </c>
      <c r="I30" s="261">
        <f>VLOOKUP(C30,'733 - Title I'!A15:C126,3,FALSE)</f>
        <v>178823.83</v>
      </c>
      <c r="J30" s="261">
        <f>VLOOKUP(C30,'735 - Title II'!A20:C134,3,FALSE)</f>
        <v>8675</v>
      </c>
      <c r="K30" s="261">
        <f>SUMIFS('Peoplesoft-FY13'!$L:$L,'Peoplesoft-FY13'!$S:$S,$C30,'Peoplesoft-FY13'!$Q:$Q,K$3)</f>
        <v>0</v>
      </c>
      <c r="L30" s="261">
        <f>SUMIFS('Peoplesoft-FY13'!$L:$L,'Peoplesoft-FY13'!$S:$S,$C30,'Peoplesoft-FY13'!$Q:$Q,L$3)</f>
        <v>0</v>
      </c>
      <c r="M30" s="261">
        <v>0</v>
      </c>
      <c r="N30" s="261">
        <v>0</v>
      </c>
      <c r="O30" s="261">
        <f>VLOOKUP(C30,'8110 - Federal Payments'!A:C,3,FALSE)</f>
        <v>355189.16</v>
      </c>
      <c r="P30" s="118">
        <f t="shared" si="0"/>
        <v>542687.99</v>
      </c>
      <c r="Q30" s="119">
        <f t="shared" si="1"/>
        <v>2569891.2599999998</v>
      </c>
      <c r="R30" s="120">
        <f t="shared" si="3"/>
        <v>0.21117157696392183</v>
      </c>
      <c r="S30" s="262">
        <f t="shared" si="4"/>
        <v>0.78882842303607814</v>
      </c>
      <c r="T30" s="121">
        <f t="shared" si="2"/>
        <v>1</v>
      </c>
    </row>
    <row r="31" spans="1:20" ht="13.2" x14ac:dyDescent="0.25">
      <c r="A31" s="271">
        <v>5570</v>
      </c>
      <c r="B31" s="93">
        <v>29</v>
      </c>
      <c r="C31" s="271">
        <v>5570</v>
      </c>
      <c r="D31" s="290" t="s">
        <v>42</v>
      </c>
      <c r="E31" s="261">
        <f>SUMIFS('Peoplesoft-FY13'!L:L,'Peoplesoft-FY13'!S:S,C31,'Peoplesoft-FY13'!Q:Q,$E$3)-P31</f>
        <v>2973804.9299999997</v>
      </c>
      <c r="F31" s="261">
        <f>SUMIFS('Peoplesoft-FY13'!$L:$L,'Peoplesoft-FY13'!$S:$S,$C31,'Peoplesoft-FY13'!$Q:$Q,F$3)</f>
        <v>0</v>
      </c>
      <c r="G31" s="261">
        <f>SUMIFS('Peoplesoft-FY13'!$L:$L,'Peoplesoft-FY13'!$S:$S,$C31,'Peoplesoft-FY13'!$Q:$Q,G$3)</f>
        <v>0</v>
      </c>
      <c r="H31" s="261">
        <v>0</v>
      </c>
      <c r="I31" s="261">
        <f>VLOOKUP(C31,'733 - Title I'!A16:C127,3,FALSE)</f>
        <v>166360.20000000001</v>
      </c>
      <c r="J31" s="261">
        <f>VLOOKUP(C31,'735 - Title II'!A21:C135,3,FALSE)</f>
        <v>10100</v>
      </c>
      <c r="K31" s="261">
        <f>SUMIFS('Peoplesoft-FY13'!$L:$L,'Peoplesoft-FY13'!$S:$S,$C31,'Peoplesoft-FY13'!$Q:$Q,K$3)</f>
        <v>0</v>
      </c>
      <c r="L31" s="261">
        <f>SUMIFS('Peoplesoft-FY13'!$L:$L,'Peoplesoft-FY13'!$S:$S,$C31,'Peoplesoft-FY13'!$Q:$Q,L$3)</f>
        <v>0</v>
      </c>
      <c r="M31" s="261">
        <v>0</v>
      </c>
      <c r="N31" s="261">
        <v>0</v>
      </c>
      <c r="O31" s="261">
        <f>VLOOKUP(C31,'8110 - Federal Payments'!A:C,3,FALSE)</f>
        <v>429077.80000000005</v>
      </c>
      <c r="P31" s="118">
        <f t="shared" si="0"/>
        <v>605538</v>
      </c>
      <c r="Q31" s="119">
        <f t="shared" si="1"/>
        <v>3579342.9299999997</v>
      </c>
      <c r="R31" s="120">
        <f t="shared" si="3"/>
        <v>0.1691757431021006</v>
      </c>
      <c r="S31" s="262">
        <f t="shared" si="4"/>
        <v>0.8308242568978994</v>
      </c>
      <c r="T31" s="121">
        <f t="shared" si="2"/>
        <v>1</v>
      </c>
    </row>
    <row r="32" spans="1:20" ht="13.2" x14ac:dyDescent="0.25">
      <c r="A32" s="271">
        <v>5580</v>
      </c>
      <c r="B32" s="93">
        <v>30</v>
      </c>
      <c r="C32" s="271">
        <v>5580</v>
      </c>
      <c r="D32" s="290" t="s">
        <v>141</v>
      </c>
      <c r="E32" s="261">
        <f>SUMIFS('Peoplesoft-FY13'!L:L,'Peoplesoft-FY13'!S:S,C32,'Peoplesoft-FY13'!Q:Q,$E$3)-P32</f>
        <v>2598751.7800000003</v>
      </c>
      <c r="F32" s="261">
        <f>SUMIFS('Peoplesoft-FY13'!$L:$L,'Peoplesoft-FY13'!$S:$S,$C32,'Peoplesoft-FY13'!$Q:$Q,F$3)</f>
        <v>0</v>
      </c>
      <c r="G32" s="261">
        <f>SUMIFS('Peoplesoft-FY13'!$L:$L,'Peoplesoft-FY13'!$S:$S,$C32,'Peoplesoft-FY13'!$Q:$Q,G$3)</f>
        <v>0</v>
      </c>
      <c r="H32" s="261">
        <v>0</v>
      </c>
      <c r="I32" s="261">
        <f>VLOOKUP(C32,'733 - Title I'!A17:C128,3,FALSE)</f>
        <v>129637.92</v>
      </c>
      <c r="J32" s="261">
        <f>VLOOKUP(C32,'735 - Title II'!A22:C136,3,FALSE)</f>
        <v>7275</v>
      </c>
      <c r="K32" s="261">
        <f>SUMIFS('Peoplesoft-FY13'!$L:$L,'Peoplesoft-FY13'!$S:$S,$C32,'Peoplesoft-FY13'!$Q:$Q,K$3)</f>
        <v>0</v>
      </c>
      <c r="L32" s="261">
        <f>SUMIFS('Peoplesoft-FY13'!$L:$L,'Peoplesoft-FY13'!$S:$S,$C32,'Peoplesoft-FY13'!$Q:$Q,L$3)</f>
        <v>0</v>
      </c>
      <c r="M32" s="261">
        <v>0</v>
      </c>
      <c r="N32" s="261">
        <v>0</v>
      </c>
      <c r="O32" s="261">
        <f>VLOOKUP(C32,'8110 - Federal Payments'!A:C,3,FALSE)</f>
        <v>272325.17</v>
      </c>
      <c r="P32" s="118">
        <f t="shared" si="0"/>
        <v>409238.08999999997</v>
      </c>
      <c r="Q32" s="119">
        <f t="shared" si="1"/>
        <v>3007989.87</v>
      </c>
      <c r="R32" s="120">
        <f t="shared" si="3"/>
        <v>0.13605035511638872</v>
      </c>
      <c r="S32" s="262">
        <f t="shared" si="4"/>
        <v>0.86394964488361137</v>
      </c>
      <c r="T32" s="121">
        <f t="shared" si="2"/>
        <v>1</v>
      </c>
    </row>
    <row r="33" spans="1:20" ht="13.2" x14ac:dyDescent="0.25">
      <c r="A33" s="271">
        <v>5590</v>
      </c>
      <c r="B33" s="93">
        <v>31</v>
      </c>
      <c r="C33" s="271">
        <v>5590</v>
      </c>
      <c r="D33" s="290" t="s">
        <v>44</v>
      </c>
      <c r="E33" s="261">
        <f>SUMIFS('Peoplesoft-FY13'!L:L,'Peoplesoft-FY13'!S:S,C33,'Peoplesoft-FY13'!Q:Q,$E$3)-P33</f>
        <v>2895936.35</v>
      </c>
      <c r="F33" s="261">
        <f>SUMIFS('Peoplesoft-FY13'!$L:$L,'Peoplesoft-FY13'!$S:$S,$C33,'Peoplesoft-FY13'!$Q:$Q,F$3)</f>
        <v>0</v>
      </c>
      <c r="G33" s="261">
        <f>SUMIFS('Peoplesoft-FY13'!$L:$L,'Peoplesoft-FY13'!$S:$S,$C33,'Peoplesoft-FY13'!$Q:$Q,G$3)</f>
        <v>0</v>
      </c>
      <c r="H33" s="261">
        <v>0</v>
      </c>
      <c r="I33" s="261">
        <f>VLOOKUP(C33,'733 - Title I'!A18:C129,3,FALSE)</f>
        <v>141753.87</v>
      </c>
      <c r="J33" s="261">
        <f>VLOOKUP(C33,'735 - Title II'!A23:C137,3,FALSE)</f>
        <v>9050</v>
      </c>
      <c r="K33" s="261">
        <f>SUMIFS('Peoplesoft-FY13'!$L:$L,'Peoplesoft-FY13'!$S:$S,$C33,'Peoplesoft-FY13'!$Q:$Q,K$3)</f>
        <v>0</v>
      </c>
      <c r="L33" s="261">
        <f>SUMIFS('Peoplesoft-FY13'!$L:$L,'Peoplesoft-FY13'!$S:$S,$C33,'Peoplesoft-FY13'!$Q:$Q,L$3)</f>
        <v>0</v>
      </c>
      <c r="M33" s="261">
        <v>0</v>
      </c>
      <c r="N33" s="261">
        <v>0</v>
      </c>
      <c r="O33" s="261">
        <f>VLOOKUP(C33,'8110 - Federal Payments'!A:C,3,FALSE)</f>
        <v>209126.52</v>
      </c>
      <c r="P33" s="118">
        <f t="shared" si="0"/>
        <v>359930.39</v>
      </c>
      <c r="Q33" s="119">
        <f t="shared" si="1"/>
        <v>3255866.74</v>
      </c>
      <c r="R33" s="120">
        <f t="shared" si="3"/>
        <v>0.11054825603826771</v>
      </c>
      <c r="S33" s="262">
        <f t="shared" si="4"/>
        <v>0.88945174396173221</v>
      </c>
      <c r="T33" s="121">
        <f t="shared" si="2"/>
        <v>0.99999999999999989</v>
      </c>
    </row>
    <row r="34" spans="1:20" ht="13.2" x14ac:dyDescent="0.25">
      <c r="A34" s="271">
        <v>5600</v>
      </c>
      <c r="B34" s="93">
        <v>32</v>
      </c>
      <c r="C34" s="271">
        <v>5600</v>
      </c>
      <c r="D34" s="290" t="s">
        <v>45</v>
      </c>
      <c r="E34" s="261">
        <f>SUMIFS('Peoplesoft-FY13'!L:L,'Peoplesoft-FY13'!S:S,C34,'Peoplesoft-FY13'!Q:Q,$E$3)-P34</f>
        <v>2592674.2100000004</v>
      </c>
      <c r="F34" s="261">
        <f>SUMIFS('Peoplesoft-FY13'!$L:$L,'Peoplesoft-FY13'!$S:$S,$C34,'Peoplesoft-FY13'!$Q:$Q,F$3)</f>
        <v>0</v>
      </c>
      <c r="G34" s="261">
        <f>SUMIFS('Peoplesoft-FY13'!$L:$L,'Peoplesoft-FY13'!$S:$S,$C34,'Peoplesoft-FY13'!$Q:$Q,G$3)</f>
        <v>0</v>
      </c>
      <c r="H34" s="261">
        <v>0</v>
      </c>
      <c r="I34" s="261">
        <f>VLOOKUP(C34,'733 - Title I'!A19:C130,3,FALSE)</f>
        <v>115435.78</v>
      </c>
      <c r="J34" s="261">
        <f>VLOOKUP(C34,'735 - Title II'!A24:C138,3,FALSE)</f>
        <v>6500</v>
      </c>
      <c r="K34" s="261">
        <f>SUMIFS('Peoplesoft-FY13'!$L:$L,'Peoplesoft-FY13'!$S:$S,$C34,'Peoplesoft-FY13'!$Q:$Q,K$3)</f>
        <v>0</v>
      </c>
      <c r="L34" s="261">
        <f>SUMIFS('Peoplesoft-FY13'!$L:$L,'Peoplesoft-FY13'!$S:$S,$C34,'Peoplesoft-FY13'!$Q:$Q,L$3)</f>
        <v>0</v>
      </c>
      <c r="M34" s="261">
        <v>0</v>
      </c>
      <c r="N34" s="261">
        <v>0</v>
      </c>
      <c r="O34" s="261">
        <v>0</v>
      </c>
      <c r="P34" s="118">
        <f t="shared" si="0"/>
        <v>121935.78</v>
      </c>
      <c r="Q34" s="119">
        <f t="shared" si="1"/>
        <v>2714609.99</v>
      </c>
      <c r="R34" s="120">
        <f t="shared" si="3"/>
        <v>4.4918342026730694E-2</v>
      </c>
      <c r="S34" s="262">
        <f t="shared" si="4"/>
        <v>0.95508165797326938</v>
      </c>
      <c r="T34" s="121">
        <f t="shared" si="2"/>
        <v>1</v>
      </c>
    </row>
    <row r="35" spans="1:20" ht="13.2" x14ac:dyDescent="0.25">
      <c r="A35" s="271">
        <v>5610</v>
      </c>
      <c r="B35" s="93">
        <v>33</v>
      </c>
      <c r="C35" s="271">
        <v>5610</v>
      </c>
      <c r="D35" s="290" t="s">
        <v>46</v>
      </c>
      <c r="E35" s="261">
        <f>SUMIFS('Peoplesoft-FY13'!L:L,'Peoplesoft-FY13'!S:S,C35,'Peoplesoft-FY13'!Q:Q,$E$3)-P35</f>
        <v>1933092.3400000003</v>
      </c>
      <c r="F35" s="261">
        <f>SUMIFS('Peoplesoft-FY13'!$L:$L,'Peoplesoft-FY13'!$S:$S,$C35,'Peoplesoft-FY13'!$Q:$Q,F$3)</f>
        <v>0</v>
      </c>
      <c r="G35" s="261">
        <f>SUMIFS('Peoplesoft-FY13'!$L:$L,'Peoplesoft-FY13'!$S:$S,$C35,'Peoplesoft-FY13'!$Q:$Q,G$3)</f>
        <v>0</v>
      </c>
      <c r="H35" s="261">
        <v>0</v>
      </c>
      <c r="I35" s="261">
        <f>VLOOKUP(C35,'733 - Title I'!A20:C131,3,FALSE)</f>
        <v>115772.78</v>
      </c>
      <c r="J35" s="261">
        <f>VLOOKUP(C35,'735 - Title II'!A25:C139,3,FALSE)</f>
        <v>6525</v>
      </c>
      <c r="K35" s="261">
        <f>SUMIFS('Peoplesoft-FY13'!$L:$L,'Peoplesoft-FY13'!$S:$S,$C35,'Peoplesoft-FY13'!$Q:$Q,K$3)</f>
        <v>0</v>
      </c>
      <c r="L35" s="261">
        <f>SUMIFS('Peoplesoft-FY13'!$L:$L,'Peoplesoft-FY13'!$S:$S,$C35,'Peoplesoft-FY13'!$Q:$Q,L$3)</f>
        <v>0</v>
      </c>
      <c r="M35" s="261">
        <v>0</v>
      </c>
      <c r="N35" s="261">
        <v>0</v>
      </c>
      <c r="O35" s="261">
        <f>VLOOKUP(C35,'8110 - Federal Payments'!A:C,3,FALSE)</f>
        <v>276568.08</v>
      </c>
      <c r="P35" s="118">
        <f t="shared" si="0"/>
        <v>398865.86</v>
      </c>
      <c r="Q35" s="119">
        <f t="shared" si="1"/>
        <v>2331958.2000000002</v>
      </c>
      <c r="R35" s="120">
        <f t="shared" si="3"/>
        <v>0.17104331458428371</v>
      </c>
      <c r="S35" s="262">
        <f t="shared" si="4"/>
        <v>0.82895668541571632</v>
      </c>
      <c r="T35" s="121">
        <f t="shared" si="2"/>
        <v>1</v>
      </c>
    </row>
    <row r="36" spans="1:20" ht="13.2" x14ac:dyDescent="0.25">
      <c r="A36" s="271">
        <v>5630</v>
      </c>
      <c r="B36" s="93">
        <v>34</v>
      </c>
      <c r="C36" s="271">
        <v>5630</v>
      </c>
      <c r="D36" s="290" t="s">
        <v>142</v>
      </c>
      <c r="E36" s="261">
        <f>SUMIFS('Peoplesoft-FY13'!L:L,'Peoplesoft-FY13'!S:S,C36,'Peoplesoft-FY13'!Q:Q,$E$3)-P36</f>
        <v>1375198.3699999999</v>
      </c>
      <c r="F36" s="261">
        <f>SUMIFS('Peoplesoft-FY13'!$L:$L,'Peoplesoft-FY13'!$S:$S,$C36,'Peoplesoft-FY13'!$Q:$Q,F$3)</f>
        <v>0</v>
      </c>
      <c r="G36" s="261">
        <f>SUMIFS('Peoplesoft-FY13'!$L:$L,'Peoplesoft-FY13'!$S:$S,$C36,'Peoplesoft-FY13'!$Q:$Q,G$3)</f>
        <v>0</v>
      </c>
      <c r="H36" s="261">
        <v>0</v>
      </c>
      <c r="I36" s="261">
        <f>VLOOKUP(C36,'733 - Title I'!A21:C132,3,FALSE)</f>
        <v>63655.51</v>
      </c>
      <c r="J36" s="261">
        <f>VLOOKUP(C36,'735 - Title II'!A26:C140,3,FALSE)</f>
        <v>4025</v>
      </c>
      <c r="K36" s="261">
        <f>SUMIFS('Peoplesoft-FY13'!$L:$L,'Peoplesoft-FY13'!$S:$S,$C36,'Peoplesoft-FY13'!$Q:$Q,K$3)</f>
        <v>0</v>
      </c>
      <c r="L36" s="261">
        <f>SUMIFS('Peoplesoft-FY13'!$L:$L,'Peoplesoft-FY13'!$S:$S,$C36,'Peoplesoft-FY13'!$Q:$Q,L$3)</f>
        <v>0</v>
      </c>
      <c r="M36" s="261">
        <v>0</v>
      </c>
      <c r="N36" s="261">
        <v>0</v>
      </c>
      <c r="O36" s="261">
        <v>0</v>
      </c>
      <c r="P36" s="118">
        <f t="shared" ref="P36:P67" si="5">SUM(F36:O36)</f>
        <v>67680.510000000009</v>
      </c>
      <c r="Q36" s="119">
        <f t="shared" ref="Q36:Q70" si="6">SUM(E36:O36)</f>
        <v>1442878.88</v>
      </c>
      <c r="R36" s="120">
        <f t="shared" si="3"/>
        <v>4.6906577494571139E-2</v>
      </c>
      <c r="S36" s="262">
        <f t="shared" si="4"/>
        <v>0.95309342250542883</v>
      </c>
      <c r="T36" s="121">
        <f t="shared" si="2"/>
        <v>1</v>
      </c>
    </row>
    <row r="37" spans="1:20" ht="13.2" x14ac:dyDescent="0.25">
      <c r="A37" s="271">
        <v>5640</v>
      </c>
      <c r="B37" s="93">
        <v>35</v>
      </c>
      <c r="C37" s="271">
        <v>5640</v>
      </c>
      <c r="D37" s="290" t="s">
        <v>48</v>
      </c>
      <c r="E37" s="261">
        <f>SUMIFS('Peoplesoft-FY13'!L:L,'Peoplesoft-FY13'!S:S,C37,'Peoplesoft-FY13'!Q:Q,$E$3)-P37</f>
        <v>2293310.9699999997</v>
      </c>
      <c r="F37" s="261">
        <f>SUMIFS('Peoplesoft-FY13'!$L:$L,'Peoplesoft-FY13'!$S:$S,$C37,'Peoplesoft-FY13'!$Q:$Q,F$3)</f>
        <v>0</v>
      </c>
      <c r="G37" s="261">
        <f>SUMIFS('Peoplesoft-FY13'!$L:$L,'Peoplesoft-FY13'!$S:$S,$C37,'Peoplesoft-FY13'!$Q:$Q,G$3)</f>
        <v>0</v>
      </c>
      <c r="H37" s="261">
        <v>0</v>
      </c>
      <c r="I37" s="261">
        <f>VLOOKUP(C37,'733 - Title I'!A22:C133,3,FALSE)</f>
        <v>62050.75</v>
      </c>
      <c r="J37" s="261">
        <f>VLOOKUP(C37,'735 - Title II'!A27:C141,3,FALSE)</f>
        <v>7325</v>
      </c>
      <c r="K37" s="261">
        <f>SUMIFS('Peoplesoft-FY13'!$L:$L,'Peoplesoft-FY13'!$S:$S,$C37,'Peoplesoft-FY13'!$Q:$Q,K$3)</f>
        <v>0</v>
      </c>
      <c r="L37" s="261">
        <f>SUMIFS('Peoplesoft-FY13'!$L:$L,'Peoplesoft-FY13'!$S:$S,$C37,'Peoplesoft-FY13'!$Q:$Q,L$3)</f>
        <v>0</v>
      </c>
      <c r="M37" s="261">
        <v>0</v>
      </c>
      <c r="N37" s="261">
        <v>0</v>
      </c>
      <c r="O37" s="261">
        <f>VLOOKUP(C37,'8110 - Federal Payments'!A:C,3,FALSE)</f>
        <v>232726.92</v>
      </c>
      <c r="P37" s="118">
        <f t="shared" si="5"/>
        <v>302102.67000000004</v>
      </c>
      <c r="Q37" s="119">
        <f t="shared" si="6"/>
        <v>2595413.6399999997</v>
      </c>
      <c r="R37" s="120">
        <f t="shared" si="3"/>
        <v>0.11639866006098361</v>
      </c>
      <c r="S37" s="262">
        <f t="shared" ref="S37:S70" si="7">E37/Q37</f>
        <v>0.88360133993901646</v>
      </c>
      <c r="T37" s="121">
        <f t="shared" si="2"/>
        <v>1</v>
      </c>
    </row>
    <row r="38" spans="1:20" ht="13.2" x14ac:dyDescent="0.25">
      <c r="A38" s="271">
        <v>5690</v>
      </c>
      <c r="B38" s="93">
        <v>36</v>
      </c>
      <c r="C38" s="271">
        <v>5690</v>
      </c>
      <c r="D38" s="290" t="s">
        <v>49</v>
      </c>
      <c r="E38" s="261">
        <f>SUMIFS('Peoplesoft-FY13'!L:L,'Peoplesoft-FY13'!S:S,C38,'Peoplesoft-FY13'!Q:Q,$E$3)-P38</f>
        <v>3968463.42</v>
      </c>
      <c r="F38" s="261">
        <f>SUMIFS('Peoplesoft-FY13'!$L:$L,'Peoplesoft-FY13'!$S:$S,$C38,'Peoplesoft-FY13'!$Q:$Q,F$3)</f>
        <v>0</v>
      </c>
      <c r="G38" s="261">
        <f>SUMIFS('Peoplesoft-FY13'!$L:$L,'Peoplesoft-FY13'!$S:$S,$C38,'Peoplesoft-FY13'!$Q:$Q,G$3)</f>
        <v>0</v>
      </c>
      <c r="H38" s="261">
        <v>0</v>
      </c>
      <c r="I38" s="261">
        <f>VLOOKUP(C38,'733 - Title I'!A23:C134,3,FALSE)</f>
        <v>207565.09</v>
      </c>
      <c r="J38" s="261">
        <f>VLOOKUP(C38,'735 - Title II'!A28:C142,3,FALSE)</f>
        <v>11800</v>
      </c>
      <c r="K38" s="261">
        <f>SUMIFS('Peoplesoft-FY13'!$L:$L,'Peoplesoft-FY13'!$S:$S,$C38,'Peoplesoft-FY13'!$Q:$Q,K$3)</f>
        <v>0</v>
      </c>
      <c r="L38" s="261">
        <f>SUMIFS('Peoplesoft-FY13'!$L:$L,'Peoplesoft-FY13'!$S:$S,$C38,'Peoplesoft-FY13'!$Q:$Q,L$3)</f>
        <v>0</v>
      </c>
      <c r="M38" s="261">
        <v>0</v>
      </c>
      <c r="N38" s="261">
        <v>0</v>
      </c>
      <c r="O38" s="261">
        <f>VLOOKUP(C38,'8110 - Federal Payments'!A:C,3,FALSE)</f>
        <v>287706.78000000003</v>
      </c>
      <c r="P38" s="118">
        <f t="shared" si="5"/>
        <v>507071.87</v>
      </c>
      <c r="Q38" s="119">
        <f t="shared" si="6"/>
        <v>4475535.29</v>
      </c>
      <c r="R38" s="120">
        <f t="shared" si="3"/>
        <v>0.11329859718299752</v>
      </c>
      <c r="S38" s="262">
        <f t="shared" si="7"/>
        <v>0.88670140281700249</v>
      </c>
      <c r="T38" s="121">
        <f t="shared" si="2"/>
        <v>1</v>
      </c>
    </row>
    <row r="39" spans="1:20" ht="13.2" x14ac:dyDescent="0.25">
      <c r="A39" s="271">
        <v>5710</v>
      </c>
      <c r="B39" s="93">
        <v>37</v>
      </c>
      <c r="C39" s="271">
        <v>5710</v>
      </c>
      <c r="D39" s="290" t="s">
        <v>50</v>
      </c>
      <c r="E39" s="261">
        <f>SUMIFS('Peoplesoft-FY13'!L:L,'Peoplesoft-FY13'!S:S,C39,'Peoplesoft-FY13'!Q:Q,$E$3)-P39</f>
        <v>2296100.48</v>
      </c>
      <c r="F39" s="261">
        <f>SUMIFS('Peoplesoft-FY13'!$L:$L,'Peoplesoft-FY13'!$S:$S,$C39,'Peoplesoft-FY13'!$Q:$Q,F$3)</f>
        <v>0</v>
      </c>
      <c r="G39" s="261">
        <f>SUMIFS('Peoplesoft-FY13'!$L:$L,'Peoplesoft-FY13'!$S:$S,$C39,'Peoplesoft-FY13'!$Q:$Q,G$3)</f>
        <v>0</v>
      </c>
      <c r="H39" s="261">
        <v>0</v>
      </c>
      <c r="I39" s="261">
        <f>VLOOKUP(C39,'733 - Title I'!A24:C135,3,FALSE)</f>
        <v>161786.62</v>
      </c>
      <c r="J39" s="261">
        <f>VLOOKUP(C39,'735 - Title II'!A29:C143,3,FALSE)</f>
        <v>7925</v>
      </c>
      <c r="K39" s="261">
        <f>SUMIFS('Peoplesoft-FY13'!$L:$L,'Peoplesoft-FY13'!$S:$S,$C39,'Peoplesoft-FY13'!$Q:$Q,K$3)</f>
        <v>0</v>
      </c>
      <c r="L39" s="261">
        <f>SUMIFS('Peoplesoft-FY13'!$L:$L,'Peoplesoft-FY13'!$S:$S,$C39,'Peoplesoft-FY13'!$Q:$Q,L$3)</f>
        <v>0</v>
      </c>
      <c r="M39" s="261">
        <v>0</v>
      </c>
      <c r="N39" s="261">
        <v>0</v>
      </c>
      <c r="O39" s="261">
        <f>VLOOKUP(C39,'8110 - Federal Payments'!A:C,3,FALSE)</f>
        <v>196957.65</v>
      </c>
      <c r="P39" s="118">
        <f t="shared" si="5"/>
        <v>366669.27</v>
      </c>
      <c r="Q39" s="119">
        <f t="shared" si="6"/>
        <v>2662769.75</v>
      </c>
      <c r="R39" s="120">
        <f t="shared" si="3"/>
        <v>0.13770220650884291</v>
      </c>
      <c r="S39" s="262">
        <f t="shared" si="7"/>
        <v>0.86229779349115709</v>
      </c>
      <c r="T39" s="121">
        <f t="shared" si="2"/>
        <v>1</v>
      </c>
    </row>
    <row r="40" spans="1:20" ht="13.2" x14ac:dyDescent="0.25">
      <c r="A40" s="271">
        <v>5730</v>
      </c>
      <c r="B40" s="93">
        <v>38</v>
      </c>
      <c r="C40" s="271">
        <v>5730</v>
      </c>
      <c r="D40" s="290" t="s">
        <v>51</v>
      </c>
      <c r="E40" s="261">
        <f>SUMIFS('Peoplesoft-FY13'!L:L,'Peoplesoft-FY13'!S:S,C40,'Peoplesoft-FY13'!Q:Q,$E$3)-P40</f>
        <v>2170525.85</v>
      </c>
      <c r="F40" s="261">
        <f>SUMIFS('Peoplesoft-FY13'!$L:$L,'Peoplesoft-FY13'!$S:$S,$C40,'Peoplesoft-FY13'!$Q:$Q,F$3)</f>
        <v>0</v>
      </c>
      <c r="G40" s="261">
        <f>SUMIFS('Peoplesoft-FY13'!$L:$L,'Peoplesoft-FY13'!$S:$S,$C40,'Peoplesoft-FY13'!$Q:$Q,G$3)</f>
        <v>0</v>
      </c>
      <c r="H40" s="261">
        <v>0</v>
      </c>
      <c r="I40" s="261">
        <f>VLOOKUP(C40,'733 - Title I'!A25:C136,3,FALSE)</f>
        <v>160978.89000000001</v>
      </c>
      <c r="J40" s="261">
        <f>VLOOKUP(C40,'735 - Title II'!A30:C144,3,FALSE)</f>
        <v>8200</v>
      </c>
      <c r="K40" s="261">
        <f>SUMIFS('Peoplesoft-FY13'!$L:$L,'Peoplesoft-FY13'!$S:$S,$C40,'Peoplesoft-FY13'!$Q:$Q,K$3)</f>
        <v>0</v>
      </c>
      <c r="L40" s="261">
        <f>SUMIFS('Peoplesoft-FY13'!$L:$L,'Peoplesoft-FY13'!$S:$S,$C40,'Peoplesoft-FY13'!$Q:$Q,L$3)</f>
        <v>0</v>
      </c>
      <c r="M40" s="261">
        <v>0</v>
      </c>
      <c r="N40" s="261">
        <v>0</v>
      </c>
      <c r="O40" s="261">
        <f>VLOOKUP(C40,'8110 - Federal Payments'!A:C,3,FALSE)</f>
        <v>290680.51</v>
      </c>
      <c r="P40" s="118">
        <f t="shared" si="5"/>
        <v>459859.4</v>
      </c>
      <c r="Q40" s="119">
        <f t="shared" si="6"/>
        <v>2630385.25</v>
      </c>
      <c r="R40" s="120">
        <f t="shared" si="3"/>
        <v>0.17482587389052612</v>
      </c>
      <c r="S40" s="262">
        <f t="shared" si="7"/>
        <v>0.82517412610947394</v>
      </c>
      <c r="T40" s="121">
        <f t="shared" si="2"/>
        <v>1</v>
      </c>
    </row>
    <row r="41" spans="1:20" ht="13.2" x14ac:dyDescent="0.25">
      <c r="A41" s="271">
        <v>5740</v>
      </c>
      <c r="B41" s="93">
        <v>39</v>
      </c>
      <c r="C41" s="271">
        <v>5740</v>
      </c>
      <c r="D41" s="290" t="s">
        <v>52</v>
      </c>
      <c r="E41" s="261">
        <f>SUMIFS('Peoplesoft-FY13'!L:L,'Peoplesoft-FY13'!S:S,C41,'Peoplesoft-FY13'!Q:Q,$E$3)-P41</f>
        <v>3263189.59</v>
      </c>
      <c r="F41" s="261">
        <f>SUMIFS('Peoplesoft-FY13'!$L:$L,'Peoplesoft-FY13'!$S:$S,$C41,'Peoplesoft-FY13'!$Q:$Q,F$3)</f>
        <v>0</v>
      </c>
      <c r="G41" s="261">
        <f>SUMIFS('Peoplesoft-FY13'!$L:$L,'Peoplesoft-FY13'!$S:$S,$C41,'Peoplesoft-FY13'!$Q:$Q,G$3)</f>
        <v>0</v>
      </c>
      <c r="H41" s="261">
        <v>0</v>
      </c>
      <c r="I41" s="261">
        <f>VLOOKUP(C41,'733 - Title I'!A26:C137,3,FALSE)</f>
        <v>174662.16</v>
      </c>
      <c r="J41" s="261">
        <f>VLOOKUP(C41,'735 - Title II'!A31:C145,3,FALSE)</f>
        <v>8925</v>
      </c>
      <c r="K41" s="261">
        <f>SUMIFS('Peoplesoft-FY13'!$L:$L,'Peoplesoft-FY13'!$S:$S,$C41,'Peoplesoft-FY13'!$Q:$Q,K$3)</f>
        <v>0</v>
      </c>
      <c r="L41" s="261">
        <f>SUMIFS('Peoplesoft-FY13'!$L:$L,'Peoplesoft-FY13'!$S:$S,$C41,'Peoplesoft-FY13'!$Q:$Q,L$3)</f>
        <v>0</v>
      </c>
      <c r="M41" s="261">
        <v>0</v>
      </c>
      <c r="N41" s="261">
        <v>0</v>
      </c>
      <c r="O41" s="261">
        <v>0</v>
      </c>
      <c r="P41" s="118">
        <f t="shared" si="5"/>
        <v>183587.16</v>
      </c>
      <c r="Q41" s="119">
        <f t="shared" si="6"/>
        <v>3446776.75</v>
      </c>
      <c r="R41" s="120">
        <f t="shared" si="3"/>
        <v>5.3263432277706989E-2</v>
      </c>
      <c r="S41" s="262">
        <f t="shared" si="7"/>
        <v>0.94673656772229298</v>
      </c>
      <c r="T41" s="121">
        <f t="shared" si="2"/>
        <v>1</v>
      </c>
    </row>
    <row r="42" spans="1:20" ht="13.2" x14ac:dyDescent="0.25">
      <c r="A42" s="271">
        <v>5750</v>
      </c>
      <c r="B42" s="93">
        <v>40</v>
      </c>
      <c r="C42" s="271">
        <v>5750</v>
      </c>
      <c r="D42" s="290" t="s">
        <v>53</v>
      </c>
      <c r="E42" s="261">
        <f>SUMIFS('Peoplesoft-FY13'!L:L,'Peoplesoft-FY13'!S:S,C42,'Peoplesoft-FY13'!Q:Q,$E$3)-P42</f>
        <v>2256483.85</v>
      </c>
      <c r="F42" s="261">
        <f>SUMIFS('Peoplesoft-FY13'!$L:$L,'Peoplesoft-FY13'!$S:$S,$C42,'Peoplesoft-FY13'!$Q:$Q,F$3)</f>
        <v>0</v>
      </c>
      <c r="G42" s="261">
        <f>SUMIFS('Peoplesoft-FY13'!$L:$L,'Peoplesoft-FY13'!$S:$S,$C42,'Peoplesoft-FY13'!$Q:$Q,G$3)</f>
        <v>0</v>
      </c>
      <c r="H42" s="261">
        <v>0</v>
      </c>
      <c r="I42" s="261">
        <f>VLOOKUP(C42,'733 - Title I'!A27:C138,3,FALSE)</f>
        <v>145348.51999999999</v>
      </c>
      <c r="J42" s="261">
        <f>VLOOKUP(C42,'735 - Title II'!A32:C146,3,FALSE)</f>
        <v>7700</v>
      </c>
      <c r="K42" s="261">
        <f>SUMIFS('Peoplesoft-FY13'!$L:$L,'Peoplesoft-FY13'!$S:$S,$C42,'Peoplesoft-FY13'!$Q:$Q,K$3)</f>
        <v>0</v>
      </c>
      <c r="L42" s="261">
        <f>SUMIFS('Peoplesoft-FY13'!$L:$L,'Peoplesoft-FY13'!$S:$S,$C42,'Peoplesoft-FY13'!$Q:$Q,L$3)</f>
        <v>0</v>
      </c>
      <c r="M42" s="261">
        <v>0</v>
      </c>
      <c r="N42" s="261">
        <v>0</v>
      </c>
      <c r="O42" s="261">
        <v>0</v>
      </c>
      <c r="P42" s="118">
        <f t="shared" si="5"/>
        <v>153048.51999999999</v>
      </c>
      <c r="Q42" s="119">
        <f t="shared" si="6"/>
        <v>2409532.37</v>
      </c>
      <c r="R42" s="120">
        <f t="shared" si="3"/>
        <v>6.3517934809898396E-2</v>
      </c>
      <c r="S42" s="262">
        <f t="shared" si="7"/>
        <v>0.93648206519010158</v>
      </c>
      <c r="T42" s="121">
        <f t="shared" si="2"/>
        <v>1</v>
      </c>
    </row>
    <row r="43" spans="1:20" ht="13.2" x14ac:dyDescent="0.25">
      <c r="A43" s="271">
        <v>5780</v>
      </c>
      <c r="B43" s="93">
        <v>41</v>
      </c>
      <c r="C43" s="271">
        <v>5780</v>
      </c>
      <c r="D43" s="290" t="s">
        <v>54</v>
      </c>
      <c r="E43" s="261">
        <f>SUMIFS('Peoplesoft-FY13'!L:L,'Peoplesoft-FY13'!S:S,C43,'Peoplesoft-FY13'!Q:Q,$E$3)-P43</f>
        <v>2573209.5099999998</v>
      </c>
      <c r="F43" s="261">
        <f>SUMIFS('Peoplesoft-FY13'!$L:$L,'Peoplesoft-FY13'!$S:$S,$C43,'Peoplesoft-FY13'!$Q:$Q,F$3)</f>
        <v>0</v>
      </c>
      <c r="G43" s="261">
        <f>SUMIFS('Peoplesoft-FY13'!$L:$L,'Peoplesoft-FY13'!$S:$S,$C43,'Peoplesoft-FY13'!$Q:$Q,G$3)</f>
        <v>0</v>
      </c>
      <c r="H43" s="261">
        <v>0</v>
      </c>
      <c r="I43" s="261">
        <f>VLOOKUP(C43,'733 - Title I'!A28:C139,3,FALSE)</f>
        <v>154431.47</v>
      </c>
      <c r="J43" s="261">
        <f>VLOOKUP(C43,'735 - Title II'!A33:C147,3,FALSE)</f>
        <v>8125</v>
      </c>
      <c r="K43" s="261">
        <f>SUMIFS('Peoplesoft-FY13'!$L:$L,'Peoplesoft-FY13'!$S:$S,$C43,'Peoplesoft-FY13'!$Q:$Q,K$3)</f>
        <v>0</v>
      </c>
      <c r="L43" s="261">
        <f>SUMIFS('Peoplesoft-FY13'!$L:$L,'Peoplesoft-FY13'!$S:$S,$C43,'Peoplesoft-FY13'!$Q:$Q,L$3)</f>
        <v>0</v>
      </c>
      <c r="M43" s="261">
        <v>0</v>
      </c>
      <c r="N43" s="261">
        <v>0</v>
      </c>
      <c r="O43" s="261">
        <f>VLOOKUP(C43,'8110 - Federal Payments'!A:C,3,FALSE)</f>
        <v>392400.26999999996</v>
      </c>
      <c r="P43" s="118">
        <f t="shared" si="5"/>
        <v>554956.74</v>
      </c>
      <c r="Q43" s="119">
        <f t="shared" si="6"/>
        <v>3128166.25</v>
      </c>
      <c r="R43" s="120">
        <f t="shared" si="3"/>
        <v>0.17740640862677934</v>
      </c>
      <c r="S43" s="262">
        <f t="shared" si="7"/>
        <v>0.82259359137322063</v>
      </c>
      <c r="T43" s="121">
        <f t="shared" si="2"/>
        <v>1</v>
      </c>
    </row>
    <row r="44" spans="1:20" ht="13.2" x14ac:dyDescent="0.25">
      <c r="A44" s="271">
        <v>5790</v>
      </c>
      <c r="B44" s="93">
        <v>42</v>
      </c>
      <c r="C44" s="271">
        <v>5790</v>
      </c>
      <c r="D44" s="290" t="s">
        <v>55</v>
      </c>
      <c r="E44" s="261">
        <f>SUMIFS('Peoplesoft-FY13'!L:L,'Peoplesoft-FY13'!S:S,C44,'Peoplesoft-FY13'!Q:Q,$E$3)-P44</f>
        <v>2035184.8099999998</v>
      </c>
      <c r="F44" s="261">
        <f>SUMIFS('Peoplesoft-FY13'!$L:$L,'Peoplesoft-FY13'!$S:$S,$C44,'Peoplesoft-FY13'!$Q:$Q,F$3)</f>
        <v>0</v>
      </c>
      <c r="G44" s="261">
        <f>SUMIFS('Peoplesoft-FY13'!$L:$L,'Peoplesoft-FY13'!$S:$S,$C44,'Peoplesoft-FY13'!$Q:$Q,G$3)</f>
        <v>0</v>
      </c>
      <c r="H44" s="261">
        <v>0</v>
      </c>
      <c r="I44" s="261">
        <f>VLOOKUP(C44,'733 - Title I'!A29:C140,3,FALSE)</f>
        <v>104844.37</v>
      </c>
      <c r="J44" s="261">
        <f>VLOOKUP(C44,'735 - Title II'!A34:C148,3,FALSE)</f>
        <v>5900</v>
      </c>
      <c r="K44" s="261">
        <f>SUMIFS('Peoplesoft-FY13'!$L:$L,'Peoplesoft-FY13'!$S:$S,$C44,'Peoplesoft-FY13'!$Q:$Q,K$3)</f>
        <v>0</v>
      </c>
      <c r="L44" s="261">
        <f>SUMIFS('Peoplesoft-FY13'!$L:$L,'Peoplesoft-FY13'!$S:$S,$C44,'Peoplesoft-FY13'!$Q:$Q,L$3)</f>
        <v>0</v>
      </c>
      <c r="M44" s="261">
        <v>0</v>
      </c>
      <c r="N44" s="261">
        <v>0</v>
      </c>
      <c r="O44" s="261">
        <f>VLOOKUP(C44,'8110 - Federal Payments'!A:C,3,FALSE)</f>
        <v>278994.83</v>
      </c>
      <c r="P44" s="118">
        <f t="shared" si="5"/>
        <v>389739.2</v>
      </c>
      <c r="Q44" s="119">
        <f t="shared" si="6"/>
        <v>2424924.0099999998</v>
      </c>
      <c r="R44" s="120">
        <f t="shared" si="3"/>
        <v>0.16072223228141488</v>
      </c>
      <c r="S44" s="262">
        <f t="shared" si="7"/>
        <v>0.83927776771858509</v>
      </c>
      <c r="T44" s="121">
        <f t="shared" si="2"/>
        <v>1</v>
      </c>
    </row>
    <row r="45" spans="1:20" ht="13.2" x14ac:dyDescent="0.25">
      <c r="A45" s="271">
        <v>5820</v>
      </c>
      <c r="B45" s="93">
        <v>43</v>
      </c>
      <c r="C45" s="271">
        <v>5820</v>
      </c>
      <c r="D45" s="290" t="s">
        <v>56</v>
      </c>
      <c r="E45" s="261">
        <f>SUMIFS('Peoplesoft-FY13'!L:L,'Peoplesoft-FY13'!S:S,C45,'Peoplesoft-FY13'!Q:Q,$E$3)-P45</f>
        <v>1719911.5299999998</v>
      </c>
      <c r="F45" s="261">
        <f>SUMIFS('Peoplesoft-FY13'!$L:$L,'Peoplesoft-FY13'!$S:$S,$C45,'Peoplesoft-FY13'!$Q:$Q,F$3)</f>
        <v>0</v>
      </c>
      <c r="G45" s="261">
        <f>SUMIFS('Peoplesoft-FY13'!$L:$L,'Peoplesoft-FY13'!$S:$S,$C45,'Peoplesoft-FY13'!$Q:$Q,G$3)</f>
        <v>0</v>
      </c>
      <c r="H45" s="261">
        <v>0</v>
      </c>
      <c r="I45" s="261">
        <f>VLOOKUP(C45,'733 - Title I'!A30:C141,3,FALSE)</f>
        <v>107417.33</v>
      </c>
      <c r="J45" s="261">
        <f>VLOOKUP(C45,'735 - Title II'!A35:C149,3,FALSE)</f>
        <v>5575</v>
      </c>
      <c r="K45" s="261">
        <f>SUMIFS('Peoplesoft-FY13'!$L:$L,'Peoplesoft-FY13'!$S:$S,$C45,'Peoplesoft-FY13'!$Q:$Q,K$3)</f>
        <v>0</v>
      </c>
      <c r="L45" s="261">
        <f>SUMIFS('Peoplesoft-FY13'!$L:$L,'Peoplesoft-FY13'!$S:$S,$C45,'Peoplesoft-FY13'!$Q:$Q,L$3)</f>
        <v>0</v>
      </c>
      <c r="M45" s="261">
        <v>0</v>
      </c>
      <c r="N45" s="261">
        <v>0</v>
      </c>
      <c r="O45" s="261">
        <f>VLOOKUP(C45,'8110 - Federal Payments'!A:C,3,FALSE)</f>
        <v>176836.15</v>
      </c>
      <c r="P45" s="118">
        <f t="shared" si="5"/>
        <v>289828.47999999998</v>
      </c>
      <c r="Q45" s="119">
        <f t="shared" si="6"/>
        <v>2009740.0099999998</v>
      </c>
      <c r="R45" s="120">
        <f t="shared" si="3"/>
        <v>0.14421192719350798</v>
      </c>
      <c r="S45" s="262">
        <f t="shared" si="7"/>
        <v>0.85578807280649205</v>
      </c>
      <c r="T45" s="121">
        <f t="shared" si="2"/>
        <v>1</v>
      </c>
    </row>
    <row r="46" spans="1:20" ht="13.2" x14ac:dyDescent="0.25">
      <c r="A46" s="271">
        <v>5830</v>
      </c>
      <c r="B46" s="93">
        <v>44</v>
      </c>
      <c r="C46" s="271">
        <v>5830</v>
      </c>
      <c r="D46" s="290" t="s">
        <v>57</v>
      </c>
      <c r="E46" s="261">
        <f>SUMIFS('Peoplesoft-FY13'!L:L,'Peoplesoft-FY13'!S:S,C46,'Peoplesoft-FY13'!Q:Q,$E$3)-P46</f>
        <v>3064136.4400000004</v>
      </c>
      <c r="F46" s="261">
        <f>SUMIFS('Peoplesoft-FY13'!$L:$L,'Peoplesoft-FY13'!$S:$S,$C46,'Peoplesoft-FY13'!$Q:$Q,F$3)</f>
        <v>0</v>
      </c>
      <c r="G46" s="261">
        <f>SUMIFS('Peoplesoft-FY13'!$L:$L,'Peoplesoft-FY13'!$S:$S,$C46,'Peoplesoft-FY13'!$Q:$Q,G$3)</f>
        <v>0</v>
      </c>
      <c r="H46" s="261">
        <v>0</v>
      </c>
      <c r="I46" s="261">
        <f>VLOOKUP(C46,'733 - Title I'!A31:C142,3,FALSE)</f>
        <v>142796.96</v>
      </c>
      <c r="J46" s="261">
        <f>VLOOKUP(C46,'735 - Title II'!A36:C150,3,FALSE)</f>
        <v>7750</v>
      </c>
      <c r="K46" s="261">
        <f>SUMIFS('Peoplesoft-FY13'!$L:$L,'Peoplesoft-FY13'!$S:$S,$C46,'Peoplesoft-FY13'!$Q:$Q,K$3)</f>
        <v>0</v>
      </c>
      <c r="L46" s="261">
        <f>SUMIFS('Peoplesoft-FY13'!$L:$L,'Peoplesoft-FY13'!$S:$S,$C46,'Peoplesoft-FY13'!$Q:$Q,L$3)</f>
        <v>0</v>
      </c>
      <c r="M46" s="261">
        <v>0</v>
      </c>
      <c r="N46" s="261">
        <v>0</v>
      </c>
      <c r="O46" s="261">
        <f>VLOOKUP(C46,'8110 - Federal Payments'!A:C,3,FALSE)</f>
        <v>112099.45999999999</v>
      </c>
      <c r="P46" s="118">
        <f t="shared" si="5"/>
        <v>262646.42</v>
      </c>
      <c r="Q46" s="119">
        <f t="shared" si="6"/>
        <v>3326782.8600000003</v>
      </c>
      <c r="R46" s="120">
        <f t="shared" si="3"/>
        <v>7.894907213751845E-2</v>
      </c>
      <c r="S46" s="262">
        <f t="shared" si="7"/>
        <v>0.92105092786248155</v>
      </c>
      <c r="T46" s="121">
        <f t="shared" si="2"/>
        <v>1</v>
      </c>
    </row>
    <row r="47" spans="1:20" ht="13.2" x14ac:dyDescent="0.25">
      <c r="A47" s="271">
        <v>5840</v>
      </c>
      <c r="B47" s="93">
        <v>45</v>
      </c>
      <c r="C47" s="271">
        <v>5840</v>
      </c>
      <c r="D47" s="290" t="s">
        <v>58</v>
      </c>
      <c r="E47" s="261">
        <f>SUMIFS('Peoplesoft-FY13'!L:L,'Peoplesoft-FY13'!S:S,C47,'Peoplesoft-FY13'!Q:Q,$E$3)-P47</f>
        <v>2856905.9099999997</v>
      </c>
      <c r="F47" s="261">
        <f>SUMIFS('Peoplesoft-FY13'!$L:$L,'Peoplesoft-FY13'!$S:$S,$C47,'Peoplesoft-FY13'!$Q:$Q,F$3)</f>
        <v>0</v>
      </c>
      <c r="G47" s="261">
        <f>SUMIFS('Peoplesoft-FY13'!$L:$L,'Peoplesoft-FY13'!$S:$S,$C47,'Peoplesoft-FY13'!$Q:$Q,G$3)</f>
        <v>0</v>
      </c>
      <c r="H47" s="261">
        <v>0</v>
      </c>
      <c r="I47" s="261">
        <f>VLOOKUP(C47,'733 - Title I'!A32:C143,3,FALSE)</f>
        <v>171174.47</v>
      </c>
      <c r="J47" s="261">
        <f>VLOOKUP(C47,'735 - Title II'!A37:C151,3,FALSE)</f>
        <v>9625</v>
      </c>
      <c r="K47" s="261">
        <f>SUMIFS('Peoplesoft-FY13'!$L:$L,'Peoplesoft-FY13'!$S:$S,$C47,'Peoplesoft-FY13'!$Q:$Q,K$3)</f>
        <v>0</v>
      </c>
      <c r="L47" s="261">
        <f>SUMIFS('Peoplesoft-FY13'!$L:$L,'Peoplesoft-FY13'!$S:$S,$C47,'Peoplesoft-FY13'!$Q:$Q,L$3)</f>
        <v>0</v>
      </c>
      <c r="M47" s="261">
        <v>0</v>
      </c>
      <c r="N47" s="261">
        <v>0</v>
      </c>
      <c r="O47" s="261">
        <v>0</v>
      </c>
      <c r="P47" s="118">
        <f t="shared" si="5"/>
        <v>180799.47</v>
      </c>
      <c r="Q47" s="119">
        <f t="shared" si="6"/>
        <v>3037705.38</v>
      </c>
      <c r="R47" s="120">
        <f t="shared" si="3"/>
        <v>5.9518434931303314E-2</v>
      </c>
      <c r="S47" s="262">
        <f t="shared" si="7"/>
        <v>0.94048156506869662</v>
      </c>
      <c r="T47" s="121">
        <f t="shared" si="2"/>
        <v>0.99999999999999989</v>
      </c>
    </row>
    <row r="48" spans="1:20" ht="13.2" x14ac:dyDescent="0.25">
      <c r="A48" s="271">
        <v>5850</v>
      </c>
      <c r="B48" s="93">
        <v>46</v>
      </c>
      <c r="C48" s="271">
        <v>5850</v>
      </c>
      <c r="D48" s="290" t="s">
        <v>59</v>
      </c>
      <c r="E48" s="261">
        <f>SUMIFS('Peoplesoft-FY13'!L:L,'Peoplesoft-FY13'!S:S,C48,'Peoplesoft-FY13'!Q:Q,$E$3)-P48</f>
        <v>3781469.8600000003</v>
      </c>
      <c r="F48" s="261">
        <f>SUMIFS('Peoplesoft-FY13'!$L:$L,'Peoplesoft-FY13'!$S:$S,$C48,'Peoplesoft-FY13'!$Q:$Q,F$3)</f>
        <v>0</v>
      </c>
      <c r="G48" s="261">
        <f>SUMIFS('Peoplesoft-FY13'!$L:$L,'Peoplesoft-FY13'!$S:$S,$C48,'Peoplesoft-FY13'!$Q:$Q,G$3)</f>
        <v>0</v>
      </c>
      <c r="H48" s="261">
        <v>0</v>
      </c>
      <c r="I48" s="261">
        <f>VLOOKUP(C48,'733 - Title I'!A33:C144,3,FALSE)</f>
        <v>212283.09000000003</v>
      </c>
      <c r="J48" s="261">
        <f>VLOOKUP(C48,'735 - Title II'!A38:C152,3,FALSE)</f>
        <v>11100</v>
      </c>
      <c r="K48" s="261">
        <f>SUMIFS('Peoplesoft-FY13'!$L:$L,'Peoplesoft-FY13'!$S:$S,$C48,'Peoplesoft-FY13'!$Q:$Q,K$3)</f>
        <v>0</v>
      </c>
      <c r="L48" s="261">
        <f>SUMIFS('Peoplesoft-FY13'!$L:$L,'Peoplesoft-FY13'!$S:$S,$C48,'Peoplesoft-FY13'!$Q:$Q,L$3)</f>
        <v>0</v>
      </c>
      <c r="M48" s="261">
        <v>0</v>
      </c>
      <c r="N48" s="261">
        <v>0</v>
      </c>
      <c r="O48" s="261">
        <f>VLOOKUP(C48,'8110 - Federal Payments'!A:C,3,FALSE)</f>
        <v>331691.28000000003</v>
      </c>
      <c r="P48" s="118">
        <f t="shared" si="5"/>
        <v>555074.37000000011</v>
      </c>
      <c r="Q48" s="119">
        <f t="shared" si="6"/>
        <v>4336544.2300000004</v>
      </c>
      <c r="R48" s="120">
        <f t="shared" si="3"/>
        <v>0.1279992409993245</v>
      </c>
      <c r="S48" s="262">
        <f t="shared" si="7"/>
        <v>0.87200075900067553</v>
      </c>
      <c r="T48" s="121">
        <f t="shared" si="2"/>
        <v>1</v>
      </c>
    </row>
    <row r="49" spans="1:201" ht="13.2" x14ac:dyDescent="0.25">
      <c r="A49" s="271">
        <v>5860</v>
      </c>
      <c r="B49" s="93">
        <v>47</v>
      </c>
      <c r="C49" s="271">
        <v>5860</v>
      </c>
      <c r="D49" s="290" t="s">
        <v>60</v>
      </c>
      <c r="E49" s="261">
        <f>SUMIFS('Peoplesoft-FY13'!L:L,'Peoplesoft-FY13'!S:S,C49,'Peoplesoft-FY13'!Q:Q,$E$3)-P49</f>
        <v>2854826.14</v>
      </c>
      <c r="F49" s="261">
        <f>SUMIFS('Peoplesoft-FY13'!$L:$L,'Peoplesoft-FY13'!$S:$S,$C49,'Peoplesoft-FY13'!$Q:$Q,F$3)</f>
        <v>0</v>
      </c>
      <c r="G49" s="261">
        <f>SUMIFS('Peoplesoft-FY13'!$L:$L,'Peoplesoft-FY13'!$S:$S,$C49,'Peoplesoft-FY13'!$Q:$Q,G$3)</f>
        <v>0</v>
      </c>
      <c r="H49" s="261">
        <v>0</v>
      </c>
      <c r="I49" s="261">
        <f>VLOOKUP(C49,'733 - Title I'!A34:C145,3,FALSE)</f>
        <v>162300.15000000002</v>
      </c>
      <c r="J49" s="261">
        <f>VLOOKUP(C49,'735 - Title II'!A39:C153,3,FALSE)</f>
        <v>8950</v>
      </c>
      <c r="K49" s="261">
        <f>SUMIFS('Peoplesoft-FY13'!$L:$L,'Peoplesoft-FY13'!$S:$S,$C49,'Peoplesoft-FY13'!$Q:$Q,K$3)</f>
        <v>0</v>
      </c>
      <c r="L49" s="261">
        <f>SUMIFS('Peoplesoft-FY13'!$L:$L,'Peoplesoft-FY13'!$S:$S,$C49,'Peoplesoft-FY13'!$Q:$Q,L$3)</f>
        <v>0</v>
      </c>
      <c r="M49" s="261">
        <v>0</v>
      </c>
      <c r="N49" s="261">
        <v>0</v>
      </c>
      <c r="O49" s="261">
        <f>VLOOKUP(C49,'8110 - Federal Payments'!A:C,3,FALSE)</f>
        <v>613432.19999999995</v>
      </c>
      <c r="P49" s="118">
        <f t="shared" si="5"/>
        <v>784682.35</v>
      </c>
      <c r="Q49" s="119">
        <f t="shared" si="6"/>
        <v>3639508.49</v>
      </c>
      <c r="R49" s="120">
        <f t="shared" si="3"/>
        <v>0.21560118685146959</v>
      </c>
      <c r="S49" s="262">
        <f t="shared" si="7"/>
        <v>0.78439881314853033</v>
      </c>
      <c r="T49" s="121">
        <f t="shared" si="2"/>
        <v>0.99999999999999989</v>
      </c>
    </row>
    <row r="50" spans="1:201" ht="13.2" x14ac:dyDescent="0.25">
      <c r="A50" s="271">
        <v>5870</v>
      </c>
      <c r="B50" s="93">
        <v>48</v>
      </c>
      <c r="C50" s="271">
        <v>5870</v>
      </c>
      <c r="D50" s="290" t="s">
        <v>61</v>
      </c>
      <c r="E50" s="261">
        <f>SUMIFS('Peoplesoft-FY13'!L:L,'Peoplesoft-FY13'!S:S,C50,'Peoplesoft-FY13'!Q:Q,$E$3)-P50</f>
        <v>770844</v>
      </c>
      <c r="F50" s="261">
        <f>SUMIFS('Peoplesoft-FY13'!$L:$L,'Peoplesoft-FY13'!$S:$S,$C50,'Peoplesoft-FY13'!$Q:$Q,F$3)</f>
        <v>0</v>
      </c>
      <c r="G50" s="261">
        <f>SUMIFS('Peoplesoft-FY13'!$L:$L,'Peoplesoft-FY13'!$S:$S,$C50,'Peoplesoft-FY13'!$Q:$Q,G$3)</f>
        <v>0</v>
      </c>
      <c r="H50" s="261">
        <v>0</v>
      </c>
      <c r="I50" s="261">
        <f>VLOOKUP(C50,'733 - Title I'!A35:C146,3,FALSE)</f>
        <v>0</v>
      </c>
      <c r="J50" s="261">
        <f>VLOOKUP(C50,'735 - Title II'!A40:C154,3,FALSE)</f>
        <v>0</v>
      </c>
      <c r="K50" s="261">
        <f>SUMIFS('Peoplesoft-FY13'!$L:$L,'Peoplesoft-FY13'!$S:$S,$C50,'Peoplesoft-FY13'!$Q:$Q,K$3)</f>
        <v>0</v>
      </c>
      <c r="L50" s="261">
        <f>SUMIFS('Peoplesoft-FY13'!$L:$L,'Peoplesoft-FY13'!$S:$S,$C50,'Peoplesoft-FY13'!$Q:$Q,L$3)</f>
        <v>0</v>
      </c>
      <c r="M50" s="261">
        <v>0</v>
      </c>
      <c r="N50" s="261">
        <v>0</v>
      </c>
      <c r="O50" s="261">
        <v>0</v>
      </c>
      <c r="P50" s="118">
        <f t="shared" si="5"/>
        <v>0</v>
      </c>
      <c r="Q50" s="119">
        <f t="shared" si="6"/>
        <v>770844</v>
      </c>
      <c r="R50" s="120">
        <f t="shared" si="3"/>
        <v>0</v>
      </c>
      <c r="S50" s="262">
        <f t="shared" si="7"/>
        <v>1</v>
      </c>
      <c r="T50" s="121">
        <f t="shared" si="2"/>
        <v>1</v>
      </c>
    </row>
    <row r="51" spans="1:201" ht="13.2" x14ac:dyDescent="0.25">
      <c r="A51" s="271">
        <v>5880</v>
      </c>
      <c r="B51" s="93">
        <v>49</v>
      </c>
      <c r="C51" s="271">
        <v>5880</v>
      </c>
      <c r="D51" s="291" t="s">
        <v>143</v>
      </c>
      <c r="E51" s="261">
        <f>SUMIFS('Peoplesoft-FY13'!L:L,'Peoplesoft-FY13'!S:S,C51,'Peoplesoft-FY13'!Q:Q,$E$3)-P51</f>
        <v>1451614.47</v>
      </c>
      <c r="F51" s="261">
        <f>SUMIFS('Peoplesoft-FY13'!$L:$L,'Peoplesoft-FY13'!$S:$S,$C51,'Peoplesoft-FY13'!$Q:$Q,F$3)</f>
        <v>0</v>
      </c>
      <c r="G51" s="261">
        <f>SUMIFS('Peoplesoft-FY13'!$L:$L,'Peoplesoft-FY13'!$S:$S,$C51,'Peoplesoft-FY13'!$Q:$Q,G$3)</f>
        <v>0</v>
      </c>
      <c r="H51" s="261">
        <v>0</v>
      </c>
      <c r="I51" s="261">
        <f>VLOOKUP(C51,'733 - Title I'!A36:C147,3,FALSE)</f>
        <v>0</v>
      </c>
      <c r="J51" s="261">
        <f>VLOOKUP(C51,'735 - Title II'!A41:C155,3,FALSE)</f>
        <v>3950</v>
      </c>
      <c r="K51" s="261">
        <f>SUMIFS('Peoplesoft-FY13'!$L:$L,'Peoplesoft-FY13'!$S:$S,$C51,'Peoplesoft-FY13'!$Q:$Q,K$3)</f>
        <v>0</v>
      </c>
      <c r="L51" s="261">
        <f>SUMIFS('Peoplesoft-FY13'!$L:$L,'Peoplesoft-FY13'!$S:$S,$C51,'Peoplesoft-FY13'!$Q:$Q,L$3)</f>
        <v>0</v>
      </c>
      <c r="M51" s="261">
        <v>0</v>
      </c>
      <c r="N51" s="261">
        <v>0</v>
      </c>
      <c r="O51" s="261">
        <f>VLOOKUP(C51,'8110 - Federal Payments'!A:C,3,FALSE)</f>
        <v>48619.6</v>
      </c>
      <c r="P51" s="118">
        <f t="shared" si="5"/>
        <v>52569.599999999999</v>
      </c>
      <c r="Q51" s="119">
        <f t="shared" si="6"/>
        <v>1504184.07</v>
      </c>
      <c r="R51" s="120">
        <f t="shared" si="3"/>
        <v>3.4948914197715175E-2</v>
      </c>
      <c r="S51" s="262">
        <f t="shared" si="7"/>
        <v>0.96505108580228471</v>
      </c>
      <c r="T51" s="121">
        <f t="shared" si="2"/>
        <v>0.99999999999999989</v>
      </c>
    </row>
    <row r="52" spans="1:201" ht="13.2" x14ac:dyDescent="0.25">
      <c r="A52" s="271">
        <v>5900</v>
      </c>
      <c r="B52" s="93">
        <v>50</v>
      </c>
      <c r="C52" s="271">
        <v>5900</v>
      </c>
      <c r="D52" s="290" t="s">
        <v>63</v>
      </c>
      <c r="E52" s="261">
        <f>SUMIFS('Peoplesoft-FY13'!L:L,'Peoplesoft-FY13'!S:S,C52,'Peoplesoft-FY13'!Q:Q,$E$3)-P52</f>
        <v>2975841.4299999997</v>
      </c>
      <c r="F52" s="261">
        <f>SUMIFS('Peoplesoft-FY13'!$L:$L,'Peoplesoft-FY13'!$S:$S,$C52,'Peoplesoft-FY13'!$Q:$Q,F$3)</f>
        <v>0</v>
      </c>
      <c r="G52" s="261">
        <f>SUMIFS('Peoplesoft-FY13'!$L:$L,'Peoplesoft-FY13'!$S:$S,$C52,'Peoplesoft-FY13'!$Q:$Q,G$3)</f>
        <v>0</v>
      </c>
      <c r="H52" s="261">
        <f>VLOOKUP(C52,'731'!A:C,3,FALSE)</f>
        <v>0</v>
      </c>
      <c r="I52" s="261">
        <f>VLOOKUP(C52,'733 - Title I'!A37:C148,3,FALSE)</f>
        <v>161203.56</v>
      </c>
      <c r="J52" s="261">
        <f>VLOOKUP(C52,'735 - Title II'!A42:C156,3,FALSE)</f>
        <v>8650</v>
      </c>
      <c r="K52" s="261">
        <f>SUMIFS('Peoplesoft-FY13'!$L:$L,'Peoplesoft-FY13'!$S:$S,$C52,'Peoplesoft-FY13'!$Q:$Q,K$3)</f>
        <v>0</v>
      </c>
      <c r="L52" s="261">
        <f>SUMIFS('Peoplesoft-FY13'!$L:$L,'Peoplesoft-FY13'!$S:$S,$C52,'Peoplesoft-FY13'!$Q:$Q,L$3)</f>
        <v>0</v>
      </c>
      <c r="M52" s="261">
        <f>VLOOKUP(C52,'773'!A:C,3,FALSE)</f>
        <v>0</v>
      </c>
      <c r="N52" s="261">
        <v>0</v>
      </c>
      <c r="O52" s="261">
        <v>0</v>
      </c>
      <c r="P52" s="118">
        <f t="shared" si="5"/>
        <v>169853.56</v>
      </c>
      <c r="Q52" s="119">
        <f t="shared" si="6"/>
        <v>3145694.9899999998</v>
      </c>
      <c r="R52" s="120">
        <f t="shared" si="3"/>
        <v>5.3995559181661157E-2</v>
      </c>
      <c r="S52" s="262">
        <f t="shared" si="7"/>
        <v>0.94600444081833879</v>
      </c>
      <c r="T52" s="121">
        <f t="shared" si="2"/>
        <v>1</v>
      </c>
    </row>
    <row r="53" spans="1:201" ht="13.2" x14ac:dyDescent="0.25">
      <c r="A53" s="271">
        <v>5910</v>
      </c>
      <c r="B53" s="93">
        <v>51</v>
      </c>
      <c r="C53" s="271">
        <v>5910</v>
      </c>
      <c r="D53" s="290" t="s">
        <v>64</v>
      </c>
      <c r="E53" s="261">
        <f>SUMIFS('Peoplesoft-FY13'!L:L,'Peoplesoft-FY13'!S:S,C53,'Peoplesoft-FY13'!Q:Q,$E$3)-P53</f>
        <v>2855685.3099999996</v>
      </c>
      <c r="F53" s="261">
        <f>SUMIFS('Peoplesoft-FY13'!$L:$L,'Peoplesoft-FY13'!$S:$S,$C53,'Peoplesoft-FY13'!$Q:$Q,F$3)</f>
        <v>0</v>
      </c>
      <c r="G53" s="261">
        <f>SUMIFS('Peoplesoft-FY13'!$L:$L,'Peoplesoft-FY13'!$S:$S,$C53,'Peoplesoft-FY13'!$Q:$Q,G$3)</f>
        <v>0</v>
      </c>
      <c r="H53" s="261">
        <v>0</v>
      </c>
      <c r="I53" s="261">
        <f>VLOOKUP(C53,'733 - Title I'!A38:C149,3,FALSE)</f>
        <v>122036.7</v>
      </c>
      <c r="J53" s="261">
        <f>VLOOKUP(C53,'735 - Title II'!A43:C157,3,FALSE)</f>
        <v>6625</v>
      </c>
      <c r="K53" s="261">
        <f>SUMIFS('Peoplesoft-FY13'!$L:$L,'Peoplesoft-FY13'!$S:$S,$C53,'Peoplesoft-FY13'!$Q:$Q,K$3)</f>
        <v>0</v>
      </c>
      <c r="L53" s="261">
        <f>SUMIFS('Peoplesoft-FY13'!$L:$L,'Peoplesoft-FY13'!$S:$S,$C53,'Peoplesoft-FY13'!$Q:$Q,L$3)</f>
        <v>0</v>
      </c>
      <c r="M53" s="261">
        <v>0</v>
      </c>
      <c r="N53" s="261">
        <v>0</v>
      </c>
      <c r="O53" s="261">
        <v>0</v>
      </c>
      <c r="P53" s="118">
        <f t="shared" si="5"/>
        <v>128661.7</v>
      </c>
      <c r="Q53" s="119">
        <f t="shared" si="6"/>
        <v>2984347.01</v>
      </c>
      <c r="R53" s="120">
        <f t="shared" si="3"/>
        <v>4.3112178164562712E-2</v>
      </c>
      <c r="S53" s="262">
        <f t="shared" si="7"/>
        <v>0.95688782183543719</v>
      </c>
      <c r="T53" s="121">
        <f t="shared" si="2"/>
        <v>0.99999999999999989</v>
      </c>
    </row>
    <row r="54" spans="1:201" ht="13.2" x14ac:dyDescent="0.25">
      <c r="A54" s="271">
        <v>5950</v>
      </c>
      <c r="B54" s="93">
        <v>53</v>
      </c>
      <c r="C54" s="271">
        <v>5950</v>
      </c>
      <c r="D54" s="290" t="s">
        <v>65</v>
      </c>
      <c r="E54" s="261">
        <f>SUMIFS('Peoplesoft-FY13'!L:L,'Peoplesoft-FY13'!S:S,C54,'Peoplesoft-FY13'!Q:Q,$E$3)-P54</f>
        <v>2286419.02</v>
      </c>
      <c r="F54" s="261">
        <f>SUMIFS('Peoplesoft-FY13'!$L:$L,'Peoplesoft-FY13'!$S:$S,$C54,'Peoplesoft-FY13'!$Q:$Q,F$3)</f>
        <v>0</v>
      </c>
      <c r="G54" s="261">
        <f>SUMIFS('Peoplesoft-FY13'!$L:$L,'Peoplesoft-FY13'!$S:$S,$C54,'Peoplesoft-FY13'!$Q:$Q,G$3)</f>
        <v>0</v>
      </c>
      <c r="H54" s="261">
        <v>0</v>
      </c>
      <c r="I54" s="261">
        <f>VLOOKUP(C54,'733 - Title I'!A40:C151,3,FALSE)</f>
        <v>116666.09999999999</v>
      </c>
      <c r="J54" s="261">
        <f>VLOOKUP(C54,'735 - Title II'!A45:C159,3,FALSE)</f>
        <v>6300</v>
      </c>
      <c r="K54" s="261">
        <f>SUMIFS('Peoplesoft-FY13'!$L:$L,'Peoplesoft-FY13'!$S:$S,$C54,'Peoplesoft-FY13'!$Q:$Q,K$3)</f>
        <v>0</v>
      </c>
      <c r="L54" s="261">
        <f>SUMIFS('Peoplesoft-FY13'!$L:$L,'Peoplesoft-FY13'!$S:$S,$C54,'Peoplesoft-FY13'!$Q:$Q,L$3)</f>
        <v>0</v>
      </c>
      <c r="M54" s="261">
        <v>0</v>
      </c>
      <c r="N54" s="261">
        <f>VLOOKUP(C54,'794'!A:C,3,FALSE)</f>
        <v>0</v>
      </c>
      <c r="O54" s="261">
        <v>0</v>
      </c>
      <c r="P54" s="118">
        <f t="shared" si="5"/>
        <v>122966.09999999999</v>
      </c>
      <c r="Q54" s="119">
        <f t="shared" si="6"/>
        <v>2409385.12</v>
      </c>
      <c r="R54" s="120">
        <f t="shared" si="3"/>
        <v>5.1036299252981185E-2</v>
      </c>
      <c r="S54" s="262">
        <f t="shared" si="7"/>
        <v>0.94896370074701875</v>
      </c>
      <c r="T54" s="121">
        <f t="shared" si="2"/>
        <v>0.99999999999999989</v>
      </c>
    </row>
    <row r="55" spans="1:201" ht="13.2" x14ac:dyDescent="0.25">
      <c r="A55" s="271">
        <v>5970</v>
      </c>
      <c r="B55" s="93">
        <v>54</v>
      </c>
      <c r="C55" s="271">
        <v>5970</v>
      </c>
      <c r="D55" s="290" t="s">
        <v>66</v>
      </c>
      <c r="E55" s="261">
        <f>SUMIFS('Peoplesoft-FY13'!L:L,'Peoplesoft-FY13'!S:S,C55,'Peoplesoft-FY13'!Q:Q,$E$3)-P55</f>
        <v>1801666.0399999998</v>
      </c>
      <c r="F55" s="261">
        <f>SUMIFS('Peoplesoft-FY13'!$L:$L,'Peoplesoft-FY13'!$S:$S,$C55,'Peoplesoft-FY13'!$Q:$Q,F$3)</f>
        <v>0</v>
      </c>
      <c r="G55" s="261">
        <f>SUMIFS('Peoplesoft-FY13'!$L:$L,'Peoplesoft-FY13'!$S:$S,$C55,'Peoplesoft-FY13'!$Q:$Q,G$3)</f>
        <v>0</v>
      </c>
      <c r="H55" s="261">
        <v>0</v>
      </c>
      <c r="I55" s="261">
        <f>VLOOKUP(C55,'733 - Title I'!A41:C152,3,FALSE)</f>
        <v>113381.7</v>
      </c>
      <c r="J55" s="261">
        <f>VLOOKUP(C55,'735 - Title II'!A46:C160,3,FALSE)</f>
        <v>6150</v>
      </c>
      <c r="K55" s="261">
        <f>SUMIFS('Peoplesoft-FY13'!$L:$L,'Peoplesoft-FY13'!$S:$S,$C55,'Peoplesoft-FY13'!$Q:$Q,K$3)</f>
        <v>0</v>
      </c>
      <c r="L55" s="261">
        <f>SUMIFS('Peoplesoft-FY13'!$L:$L,'Peoplesoft-FY13'!$S:$S,$C55,'Peoplesoft-FY13'!$Q:$Q,L$3)</f>
        <v>0</v>
      </c>
      <c r="M55" s="261">
        <v>0</v>
      </c>
      <c r="N55" s="261">
        <v>0</v>
      </c>
      <c r="O55" s="261">
        <f>VLOOKUP(C55,'8110 - Federal Payments'!A:C,3,FALSE)</f>
        <v>110070.99</v>
      </c>
      <c r="P55" s="118">
        <f t="shared" si="5"/>
        <v>229602.69</v>
      </c>
      <c r="Q55" s="119">
        <f t="shared" si="6"/>
        <v>2031268.7299999997</v>
      </c>
      <c r="R55" s="120">
        <f t="shared" si="3"/>
        <v>0.11303412818253744</v>
      </c>
      <c r="S55" s="262">
        <f t="shared" si="7"/>
        <v>0.88696587181746256</v>
      </c>
      <c r="T55" s="121">
        <f t="shared" si="2"/>
        <v>1</v>
      </c>
    </row>
    <row r="56" spans="1:201" s="95" customFormat="1" ht="13.2" x14ac:dyDescent="0.25">
      <c r="A56" s="271">
        <v>5980</v>
      </c>
      <c r="B56" s="93">
        <v>55</v>
      </c>
      <c r="C56" s="271">
        <v>5980</v>
      </c>
      <c r="D56" s="290" t="s">
        <v>67</v>
      </c>
      <c r="E56" s="261">
        <f>SUMIFS('Peoplesoft-FY13'!L:L,'Peoplesoft-FY13'!S:S,C56,'Peoplesoft-FY13'!Q:Q,$E$3)-P56</f>
        <v>2565801.08</v>
      </c>
      <c r="F56" s="261">
        <f>SUMIFS('Peoplesoft-FY13'!$L:$L,'Peoplesoft-FY13'!$S:$S,$C56,'Peoplesoft-FY13'!$Q:$Q,F$3)</f>
        <v>0</v>
      </c>
      <c r="G56" s="261">
        <f>SUMIFS('Peoplesoft-FY13'!$L:$L,'Peoplesoft-FY13'!$S:$S,$C56,'Peoplesoft-FY13'!$Q:$Q,G$3)</f>
        <v>0</v>
      </c>
      <c r="H56" s="261">
        <v>0</v>
      </c>
      <c r="I56" s="261">
        <f>VLOOKUP(C56,'733 - Title I'!A42:C153,3,FALSE)</f>
        <v>170874.91999999998</v>
      </c>
      <c r="J56" s="261">
        <f>VLOOKUP(C56,'735 - Title II'!A47:C161,3,FALSE)</f>
        <v>8900</v>
      </c>
      <c r="K56" s="261">
        <f>SUMIFS('Peoplesoft-FY13'!$L:$L,'Peoplesoft-FY13'!$S:$S,$C56,'Peoplesoft-FY13'!$Q:$Q,K$3)</f>
        <v>0</v>
      </c>
      <c r="L56" s="261">
        <f>SUMIFS('Peoplesoft-FY13'!$L:$L,'Peoplesoft-FY13'!$S:$S,$C56,'Peoplesoft-FY13'!$Q:$Q,L$3)</f>
        <v>0</v>
      </c>
      <c r="M56" s="261">
        <v>0</v>
      </c>
      <c r="N56" s="261">
        <v>0</v>
      </c>
      <c r="O56" s="261">
        <v>0</v>
      </c>
      <c r="P56" s="118">
        <f t="shared" si="5"/>
        <v>179774.91999999998</v>
      </c>
      <c r="Q56" s="119">
        <f t="shared" si="6"/>
        <v>2745576</v>
      </c>
      <c r="R56" s="120">
        <f t="shared" si="3"/>
        <v>6.5478034481653388E-2</v>
      </c>
      <c r="S56" s="262">
        <f t="shared" si="7"/>
        <v>0.93452196551834665</v>
      </c>
      <c r="T56" s="121">
        <f t="shared" si="2"/>
        <v>1</v>
      </c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</row>
    <row r="57" spans="1:201" ht="13.2" x14ac:dyDescent="0.25">
      <c r="A57" s="271">
        <v>6010</v>
      </c>
      <c r="B57" s="93">
        <v>56</v>
      </c>
      <c r="C57" s="271">
        <v>6010</v>
      </c>
      <c r="D57" s="290" t="s">
        <v>68</v>
      </c>
      <c r="E57" s="261">
        <f>SUMIFS('Peoplesoft-FY13'!L:L,'Peoplesoft-FY13'!S:S,C57,'Peoplesoft-FY13'!Q:Q,$E$3)-P57</f>
        <v>3178574.4899999998</v>
      </c>
      <c r="F57" s="261">
        <f>SUMIFS('Peoplesoft-FY13'!$L:$L,'Peoplesoft-FY13'!$S:$S,$C57,'Peoplesoft-FY13'!$Q:$Q,F$3)</f>
        <v>0</v>
      </c>
      <c r="G57" s="261">
        <f>SUMIFS('Peoplesoft-FY13'!$L:$L,'Peoplesoft-FY13'!$S:$S,$C57,'Peoplesoft-FY13'!$Q:$Q,G$3)</f>
        <v>0</v>
      </c>
      <c r="H57" s="261">
        <v>0</v>
      </c>
      <c r="I57" s="261">
        <f>VLOOKUP(C57,'733 - Title I'!A43:C154,3,FALSE)</f>
        <v>133730.06</v>
      </c>
      <c r="J57" s="261">
        <f>VLOOKUP(C57,'735 - Title II'!A48:C162,3,FALSE)</f>
        <v>7675</v>
      </c>
      <c r="K57" s="261">
        <f>SUMIFS('Peoplesoft-FY13'!$L:$L,'Peoplesoft-FY13'!$S:$S,$C57,'Peoplesoft-FY13'!$Q:$Q,K$3)</f>
        <v>0</v>
      </c>
      <c r="L57" s="261">
        <f>SUMIFS('Peoplesoft-FY13'!$L:$L,'Peoplesoft-FY13'!$S:$S,$C57,'Peoplesoft-FY13'!$Q:$Q,L$3)</f>
        <v>0</v>
      </c>
      <c r="M57" s="261">
        <v>0</v>
      </c>
      <c r="N57" s="261">
        <v>0</v>
      </c>
      <c r="O57" s="261">
        <f>VLOOKUP(C57,'8110 - Federal Payments'!A:C,3,FALSE)</f>
        <v>270061.32999999996</v>
      </c>
      <c r="P57" s="118">
        <f t="shared" si="5"/>
        <v>411466.38999999996</v>
      </c>
      <c r="Q57" s="119">
        <f t="shared" si="6"/>
        <v>3590040.88</v>
      </c>
      <c r="R57" s="120">
        <f t="shared" si="3"/>
        <v>0.11461328819186035</v>
      </c>
      <c r="S57" s="262">
        <f t="shared" si="7"/>
        <v>0.88538671180813955</v>
      </c>
      <c r="T57" s="121">
        <f t="shared" si="2"/>
        <v>0.99999999999999989</v>
      </c>
    </row>
    <row r="58" spans="1:201" ht="13.2" x14ac:dyDescent="0.25">
      <c r="A58" s="271">
        <v>6020</v>
      </c>
      <c r="B58" s="93">
        <v>57</v>
      </c>
      <c r="C58" s="271">
        <v>6020</v>
      </c>
      <c r="D58" s="290" t="s">
        <v>69</v>
      </c>
      <c r="E58" s="261">
        <f>SUMIFS('Peoplesoft-FY13'!L:L,'Peoplesoft-FY13'!S:S,C58,'Peoplesoft-FY13'!Q:Q,$E$3)-P58</f>
        <v>1939127.19</v>
      </c>
      <c r="F58" s="261">
        <f>SUMIFS('Peoplesoft-FY13'!$L:$L,'Peoplesoft-FY13'!$S:$S,$C58,'Peoplesoft-FY13'!$Q:$Q,F$3)</f>
        <v>0</v>
      </c>
      <c r="G58" s="261">
        <f>SUMIFS('Peoplesoft-FY13'!$L:$L,'Peoplesoft-FY13'!$S:$S,$C58,'Peoplesoft-FY13'!$Q:$Q,G$3)</f>
        <v>0</v>
      </c>
      <c r="H58" s="261">
        <v>0</v>
      </c>
      <c r="I58" s="261">
        <f>VLOOKUP(C58,'733 - Title I'!A44:C155,3,FALSE)</f>
        <v>104839.01000000001</v>
      </c>
      <c r="J58" s="261">
        <f>VLOOKUP(C58,'735 - Title II'!A49:C163,3,FALSE)</f>
        <v>5300</v>
      </c>
      <c r="K58" s="261">
        <f>SUMIFS('Peoplesoft-FY13'!$L:$L,'Peoplesoft-FY13'!$S:$S,$C58,'Peoplesoft-FY13'!$Q:$Q,K$3)</f>
        <v>0</v>
      </c>
      <c r="L58" s="261">
        <f>SUMIFS('Peoplesoft-FY13'!$L:$L,'Peoplesoft-FY13'!$S:$S,$C58,'Peoplesoft-FY13'!$Q:$Q,L$3)</f>
        <v>0</v>
      </c>
      <c r="M58" s="261">
        <v>0</v>
      </c>
      <c r="N58" s="261">
        <v>0</v>
      </c>
      <c r="O58" s="261">
        <f>VLOOKUP(C58,'8110 - Federal Payments'!A:C,3,FALSE)</f>
        <v>28841.8</v>
      </c>
      <c r="P58" s="118">
        <f t="shared" si="5"/>
        <v>138980.81</v>
      </c>
      <c r="Q58" s="119">
        <f t="shared" si="6"/>
        <v>2078108</v>
      </c>
      <c r="R58" s="120">
        <f t="shared" si="3"/>
        <v>6.6878530855951662E-2</v>
      </c>
      <c r="S58" s="262">
        <f t="shared" si="7"/>
        <v>0.93312146914404825</v>
      </c>
      <c r="T58" s="121">
        <f t="shared" si="2"/>
        <v>0.99999999999999989</v>
      </c>
    </row>
    <row r="59" spans="1:201" ht="13.2" x14ac:dyDescent="0.25">
      <c r="A59" s="271">
        <v>6030</v>
      </c>
      <c r="B59" s="93">
        <v>58</v>
      </c>
      <c r="C59" s="271">
        <v>6030</v>
      </c>
      <c r="D59" s="290" t="s">
        <v>70</v>
      </c>
      <c r="E59" s="261">
        <f>SUMIFS('Peoplesoft-FY13'!L:L,'Peoplesoft-FY13'!S:S,C59,'Peoplesoft-FY13'!Q:Q,$E$3)-P59</f>
        <v>2799298.72</v>
      </c>
      <c r="F59" s="261">
        <f>SUMIFS('Peoplesoft-FY13'!$L:$L,'Peoplesoft-FY13'!$S:$S,$C59,'Peoplesoft-FY13'!$Q:$Q,F$3)</f>
        <v>0</v>
      </c>
      <c r="G59" s="261">
        <f>SUMIFS('Peoplesoft-FY13'!$L:$L,'Peoplesoft-FY13'!$S:$S,$C59,'Peoplesoft-FY13'!$Q:$Q,G$3)</f>
        <v>0</v>
      </c>
      <c r="H59" s="261">
        <v>0</v>
      </c>
      <c r="I59" s="261">
        <f>VLOOKUP(C59,'733 - Title I'!A45:C156,3,FALSE)</f>
        <v>108647.65000000001</v>
      </c>
      <c r="J59" s="261">
        <f>VLOOKUP(C59,'735 - Title II'!A50:C164,3,FALSE)</f>
        <v>5875</v>
      </c>
      <c r="K59" s="261">
        <f>SUMIFS('Peoplesoft-FY13'!$L:$L,'Peoplesoft-FY13'!$S:$S,$C59,'Peoplesoft-FY13'!$Q:$Q,K$3)</f>
        <v>0</v>
      </c>
      <c r="L59" s="261">
        <f>SUMIFS('Peoplesoft-FY13'!$L:$L,'Peoplesoft-FY13'!$S:$S,$C59,'Peoplesoft-FY13'!$Q:$Q,L$3)</f>
        <v>0</v>
      </c>
      <c r="M59" s="261">
        <v>0</v>
      </c>
      <c r="N59" s="261">
        <v>0</v>
      </c>
      <c r="O59" s="261">
        <v>0</v>
      </c>
      <c r="P59" s="118">
        <f t="shared" si="5"/>
        <v>114522.65000000001</v>
      </c>
      <c r="Q59" s="119">
        <f t="shared" si="6"/>
        <v>2913821.37</v>
      </c>
      <c r="R59" s="120">
        <f t="shared" si="3"/>
        <v>3.9303250082210771E-2</v>
      </c>
      <c r="S59" s="262">
        <f t="shared" si="7"/>
        <v>0.96069674991778931</v>
      </c>
      <c r="T59" s="121">
        <f t="shared" si="2"/>
        <v>1</v>
      </c>
    </row>
    <row r="60" spans="1:201" s="96" customFormat="1" ht="13.2" x14ac:dyDescent="0.25">
      <c r="A60" s="298">
        <v>6040</v>
      </c>
      <c r="B60" s="93">
        <v>59</v>
      </c>
      <c r="C60" s="298">
        <v>6040</v>
      </c>
      <c r="D60" s="293" t="s">
        <v>71</v>
      </c>
      <c r="E60" s="261">
        <f>SUMIFS('Peoplesoft-FY13'!L:L,'Peoplesoft-FY13'!S:S,C60,'Peoplesoft-FY13'!Q:Q,$E$3)-P60</f>
        <v>2672003.8899999997</v>
      </c>
      <c r="F60" s="261">
        <f>SUMIFS('Peoplesoft-FY13'!$L:$L,'Peoplesoft-FY13'!$S:$S,$C60,'Peoplesoft-FY13'!$Q:$Q,F$3)</f>
        <v>0</v>
      </c>
      <c r="G60" s="261">
        <f>SUMIFS('Peoplesoft-FY13'!$L:$L,'Peoplesoft-FY13'!$S:$S,$C60,'Peoplesoft-FY13'!$Q:$Q,G$3)</f>
        <v>0</v>
      </c>
      <c r="H60" s="261">
        <v>0</v>
      </c>
      <c r="I60" s="261">
        <f>VLOOKUP(C60,'733 - Title I'!A46:C157,3,FALSE)</f>
        <v>133730.06</v>
      </c>
      <c r="J60" s="261">
        <f>VLOOKUP(C60,'735 - Title II'!A51:C165,3,FALSE)</f>
        <v>8225</v>
      </c>
      <c r="K60" s="261">
        <f>SUMIFS('Peoplesoft-FY13'!$L:$L,'Peoplesoft-FY13'!$S:$S,$C60,'Peoplesoft-FY13'!$Q:$Q,K$3)</f>
        <v>0</v>
      </c>
      <c r="L60" s="261">
        <f>SUMIFS('Peoplesoft-FY13'!$L:$L,'Peoplesoft-FY13'!$S:$S,$C60,'Peoplesoft-FY13'!$Q:$Q,L$3)</f>
        <v>0</v>
      </c>
      <c r="M60" s="261">
        <v>0</v>
      </c>
      <c r="N60" s="261">
        <v>0</v>
      </c>
      <c r="O60" s="261">
        <f>VLOOKUP(C60,'8110 - Federal Payments'!A:C,3,FALSE)</f>
        <v>559364.93999999994</v>
      </c>
      <c r="P60" s="118">
        <f t="shared" si="5"/>
        <v>701320</v>
      </c>
      <c r="Q60" s="119">
        <f t="shared" si="6"/>
        <v>3373323.8899999997</v>
      </c>
      <c r="R60" s="120">
        <f t="shared" si="3"/>
        <v>0.20790176777243885</v>
      </c>
      <c r="S60" s="262">
        <f t="shared" si="7"/>
        <v>0.79209823222756115</v>
      </c>
      <c r="T60" s="121">
        <f t="shared" si="2"/>
        <v>1</v>
      </c>
    </row>
    <row r="61" spans="1:201" ht="13.2" x14ac:dyDescent="0.25">
      <c r="A61" s="271">
        <v>6070</v>
      </c>
      <c r="B61" s="93">
        <v>60</v>
      </c>
      <c r="C61" s="271">
        <v>6070</v>
      </c>
      <c r="D61" s="290" t="s">
        <v>72</v>
      </c>
      <c r="E61" s="261">
        <f>SUMIFS('Peoplesoft-FY13'!L:L,'Peoplesoft-FY13'!S:S,C61,'Peoplesoft-FY13'!Q:Q,$E$3)-P61</f>
        <v>3228295.79</v>
      </c>
      <c r="F61" s="261">
        <f>SUMIFS('Peoplesoft-FY13'!$L:$L,'Peoplesoft-FY13'!$S:$S,$C61,'Peoplesoft-FY13'!$Q:$Q,F$3)</f>
        <v>0</v>
      </c>
      <c r="G61" s="261">
        <f>SUMIFS('Peoplesoft-FY13'!$L:$L,'Peoplesoft-FY13'!$S:$S,$C61,'Peoplesoft-FY13'!$Q:$Q,G$3)</f>
        <v>0</v>
      </c>
      <c r="H61" s="261">
        <v>0</v>
      </c>
      <c r="I61" s="261">
        <f>VLOOKUP(C61,'733 - Title I'!A47:C158,3,FALSE)</f>
        <v>201130</v>
      </c>
      <c r="J61" s="261">
        <f>VLOOKUP(C61,'735 - Title II'!A52:C166,3,FALSE)</f>
        <v>10775</v>
      </c>
      <c r="K61" s="261">
        <f>SUMIFS('Peoplesoft-FY13'!$L:$L,'Peoplesoft-FY13'!$S:$S,$C61,'Peoplesoft-FY13'!$Q:$Q,K$3)</f>
        <v>0</v>
      </c>
      <c r="L61" s="261">
        <f>SUMIFS('Peoplesoft-FY13'!$L:$L,'Peoplesoft-FY13'!$S:$S,$C61,'Peoplesoft-FY13'!$Q:$Q,L$3)</f>
        <v>0</v>
      </c>
      <c r="M61" s="261">
        <v>0</v>
      </c>
      <c r="N61" s="261">
        <v>0</v>
      </c>
      <c r="O61" s="261">
        <f>VLOOKUP(C61,'8110 - Federal Payments'!A:C,3,FALSE)</f>
        <v>57321.46</v>
      </c>
      <c r="P61" s="118">
        <f t="shared" si="5"/>
        <v>269226.46000000002</v>
      </c>
      <c r="Q61" s="119">
        <f t="shared" si="6"/>
        <v>3497522.25</v>
      </c>
      <c r="R61" s="120">
        <f t="shared" si="3"/>
        <v>7.6976339464316493E-2</v>
      </c>
      <c r="S61" s="262">
        <f t="shared" si="7"/>
        <v>0.92302366053568352</v>
      </c>
      <c r="T61" s="121">
        <f t="shared" si="2"/>
        <v>1</v>
      </c>
    </row>
    <row r="62" spans="1:201" ht="13.2" x14ac:dyDescent="0.25">
      <c r="A62" s="271">
        <v>6050</v>
      </c>
      <c r="B62" s="93">
        <v>61</v>
      </c>
      <c r="C62" s="271">
        <v>6050</v>
      </c>
      <c r="D62" s="290" t="s">
        <v>73</v>
      </c>
      <c r="E62" s="261">
        <f>SUMIFS('Peoplesoft-FY13'!L:L,'Peoplesoft-FY13'!S:S,C62,'Peoplesoft-FY13'!Q:Q,$E$3)-P62</f>
        <v>4376221.7899999991</v>
      </c>
      <c r="F62" s="261">
        <f>SUMIFS('Peoplesoft-FY13'!$L:$L,'Peoplesoft-FY13'!$S:$S,$C62,'Peoplesoft-FY13'!$Q:$Q,F$3)</f>
        <v>0</v>
      </c>
      <c r="G62" s="261">
        <f>SUMIFS('Peoplesoft-FY13'!$L:$L,'Peoplesoft-FY13'!$S:$S,$C62,'Peoplesoft-FY13'!$Q:$Q,G$3)</f>
        <v>0</v>
      </c>
      <c r="H62" s="261">
        <v>0</v>
      </c>
      <c r="I62" s="261">
        <f>VLOOKUP(C62,'733 - Title I'!A48:C159,3,FALSE)</f>
        <v>245416.06</v>
      </c>
      <c r="J62" s="261">
        <f>VLOOKUP(C62,'735 - Title II'!A53:C167,3,FALSE)</f>
        <v>12300</v>
      </c>
      <c r="K62" s="261">
        <f>SUMIFS('Peoplesoft-FY13'!$L:$L,'Peoplesoft-FY13'!$S:$S,$C62,'Peoplesoft-FY13'!$Q:$Q,K$3)</f>
        <v>0</v>
      </c>
      <c r="L62" s="261">
        <f>SUMIFS('Peoplesoft-FY13'!$L:$L,'Peoplesoft-FY13'!$S:$S,$C62,'Peoplesoft-FY13'!$Q:$Q,L$3)</f>
        <v>0</v>
      </c>
      <c r="M62" s="261">
        <v>0</v>
      </c>
      <c r="N62" s="261">
        <v>0</v>
      </c>
      <c r="O62" s="261">
        <f>VLOOKUP(C62,'8110 - Federal Payments'!A:C,3,FALSE)</f>
        <v>59000.92</v>
      </c>
      <c r="P62" s="118">
        <f t="shared" si="5"/>
        <v>316716.98</v>
      </c>
      <c r="Q62" s="119">
        <f t="shared" si="6"/>
        <v>4692938.7699999986</v>
      </c>
      <c r="R62" s="120">
        <f t="shared" si="3"/>
        <v>6.7487984719647232E-2</v>
      </c>
      <c r="S62" s="262">
        <f t="shared" si="7"/>
        <v>0.93251201528035288</v>
      </c>
      <c r="T62" s="121">
        <f t="shared" si="2"/>
        <v>1</v>
      </c>
    </row>
    <row r="63" spans="1:201" ht="13.2" x14ac:dyDescent="0.25">
      <c r="A63" s="271">
        <v>6060</v>
      </c>
      <c r="B63" s="93">
        <v>62</v>
      </c>
      <c r="C63" s="271">
        <v>6060</v>
      </c>
      <c r="D63" s="290" t="s">
        <v>74</v>
      </c>
      <c r="E63" s="261">
        <f>SUMIFS('Peoplesoft-FY13'!L:L,'Peoplesoft-FY13'!S:S,C63,'Peoplesoft-FY13'!Q:Q,$E$3)-P63</f>
        <v>2404406.5599999996</v>
      </c>
      <c r="F63" s="261">
        <f>SUMIFS('Peoplesoft-FY13'!$L:$L,'Peoplesoft-FY13'!$S:$S,$C63,'Peoplesoft-FY13'!$Q:$Q,F$3)</f>
        <v>0</v>
      </c>
      <c r="G63" s="261">
        <f>SUMIFS('Peoplesoft-FY13'!$L:$L,'Peoplesoft-FY13'!$S:$S,$C63,'Peoplesoft-FY13'!$Q:$Q,G$3)</f>
        <v>0</v>
      </c>
      <c r="H63" s="261">
        <v>0</v>
      </c>
      <c r="I63" s="261">
        <f>VLOOKUP(C63,'733 - Title I'!A49:C160,3,FALSE)</f>
        <v>139673.02000000002</v>
      </c>
      <c r="J63" s="261">
        <f>VLOOKUP(C63,'735 - Title II'!A54:C168,3,FALSE)</f>
        <v>7625</v>
      </c>
      <c r="K63" s="261">
        <f>SUMIFS('Peoplesoft-FY13'!$L:$L,'Peoplesoft-FY13'!$S:$S,$C63,'Peoplesoft-FY13'!$Q:$Q,K$3)</f>
        <v>0</v>
      </c>
      <c r="L63" s="261">
        <f>SUMIFS('Peoplesoft-FY13'!$L:$L,'Peoplesoft-FY13'!$S:$S,$C63,'Peoplesoft-FY13'!$Q:$Q,L$3)</f>
        <v>0</v>
      </c>
      <c r="M63" s="261">
        <v>0</v>
      </c>
      <c r="N63" s="261">
        <v>0</v>
      </c>
      <c r="O63" s="261">
        <f>VLOOKUP(C63,'8110 - Federal Payments'!A:C,3,FALSE)</f>
        <v>184281.18</v>
      </c>
      <c r="P63" s="118">
        <f t="shared" si="5"/>
        <v>331579.2</v>
      </c>
      <c r="Q63" s="119">
        <f t="shared" si="6"/>
        <v>2735985.76</v>
      </c>
      <c r="R63" s="120">
        <f t="shared" si="3"/>
        <v>0.12119185883482085</v>
      </c>
      <c r="S63" s="262">
        <f t="shared" si="7"/>
        <v>0.87880814116517914</v>
      </c>
      <c r="T63" s="121">
        <f t="shared" si="2"/>
        <v>1</v>
      </c>
    </row>
    <row r="64" spans="1:201" ht="13.2" x14ac:dyDescent="0.25">
      <c r="A64" s="271">
        <v>6090</v>
      </c>
      <c r="B64" s="93">
        <v>63</v>
      </c>
      <c r="C64" s="271">
        <v>6090</v>
      </c>
      <c r="D64" s="290" t="s">
        <v>75</v>
      </c>
      <c r="E64" s="261">
        <f>SUMIFS('Peoplesoft-FY13'!L:L,'Peoplesoft-FY13'!S:S,C64,'Peoplesoft-FY13'!Q:Q,$E$3)-P64</f>
        <v>4157339.51</v>
      </c>
      <c r="F64" s="261">
        <f>SUMIFS('Peoplesoft-FY13'!$L:$L,'Peoplesoft-FY13'!$S:$S,$C64,'Peoplesoft-FY13'!$Q:$Q,F$3)</f>
        <v>0</v>
      </c>
      <c r="G64" s="261">
        <f>SUMIFS('Peoplesoft-FY13'!$L:$L,'Peoplesoft-FY13'!$S:$S,$C64,'Peoplesoft-FY13'!$Q:$Q,G$3)</f>
        <v>0</v>
      </c>
      <c r="H64" s="261">
        <v>0</v>
      </c>
      <c r="I64" s="261">
        <f>VLOOKUP(C64,'733 - Title I'!A50:C161,3,FALSE)</f>
        <v>136939.57999999999</v>
      </c>
      <c r="J64" s="261">
        <f>VLOOKUP(C64,'735 - Title II'!A55:C169,3,FALSE)</f>
        <v>10150</v>
      </c>
      <c r="K64" s="261">
        <f>SUMIFS('Peoplesoft-FY13'!$L:$L,'Peoplesoft-FY13'!$S:$S,$C64,'Peoplesoft-FY13'!$Q:$Q,K$3)</f>
        <v>0</v>
      </c>
      <c r="L64" s="261">
        <f>SUMIFS('Peoplesoft-FY13'!$L:$L,'Peoplesoft-FY13'!$S:$S,$C64,'Peoplesoft-FY13'!$Q:$Q,L$3)</f>
        <v>0</v>
      </c>
      <c r="M64" s="261">
        <v>0</v>
      </c>
      <c r="N64" s="261">
        <v>0</v>
      </c>
      <c r="O64" s="261">
        <f>VLOOKUP(C64,'8110 - Federal Payments'!A:C,3,FALSE)</f>
        <v>164074.83000000002</v>
      </c>
      <c r="P64" s="118">
        <f t="shared" si="5"/>
        <v>311164.41000000003</v>
      </c>
      <c r="Q64" s="119">
        <f t="shared" si="6"/>
        <v>4468503.92</v>
      </c>
      <c r="R64" s="120">
        <f t="shared" si="3"/>
        <v>6.9635031225395022E-2</v>
      </c>
      <c r="S64" s="262">
        <f t="shared" si="7"/>
        <v>0.93036496877460495</v>
      </c>
      <c r="T64" s="121">
        <f t="shared" si="2"/>
        <v>1</v>
      </c>
    </row>
    <row r="65" spans="1:20" ht="13.2" x14ac:dyDescent="0.25">
      <c r="A65" s="271">
        <v>6110</v>
      </c>
      <c r="B65" s="93">
        <v>64</v>
      </c>
      <c r="C65" s="271">
        <v>6110</v>
      </c>
      <c r="D65" s="290" t="s">
        <v>76</v>
      </c>
      <c r="E65" s="261">
        <f>SUMIFS('Peoplesoft-FY13'!L:L,'Peoplesoft-FY13'!S:S,C65,'Peoplesoft-FY13'!Q:Q,$E$3)-P65</f>
        <v>3690613.65</v>
      </c>
      <c r="F65" s="261">
        <f>SUMIFS('Peoplesoft-FY13'!$L:$L,'Peoplesoft-FY13'!$S:$S,$C65,'Peoplesoft-FY13'!$Q:$Q,F$3)</f>
        <v>0</v>
      </c>
      <c r="G65" s="261">
        <f>SUMIFS('Peoplesoft-FY13'!$L:$L,'Peoplesoft-FY13'!$S:$S,$C65,'Peoplesoft-FY13'!$Q:$Q,G$3)</f>
        <v>0</v>
      </c>
      <c r="H65" s="261">
        <v>0</v>
      </c>
      <c r="I65" s="261">
        <f>VLOOKUP(C65,'733 - Title I'!A51:C162,3,FALSE)</f>
        <v>176855.31999999998</v>
      </c>
      <c r="J65" s="261">
        <f>VLOOKUP(C65,'735 - Title II'!A56:C170,3,FALSE)</f>
        <v>10650</v>
      </c>
      <c r="K65" s="261">
        <f>SUMIFS('Peoplesoft-FY13'!$L:$L,'Peoplesoft-FY13'!$S:$S,$C65,'Peoplesoft-FY13'!$Q:$Q,K$3)</f>
        <v>0</v>
      </c>
      <c r="L65" s="261">
        <f>SUMIFS('Peoplesoft-FY13'!$L:$L,'Peoplesoft-FY13'!$S:$S,$C65,'Peoplesoft-FY13'!$Q:$Q,L$3)</f>
        <v>0</v>
      </c>
      <c r="M65" s="261">
        <v>0</v>
      </c>
      <c r="N65" s="261">
        <v>0</v>
      </c>
      <c r="O65" s="261">
        <f>VLOOKUP(C65,'8110 - Federal Payments'!A:C,3,FALSE)</f>
        <v>118491.99</v>
      </c>
      <c r="P65" s="118">
        <f t="shared" si="5"/>
        <v>305997.31</v>
      </c>
      <c r="Q65" s="119">
        <f t="shared" si="6"/>
        <v>3996610.96</v>
      </c>
      <c r="R65" s="120">
        <f t="shared" si="3"/>
        <v>7.6564197281788968E-2</v>
      </c>
      <c r="S65" s="262">
        <f t="shared" si="7"/>
        <v>0.92343580271821102</v>
      </c>
      <c r="T65" s="121">
        <f t="shared" si="2"/>
        <v>1</v>
      </c>
    </row>
    <row r="66" spans="1:20" s="93" customFormat="1" ht="13.2" x14ac:dyDescent="0.25">
      <c r="A66" s="271">
        <v>6130</v>
      </c>
      <c r="B66" s="93">
        <v>65</v>
      </c>
      <c r="C66" s="271">
        <v>6130</v>
      </c>
      <c r="D66" s="290" t="s">
        <v>144</v>
      </c>
      <c r="E66" s="261">
        <f>SUMIFS('Peoplesoft-FY13'!L:L,'Peoplesoft-FY13'!S:S,C66,'Peoplesoft-FY13'!Q:Q,$E$3)-P66</f>
        <v>3355220.1799999997</v>
      </c>
      <c r="F66" s="261">
        <f>SUMIFS('Peoplesoft-FY13'!$L:$L,'Peoplesoft-FY13'!$S:$S,$C66,'Peoplesoft-FY13'!$Q:$Q,F$3)</f>
        <v>0</v>
      </c>
      <c r="G66" s="261">
        <f>SUMIFS('Peoplesoft-FY13'!$L:$L,'Peoplesoft-FY13'!$S:$S,$C66,'Peoplesoft-FY13'!$Q:$Q,G$3)</f>
        <v>0</v>
      </c>
      <c r="H66" s="261">
        <v>0</v>
      </c>
      <c r="I66" s="261">
        <f>VLOOKUP(C66,'733 - Title I'!A52:C163,3,FALSE)</f>
        <v>219568.7</v>
      </c>
      <c r="J66" s="261">
        <f>VLOOKUP(C66,'735 - Title II'!A57:C171,3,FALSE)</f>
        <v>12050</v>
      </c>
      <c r="K66" s="261">
        <f>SUMIFS('Peoplesoft-FY13'!$L:$L,'Peoplesoft-FY13'!$S:$S,$C66,'Peoplesoft-FY13'!$Q:$Q,K$3)</f>
        <v>0</v>
      </c>
      <c r="L66" s="261">
        <f>SUMIFS('Peoplesoft-FY13'!$L:$L,'Peoplesoft-FY13'!$S:$S,$C66,'Peoplesoft-FY13'!$Q:$Q,L$3)</f>
        <v>0</v>
      </c>
      <c r="M66" s="261">
        <v>0</v>
      </c>
      <c r="N66" s="261">
        <v>0</v>
      </c>
      <c r="O66" s="261">
        <v>0</v>
      </c>
      <c r="P66" s="118">
        <f t="shared" si="5"/>
        <v>231618.7</v>
      </c>
      <c r="Q66" s="119">
        <f t="shared" si="6"/>
        <v>3586838.88</v>
      </c>
      <c r="R66" s="120">
        <f t="shared" si="3"/>
        <v>6.4574603919761248E-2</v>
      </c>
      <c r="S66" s="262">
        <f t="shared" si="7"/>
        <v>0.93542539608023867</v>
      </c>
      <c r="T66" s="121">
        <f>R66+S66</f>
        <v>0.99999999999999989</v>
      </c>
    </row>
    <row r="67" spans="1:20" ht="13.2" x14ac:dyDescent="0.25">
      <c r="A67" s="271">
        <v>6150</v>
      </c>
      <c r="B67" s="93">
        <v>66</v>
      </c>
      <c r="C67" s="271">
        <v>6150</v>
      </c>
      <c r="D67" s="290" t="s">
        <v>78</v>
      </c>
      <c r="E67" s="261">
        <f>SUMIFS('Peoplesoft-FY13'!L:L,'Peoplesoft-FY13'!S:S,C67,'Peoplesoft-FY13'!Q:Q,$E$3)-P67</f>
        <v>2050781.17</v>
      </c>
      <c r="F67" s="261">
        <f>SUMIFS('Peoplesoft-FY13'!$L:$L,'Peoplesoft-FY13'!$S:$S,$C67,'Peoplesoft-FY13'!$Q:$Q,F$3)</f>
        <v>0</v>
      </c>
      <c r="G67" s="261">
        <f>SUMIFS('Peoplesoft-FY13'!$L:$L,'Peoplesoft-FY13'!$S:$S,$C67,'Peoplesoft-FY13'!$Q:$Q,G$3)</f>
        <v>0</v>
      </c>
      <c r="H67" s="261">
        <v>0</v>
      </c>
      <c r="I67" s="261">
        <f>VLOOKUP(C67,'733 - Title I'!A53:C164,3,FALSE)</f>
        <v>94145.959999999992</v>
      </c>
      <c r="J67" s="261">
        <f>VLOOKUP(C67,'735 - Title II'!A58:C172,3,FALSE)</f>
        <v>6100</v>
      </c>
      <c r="K67" s="261">
        <f>SUMIFS('Peoplesoft-FY13'!$L:$L,'Peoplesoft-FY13'!$S:$S,$C67,'Peoplesoft-FY13'!$Q:$Q,K$3)</f>
        <v>0</v>
      </c>
      <c r="L67" s="261">
        <f>SUMIFS('Peoplesoft-FY13'!$L:$L,'Peoplesoft-FY13'!$S:$S,$C67,'Peoplesoft-FY13'!$Q:$Q,L$3)</f>
        <v>0</v>
      </c>
      <c r="M67" s="261">
        <v>0</v>
      </c>
      <c r="N67" s="261">
        <v>0</v>
      </c>
      <c r="O67" s="261">
        <v>0</v>
      </c>
      <c r="P67" s="118">
        <f t="shared" si="5"/>
        <v>100245.95999999999</v>
      </c>
      <c r="Q67" s="119">
        <f t="shared" si="6"/>
        <v>2151027.13</v>
      </c>
      <c r="R67" s="120">
        <f t="shared" ref="R67:R129" si="8">+P67/Q67</f>
        <v>4.6603763663362066E-2</v>
      </c>
      <c r="S67" s="262">
        <f t="shared" si="7"/>
        <v>0.95339623633663795</v>
      </c>
      <c r="T67" s="121">
        <f>R67+S67</f>
        <v>1</v>
      </c>
    </row>
    <row r="68" spans="1:20" ht="13.2" x14ac:dyDescent="0.25">
      <c r="A68" s="271">
        <v>6170</v>
      </c>
      <c r="B68" s="93">
        <v>67</v>
      </c>
      <c r="C68" s="271">
        <v>6170</v>
      </c>
      <c r="D68" s="290" t="s">
        <v>79</v>
      </c>
      <c r="E68" s="261">
        <f>SUMIFS('Peoplesoft-FY13'!L:L,'Peoplesoft-FY13'!S:S,C68,'Peoplesoft-FY13'!Q:Q,$E$3)-P68</f>
        <v>2952852.97</v>
      </c>
      <c r="F68" s="261">
        <f>SUMIFS('Peoplesoft-FY13'!$L:$L,'Peoplesoft-FY13'!$S:$S,$C68,'Peoplesoft-FY13'!$Q:$Q,F$3)</f>
        <v>0</v>
      </c>
      <c r="G68" s="261">
        <f>SUMIFS('Peoplesoft-FY13'!$L:$L,'Peoplesoft-FY13'!$S:$S,$C68,'Peoplesoft-FY13'!$Q:$Q,G$3)</f>
        <v>0</v>
      </c>
      <c r="H68" s="261">
        <v>0</v>
      </c>
      <c r="I68" s="261">
        <f>VLOOKUP(C68,'733 - Title I'!A54:C165,3,FALSE)</f>
        <v>159866.26</v>
      </c>
      <c r="J68" s="261">
        <f>VLOOKUP(C68,'735 - Title II'!A59:C173,3,FALSE)</f>
        <v>8700</v>
      </c>
      <c r="K68" s="261">
        <f>SUMIFS('Peoplesoft-FY13'!$L:$L,'Peoplesoft-FY13'!$S:$S,$C68,'Peoplesoft-FY13'!$Q:$Q,K$3)</f>
        <v>0</v>
      </c>
      <c r="L68" s="261">
        <f>SUMIFS('Peoplesoft-FY13'!$L:$L,'Peoplesoft-FY13'!$S:$S,$C68,'Peoplesoft-FY13'!$Q:$Q,L$3)</f>
        <v>0</v>
      </c>
      <c r="M68" s="261">
        <v>0</v>
      </c>
      <c r="N68" s="261">
        <v>0</v>
      </c>
      <c r="O68" s="261">
        <f>VLOOKUP(C68,'8110 - Federal Payments'!A:C,3,FALSE)</f>
        <v>180254.76</v>
      </c>
      <c r="P68" s="118">
        <f t="shared" ref="P68:P70" si="9">SUM(F68:O68)</f>
        <v>348821.02</v>
      </c>
      <c r="Q68" s="119">
        <f t="shared" si="6"/>
        <v>3301673.99</v>
      </c>
      <c r="R68" s="120">
        <f t="shared" si="8"/>
        <v>0.10564974647905803</v>
      </c>
      <c r="S68" s="262">
        <f t="shared" si="7"/>
        <v>0.894350253520942</v>
      </c>
      <c r="T68" s="121">
        <f>R68+S68</f>
        <v>1</v>
      </c>
    </row>
    <row r="69" spans="1:20" ht="13.2" x14ac:dyDescent="0.25">
      <c r="A69" s="271">
        <v>6190</v>
      </c>
      <c r="B69" s="93">
        <v>68</v>
      </c>
      <c r="C69" s="271">
        <v>6190</v>
      </c>
      <c r="D69" s="290" t="s">
        <v>80</v>
      </c>
      <c r="E69" s="261">
        <f>SUMIFS('Peoplesoft-FY13'!L:L,'Peoplesoft-FY13'!S:S,C69,'Peoplesoft-FY13'!Q:Q,$E$3)-P69</f>
        <v>3633971.9</v>
      </c>
      <c r="F69" s="261">
        <f>SUMIFS('Peoplesoft-FY13'!$L:$L,'Peoplesoft-FY13'!$S:$S,$C69,'Peoplesoft-FY13'!$Q:$Q,F$3)</f>
        <v>0</v>
      </c>
      <c r="G69" s="261">
        <f>SUMIFS('Peoplesoft-FY13'!$L:$L,'Peoplesoft-FY13'!$S:$S,$C69,'Peoplesoft-FY13'!$Q:$Q,G$3)</f>
        <v>0</v>
      </c>
      <c r="H69" s="261">
        <v>0</v>
      </c>
      <c r="I69" s="261">
        <f>VLOOKUP(C69,'733 - Title I'!A55:C166,3,FALSE)</f>
        <v>178636.61</v>
      </c>
      <c r="J69" s="261">
        <f>VLOOKUP(C69,'735 - Title II'!A60:C174,3,FALSE)</f>
        <v>9550</v>
      </c>
      <c r="K69" s="261">
        <f>SUMIFS('Peoplesoft-FY13'!$L:$L,'Peoplesoft-FY13'!$S:$S,$C69,'Peoplesoft-FY13'!$Q:$Q,K$3)</f>
        <v>0</v>
      </c>
      <c r="L69" s="261">
        <f>SUMIFS('Peoplesoft-FY13'!$L:$L,'Peoplesoft-FY13'!$S:$S,$C69,'Peoplesoft-FY13'!$Q:$Q,L$3)</f>
        <v>0</v>
      </c>
      <c r="M69" s="261">
        <v>0</v>
      </c>
      <c r="N69" s="261">
        <v>0</v>
      </c>
      <c r="O69" s="261">
        <v>0</v>
      </c>
      <c r="P69" s="118">
        <f t="shared" si="9"/>
        <v>188186.61</v>
      </c>
      <c r="Q69" s="119">
        <f t="shared" si="6"/>
        <v>3822158.51</v>
      </c>
      <c r="R69" s="120">
        <f t="shared" si="8"/>
        <v>4.9235689599906207E-2</v>
      </c>
      <c r="S69" s="262">
        <f t="shared" si="7"/>
        <v>0.95076431040009379</v>
      </c>
      <c r="T69" s="121">
        <f>R69+S69</f>
        <v>1</v>
      </c>
    </row>
    <row r="70" spans="1:20" ht="13.2" x14ac:dyDescent="0.25">
      <c r="A70" s="297">
        <v>6200</v>
      </c>
      <c r="B70" s="93">
        <v>69</v>
      </c>
      <c r="C70" s="297">
        <v>6200</v>
      </c>
      <c r="D70" s="296" t="s">
        <v>81</v>
      </c>
      <c r="E70" s="263">
        <f>SUMIFS('Peoplesoft-FY13'!L:L,'Peoplesoft-FY13'!S:S,C70,'Peoplesoft-FY13'!Q:Q,$E$3)-P70</f>
        <v>2389871.62</v>
      </c>
      <c r="F70" s="263">
        <f>SUMIFS('Peoplesoft-FY13'!$L:$L,'Peoplesoft-FY13'!$S:$S,$C70,'Peoplesoft-FY13'!$Q:$Q,F$3)</f>
        <v>0</v>
      </c>
      <c r="G70" s="263">
        <f>SUMIFS('Peoplesoft-FY13'!$L:$L,'Peoplesoft-FY13'!$S:$S,$C70,'Peoplesoft-FY13'!$Q:$Q,G$3)</f>
        <v>0</v>
      </c>
      <c r="H70" s="263">
        <v>0</v>
      </c>
      <c r="I70" s="263">
        <f>VLOOKUP(C70,'733 - Title I'!A56:C167,3,FALSE)</f>
        <v>139908.38</v>
      </c>
      <c r="J70" s="263">
        <f>VLOOKUP(C70,'735 - Title II'!A61:C175,3,FALSE)</f>
        <v>7800</v>
      </c>
      <c r="K70" s="263">
        <f>SUMIFS('Peoplesoft-FY13'!$L:$L,'Peoplesoft-FY13'!$S:$S,$C70,'Peoplesoft-FY13'!$Q:$Q,K$3)</f>
        <v>0</v>
      </c>
      <c r="L70" s="263">
        <f>SUMIFS('Peoplesoft-FY13'!$L:$L,'Peoplesoft-FY13'!$S:$S,$C70,'Peoplesoft-FY13'!$Q:$Q,L$3)</f>
        <v>0</v>
      </c>
      <c r="M70" s="263">
        <v>0</v>
      </c>
      <c r="N70" s="263">
        <f>VLOOKUP(C70,'794'!A:C,3,FALSE)</f>
        <v>0</v>
      </c>
      <c r="O70" s="263">
        <v>0</v>
      </c>
      <c r="P70" s="123">
        <f t="shared" si="9"/>
        <v>147708.38</v>
      </c>
      <c r="Q70" s="124">
        <f t="shared" si="6"/>
        <v>2537580</v>
      </c>
      <c r="R70" s="125">
        <f t="shared" si="8"/>
        <v>5.8208363874242393E-2</v>
      </c>
      <c r="S70" s="264">
        <f t="shared" si="7"/>
        <v>0.94179163612575767</v>
      </c>
      <c r="T70" s="126">
        <f>R70+S70</f>
        <v>1</v>
      </c>
    </row>
    <row r="71" spans="1:20" ht="13.2" x14ac:dyDescent="0.3">
      <c r="A71" s="112"/>
      <c r="B71" s="93"/>
      <c r="C71" s="112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127"/>
      <c r="P71" s="127"/>
      <c r="Q71" s="128"/>
      <c r="R71" s="129"/>
      <c r="S71" s="99"/>
      <c r="T71" s="99"/>
    </row>
    <row r="72" spans="1:20" ht="13.2" x14ac:dyDescent="0.3">
      <c r="A72" s="112"/>
      <c r="B72" s="93"/>
      <c r="C72" s="112"/>
      <c r="D72" s="130" t="s">
        <v>145</v>
      </c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128"/>
      <c r="P72" s="127"/>
      <c r="Q72" s="128"/>
      <c r="R72" s="129"/>
      <c r="S72" s="99"/>
      <c r="T72" s="99"/>
    </row>
    <row r="73" spans="1:20" ht="13.2" x14ac:dyDescent="0.25">
      <c r="A73" s="268">
        <v>6340</v>
      </c>
      <c r="B73" s="258">
        <v>1</v>
      </c>
      <c r="C73" s="268">
        <v>6340</v>
      </c>
      <c r="D73" s="289" t="s">
        <v>83</v>
      </c>
      <c r="E73" s="113">
        <f>SUMIFS('Peoplesoft-FY13'!L:L,'Peoplesoft-FY13'!S:S,C73,'Peoplesoft-FY13'!Q:Q,$E$3)-P73</f>
        <v>2655692.5300000003</v>
      </c>
      <c r="F73" s="113">
        <f>SUMIFS('Peoplesoft-FY13'!$L:$L,'Peoplesoft-FY13'!$S:$S,$C73,'Peoplesoft-FY13'!$Q:$Q,F$3)</f>
        <v>0</v>
      </c>
      <c r="G73" s="113">
        <f>SUMIFS('Peoplesoft-FY13'!$L:$L,'Peoplesoft-FY13'!$S:$S,$C73,'Peoplesoft-FY13'!$Q:$Q,G$3)</f>
        <v>0</v>
      </c>
      <c r="H73" s="113">
        <v>0</v>
      </c>
      <c r="I73" s="113">
        <f>VLOOKUP(C73,'733 - Title I'!A59:C170,3,FALSE)</f>
        <v>170340</v>
      </c>
      <c r="J73" s="113">
        <f>VLOOKUP(C73,'735 - Title II'!A64:C178,3,FALSE)</f>
        <v>8900</v>
      </c>
      <c r="K73" s="113">
        <f>SUMIFS('Peoplesoft-FY13'!$L:$L,'Peoplesoft-FY13'!$S:$S,$C73,'Peoplesoft-FY13'!$Q:$Q,K$3)</f>
        <v>0</v>
      </c>
      <c r="L73" s="113">
        <f>SUMIFS('Peoplesoft-FY13'!$L:$L,'Peoplesoft-FY13'!$S:$S,$C73,'Peoplesoft-FY13'!$Q:$Q,L$3)</f>
        <v>0</v>
      </c>
      <c r="M73" s="113">
        <f>SUMIFS('Peoplesoft-FY13'!$L:$L,'Peoplesoft-FY13'!$S:$S,$C73,'Peoplesoft-FY13'!$Q:$Q,M$3)</f>
        <v>0</v>
      </c>
      <c r="N73" s="113">
        <v>0</v>
      </c>
      <c r="O73" s="113">
        <f>VLOOKUP(C73,'8110 - Federal Payments'!A:C,3,FALSE)</f>
        <v>114940.72</v>
      </c>
      <c r="P73" s="114">
        <f t="shared" ref="P73:P84" si="10">SUM(F73:O73)</f>
        <v>294180.71999999997</v>
      </c>
      <c r="Q73" s="115">
        <f t="shared" ref="Q73:Q84" si="11">SUM(E73:O73)</f>
        <v>2949873.2500000005</v>
      </c>
      <c r="R73" s="116">
        <f t="shared" si="8"/>
        <v>9.972656282774181E-2</v>
      </c>
      <c r="S73" s="259">
        <f t="shared" ref="S73:S84" si="12">E73/Q73</f>
        <v>0.90027343717225816</v>
      </c>
      <c r="T73" s="117">
        <f>R73+S73</f>
        <v>1</v>
      </c>
    </row>
    <row r="74" spans="1:20" ht="13.2" x14ac:dyDescent="0.25">
      <c r="A74" s="284">
        <v>6380</v>
      </c>
      <c r="B74" s="260">
        <v>2</v>
      </c>
      <c r="C74" s="284">
        <v>6380</v>
      </c>
      <c r="D74" s="291" t="s">
        <v>146</v>
      </c>
      <c r="E74" s="261">
        <f>SUMIFS('Peoplesoft-FY13'!L:L,'Peoplesoft-FY13'!S:S,C74,'Peoplesoft-FY13'!Q:Q,$E$3)-P74</f>
        <v>3042762.75</v>
      </c>
      <c r="F74" s="261">
        <f>SUMIFS('Peoplesoft-FY13'!$L:$L,'Peoplesoft-FY13'!$S:$S,$C74,'Peoplesoft-FY13'!$Q:$Q,F$3)</f>
        <v>0</v>
      </c>
      <c r="G74" s="261">
        <f>SUMIFS('Peoplesoft-FY13'!$L:$L,'Peoplesoft-FY13'!$S:$S,$C74,'Peoplesoft-FY13'!$Q:$Q,G$3)</f>
        <v>0</v>
      </c>
      <c r="H74" s="261">
        <v>0</v>
      </c>
      <c r="I74" s="261">
        <f>VLOOKUP(C74,'733 - Title I'!A60:C171,3,FALSE)</f>
        <v>106984.05</v>
      </c>
      <c r="J74" s="113">
        <f>VLOOKUP(C74,'735 - Title II'!A65:C179,3,FALSE)</f>
        <v>10375</v>
      </c>
      <c r="K74" s="261">
        <f>SUMIFS('Peoplesoft-FY13'!$L:$L,'Peoplesoft-FY13'!$S:$S,$C74,'Peoplesoft-FY13'!$Q:$Q,K$3)</f>
        <v>0</v>
      </c>
      <c r="L74" s="261">
        <f>SUMIFS('Peoplesoft-FY13'!$L:$L,'Peoplesoft-FY13'!$S:$S,$C74,'Peoplesoft-FY13'!$Q:$Q,L$3)</f>
        <v>0</v>
      </c>
      <c r="M74" s="261">
        <f>SUMIFS('Peoplesoft-FY13'!$L:$L,'Peoplesoft-FY13'!$S:$S,$C74,'Peoplesoft-FY13'!$Q:$Q,M$3)</f>
        <v>0</v>
      </c>
      <c r="N74" s="261">
        <v>0</v>
      </c>
      <c r="O74" s="261">
        <f>VLOOKUP(C74,'8110 - Federal Payments'!A:C,3,FALSE)</f>
        <v>274170.7</v>
      </c>
      <c r="P74" s="118">
        <f t="shared" si="10"/>
        <v>391529.75</v>
      </c>
      <c r="Q74" s="119">
        <f t="shared" si="11"/>
        <v>3434292.5</v>
      </c>
      <c r="R74" s="120">
        <f t="shared" si="8"/>
        <v>0.11400594154400069</v>
      </c>
      <c r="S74" s="262">
        <f t="shared" si="12"/>
        <v>0.88599405845599932</v>
      </c>
      <c r="T74" s="121">
        <f t="shared" ref="T74:T84" si="13">R74+S74</f>
        <v>1</v>
      </c>
    </row>
    <row r="75" spans="1:20" ht="13.2" x14ac:dyDescent="0.25">
      <c r="A75" s="272">
        <v>6390</v>
      </c>
      <c r="B75" s="260">
        <v>3</v>
      </c>
      <c r="C75" s="272">
        <v>6390</v>
      </c>
      <c r="D75" s="290" t="s">
        <v>147</v>
      </c>
      <c r="E75" s="261">
        <f>SUMIFS('Peoplesoft-FY13'!L:L,'Peoplesoft-FY13'!S:S,C75,'Peoplesoft-FY13'!Q:Q,$E$3)-P75</f>
        <v>4040186.96</v>
      </c>
      <c r="F75" s="261">
        <f>SUMIFS('Peoplesoft-FY13'!$L:$L,'Peoplesoft-FY13'!$S:$S,$C75,'Peoplesoft-FY13'!$Q:$Q,F$3)</f>
        <v>0</v>
      </c>
      <c r="G75" s="261">
        <f>SUMIFS('Peoplesoft-FY13'!$L:$L,'Peoplesoft-FY13'!$S:$S,$C75,'Peoplesoft-FY13'!$Q:$Q,G$3)</f>
        <v>0</v>
      </c>
      <c r="H75" s="261">
        <v>0</v>
      </c>
      <c r="I75" s="261">
        <f>VLOOKUP(C75,'733 - Title I'!A61:C172,3,FALSE)</f>
        <v>251455.30000000002</v>
      </c>
      <c r="J75" s="261">
        <f>VLOOKUP(C75,'735 - Title II'!A66:C180,3,FALSE)</f>
        <v>13350</v>
      </c>
      <c r="K75" s="261">
        <f>SUMIFS('Peoplesoft-FY13'!$L:$L,'Peoplesoft-FY13'!$S:$S,$C75,'Peoplesoft-FY13'!$Q:$Q,K$3)</f>
        <v>0</v>
      </c>
      <c r="L75" s="261">
        <f>SUMIFS('Peoplesoft-FY13'!$L:$L,'Peoplesoft-FY13'!$S:$S,$C75,'Peoplesoft-FY13'!$Q:$Q,L$3)</f>
        <v>0</v>
      </c>
      <c r="M75" s="261">
        <f>SUMIFS('Peoplesoft-FY13'!$L:$L,'Peoplesoft-FY13'!$S:$S,$C75,'Peoplesoft-FY13'!$Q:$Q,M$3)</f>
        <v>0</v>
      </c>
      <c r="N75" s="261">
        <v>0</v>
      </c>
      <c r="O75" s="261">
        <f>VLOOKUP(C75,'8110 - Federal Payments'!A:C,3,FALSE)</f>
        <v>145971.87</v>
      </c>
      <c r="P75" s="118">
        <f t="shared" si="10"/>
        <v>410777.17000000004</v>
      </c>
      <c r="Q75" s="119">
        <f t="shared" si="11"/>
        <v>4450964.13</v>
      </c>
      <c r="R75" s="120">
        <f t="shared" si="8"/>
        <v>9.2289481110691421E-2</v>
      </c>
      <c r="S75" s="262">
        <f t="shared" si="12"/>
        <v>0.90771051888930865</v>
      </c>
      <c r="T75" s="121">
        <f t="shared" si="13"/>
        <v>1</v>
      </c>
    </row>
    <row r="76" spans="1:20" ht="13.2" x14ac:dyDescent="0.25">
      <c r="A76" s="272">
        <v>6410</v>
      </c>
      <c r="B76" s="260">
        <v>4</v>
      </c>
      <c r="C76" s="272">
        <v>6410</v>
      </c>
      <c r="D76" s="290" t="s">
        <v>148</v>
      </c>
      <c r="E76" s="261">
        <f>SUMIFS('Peoplesoft-FY13'!L:L,'Peoplesoft-FY13'!S:S,C76,'Peoplesoft-FY13'!Q:Q,$E$3)-P76</f>
        <v>2444059.5699999998</v>
      </c>
      <c r="F76" s="261">
        <f>SUMIFS('Peoplesoft-FY13'!$L:$L,'Peoplesoft-FY13'!$S:$S,$C76,'Peoplesoft-FY13'!$Q:$Q,F$3)</f>
        <v>0</v>
      </c>
      <c r="G76" s="261">
        <f>SUMIFS('Peoplesoft-FY13'!$L:$L,'Peoplesoft-FY13'!$S:$S,$C76,'Peoplesoft-FY13'!$Q:$Q,G$3)</f>
        <v>0</v>
      </c>
      <c r="H76" s="261">
        <v>0</v>
      </c>
      <c r="I76" s="261">
        <f>VLOOKUP(C76,'733 - Title I'!A62:C173,3,FALSE)</f>
        <v>72198.179999999993</v>
      </c>
      <c r="J76" s="261">
        <f>VLOOKUP(C76,'735 - Title II'!A67:C181,3,FALSE)</f>
        <v>4350</v>
      </c>
      <c r="K76" s="261">
        <f>SUMIFS('Peoplesoft-FY13'!$L:$L,'Peoplesoft-FY13'!$S:$S,$C76,'Peoplesoft-FY13'!$Q:$Q,K$3)</f>
        <v>0</v>
      </c>
      <c r="L76" s="261">
        <f>SUMIFS('Peoplesoft-FY13'!$L:$L,'Peoplesoft-FY13'!$S:$S,$C76,'Peoplesoft-FY13'!$Q:$Q,L$3)</f>
        <v>0</v>
      </c>
      <c r="M76" s="261">
        <f>SUMIFS('Peoplesoft-FY13'!$L:$L,'Peoplesoft-FY13'!$S:$S,$C76,'Peoplesoft-FY13'!$Q:$Q,M$3)</f>
        <v>0</v>
      </c>
      <c r="N76" s="261">
        <v>0</v>
      </c>
      <c r="O76" s="261">
        <v>0</v>
      </c>
      <c r="P76" s="118">
        <f t="shared" si="10"/>
        <v>76548.179999999993</v>
      </c>
      <c r="Q76" s="119">
        <f t="shared" si="11"/>
        <v>2520607.75</v>
      </c>
      <c r="R76" s="120">
        <f t="shared" si="8"/>
        <v>3.0368937808748702E-2</v>
      </c>
      <c r="S76" s="262">
        <f t="shared" si="12"/>
        <v>0.96963106219125128</v>
      </c>
      <c r="T76" s="121">
        <f t="shared" si="13"/>
        <v>1</v>
      </c>
    </row>
    <row r="77" spans="1:20" ht="13.2" x14ac:dyDescent="0.25">
      <c r="A77" s="272">
        <v>6420</v>
      </c>
      <c r="B77" s="260">
        <v>5</v>
      </c>
      <c r="C77" s="272">
        <v>6420</v>
      </c>
      <c r="D77" s="290" t="s">
        <v>149</v>
      </c>
      <c r="E77" s="261">
        <f>SUMIFS('Peoplesoft-FY13'!L:L,'Peoplesoft-FY13'!S:S,C77,'Peoplesoft-FY13'!Q:Q,$E$3)-P77</f>
        <v>2652717.3600000003</v>
      </c>
      <c r="F77" s="261">
        <f>SUMIFS('Peoplesoft-FY13'!$L:$L,'Peoplesoft-FY13'!$S:$S,$C77,'Peoplesoft-FY13'!$Q:$Q,F$3)</f>
        <v>0</v>
      </c>
      <c r="G77" s="261">
        <f>SUMIFS('Peoplesoft-FY13'!$L:$L,'Peoplesoft-FY13'!$S:$S,$C77,'Peoplesoft-FY13'!$Q:$Q,G$3)</f>
        <v>0</v>
      </c>
      <c r="H77" s="261">
        <v>0</v>
      </c>
      <c r="I77" s="261">
        <f>VLOOKUP(C77,'733 - Title I'!A63:C174,3,FALSE)</f>
        <v>114612.01</v>
      </c>
      <c r="J77" s="261">
        <f>VLOOKUP(C77,'735 - Title II'!A68:C182,3,FALSE)</f>
        <v>6325</v>
      </c>
      <c r="K77" s="261">
        <f>SUMIFS('Peoplesoft-FY13'!$L:$L,'Peoplesoft-FY13'!$S:$S,$C77,'Peoplesoft-FY13'!$Q:$Q,K$3)</f>
        <v>0</v>
      </c>
      <c r="L77" s="261">
        <f>SUMIFS('Peoplesoft-FY13'!$L:$L,'Peoplesoft-FY13'!$S:$S,$C77,'Peoplesoft-FY13'!$Q:$Q,L$3)</f>
        <v>0</v>
      </c>
      <c r="M77" s="261">
        <f>SUMIFS('Peoplesoft-FY13'!$L:$L,'Peoplesoft-FY13'!$S:$S,$C77,'Peoplesoft-FY13'!$Q:$Q,M$3)</f>
        <v>0</v>
      </c>
      <c r="N77" s="261">
        <v>0</v>
      </c>
      <c r="O77" s="261">
        <v>0</v>
      </c>
      <c r="P77" s="118">
        <f t="shared" si="10"/>
        <v>120937.01</v>
      </c>
      <c r="Q77" s="119">
        <f t="shared" si="11"/>
        <v>2773654.37</v>
      </c>
      <c r="R77" s="120">
        <f t="shared" si="8"/>
        <v>4.3602047648063656E-2</v>
      </c>
      <c r="S77" s="262">
        <f t="shared" si="12"/>
        <v>0.95639795235193636</v>
      </c>
      <c r="T77" s="121">
        <f t="shared" si="13"/>
        <v>1</v>
      </c>
    </row>
    <row r="78" spans="1:20" ht="13.2" x14ac:dyDescent="0.25">
      <c r="A78" s="272">
        <v>6580</v>
      </c>
      <c r="B78" s="260">
        <v>6</v>
      </c>
      <c r="C78" s="272">
        <v>6580</v>
      </c>
      <c r="D78" s="290" t="s">
        <v>150</v>
      </c>
      <c r="E78" s="261">
        <f>SUMIFS('Peoplesoft-FY13'!L:L,'Peoplesoft-FY13'!S:S,C78,'Peoplesoft-FY13'!Q:Q,$E$3)-P78</f>
        <v>2903080.41</v>
      </c>
      <c r="F78" s="261">
        <f>SUMIFS('Peoplesoft-FY13'!$L:$L,'Peoplesoft-FY13'!$S:$S,$C78,'Peoplesoft-FY13'!$Q:$Q,F$3)</f>
        <v>0</v>
      </c>
      <c r="G78" s="261">
        <f>SUMIFS('Peoplesoft-FY13'!$L:$L,'Peoplesoft-FY13'!$S:$S,$C78,'Peoplesoft-FY13'!$Q:$Q,G$3)</f>
        <v>0</v>
      </c>
      <c r="H78" s="261">
        <f>VLOOKUP(C78,'731'!A:C,3,FALSE)</f>
        <v>0</v>
      </c>
      <c r="I78" s="261">
        <f>VLOOKUP(C78,'733 - Title I'!A64:C175,3,FALSE)</f>
        <v>147407.97</v>
      </c>
      <c r="J78" s="261">
        <f>VLOOKUP(C78,'735 - Title II'!A69:C183,3,FALSE)</f>
        <v>8225</v>
      </c>
      <c r="K78" s="261">
        <f>SUMIFS('Peoplesoft-FY13'!$L:$L,'Peoplesoft-FY13'!$S:$S,$C78,'Peoplesoft-FY13'!$Q:$Q,K$3)</f>
        <v>0</v>
      </c>
      <c r="L78" s="261">
        <f>SUMIFS('Peoplesoft-FY13'!$L:$L,'Peoplesoft-FY13'!$S:$S,$C78,'Peoplesoft-FY13'!$Q:$Q,L$3)</f>
        <v>0</v>
      </c>
      <c r="M78" s="261">
        <f>SUMIFS('Peoplesoft-FY13'!$L:$L,'Peoplesoft-FY13'!$S:$S,$C78,'Peoplesoft-FY13'!$Q:$Q,M$3)</f>
        <v>0</v>
      </c>
      <c r="N78" s="261">
        <v>0</v>
      </c>
      <c r="O78" s="261">
        <f>VLOOKUP(C78,'8110 - Federal Payments'!A:C,3,FALSE)</f>
        <v>63313.120000000003</v>
      </c>
      <c r="P78" s="118">
        <f t="shared" si="10"/>
        <v>218946.09</v>
      </c>
      <c r="Q78" s="119">
        <f t="shared" si="11"/>
        <v>3122026.5000000005</v>
      </c>
      <c r="R78" s="120">
        <f t="shared" si="8"/>
        <v>7.0129478401288387E-2</v>
      </c>
      <c r="S78" s="262">
        <f t="shared" si="12"/>
        <v>0.92987052159871153</v>
      </c>
      <c r="T78" s="121">
        <f t="shared" si="13"/>
        <v>0.99999999999999989</v>
      </c>
    </row>
    <row r="79" spans="1:20" ht="13.2" x14ac:dyDescent="0.25">
      <c r="A79" s="272">
        <v>6430</v>
      </c>
      <c r="B79" s="260">
        <v>7</v>
      </c>
      <c r="C79" s="272">
        <v>6430</v>
      </c>
      <c r="D79" s="290" t="s">
        <v>151</v>
      </c>
      <c r="E79" s="261">
        <f>SUMIFS('Peoplesoft-FY13'!L:L,'Peoplesoft-FY13'!S:S,C79,'Peoplesoft-FY13'!Q:Q,$E$3)-P79</f>
        <v>2586677.08</v>
      </c>
      <c r="F79" s="261">
        <f>SUMIFS('Peoplesoft-FY13'!$L:$L,'Peoplesoft-FY13'!$S:$S,$C79,'Peoplesoft-FY13'!$Q:$Q,F$3)</f>
        <v>0</v>
      </c>
      <c r="G79" s="261">
        <f>SUMIFS('Peoplesoft-FY13'!$L:$L,'Peoplesoft-FY13'!$S:$S,$C79,'Peoplesoft-FY13'!$Q:$Q,G$3)</f>
        <v>0</v>
      </c>
      <c r="H79" s="261">
        <f>VLOOKUP(C79,'731'!A:C,3,FALSE)</f>
        <v>0</v>
      </c>
      <c r="I79" s="261">
        <f>VLOOKUP(C79,'733 - Title I'!A65:C176,3,FALSE)</f>
        <v>132772.55000000002</v>
      </c>
      <c r="J79" s="261">
        <f>VLOOKUP(C79,'735 - Title II'!A70:C184,3,FALSE)</f>
        <v>7025</v>
      </c>
      <c r="K79" s="261">
        <f>SUMIFS('Peoplesoft-FY13'!$L:$L,'Peoplesoft-FY13'!$S:$S,$C79,'Peoplesoft-FY13'!$Q:$Q,K$3)</f>
        <v>0</v>
      </c>
      <c r="L79" s="261">
        <f>SUMIFS('Peoplesoft-FY13'!$L:$L,'Peoplesoft-FY13'!$S:$S,$C79,'Peoplesoft-FY13'!$Q:$Q,L$3)</f>
        <v>0</v>
      </c>
      <c r="M79" s="261">
        <f>SUMIFS('Peoplesoft-FY13'!$L:$L,'Peoplesoft-FY13'!$S:$S,$C79,'Peoplesoft-FY13'!$Q:$Q,M$3)</f>
        <v>0</v>
      </c>
      <c r="N79" s="261">
        <v>0</v>
      </c>
      <c r="O79" s="261">
        <v>0</v>
      </c>
      <c r="P79" s="118">
        <f t="shared" si="10"/>
        <v>139797.55000000002</v>
      </c>
      <c r="Q79" s="119">
        <f t="shared" si="11"/>
        <v>2726474.63</v>
      </c>
      <c r="R79" s="120">
        <f t="shared" si="8"/>
        <v>5.1274106298946208E-2</v>
      </c>
      <c r="S79" s="262">
        <f t="shared" si="12"/>
        <v>0.94872589370105387</v>
      </c>
      <c r="T79" s="121">
        <f t="shared" si="13"/>
        <v>1</v>
      </c>
    </row>
    <row r="80" spans="1:20" ht="13.2" x14ac:dyDescent="0.25">
      <c r="A80" s="272">
        <v>6450</v>
      </c>
      <c r="B80" s="260">
        <v>8</v>
      </c>
      <c r="C80" s="272">
        <v>6450</v>
      </c>
      <c r="D80" s="290" t="s">
        <v>152</v>
      </c>
      <c r="E80" s="261">
        <f>SUMIFS('Peoplesoft-FY13'!L:L,'Peoplesoft-FY13'!S:S,C80,'Peoplesoft-FY13'!Q:Q,$E$3)-P80</f>
        <v>2137745.3899999997</v>
      </c>
      <c r="F80" s="261">
        <f>SUMIFS('Peoplesoft-FY13'!$L:$L,'Peoplesoft-FY13'!$S:$S,$C80,'Peoplesoft-FY13'!$Q:$Q,F$3)</f>
        <v>0</v>
      </c>
      <c r="G80" s="261">
        <f>SUMIFS('Peoplesoft-FY13'!$L:$L,'Peoplesoft-FY13'!$S:$S,$C80,'Peoplesoft-FY13'!$Q:$Q,G$3)</f>
        <v>0</v>
      </c>
      <c r="H80" s="261">
        <v>0</v>
      </c>
      <c r="I80" s="261">
        <f>VLOOKUP(C80,'733 - Title I'!A66:C177,3,FALSE)</f>
        <v>89764.96</v>
      </c>
      <c r="J80" s="261">
        <f>VLOOKUP(C80,'735 - Title II'!A71:C185,3,FALSE)</f>
        <v>5025</v>
      </c>
      <c r="K80" s="261">
        <f>SUMIFS('Peoplesoft-FY13'!$L:$L,'Peoplesoft-FY13'!$S:$S,$C80,'Peoplesoft-FY13'!$Q:$Q,K$3)</f>
        <v>0</v>
      </c>
      <c r="L80" s="261">
        <f>SUMIFS('Peoplesoft-FY13'!$L:$L,'Peoplesoft-FY13'!$S:$S,$C80,'Peoplesoft-FY13'!$Q:$Q,L$3)</f>
        <v>0</v>
      </c>
      <c r="M80" s="261">
        <f>SUMIFS('Peoplesoft-FY13'!$L:$L,'Peoplesoft-FY13'!$S:$S,$C80,'Peoplesoft-FY13'!$Q:$Q,M$3)</f>
        <v>0</v>
      </c>
      <c r="N80" s="261">
        <v>0</v>
      </c>
      <c r="O80" s="261">
        <f>VLOOKUP(C80,'8110 - Federal Payments'!A:C,3,FALSE)</f>
        <v>82097.66</v>
      </c>
      <c r="P80" s="118">
        <f t="shared" si="10"/>
        <v>176887.62</v>
      </c>
      <c r="Q80" s="119">
        <f t="shared" si="11"/>
        <v>2314633.0099999998</v>
      </c>
      <c r="R80" s="120">
        <f t="shared" si="8"/>
        <v>7.642145395653889E-2</v>
      </c>
      <c r="S80" s="262">
        <f t="shared" si="12"/>
        <v>0.92357854604346101</v>
      </c>
      <c r="T80" s="121">
        <f t="shared" si="13"/>
        <v>0.99999999999999989</v>
      </c>
    </row>
    <row r="81" spans="1:20" ht="13.2" x14ac:dyDescent="0.25">
      <c r="A81" s="272">
        <v>6470</v>
      </c>
      <c r="B81" s="260">
        <v>9</v>
      </c>
      <c r="C81" s="272">
        <v>6470</v>
      </c>
      <c r="D81" s="290" t="s">
        <v>153</v>
      </c>
      <c r="E81" s="261">
        <f>SUMIFS('Peoplesoft-FY13'!L:L,'Peoplesoft-FY13'!S:S,C81,'Peoplesoft-FY13'!Q:Q,$E$3)-P81</f>
        <v>2247529.04</v>
      </c>
      <c r="F81" s="261">
        <f>SUMIFS('Peoplesoft-FY13'!$L:$L,'Peoplesoft-FY13'!$S:$S,$C81,'Peoplesoft-FY13'!$Q:$Q,F$3)</f>
        <v>0</v>
      </c>
      <c r="G81" s="261">
        <f>SUMIFS('Peoplesoft-FY13'!$L:$L,'Peoplesoft-FY13'!$S:$S,$C81,'Peoplesoft-FY13'!$Q:$Q,G$3)</f>
        <v>0</v>
      </c>
      <c r="H81" s="261">
        <v>0</v>
      </c>
      <c r="I81" s="261">
        <f>VLOOKUP(C81,'733 - Title I'!A67:C178,3,FALSE)</f>
        <v>103822.67000000001</v>
      </c>
      <c r="J81" s="261">
        <f>VLOOKUP(C81,'735 - Title II'!A72:C186,3,FALSE)</f>
        <v>5750</v>
      </c>
      <c r="K81" s="261">
        <f>SUMIFS('Peoplesoft-FY13'!$L:$L,'Peoplesoft-FY13'!$S:$S,$C81,'Peoplesoft-FY13'!$Q:$Q,K$3)</f>
        <v>0</v>
      </c>
      <c r="L81" s="261">
        <f>SUMIFS('Peoplesoft-FY13'!$L:$L,'Peoplesoft-FY13'!$S:$S,$C81,'Peoplesoft-FY13'!$Q:$Q,L$3)</f>
        <v>0</v>
      </c>
      <c r="M81" s="261">
        <f>SUMIFS('Peoplesoft-FY13'!$L:$L,'Peoplesoft-FY13'!$S:$S,$C81,'Peoplesoft-FY13'!$Q:$Q,M$3)</f>
        <v>0</v>
      </c>
      <c r="N81" s="261">
        <v>0</v>
      </c>
      <c r="O81" s="261">
        <f>VLOOKUP(C81,'8110 - Federal Payments'!A:C,3,FALSE)</f>
        <v>157982.66999999998</v>
      </c>
      <c r="P81" s="118">
        <f t="shared" si="10"/>
        <v>267555.33999999997</v>
      </c>
      <c r="Q81" s="119">
        <f t="shared" si="11"/>
        <v>2515084.38</v>
      </c>
      <c r="R81" s="120">
        <f t="shared" si="8"/>
        <v>0.10638026387011316</v>
      </c>
      <c r="S81" s="262">
        <f t="shared" si="12"/>
        <v>0.89361973612988688</v>
      </c>
      <c r="T81" s="121">
        <f t="shared" si="13"/>
        <v>1</v>
      </c>
    </row>
    <row r="82" spans="1:20" ht="13.2" x14ac:dyDescent="0.25">
      <c r="A82" s="272">
        <v>6480</v>
      </c>
      <c r="B82" s="260">
        <v>10</v>
      </c>
      <c r="C82" s="272">
        <v>6480</v>
      </c>
      <c r="D82" s="290" t="s">
        <v>154</v>
      </c>
      <c r="E82" s="261">
        <f>SUMIFS('Peoplesoft-FY13'!L:L,'Peoplesoft-FY13'!S:S,C82,'Peoplesoft-FY13'!Q:Q,$E$3)-P82</f>
        <v>1946753.39</v>
      </c>
      <c r="F82" s="261">
        <f>SUMIFS('Peoplesoft-FY13'!$L:$L,'Peoplesoft-FY13'!$S:$S,$C82,'Peoplesoft-FY13'!$Q:$Q,F$3)</f>
        <v>0</v>
      </c>
      <c r="G82" s="261">
        <f>SUMIFS('Peoplesoft-FY13'!$L:$L,'Peoplesoft-FY13'!$S:$S,$C82,'Peoplesoft-FY13'!$Q:$Q,G$3)</f>
        <v>0</v>
      </c>
      <c r="H82" s="261">
        <v>0</v>
      </c>
      <c r="I82" s="261">
        <f>VLOOKUP(C82,'733 - Title I'!A67:C179,3,FALSE)</f>
        <v>69796.39</v>
      </c>
      <c r="J82" s="261">
        <f>VLOOKUP(C82,'735 - Title II'!A73:C187,3,FALSE)</f>
        <v>3875</v>
      </c>
      <c r="K82" s="261">
        <f>SUMIFS('Peoplesoft-FY13'!$L:$L,'Peoplesoft-FY13'!$S:$S,$C82,'Peoplesoft-FY13'!$Q:$Q,K$3)</f>
        <v>0</v>
      </c>
      <c r="L82" s="261">
        <f>SUMIFS('Peoplesoft-FY13'!$L:$L,'Peoplesoft-FY13'!$S:$S,$C82,'Peoplesoft-FY13'!$Q:$Q,L$3)</f>
        <v>0</v>
      </c>
      <c r="M82" s="261">
        <f>SUMIFS('Peoplesoft-FY13'!$L:$L,'Peoplesoft-FY13'!$S:$S,$C82,'Peoplesoft-FY13'!$Q:$Q,M$3)</f>
        <v>0</v>
      </c>
      <c r="N82" s="261">
        <f>VLOOKUP(C82,'794'!A:C,3,FALSE)</f>
        <v>0</v>
      </c>
      <c r="O82" s="261">
        <f>VLOOKUP(C82,'8110 - Federal Payments'!A:C,3,FALSE)</f>
        <v>57683.6</v>
      </c>
      <c r="P82" s="118">
        <f t="shared" si="10"/>
        <v>131354.99</v>
      </c>
      <c r="Q82" s="119">
        <f t="shared" si="11"/>
        <v>2078108.38</v>
      </c>
      <c r="R82" s="120">
        <f t="shared" si="8"/>
        <v>6.3208921759893968E-2</v>
      </c>
      <c r="S82" s="262">
        <f t="shared" si="12"/>
        <v>0.93679107824010599</v>
      </c>
      <c r="T82" s="121">
        <f t="shared" si="13"/>
        <v>1</v>
      </c>
    </row>
    <row r="83" spans="1:20" ht="13.2" x14ac:dyDescent="0.25">
      <c r="A83" s="272">
        <v>6490</v>
      </c>
      <c r="B83" s="260">
        <v>11</v>
      </c>
      <c r="C83" s="272">
        <v>6490</v>
      </c>
      <c r="D83" s="290" t="s">
        <v>155</v>
      </c>
      <c r="E83" s="261">
        <f>SUMIFS('Peoplesoft-FY13'!L:L,'Peoplesoft-FY13'!S:S,C83,'Peoplesoft-FY13'!Q:Q,$E$3)-P83</f>
        <v>2209581.58</v>
      </c>
      <c r="F83" s="261">
        <f>SUMIFS('Peoplesoft-FY13'!$L:$L,'Peoplesoft-FY13'!$S:$S,$C83,'Peoplesoft-FY13'!$Q:$Q,F$3)</f>
        <v>0</v>
      </c>
      <c r="G83" s="261">
        <f>SUMIFS('Peoplesoft-FY13'!$L:$L,'Peoplesoft-FY13'!$S:$S,$C83,'Peoplesoft-FY13'!$Q:$Q,G$3)</f>
        <v>0</v>
      </c>
      <c r="H83" s="261">
        <v>0</v>
      </c>
      <c r="I83" s="261">
        <f>VLOOKUP(C83,'733 - Title I'!A67:C180,3,FALSE)</f>
        <v>155918.54</v>
      </c>
      <c r="J83" s="261">
        <f>VLOOKUP(C83,'735 - Title II'!A74:C188,3,FALSE)</f>
        <v>8725</v>
      </c>
      <c r="K83" s="261">
        <f>SUMIFS('Peoplesoft-FY13'!$L:$L,'Peoplesoft-FY13'!$S:$S,$C83,'Peoplesoft-FY13'!$Q:$Q,K$3)</f>
        <v>0</v>
      </c>
      <c r="L83" s="261">
        <f>SUMIFS('Peoplesoft-FY13'!$L:$L,'Peoplesoft-FY13'!$S:$S,$C83,'Peoplesoft-FY13'!$Q:$Q,L$3)</f>
        <v>0</v>
      </c>
      <c r="M83" s="261">
        <f>SUMIFS('Peoplesoft-FY13'!$L:$L,'Peoplesoft-FY13'!$S:$S,$C83,'Peoplesoft-FY13'!$Q:$Q,M$3)</f>
        <v>0</v>
      </c>
      <c r="N83" s="261">
        <v>0</v>
      </c>
      <c r="O83" s="261">
        <v>0</v>
      </c>
      <c r="P83" s="118">
        <f t="shared" si="10"/>
        <v>164643.54</v>
      </c>
      <c r="Q83" s="119">
        <f t="shared" si="11"/>
        <v>2374225.12</v>
      </c>
      <c r="R83" s="120">
        <f t="shared" si="8"/>
        <v>6.9346221052534393E-2</v>
      </c>
      <c r="S83" s="262">
        <f t="shared" si="12"/>
        <v>0.93065377894746559</v>
      </c>
      <c r="T83" s="121">
        <f t="shared" si="13"/>
        <v>1</v>
      </c>
    </row>
    <row r="84" spans="1:20" ht="13.2" x14ac:dyDescent="0.25">
      <c r="A84" s="287">
        <v>6500</v>
      </c>
      <c r="B84" s="294">
        <v>12</v>
      </c>
      <c r="C84" s="287">
        <v>6500</v>
      </c>
      <c r="D84" s="296" t="s">
        <v>156</v>
      </c>
      <c r="E84" s="263">
        <f>SUMIFS('Peoplesoft-FY13'!L:L,'Peoplesoft-FY13'!S:S,C84,'Peoplesoft-FY13'!Q:Q,$E$3)-P84</f>
        <v>3122711.3400000003</v>
      </c>
      <c r="F84" s="263">
        <f>SUMIFS('Peoplesoft-FY13'!$L:$L,'Peoplesoft-FY13'!$S:$S,$C84,'Peoplesoft-FY13'!$Q:$Q,F$3)</f>
        <v>0</v>
      </c>
      <c r="G84" s="263">
        <f>SUMIFS('Peoplesoft-FY13'!$L:$L,'Peoplesoft-FY13'!$S:$S,$C84,'Peoplesoft-FY13'!$Q:$Q,G$3)</f>
        <v>0</v>
      </c>
      <c r="H84" s="263">
        <v>0</v>
      </c>
      <c r="I84" s="263">
        <f>VLOOKUP(C84,'733 - Title I'!A68:C181,3,FALSE)</f>
        <v>117147.53</v>
      </c>
      <c r="J84" s="263">
        <f>VLOOKUP(C84,'735 - Title II'!A75:C189,3,FALSE)</f>
        <v>10100</v>
      </c>
      <c r="K84" s="263">
        <f>SUMIFS('Peoplesoft-FY13'!$L:$L,'Peoplesoft-FY13'!$S:$S,$C84,'Peoplesoft-FY13'!$Q:$Q,K$3)</f>
        <v>0</v>
      </c>
      <c r="L84" s="263">
        <f>SUMIFS('Peoplesoft-FY13'!$L:$L,'Peoplesoft-FY13'!$S:$S,$C84,'Peoplesoft-FY13'!$Q:$Q,L$3)</f>
        <v>0</v>
      </c>
      <c r="M84" s="263">
        <f>SUMIFS('Peoplesoft-FY13'!$L:$L,'Peoplesoft-FY13'!$S:$S,$C84,'Peoplesoft-FY13'!$Q:$Q,M$3)</f>
        <v>0</v>
      </c>
      <c r="N84" s="263">
        <v>0</v>
      </c>
      <c r="O84" s="263">
        <v>0</v>
      </c>
      <c r="P84" s="123">
        <f t="shared" si="10"/>
        <v>127247.53</v>
      </c>
      <c r="Q84" s="124">
        <f t="shared" si="11"/>
        <v>3249958.87</v>
      </c>
      <c r="R84" s="125">
        <f t="shared" si="8"/>
        <v>3.9153581657481097E-2</v>
      </c>
      <c r="S84" s="264">
        <f t="shared" si="12"/>
        <v>0.96084641834251894</v>
      </c>
      <c r="T84" s="126">
        <f t="shared" si="13"/>
        <v>1</v>
      </c>
    </row>
    <row r="85" spans="1:20" ht="13.2" x14ac:dyDescent="0.3">
      <c r="A85" s="112"/>
      <c r="B85" s="93"/>
      <c r="C85" s="112"/>
      <c r="D85" s="93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7"/>
      <c r="Q85" s="128"/>
      <c r="R85" s="129"/>
      <c r="S85" s="99"/>
      <c r="T85" s="99"/>
    </row>
    <row r="86" spans="1:20" ht="13.2" x14ac:dyDescent="0.3">
      <c r="A86" s="112"/>
      <c r="B86" s="93"/>
      <c r="C86" s="112"/>
      <c r="D86" s="130" t="s">
        <v>157</v>
      </c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7"/>
      <c r="Q86" s="128"/>
      <c r="R86" s="129"/>
      <c r="S86" s="99"/>
      <c r="T86" s="99"/>
    </row>
    <row r="87" spans="1:20" ht="13.2" x14ac:dyDescent="0.25">
      <c r="A87" s="268">
        <v>7110</v>
      </c>
      <c r="B87" s="267">
        <f>+'COMPARABILITY FY13 '!B87</f>
        <v>1</v>
      </c>
      <c r="C87" s="268">
        <v>7110</v>
      </c>
      <c r="D87" s="269" t="str">
        <f>+'COMPARABILITY FY13 '!D87</f>
        <v>Anacostia SHS</v>
      </c>
      <c r="E87" s="113">
        <f>SUMIFS('Peoplesoft-FY13'!L:L,'Peoplesoft-FY13'!S:S,C87,'Peoplesoft-FY13'!Q:Q,$E$3)-P87</f>
        <v>5989655.7299999995</v>
      </c>
      <c r="F87" s="113">
        <f>VLOOKUP(C87,'602 - ROTC'!$A:$C,3,0)</f>
        <v>79057.14</v>
      </c>
      <c r="G87" s="113">
        <f>SUMIFS('Peoplesoft-FY13'!$L:$L,'Peoplesoft-FY13'!$S:$S,$C87,'Peoplesoft-FY13'!$Q:$Q,G$3)</f>
        <v>0</v>
      </c>
      <c r="H87" s="113">
        <v>0</v>
      </c>
      <c r="I87" s="113">
        <f>VLOOKUP(C87,'733 - Title I'!A71:C184,3,FALSE)</f>
        <v>371234.63999999996</v>
      </c>
      <c r="J87" s="113">
        <f>VLOOKUP(C87,'735 - Title II'!A78:C192,3,FALSE)</f>
        <v>21050</v>
      </c>
      <c r="K87" s="113">
        <f>SUMIFS('Peoplesoft-FY13'!$L:$L,'Peoplesoft-FY13'!$S:$S,$C87,'Peoplesoft-FY13'!$Q:$Q,K$3)</f>
        <v>0</v>
      </c>
      <c r="L87" s="113">
        <f>SUMIFS('Peoplesoft-FY13'!$L:$L,'Peoplesoft-FY13'!$S:$S,$C87,'Peoplesoft-FY13'!$Q:$Q,L$3)</f>
        <v>0</v>
      </c>
      <c r="M87" s="113">
        <v>0</v>
      </c>
      <c r="N87" s="113">
        <v>0</v>
      </c>
      <c r="O87" s="113">
        <v>0</v>
      </c>
      <c r="P87" s="114">
        <f t="shared" ref="P87:P106" si="14">SUM(F87:O87)</f>
        <v>471341.77999999997</v>
      </c>
      <c r="Q87" s="115">
        <f t="shared" ref="Q87:Q106" si="15">SUM(E87:O87)</f>
        <v>6460997.5099999988</v>
      </c>
      <c r="R87" s="116">
        <f t="shared" si="8"/>
        <v>7.2951859100778393E-2</v>
      </c>
      <c r="S87" s="117">
        <f t="shared" ref="S87:S106" si="16">E87/Q87</f>
        <v>0.92704814089922172</v>
      </c>
      <c r="T87" s="99">
        <f t="shared" ref="T87:T106" si="17">R87+S87</f>
        <v>1</v>
      </c>
    </row>
    <row r="88" spans="1:20" ht="13.2" x14ac:dyDescent="0.25">
      <c r="A88" s="272">
        <v>7120</v>
      </c>
      <c r="B88" s="271">
        <f>+'COMPARABILITY FY13 '!B88</f>
        <v>2</v>
      </c>
      <c r="C88" s="272">
        <v>7120</v>
      </c>
      <c r="D88" s="273" t="str">
        <f>+'COMPARABILITY FY13 '!D88</f>
        <v>Ballou SHS</v>
      </c>
      <c r="E88" s="261">
        <f>SUMIFS('Peoplesoft-FY13'!L:L,'Peoplesoft-FY13'!S:S,C88,'Peoplesoft-FY13'!Q:Q,$E$3)-P88</f>
        <v>7319697.1600000001</v>
      </c>
      <c r="F88" s="261">
        <v>0</v>
      </c>
      <c r="G88" s="261">
        <f>SUMIFS('Peoplesoft-FY13'!$L:$L,'Peoplesoft-FY13'!$S:$S,$C88,'Peoplesoft-FY13'!$Q:$Q,G$3)</f>
        <v>0</v>
      </c>
      <c r="H88" s="261">
        <v>0</v>
      </c>
      <c r="I88" s="261">
        <f>VLOOKUP(C88,'733 - Title I'!A72:C185,3,FALSE)</f>
        <v>444235.20999999996</v>
      </c>
      <c r="J88" s="261">
        <f>VLOOKUP(C88,'735 - Title II'!A79:C193,3,FALSE)</f>
        <v>25374.999999999996</v>
      </c>
      <c r="K88" s="261">
        <f>SUMIFS('Peoplesoft-FY13'!$L:$L,'Peoplesoft-FY13'!$S:$S,$C88,'Peoplesoft-FY13'!$Q:$Q,K$3)</f>
        <v>0</v>
      </c>
      <c r="L88" s="261">
        <f>SUMIFS('Peoplesoft-FY13'!$L:$L,'Peoplesoft-FY13'!$S:$S,$C88,'Peoplesoft-FY13'!$Q:$Q,L$3)</f>
        <v>0</v>
      </c>
      <c r="M88" s="261">
        <v>0</v>
      </c>
      <c r="N88" s="261">
        <v>0</v>
      </c>
      <c r="O88" s="261">
        <v>0</v>
      </c>
      <c r="P88" s="118">
        <f t="shared" si="14"/>
        <v>469610.20999999996</v>
      </c>
      <c r="Q88" s="119">
        <f t="shared" si="15"/>
        <v>7789307.3700000001</v>
      </c>
      <c r="R88" s="120">
        <f t="shared" si="8"/>
        <v>6.0289084470934153E-2</v>
      </c>
      <c r="S88" s="121">
        <f t="shared" si="16"/>
        <v>0.93971091552906583</v>
      </c>
      <c r="T88" s="99">
        <f t="shared" si="17"/>
        <v>1</v>
      </c>
    </row>
    <row r="89" spans="1:20" ht="13.2" x14ac:dyDescent="0.25">
      <c r="A89" s="272">
        <v>7140</v>
      </c>
      <c r="B89" s="271">
        <f>+'COMPARABILITY FY13 '!B89</f>
        <v>3</v>
      </c>
      <c r="C89" s="272">
        <v>7140</v>
      </c>
      <c r="D89" s="273" t="str">
        <f>+'COMPARABILITY FY13 '!D89</f>
        <v>Banneker SHS</v>
      </c>
      <c r="E89" s="261">
        <f>SUMIFS('Peoplesoft-FY13'!L:L,'Peoplesoft-FY13'!S:S,C89,'Peoplesoft-FY13'!Q:Q,$E$3)-P89</f>
        <v>3384894.7</v>
      </c>
      <c r="F89" s="261">
        <v>0</v>
      </c>
      <c r="G89" s="261">
        <f>SUMIFS('Peoplesoft-FY13'!$L:$L,'Peoplesoft-FY13'!$S:$S,$C89,'Peoplesoft-FY13'!$Q:$Q,G$3)</f>
        <v>0</v>
      </c>
      <c r="H89" s="261">
        <v>0</v>
      </c>
      <c r="I89" s="261">
        <f>VLOOKUP(C89,'733 - Title I'!A73:C186,3,FALSE)</f>
        <v>134799.9</v>
      </c>
      <c r="J89" s="261">
        <f>VLOOKUP(C89,'735 - Title II'!A80:C194,3,FALSE)</f>
        <v>10325</v>
      </c>
      <c r="K89" s="261">
        <f>SUMIFS('Peoplesoft-FY13'!$L:$L,'Peoplesoft-FY13'!$S:$S,$C89,'Peoplesoft-FY13'!$Q:$Q,K$3)</f>
        <v>0</v>
      </c>
      <c r="L89" s="261">
        <f>SUMIFS('Peoplesoft-FY13'!$L:$L,'Peoplesoft-FY13'!$S:$S,$C89,'Peoplesoft-FY13'!$Q:$Q,L$3)</f>
        <v>0</v>
      </c>
      <c r="M89" s="261">
        <v>0</v>
      </c>
      <c r="N89" s="261">
        <v>0</v>
      </c>
      <c r="O89" s="261">
        <v>0</v>
      </c>
      <c r="P89" s="118">
        <f t="shared" si="14"/>
        <v>145124.9</v>
      </c>
      <c r="Q89" s="119">
        <f t="shared" si="15"/>
        <v>3530019.6</v>
      </c>
      <c r="R89" s="120">
        <f t="shared" si="8"/>
        <v>4.1111641419781346E-2</v>
      </c>
      <c r="S89" s="121">
        <f t="shared" si="16"/>
        <v>0.9588883585802187</v>
      </c>
      <c r="T89" s="99">
        <f t="shared" si="17"/>
        <v>1</v>
      </c>
    </row>
    <row r="90" spans="1:20" ht="13.2" x14ac:dyDescent="0.25">
      <c r="A90" s="272">
        <v>7150</v>
      </c>
      <c r="B90" s="271">
        <f>+'COMPARABILITY FY13 '!B90</f>
        <v>4</v>
      </c>
      <c r="C90" s="272">
        <v>7150</v>
      </c>
      <c r="D90" s="273" t="str">
        <f>+'COMPARABILITY FY13 '!D90</f>
        <v>Columbia Heights EC</v>
      </c>
      <c r="E90" s="261">
        <f>SUMIFS('Peoplesoft-FY13'!L:L,'Peoplesoft-FY13'!S:S,C90,'Peoplesoft-FY13'!Q:Q,$E$3)-P90</f>
        <v>8658547.9299999997</v>
      </c>
      <c r="F90" s="261">
        <f>VLOOKUP(C90,'602 - ROTC'!$A:$C,3,0)</f>
        <v>49982.42</v>
      </c>
      <c r="G90" s="261">
        <f>SUMIFS('Peoplesoft-FY13'!$L:$L,'Peoplesoft-FY13'!$S:$S,$C90,'Peoplesoft-FY13'!$Q:$Q,G$3)</f>
        <v>0</v>
      </c>
      <c r="H90" s="261">
        <v>0</v>
      </c>
      <c r="I90" s="261">
        <f>VLOOKUP(C90,'733 - Title I'!A74:C187,3,FALSE)</f>
        <v>554385.98</v>
      </c>
      <c r="J90" s="261">
        <f>VLOOKUP(C90,'735 - Title II'!A81:C195,3,FALSE)</f>
        <v>30325</v>
      </c>
      <c r="K90" s="261">
        <f>SUMIFS('Peoplesoft-FY13'!$L:$L,'Peoplesoft-FY13'!$S:$S,$C90,'Peoplesoft-FY13'!$Q:$Q,K$3)</f>
        <v>0</v>
      </c>
      <c r="L90" s="261">
        <f>SUMIFS('Peoplesoft-FY13'!$L:$L,'Peoplesoft-FY13'!$S:$S,$C90,'Peoplesoft-FY13'!$Q:$Q,L$3)</f>
        <v>0</v>
      </c>
      <c r="M90" s="261">
        <v>0</v>
      </c>
      <c r="N90" s="261">
        <v>0</v>
      </c>
      <c r="O90" s="261">
        <f>VLOOKUP(C90,'8110 - Federal Payments'!A:C,3,FALSE)</f>
        <v>59000.92</v>
      </c>
      <c r="P90" s="118">
        <f t="shared" si="14"/>
        <v>693694.32000000007</v>
      </c>
      <c r="Q90" s="119">
        <f t="shared" si="15"/>
        <v>9352242.25</v>
      </c>
      <c r="R90" s="120">
        <f t="shared" si="8"/>
        <v>7.4174117976894799E-2</v>
      </c>
      <c r="S90" s="121">
        <f t="shared" si="16"/>
        <v>0.92582588202310523</v>
      </c>
      <c r="T90" s="99">
        <f t="shared" si="17"/>
        <v>1</v>
      </c>
    </row>
    <row r="91" spans="1:20" s="91" customFormat="1" ht="13.2" x14ac:dyDescent="0.25">
      <c r="A91" s="272">
        <v>7160</v>
      </c>
      <c r="B91" s="271">
        <f>+'COMPARABILITY FY13 '!B91</f>
        <v>5</v>
      </c>
      <c r="C91" s="272">
        <v>7160</v>
      </c>
      <c r="D91" s="273" t="str">
        <f>+'COMPARABILITY FY13 '!D91</f>
        <v>Cardozo SHS</v>
      </c>
      <c r="E91" s="261">
        <f>SUMIFS('Peoplesoft-FY13'!L:L,'Peoplesoft-FY13'!S:S,C91,'Peoplesoft-FY13'!Q:Q,$E$3)-P91</f>
        <v>5145829.8999999994</v>
      </c>
      <c r="F91" s="261">
        <f>VLOOKUP(C91,'602 - ROTC'!$A:$C,3,0)</f>
        <v>95110.88</v>
      </c>
      <c r="G91" s="261">
        <f>SUMIFS('Peoplesoft-FY13'!$L:$L,'Peoplesoft-FY13'!$S:$S,$C91,'Peoplesoft-FY13'!$Q:$Q,G$3)</f>
        <v>0</v>
      </c>
      <c r="H91" s="261">
        <v>0</v>
      </c>
      <c r="I91" s="261">
        <f>VLOOKUP(C91,'733 - Title I'!A75:C188,3,FALSE)</f>
        <v>197920.48</v>
      </c>
      <c r="J91" s="261">
        <f>VLOOKUP(C91,'735 - Title II'!A83:C196,3,FALSE)</f>
        <v>12775</v>
      </c>
      <c r="K91" s="261">
        <f>SUMIFS('Peoplesoft-FY13'!$L:$L,'Peoplesoft-FY13'!$S:$S,$C91,'Peoplesoft-FY13'!$Q:$Q,K$3)</f>
        <v>0</v>
      </c>
      <c r="L91" s="261">
        <f>SUMIFS('Peoplesoft-FY13'!$L:$L,'Peoplesoft-FY13'!$S:$S,$C91,'Peoplesoft-FY13'!$Q:$Q,L$3)</f>
        <v>0</v>
      </c>
      <c r="M91" s="261">
        <v>0</v>
      </c>
      <c r="N91" s="261">
        <v>0</v>
      </c>
      <c r="O91" s="261">
        <v>0</v>
      </c>
      <c r="P91" s="118">
        <f t="shared" si="14"/>
        <v>305806.36</v>
      </c>
      <c r="Q91" s="119">
        <f t="shared" si="15"/>
        <v>5451636.2599999998</v>
      </c>
      <c r="R91" s="120">
        <f t="shared" si="8"/>
        <v>5.6094417421752196E-2</v>
      </c>
      <c r="S91" s="121">
        <f t="shared" si="16"/>
        <v>0.94390558257824775</v>
      </c>
      <c r="T91" s="99">
        <f t="shared" si="17"/>
        <v>1</v>
      </c>
    </row>
    <row r="92" spans="1:20" ht="13.2" x14ac:dyDescent="0.25">
      <c r="A92" s="272">
        <v>7170</v>
      </c>
      <c r="B92" s="271">
        <f>+'COMPARABILITY FY13 '!B92</f>
        <v>6</v>
      </c>
      <c r="C92" s="272">
        <v>7170</v>
      </c>
      <c r="D92" s="273" t="str">
        <f>+'COMPARABILITY FY13 '!D92</f>
        <v>Coolidge SHS</v>
      </c>
      <c r="E92" s="261">
        <f>SUMIFS('Peoplesoft-FY13'!L:L,'Peoplesoft-FY13'!S:S,C92,'Peoplesoft-FY13'!Q:Q,$E$3)-P92</f>
        <v>4302299.5200000005</v>
      </c>
      <c r="F92" s="261">
        <f>VLOOKUP(C92,'602 - ROTC'!$A:$C,3,0)</f>
        <v>53454.29</v>
      </c>
      <c r="G92" s="261">
        <f>SUMIFS('Peoplesoft-FY13'!$L:$L,'Peoplesoft-FY13'!$S:$S,$C92,'Peoplesoft-FY13'!$Q:$Q,G$3)</f>
        <v>0</v>
      </c>
      <c r="H92" s="261">
        <v>0</v>
      </c>
      <c r="I92" s="261">
        <f>VLOOKUP(C92,'733 - Title I'!A76:C189,3,FALSE)</f>
        <v>209153.81</v>
      </c>
      <c r="J92" s="261">
        <f>VLOOKUP(C92,'735 - Title II'!A83:C197,3,FALSE)</f>
        <v>14275</v>
      </c>
      <c r="K92" s="261">
        <f>SUMIFS('Peoplesoft-FY13'!$L:$L,'Peoplesoft-FY13'!$S:$S,$C92,'Peoplesoft-FY13'!$Q:$Q,K$3)</f>
        <v>0</v>
      </c>
      <c r="L92" s="261">
        <f>SUMIFS('Peoplesoft-FY13'!$L:$L,'Peoplesoft-FY13'!$S:$S,$C92,'Peoplesoft-FY13'!$Q:$Q,L$3)</f>
        <v>0</v>
      </c>
      <c r="M92" s="261">
        <v>0</v>
      </c>
      <c r="N92" s="261">
        <f>VLOOKUP(C92,'794'!A:C,3,FALSE)</f>
        <v>0</v>
      </c>
      <c r="O92" s="261">
        <v>0</v>
      </c>
      <c r="P92" s="118">
        <f t="shared" si="14"/>
        <v>276883.09999999998</v>
      </c>
      <c r="Q92" s="119">
        <f t="shared" si="15"/>
        <v>4579182.62</v>
      </c>
      <c r="R92" s="120">
        <f t="shared" si="8"/>
        <v>6.0465616459734021E-2</v>
      </c>
      <c r="S92" s="121">
        <f t="shared" si="16"/>
        <v>0.93953438354026608</v>
      </c>
      <c r="T92" s="99">
        <f t="shared" si="17"/>
        <v>1</v>
      </c>
    </row>
    <row r="93" spans="1:20" ht="13.2" x14ac:dyDescent="0.25">
      <c r="A93" s="272">
        <v>7180</v>
      </c>
      <c r="B93" s="271">
        <f>+'COMPARABILITY FY13 '!B93</f>
        <v>7</v>
      </c>
      <c r="C93" s="272">
        <v>7180</v>
      </c>
      <c r="D93" s="273" t="str">
        <f>+'COMPARABILITY FY13 '!D93</f>
        <v>Dunbar SHS</v>
      </c>
      <c r="E93" s="261">
        <f>SUMIFS('Peoplesoft-FY13'!L:L,'Peoplesoft-FY13'!S:S,C93,'Peoplesoft-FY13'!Q:Q,$E$3)-P93</f>
        <v>4164779.73</v>
      </c>
      <c r="F93" s="261">
        <f>VLOOKUP(C93,'602 - ROTC'!$A:$C,3,0)</f>
        <v>65564.97</v>
      </c>
      <c r="G93" s="261">
        <f>SUMIFS('Peoplesoft-FY13'!$L:$L,'Peoplesoft-FY13'!$S:$S,$C93,'Peoplesoft-FY13'!$Q:$Q,G$3)</f>
        <v>0</v>
      </c>
      <c r="H93" s="261">
        <v>0</v>
      </c>
      <c r="I93" s="261">
        <f>VLOOKUP(C93,'733 - Title I'!A77:C190,3,FALSE)</f>
        <v>246063.30000000002</v>
      </c>
      <c r="J93" s="261">
        <f>VLOOKUP(C93,'735 - Title II'!A84:C198,3,FALSE)</f>
        <v>13400</v>
      </c>
      <c r="K93" s="261">
        <f>SUMIFS('Peoplesoft-FY13'!$L:$L,'Peoplesoft-FY13'!$S:$S,$C93,'Peoplesoft-FY13'!$Q:$Q,K$3)</f>
        <v>0</v>
      </c>
      <c r="L93" s="261">
        <f>SUMIFS('Peoplesoft-FY13'!$L:$L,'Peoplesoft-FY13'!$S:$S,$C93,'Peoplesoft-FY13'!$Q:$Q,L$3)</f>
        <v>0</v>
      </c>
      <c r="M93" s="261">
        <f>VLOOKUP(C93,'773'!A:C,3,FALSE)</f>
        <v>0</v>
      </c>
      <c r="N93" s="261">
        <v>0</v>
      </c>
      <c r="O93" s="261">
        <v>0</v>
      </c>
      <c r="P93" s="118">
        <f t="shared" si="14"/>
        <v>325028.27</v>
      </c>
      <c r="Q93" s="119">
        <f t="shared" si="15"/>
        <v>4489808</v>
      </c>
      <c r="R93" s="120">
        <f t="shared" si="8"/>
        <v>7.2392465334820563E-2</v>
      </c>
      <c r="S93" s="121">
        <f t="shared" si="16"/>
        <v>0.92760753466517942</v>
      </c>
      <c r="T93" s="99">
        <f t="shared" si="17"/>
        <v>1</v>
      </c>
    </row>
    <row r="94" spans="1:20" ht="13.2" x14ac:dyDescent="0.25">
      <c r="A94" s="272">
        <v>7200</v>
      </c>
      <c r="B94" s="271">
        <f>+'COMPARABILITY FY13 '!B94</f>
        <v>8</v>
      </c>
      <c r="C94" s="272">
        <v>7200</v>
      </c>
      <c r="D94" s="273" t="str">
        <f>+'COMPARABILITY FY13 '!D94</f>
        <v>Eastern SHS</v>
      </c>
      <c r="E94" s="261">
        <f>SUMIFS('Peoplesoft-FY13'!L:L,'Peoplesoft-FY13'!S:S,C94,'Peoplesoft-FY13'!Q:Q,$E$3)-P94</f>
        <v>3560721.18</v>
      </c>
      <c r="F94" s="261">
        <v>0</v>
      </c>
      <c r="G94" s="261">
        <f>SUMIFS('Peoplesoft-FY13'!$L:$L,'Peoplesoft-FY13'!$S:$S,$C94,'Peoplesoft-FY13'!$Q:$Q,G$3)</f>
        <v>0</v>
      </c>
      <c r="H94" s="261">
        <v>0</v>
      </c>
      <c r="I94" s="261">
        <f>VLOOKUP(C94,'733 - Title I'!A78:C191,3,FALSE)</f>
        <v>112868.17</v>
      </c>
      <c r="J94" s="261">
        <f>VLOOKUP(C94,'735 - Title II'!A85:C199,3,FALSE)</f>
        <v>7650</v>
      </c>
      <c r="K94" s="261">
        <f>SUMIFS('Peoplesoft-FY13'!$L:$L,'Peoplesoft-FY13'!$S:$S,$C94,'Peoplesoft-FY13'!$Q:$Q,K$3)</f>
        <v>0</v>
      </c>
      <c r="L94" s="261">
        <f>SUMIFS('Peoplesoft-FY13'!$L:$L,'Peoplesoft-FY13'!$S:$S,$C94,'Peoplesoft-FY13'!$Q:$Q,L$3)</f>
        <v>0</v>
      </c>
      <c r="M94" s="261">
        <f>VLOOKUP(C94,'773'!A:C,3,FALSE)</f>
        <v>0</v>
      </c>
      <c r="N94" s="261">
        <v>0</v>
      </c>
      <c r="O94" s="261">
        <f>VLOOKUP(C94,'8110 - Federal Payments'!A:C,3,FALSE)</f>
        <v>96330.65</v>
      </c>
      <c r="P94" s="118">
        <f t="shared" si="14"/>
        <v>216848.82</v>
      </c>
      <c r="Q94" s="119">
        <f t="shared" si="15"/>
        <v>3777570</v>
      </c>
      <c r="R94" s="120">
        <f t="shared" si="8"/>
        <v>5.7404315472645115E-2</v>
      </c>
      <c r="S94" s="121">
        <f t="shared" si="16"/>
        <v>0.94259568452735498</v>
      </c>
      <c r="T94" s="99">
        <f t="shared" si="17"/>
        <v>1</v>
      </c>
    </row>
    <row r="95" spans="1:20" ht="13.2" x14ac:dyDescent="0.25">
      <c r="A95" s="272">
        <v>7220</v>
      </c>
      <c r="B95" s="271">
        <f>+'COMPARABILITY FY13 '!B95</f>
        <v>10</v>
      </c>
      <c r="C95" s="272">
        <v>7220</v>
      </c>
      <c r="D95" s="273" t="str">
        <f>+'COMPARABILITY FY13 '!D95</f>
        <v>Luke C. Moore SHS</v>
      </c>
      <c r="E95" s="261">
        <f>SUMIFS('Peoplesoft-FY13'!L:L,'Peoplesoft-FY13'!S:S,C95,'Peoplesoft-FY13'!Q:Q,$E$3)-P95</f>
        <v>2282778.1800000002</v>
      </c>
      <c r="F95" s="261">
        <v>0</v>
      </c>
      <c r="G95" s="261">
        <f>SUMIFS('Peoplesoft-FY13'!$L:$L,'Peoplesoft-FY13'!$S:$S,$C95,'Peoplesoft-FY13'!$Q:$Q,G$3)</f>
        <v>0</v>
      </c>
      <c r="H95" s="261">
        <v>0</v>
      </c>
      <c r="I95" s="261">
        <f>VLOOKUP(C95,'733 - Title I'!A80:C193,3,FALSE)</f>
        <v>135671.82</v>
      </c>
      <c r="J95" s="261">
        <f>VLOOKUP(C95,'735 - Title II'!A87:C201,3,FALSE)</f>
        <v>8100</v>
      </c>
      <c r="K95" s="261">
        <f>SUMIFS('Peoplesoft-FY13'!$L:$L,'Peoplesoft-FY13'!$S:$S,$C95,'Peoplesoft-FY13'!$Q:$Q,K$3)</f>
        <v>0</v>
      </c>
      <c r="L95" s="261">
        <f>SUMIFS('Peoplesoft-FY13'!$L:$L,'Peoplesoft-FY13'!$S:$S,$C95,'Peoplesoft-FY13'!$Q:$Q,L$3)</f>
        <v>0</v>
      </c>
      <c r="M95" s="261">
        <f>VLOOKUP(C95,'773'!A:C,3,FALSE)</f>
        <v>0</v>
      </c>
      <c r="N95" s="261">
        <v>0</v>
      </c>
      <c r="O95" s="261">
        <v>0</v>
      </c>
      <c r="P95" s="118">
        <f t="shared" si="14"/>
        <v>143771.82</v>
      </c>
      <c r="Q95" s="119">
        <f t="shared" si="15"/>
        <v>2426550</v>
      </c>
      <c r="R95" s="120">
        <f t="shared" si="8"/>
        <v>5.9249477653458615E-2</v>
      </c>
      <c r="S95" s="121">
        <f t="shared" si="16"/>
        <v>0.94075052234654144</v>
      </c>
      <c r="T95" s="99">
        <f t="shared" si="17"/>
        <v>1</v>
      </c>
    </row>
    <row r="96" spans="1:20" ht="13.2" x14ac:dyDescent="0.25">
      <c r="A96" s="272">
        <v>7230</v>
      </c>
      <c r="B96" s="271">
        <f>+'COMPARABILITY FY13 '!B96</f>
        <v>11</v>
      </c>
      <c r="C96" s="272">
        <v>7230</v>
      </c>
      <c r="D96" s="273" t="str">
        <f>+'COMPARABILITY FY13 '!D96</f>
        <v>Phelps SHS</v>
      </c>
      <c r="E96" s="261">
        <f>SUMIFS('Peoplesoft-FY13'!L:L,'Peoplesoft-FY13'!S:S,C96,'Peoplesoft-FY13'!Q:Q,$E$3)-P96</f>
        <v>3001196.07</v>
      </c>
      <c r="F96" s="261">
        <v>0</v>
      </c>
      <c r="G96" s="261">
        <f>SUMIFS('Peoplesoft-FY13'!$L:$L,'Peoplesoft-FY13'!$S:$S,$C96,'Peoplesoft-FY13'!$Q:$Q,G$3)</f>
        <v>0</v>
      </c>
      <c r="H96" s="261">
        <v>0</v>
      </c>
      <c r="I96" s="261">
        <f>VLOOKUP(C96,'733 - Title I'!A81:C194,3,FALSE)</f>
        <v>132125.29999999999</v>
      </c>
      <c r="J96" s="261">
        <f>VLOOKUP(C96,'735 - Title II'!A88:C202,3,FALSE)</f>
        <v>8200</v>
      </c>
      <c r="K96" s="261">
        <f>SUMIFS('Peoplesoft-FY13'!$L:$L,'Peoplesoft-FY13'!$S:$S,$C96,'Peoplesoft-FY13'!$Q:$Q,K$3)</f>
        <v>0</v>
      </c>
      <c r="L96" s="261">
        <f>SUMIFS('Peoplesoft-FY13'!$L:$L,'Peoplesoft-FY13'!$S:$S,$C96,'Peoplesoft-FY13'!$Q:$Q,L$3)</f>
        <v>0</v>
      </c>
      <c r="M96" s="261">
        <v>0</v>
      </c>
      <c r="N96" s="261">
        <f>VLOOKUP(C96,'794'!A:C,3,FALSE)</f>
        <v>0</v>
      </c>
      <c r="O96" s="261">
        <f>VLOOKUP(C96,'8110 - Federal Payments'!A:C,3,FALSE)</f>
        <v>157100.63</v>
      </c>
      <c r="P96" s="118">
        <f t="shared" si="14"/>
        <v>297425.93</v>
      </c>
      <c r="Q96" s="119">
        <f t="shared" si="15"/>
        <v>3298621.9999999995</v>
      </c>
      <c r="R96" s="120">
        <f t="shared" si="8"/>
        <v>9.0166721133855293E-2</v>
      </c>
      <c r="S96" s="121">
        <f t="shared" si="16"/>
        <v>0.90983327886614473</v>
      </c>
      <c r="T96" s="99">
        <f t="shared" si="17"/>
        <v>1</v>
      </c>
    </row>
    <row r="97" spans="1:22" ht="15.75" customHeight="1" x14ac:dyDescent="0.25">
      <c r="A97" s="272">
        <v>7240</v>
      </c>
      <c r="B97" s="271">
        <f>+'COMPARABILITY FY13 '!B97</f>
        <v>12</v>
      </c>
      <c r="C97" s="272">
        <v>7240</v>
      </c>
      <c r="D97" s="273" t="str">
        <f>+'COMPARABILITY FY13 '!D97</f>
        <v>Roosevelt SHS</v>
      </c>
      <c r="E97" s="261">
        <f>SUMIFS('Peoplesoft-FY13'!L:L,'Peoplesoft-FY13'!S:S,C97,'Peoplesoft-FY13'!Q:Q,$E$3)-P97</f>
        <v>5190064.9799999995</v>
      </c>
      <c r="F97" s="261">
        <f>VLOOKUP(C97,'602 - ROTC'!$A:$C,3,0)</f>
        <v>51936.15</v>
      </c>
      <c r="G97" s="261">
        <f>SUMIFS('Peoplesoft-FY13'!$L:$L,'Peoplesoft-FY13'!$S:$S,$C97,'Peoplesoft-FY13'!$Q:$Q,G$3)</f>
        <v>0</v>
      </c>
      <c r="H97" s="261">
        <v>0</v>
      </c>
      <c r="I97" s="261">
        <f>VLOOKUP(C97,'733 - Title I'!A82:C195,3,FALSE)</f>
        <v>195245.88</v>
      </c>
      <c r="J97" s="261">
        <f>VLOOKUP(C97,'735 - Title II'!A89:C203,3,FALSE)</f>
        <v>13825</v>
      </c>
      <c r="K97" s="261">
        <f>SUMIFS('Peoplesoft-FY13'!$L:$L,'Peoplesoft-FY13'!$S:$S,$C97,'Peoplesoft-FY13'!$Q:$Q,K$3)</f>
        <v>0</v>
      </c>
      <c r="L97" s="261">
        <f>SUMIFS('Peoplesoft-FY13'!$L:$L,'Peoplesoft-FY13'!$S:$S,$C97,'Peoplesoft-FY13'!$Q:$Q,L$3)</f>
        <v>0</v>
      </c>
      <c r="M97" s="261">
        <v>0</v>
      </c>
      <c r="N97" s="261">
        <v>0</v>
      </c>
      <c r="O97" s="261">
        <v>0</v>
      </c>
      <c r="P97" s="118">
        <f t="shared" si="14"/>
        <v>261007.03</v>
      </c>
      <c r="Q97" s="119">
        <f t="shared" si="15"/>
        <v>5451072.0099999998</v>
      </c>
      <c r="R97" s="120">
        <f t="shared" si="8"/>
        <v>4.7881779862966808E-2</v>
      </c>
      <c r="S97" s="121">
        <f t="shared" si="16"/>
        <v>0.95211822013703318</v>
      </c>
      <c r="T97" s="99">
        <f t="shared" si="17"/>
        <v>1</v>
      </c>
    </row>
    <row r="98" spans="1:22" ht="13.2" x14ac:dyDescent="0.25">
      <c r="A98" s="272">
        <v>7260</v>
      </c>
      <c r="B98" s="271">
        <f>+'COMPARABILITY FY13 '!B98</f>
        <v>13</v>
      </c>
      <c r="C98" s="272">
        <v>7260</v>
      </c>
      <c r="D98" s="273" t="str">
        <f>+'COMPARABILITY FY13 '!D98</f>
        <v>Spingarn SHS</v>
      </c>
      <c r="E98" s="261">
        <f>SUMIFS('Peoplesoft-FY13'!L:L,'Peoplesoft-FY13'!S:S,C98,'Peoplesoft-FY13'!Q:Q,$E$3)-P98</f>
        <v>4195949.46</v>
      </c>
      <c r="F98" s="261">
        <f>VLOOKUP(C98,'602 - ROTC'!$A:$C,3,0)</f>
        <v>86444.64</v>
      </c>
      <c r="G98" s="261">
        <f>SUMIFS('Peoplesoft-FY13'!$L:$L,'Peoplesoft-FY13'!$S:$S,$C98,'Peoplesoft-FY13'!$Q:$Q,G$3)</f>
        <v>0</v>
      </c>
      <c r="H98" s="261">
        <v>0</v>
      </c>
      <c r="I98" s="261">
        <f>VLOOKUP(C98,'733 - Title I'!A83:C196,3,FALSE)</f>
        <v>208822.15999999997</v>
      </c>
      <c r="J98" s="261">
        <f>VLOOKUP(C98,'735 - Title II'!A90:C204,3,FALSE)</f>
        <v>12000</v>
      </c>
      <c r="K98" s="261">
        <f>SUMIFS('Peoplesoft-FY13'!$L:$L,'Peoplesoft-FY13'!$S:$S,$C98,'Peoplesoft-FY13'!$Q:$Q,K$3)</f>
        <v>0</v>
      </c>
      <c r="L98" s="261">
        <f>SUMIFS('Peoplesoft-FY13'!$L:$L,'Peoplesoft-FY13'!$S:$S,$C98,'Peoplesoft-FY13'!$Q:$Q,L$3)</f>
        <v>0</v>
      </c>
      <c r="M98" s="261">
        <f>VLOOKUP(C98,'773'!A:C,3,FALSE)</f>
        <v>0</v>
      </c>
      <c r="N98" s="261">
        <v>0</v>
      </c>
      <c r="O98" s="261">
        <v>0</v>
      </c>
      <c r="P98" s="118">
        <f t="shared" si="14"/>
        <v>307266.8</v>
      </c>
      <c r="Q98" s="119">
        <f t="shared" si="15"/>
        <v>4503216.26</v>
      </c>
      <c r="R98" s="120">
        <f t="shared" si="8"/>
        <v>6.8232743501419141E-2</v>
      </c>
      <c r="S98" s="121">
        <f t="shared" si="16"/>
        <v>0.93176725649858094</v>
      </c>
      <c r="T98" s="99">
        <f t="shared" si="17"/>
        <v>1</v>
      </c>
    </row>
    <row r="99" spans="1:22" ht="13.2" x14ac:dyDescent="0.25">
      <c r="A99" s="272">
        <v>7280</v>
      </c>
      <c r="B99" s="271">
        <f>+'COMPARABILITY FY13 '!B99</f>
        <v>14</v>
      </c>
      <c r="C99" s="272">
        <v>7280</v>
      </c>
      <c r="D99" s="273" t="str">
        <f>+'COMPARABILITY FY13 '!D99</f>
        <v>Woodson SHS</v>
      </c>
      <c r="E99" s="261">
        <f>SUMIFS('Peoplesoft-FY13'!L:L,'Peoplesoft-FY13'!S:S,C99,'Peoplesoft-FY13'!Q:Q,$E$3)-P99</f>
        <v>6658927.0199999996</v>
      </c>
      <c r="F99" s="261">
        <f>VLOOKUP(C99,'602 - ROTC'!$A:$C,3,0)</f>
        <v>93591.58</v>
      </c>
      <c r="G99" s="261">
        <f>SUMIFS('Peoplesoft-FY13'!$L:$L,'Peoplesoft-FY13'!$S:$S,$C99,'Peoplesoft-FY13'!$Q:$Q,G$3)</f>
        <v>0</v>
      </c>
      <c r="H99" s="261">
        <v>0</v>
      </c>
      <c r="I99" s="261">
        <f>VLOOKUP(C99,'733 - Title I'!A84:C197,3,FALSE)</f>
        <v>341814.02999999997</v>
      </c>
      <c r="J99" s="261">
        <f>VLOOKUP(C99,'735 - Title II'!A91:C205,3,FALSE)</f>
        <v>21025</v>
      </c>
      <c r="K99" s="261">
        <f>SUMIFS('Peoplesoft-FY13'!$L:$L,'Peoplesoft-FY13'!$S:$S,$C99,'Peoplesoft-FY13'!$Q:$Q,K$3)</f>
        <v>0</v>
      </c>
      <c r="L99" s="261">
        <f>SUMIFS('Peoplesoft-FY13'!$L:$L,'Peoplesoft-FY13'!$S:$S,$C99,'Peoplesoft-FY13'!$Q:$Q,L$3)</f>
        <v>0</v>
      </c>
      <c r="M99" s="261">
        <v>0</v>
      </c>
      <c r="N99" s="261">
        <v>0</v>
      </c>
      <c r="O99" s="261">
        <v>0</v>
      </c>
      <c r="P99" s="118">
        <f t="shared" si="14"/>
        <v>456430.61</v>
      </c>
      <c r="Q99" s="119">
        <f t="shared" si="15"/>
        <v>7115357.6299999999</v>
      </c>
      <c r="R99" s="120">
        <f t="shared" si="8"/>
        <v>6.4147247929686985E-2</v>
      </c>
      <c r="S99" s="121">
        <f t="shared" si="16"/>
        <v>0.93585275207031293</v>
      </c>
      <c r="T99" s="99">
        <f t="shared" si="17"/>
        <v>0.99999999999999989</v>
      </c>
    </row>
    <row r="100" spans="1:22" ht="13.2" x14ac:dyDescent="0.25">
      <c r="A100" s="272">
        <v>7300</v>
      </c>
      <c r="B100" s="271">
        <f>+'COMPARABILITY FY13 '!B100</f>
        <v>15</v>
      </c>
      <c r="C100" s="272">
        <v>7300</v>
      </c>
      <c r="D100" s="273" t="str">
        <f>+'COMPARABILITY FY13 '!D100</f>
        <v>Wilson SHS</v>
      </c>
      <c r="E100" s="261">
        <f>SUMIFS('Peoplesoft-FY13'!L:L,'Peoplesoft-FY13'!S:S,C100,'Peoplesoft-FY13'!Q:Q,$E$3)-P100</f>
        <v>11296814.520000001</v>
      </c>
      <c r="F100" s="261">
        <f>VLOOKUP(C100,'602 - ROTC'!$A:$C,3,0)</f>
        <v>85664.55</v>
      </c>
      <c r="G100" s="261">
        <f>SUMIFS('Peoplesoft-FY13'!$L:$L,'Peoplesoft-FY13'!$S:$S,$C100,'Peoplesoft-FY13'!$Q:$Q,G$3)</f>
        <v>0</v>
      </c>
      <c r="H100" s="261">
        <v>0</v>
      </c>
      <c r="I100" s="261">
        <f>VLOOKUP(C100,'733 - Title I'!A85:C198,3,FALSE)</f>
        <v>315602.94</v>
      </c>
      <c r="J100" s="261">
        <v>41200</v>
      </c>
      <c r="K100" s="261">
        <f>SUMIFS('Peoplesoft-FY13'!$L:$L,'Peoplesoft-FY13'!$S:$S,$C100,'Peoplesoft-FY13'!$Q:$Q,K$3)</f>
        <v>0</v>
      </c>
      <c r="L100" s="261">
        <f>SUMIFS('Peoplesoft-FY13'!$L:$L,'Peoplesoft-FY13'!$S:$S,$C100,'Peoplesoft-FY13'!$Q:$Q,L$3)</f>
        <v>0</v>
      </c>
      <c r="M100" s="261">
        <v>0</v>
      </c>
      <c r="N100" s="261">
        <v>0</v>
      </c>
      <c r="O100" s="261">
        <f>VLOOKUP(C100,'8110 - Federal Payments'!A:C,3,FALSE)</f>
        <v>230591.46</v>
      </c>
      <c r="P100" s="118">
        <f t="shared" si="14"/>
        <v>673058.95</v>
      </c>
      <c r="Q100" s="119">
        <f t="shared" si="15"/>
        <v>11969873.470000003</v>
      </c>
      <c r="R100" s="120">
        <f t="shared" si="8"/>
        <v>5.6229412256268388E-2</v>
      </c>
      <c r="S100" s="134">
        <f t="shared" si="16"/>
        <v>0.94377058774373157</v>
      </c>
      <c r="T100" s="135">
        <f t="shared" si="17"/>
        <v>1</v>
      </c>
      <c r="V100" s="89" t="s">
        <v>159</v>
      </c>
    </row>
    <row r="101" spans="1:22" ht="13.2" x14ac:dyDescent="0.25">
      <c r="A101" s="272">
        <v>7360</v>
      </c>
      <c r="B101" s="271">
        <f>+'COMPARABILITY FY13 '!B101</f>
        <v>16</v>
      </c>
      <c r="C101" s="272">
        <v>7360</v>
      </c>
      <c r="D101" s="273" t="str">
        <f>+'COMPARABILITY FY13 '!D101</f>
        <v>Mamie D Lee</v>
      </c>
      <c r="E101" s="261">
        <f>SUMIFS('Peoplesoft-FY13'!L:L,'Peoplesoft-FY13'!S:S,C101,'Peoplesoft-FY13'!Q:Q,$E$3)-P101</f>
        <v>2261704.02</v>
      </c>
      <c r="F101" s="261">
        <v>0</v>
      </c>
      <c r="G101" s="261">
        <f>SUMIFS('Peoplesoft-FY13'!$L:$L,'Peoplesoft-FY13'!$S:$S,$C101,'Peoplesoft-FY13'!$Q:$Q,G$3)</f>
        <v>0</v>
      </c>
      <c r="H101" s="261">
        <v>0</v>
      </c>
      <c r="I101" s="261">
        <f>VLOOKUP(C101,'733 - Title I'!A86:C199,3,FALSE)</f>
        <v>55300.06</v>
      </c>
      <c r="J101" s="261">
        <f>VLOOKUP(C101,'735 - Title II'!A93:C207,3,FALSE)</f>
        <v>2750</v>
      </c>
      <c r="K101" s="261">
        <f>SUMIFS('Peoplesoft-FY13'!$L:$L,'Peoplesoft-FY13'!$S:$S,$C101,'Peoplesoft-FY13'!$Q:$Q,K$3)</f>
        <v>0</v>
      </c>
      <c r="L101" s="261">
        <f>SUMIFS('Peoplesoft-FY13'!$L:$L,'Peoplesoft-FY13'!$S:$S,$C101,'Peoplesoft-FY13'!$Q:$Q,L$3)</f>
        <v>0</v>
      </c>
      <c r="M101" s="261">
        <v>0</v>
      </c>
      <c r="N101" s="261">
        <v>0</v>
      </c>
      <c r="O101" s="261">
        <f>VLOOKUP(C101,'8110 - Federal Payments'!A:C,3,FALSE)</f>
        <v>154922.80000000002</v>
      </c>
      <c r="P101" s="118">
        <f t="shared" si="14"/>
        <v>212972.86000000002</v>
      </c>
      <c r="Q101" s="119">
        <f t="shared" si="15"/>
        <v>2474676.88</v>
      </c>
      <c r="R101" s="120">
        <f t="shared" si="8"/>
        <v>8.6060875955652053E-2</v>
      </c>
      <c r="S101" s="121">
        <f t="shared" si="16"/>
        <v>0.91393912404434796</v>
      </c>
      <c r="T101" s="99">
        <f t="shared" si="17"/>
        <v>1</v>
      </c>
    </row>
    <row r="102" spans="1:22" ht="13.2" x14ac:dyDescent="0.25">
      <c r="A102" s="272">
        <v>7370</v>
      </c>
      <c r="B102" s="271">
        <f>+'COMPARABILITY FY13 '!B102</f>
        <v>17</v>
      </c>
      <c r="C102" s="272">
        <v>7370</v>
      </c>
      <c r="D102" s="273" t="str">
        <f>+'COMPARABILITY FY13 '!D102</f>
        <v>Sharpe Health Spec Ed</v>
      </c>
      <c r="E102" s="261">
        <f>SUMIFS('Peoplesoft-FY13'!L:L,'Peoplesoft-FY13'!S:S,C102,'Peoplesoft-FY13'!Q:Q,$E$3)-P102</f>
        <v>2442454.75</v>
      </c>
      <c r="F102" s="261">
        <v>0</v>
      </c>
      <c r="G102" s="261">
        <f>SUMIFS('Peoplesoft-FY13'!$L:$L,'Peoplesoft-FY13'!$S:$S,$C102,'Peoplesoft-FY13'!$Q:$Q,G$3)</f>
        <v>0</v>
      </c>
      <c r="H102" s="261">
        <v>0</v>
      </c>
      <c r="I102" s="261">
        <f>VLOOKUP(C102,'733 - Title I'!A87:C200,3,FALSE)</f>
        <v>41723.770000000004</v>
      </c>
      <c r="J102" s="261">
        <f>VLOOKUP(C102,'735 - Title II'!A94:C208,3,FALSE)</f>
        <v>2275</v>
      </c>
      <c r="K102" s="261">
        <f>SUMIFS('Peoplesoft-FY13'!$L:$L,'Peoplesoft-FY13'!$S:$S,$C102,'Peoplesoft-FY13'!$Q:$Q,K$3)</f>
        <v>0</v>
      </c>
      <c r="L102" s="261">
        <f>SUMIFS('Peoplesoft-FY13'!$L:$L,'Peoplesoft-FY13'!$S:$S,$C102,'Peoplesoft-FY13'!$Q:$Q,L$3)</f>
        <v>0</v>
      </c>
      <c r="M102" s="261">
        <v>0</v>
      </c>
      <c r="N102" s="261">
        <v>0</v>
      </c>
      <c r="O102" s="261">
        <f>VLOOKUP(C102,'8110 - Federal Payments'!A:C,3,FALSE)</f>
        <v>118491.99</v>
      </c>
      <c r="P102" s="118">
        <f t="shared" si="14"/>
        <v>162490.76</v>
      </c>
      <c r="Q102" s="119">
        <f t="shared" si="15"/>
        <v>2604945.5100000002</v>
      </c>
      <c r="R102" s="120">
        <f t="shared" si="8"/>
        <v>6.2377796148219623E-2</v>
      </c>
      <c r="S102" s="121">
        <f t="shared" si="16"/>
        <v>0.9376222038517803</v>
      </c>
      <c r="T102" s="99">
        <f t="shared" si="17"/>
        <v>0.99999999999999989</v>
      </c>
    </row>
    <row r="103" spans="1:22" ht="13.2" x14ac:dyDescent="0.25">
      <c r="A103" s="272">
        <v>7380</v>
      </c>
      <c r="B103" s="271">
        <f>+'COMPARABILITY FY13 '!B103</f>
        <v>18</v>
      </c>
      <c r="C103" s="272">
        <v>7380</v>
      </c>
      <c r="D103" s="273" t="str">
        <f>+'COMPARABILITY FY13 '!D103</f>
        <v>Prospect  LC</v>
      </c>
      <c r="E103" s="261">
        <f>SUMIFS('Peoplesoft-FY13'!L:L,'Peoplesoft-FY13'!S:S,C103,'Peoplesoft-FY13'!Q:Q,$E$3)-P103</f>
        <v>2487267.11</v>
      </c>
      <c r="F103" s="261">
        <v>0</v>
      </c>
      <c r="G103" s="261">
        <f>SUMIFS('Peoplesoft-FY13'!$L:$L,'Peoplesoft-FY13'!$S:$S,$C103,'Peoplesoft-FY13'!$Q:$Q,G$3)</f>
        <v>0</v>
      </c>
      <c r="H103" s="261">
        <v>0</v>
      </c>
      <c r="I103" s="261">
        <f>VLOOKUP(C103,'733 - Title I'!A88:C201,3,FALSE)</f>
        <v>48522.61</v>
      </c>
      <c r="J103" s="261">
        <f>VLOOKUP(C103,'735 - Title II'!A95:C209,3,FALSE)</f>
        <v>4501.53</v>
      </c>
      <c r="K103" s="261">
        <f>SUMIFS('Peoplesoft-FY13'!$L:$L,'Peoplesoft-FY13'!$S:$S,$C103,'Peoplesoft-FY13'!$Q:$Q,K$3)</f>
        <v>0</v>
      </c>
      <c r="L103" s="261">
        <f>SUMIFS('Peoplesoft-FY13'!$L:$L,'Peoplesoft-FY13'!$S:$S,$C103,'Peoplesoft-FY13'!$Q:$Q,L$3)</f>
        <v>0</v>
      </c>
      <c r="M103" s="261">
        <f>VLOOKUP(C103,'773'!A:C,3,FALSE)</f>
        <v>0</v>
      </c>
      <c r="N103" s="261">
        <v>0</v>
      </c>
      <c r="O103" s="261">
        <v>0</v>
      </c>
      <c r="P103" s="118">
        <f t="shared" si="14"/>
        <v>53024.14</v>
      </c>
      <c r="Q103" s="119">
        <f t="shared" si="15"/>
        <v>2540291.2499999995</v>
      </c>
      <c r="R103" s="120">
        <f t="shared" si="8"/>
        <v>2.0873252230428307E-2</v>
      </c>
      <c r="S103" s="121">
        <f t="shared" si="16"/>
        <v>0.97912674776957187</v>
      </c>
      <c r="T103" s="99">
        <f t="shared" si="17"/>
        <v>1.0000000000000002</v>
      </c>
    </row>
    <row r="104" spans="1:22" ht="13.2" x14ac:dyDescent="0.25">
      <c r="A104" s="272">
        <v>7480</v>
      </c>
      <c r="B104" s="271">
        <f>+'COMPARABILITY FY13 '!B104</f>
        <v>19</v>
      </c>
      <c r="C104" s="272">
        <v>7480</v>
      </c>
      <c r="D104" s="273" t="str">
        <f>+'COMPARABILITY FY13 '!D104</f>
        <v>New Transition Academy</v>
      </c>
      <c r="E104" s="261">
        <f>SUMIFS('Peoplesoft-FY13'!L:L,'Peoplesoft-FY13'!S:S,C104,'Peoplesoft-FY13'!Q:Q,$E$3)-P104</f>
        <v>770550.26</v>
      </c>
      <c r="F104" s="261">
        <v>0</v>
      </c>
      <c r="G104" s="261">
        <f>SUMIFS('Peoplesoft-FY13'!$L:$L,'Peoplesoft-FY13'!$S:$S,$C104,'Peoplesoft-FY13'!$Q:$Q,G$3)</f>
        <v>0</v>
      </c>
      <c r="H104" s="261">
        <v>0</v>
      </c>
      <c r="I104" s="261">
        <f>VLOOKUP(C104,'733 - Title I'!A89:C202,3,FALSE)</f>
        <v>0</v>
      </c>
      <c r="J104" s="261">
        <f>VLOOKUP(C104,'735 - Title II'!A96:C210,3,FALSE)</f>
        <v>0</v>
      </c>
      <c r="K104" s="261">
        <f>SUMIFS('Peoplesoft-FY13'!$L:$L,'Peoplesoft-FY13'!$S:$S,$C104,'Peoplesoft-FY13'!$Q:$Q,K$3)</f>
        <v>0</v>
      </c>
      <c r="L104" s="261">
        <f>SUMIFS('Peoplesoft-FY13'!$L:$L,'Peoplesoft-FY13'!$S:$S,$C104,'Peoplesoft-FY13'!$Q:$Q,L$3)</f>
        <v>0</v>
      </c>
      <c r="M104" s="261">
        <v>0</v>
      </c>
      <c r="N104" s="261">
        <v>0</v>
      </c>
      <c r="O104" s="261">
        <v>0</v>
      </c>
      <c r="P104" s="118">
        <f t="shared" si="14"/>
        <v>0</v>
      </c>
      <c r="Q104" s="119">
        <f t="shared" si="15"/>
        <v>770550.26</v>
      </c>
      <c r="R104" s="120">
        <f t="shared" si="8"/>
        <v>0</v>
      </c>
      <c r="S104" s="121">
        <f t="shared" si="16"/>
        <v>1</v>
      </c>
      <c r="T104" s="99">
        <f t="shared" si="17"/>
        <v>1</v>
      </c>
    </row>
    <row r="105" spans="1:22" ht="13.2" x14ac:dyDescent="0.25">
      <c r="A105" s="306">
        <v>7490</v>
      </c>
      <c r="B105" s="305">
        <v>20</v>
      </c>
      <c r="C105" s="306">
        <v>7490</v>
      </c>
      <c r="D105" s="307" t="s">
        <v>4249</v>
      </c>
      <c r="E105" s="261">
        <f>SUMIFS('Peoplesoft-FY13'!L:L,'Peoplesoft-FY13'!S:S,C105,'Peoplesoft-FY13'!Q:Q,$E$3)-P105</f>
        <v>2356676.0299999998</v>
      </c>
      <c r="F105" s="261">
        <v>0</v>
      </c>
      <c r="G105" s="261">
        <f>SUMIFS('Peoplesoft-FY13'!$L:$L,'Peoplesoft-FY13'!$S:$S,$C105,'Peoplesoft-FY13'!$Q:$Q,G$3)</f>
        <v>0</v>
      </c>
      <c r="H105" s="261">
        <v>0</v>
      </c>
      <c r="I105" s="261">
        <f>VLOOKUP(C105,'733 - Title I'!A90:C203,3,FALSE)</f>
        <v>115542.76999999999</v>
      </c>
      <c r="J105" s="261">
        <f>VLOOKUP(C105,'735 - Title II'!A97:C211,3,FALSE)</f>
        <v>6575</v>
      </c>
      <c r="K105" s="261">
        <f>SUMIFS('Peoplesoft-FY13'!$L:$L,'Peoplesoft-FY13'!$S:$S,$C105,'Peoplesoft-FY13'!$Q:$Q,K$3)</f>
        <v>0</v>
      </c>
      <c r="L105" s="261">
        <f>SUMIFS('Peoplesoft-FY13'!$L:$L,'Peoplesoft-FY13'!$S:$S,$C105,'Peoplesoft-FY13'!$Q:$Q,L$3)</f>
        <v>0</v>
      </c>
      <c r="M105" s="261">
        <v>0</v>
      </c>
      <c r="N105" s="261">
        <v>0</v>
      </c>
      <c r="O105" s="261">
        <v>0</v>
      </c>
      <c r="P105" s="118">
        <f t="shared" ref="P105" si="18">SUM(F105:O105)</f>
        <v>122117.76999999999</v>
      </c>
      <c r="Q105" s="119">
        <f t="shared" ref="Q105" si="19">SUM(E105:O105)</f>
        <v>2478793.7999999998</v>
      </c>
      <c r="R105" s="308"/>
      <c r="S105" s="309"/>
      <c r="T105" s="99"/>
    </row>
    <row r="106" spans="1:22" ht="13.2" x14ac:dyDescent="0.25">
      <c r="A106" s="295">
        <v>7870</v>
      </c>
      <c r="B106" s="297">
        <v>21</v>
      </c>
      <c r="C106" s="295">
        <v>7870</v>
      </c>
      <c r="D106" s="299" t="str">
        <f>+'COMPARABILITY FY13 '!D106</f>
        <v>McKinley SHS</v>
      </c>
      <c r="E106" s="263">
        <f>SUMIFS('Peoplesoft-FY13'!L:L,'Peoplesoft-FY13'!S:S,C106,'Peoplesoft-FY13'!Q:Q,$E$3)-P106</f>
        <v>5123222.45</v>
      </c>
      <c r="F106" s="263">
        <f>VLOOKUP(C106,'602 - ROTC'!$A:$C,3,0)</f>
        <v>81062.84</v>
      </c>
      <c r="G106" s="263">
        <f>SUMIFS('Peoplesoft-FY13'!$L:$L,'Peoplesoft-FY13'!$S:$S,$C106,'Peoplesoft-FY13'!$Q:$Q,G$3)</f>
        <v>0</v>
      </c>
      <c r="H106" s="263">
        <v>0</v>
      </c>
      <c r="I106" s="263">
        <f>VLOOKUP(C106,'733 - Title I'!A90:C203,3,FALSE)</f>
        <v>181337.96</v>
      </c>
      <c r="J106" s="263">
        <f>VLOOKUP(C106,'735 - Title II'!A:C,3,FALSE)</f>
        <v>16900</v>
      </c>
      <c r="K106" s="263">
        <f>SUMIFS('Peoplesoft-FY13'!$L:$L,'Peoplesoft-FY13'!$S:$S,$C106,'Peoplesoft-FY13'!$Q:$Q,K$3)</f>
        <v>0</v>
      </c>
      <c r="L106" s="263">
        <f>SUMIFS('Peoplesoft-FY13'!$L:$L,'Peoplesoft-FY13'!$S:$S,$C106,'Peoplesoft-FY13'!$Q:$Q,L$3)</f>
        <v>0</v>
      </c>
      <c r="M106" s="263">
        <v>0</v>
      </c>
      <c r="N106" s="263">
        <v>0</v>
      </c>
      <c r="O106" s="263">
        <v>0</v>
      </c>
      <c r="P106" s="123">
        <f t="shared" si="14"/>
        <v>279300.8</v>
      </c>
      <c r="Q106" s="124">
        <f t="shared" si="15"/>
        <v>5402523.25</v>
      </c>
      <c r="R106" s="125">
        <f t="shared" si="8"/>
        <v>5.1698213422774253E-2</v>
      </c>
      <c r="S106" s="126">
        <f t="shared" si="16"/>
        <v>0.94830178657722575</v>
      </c>
      <c r="T106" s="99">
        <f t="shared" si="17"/>
        <v>1</v>
      </c>
    </row>
    <row r="107" spans="1:22" ht="13.2" x14ac:dyDescent="0.3">
      <c r="A107" s="90"/>
      <c r="C107" s="90"/>
      <c r="P107" s="127"/>
      <c r="Q107" s="128"/>
      <c r="R107" s="129"/>
      <c r="S107" s="99"/>
    </row>
    <row r="108" spans="1:22" ht="13.2" x14ac:dyDescent="0.3">
      <c r="A108" s="90"/>
      <c r="C108" s="90"/>
      <c r="D108" s="89" t="str">
        <f>+'COMPARABILITY FY13 '!D109</f>
        <v>Non-Title I Schools</v>
      </c>
      <c r="P108" s="127"/>
      <c r="Q108" s="128"/>
      <c r="R108" s="129"/>
      <c r="S108" s="99"/>
    </row>
    <row r="109" spans="1:22" ht="13.2" x14ac:dyDescent="0.25">
      <c r="A109" s="300">
        <v>5200</v>
      </c>
      <c r="B109" s="280">
        <f>+'COMPARABILITY FY13 '!B110</f>
        <v>1</v>
      </c>
      <c r="C109" s="300">
        <v>5200</v>
      </c>
      <c r="D109" s="282" t="str">
        <f>+'COMPARABILITY FY13 '!D110</f>
        <v>Brent ES</v>
      </c>
      <c r="E109" s="113">
        <f>SUMIFS('Peoplesoft-FY13'!L:L,'Peoplesoft-FY13'!S:S,C109,'Peoplesoft-FY13'!Q:Q,$E$3)-P109</f>
        <v>2381916.6</v>
      </c>
      <c r="F109" s="113">
        <f>SUMIFS('Peoplesoft-FY13'!$L:$L,'Peoplesoft-FY13'!$S:$S,$C109,'Peoplesoft-FY13'!$Q:$Q,F$3)</f>
        <v>0</v>
      </c>
      <c r="G109" s="113">
        <f>SUMIFS('Peoplesoft-FY13'!$L:$L,'Peoplesoft-FY13'!$S:$S,$C109,'Peoplesoft-FY13'!$Q:$Q,G$3)</f>
        <v>0</v>
      </c>
      <c r="H109" s="113">
        <v>0</v>
      </c>
      <c r="I109" s="113">
        <v>0</v>
      </c>
      <c r="J109" s="113">
        <f>VLOOKUP(C109,'735 - Title II'!A:C,3,FALSE)</f>
        <v>8700</v>
      </c>
      <c r="K109" s="113">
        <f>SUMIFS('Peoplesoft-FY13'!$L:$L,'Peoplesoft-FY13'!$S:$S,$C109,'Peoplesoft-FY13'!$Q:$Q,K$3)</f>
        <v>0</v>
      </c>
      <c r="L109" s="113">
        <f>SUMIFS('Peoplesoft-FY13'!$L:$L,'Peoplesoft-FY13'!$S:$S,$C109,'Peoplesoft-FY13'!$Q:$Q,L$3)</f>
        <v>0</v>
      </c>
      <c r="M109" s="113">
        <f>SUMIFS('Peoplesoft-FY13'!$L:$L,'Peoplesoft-FY13'!$S:$S,$C109,'Peoplesoft-FY13'!$Q:$Q,M$3)</f>
        <v>0</v>
      </c>
      <c r="N109" s="113">
        <v>0</v>
      </c>
      <c r="O109" s="113">
        <f>VLOOKUP(C109,'8110 - Federal Payments'!A:C,3,FALSE)</f>
        <v>513510.15</v>
      </c>
      <c r="P109" s="114">
        <f t="shared" ref="P109:P127" si="20">SUM(F109:O109)</f>
        <v>522210.15</v>
      </c>
      <c r="Q109" s="115">
        <f t="shared" ref="Q109:Q127" si="21">SUM(E109:O109)</f>
        <v>2904126.75</v>
      </c>
      <c r="R109" s="116">
        <f t="shared" si="8"/>
        <v>0.17981658341875059</v>
      </c>
      <c r="S109" s="117">
        <f t="shared" ref="S109:S127" si="22">E109/Q109</f>
        <v>0.82018341658124949</v>
      </c>
      <c r="T109" s="99">
        <f t="shared" ref="T109:T127" si="23">R109+S109</f>
        <v>1</v>
      </c>
    </row>
    <row r="110" spans="1:22" ht="13.2" x14ac:dyDescent="0.25">
      <c r="A110" s="301">
        <v>5340</v>
      </c>
      <c r="B110" s="283">
        <f>+'COMPARABILITY FY13 '!B111</f>
        <v>2</v>
      </c>
      <c r="C110" s="301">
        <v>5340</v>
      </c>
      <c r="D110" s="285" t="str">
        <f>+'COMPARABILITY FY13 '!D111</f>
        <v>Eaton ES</v>
      </c>
      <c r="E110" s="261">
        <f>SUMIFS('Peoplesoft-FY13'!L:L,'Peoplesoft-FY13'!S:S,C110,'Peoplesoft-FY13'!Q:Q,$E$3)-P110</f>
        <v>3038881.9899999998</v>
      </c>
      <c r="F110" s="261">
        <f>SUMIFS('Peoplesoft-FY13'!$L:$L,'Peoplesoft-FY13'!$S:$S,$C110,'Peoplesoft-FY13'!$Q:$Q,F$3)</f>
        <v>0</v>
      </c>
      <c r="G110" s="261">
        <f>SUMIFS('Peoplesoft-FY13'!$L:$L,'Peoplesoft-FY13'!$S:$S,$C110,'Peoplesoft-FY13'!$Q:$Q,G$3)</f>
        <v>0</v>
      </c>
      <c r="H110" s="261">
        <v>0</v>
      </c>
      <c r="I110" s="261">
        <v>0</v>
      </c>
      <c r="J110" s="261">
        <f>VLOOKUP(C110,'735 - Title II'!A:C,3,FALSE)</f>
        <v>11425</v>
      </c>
      <c r="K110" s="261">
        <f>SUMIFS('Peoplesoft-FY13'!$L:$L,'Peoplesoft-FY13'!$S:$S,$C110,'Peoplesoft-FY13'!$Q:$Q,K$3)</f>
        <v>0</v>
      </c>
      <c r="L110" s="261">
        <f>SUMIFS('Peoplesoft-FY13'!$L:$L,'Peoplesoft-FY13'!$S:$S,$C110,'Peoplesoft-FY13'!$Q:$Q,L$3)</f>
        <v>0</v>
      </c>
      <c r="M110" s="261">
        <f>SUMIFS('Peoplesoft-FY13'!$L:$L,'Peoplesoft-FY13'!$S:$S,$C110,'Peoplesoft-FY13'!$Q:$Q,M$3)</f>
        <v>0</v>
      </c>
      <c r="N110" s="261">
        <v>0</v>
      </c>
      <c r="O110" s="261">
        <f>VLOOKUP(C110,'8110 - Federal Payments'!A:C,3,FALSE)</f>
        <v>373678.39</v>
      </c>
      <c r="P110" s="118">
        <f t="shared" si="20"/>
        <v>385103.39</v>
      </c>
      <c r="Q110" s="119">
        <f t="shared" si="21"/>
        <v>3423985.38</v>
      </c>
      <c r="R110" s="120">
        <f t="shared" si="8"/>
        <v>0.11247226470341998</v>
      </c>
      <c r="S110" s="121">
        <f t="shared" si="22"/>
        <v>0.88752773529658002</v>
      </c>
      <c r="T110" s="99">
        <f t="shared" si="23"/>
        <v>1</v>
      </c>
    </row>
    <row r="111" spans="1:22" ht="13.2" x14ac:dyDescent="0.25">
      <c r="A111" s="301">
        <v>5450</v>
      </c>
      <c r="B111" s="283">
        <f>+'COMPARABILITY FY13 '!B112</f>
        <v>3</v>
      </c>
      <c r="C111" s="301">
        <v>5450</v>
      </c>
      <c r="D111" s="285" t="str">
        <f>+'COMPARABILITY FY13 '!D112</f>
        <v>Hearst ES</v>
      </c>
      <c r="E111" s="261">
        <f>SUMIFS('Peoplesoft-FY13'!L:L,'Peoplesoft-FY13'!S:S,C111,'Peoplesoft-FY13'!Q:Q,$E$3)-P111</f>
        <v>1897046.9000000004</v>
      </c>
      <c r="F111" s="261">
        <f>SUMIFS('Peoplesoft-FY13'!$L:$L,'Peoplesoft-FY13'!$S:$S,$C111,'Peoplesoft-FY13'!$Q:$Q,F$3)</f>
        <v>0</v>
      </c>
      <c r="G111" s="261">
        <f>SUMIFS('Peoplesoft-FY13'!$L:$L,'Peoplesoft-FY13'!$S:$S,$C111,'Peoplesoft-FY13'!$Q:$Q,G$3)</f>
        <v>0</v>
      </c>
      <c r="H111" s="261">
        <v>0</v>
      </c>
      <c r="I111" s="261">
        <v>0</v>
      </c>
      <c r="J111" s="261">
        <f>VLOOKUP(C111,'735 - Title II'!A:C,3,FALSE)</f>
        <v>6525</v>
      </c>
      <c r="K111" s="261">
        <f>SUMIFS('Peoplesoft-FY13'!$L:$L,'Peoplesoft-FY13'!$S:$S,$C111,'Peoplesoft-FY13'!$Q:$Q,K$3)</f>
        <v>0</v>
      </c>
      <c r="L111" s="261">
        <f>SUMIFS('Peoplesoft-FY13'!$L:$L,'Peoplesoft-FY13'!$S:$S,$C111,'Peoplesoft-FY13'!$Q:$Q,L$3)</f>
        <v>0</v>
      </c>
      <c r="M111" s="261">
        <f>SUMIFS('Peoplesoft-FY13'!$L:$L,'Peoplesoft-FY13'!$S:$S,$C111,'Peoplesoft-FY13'!$Q:$Q,M$3)</f>
        <v>0</v>
      </c>
      <c r="N111" s="261">
        <v>0</v>
      </c>
      <c r="O111" s="261">
        <f>VLOOKUP(C111,'8110 - Federal Payments'!A:C,3,FALSE)</f>
        <v>363703.58999999997</v>
      </c>
      <c r="P111" s="118">
        <f t="shared" si="20"/>
        <v>370228.58999999997</v>
      </c>
      <c r="Q111" s="119">
        <f t="shared" si="21"/>
        <v>2267275.4900000002</v>
      </c>
      <c r="R111" s="120">
        <f t="shared" si="8"/>
        <v>0.16329228258009348</v>
      </c>
      <c r="S111" s="121">
        <f t="shared" si="22"/>
        <v>0.83670771741990657</v>
      </c>
      <c r="T111" s="99">
        <f t="shared" si="23"/>
        <v>1</v>
      </c>
    </row>
    <row r="112" spans="1:22" ht="13.2" x14ac:dyDescent="0.25">
      <c r="A112" s="301">
        <v>5490</v>
      </c>
      <c r="B112" s="283">
        <f>+'COMPARABILITY FY13 '!B113</f>
        <v>4</v>
      </c>
      <c r="C112" s="301">
        <v>5490</v>
      </c>
      <c r="D112" s="285" t="str">
        <f>+'COMPARABILITY FY13 '!D113</f>
        <v>Hyde ES</v>
      </c>
      <c r="E112" s="261">
        <f>SUMIFS('Peoplesoft-FY13'!L:L,'Peoplesoft-FY13'!S:S,C112,'Peoplesoft-FY13'!Q:Q,$E$3)-P112</f>
        <v>1980685.22</v>
      </c>
      <c r="F112" s="261">
        <f>SUMIFS('Peoplesoft-FY13'!$L:$L,'Peoplesoft-FY13'!$S:$S,$C112,'Peoplesoft-FY13'!$Q:$Q,F$3)</f>
        <v>0</v>
      </c>
      <c r="G112" s="261">
        <f>SUMIFS('Peoplesoft-FY13'!$L:$L,'Peoplesoft-FY13'!$S:$S,$C112,'Peoplesoft-FY13'!$Q:$Q,G$3)</f>
        <v>0</v>
      </c>
      <c r="H112" s="261">
        <v>0</v>
      </c>
      <c r="I112" s="261">
        <v>0</v>
      </c>
      <c r="J112" s="261">
        <f>VLOOKUP(C112,'735 - Title II'!A:C,3,FALSE)</f>
        <v>7725.5</v>
      </c>
      <c r="K112" s="261">
        <f>SUMIFS('Peoplesoft-FY13'!$L:$L,'Peoplesoft-FY13'!$S:$S,$C112,'Peoplesoft-FY13'!$Q:$Q,K$3)</f>
        <v>0</v>
      </c>
      <c r="L112" s="261">
        <f>SUMIFS('Peoplesoft-FY13'!$L:$L,'Peoplesoft-FY13'!$S:$S,$C112,'Peoplesoft-FY13'!$Q:$Q,L$3)</f>
        <v>0</v>
      </c>
      <c r="M112" s="261">
        <f>SUMIFS('Peoplesoft-FY13'!$L:$L,'Peoplesoft-FY13'!$S:$S,$C112,'Peoplesoft-FY13'!$Q:$Q,M$3)</f>
        <v>0</v>
      </c>
      <c r="N112" s="261">
        <f>VLOOKUP(C112,'794'!A:C,3,FALSE)</f>
        <v>0</v>
      </c>
      <c r="O112" s="261">
        <f>VLOOKUP(C112,'8110 - Federal Payments'!A:C,3,FALSE)</f>
        <v>369662.77999999997</v>
      </c>
      <c r="P112" s="118">
        <f t="shared" si="20"/>
        <v>377388.27999999997</v>
      </c>
      <c r="Q112" s="119">
        <f t="shared" si="21"/>
        <v>2358073.5</v>
      </c>
      <c r="R112" s="120">
        <f t="shared" si="8"/>
        <v>0.1600409317182013</v>
      </c>
      <c r="S112" s="121">
        <f t="shared" si="22"/>
        <v>0.83995906828179867</v>
      </c>
      <c r="T112" s="99">
        <f t="shared" si="23"/>
        <v>1</v>
      </c>
    </row>
    <row r="113" spans="1:20" ht="13.2" x14ac:dyDescent="0.25">
      <c r="A113" s="301">
        <v>5500</v>
      </c>
      <c r="B113" s="283">
        <f>+'COMPARABILITY FY13 '!B114</f>
        <v>5</v>
      </c>
      <c r="C113" s="301">
        <v>5500</v>
      </c>
      <c r="D113" s="285" t="str">
        <f>+'COMPARABILITY FY13 '!D114</f>
        <v>Janney ES</v>
      </c>
      <c r="E113" s="261">
        <f>SUMIFS('Peoplesoft-FY13'!L:L,'Peoplesoft-FY13'!S:S,C113,'Peoplesoft-FY13'!Q:Q,$E$3)-P113</f>
        <v>3854535.54</v>
      </c>
      <c r="F113" s="261">
        <f>SUMIFS('Peoplesoft-FY13'!$L:$L,'Peoplesoft-FY13'!$S:$S,$C113,'Peoplesoft-FY13'!$Q:$Q,F$3)</f>
        <v>0</v>
      </c>
      <c r="G113" s="261">
        <f>SUMIFS('Peoplesoft-FY13'!$L:$L,'Peoplesoft-FY13'!$S:$S,$C113,'Peoplesoft-FY13'!$Q:$Q,G$3)</f>
        <v>0</v>
      </c>
      <c r="H113" s="261">
        <v>0</v>
      </c>
      <c r="I113" s="261">
        <v>0</v>
      </c>
      <c r="J113" s="261">
        <f>VLOOKUP(C113,'735 - Title II'!A:C,3,FALSE)</f>
        <v>13700</v>
      </c>
      <c r="K113" s="261">
        <f>SUMIFS('Peoplesoft-FY13'!$L:$L,'Peoplesoft-FY13'!$S:$S,$C113,'Peoplesoft-FY13'!$Q:$Q,K$3)</f>
        <v>0</v>
      </c>
      <c r="L113" s="261">
        <f>SUMIFS('Peoplesoft-FY13'!$L:$L,'Peoplesoft-FY13'!$S:$S,$C113,'Peoplesoft-FY13'!$Q:$Q,L$3)</f>
        <v>0</v>
      </c>
      <c r="M113" s="261">
        <f>SUMIFS('Peoplesoft-FY13'!$L:$L,'Peoplesoft-FY13'!$S:$S,$C113,'Peoplesoft-FY13'!$Q:$Q,M$3)</f>
        <v>0</v>
      </c>
      <c r="N113" s="261">
        <v>0</v>
      </c>
      <c r="O113" s="261">
        <f>VLOOKUP(C113,'8110 - Federal Payments'!A:C,3,FALSE)</f>
        <v>239925.09</v>
      </c>
      <c r="P113" s="118">
        <f t="shared" si="20"/>
        <v>253625.09</v>
      </c>
      <c r="Q113" s="119">
        <f t="shared" si="21"/>
        <v>4108160.63</v>
      </c>
      <c r="R113" s="120">
        <f t="shared" si="8"/>
        <v>6.1736897079411428E-2</v>
      </c>
      <c r="S113" s="121">
        <f t="shared" si="22"/>
        <v>0.93826310292058857</v>
      </c>
      <c r="T113" s="99">
        <f t="shared" si="23"/>
        <v>1</v>
      </c>
    </row>
    <row r="114" spans="1:20" ht="13.2" x14ac:dyDescent="0.25">
      <c r="A114" s="301">
        <v>5530</v>
      </c>
      <c r="B114" s="283">
        <f>+'COMPARABILITY FY13 '!B115</f>
        <v>6</v>
      </c>
      <c r="C114" s="301">
        <v>5530</v>
      </c>
      <c r="D114" s="285" t="str">
        <f>+'COMPARABILITY FY13 '!D115</f>
        <v>Key ES</v>
      </c>
      <c r="E114" s="261">
        <f>SUMIFS('Peoplesoft-FY13'!L:L,'Peoplesoft-FY13'!S:S,C114,'Peoplesoft-FY13'!Q:Q,$E$3)-P114</f>
        <v>2432266.04</v>
      </c>
      <c r="F114" s="261">
        <f>SUMIFS('Peoplesoft-FY13'!$L:$L,'Peoplesoft-FY13'!$S:$S,$C114,'Peoplesoft-FY13'!$Q:$Q,F$3)</f>
        <v>0</v>
      </c>
      <c r="G114" s="261">
        <f>SUMIFS('Peoplesoft-FY13'!$L:$L,'Peoplesoft-FY13'!$S:$S,$C114,'Peoplesoft-FY13'!$Q:$Q,G$3)</f>
        <v>0</v>
      </c>
      <c r="H114" s="261">
        <v>0</v>
      </c>
      <c r="I114" s="261">
        <v>0</v>
      </c>
      <c r="J114" s="261">
        <f>VLOOKUP(C114,'735 - Title II'!A:C,3,FALSE)</f>
        <v>9650</v>
      </c>
      <c r="K114" s="261">
        <f>SUMIFS('Peoplesoft-FY13'!$L:$L,'Peoplesoft-FY13'!$S:$S,$C114,'Peoplesoft-FY13'!$Q:$Q,K$3)</f>
        <v>0</v>
      </c>
      <c r="L114" s="261">
        <f>SUMIFS('Peoplesoft-FY13'!$L:$L,'Peoplesoft-FY13'!$S:$S,$C114,'Peoplesoft-FY13'!$Q:$Q,L$3)</f>
        <v>0</v>
      </c>
      <c r="M114" s="261">
        <f>SUMIFS('Peoplesoft-FY13'!$L:$L,'Peoplesoft-FY13'!$S:$S,$C114,'Peoplesoft-FY13'!$Q:$Q,M$3)</f>
        <v>0</v>
      </c>
      <c r="N114" s="261">
        <v>0</v>
      </c>
      <c r="O114" s="261">
        <f>VLOOKUP(C114,'8110 - Federal Payments'!A:C,3,FALSE)</f>
        <v>282308.70999999996</v>
      </c>
      <c r="P114" s="118">
        <f t="shared" si="20"/>
        <v>291958.70999999996</v>
      </c>
      <c r="Q114" s="119">
        <f t="shared" si="21"/>
        <v>2724224.75</v>
      </c>
      <c r="R114" s="120">
        <f t="shared" si="8"/>
        <v>0.10717130075262694</v>
      </c>
      <c r="S114" s="121">
        <f t="shared" si="22"/>
        <v>0.89282869924737307</v>
      </c>
      <c r="T114" s="99">
        <f t="shared" si="23"/>
        <v>1</v>
      </c>
    </row>
    <row r="115" spans="1:20" ht="13.2" x14ac:dyDescent="0.25">
      <c r="A115" s="301">
        <v>5560</v>
      </c>
      <c r="B115" s="283">
        <f>+'COMPARABILITY FY13 '!B116</f>
        <v>7</v>
      </c>
      <c r="C115" s="301">
        <v>5560</v>
      </c>
      <c r="D115" s="285" t="str">
        <f>+'COMPARABILITY FY13 '!D116</f>
        <v>Lafayette ES</v>
      </c>
      <c r="E115" s="261">
        <f>SUMIFS('Peoplesoft-FY13'!L:L,'Peoplesoft-FY13'!S:S,C115,'Peoplesoft-FY13'!Q:Q,$E$3)-P115</f>
        <v>4814983.4799999995</v>
      </c>
      <c r="F115" s="261">
        <f>SUMIFS('Peoplesoft-FY13'!$L:$L,'Peoplesoft-FY13'!$S:$S,$C115,'Peoplesoft-FY13'!$Q:$Q,F$3)</f>
        <v>0</v>
      </c>
      <c r="G115" s="261">
        <f>SUMIFS('Peoplesoft-FY13'!$L:$L,'Peoplesoft-FY13'!$S:$S,$C115,'Peoplesoft-FY13'!$Q:$Q,G$3)</f>
        <v>0</v>
      </c>
      <c r="H115" s="261">
        <v>0</v>
      </c>
      <c r="I115" s="261">
        <v>0</v>
      </c>
      <c r="J115" s="261">
        <f>VLOOKUP(C115,'735 - Title II'!A:C,3,FALSE)</f>
        <v>17675</v>
      </c>
      <c r="K115" s="261">
        <f>SUMIFS('Peoplesoft-FY13'!$L:$L,'Peoplesoft-FY13'!$S:$S,$C115,'Peoplesoft-FY13'!$Q:$Q,K$3)</f>
        <v>0</v>
      </c>
      <c r="L115" s="261">
        <f>SUMIFS('Peoplesoft-FY13'!$L:$L,'Peoplesoft-FY13'!$S:$S,$C115,'Peoplesoft-FY13'!$Q:$Q,L$3)</f>
        <v>0</v>
      </c>
      <c r="M115" s="261">
        <f>SUMIFS('Peoplesoft-FY13'!$L:$L,'Peoplesoft-FY13'!$S:$S,$C115,'Peoplesoft-FY13'!$Q:$Q,M$3)</f>
        <v>0</v>
      </c>
      <c r="N115" s="261">
        <v>0</v>
      </c>
      <c r="O115" s="261">
        <f>VLOOKUP(C115,'8110 - Federal Payments'!A:C,3,FALSE)</f>
        <v>377272.14999999997</v>
      </c>
      <c r="P115" s="118">
        <f t="shared" si="20"/>
        <v>394947.14999999997</v>
      </c>
      <c r="Q115" s="119">
        <f t="shared" si="21"/>
        <v>5209930.63</v>
      </c>
      <c r="R115" s="120">
        <f t="shared" si="8"/>
        <v>7.5806604357801205E-2</v>
      </c>
      <c r="S115" s="121">
        <f t="shared" si="22"/>
        <v>0.92419339564219871</v>
      </c>
      <c r="T115" s="99">
        <f t="shared" si="23"/>
        <v>0.99999999999999989</v>
      </c>
    </row>
    <row r="116" spans="1:20" ht="13.2" x14ac:dyDescent="0.25">
      <c r="A116" s="301">
        <v>5620</v>
      </c>
      <c r="B116" s="283">
        <f>+'COMPARABILITY FY13 '!B117</f>
        <v>8</v>
      </c>
      <c r="C116" s="301">
        <v>5620</v>
      </c>
      <c r="D116" s="285" t="str">
        <f>+'COMPARABILITY FY13 '!D117</f>
        <v>Mann ES</v>
      </c>
      <c r="E116" s="261">
        <f>SUMIFS('Peoplesoft-FY13'!L:L,'Peoplesoft-FY13'!S:S,C116,'Peoplesoft-FY13'!Q:Q,$E$3)-P116</f>
        <v>2306658.1999999997</v>
      </c>
      <c r="F116" s="261">
        <f>SUMIFS('Peoplesoft-FY13'!$L:$L,'Peoplesoft-FY13'!$S:$S,$C116,'Peoplesoft-FY13'!$Q:$Q,F$3)</f>
        <v>0</v>
      </c>
      <c r="G116" s="261">
        <f>SUMIFS('Peoplesoft-FY13'!$L:$L,'Peoplesoft-FY13'!$S:$S,$C116,'Peoplesoft-FY13'!$Q:$Q,G$3)</f>
        <v>0</v>
      </c>
      <c r="H116" s="261">
        <v>0</v>
      </c>
      <c r="I116" s="261">
        <v>0</v>
      </c>
      <c r="J116" s="261">
        <f>VLOOKUP(C116,'735 - Title II'!A:C,3,FALSE)</f>
        <v>7250</v>
      </c>
      <c r="K116" s="261">
        <f>SUMIFS('Peoplesoft-FY13'!$L:$L,'Peoplesoft-FY13'!$S:$S,$C116,'Peoplesoft-FY13'!$Q:$Q,K$3)</f>
        <v>0</v>
      </c>
      <c r="L116" s="261">
        <f>SUMIFS('Peoplesoft-FY13'!$L:$L,'Peoplesoft-FY13'!$S:$S,$C116,'Peoplesoft-FY13'!$Q:$Q,L$3)</f>
        <v>0</v>
      </c>
      <c r="M116" s="261">
        <f>SUMIFS('Peoplesoft-FY13'!$L:$L,'Peoplesoft-FY13'!$S:$S,$C116,'Peoplesoft-FY13'!$Q:$Q,M$3)</f>
        <v>0</v>
      </c>
      <c r="N116" s="261">
        <v>0</v>
      </c>
      <c r="O116" s="261">
        <f>VLOOKUP(C116,'8110 - Federal Payments'!A:C,3,FALSE)</f>
        <v>352164.68</v>
      </c>
      <c r="P116" s="118">
        <f t="shared" si="20"/>
        <v>359414.68</v>
      </c>
      <c r="Q116" s="119">
        <f t="shared" si="21"/>
        <v>2666072.88</v>
      </c>
      <c r="R116" s="120">
        <f t="shared" si="8"/>
        <v>0.13481052325921414</v>
      </c>
      <c r="S116" s="121">
        <f t="shared" si="22"/>
        <v>0.86518947674078583</v>
      </c>
      <c r="T116" s="99">
        <f t="shared" si="23"/>
        <v>1</v>
      </c>
    </row>
    <row r="117" spans="1:20" ht="13.2" x14ac:dyDescent="0.25">
      <c r="A117" s="301">
        <v>5720</v>
      </c>
      <c r="B117" s="283">
        <f>+'COMPARABILITY FY13 '!B118</f>
        <v>9</v>
      </c>
      <c r="C117" s="301">
        <v>5720</v>
      </c>
      <c r="D117" s="285" t="str">
        <f>+'COMPARABILITY FY13 '!D118</f>
        <v>Murch ES</v>
      </c>
      <c r="E117" s="261">
        <f>SUMIFS('Peoplesoft-FY13'!L:L,'Peoplesoft-FY13'!S:S,C117,'Peoplesoft-FY13'!Q:Q,$E$3)-P117</f>
        <v>3942034.23</v>
      </c>
      <c r="F117" s="261">
        <f>SUMIFS('Peoplesoft-FY13'!$L:$L,'Peoplesoft-FY13'!$S:$S,$C117,'Peoplesoft-FY13'!$Q:$Q,F$3)</f>
        <v>0</v>
      </c>
      <c r="G117" s="261">
        <f>SUMIFS('Peoplesoft-FY13'!$L:$L,'Peoplesoft-FY13'!$S:$S,$C117,'Peoplesoft-FY13'!$Q:$Q,G$3)</f>
        <v>0</v>
      </c>
      <c r="H117" s="261">
        <v>0</v>
      </c>
      <c r="I117" s="261">
        <v>0</v>
      </c>
      <c r="J117" s="261">
        <f>VLOOKUP(C117,'735 - Title II'!A:C,3,FALSE)</f>
        <v>13900</v>
      </c>
      <c r="K117" s="261">
        <f>SUMIFS('Peoplesoft-FY13'!$L:$L,'Peoplesoft-FY13'!$S:$S,$C117,'Peoplesoft-FY13'!$Q:$Q,K$3)</f>
        <v>0</v>
      </c>
      <c r="L117" s="261">
        <f>SUMIFS('Peoplesoft-FY13'!$L:$L,'Peoplesoft-FY13'!$S:$S,$C117,'Peoplesoft-FY13'!$Q:$Q,L$3)</f>
        <v>0</v>
      </c>
      <c r="M117" s="261">
        <f>SUMIFS('Peoplesoft-FY13'!$L:$L,'Peoplesoft-FY13'!$S:$S,$C117,'Peoplesoft-FY13'!$Q:$Q,M$3)</f>
        <v>0</v>
      </c>
      <c r="N117" s="261">
        <v>0</v>
      </c>
      <c r="O117" s="261">
        <f>VLOOKUP(C117,'8110 - Federal Payments'!A:C,3,FALSE)</f>
        <v>65759.39</v>
      </c>
      <c r="P117" s="118">
        <f t="shared" si="20"/>
        <v>79659.39</v>
      </c>
      <c r="Q117" s="119">
        <f t="shared" si="21"/>
        <v>4021693.62</v>
      </c>
      <c r="R117" s="120">
        <f t="shared" si="8"/>
        <v>1.980742381862495E-2</v>
      </c>
      <c r="S117" s="121">
        <f t="shared" si="22"/>
        <v>0.98019257618137501</v>
      </c>
      <c r="T117" s="99">
        <f t="shared" si="23"/>
        <v>1</v>
      </c>
    </row>
    <row r="118" spans="1:20" ht="13.2" x14ac:dyDescent="0.25">
      <c r="A118" s="301">
        <v>5760</v>
      </c>
      <c r="B118" s="283">
        <f>+'COMPARABILITY FY13 '!B119</f>
        <v>10</v>
      </c>
      <c r="C118" s="301">
        <v>5760</v>
      </c>
      <c r="D118" s="285" t="str">
        <f>+'COMPARABILITY FY13 '!D119</f>
        <v>Oyster-Adams ES</v>
      </c>
      <c r="E118" s="261">
        <f>SUMIFS('Peoplesoft-FY13'!L:L,'Peoplesoft-FY13'!S:S,C118,'Peoplesoft-FY13'!Q:Q,$E$3)-P118</f>
        <v>5966000.8300000001</v>
      </c>
      <c r="F118" s="261">
        <f>SUMIFS('Peoplesoft-FY13'!$L:$L,'Peoplesoft-FY13'!$S:$S,$C118,'Peoplesoft-FY13'!$Q:$Q,F$3)</f>
        <v>0</v>
      </c>
      <c r="G118" s="261">
        <f>SUMIFS('Peoplesoft-FY13'!$L:$L,'Peoplesoft-FY13'!$S:$S,$C118,'Peoplesoft-FY13'!$Q:$Q,G$3)</f>
        <v>0</v>
      </c>
      <c r="H118" s="261">
        <v>0</v>
      </c>
      <c r="I118" s="261">
        <v>0</v>
      </c>
      <c r="J118" s="261">
        <f>VLOOKUP(C118,'735 - Title II'!A:C,3,FALSE)</f>
        <v>16925</v>
      </c>
      <c r="K118" s="261">
        <f>SUMIFS('Peoplesoft-FY13'!$L:$L,'Peoplesoft-FY13'!$S:$S,$C118,'Peoplesoft-FY13'!$Q:$Q,K$3)</f>
        <v>0</v>
      </c>
      <c r="L118" s="261">
        <f>SUMIFS('Peoplesoft-FY13'!$L:$L,'Peoplesoft-FY13'!$S:$S,$C118,'Peoplesoft-FY13'!$Q:$Q,L$3)</f>
        <v>0</v>
      </c>
      <c r="M118" s="261">
        <f>SUMIFS('Peoplesoft-FY13'!$L:$L,'Peoplesoft-FY13'!$S:$S,$C118,'Peoplesoft-FY13'!$Q:$Q,M$3)</f>
        <v>0</v>
      </c>
      <c r="N118" s="261">
        <v>0</v>
      </c>
      <c r="O118" s="261">
        <f>VLOOKUP(C118,'8110 - Federal Payments'!A:C,3,FALSE)</f>
        <v>607550.4</v>
      </c>
      <c r="P118" s="118">
        <f t="shared" si="20"/>
        <v>624475.4</v>
      </c>
      <c r="Q118" s="119">
        <f t="shared" si="21"/>
        <v>6590476.2300000004</v>
      </c>
      <c r="R118" s="120">
        <f t="shared" si="8"/>
        <v>9.4754214749667637E-2</v>
      </c>
      <c r="S118" s="121">
        <f t="shared" si="22"/>
        <v>0.90524578525033228</v>
      </c>
      <c r="T118" s="99">
        <f t="shared" si="23"/>
        <v>0.99999999999999989</v>
      </c>
    </row>
    <row r="119" spans="1:20" ht="13.2" x14ac:dyDescent="0.25">
      <c r="A119" s="301">
        <v>5800</v>
      </c>
      <c r="B119" s="283">
        <f>+'COMPARABILITY FY13 '!B120</f>
        <v>11</v>
      </c>
      <c r="C119" s="301">
        <v>5800</v>
      </c>
      <c r="D119" s="285" t="str">
        <f>+'COMPARABILITY FY13 '!D120</f>
        <v xml:space="preserve">Peabody ES </v>
      </c>
      <c r="E119" s="261">
        <f>SUMIFS('Peoplesoft-FY13'!L:L,'Peoplesoft-FY13'!S:S,C119,'Peoplesoft-FY13'!Q:Q,$E$3)-P119</f>
        <v>1933670.5199999996</v>
      </c>
      <c r="F119" s="261">
        <f>SUMIFS('Peoplesoft-FY13'!$L:$L,'Peoplesoft-FY13'!$S:$S,$C119,'Peoplesoft-FY13'!$Q:$Q,F$3)</f>
        <v>0</v>
      </c>
      <c r="G119" s="261">
        <f>SUMIFS('Peoplesoft-FY13'!$L:$L,'Peoplesoft-FY13'!$S:$S,$C119,'Peoplesoft-FY13'!$Q:$Q,G$3)</f>
        <v>0</v>
      </c>
      <c r="H119" s="261">
        <v>0</v>
      </c>
      <c r="I119" s="261">
        <v>0</v>
      </c>
      <c r="J119" s="261">
        <f>VLOOKUP(C119,'735 - Title II'!A:C,3,FALSE)</f>
        <v>3750</v>
      </c>
      <c r="K119" s="261">
        <f>SUMIFS('Peoplesoft-FY13'!$L:$L,'Peoplesoft-FY13'!$S:$S,$C119,'Peoplesoft-FY13'!$Q:$Q,K$3)</f>
        <v>0</v>
      </c>
      <c r="L119" s="261">
        <f>SUMIFS('Peoplesoft-FY13'!$L:$L,'Peoplesoft-FY13'!$S:$S,$C119,'Peoplesoft-FY13'!$Q:$Q,L$3)</f>
        <v>0</v>
      </c>
      <c r="M119" s="261">
        <f>SUMIFS('Peoplesoft-FY13'!$L:$L,'Peoplesoft-FY13'!$S:$S,$C119,'Peoplesoft-FY13'!$Q:$Q,M$3)</f>
        <v>0</v>
      </c>
      <c r="N119" s="261">
        <v>0</v>
      </c>
      <c r="O119" s="261">
        <v>0</v>
      </c>
      <c r="P119" s="118">
        <f t="shared" si="20"/>
        <v>3750</v>
      </c>
      <c r="Q119" s="119">
        <f t="shared" si="21"/>
        <v>1937420.5199999996</v>
      </c>
      <c r="R119" s="120">
        <f t="shared" si="8"/>
        <v>1.9355632715193916E-3</v>
      </c>
      <c r="S119" s="121">
        <f t="shared" si="22"/>
        <v>0.99806443672848055</v>
      </c>
      <c r="T119" s="99">
        <f t="shared" si="23"/>
        <v>1</v>
      </c>
    </row>
    <row r="120" spans="1:20" ht="13.2" x14ac:dyDescent="0.25">
      <c r="A120" s="301">
        <v>5810</v>
      </c>
      <c r="B120" s="283">
        <f>+'COMPARABILITY FY13 '!B121</f>
        <v>12</v>
      </c>
      <c r="C120" s="301">
        <v>5810</v>
      </c>
      <c r="D120" s="285" t="str">
        <f>+'COMPARABILITY FY13 '!D121</f>
        <v>Reggio Emilia</v>
      </c>
      <c r="E120" s="261">
        <f>SUMIFS('Peoplesoft-FY13'!L:L,'Peoplesoft-FY13'!S:S,C120,'Peoplesoft-FY13'!Q:Q,$E$3)-P120</f>
        <v>1412616.37</v>
      </c>
      <c r="F120" s="261">
        <f>SUMIFS('Peoplesoft-FY13'!$L:$L,'Peoplesoft-FY13'!$S:$S,$C120,'Peoplesoft-FY13'!$Q:$Q,F$3)</f>
        <v>0</v>
      </c>
      <c r="G120" s="261">
        <f>SUMIFS('Peoplesoft-FY13'!$L:$L,'Peoplesoft-FY13'!$S:$S,$C120,'Peoplesoft-FY13'!$Q:$Q,G$3)</f>
        <v>0</v>
      </c>
      <c r="H120" s="261">
        <v>0</v>
      </c>
      <c r="I120" s="261">
        <v>0</v>
      </c>
      <c r="J120" s="261">
        <f>VLOOKUP(C120,'735 - Title II'!A:C,3,FALSE)</f>
        <v>2100</v>
      </c>
      <c r="K120" s="261">
        <f>SUMIFS('Peoplesoft-FY13'!$L:$L,'Peoplesoft-FY13'!$S:$S,$C120,'Peoplesoft-FY13'!$Q:$Q,K$3)</f>
        <v>0</v>
      </c>
      <c r="L120" s="261">
        <f>SUMIFS('Peoplesoft-FY13'!$L:$L,'Peoplesoft-FY13'!$S:$S,$C120,'Peoplesoft-FY13'!$Q:$Q,L$3)</f>
        <v>0</v>
      </c>
      <c r="M120" s="261">
        <f>SUMIFS('Peoplesoft-FY13'!$L:$L,'Peoplesoft-FY13'!$S:$S,$C120,'Peoplesoft-FY13'!$Q:$Q,M$3)</f>
        <v>0</v>
      </c>
      <c r="N120" s="261">
        <v>0</v>
      </c>
      <c r="O120" s="261">
        <v>0</v>
      </c>
      <c r="P120" s="118">
        <f t="shared" si="20"/>
        <v>2100</v>
      </c>
      <c r="Q120" s="119">
        <f t="shared" si="21"/>
        <v>1414716.37</v>
      </c>
      <c r="R120" s="120">
        <f t="shared" si="8"/>
        <v>1.4843964801227259E-3</v>
      </c>
      <c r="S120" s="121">
        <f t="shared" si="22"/>
        <v>0.99851560351987723</v>
      </c>
      <c r="T120" s="99">
        <f t="shared" si="23"/>
        <v>1</v>
      </c>
    </row>
    <row r="121" spans="1:20" ht="13.2" x14ac:dyDescent="0.25">
      <c r="A121" s="301">
        <v>5940</v>
      </c>
      <c r="B121" s="283">
        <f>+'COMPARABILITY FY13 '!B122</f>
        <v>13</v>
      </c>
      <c r="C121" s="301">
        <v>5940</v>
      </c>
      <c r="D121" s="285" t="str">
        <f>+'COMPARABILITY FY13 '!D122</f>
        <v>Shepherd ES</v>
      </c>
      <c r="E121" s="261">
        <f>SUMIFS('Peoplesoft-FY13'!L:L,'Peoplesoft-FY13'!S:S,C121,'Peoplesoft-FY13'!Q:Q,$E$3)-P121</f>
        <v>2548717.37</v>
      </c>
      <c r="F121" s="261">
        <f>SUMIFS('Peoplesoft-FY13'!$L:$L,'Peoplesoft-FY13'!$S:$S,$C121,'Peoplesoft-FY13'!$Q:$Q,F$3)</f>
        <v>0</v>
      </c>
      <c r="G121" s="261">
        <f>SUMIFS('Peoplesoft-FY13'!$L:$L,'Peoplesoft-FY13'!$S:$S,$C121,'Peoplesoft-FY13'!$Q:$Q,G$3)</f>
        <v>0</v>
      </c>
      <c r="H121" s="261">
        <v>0</v>
      </c>
      <c r="I121" s="261">
        <v>0</v>
      </c>
      <c r="J121" s="261">
        <f>VLOOKUP(C121,'735 - Title II'!A:C,3,FALSE)</f>
        <v>8350</v>
      </c>
      <c r="K121" s="261">
        <f>SUMIFS('Peoplesoft-FY13'!$L:$L,'Peoplesoft-FY13'!$S:$S,$C121,'Peoplesoft-FY13'!$Q:$Q,K$3)</f>
        <v>0</v>
      </c>
      <c r="L121" s="261">
        <f>SUMIFS('Peoplesoft-FY13'!$L:$L,'Peoplesoft-FY13'!$S:$S,$C121,'Peoplesoft-FY13'!$Q:$Q,L$3)</f>
        <v>0</v>
      </c>
      <c r="M121" s="261">
        <f>SUMIFS('Peoplesoft-FY13'!$L:$L,'Peoplesoft-FY13'!$S:$S,$C121,'Peoplesoft-FY13'!$Q:$Q,M$3)</f>
        <v>0</v>
      </c>
      <c r="N121" s="261">
        <v>0</v>
      </c>
      <c r="O121" s="261">
        <v>0</v>
      </c>
      <c r="P121" s="118">
        <f t="shared" si="20"/>
        <v>8350</v>
      </c>
      <c r="Q121" s="119">
        <f t="shared" si="21"/>
        <v>2557067.37</v>
      </c>
      <c r="R121" s="120">
        <f t="shared" si="8"/>
        <v>3.2654595252216605E-3</v>
      </c>
      <c r="S121" s="121">
        <f t="shared" si="22"/>
        <v>0.99673454047477839</v>
      </c>
      <c r="T121" s="99">
        <f t="shared" si="23"/>
        <v>1</v>
      </c>
    </row>
    <row r="122" spans="1:20" ht="13.2" x14ac:dyDescent="0.25">
      <c r="A122" s="301">
        <v>6000</v>
      </c>
      <c r="B122" s="283">
        <f>+'COMPARABILITY FY13 '!B123</f>
        <v>14</v>
      </c>
      <c r="C122" s="301">
        <v>6000</v>
      </c>
      <c r="D122" s="285" t="str">
        <f>+'COMPARABILITY FY13 '!D123</f>
        <v>Stoddert ES</v>
      </c>
      <c r="E122" s="261">
        <f>SUMIFS('Peoplesoft-FY13'!L:L,'Peoplesoft-FY13'!S:S,C122,'Peoplesoft-FY13'!Q:Q,$E$3)-P122</f>
        <v>2844858.25</v>
      </c>
      <c r="F122" s="261">
        <f>SUMIFS('Peoplesoft-FY13'!$L:$L,'Peoplesoft-FY13'!$S:$S,$C122,'Peoplesoft-FY13'!$Q:$Q,F$3)</f>
        <v>0</v>
      </c>
      <c r="G122" s="261">
        <f>SUMIFS('Peoplesoft-FY13'!$L:$L,'Peoplesoft-FY13'!$S:$S,$C122,'Peoplesoft-FY13'!$Q:$Q,G$3)</f>
        <v>0</v>
      </c>
      <c r="H122" s="261">
        <v>0</v>
      </c>
      <c r="I122" s="261">
        <v>0</v>
      </c>
      <c r="J122" s="261">
        <f>VLOOKUP(C122,'735 - Title II'!A:C,3,FALSE)</f>
        <v>8675</v>
      </c>
      <c r="K122" s="261">
        <f>SUMIFS('Peoplesoft-FY13'!$L:$L,'Peoplesoft-FY13'!$S:$S,$C122,'Peoplesoft-FY13'!$Q:$Q,K$3)</f>
        <v>0</v>
      </c>
      <c r="L122" s="261">
        <f>SUMIFS('Peoplesoft-FY13'!$L:$L,'Peoplesoft-FY13'!$S:$S,$C122,'Peoplesoft-FY13'!$Q:$Q,L$3)</f>
        <v>0</v>
      </c>
      <c r="M122" s="261">
        <f>SUMIFS('Peoplesoft-FY13'!$L:$L,'Peoplesoft-FY13'!$S:$S,$C122,'Peoplesoft-FY13'!$Q:$Q,M$3)</f>
        <v>0</v>
      </c>
      <c r="N122" s="261">
        <v>0</v>
      </c>
      <c r="O122" s="261">
        <v>0</v>
      </c>
      <c r="P122" s="118">
        <f t="shared" si="20"/>
        <v>8675</v>
      </c>
      <c r="Q122" s="119">
        <f t="shared" si="21"/>
        <v>2853533.25</v>
      </c>
      <c r="R122" s="120">
        <f t="shared" si="8"/>
        <v>3.0400907366332597E-3</v>
      </c>
      <c r="S122" s="121">
        <f t="shared" si="22"/>
        <v>0.99695990926336675</v>
      </c>
      <c r="T122" s="99">
        <f t="shared" si="23"/>
        <v>1</v>
      </c>
    </row>
    <row r="123" spans="1:20" ht="13.2" x14ac:dyDescent="0.25">
      <c r="A123" s="301">
        <v>6120</v>
      </c>
      <c r="B123" s="283">
        <f>+'COMPARABILITY FY13 '!B124</f>
        <v>15</v>
      </c>
      <c r="C123" s="301">
        <v>6120</v>
      </c>
      <c r="D123" s="285" t="str">
        <f>+'COMPARABILITY FY13 '!D124</f>
        <v>Watkins ES</v>
      </c>
      <c r="E123" s="261">
        <f>SUMIFS('Peoplesoft-FY13'!L:L,'Peoplesoft-FY13'!S:S,C123,'Peoplesoft-FY13'!Q:Q,$E$3)-P123</f>
        <v>3790734.21</v>
      </c>
      <c r="F123" s="261">
        <f>SUMIFS('Peoplesoft-FY13'!$L:$L,'Peoplesoft-FY13'!$S:$S,$C123,'Peoplesoft-FY13'!$Q:$Q,F$3)</f>
        <v>0</v>
      </c>
      <c r="G123" s="261">
        <f>SUMIFS('Peoplesoft-FY13'!$L:$L,'Peoplesoft-FY13'!$S:$S,$C123,'Peoplesoft-FY13'!$Q:$Q,G$3)</f>
        <v>0</v>
      </c>
      <c r="H123" s="261">
        <v>0</v>
      </c>
      <c r="I123" s="261">
        <f>VLOOKUP(C123,'733 - Title I'!$A:$C,3,0)</f>
        <v>105379.29</v>
      </c>
      <c r="J123" s="261">
        <f>VLOOKUP(C123,'735 - Title II'!A:C,3,FALSE)</f>
        <v>13025</v>
      </c>
      <c r="K123" s="261">
        <f>SUMIFS('Peoplesoft-FY13'!$L:$L,'Peoplesoft-FY13'!$S:$S,$C123,'Peoplesoft-FY13'!$Q:$Q,K$3)</f>
        <v>0</v>
      </c>
      <c r="L123" s="261">
        <f>SUMIFS('Peoplesoft-FY13'!$L:$L,'Peoplesoft-FY13'!$S:$S,$C123,'Peoplesoft-FY13'!$Q:$Q,L$3)</f>
        <v>0</v>
      </c>
      <c r="M123" s="261">
        <f>SUMIFS('Peoplesoft-FY13'!$L:$L,'Peoplesoft-FY13'!$S:$S,$C123,'Peoplesoft-FY13'!$Q:$Q,M$3)</f>
        <v>0</v>
      </c>
      <c r="N123" s="261">
        <v>0</v>
      </c>
      <c r="O123" s="261">
        <v>0</v>
      </c>
      <c r="P123" s="118">
        <f t="shared" si="20"/>
        <v>118404.29</v>
      </c>
      <c r="Q123" s="119">
        <f t="shared" si="21"/>
        <v>3909138.5</v>
      </c>
      <c r="R123" s="120">
        <f t="shared" si="8"/>
        <v>3.0289100782691633E-2</v>
      </c>
      <c r="S123" s="121">
        <f t="shared" si="22"/>
        <v>0.96971089921730835</v>
      </c>
      <c r="T123" s="99">
        <f t="shared" si="23"/>
        <v>1</v>
      </c>
    </row>
    <row r="124" spans="1:20" ht="13.2" x14ac:dyDescent="0.25">
      <c r="A124" s="301">
        <v>6290</v>
      </c>
      <c r="B124" s="283">
        <f>+'COMPARABILITY FY13 '!B125</f>
        <v>16</v>
      </c>
      <c r="C124" s="301">
        <v>6290</v>
      </c>
      <c r="D124" s="286" t="s">
        <v>4250</v>
      </c>
      <c r="E124" s="261">
        <f>SUMIFS('Peoplesoft-FY13'!L:L,'Peoplesoft-FY13'!S:S,C124,'Peoplesoft-FY13'!Q:Q,$E$3)-P124</f>
        <v>1760323.75</v>
      </c>
      <c r="F124" s="261">
        <f>SUMIFS('Peoplesoft-FY13'!$L:$L,'Peoplesoft-FY13'!$S:$S,$C124,'Peoplesoft-FY13'!$Q:$Q,F$3)</f>
        <v>0</v>
      </c>
      <c r="G124" s="261">
        <f>SUMIFS('Peoplesoft-FY13'!$L:$L,'Peoplesoft-FY13'!$S:$S,$C124,'Peoplesoft-FY13'!$Q:$Q,G$3)</f>
        <v>0</v>
      </c>
      <c r="H124" s="261">
        <v>0</v>
      </c>
      <c r="I124" s="261">
        <v>0</v>
      </c>
      <c r="J124" s="261">
        <f>VLOOKUP(C124,'735 - Title II'!A:C,3,FALSE)</f>
        <v>5250</v>
      </c>
      <c r="K124" s="261">
        <f>SUMIFS('Peoplesoft-FY13'!$L:$L,'Peoplesoft-FY13'!$S:$S,$C124,'Peoplesoft-FY13'!$Q:$Q,K$3)</f>
        <v>0</v>
      </c>
      <c r="L124" s="261">
        <f>SUMIFS('Peoplesoft-FY13'!$L:$L,'Peoplesoft-FY13'!$S:$S,$C124,'Peoplesoft-FY13'!$Q:$Q,L$3)</f>
        <v>0</v>
      </c>
      <c r="M124" s="261">
        <f>SUMIFS('Peoplesoft-FY13'!$L:$L,'Peoplesoft-FY13'!$S:$S,$C124,'Peoplesoft-FY13'!$Q:$Q,M$3)</f>
        <v>0</v>
      </c>
      <c r="N124" s="261">
        <v>0</v>
      </c>
      <c r="O124" s="261">
        <v>0</v>
      </c>
      <c r="P124" s="118">
        <f t="shared" si="20"/>
        <v>5250</v>
      </c>
      <c r="Q124" s="119">
        <f t="shared" si="21"/>
        <v>1765573.75</v>
      </c>
      <c r="R124" s="120">
        <f>+P124/Q124</f>
        <v>2.9735376389686354E-3</v>
      </c>
      <c r="S124" s="121">
        <f t="shared" si="22"/>
        <v>0.99702646236103132</v>
      </c>
      <c r="T124" s="99">
        <f>R124+S124</f>
        <v>1</v>
      </c>
    </row>
    <row r="125" spans="1:20" ht="13.2" x14ac:dyDescent="0.25">
      <c r="A125" s="301">
        <v>6330</v>
      </c>
      <c r="B125" s="283">
        <f>+'COMPARABILITY FY13 '!B126</f>
        <v>17</v>
      </c>
      <c r="C125" s="301">
        <v>6330</v>
      </c>
      <c r="D125" s="285" t="str">
        <f>+'COMPARABILITY FY13 '!D126</f>
        <v>Deal MS</v>
      </c>
      <c r="E125" s="261">
        <f>SUMIFS('Peoplesoft-FY13'!L:L,'Peoplesoft-FY13'!S:S,C125,'Peoplesoft-FY13'!Q:Q,$E$3)-P125</f>
        <v>6820584.0499999998</v>
      </c>
      <c r="F125" s="261">
        <f>SUMIFS('Peoplesoft-FY13'!$L:$L,'Peoplesoft-FY13'!$S:$S,$C125,'Peoplesoft-FY13'!$Q:$Q,F$3)</f>
        <v>0</v>
      </c>
      <c r="G125" s="261">
        <f>SUMIFS('Peoplesoft-FY13'!$L:$L,'Peoplesoft-FY13'!$S:$S,$C125,'Peoplesoft-FY13'!$Q:$Q,G$3)</f>
        <v>0</v>
      </c>
      <c r="H125" s="261">
        <v>0</v>
      </c>
      <c r="I125" s="261">
        <v>0</v>
      </c>
      <c r="J125" s="261">
        <f>VLOOKUP(C125,'735 - Title II'!A:C,3,FALSE)</f>
        <v>25349.99</v>
      </c>
      <c r="K125" s="261">
        <f>SUMIFS('Peoplesoft-FY13'!$L:$L,'Peoplesoft-FY13'!$S:$S,$C125,'Peoplesoft-FY13'!$Q:$Q,K$3)</f>
        <v>0</v>
      </c>
      <c r="L125" s="261">
        <f>SUMIFS('Peoplesoft-FY13'!$L:$L,'Peoplesoft-FY13'!$S:$S,$C125,'Peoplesoft-FY13'!$Q:$Q,L$3)</f>
        <v>0</v>
      </c>
      <c r="M125" s="261">
        <f>SUMIFS('Peoplesoft-FY13'!$L:$L,'Peoplesoft-FY13'!$S:$S,$C125,'Peoplesoft-FY13'!$Q:$Q,M$3)</f>
        <v>0</v>
      </c>
      <c r="N125" s="261">
        <v>0</v>
      </c>
      <c r="O125" s="261">
        <f>VLOOKUP(C125,'8110 - Federal Payments'!A:C,3,FALSE)</f>
        <v>264877.71999999997</v>
      </c>
      <c r="P125" s="118">
        <f t="shared" si="20"/>
        <v>290227.70999999996</v>
      </c>
      <c r="Q125" s="119">
        <f t="shared" si="21"/>
        <v>7110811.7599999998</v>
      </c>
      <c r="R125" s="120">
        <f t="shared" si="8"/>
        <v>4.0814989876767599E-2</v>
      </c>
      <c r="S125" s="121">
        <f t="shared" si="22"/>
        <v>0.95918501012323243</v>
      </c>
      <c r="T125" s="99">
        <f t="shared" si="23"/>
        <v>1</v>
      </c>
    </row>
    <row r="126" spans="1:20" ht="13.2" x14ac:dyDescent="0.25">
      <c r="A126" s="272">
        <v>7210</v>
      </c>
      <c r="B126" s="283">
        <f>+'COMPARABILITY FY13 '!B127</f>
        <v>18</v>
      </c>
      <c r="C126" s="272">
        <v>7210</v>
      </c>
      <c r="D126" s="273" t="str">
        <f>+'COMPARABILITY FY13 '!D127</f>
        <v>Ellington SHS (Targeted Assistance)</v>
      </c>
      <c r="E126" s="261">
        <f>SUMIFS('Peoplesoft-FY13'!L:L,'Peoplesoft-FY13'!S:S,C126,'Peoplesoft-FY13'!Q:Q,$E$3)-P126</f>
        <v>682026.48</v>
      </c>
      <c r="F126" s="261">
        <v>0</v>
      </c>
      <c r="G126" s="261">
        <f>SUMIFS('Peoplesoft-FY13'!$L:$L,'Peoplesoft-FY13'!$S:$S,$C126,'Peoplesoft-FY13'!$Q:$Q,G$3)</f>
        <v>0</v>
      </c>
      <c r="H126" s="261">
        <v>0</v>
      </c>
      <c r="I126" s="261">
        <f>VLOOKUP(C126,'733 - Title I'!$A:$C,3,0)</f>
        <v>103774.51999999999</v>
      </c>
      <c r="J126" s="261">
        <f>VLOOKUP(C126,'735 - Title II'!A:C,3,FALSE)</f>
        <v>12925</v>
      </c>
      <c r="K126" s="261">
        <f>SUMIFS('Peoplesoft-FY13'!$L:$L,'Peoplesoft-FY13'!$S:$S,$C126,'Peoplesoft-FY13'!$Q:$Q,K$3)</f>
        <v>0</v>
      </c>
      <c r="L126" s="261">
        <f>SUMIFS('Peoplesoft-FY13'!$L:$L,'Peoplesoft-FY13'!$S:$S,$C126,'Peoplesoft-FY13'!$Q:$Q,L$3)</f>
        <v>0</v>
      </c>
      <c r="M126" s="261">
        <v>0</v>
      </c>
      <c r="N126" s="261">
        <v>0</v>
      </c>
      <c r="O126" s="261">
        <v>0</v>
      </c>
      <c r="P126" s="118">
        <f t="shared" si="20"/>
        <v>116699.51999999999</v>
      </c>
      <c r="Q126" s="119">
        <f t="shared" si="21"/>
        <v>798726</v>
      </c>
      <c r="R126" s="120">
        <f>+P126/Q126</f>
        <v>0.14610707551776203</v>
      </c>
      <c r="S126" s="121">
        <f t="shared" si="22"/>
        <v>0.85389292448223797</v>
      </c>
      <c r="T126" s="99">
        <f>R126+S126</f>
        <v>1</v>
      </c>
    </row>
    <row r="127" spans="1:20" ht="13.2" x14ac:dyDescent="0.25">
      <c r="A127" s="302">
        <v>7250</v>
      </c>
      <c r="B127" s="275">
        <f>+'COMPARABILITY FY13 '!B128</f>
        <v>19</v>
      </c>
      <c r="C127" s="302">
        <v>7250</v>
      </c>
      <c r="D127" s="288" t="str">
        <f>+'COMPARABILITY FY13 '!D128</f>
        <v>School W/O Walls SHS</v>
      </c>
      <c r="E127" s="263">
        <f>SUMIFS('Peoplesoft-FY13'!L:L,'Peoplesoft-FY13'!S:S,C127,'Peoplesoft-FY13'!Q:Q,$E$3)-P127</f>
        <v>4181224</v>
      </c>
      <c r="F127" s="263">
        <f>SUMIFS('Peoplesoft-FY13'!$L:$L,'Peoplesoft-FY13'!$S:$S,$C127,'Peoplesoft-FY13'!$Q:$Q,F$3)</f>
        <v>0</v>
      </c>
      <c r="G127" s="263">
        <f>SUMIFS('Peoplesoft-FY13'!$L:$L,'Peoplesoft-FY13'!$S:$S,$C127,'Peoplesoft-FY13'!$Q:$Q,G$3)</f>
        <v>0</v>
      </c>
      <c r="H127" s="263">
        <v>0</v>
      </c>
      <c r="I127" s="263">
        <v>0</v>
      </c>
      <c r="J127" s="263">
        <f>VLOOKUP(C127,'735 - Title II'!A:C,3,FALSE)</f>
        <v>13200</v>
      </c>
      <c r="K127" s="263">
        <f>SUMIFS('Peoplesoft-FY13'!$L:$L,'Peoplesoft-FY13'!$S:$S,$C127,'Peoplesoft-FY13'!$Q:$Q,K$3)</f>
        <v>0</v>
      </c>
      <c r="L127" s="263">
        <f>SUMIFS('Peoplesoft-FY13'!$L:$L,'Peoplesoft-FY13'!$S:$S,$C127,'Peoplesoft-FY13'!$Q:$Q,L$3)</f>
        <v>0</v>
      </c>
      <c r="M127" s="263">
        <f>SUMIFS('Peoplesoft-FY13'!$L:$L,'Peoplesoft-FY13'!$S:$S,$C127,'Peoplesoft-FY13'!$Q:$Q,M$3)</f>
        <v>0</v>
      </c>
      <c r="N127" s="263">
        <v>0</v>
      </c>
      <c r="O127" s="263">
        <v>0</v>
      </c>
      <c r="P127" s="123">
        <f t="shared" si="20"/>
        <v>13200</v>
      </c>
      <c r="Q127" s="124">
        <f t="shared" si="21"/>
        <v>4194424</v>
      </c>
      <c r="R127" s="125">
        <f t="shared" si="8"/>
        <v>3.1470352067411401E-3</v>
      </c>
      <c r="S127" s="126">
        <f t="shared" si="22"/>
        <v>0.99685296479325891</v>
      </c>
      <c r="T127" s="99">
        <f t="shared" si="23"/>
        <v>1</v>
      </c>
    </row>
    <row r="128" spans="1:20" ht="13.2" x14ac:dyDescent="0.3">
      <c r="A128" s="90"/>
      <c r="C128" s="90"/>
      <c r="D128" s="136"/>
      <c r="P128" s="127"/>
      <c r="Q128" s="128"/>
      <c r="R128" s="129"/>
      <c r="S128" s="99"/>
    </row>
    <row r="129" spans="1:20" ht="13.2" x14ac:dyDescent="0.3">
      <c r="A129" s="90"/>
      <c r="C129" s="90"/>
      <c r="D129" s="91" t="s">
        <v>158</v>
      </c>
      <c r="E129" s="92">
        <f>SUM(E4:E122)</f>
        <v>335556158.06999999</v>
      </c>
      <c r="F129" s="92">
        <f t="shared" ref="F129:N129" si="24">SUM(F4:F122)</f>
        <v>741869.46</v>
      </c>
      <c r="G129" s="92">
        <f t="shared" si="24"/>
        <v>0</v>
      </c>
      <c r="H129" s="92">
        <f t="shared" si="24"/>
        <v>0</v>
      </c>
      <c r="I129" s="92">
        <f>SUM(I4:I127)</f>
        <v>15304164.080000004</v>
      </c>
      <c r="J129" s="92">
        <f>SUM(J4:J127)</f>
        <v>1099402.02</v>
      </c>
      <c r="K129" s="92">
        <f t="shared" si="24"/>
        <v>0</v>
      </c>
      <c r="L129" s="92">
        <f t="shared" si="24"/>
        <v>0</v>
      </c>
      <c r="M129" s="92">
        <f t="shared" si="24"/>
        <v>0</v>
      </c>
      <c r="N129" s="92">
        <f t="shared" si="24"/>
        <v>0</v>
      </c>
      <c r="O129" s="131">
        <f>SUM(O4:O127)</f>
        <v>20000000</v>
      </c>
      <c r="P129" s="249">
        <f>SUM(I129:O129)</f>
        <v>36403566.100000001</v>
      </c>
      <c r="Q129" s="250">
        <f>SUM(E129:O129)</f>
        <v>372701593.62999994</v>
      </c>
      <c r="R129" s="251">
        <f t="shared" si="8"/>
        <v>9.7674833491964347E-2</v>
      </c>
      <c r="S129" s="252">
        <f>E129/Q129</f>
        <v>0.90033464789293027</v>
      </c>
      <c r="T129" s="91"/>
    </row>
  </sheetData>
  <autoFilter ref="B2:GS70"/>
  <printOptions horizontalCentered="1" gridLines="1"/>
  <pageMargins left="0" right="0" top="1.17" bottom="0.75" header="0" footer="0"/>
  <pageSetup scale="65" fitToWidth="0" fitToHeight="0" orientation="landscape" r:id="rId1"/>
  <headerFooter alignWithMargins="0">
    <oddHeader>&amp;C&amp;"Arial,Bold"&amp;14DC Public Schools
Schoolwide Model
Proportionality
Local Vs. Federal
FY 2011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152"/>
  <sheetViews>
    <sheetView workbookViewId="0">
      <selection activeCell="C12" sqref="C12"/>
    </sheetView>
  </sheetViews>
  <sheetFormatPr defaultRowHeight="14.4" x14ac:dyDescent="0.3"/>
  <cols>
    <col min="3" max="3" width="35.44140625" bestFit="1" customWidth="1"/>
    <col min="4" max="4" width="6.6640625" customWidth="1"/>
    <col min="7" max="7" width="10.44140625" customWidth="1"/>
    <col min="20" max="20" width="13" customWidth="1"/>
    <col min="21" max="21" width="28" bestFit="1" customWidth="1"/>
  </cols>
  <sheetData>
    <row r="1" spans="1:21" x14ac:dyDescent="0.3">
      <c r="B1" t="s">
        <v>161</v>
      </c>
    </row>
    <row r="2" spans="1:21" x14ac:dyDescent="0.3">
      <c r="B2" t="s">
        <v>162</v>
      </c>
    </row>
    <row r="3" spans="1:21" x14ac:dyDescent="0.3">
      <c r="B3" t="s">
        <v>163</v>
      </c>
    </row>
    <row r="4" spans="1:21" x14ac:dyDescent="0.3">
      <c r="A4" s="244"/>
      <c r="B4" t="s">
        <v>164</v>
      </c>
    </row>
    <row r="5" spans="1:21" x14ac:dyDescent="0.3">
      <c r="B5" t="s">
        <v>165</v>
      </c>
    </row>
    <row r="6" spans="1:21" x14ac:dyDescent="0.3">
      <c r="A6" t="s">
        <v>3130</v>
      </c>
      <c r="B6" t="s">
        <v>166</v>
      </c>
      <c r="E6" t="s">
        <v>167</v>
      </c>
      <c r="F6" t="s">
        <v>168</v>
      </c>
      <c r="G6" t="s">
        <v>169</v>
      </c>
      <c r="H6" t="s">
        <v>3131</v>
      </c>
      <c r="I6" t="s">
        <v>3132</v>
      </c>
      <c r="J6" t="s">
        <v>171</v>
      </c>
      <c r="K6" t="s">
        <v>3133</v>
      </c>
      <c r="L6" t="s">
        <v>172</v>
      </c>
      <c r="M6" t="s">
        <v>3134</v>
      </c>
      <c r="N6" t="s">
        <v>3135</v>
      </c>
      <c r="O6" t="s">
        <v>174</v>
      </c>
      <c r="P6" t="s">
        <v>175</v>
      </c>
      <c r="Q6" t="s">
        <v>3136</v>
      </c>
      <c r="R6" t="s">
        <v>3137</v>
      </c>
      <c r="S6" t="s">
        <v>176</v>
      </c>
      <c r="T6" t="s">
        <v>177</v>
      </c>
      <c r="U6" t="s">
        <v>178</v>
      </c>
    </row>
    <row r="7" spans="1:21" ht="15" customHeight="1" x14ac:dyDescent="0.3">
      <c r="A7" t="s">
        <v>179</v>
      </c>
      <c r="B7" t="str">
        <f>"00051851"</f>
        <v>00051851</v>
      </c>
      <c r="C7" t="s">
        <v>4272</v>
      </c>
      <c r="D7" t="s">
        <v>4273</v>
      </c>
      <c r="E7" t="str">
        <f>"00069744"</f>
        <v>00069744</v>
      </c>
      <c r="F7">
        <v>0</v>
      </c>
      <c r="G7" s="243">
        <v>41133</v>
      </c>
      <c r="H7" t="s">
        <v>182</v>
      </c>
      <c r="I7">
        <v>15</v>
      </c>
      <c r="J7">
        <v>1</v>
      </c>
      <c r="K7">
        <v>1</v>
      </c>
      <c r="L7">
        <v>51539</v>
      </c>
      <c r="M7" t="str">
        <f t="shared" ref="M7:M63" si="0">"13"</f>
        <v>13</v>
      </c>
      <c r="N7" t="s">
        <v>3370</v>
      </c>
      <c r="O7" t="str">
        <f t="shared" ref="O7:O37" si="1">"51211"</f>
        <v>51211</v>
      </c>
      <c r="P7" t="str">
        <f>"2100L"</f>
        <v>2100L</v>
      </c>
      <c r="Q7" t="str">
        <f t="shared" ref="Q7:Q63" si="2">"0101"</f>
        <v>0101</v>
      </c>
      <c r="R7">
        <v>2100</v>
      </c>
      <c r="S7" t="str">
        <f t="shared" ref="S7:S37" si="3">"5120"</f>
        <v>5120</v>
      </c>
      <c r="T7" t="s">
        <v>3324</v>
      </c>
      <c r="U7" t="s">
        <v>14</v>
      </c>
    </row>
    <row r="8" spans="1:21" ht="15" customHeight="1" x14ac:dyDescent="0.3">
      <c r="A8" t="s">
        <v>179</v>
      </c>
      <c r="B8" t="str">
        <f>"00052164"</f>
        <v>00052164</v>
      </c>
      <c r="C8" t="s">
        <v>4274</v>
      </c>
      <c r="D8" t="s">
        <v>4275</v>
      </c>
      <c r="E8" t="str">
        <f>"00047484"</f>
        <v>00047484</v>
      </c>
      <c r="F8">
        <v>0</v>
      </c>
      <c r="G8" s="243">
        <v>33644</v>
      </c>
      <c r="H8" t="s">
        <v>182</v>
      </c>
      <c r="I8">
        <v>4</v>
      </c>
      <c r="J8">
        <v>10</v>
      </c>
      <c r="K8">
        <v>0.875</v>
      </c>
      <c r="L8">
        <v>28721</v>
      </c>
      <c r="M8" t="str">
        <f t="shared" si="0"/>
        <v>13</v>
      </c>
      <c r="N8" t="s">
        <v>3323</v>
      </c>
      <c r="O8" t="str">
        <f t="shared" si="1"/>
        <v>51211</v>
      </c>
      <c r="P8" t="str">
        <f>"2200L"</f>
        <v>2200L</v>
      </c>
      <c r="Q8" t="str">
        <f t="shared" si="2"/>
        <v>0101</v>
      </c>
      <c r="R8">
        <v>2200</v>
      </c>
      <c r="S8" t="str">
        <f t="shared" si="3"/>
        <v>5120</v>
      </c>
      <c r="T8" t="s">
        <v>3324</v>
      </c>
      <c r="U8" t="s">
        <v>14</v>
      </c>
    </row>
    <row r="9" spans="1:21" ht="15" customHeight="1" x14ac:dyDescent="0.3">
      <c r="A9" t="s">
        <v>179</v>
      </c>
      <c r="B9" t="str">
        <f>"00052394"</f>
        <v>00052394</v>
      </c>
      <c r="C9" t="s">
        <v>4262</v>
      </c>
      <c r="D9" t="s">
        <v>4276</v>
      </c>
      <c r="E9" t="str">
        <f>"00069708"</f>
        <v>00069708</v>
      </c>
      <c r="F9">
        <v>0</v>
      </c>
      <c r="G9" s="243">
        <v>41133</v>
      </c>
      <c r="H9" t="s">
        <v>182</v>
      </c>
      <c r="I9">
        <v>15</v>
      </c>
      <c r="J9">
        <v>1</v>
      </c>
      <c r="K9">
        <v>1</v>
      </c>
      <c r="L9">
        <v>54975</v>
      </c>
      <c r="M9" t="str">
        <f t="shared" si="0"/>
        <v>13</v>
      </c>
      <c r="N9" t="s">
        <v>3370</v>
      </c>
      <c r="O9" t="str">
        <f t="shared" si="1"/>
        <v>51211</v>
      </c>
      <c r="P9" t="str">
        <f>"2100L"</f>
        <v>2100L</v>
      </c>
      <c r="Q9" t="str">
        <f t="shared" si="2"/>
        <v>0101</v>
      </c>
      <c r="R9">
        <v>2100</v>
      </c>
      <c r="S9" t="str">
        <f t="shared" si="3"/>
        <v>5120</v>
      </c>
      <c r="T9" t="s">
        <v>3324</v>
      </c>
      <c r="U9" t="s">
        <v>14</v>
      </c>
    </row>
    <row r="10" spans="1:21" ht="15" customHeight="1" x14ac:dyDescent="0.3">
      <c r="A10" t="s">
        <v>179</v>
      </c>
      <c r="B10" t="str">
        <f>"00053304"</f>
        <v>00053304</v>
      </c>
      <c r="C10" t="s">
        <v>4272</v>
      </c>
      <c r="D10" t="s">
        <v>4277</v>
      </c>
      <c r="E10" t="str">
        <f>"00062868"</f>
        <v>00062868</v>
      </c>
      <c r="F10">
        <v>0</v>
      </c>
      <c r="G10" s="243">
        <v>41133</v>
      </c>
      <c r="H10" t="s">
        <v>182</v>
      </c>
      <c r="I10">
        <v>15</v>
      </c>
      <c r="J10">
        <v>1</v>
      </c>
      <c r="K10">
        <v>1</v>
      </c>
      <c r="L10">
        <v>54975</v>
      </c>
      <c r="M10" t="str">
        <f t="shared" si="0"/>
        <v>13</v>
      </c>
      <c r="N10" t="s">
        <v>3370</v>
      </c>
      <c r="O10" t="str">
        <f t="shared" si="1"/>
        <v>51211</v>
      </c>
      <c r="P10" t="str">
        <f>"2200L"</f>
        <v>2200L</v>
      </c>
      <c r="Q10" t="str">
        <f t="shared" si="2"/>
        <v>0101</v>
      </c>
      <c r="R10">
        <v>2200</v>
      </c>
      <c r="S10" t="str">
        <f t="shared" si="3"/>
        <v>5120</v>
      </c>
      <c r="T10" t="s">
        <v>3324</v>
      </c>
      <c r="U10" t="s">
        <v>14</v>
      </c>
    </row>
    <row r="11" spans="1:21" ht="15" customHeight="1" x14ac:dyDescent="0.3">
      <c r="A11" t="s">
        <v>179</v>
      </c>
      <c r="B11" t="str">
        <f>"00053379"</f>
        <v>00053379</v>
      </c>
      <c r="C11" t="s">
        <v>4262</v>
      </c>
      <c r="D11" t="s">
        <v>186</v>
      </c>
      <c r="E11" t="str">
        <f>"00051392"</f>
        <v>00051392</v>
      </c>
      <c r="F11">
        <v>0</v>
      </c>
      <c r="G11" s="243">
        <v>31320</v>
      </c>
      <c r="H11" t="s">
        <v>182</v>
      </c>
      <c r="I11">
        <v>15</v>
      </c>
      <c r="J11">
        <v>16</v>
      </c>
      <c r="K11">
        <v>1</v>
      </c>
      <c r="L11">
        <v>100839</v>
      </c>
      <c r="M11" t="str">
        <f t="shared" si="0"/>
        <v>13</v>
      </c>
      <c r="N11" t="s">
        <v>3323</v>
      </c>
      <c r="O11" t="str">
        <f t="shared" si="1"/>
        <v>51211</v>
      </c>
      <c r="P11" t="str">
        <f>"2100L"</f>
        <v>2100L</v>
      </c>
      <c r="Q11" t="str">
        <f t="shared" si="2"/>
        <v>0101</v>
      </c>
      <c r="R11">
        <v>2100</v>
      </c>
      <c r="S11" t="str">
        <f t="shared" si="3"/>
        <v>5120</v>
      </c>
      <c r="T11" t="s">
        <v>3324</v>
      </c>
      <c r="U11" t="s">
        <v>14</v>
      </c>
    </row>
    <row r="12" spans="1:21" ht="15" customHeight="1" x14ac:dyDescent="0.3">
      <c r="A12" t="s">
        <v>179</v>
      </c>
      <c r="B12" t="str">
        <f>"00053423"</f>
        <v>00053423</v>
      </c>
      <c r="C12" t="s">
        <v>4274</v>
      </c>
      <c r="D12" t="s">
        <v>4278</v>
      </c>
      <c r="E12" t="str">
        <f>"00051457"</f>
        <v>00051457</v>
      </c>
      <c r="F12">
        <v>0</v>
      </c>
      <c r="G12" s="243">
        <v>33946</v>
      </c>
      <c r="H12" t="s">
        <v>182</v>
      </c>
      <c r="I12">
        <v>4</v>
      </c>
      <c r="J12">
        <v>10</v>
      </c>
      <c r="K12">
        <v>0.875</v>
      </c>
      <c r="L12">
        <v>28721</v>
      </c>
      <c r="M12" t="str">
        <f t="shared" si="0"/>
        <v>13</v>
      </c>
      <c r="N12" t="s">
        <v>3323</v>
      </c>
      <c r="O12" t="str">
        <f t="shared" si="1"/>
        <v>51211</v>
      </c>
      <c r="P12" t="str">
        <f>"2200L"</f>
        <v>2200L</v>
      </c>
      <c r="Q12" t="str">
        <f t="shared" si="2"/>
        <v>0101</v>
      </c>
      <c r="R12">
        <v>2200</v>
      </c>
      <c r="S12" t="str">
        <f t="shared" si="3"/>
        <v>5120</v>
      </c>
      <c r="T12" t="s">
        <v>3324</v>
      </c>
      <c r="U12" t="s">
        <v>14</v>
      </c>
    </row>
    <row r="13" spans="1:21" ht="15" customHeight="1" x14ac:dyDescent="0.3">
      <c r="A13" t="s">
        <v>179</v>
      </c>
      <c r="B13" t="str">
        <f>"00053527"</f>
        <v>00053527</v>
      </c>
      <c r="C13" t="s">
        <v>4272</v>
      </c>
      <c r="D13" t="s">
        <v>188</v>
      </c>
      <c r="E13" t="str">
        <f>"00051664"</f>
        <v>00051664</v>
      </c>
      <c r="F13">
        <v>0</v>
      </c>
      <c r="G13" s="243">
        <v>31299</v>
      </c>
      <c r="H13" t="s">
        <v>182</v>
      </c>
      <c r="I13">
        <v>15</v>
      </c>
      <c r="J13">
        <v>16</v>
      </c>
      <c r="K13">
        <v>1</v>
      </c>
      <c r="L13">
        <v>103347</v>
      </c>
      <c r="M13" t="str">
        <f t="shared" si="0"/>
        <v>13</v>
      </c>
      <c r="N13" t="s">
        <v>3323</v>
      </c>
      <c r="O13" t="str">
        <f t="shared" si="1"/>
        <v>51211</v>
      </c>
      <c r="P13" t="str">
        <f>"2200L"</f>
        <v>2200L</v>
      </c>
      <c r="Q13" t="str">
        <f t="shared" si="2"/>
        <v>0101</v>
      </c>
      <c r="R13">
        <v>2200</v>
      </c>
      <c r="S13" t="str">
        <f t="shared" si="3"/>
        <v>5120</v>
      </c>
      <c r="T13" t="s">
        <v>3324</v>
      </c>
      <c r="U13" t="s">
        <v>14</v>
      </c>
    </row>
    <row r="14" spans="1:21" ht="15" customHeight="1" x14ac:dyDescent="0.3">
      <c r="A14" t="s">
        <v>179</v>
      </c>
      <c r="B14" t="str">
        <f>"00054152"</f>
        <v>00054152</v>
      </c>
      <c r="C14" t="s">
        <v>4262</v>
      </c>
      <c r="D14" t="s">
        <v>4279</v>
      </c>
      <c r="E14" t="str">
        <f>"00069897"</f>
        <v>00069897</v>
      </c>
      <c r="F14">
        <v>0</v>
      </c>
      <c r="G14" s="243">
        <v>41133</v>
      </c>
      <c r="H14" t="s">
        <v>182</v>
      </c>
      <c r="I14">
        <v>15</v>
      </c>
      <c r="J14">
        <v>1</v>
      </c>
      <c r="K14">
        <v>1</v>
      </c>
      <c r="L14">
        <v>51539</v>
      </c>
      <c r="M14" t="str">
        <f t="shared" si="0"/>
        <v>13</v>
      </c>
      <c r="N14" t="s">
        <v>3370</v>
      </c>
      <c r="O14" t="str">
        <f t="shared" si="1"/>
        <v>51211</v>
      </c>
      <c r="P14" t="str">
        <f>"2100L"</f>
        <v>2100L</v>
      </c>
      <c r="Q14" t="str">
        <f t="shared" si="2"/>
        <v>0101</v>
      </c>
      <c r="R14">
        <v>2100</v>
      </c>
      <c r="S14" t="str">
        <f t="shared" si="3"/>
        <v>5120</v>
      </c>
      <c r="T14" t="s">
        <v>3324</v>
      </c>
      <c r="U14" t="s">
        <v>14</v>
      </c>
    </row>
    <row r="15" spans="1:21" ht="15" customHeight="1" x14ac:dyDescent="0.3">
      <c r="A15" t="s">
        <v>179</v>
      </c>
      <c r="B15" t="str">
        <f>"00054308"</f>
        <v>00054308</v>
      </c>
      <c r="C15" t="s">
        <v>4262</v>
      </c>
      <c r="D15" t="s">
        <v>4280</v>
      </c>
      <c r="E15" t="str">
        <f>"00069664"</f>
        <v>00069664</v>
      </c>
      <c r="F15">
        <v>0</v>
      </c>
      <c r="G15" s="243">
        <v>41133</v>
      </c>
      <c r="H15" t="s">
        <v>182</v>
      </c>
      <c r="I15">
        <v>15</v>
      </c>
      <c r="J15">
        <v>7</v>
      </c>
      <c r="K15">
        <v>1</v>
      </c>
      <c r="L15">
        <v>69132</v>
      </c>
      <c r="M15" t="str">
        <f t="shared" si="0"/>
        <v>13</v>
      </c>
      <c r="N15" t="s">
        <v>3370</v>
      </c>
      <c r="O15" t="str">
        <f t="shared" si="1"/>
        <v>51211</v>
      </c>
      <c r="P15" t="str">
        <f>"2100L"</f>
        <v>2100L</v>
      </c>
      <c r="Q15" t="str">
        <f t="shared" si="2"/>
        <v>0101</v>
      </c>
      <c r="R15">
        <v>2100</v>
      </c>
      <c r="S15" t="str">
        <f t="shared" si="3"/>
        <v>5120</v>
      </c>
      <c r="T15" t="s">
        <v>3324</v>
      </c>
      <c r="U15" t="s">
        <v>14</v>
      </c>
    </row>
    <row r="16" spans="1:21" ht="15" customHeight="1" x14ac:dyDescent="0.3">
      <c r="A16" t="s">
        <v>179</v>
      </c>
      <c r="B16" t="str">
        <f>"00054341"</f>
        <v>00054341</v>
      </c>
      <c r="C16" t="s">
        <v>4262</v>
      </c>
      <c r="H16" t="s">
        <v>170</v>
      </c>
      <c r="I16">
        <v>15</v>
      </c>
      <c r="J16">
        <v>1</v>
      </c>
      <c r="K16">
        <v>1</v>
      </c>
      <c r="L16">
        <v>51539</v>
      </c>
      <c r="M16" t="str">
        <f t="shared" si="0"/>
        <v>13</v>
      </c>
      <c r="N16" t="s">
        <v>3323</v>
      </c>
      <c r="O16" t="str">
        <f t="shared" si="1"/>
        <v>51211</v>
      </c>
      <c r="P16" t="str">
        <f>"2100L"</f>
        <v>2100L</v>
      </c>
      <c r="Q16" t="str">
        <f t="shared" si="2"/>
        <v>0101</v>
      </c>
      <c r="R16">
        <v>2100</v>
      </c>
      <c r="S16" t="str">
        <f t="shared" si="3"/>
        <v>5120</v>
      </c>
      <c r="T16" t="s">
        <v>3324</v>
      </c>
      <c r="U16" t="s">
        <v>14</v>
      </c>
    </row>
    <row r="17" spans="1:21" ht="15" customHeight="1" x14ac:dyDescent="0.3">
      <c r="A17" t="s">
        <v>179</v>
      </c>
      <c r="B17" t="str">
        <f>"00054393"</f>
        <v>00054393</v>
      </c>
      <c r="C17" t="s">
        <v>3798</v>
      </c>
      <c r="D17" t="s">
        <v>4281</v>
      </c>
      <c r="E17" t="str">
        <f>"00069321"</f>
        <v>00069321</v>
      </c>
      <c r="F17">
        <v>0</v>
      </c>
      <c r="G17" s="243">
        <v>41106</v>
      </c>
      <c r="H17" t="s">
        <v>182</v>
      </c>
      <c r="I17">
        <v>61</v>
      </c>
      <c r="J17">
        <v>8</v>
      </c>
      <c r="K17">
        <v>1</v>
      </c>
      <c r="L17">
        <v>131000</v>
      </c>
      <c r="M17" t="str">
        <f t="shared" si="0"/>
        <v>13</v>
      </c>
      <c r="N17" t="s">
        <v>3323</v>
      </c>
      <c r="O17" t="str">
        <f t="shared" si="1"/>
        <v>51211</v>
      </c>
      <c r="P17" t="str">
        <f>"1501L"</f>
        <v>1501L</v>
      </c>
      <c r="Q17" t="str">
        <f t="shared" si="2"/>
        <v>0101</v>
      </c>
      <c r="R17">
        <v>1501</v>
      </c>
      <c r="S17" t="str">
        <f t="shared" si="3"/>
        <v>5120</v>
      </c>
      <c r="T17" t="s">
        <v>3324</v>
      </c>
      <c r="U17" t="s">
        <v>14</v>
      </c>
    </row>
    <row r="18" spans="1:21" ht="15" customHeight="1" x14ac:dyDescent="0.3">
      <c r="A18" t="s">
        <v>179</v>
      </c>
      <c r="B18" t="str">
        <f>"00056923"</f>
        <v>00056923</v>
      </c>
      <c r="C18" t="s">
        <v>4272</v>
      </c>
      <c r="D18" t="s">
        <v>195</v>
      </c>
      <c r="E18" t="str">
        <f>"00044714"</f>
        <v>00044714</v>
      </c>
      <c r="F18">
        <v>0</v>
      </c>
      <c r="G18" s="243">
        <v>34604</v>
      </c>
      <c r="H18" t="s">
        <v>182</v>
      </c>
      <c r="I18">
        <v>15</v>
      </c>
      <c r="J18">
        <v>14</v>
      </c>
      <c r="K18">
        <v>1</v>
      </c>
      <c r="L18">
        <v>96460</v>
      </c>
      <c r="M18" t="str">
        <f t="shared" si="0"/>
        <v>13</v>
      </c>
      <c r="N18" t="s">
        <v>3323</v>
      </c>
      <c r="O18" t="str">
        <f t="shared" si="1"/>
        <v>51211</v>
      </c>
      <c r="P18" t="str">
        <f>"2200L"</f>
        <v>2200L</v>
      </c>
      <c r="Q18" t="str">
        <f t="shared" si="2"/>
        <v>0101</v>
      </c>
      <c r="R18">
        <v>2200</v>
      </c>
      <c r="S18" t="str">
        <f t="shared" si="3"/>
        <v>5120</v>
      </c>
      <c r="T18" t="s">
        <v>3324</v>
      </c>
      <c r="U18" t="s">
        <v>14</v>
      </c>
    </row>
    <row r="19" spans="1:21" ht="15" customHeight="1" x14ac:dyDescent="0.3">
      <c r="A19" t="s">
        <v>179</v>
      </c>
      <c r="B19" t="str">
        <f>"00056925"</f>
        <v>00056925</v>
      </c>
      <c r="C19" t="s">
        <v>4262</v>
      </c>
      <c r="D19" t="s">
        <v>4282</v>
      </c>
      <c r="E19" t="str">
        <f>"00069815"</f>
        <v>00069815</v>
      </c>
      <c r="F19">
        <v>0</v>
      </c>
      <c r="G19" s="243">
        <v>41133</v>
      </c>
      <c r="H19" t="s">
        <v>182</v>
      </c>
      <c r="I19">
        <v>15</v>
      </c>
      <c r="J19">
        <v>3</v>
      </c>
      <c r="K19">
        <v>1</v>
      </c>
      <c r="L19">
        <v>58699</v>
      </c>
      <c r="M19" t="str">
        <f t="shared" si="0"/>
        <v>13</v>
      </c>
      <c r="N19" t="s">
        <v>3370</v>
      </c>
      <c r="O19" t="str">
        <f t="shared" si="1"/>
        <v>51211</v>
      </c>
      <c r="P19" t="str">
        <f>"2200L"</f>
        <v>2200L</v>
      </c>
      <c r="Q19" t="str">
        <f t="shared" si="2"/>
        <v>0101</v>
      </c>
      <c r="R19">
        <v>2200</v>
      </c>
      <c r="S19" t="str">
        <f t="shared" si="3"/>
        <v>5120</v>
      </c>
      <c r="T19" t="s">
        <v>3324</v>
      </c>
      <c r="U19" t="s">
        <v>14</v>
      </c>
    </row>
    <row r="20" spans="1:21" ht="15" customHeight="1" x14ac:dyDescent="0.3">
      <c r="A20" t="s">
        <v>179</v>
      </c>
      <c r="B20" t="str">
        <f>"00057369"</f>
        <v>00057369</v>
      </c>
      <c r="C20" t="s">
        <v>4274</v>
      </c>
      <c r="D20" t="s">
        <v>4283</v>
      </c>
      <c r="E20" t="str">
        <f>"00054300"</f>
        <v>00054300</v>
      </c>
      <c r="F20">
        <v>0</v>
      </c>
      <c r="G20" s="243">
        <v>36583</v>
      </c>
      <c r="H20" t="s">
        <v>182</v>
      </c>
      <c r="I20">
        <v>4</v>
      </c>
      <c r="J20">
        <v>10</v>
      </c>
      <c r="K20">
        <v>0.875</v>
      </c>
      <c r="L20">
        <v>28721</v>
      </c>
      <c r="M20" t="str">
        <f t="shared" si="0"/>
        <v>13</v>
      </c>
      <c r="N20" t="s">
        <v>3370</v>
      </c>
      <c r="O20" t="str">
        <f t="shared" si="1"/>
        <v>51211</v>
      </c>
      <c r="P20" t="str">
        <f>"2200L"</f>
        <v>2200L</v>
      </c>
      <c r="Q20" t="str">
        <f t="shared" si="2"/>
        <v>0101</v>
      </c>
      <c r="R20">
        <v>2200</v>
      </c>
      <c r="S20" t="str">
        <f t="shared" si="3"/>
        <v>5120</v>
      </c>
      <c r="T20" t="s">
        <v>3324</v>
      </c>
      <c r="U20" t="s">
        <v>14</v>
      </c>
    </row>
    <row r="21" spans="1:21" ht="15" customHeight="1" x14ac:dyDescent="0.3">
      <c r="A21" t="s">
        <v>179</v>
      </c>
      <c r="B21" t="str">
        <f>"00058162"</f>
        <v>00058162</v>
      </c>
      <c r="C21" t="s">
        <v>4272</v>
      </c>
      <c r="D21" t="s">
        <v>197</v>
      </c>
      <c r="E21" t="str">
        <f>"00054857"</f>
        <v>00054857</v>
      </c>
      <c r="F21">
        <v>0</v>
      </c>
      <c r="G21" s="243">
        <v>37124</v>
      </c>
      <c r="H21" t="s">
        <v>182</v>
      </c>
      <c r="I21">
        <v>15</v>
      </c>
      <c r="J21">
        <v>12</v>
      </c>
      <c r="K21">
        <v>1</v>
      </c>
      <c r="L21">
        <v>75816</v>
      </c>
      <c r="M21" t="str">
        <f t="shared" si="0"/>
        <v>13</v>
      </c>
      <c r="N21" t="s">
        <v>3323</v>
      </c>
      <c r="O21" t="str">
        <f t="shared" si="1"/>
        <v>51211</v>
      </c>
      <c r="P21" t="str">
        <f>"2200L"</f>
        <v>2200L</v>
      </c>
      <c r="Q21" t="str">
        <f t="shared" si="2"/>
        <v>0101</v>
      </c>
      <c r="R21">
        <v>2200</v>
      </c>
      <c r="S21" t="str">
        <f t="shared" si="3"/>
        <v>5120</v>
      </c>
      <c r="T21" t="s">
        <v>3324</v>
      </c>
      <c r="U21" t="s">
        <v>14</v>
      </c>
    </row>
    <row r="22" spans="1:21" ht="15" customHeight="1" x14ac:dyDescent="0.3">
      <c r="A22" t="s">
        <v>179</v>
      </c>
      <c r="B22" t="str">
        <f>"00058723"</f>
        <v>00058723</v>
      </c>
      <c r="C22" t="s">
        <v>4274</v>
      </c>
      <c r="D22" t="s">
        <v>4284</v>
      </c>
      <c r="E22" t="str">
        <f>"00069940"</f>
        <v>00069940</v>
      </c>
      <c r="F22">
        <v>0</v>
      </c>
      <c r="G22" s="243">
        <v>41133</v>
      </c>
      <c r="H22" t="s">
        <v>182</v>
      </c>
      <c r="I22">
        <v>4</v>
      </c>
      <c r="J22">
        <v>5</v>
      </c>
      <c r="K22">
        <v>0.875</v>
      </c>
      <c r="L22">
        <v>25239.37</v>
      </c>
      <c r="M22" t="str">
        <f t="shared" si="0"/>
        <v>13</v>
      </c>
      <c r="N22" t="s">
        <v>3323</v>
      </c>
      <c r="O22" t="str">
        <f t="shared" si="1"/>
        <v>51211</v>
      </c>
      <c r="P22" t="str">
        <f>"2200L"</f>
        <v>2200L</v>
      </c>
      <c r="Q22" t="str">
        <f t="shared" si="2"/>
        <v>0101</v>
      </c>
      <c r="R22">
        <v>2200</v>
      </c>
      <c r="S22" t="str">
        <f t="shared" si="3"/>
        <v>5120</v>
      </c>
      <c r="T22" t="s">
        <v>3324</v>
      </c>
      <c r="U22" t="s">
        <v>14</v>
      </c>
    </row>
    <row r="23" spans="1:21" ht="15" customHeight="1" x14ac:dyDescent="0.3">
      <c r="A23" t="s">
        <v>179</v>
      </c>
      <c r="B23" t="str">
        <f>"00059797"</f>
        <v>00059797</v>
      </c>
      <c r="C23" t="s">
        <v>4262</v>
      </c>
      <c r="D23" t="s">
        <v>4285</v>
      </c>
      <c r="E23" t="str">
        <f>"00069947"</f>
        <v>00069947</v>
      </c>
      <c r="F23">
        <v>0</v>
      </c>
      <c r="G23" s="243">
        <v>41133</v>
      </c>
      <c r="H23" t="s">
        <v>182</v>
      </c>
      <c r="I23">
        <v>15</v>
      </c>
      <c r="J23">
        <v>1</v>
      </c>
      <c r="K23">
        <v>1</v>
      </c>
      <c r="L23">
        <v>51539</v>
      </c>
      <c r="M23" t="str">
        <f t="shared" si="0"/>
        <v>13</v>
      </c>
      <c r="N23" t="s">
        <v>3370</v>
      </c>
      <c r="O23" t="str">
        <f t="shared" si="1"/>
        <v>51211</v>
      </c>
      <c r="P23" t="str">
        <f>"2100L"</f>
        <v>2100L</v>
      </c>
      <c r="Q23" t="str">
        <f t="shared" si="2"/>
        <v>0101</v>
      </c>
      <c r="R23">
        <v>2100</v>
      </c>
      <c r="S23" t="str">
        <f t="shared" si="3"/>
        <v>5120</v>
      </c>
      <c r="T23" t="s">
        <v>3324</v>
      </c>
      <c r="U23" t="s">
        <v>14</v>
      </c>
    </row>
    <row r="24" spans="1:21" ht="15" customHeight="1" x14ac:dyDescent="0.3">
      <c r="A24" t="s">
        <v>179</v>
      </c>
      <c r="B24" t="str">
        <f>"00061052"</f>
        <v>00061052</v>
      </c>
      <c r="C24" t="s">
        <v>4260</v>
      </c>
      <c r="D24" t="s">
        <v>2037</v>
      </c>
      <c r="E24" t="str">
        <f>"00049008"</f>
        <v>00049008</v>
      </c>
      <c r="F24">
        <v>0</v>
      </c>
      <c r="G24" s="243">
        <v>37861</v>
      </c>
      <c r="H24" t="s">
        <v>182</v>
      </c>
      <c r="I24">
        <v>15</v>
      </c>
      <c r="J24">
        <v>14</v>
      </c>
      <c r="K24">
        <v>1</v>
      </c>
      <c r="L24">
        <v>98967</v>
      </c>
      <c r="M24" t="str">
        <f t="shared" si="0"/>
        <v>13</v>
      </c>
      <c r="N24" t="s">
        <v>3370</v>
      </c>
      <c r="O24" t="str">
        <f t="shared" si="1"/>
        <v>51211</v>
      </c>
      <c r="P24" t="str">
        <f>"3030L"</f>
        <v>3030L</v>
      </c>
      <c r="Q24" t="str">
        <f t="shared" si="2"/>
        <v>0101</v>
      </c>
      <c r="R24">
        <v>3030</v>
      </c>
      <c r="S24" t="str">
        <f t="shared" si="3"/>
        <v>5120</v>
      </c>
      <c r="T24" t="s">
        <v>3324</v>
      </c>
      <c r="U24" t="s">
        <v>14</v>
      </c>
    </row>
    <row r="25" spans="1:21" ht="15" customHeight="1" x14ac:dyDescent="0.3">
      <c r="A25" t="s">
        <v>179</v>
      </c>
      <c r="B25" t="str">
        <f>"00062543"</f>
        <v>00062543</v>
      </c>
      <c r="C25" t="s">
        <v>4252</v>
      </c>
      <c r="D25" t="s">
        <v>201</v>
      </c>
      <c r="E25" t="str">
        <f>"00048739"</f>
        <v>00048739</v>
      </c>
      <c r="F25">
        <v>0</v>
      </c>
      <c r="G25" s="243">
        <v>39693</v>
      </c>
      <c r="H25" t="s">
        <v>182</v>
      </c>
      <c r="I25">
        <v>15</v>
      </c>
      <c r="J25">
        <v>12</v>
      </c>
      <c r="K25">
        <v>1</v>
      </c>
      <c r="L25">
        <v>92613</v>
      </c>
      <c r="M25" t="str">
        <f t="shared" si="0"/>
        <v>13</v>
      </c>
      <c r="N25" t="s">
        <v>3323</v>
      </c>
      <c r="O25" t="str">
        <f t="shared" si="1"/>
        <v>51211</v>
      </c>
      <c r="P25" t="str">
        <f>"2100L"</f>
        <v>2100L</v>
      </c>
      <c r="Q25" t="str">
        <f t="shared" si="2"/>
        <v>0101</v>
      </c>
      <c r="R25">
        <v>2100</v>
      </c>
      <c r="S25" t="str">
        <f t="shared" si="3"/>
        <v>5120</v>
      </c>
      <c r="T25" t="s">
        <v>3324</v>
      </c>
      <c r="U25" t="s">
        <v>14</v>
      </c>
    </row>
    <row r="26" spans="1:21" ht="15" customHeight="1" x14ac:dyDescent="0.3">
      <c r="A26" t="s">
        <v>179</v>
      </c>
      <c r="B26" t="str">
        <f>"00062545"</f>
        <v>00062545</v>
      </c>
      <c r="C26" t="s">
        <v>4260</v>
      </c>
      <c r="D26" t="s">
        <v>4286</v>
      </c>
      <c r="E26" t="str">
        <f>"00069718"</f>
        <v>00069718</v>
      </c>
      <c r="F26">
        <v>0</v>
      </c>
      <c r="G26" s="243">
        <v>41133</v>
      </c>
      <c r="H26" t="s">
        <v>182</v>
      </c>
      <c r="I26">
        <v>15</v>
      </c>
      <c r="J26">
        <v>6</v>
      </c>
      <c r="K26">
        <v>1</v>
      </c>
      <c r="L26">
        <v>66078</v>
      </c>
      <c r="M26" t="str">
        <f t="shared" si="0"/>
        <v>13</v>
      </c>
      <c r="N26" t="s">
        <v>3370</v>
      </c>
      <c r="O26" t="str">
        <f t="shared" si="1"/>
        <v>51211</v>
      </c>
      <c r="P26" t="str">
        <f>"3030L"</f>
        <v>3030L</v>
      </c>
      <c r="Q26" t="str">
        <f t="shared" si="2"/>
        <v>0101</v>
      </c>
      <c r="R26">
        <v>3030</v>
      </c>
      <c r="S26" t="str">
        <f t="shared" si="3"/>
        <v>5120</v>
      </c>
      <c r="T26" t="s">
        <v>3324</v>
      </c>
      <c r="U26" t="s">
        <v>14</v>
      </c>
    </row>
    <row r="27" spans="1:21" ht="15" customHeight="1" x14ac:dyDescent="0.3">
      <c r="A27" t="s">
        <v>179</v>
      </c>
      <c r="B27" t="str">
        <f>"00066893"</f>
        <v>00066893</v>
      </c>
      <c r="C27" t="s">
        <v>4272</v>
      </c>
      <c r="D27" t="s">
        <v>4287</v>
      </c>
      <c r="E27" t="str">
        <f>"00069967"</f>
        <v>00069967</v>
      </c>
      <c r="F27">
        <v>0</v>
      </c>
      <c r="G27" s="243">
        <v>41133</v>
      </c>
      <c r="H27" t="s">
        <v>182</v>
      </c>
      <c r="I27">
        <v>15</v>
      </c>
      <c r="J27">
        <v>1</v>
      </c>
      <c r="K27">
        <v>1</v>
      </c>
      <c r="L27">
        <v>51539</v>
      </c>
      <c r="M27" t="str">
        <f t="shared" si="0"/>
        <v>13</v>
      </c>
      <c r="N27" t="s">
        <v>3370</v>
      </c>
      <c r="O27" t="str">
        <f t="shared" si="1"/>
        <v>51211</v>
      </c>
      <c r="P27" t="str">
        <f>"2100L"</f>
        <v>2100L</v>
      </c>
      <c r="Q27" t="str">
        <f t="shared" si="2"/>
        <v>0101</v>
      </c>
      <c r="R27">
        <v>2100</v>
      </c>
      <c r="S27" t="str">
        <f t="shared" si="3"/>
        <v>5120</v>
      </c>
      <c r="T27" t="s">
        <v>3324</v>
      </c>
      <c r="U27" t="s">
        <v>14</v>
      </c>
    </row>
    <row r="28" spans="1:21" ht="15" customHeight="1" x14ac:dyDescent="0.3">
      <c r="A28" t="s">
        <v>179</v>
      </c>
      <c r="B28" t="str">
        <f>"00072108"</f>
        <v>00072108</v>
      </c>
      <c r="C28" t="s">
        <v>4288</v>
      </c>
      <c r="D28" t="s">
        <v>4289</v>
      </c>
      <c r="E28" t="str">
        <f>"00069924"</f>
        <v>00069924</v>
      </c>
      <c r="F28">
        <v>0</v>
      </c>
      <c r="G28" s="243">
        <v>41133</v>
      </c>
      <c r="H28" t="s">
        <v>182</v>
      </c>
      <c r="I28">
        <v>4</v>
      </c>
      <c r="J28">
        <v>2</v>
      </c>
      <c r="K28">
        <v>0.5</v>
      </c>
      <c r="L28">
        <v>23151.63</v>
      </c>
      <c r="M28" t="str">
        <f t="shared" si="0"/>
        <v>13</v>
      </c>
      <c r="N28" t="s">
        <v>3323</v>
      </c>
      <c r="O28" t="str">
        <f t="shared" si="1"/>
        <v>51211</v>
      </c>
      <c r="P28" t="str">
        <f>"2200L"</f>
        <v>2200L</v>
      </c>
      <c r="Q28" t="str">
        <f t="shared" si="2"/>
        <v>0101</v>
      </c>
      <c r="R28">
        <v>2200</v>
      </c>
      <c r="S28" t="str">
        <f t="shared" si="3"/>
        <v>5120</v>
      </c>
      <c r="T28" t="s">
        <v>3324</v>
      </c>
      <c r="U28" t="s">
        <v>14</v>
      </c>
    </row>
    <row r="29" spans="1:21" ht="15" customHeight="1" x14ac:dyDescent="0.3">
      <c r="A29" t="s">
        <v>179</v>
      </c>
      <c r="B29" t="str">
        <f>"00072579"</f>
        <v>00072579</v>
      </c>
      <c r="C29" t="s">
        <v>4288</v>
      </c>
      <c r="H29" t="s">
        <v>170</v>
      </c>
      <c r="I29">
        <v>4</v>
      </c>
      <c r="J29">
        <v>1</v>
      </c>
      <c r="K29">
        <v>0.71</v>
      </c>
      <c r="L29">
        <v>25662</v>
      </c>
      <c r="M29" t="str">
        <f t="shared" si="0"/>
        <v>13</v>
      </c>
      <c r="N29" t="s">
        <v>3323</v>
      </c>
      <c r="O29" t="str">
        <f t="shared" si="1"/>
        <v>51211</v>
      </c>
      <c r="P29" t="str">
        <f t="shared" ref="P29:P34" si="4">"2100L"</f>
        <v>2100L</v>
      </c>
      <c r="Q29" t="str">
        <f t="shared" si="2"/>
        <v>0101</v>
      </c>
      <c r="R29">
        <v>2100</v>
      </c>
      <c r="S29" t="str">
        <f t="shared" si="3"/>
        <v>5120</v>
      </c>
      <c r="T29" t="s">
        <v>3324</v>
      </c>
      <c r="U29" t="s">
        <v>14</v>
      </c>
    </row>
    <row r="30" spans="1:21" ht="15" customHeight="1" x14ac:dyDescent="0.3">
      <c r="A30" t="s">
        <v>179</v>
      </c>
      <c r="B30" t="str">
        <f>"00072580"</f>
        <v>00072580</v>
      </c>
      <c r="C30" t="s">
        <v>4290</v>
      </c>
      <c r="H30" t="s">
        <v>170</v>
      </c>
      <c r="I30">
        <v>4</v>
      </c>
      <c r="J30">
        <v>1</v>
      </c>
      <c r="K30">
        <v>0.71</v>
      </c>
      <c r="L30">
        <v>25662</v>
      </c>
      <c r="M30" t="str">
        <f t="shared" si="0"/>
        <v>13</v>
      </c>
      <c r="N30" t="s">
        <v>3323</v>
      </c>
      <c r="O30" t="str">
        <f t="shared" si="1"/>
        <v>51211</v>
      </c>
      <c r="P30" t="str">
        <f t="shared" si="4"/>
        <v>2100L</v>
      </c>
      <c r="Q30" t="str">
        <f t="shared" si="2"/>
        <v>0101</v>
      </c>
      <c r="R30">
        <v>2100</v>
      </c>
      <c r="S30" t="str">
        <f t="shared" si="3"/>
        <v>5120</v>
      </c>
      <c r="T30" t="s">
        <v>3324</v>
      </c>
      <c r="U30" t="s">
        <v>14</v>
      </c>
    </row>
    <row r="31" spans="1:21" ht="15" customHeight="1" x14ac:dyDescent="0.3">
      <c r="A31" t="s">
        <v>179</v>
      </c>
      <c r="B31" t="str">
        <f>"00072656"</f>
        <v>00072656</v>
      </c>
      <c r="C31" t="s">
        <v>4291</v>
      </c>
      <c r="H31" t="s">
        <v>170</v>
      </c>
      <c r="I31">
        <v>15</v>
      </c>
      <c r="J31">
        <v>1</v>
      </c>
      <c r="K31">
        <v>0.5</v>
      </c>
      <c r="L31">
        <v>54975</v>
      </c>
      <c r="M31" t="str">
        <f t="shared" si="0"/>
        <v>13</v>
      </c>
      <c r="N31" t="s">
        <v>3323</v>
      </c>
      <c r="O31" t="str">
        <f t="shared" si="1"/>
        <v>51211</v>
      </c>
      <c r="P31" t="str">
        <f t="shared" si="4"/>
        <v>2100L</v>
      </c>
      <c r="Q31" t="str">
        <f t="shared" si="2"/>
        <v>0101</v>
      </c>
      <c r="R31">
        <v>2100</v>
      </c>
      <c r="S31" t="str">
        <f t="shared" si="3"/>
        <v>5120</v>
      </c>
      <c r="T31" t="s">
        <v>3324</v>
      </c>
      <c r="U31" t="s">
        <v>14</v>
      </c>
    </row>
    <row r="32" spans="1:21" ht="15" customHeight="1" x14ac:dyDescent="0.3">
      <c r="A32" t="s">
        <v>179</v>
      </c>
      <c r="B32" t="str">
        <f>"00074122"</f>
        <v>00074122</v>
      </c>
      <c r="C32" t="s">
        <v>200</v>
      </c>
      <c r="H32" t="s">
        <v>170</v>
      </c>
      <c r="I32">
        <v>15</v>
      </c>
      <c r="J32">
        <v>1</v>
      </c>
      <c r="K32">
        <v>1</v>
      </c>
      <c r="L32">
        <v>54975</v>
      </c>
      <c r="M32" t="str">
        <f t="shared" si="0"/>
        <v>13</v>
      </c>
      <c r="N32" t="s">
        <v>3323</v>
      </c>
      <c r="O32" t="str">
        <f t="shared" si="1"/>
        <v>51211</v>
      </c>
      <c r="P32" t="str">
        <f t="shared" si="4"/>
        <v>2100L</v>
      </c>
      <c r="Q32" t="str">
        <f t="shared" si="2"/>
        <v>0101</v>
      </c>
      <c r="R32">
        <v>2100</v>
      </c>
      <c r="S32" t="str">
        <f t="shared" si="3"/>
        <v>5120</v>
      </c>
      <c r="T32" t="s">
        <v>3324</v>
      </c>
      <c r="U32" t="s">
        <v>14</v>
      </c>
    </row>
    <row r="33" spans="1:21" ht="15" customHeight="1" x14ac:dyDescent="0.3">
      <c r="A33" t="s">
        <v>179</v>
      </c>
      <c r="B33" t="str">
        <f>"00074123"</f>
        <v>00074123</v>
      </c>
      <c r="C33" t="s">
        <v>4292</v>
      </c>
      <c r="D33" t="s">
        <v>2675</v>
      </c>
      <c r="E33" t="str">
        <f>"00054294"</f>
        <v>00054294</v>
      </c>
      <c r="F33">
        <v>0</v>
      </c>
      <c r="G33" s="243">
        <v>35025</v>
      </c>
      <c r="H33" t="s">
        <v>182</v>
      </c>
      <c r="I33">
        <v>4</v>
      </c>
      <c r="J33">
        <v>10</v>
      </c>
      <c r="K33">
        <v>0.71</v>
      </c>
      <c r="L33">
        <v>28721</v>
      </c>
      <c r="M33" t="str">
        <f t="shared" si="0"/>
        <v>13</v>
      </c>
      <c r="N33" t="s">
        <v>3370</v>
      </c>
      <c r="O33" t="str">
        <f t="shared" si="1"/>
        <v>51211</v>
      </c>
      <c r="P33" t="str">
        <f t="shared" si="4"/>
        <v>2100L</v>
      </c>
      <c r="Q33" t="str">
        <f t="shared" si="2"/>
        <v>0101</v>
      </c>
      <c r="R33">
        <v>2100</v>
      </c>
      <c r="S33" t="str">
        <f t="shared" si="3"/>
        <v>5120</v>
      </c>
      <c r="T33" t="s">
        <v>3324</v>
      </c>
      <c r="U33" t="s">
        <v>14</v>
      </c>
    </row>
    <row r="34" spans="1:21" ht="15" customHeight="1" x14ac:dyDescent="0.3">
      <c r="A34" t="s">
        <v>179</v>
      </c>
      <c r="B34" t="str">
        <f>"00074124"</f>
        <v>00074124</v>
      </c>
      <c r="C34" t="s">
        <v>4293</v>
      </c>
      <c r="D34" t="s">
        <v>3326</v>
      </c>
      <c r="E34" t="str">
        <f>"00063721"</f>
        <v>00063721</v>
      </c>
      <c r="F34">
        <v>0</v>
      </c>
      <c r="G34" s="243">
        <v>40755</v>
      </c>
      <c r="H34" t="s">
        <v>182</v>
      </c>
      <c r="I34">
        <v>15</v>
      </c>
      <c r="J34">
        <v>8</v>
      </c>
      <c r="K34">
        <v>0.5</v>
      </c>
      <c r="L34">
        <v>72171</v>
      </c>
      <c r="M34" t="str">
        <f t="shared" si="0"/>
        <v>13</v>
      </c>
      <c r="N34" t="s">
        <v>3323</v>
      </c>
      <c r="O34" t="str">
        <f t="shared" si="1"/>
        <v>51211</v>
      </c>
      <c r="P34" t="str">
        <f t="shared" si="4"/>
        <v>2100L</v>
      </c>
      <c r="Q34" t="str">
        <f t="shared" si="2"/>
        <v>0101</v>
      </c>
      <c r="R34">
        <v>2100</v>
      </c>
      <c r="S34" t="str">
        <f t="shared" si="3"/>
        <v>5120</v>
      </c>
      <c r="T34" t="s">
        <v>3324</v>
      </c>
      <c r="U34" t="s">
        <v>14</v>
      </c>
    </row>
    <row r="35" spans="1:21" ht="15" customHeight="1" x14ac:dyDescent="0.3">
      <c r="A35" t="s">
        <v>179</v>
      </c>
      <c r="B35" t="str">
        <f>"00075922"</f>
        <v>00075922</v>
      </c>
      <c r="C35" t="s">
        <v>4294</v>
      </c>
      <c r="D35" t="s">
        <v>4295</v>
      </c>
      <c r="E35" t="str">
        <f>"00057795"</f>
        <v>00057795</v>
      </c>
      <c r="F35">
        <v>0</v>
      </c>
      <c r="G35" s="243">
        <v>40042</v>
      </c>
      <c r="H35" t="s">
        <v>182</v>
      </c>
      <c r="I35">
        <v>7</v>
      </c>
      <c r="J35">
        <v>5</v>
      </c>
      <c r="K35">
        <v>1</v>
      </c>
      <c r="L35">
        <v>39300</v>
      </c>
      <c r="M35" t="str">
        <f t="shared" si="0"/>
        <v>13</v>
      </c>
      <c r="N35" t="s">
        <v>3323</v>
      </c>
      <c r="O35" t="str">
        <f t="shared" si="1"/>
        <v>51211</v>
      </c>
      <c r="P35" t="str">
        <f>"1502L"</f>
        <v>1502L</v>
      </c>
      <c r="Q35" t="str">
        <f t="shared" si="2"/>
        <v>0101</v>
      </c>
      <c r="R35">
        <v>1502</v>
      </c>
      <c r="S35" t="str">
        <f t="shared" si="3"/>
        <v>5120</v>
      </c>
      <c r="T35" t="s">
        <v>3324</v>
      </c>
      <c r="U35" t="s">
        <v>14</v>
      </c>
    </row>
    <row r="36" spans="1:21" ht="15" customHeight="1" x14ac:dyDescent="0.3">
      <c r="A36" t="s">
        <v>179</v>
      </c>
      <c r="B36" t="str">
        <f>"00076620"</f>
        <v>00076620</v>
      </c>
      <c r="C36" t="s">
        <v>4296</v>
      </c>
      <c r="H36" t="s">
        <v>170</v>
      </c>
      <c r="I36">
        <v>15</v>
      </c>
      <c r="J36">
        <v>0</v>
      </c>
      <c r="K36">
        <v>0.5</v>
      </c>
      <c r="L36">
        <v>60473</v>
      </c>
      <c r="M36" t="str">
        <f t="shared" si="0"/>
        <v>13</v>
      </c>
      <c r="N36" t="s">
        <v>3370</v>
      </c>
      <c r="O36" t="str">
        <f t="shared" si="1"/>
        <v>51211</v>
      </c>
      <c r="P36" t="str">
        <f>"2100L"</f>
        <v>2100L</v>
      </c>
      <c r="Q36" t="str">
        <f t="shared" si="2"/>
        <v>0101</v>
      </c>
      <c r="R36">
        <v>2100</v>
      </c>
      <c r="S36" t="str">
        <f t="shared" si="3"/>
        <v>5120</v>
      </c>
      <c r="T36" t="s">
        <v>3324</v>
      </c>
      <c r="U36" t="s">
        <v>14</v>
      </c>
    </row>
    <row r="37" spans="1:21" ht="15" customHeight="1" x14ac:dyDescent="0.3">
      <c r="A37" t="s">
        <v>179</v>
      </c>
      <c r="B37" t="str">
        <f>"00076631"</f>
        <v>00076631</v>
      </c>
      <c r="C37" t="s">
        <v>4271</v>
      </c>
      <c r="D37" t="s">
        <v>4297</v>
      </c>
      <c r="E37" t="str">
        <f>"00045040"</f>
        <v>00045040</v>
      </c>
      <c r="F37">
        <v>0</v>
      </c>
      <c r="G37" s="243">
        <v>38105</v>
      </c>
      <c r="H37" t="s">
        <v>182</v>
      </c>
      <c r="I37">
        <v>15</v>
      </c>
      <c r="J37">
        <v>9</v>
      </c>
      <c r="K37">
        <v>0.5</v>
      </c>
      <c r="L37">
        <v>75232</v>
      </c>
      <c r="M37" t="str">
        <f t="shared" si="0"/>
        <v>13</v>
      </c>
      <c r="N37" t="s">
        <v>3370</v>
      </c>
      <c r="O37" t="str">
        <f t="shared" si="1"/>
        <v>51211</v>
      </c>
      <c r="P37" t="str">
        <f>"2100L"</f>
        <v>2100L</v>
      </c>
      <c r="Q37" t="str">
        <f t="shared" si="2"/>
        <v>0101</v>
      </c>
      <c r="R37">
        <v>2100</v>
      </c>
      <c r="S37" t="str">
        <f t="shared" si="3"/>
        <v>5120</v>
      </c>
      <c r="T37" t="s">
        <v>3324</v>
      </c>
      <c r="U37" t="s">
        <v>14</v>
      </c>
    </row>
    <row r="38" spans="1:21" ht="15" customHeight="1" x14ac:dyDescent="0.3">
      <c r="A38" t="s">
        <v>179</v>
      </c>
      <c r="B38" t="str">
        <f>"00052444"</f>
        <v>00052444</v>
      </c>
      <c r="C38" t="s">
        <v>3798</v>
      </c>
      <c r="D38" t="s">
        <v>2005</v>
      </c>
      <c r="E38" t="str">
        <f>"00062597"</f>
        <v>00062597</v>
      </c>
      <c r="F38">
        <v>0</v>
      </c>
      <c r="G38" s="243">
        <v>40406</v>
      </c>
      <c r="H38" t="s">
        <v>182</v>
      </c>
      <c r="I38">
        <v>61</v>
      </c>
      <c r="J38">
        <v>2</v>
      </c>
      <c r="K38">
        <v>1</v>
      </c>
      <c r="L38">
        <v>105000</v>
      </c>
      <c r="M38" t="str">
        <f t="shared" si="0"/>
        <v>13</v>
      </c>
      <c r="N38" t="s">
        <v>3323</v>
      </c>
      <c r="O38" t="str">
        <f t="shared" ref="O38:O68" si="5">"51311"</f>
        <v>51311</v>
      </c>
      <c r="P38" t="str">
        <f>"1501L"</f>
        <v>1501L</v>
      </c>
      <c r="Q38" t="str">
        <f t="shared" si="2"/>
        <v>0101</v>
      </c>
      <c r="R38">
        <v>1501</v>
      </c>
      <c r="S38" t="str">
        <f t="shared" ref="S38:S68" si="6">"5130"</f>
        <v>5130</v>
      </c>
      <c r="T38" t="s">
        <v>3329</v>
      </c>
      <c r="U38" t="s">
        <v>207</v>
      </c>
    </row>
    <row r="39" spans="1:21" ht="15" customHeight="1" x14ac:dyDescent="0.3">
      <c r="A39" t="s">
        <v>179</v>
      </c>
      <c r="B39" t="str">
        <f>"00052611"</f>
        <v>00052611</v>
      </c>
      <c r="C39" t="s">
        <v>4257</v>
      </c>
      <c r="D39" t="s">
        <v>210</v>
      </c>
      <c r="E39" t="str">
        <f>"00048687"</f>
        <v>00048687</v>
      </c>
      <c r="F39">
        <v>0</v>
      </c>
      <c r="G39" s="243">
        <v>32756</v>
      </c>
      <c r="H39" t="s">
        <v>182</v>
      </c>
      <c r="I39">
        <v>15</v>
      </c>
      <c r="J39">
        <v>16</v>
      </c>
      <c r="K39">
        <v>1</v>
      </c>
      <c r="L39">
        <v>100839</v>
      </c>
      <c r="M39" t="str">
        <f t="shared" si="0"/>
        <v>13</v>
      </c>
      <c r="N39" t="s">
        <v>3323</v>
      </c>
      <c r="O39" t="str">
        <f t="shared" si="5"/>
        <v>51311</v>
      </c>
      <c r="P39" t="str">
        <f>"2100L"</f>
        <v>2100L</v>
      </c>
      <c r="Q39" t="str">
        <f t="shared" si="2"/>
        <v>0101</v>
      </c>
      <c r="R39">
        <v>2100</v>
      </c>
      <c r="S39" t="str">
        <f t="shared" si="6"/>
        <v>5130</v>
      </c>
      <c r="T39" t="s">
        <v>3329</v>
      </c>
      <c r="U39" t="s">
        <v>207</v>
      </c>
    </row>
    <row r="40" spans="1:21" ht="15" customHeight="1" x14ac:dyDescent="0.3">
      <c r="A40" t="s">
        <v>179</v>
      </c>
      <c r="B40" t="str">
        <f>"00052928"</f>
        <v>00052928</v>
      </c>
      <c r="C40" t="s">
        <v>4262</v>
      </c>
      <c r="D40" t="s">
        <v>4298</v>
      </c>
      <c r="E40" t="str">
        <f>"00069970"</f>
        <v>00069970</v>
      </c>
      <c r="F40">
        <v>0</v>
      </c>
      <c r="G40" s="243">
        <v>41133</v>
      </c>
      <c r="H40" t="s">
        <v>182</v>
      </c>
      <c r="I40">
        <v>15</v>
      </c>
      <c r="J40">
        <v>10</v>
      </c>
      <c r="K40">
        <v>1</v>
      </c>
      <c r="L40">
        <v>68431</v>
      </c>
      <c r="M40" t="str">
        <f t="shared" si="0"/>
        <v>13</v>
      </c>
      <c r="N40" t="s">
        <v>3370</v>
      </c>
      <c r="O40" t="str">
        <f t="shared" si="5"/>
        <v>51311</v>
      </c>
      <c r="P40" t="str">
        <f>"2100L"</f>
        <v>2100L</v>
      </c>
      <c r="Q40" t="str">
        <f t="shared" si="2"/>
        <v>0101</v>
      </c>
      <c r="R40">
        <v>2100</v>
      </c>
      <c r="S40" t="str">
        <f t="shared" si="6"/>
        <v>5130</v>
      </c>
      <c r="T40" t="s">
        <v>3329</v>
      </c>
      <c r="U40" t="s">
        <v>207</v>
      </c>
    </row>
    <row r="41" spans="1:21" ht="15" customHeight="1" x14ac:dyDescent="0.3">
      <c r="A41" t="s">
        <v>179</v>
      </c>
      <c r="B41" t="str">
        <f>"00053224"</f>
        <v>00053224</v>
      </c>
      <c r="C41" t="s">
        <v>4299</v>
      </c>
      <c r="D41" t="s">
        <v>4300</v>
      </c>
      <c r="E41" t="str">
        <f>"00051127"</f>
        <v>00051127</v>
      </c>
      <c r="F41">
        <v>0</v>
      </c>
      <c r="G41" s="243">
        <v>32787</v>
      </c>
      <c r="H41" t="s">
        <v>182</v>
      </c>
      <c r="I41">
        <v>7</v>
      </c>
      <c r="J41">
        <v>8</v>
      </c>
      <c r="K41">
        <v>1</v>
      </c>
      <c r="L41">
        <v>43727</v>
      </c>
      <c r="M41" t="str">
        <f t="shared" si="0"/>
        <v>13</v>
      </c>
      <c r="N41" t="s">
        <v>3323</v>
      </c>
      <c r="O41" t="str">
        <f t="shared" si="5"/>
        <v>51311</v>
      </c>
      <c r="P41" t="str">
        <f>"1502L"</f>
        <v>1502L</v>
      </c>
      <c r="Q41" t="str">
        <f t="shared" si="2"/>
        <v>0101</v>
      </c>
      <c r="R41">
        <v>1502</v>
      </c>
      <c r="S41" t="str">
        <f t="shared" si="6"/>
        <v>5130</v>
      </c>
      <c r="T41" t="s">
        <v>3329</v>
      </c>
      <c r="U41" t="s">
        <v>207</v>
      </c>
    </row>
    <row r="42" spans="1:21" ht="15" customHeight="1" x14ac:dyDescent="0.3">
      <c r="A42" t="s">
        <v>179</v>
      </c>
      <c r="B42" t="str">
        <f>"00054529"</f>
        <v>00054529</v>
      </c>
      <c r="C42" t="s">
        <v>4272</v>
      </c>
      <c r="D42" t="s">
        <v>2016</v>
      </c>
      <c r="E42" t="str">
        <f>"00050626"</f>
        <v>00050626</v>
      </c>
      <c r="F42">
        <v>0</v>
      </c>
      <c r="G42" s="243">
        <v>40042</v>
      </c>
      <c r="H42" t="s">
        <v>182</v>
      </c>
      <c r="I42">
        <v>15</v>
      </c>
      <c r="J42">
        <v>13</v>
      </c>
      <c r="K42">
        <v>1</v>
      </c>
      <c r="L42">
        <v>81724</v>
      </c>
      <c r="M42" t="str">
        <f t="shared" si="0"/>
        <v>13</v>
      </c>
      <c r="N42" t="s">
        <v>3370</v>
      </c>
      <c r="O42" t="str">
        <f t="shared" si="5"/>
        <v>51311</v>
      </c>
      <c r="P42" t="str">
        <f>"2100L"</f>
        <v>2100L</v>
      </c>
      <c r="Q42" t="str">
        <f t="shared" si="2"/>
        <v>0101</v>
      </c>
      <c r="R42">
        <v>2100</v>
      </c>
      <c r="S42" t="str">
        <f t="shared" si="6"/>
        <v>5130</v>
      </c>
      <c r="T42" t="s">
        <v>3329</v>
      </c>
      <c r="U42" t="s">
        <v>207</v>
      </c>
    </row>
    <row r="43" spans="1:21" ht="15" customHeight="1" x14ac:dyDescent="0.3">
      <c r="A43" t="s">
        <v>179</v>
      </c>
      <c r="B43" t="str">
        <f>"00054761"</f>
        <v>00054761</v>
      </c>
      <c r="C43" t="s">
        <v>4262</v>
      </c>
      <c r="D43" t="s">
        <v>213</v>
      </c>
      <c r="E43" t="str">
        <f>"00054583"</f>
        <v>00054583</v>
      </c>
      <c r="F43">
        <v>0</v>
      </c>
      <c r="G43" s="243">
        <v>32021</v>
      </c>
      <c r="H43" t="s">
        <v>182</v>
      </c>
      <c r="I43">
        <v>15</v>
      </c>
      <c r="J43">
        <v>16</v>
      </c>
      <c r="K43">
        <v>1</v>
      </c>
      <c r="L43">
        <v>103347</v>
      </c>
      <c r="M43" t="str">
        <f t="shared" si="0"/>
        <v>13</v>
      </c>
      <c r="N43" t="s">
        <v>3323</v>
      </c>
      <c r="O43" t="str">
        <f t="shared" si="5"/>
        <v>51311</v>
      </c>
      <c r="P43" t="str">
        <f>"2100L"</f>
        <v>2100L</v>
      </c>
      <c r="Q43" t="str">
        <f t="shared" si="2"/>
        <v>0101</v>
      </c>
      <c r="R43">
        <v>2100</v>
      </c>
      <c r="S43" t="str">
        <f t="shared" si="6"/>
        <v>5130</v>
      </c>
      <c r="T43" t="s">
        <v>3329</v>
      </c>
      <c r="U43" t="s">
        <v>207</v>
      </c>
    </row>
    <row r="44" spans="1:21" ht="15" customHeight="1" x14ac:dyDescent="0.3">
      <c r="A44" t="s">
        <v>179</v>
      </c>
      <c r="B44" t="str">
        <f>"00055339"</f>
        <v>00055339</v>
      </c>
      <c r="C44" t="s">
        <v>4274</v>
      </c>
      <c r="D44" t="s">
        <v>4301</v>
      </c>
      <c r="E44" t="str">
        <f>"00053614"</f>
        <v>00053614</v>
      </c>
      <c r="F44">
        <v>0</v>
      </c>
      <c r="G44" s="243">
        <v>36397</v>
      </c>
      <c r="H44" t="s">
        <v>182</v>
      </c>
      <c r="I44">
        <v>4</v>
      </c>
      <c r="J44">
        <v>9</v>
      </c>
      <c r="K44">
        <v>0.875</v>
      </c>
      <c r="L44">
        <v>28025.38</v>
      </c>
      <c r="M44" t="str">
        <f t="shared" si="0"/>
        <v>13</v>
      </c>
      <c r="N44" t="s">
        <v>3323</v>
      </c>
      <c r="O44" t="str">
        <f t="shared" si="5"/>
        <v>51311</v>
      </c>
      <c r="P44" t="str">
        <f>"2200L"</f>
        <v>2200L</v>
      </c>
      <c r="Q44" t="str">
        <f t="shared" si="2"/>
        <v>0101</v>
      </c>
      <c r="R44">
        <v>2200</v>
      </c>
      <c r="S44" t="str">
        <f t="shared" si="6"/>
        <v>5130</v>
      </c>
      <c r="T44" t="s">
        <v>3329</v>
      </c>
      <c r="U44" t="s">
        <v>207</v>
      </c>
    </row>
    <row r="45" spans="1:21" ht="15" customHeight="1" x14ac:dyDescent="0.3">
      <c r="A45" t="s">
        <v>179</v>
      </c>
      <c r="B45" t="str">
        <f>"00057068"</f>
        <v>00057068</v>
      </c>
      <c r="C45" t="s">
        <v>4274</v>
      </c>
      <c r="D45" t="s">
        <v>4302</v>
      </c>
      <c r="E45" t="str">
        <f>"00053806"</f>
        <v>00053806</v>
      </c>
      <c r="F45">
        <v>0</v>
      </c>
      <c r="G45" s="243">
        <v>36483</v>
      </c>
      <c r="H45" t="s">
        <v>182</v>
      </c>
      <c r="I45">
        <v>4</v>
      </c>
      <c r="J45">
        <v>8</v>
      </c>
      <c r="K45">
        <v>0.875</v>
      </c>
      <c r="L45">
        <v>27329.75</v>
      </c>
      <c r="M45" t="str">
        <f t="shared" si="0"/>
        <v>13</v>
      </c>
      <c r="N45" t="s">
        <v>3323</v>
      </c>
      <c r="O45" t="str">
        <f t="shared" si="5"/>
        <v>51311</v>
      </c>
      <c r="P45" t="str">
        <f>"2200L"</f>
        <v>2200L</v>
      </c>
      <c r="Q45" t="str">
        <f t="shared" si="2"/>
        <v>0101</v>
      </c>
      <c r="R45">
        <v>2200</v>
      </c>
      <c r="S45" t="str">
        <f t="shared" si="6"/>
        <v>5130</v>
      </c>
      <c r="T45" t="s">
        <v>3329</v>
      </c>
      <c r="U45" t="s">
        <v>207</v>
      </c>
    </row>
    <row r="46" spans="1:21" ht="15" customHeight="1" x14ac:dyDescent="0.3">
      <c r="A46" t="s">
        <v>179</v>
      </c>
      <c r="B46" t="str">
        <f>"00057086"</f>
        <v>00057086</v>
      </c>
      <c r="C46" t="s">
        <v>4262</v>
      </c>
      <c r="D46" t="s">
        <v>215</v>
      </c>
      <c r="E46" t="str">
        <f>"00050307"</f>
        <v>00050307</v>
      </c>
      <c r="F46">
        <v>0</v>
      </c>
      <c r="G46" s="243">
        <v>39352</v>
      </c>
      <c r="H46" t="s">
        <v>182</v>
      </c>
      <c r="I46">
        <v>15</v>
      </c>
      <c r="J46">
        <v>12</v>
      </c>
      <c r="K46">
        <v>1</v>
      </c>
      <c r="L46">
        <v>87431</v>
      </c>
      <c r="M46" t="str">
        <f t="shared" si="0"/>
        <v>13</v>
      </c>
      <c r="N46" t="s">
        <v>3323</v>
      </c>
      <c r="O46" t="str">
        <f t="shared" si="5"/>
        <v>51311</v>
      </c>
      <c r="P46" t="str">
        <f>"2100L"</f>
        <v>2100L</v>
      </c>
      <c r="Q46" t="str">
        <f t="shared" si="2"/>
        <v>0101</v>
      </c>
      <c r="R46">
        <v>2100</v>
      </c>
      <c r="S46" t="str">
        <f t="shared" si="6"/>
        <v>5130</v>
      </c>
      <c r="T46" t="s">
        <v>3329</v>
      </c>
      <c r="U46" t="s">
        <v>207</v>
      </c>
    </row>
    <row r="47" spans="1:21" ht="15" customHeight="1" x14ac:dyDescent="0.3">
      <c r="A47" t="s">
        <v>179</v>
      </c>
      <c r="B47" t="str">
        <f>"00057721"</f>
        <v>00057721</v>
      </c>
      <c r="C47" t="s">
        <v>4290</v>
      </c>
      <c r="H47" t="s">
        <v>170</v>
      </c>
      <c r="I47">
        <v>4</v>
      </c>
      <c r="J47">
        <v>1</v>
      </c>
      <c r="K47">
        <v>1</v>
      </c>
      <c r="L47">
        <v>25662</v>
      </c>
      <c r="M47" t="str">
        <f t="shared" si="0"/>
        <v>13</v>
      </c>
      <c r="N47" t="s">
        <v>3323</v>
      </c>
      <c r="O47" t="str">
        <f t="shared" si="5"/>
        <v>51311</v>
      </c>
      <c r="P47" t="str">
        <f>"3030L"</f>
        <v>3030L</v>
      </c>
      <c r="Q47" t="str">
        <f t="shared" si="2"/>
        <v>0101</v>
      </c>
      <c r="R47">
        <v>3030</v>
      </c>
      <c r="S47" t="str">
        <f t="shared" si="6"/>
        <v>5130</v>
      </c>
      <c r="T47" t="s">
        <v>3329</v>
      </c>
      <c r="U47" t="s">
        <v>207</v>
      </c>
    </row>
    <row r="48" spans="1:21" ht="15" customHeight="1" x14ac:dyDescent="0.3">
      <c r="A48" t="s">
        <v>179</v>
      </c>
      <c r="B48" t="str">
        <f>"00058371"</f>
        <v>00058371</v>
      </c>
      <c r="C48" t="s">
        <v>4262</v>
      </c>
      <c r="D48" t="s">
        <v>217</v>
      </c>
      <c r="E48" t="str">
        <f>"00046581"</f>
        <v>00046581</v>
      </c>
      <c r="F48">
        <v>0</v>
      </c>
      <c r="G48" s="243">
        <v>37155</v>
      </c>
      <c r="H48" t="s">
        <v>182</v>
      </c>
      <c r="I48">
        <v>15</v>
      </c>
      <c r="J48">
        <v>15</v>
      </c>
      <c r="K48">
        <v>1</v>
      </c>
      <c r="L48">
        <v>103985</v>
      </c>
      <c r="M48" t="str">
        <f t="shared" si="0"/>
        <v>13</v>
      </c>
      <c r="N48" t="s">
        <v>3323</v>
      </c>
      <c r="O48" t="str">
        <f t="shared" si="5"/>
        <v>51311</v>
      </c>
      <c r="P48" t="str">
        <f>"2100L"</f>
        <v>2100L</v>
      </c>
      <c r="Q48" t="str">
        <f t="shared" si="2"/>
        <v>0101</v>
      </c>
      <c r="R48">
        <v>2100</v>
      </c>
      <c r="S48" t="str">
        <f t="shared" si="6"/>
        <v>5130</v>
      </c>
      <c r="T48" t="s">
        <v>3329</v>
      </c>
      <c r="U48" t="s">
        <v>207</v>
      </c>
    </row>
    <row r="49" spans="1:21" ht="15" customHeight="1" x14ac:dyDescent="0.3">
      <c r="A49" t="s">
        <v>179</v>
      </c>
      <c r="B49" t="str">
        <f>"00074126"</f>
        <v>00074126</v>
      </c>
      <c r="C49" t="s">
        <v>3670</v>
      </c>
      <c r="D49" t="s">
        <v>3328</v>
      </c>
      <c r="E49" t="str">
        <f>"00065543"</f>
        <v>00065543</v>
      </c>
      <c r="F49">
        <v>0</v>
      </c>
      <c r="G49" s="243">
        <v>40742</v>
      </c>
      <c r="H49" t="s">
        <v>182</v>
      </c>
      <c r="I49">
        <v>8</v>
      </c>
      <c r="J49">
        <v>2</v>
      </c>
      <c r="K49">
        <v>1</v>
      </c>
      <c r="L49">
        <v>87652</v>
      </c>
      <c r="M49" t="str">
        <f t="shared" si="0"/>
        <v>13</v>
      </c>
      <c r="N49" t="s">
        <v>3323</v>
      </c>
      <c r="O49" t="str">
        <f t="shared" si="5"/>
        <v>51311</v>
      </c>
      <c r="P49" t="str">
        <f>"1501L"</f>
        <v>1501L</v>
      </c>
      <c r="Q49" t="str">
        <f t="shared" si="2"/>
        <v>0101</v>
      </c>
      <c r="R49">
        <v>1501</v>
      </c>
      <c r="S49" t="str">
        <f t="shared" si="6"/>
        <v>5130</v>
      </c>
      <c r="T49" t="s">
        <v>3329</v>
      </c>
      <c r="U49" t="s">
        <v>207</v>
      </c>
    </row>
    <row r="50" spans="1:21" ht="15" customHeight="1" x14ac:dyDescent="0.3">
      <c r="A50" t="s">
        <v>179</v>
      </c>
      <c r="B50" t="str">
        <f>"00074129"</f>
        <v>00074129</v>
      </c>
      <c r="C50" t="s">
        <v>4262</v>
      </c>
      <c r="D50" t="s">
        <v>3332</v>
      </c>
      <c r="E50" t="str">
        <f>"00065928"</f>
        <v>00065928</v>
      </c>
      <c r="F50">
        <v>0</v>
      </c>
      <c r="G50" s="243">
        <v>40755</v>
      </c>
      <c r="H50" t="s">
        <v>182</v>
      </c>
      <c r="I50">
        <v>15</v>
      </c>
      <c r="J50">
        <v>11</v>
      </c>
      <c r="K50">
        <v>1</v>
      </c>
      <c r="L50">
        <v>81335</v>
      </c>
      <c r="M50" t="str">
        <f t="shared" si="0"/>
        <v>13</v>
      </c>
      <c r="N50" t="s">
        <v>3323</v>
      </c>
      <c r="O50" t="str">
        <f t="shared" si="5"/>
        <v>51311</v>
      </c>
      <c r="P50" t="str">
        <f t="shared" ref="P50:P56" si="7">"2100L"</f>
        <v>2100L</v>
      </c>
      <c r="Q50" t="str">
        <f t="shared" si="2"/>
        <v>0101</v>
      </c>
      <c r="R50">
        <v>2100</v>
      </c>
      <c r="S50" t="str">
        <f t="shared" si="6"/>
        <v>5130</v>
      </c>
      <c r="T50" t="s">
        <v>3329</v>
      </c>
      <c r="U50" t="s">
        <v>207</v>
      </c>
    </row>
    <row r="51" spans="1:21" ht="15" customHeight="1" x14ac:dyDescent="0.3">
      <c r="A51" t="s">
        <v>179</v>
      </c>
      <c r="B51" t="str">
        <f>"00074134"</f>
        <v>00074134</v>
      </c>
      <c r="C51" t="s">
        <v>4272</v>
      </c>
      <c r="D51" t="s">
        <v>3334</v>
      </c>
      <c r="E51" t="str">
        <f>"00065856"</f>
        <v>00065856</v>
      </c>
      <c r="F51">
        <v>0</v>
      </c>
      <c r="G51" s="243">
        <v>40755</v>
      </c>
      <c r="H51" t="s">
        <v>182</v>
      </c>
      <c r="I51">
        <v>15</v>
      </c>
      <c r="J51">
        <v>2</v>
      </c>
      <c r="K51">
        <v>1</v>
      </c>
      <c r="L51">
        <v>56242</v>
      </c>
      <c r="M51" t="str">
        <f t="shared" si="0"/>
        <v>13</v>
      </c>
      <c r="N51" t="s">
        <v>3323</v>
      </c>
      <c r="O51" t="str">
        <f t="shared" si="5"/>
        <v>51311</v>
      </c>
      <c r="P51" t="str">
        <f t="shared" si="7"/>
        <v>2100L</v>
      </c>
      <c r="Q51" t="str">
        <f t="shared" si="2"/>
        <v>0101</v>
      </c>
      <c r="R51">
        <v>2100</v>
      </c>
      <c r="S51" t="str">
        <f t="shared" si="6"/>
        <v>5130</v>
      </c>
      <c r="T51" t="s">
        <v>3329</v>
      </c>
      <c r="U51" t="s">
        <v>207</v>
      </c>
    </row>
    <row r="52" spans="1:21" ht="15" customHeight="1" x14ac:dyDescent="0.3">
      <c r="A52" t="s">
        <v>179</v>
      </c>
      <c r="B52" t="str">
        <f>"00074135"</f>
        <v>00074135</v>
      </c>
      <c r="C52" t="s">
        <v>4260</v>
      </c>
      <c r="D52" t="s">
        <v>4303</v>
      </c>
      <c r="E52" t="str">
        <f>"00070032"</f>
        <v>00070032</v>
      </c>
      <c r="F52">
        <v>0</v>
      </c>
      <c r="G52" s="243">
        <v>41133</v>
      </c>
      <c r="H52" t="s">
        <v>182</v>
      </c>
      <c r="I52">
        <v>15</v>
      </c>
      <c r="J52">
        <v>1</v>
      </c>
      <c r="K52">
        <v>1</v>
      </c>
      <c r="L52">
        <v>51539</v>
      </c>
      <c r="M52" t="str">
        <f t="shared" si="0"/>
        <v>13</v>
      </c>
      <c r="N52" t="s">
        <v>3370</v>
      </c>
      <c r="O52" t="str">
        <f t="shared" si="5"/>
        <v>51311</v>
      </c>
      <c r="P52" t="str">
        <f t="shared" si="7"/>
        <v>2100L</v>
      </c>
      <c r="Q52" t="str">
        <f t="shared" si="2"/>
        <v>0101</v>
      </c>
      <c r="R52">
        <v>2100</v>
      </c>
      <c r="S52" t="str">
        <f t="shared" si="6"/>
        <v>5130</v>
      </c>
      <c r="T52" t="s">
        <v>3329</v>
      </c>
      <c r="U52" t="s">
        <v>207</v>
      </c>
    </row>
    <row r="53" spans="1:21" ht="15" customHeight="1" x14ac:dyDescent="0.3">
      <c r="A53" t="s">
        <v>179</v>
      </c>
      <c r="B53" t="str">
        <f>"00074136"</f>
        <v>00074136</v>
      </c>
      <c r="C53" t="s">
        <v>4260</v>
      </c>
      <c r="D53" t="s">
        <v>3335</v>
      </c>
      <c r="E53" t="str">
        <f>"00065846"</f>
        <v>00065846</v>
      </c>
      <c r="F53">
        <v>0</v>
      </c>
      <c r="G53" s="243">
        <v>40755</v>
      </c>
      <c r="H53" t="s">
        <v>182</v>
      </c>
      <c r="I53">
        <v>15</v>
      </c>
      <c r="J53">
        <v>2</v>
      </c>
      <c r="K53">
        <v>1</v>
      </c>
      <c r="L53">
        <v>56242</v>
      </c>
      <c r="M53" t="str">
        <f t="shared" si="0"/>
        <v>13</v>
      </c>
      <c r="N53" t="s">
        <v>3323</v>
      </c>
      <c r="O53" t="str">
        <f t="shared" si="5"/>
        <v>51311</v>
      </c>
      <c r="P53" t="str">
        <f t="shared" si="7"/>
        <v>2100L</v>
      </c>
      <c r="Q53" t="str">
        <f t="shared" si="2"/>
        <v>0101</v>
      </c>
      <c r="R53">
        <v>2100</v>
      </c>
      <c r="S53" t="str">
        <f t="shared" si="6"/>
        <v>5130</v>
      </c>
      <c r="T53" t="s">
        <v>3329</v>
      </c>
      <c r="U53" t="s">
        <v>207</v>
      </c>
    </row>
    <row r="54" spans="1:21" ht="15" customHeight="1" x14ac:dyDescent="0.3">
      <c r="A54" t="s">
        <v>179</v>
      </c>
      <c r="B54" t="str">
        <f>"00074140"</f>
        <v>00074140</v>
      </c>
      <c r="C54" t="s">
        <v>200</v>
      </c>
      <c r="D54" t="s">
        <v>3331</v>
      </c>
      <c r="E54" t="str">
        <f>"00066359"</f>
        <v>00066359</v>
      </c>
      <c r="F54">
        <v>0</v>
      </c>
      <c r="G54" s="243">
        <v>40755</v>
      </c>
      <c r="H54" t="s">
        <v>182</v>
      </c>
      <c r="I54">
        <v>15</v>
      </c>
      <c r="J54">
        <v>11</v>
      </c>
      <c r="K54">
        <v>1</v>
      </c>
      <c r="L54">
        <v>81335</v>
      </c>
      <c r="M54" t="str">
        <f t="shared" si="0"/>
        <v>13</v>
      </c>
      <c r="N54" t="s">
        <v>3323</v>
      </c>
      <c r="O54" t="str">
        <f t="shared" si="5"/>
        <v>51311</v>
      </c>
      <c r="P54" t="str">
        <f t="shared" si="7"/>
        <v>2100L</v>
      </c>
      <c r="Q54" t="str">
        <f t="shared" si="2"/>
        <v>0101</v>
      </c>
      <c r="R54">
        <v>2100</v>
      </c>
      <c r="S54" t="str">
        <f t="shared" si="6"/>
        <v>5130</v>
      </c>
      <c r="T54" t="s">
        <v>3329</v>
      </c>
      <c r="U54" t="s">
        <v>207</v>
      </c>
    </row>
    <row r="55" spans="1:21" ht="15" customHeight="1" x14ac:dyDescent="0.3">
      <c r="A55" t="s">
        <v>179</v>
      </c>
      <c r="B55" t="str">
        <f>"00074142"</f>
        <v>00074142</v>
      </c>
      <c r="C55" t="s">
        <v>4274</v>
      </c>
      <c r="D55" t="s">
        <v>4304</v>
      </c>
      <c r="E55" t="str">
        <f>"00066642"</f>
        <v>00066642</v>
      </c>
      <c r="F55">
        <v>0</v>
      </c>
      <c r="G55" s="243">
        <v>40798</v>
      </c>
      <c r="H55" t="s">
        <v>182</v>
      </c>
      <c r="I55">
        <v>4</v>
      </c>
      <c r="J55">
        <v>4</v>
      </c>
      <c r="K55">
        <v>0.71</v>
      </c>
      <c r="L55">
        <v>24543.75</v>
      </c>
      <c r="M55" t="str">
        <f t="shared" si="0"/>
        <v>13</v>
      </c>
      <c r="N55" t="s">
        <v>3323</v>
      </c>
      <c r="O55" t="str">
        <f t="shared" si="5"/>
        <v>51311</v>
      </c>
      <c r="P55" t="str">
        <f t="shared" si="7"/>
        <v>2100L</v>
      </c>
      <c r="Q55" t="str">
        <f t="shared" si="2"/>
        <v>0101</v>
      </c>
      <c r="R55">
        <v>2100</v>
      </c>
      <c r="S55" t="str">
        <f t="shared" si="6"/>
        <v>5130</v>
      </c>
      <c r="T55" t="s">
        <v>3329</v>
      </c>
      <c r="U55" t="s">
        <v>207</v>
      </c>
    </row>
    <row r="56" spans="1:21" ht="15" customHeight="1" x14ac:dyDescent="0.3">
      <c r="A56" t="s">
        <v>179</v>
      </c>
      <c r="B56" t="str">
        <f>"00074146"</f>
        <v>00074146</v>
      </c>
      <c r="C56" t="s">
        <v>4272</v>
      </c>
      <c r="D56" t="s">
        <v>4305</v>
      </c>
      <c r="E56" t="str">
        <f>"00061566"</f>
        <v>00061566</v>
      </c>
      <c r="F56">
        <v>0</v>
      </c>
      <c r="G56" s="243">
        <v>41133</v>
      </c>
      <c r="H56" t="s">
        <v>182</v>
      </c>
      <c r="I56">
        <v>15</v>
      </c>
      <c r="J56">
        <v>1</v>
      </c>
      <c r="K56">
        <v>1</v>
      </c>
      <c r="L56">
        <v>51539</v>
      </c>
      <c r="M56" t="str">
        <f t="shared" si="0"/>
        <v>13</v>
      </c>
      <c r="N56" t="s">
        <v>3370</v>
      </c>
      <c r="O56" t="str">
        <f t="shared" si="5"/>
        <v>51311</v>
      </c>
      <c r="P56" t="str">
        <f t="shared" si="7"/>
        <v>2100L</v>
      </c>
      <c r="Q56" t="str">
        <f t="shared" si="2"/>
        <v>0101</v>
      </c>
      <c r="R56">
        <v>2100</v>
      </c>
      <c r="S56" t="str">
        <f t="shared" si="6"/>
        <v>5130</v>
      </c>
      <c r="T56" t="s">
        <v>3329</v>
      </c>
      <c r="U56" t="s">
        <v>207</v>
      </c>
    </row>
    <row r="57" spans="1:21" ht="15" customHeight="1" x14ac:dyDescent="0.3">
      <c r="A57" t="s">
        <v>179</v>
      </c>
      <c r="B57" t="str">
        <f>"00074323"</f>
        <v>00074323</v>
      </c>
      <c r="C57" t="s">
        <v>4260</v>
      </c>
      <c r="D57" t="s">
        <v>2716</v>
      </c>
      <c r="E57" t="str">
        <f>"00062615"</f>
        <v>00062615</v>
      </c>
      <c r="F57">
        <v>0</v>
      </c>
      <c r="G57" s="243">
        <v>40406</v>
      </c>
      <c r="H57" t="s">
        <v>182</v>
      </c>
      <c r="I57">
        <v>15</v>
      </c>
      <c r="J57">
        <v>2</v>
      </c>
      <c r="K57">
        <v>1</v>
      </c>
      <c r="L57">
        <v>56242</v>
      </c>
      <c r="M57" t="str">
        <f t="shared" si="0"/>
        <v>13</v>
      </c>
      <c r="N57" t="s">
        <v>3323</v>
      </c>
      <c r="O57" t="str">
        <f t="shared" si="5"/>
        <v>51311</v>
      </c>
      <c r="P57" t="str">
        <f>"3030L"</f>
        <v>3030L</v>
      </c>
      <c r="Q57" t="str">
        <f t="shared" si="2"/>
        <v>0101</v>
      </c>
      <c r="R57">
        <v>3030</v>
      </c>
      <c r="S57" t="str">
        <f t="shared" si="6"/>
        <v>5130</v>
      </c>
      <c r="T57" t="s">
        <v>3329</v>
      </c>
      <c r="U57" t="s">
        <v>207</v>
      </c>
    </row>
    <row r="58" spans="1:21" ht="15" customHeight="1" x14ac:dyDescent="0.3">
      <c r="A58" t="s">
        <v>179</v>
      </c>
      <c r="B58" t="str">
        <f>"00074679"</f>
        <v>00074679</v>
      </c>
      <c r="C58" t="s">
        <v>4262</v>
      </c>
      <c r="D58" t="s">
        <v>216</v>
      </c>
      <c r="E58" t="str">
        <f>"00063131"</f>
        <v>00063131</v>
      </c>
      <c r="F58">
        <v>0</v>
      </c>
      <c r="G58" s="243">
        <v>40406</v>
      </c>
      <c r="H58" t="s">
        <v>182</v>
      </c>
      <c r="I58">
        <v>15</v>
      </c>
      <c r="J58">
        <v>12</v>
      </c>
      <c r="K58">
        <v>1</v>
      </c>
      <c r="L58">
        <v>87431</v>
      </c>
      <c r="M58" t="str">
        <f t="shared" si="0"/>
        <v>13</v>
      </c>
      <c r="N58" t="s">
        <v>3323</v>
      </c>
      <c r="O58" t="str">
        <f t="shared" si="5"/>
        <v>51311</v>
      </c>
      <c r="P58" t="str">
        <f>"2100L"</f>
        <v>2100L</v>
      </c>
      <c r="Q58" t="str">
        <f t="shared" si="2"/>
        <v>0101</v>
      </c>
      <c r="R58">
        <v>2100</v>
      </c>
      <c r="S58" t="str">
        <f t="shared" si="6"/>
        <v>5130</v>
      </c>
      <c r="T58" t="s">
        <v>3329</v>
      </c>
      <c r="U58" t="s">
        <v>207</v>
      </c>
    </row>
    <row r="59" spans="1:21" ht="15" customHeight="1" x14ac:dyDescent="0.3">
      <c r="A59" t="s">
        <v>179</v>
      </c>
      <c r="B59" t="str">
        <f>"00074691"</f>
        <v>00074691</v>
      </c>
      <c r="C59" t="s">
        <v>4256</v>
      </c>
      <c r="D59" t="s">
        <v>3337</v>
      </c>
      <c r="E59" t="str">
        <f>"00066449"</f>
        <v>00066449</v>
      </c>
      <c r="F59">
        <v>0</v>
      </c>
      <c r="G59" s="243">
        <v>40755</v>
      </c>
      <c r="H59" t="s">
        <v>182</v>
      </c>
      <c r="I59">
        <v>15</v>
      </c>
      <c r="J59">
        <v>2</v>
      </c>
      <c r="K59">
        <v>1</v>
      </c>
      <c r="L59">
        <v>56242</v>
      </c>
      <c r="M59" t="str">
        <f t="shared" si="0"/>
        <v>13</v>
      </c>
      <c r="N59" t="s">
        <v>3323</v>
      </c>
      <c r="O59" t="str">
        <f t="shared" si="5"/>
        <v>51311</v>
      </c>
      <c r="P59" t="str">
        <f>"2100L"</f>
        <v>2100L</v>
      </c>
      <c r="Q59" t="str">
        <f t="shared" si="2"/>
        <v>0101</v>
      </c>
      <c r="R59">
        <v>2100</v>
      </c>
      <c r="S59" t="str">
        <f t="shared" si="6"/>
        <v>5130</v>
      </c>
      <c r="T59" t="s">
        <v>3329</v>
      </c>
      <c r="U59" t="s">
        <v>207</v>
      </c>
    </row>
    <row r="60" spans="1:21" ht="15" customHeight="1" x14ac:dyDescent="0.3">
      <c r="A60" t="s">
        <v>179</v>
      </c>
      <c r="B60" t="str">
        <f>"00074693"</f>
        <v>00074693</v>
      </c>
      <c r="C60" t="s">
        <v>4262</v>
      </c>
      <c r="D60" t="s">
        <v>3339</v>
      </c>
      <c r="E60" t="str">
        <f>"00065879"</f>
        <v>00065879</v>
      </c>
      <c r="F60">
        <v>0</v>
      </c>
      <c r="G60" s="243">
        <v>40755</v>
      </c>
      <c r="H60" t="s">
        <v>182</v>
      </c>
      <c r="I60">
        <v>15</v>
      </c>
      <c r="J60">
        <v>4</v>
      </c>
      <c r="K60">
        <v>1</v>
      </c>
      <c r="L60">
        <v>61158</v>
      </c>
      <c r="M60" t="str">
        <f t="shared" si="0"/>
        <v>13</v>
      </c>
      <c r="N60" t="s">
        <v>3323</v>
      </c>
      <c r="O60" t="str">
        <f t="shared" si="5"/>
        <v>51311</v>
      </c>
      <c r="P60" t="str">
        <f>"2100L"</f>
        <v>2100L</v>
      </c>
      <c r="Q60" t="str">
        <f t="shared" si="2"/>
        <v>0101</v>
      </c>
      <c r="R60">
        <v>2100</v>
      </c>
      <c r="S60" t="str">
        <f t="shared" si="6"/>
        <v>5130</v>
      </c>
      <c r="T60" t="s">
        <v>3329</v>
      </c>
      <c r="U60" t="s">
        <v>207</v>
      </c>
    </row>
    <row r="61" spans="1:21" ht="15" customHeight="1" x14ac:dyDescent="0.3">
      <c r="A61" t="s">
        <v>179</v>
      </c>
      <c r="B61" t="str">
        <f>"00076033"</f>
        <v>00076033</v>
      </c>
      <c r="C61" t="s">
        <v>4306</v>
      </c>
      <c r="H61" t="s">
        <v>170</v>
      </c>
      <c r="I61">
        <v>9</v>
      </c>
      <c r="J61">
        <v>0</v>
      </c>
      <c r="K61">
        <v>1</v>
      </c>
      <c r="L61">
        <v>33163</v>
      </c>
      <c r="M61" t="str">
        <f t="shared" si="0"/>
        <v>13</v>
      </c>
      <c r="N61" t="s">
        <v>3370</v>
      </c>
      <c r="O61" t="str">
        <f t="shared" si="5"/>
        <v>51311</v>
      </c>
      <c r="P61" t="str">
        <f>"1502L"</f>
        <v>1502L</v>
      </c>
      <c r="Q61" t="str">
        <f t="shared" si="2"/>
        <v>0101</v>
      </c>
      <c r="R61">
        <v>1502</v>
      </c>
      <c r="S61" t="str">
        <f t="shared" si="6"/>
        <v>5130</v>
      </c>
      <c r="T61" t="s">
        <v>3329</v>
      </c>
      <c r="U61" t="s">
        <v>207</v>
      </c>
    </row>
    <row r="62" spans="1:21" ht="15" customHeight="1" x14ac:dyDescent="0.3">
      <c r="A62" t="s">
        <v>179</v>
      </c>
      <c r="B62" t="str">
        <f>"00076444"</f>
        <v>00076444</v>
      </c>
      <c r="C62" t="s">
        <v>4274</v>
      </c>
      <c r="D62" t="s">
        <v>4307</v>
      </c>
      <c r="E62" t="str">
        <f>"00069597"</f>
        <v>00069597</v>
      </c>
      <c r="F62">
        <v>0</v>
      </c>
      <c r="G62" s="243">
        <v>41133</v>
      </c>
      <c r="H62" t="s">
        <v>182</v>
      </c>
      <c r="I62">
        <v>4</v>
      </c>
      <c r="J62">
        <v>4</v>
      </c>
      <c r="K62">
        <v>0.71</v>
      </c>
      <c r="L62">
        <v>24543.75</v>
      </c>
      <c r="M62" t="str">
        <f t="shared" si="0"/>
        <v>13</v>
      </c>
      <c r="N62" t="s">
        <v>3370</v>
      </c>
      <c r="O62" t="str">
        <f t="shared" si="5"/>
        <v>51311</v>
      </c>
      <c r="P62" t="str">
        <f>"2200L"</f>
        <v>2200L</v>
      </c>
      <c r="Q62" t="str">
        <f t="shared" si="2"/>
        <v>0101</v>
      </c>
      <c r="R62">
        <v>2200</v>
      </c>
      <c r="S62" t="str">
        <f t="shared" si="6"/>
        <v>5130</v>
      </c>
      <c r="T62" t="s">
        <v>3329</v>
      </c>
      <c r="U62" t="s">
        <v>207</v>
      </c>
    </row>
    <row r="63" spans="1:21" ht="15" customHeight="1" x14ac:dyDescent="0.3">
      <c r="A63" t="s">
        <v>179</v>
      </c>
      <c r="B63" t="str">
        <f>"00076445"</f>
        <v>00076445</v>
      </c>
      <c r="C63" t="s">
        <v>4274</v>
      </c>
      <c r="D63" t="s">
        <v>4308</v>
      </c>
      <c r="E63" t="str">
        <f>"00069990"</f>
        <v>00069990</v>
      </c>
      <c r="F63">
        <v>0</v>
      </c>
      <c r="G63" s="243">
        <v>41133</v>
      </c>
      <c r="H63" t="s">
        <v>182</v>
      </c>
      <c r="I63">
        <v>4</v>
      </c>
      <c r="J63">
        <v>10</v>
      </c>
      <c r="K63">
        <v>0.71</v>
      </c>
      <c r="L63">
        <v>28721</v>
      </c>
      <c r="M63" t="str">
        <f t="shared" si="0"/>
        <v>13</v>
      </c>
      <c r="N63" t="s">
        <v>3323</v>
      </c>
      <c r="O63" t="str">
        <f t="shared" si="5"/>
        <v>51311</v>
      </c>
      <c r="P63" t="str">
        <f>"2200L"</f>
        <v>2200L</v>
      </c>
      <c r="Q63" t="str">
        <f t="shared" si="2"/>
        <v>0101</v>
      </c>
      <c r="R63">
        <v>2200</v>
      </c>
      <c r="S63" t="str">
        <f t="shared" si="6"/>
        <v>5130</v>
      </c>
      <c r="T63" t="s">
        <v>3329</v>
      </c>
      <c r="U63" t="s">
        <v>207</v>
      </c>
    </row>
    <row r="64" spans="1:21" ht="15" customHeight="1" x14ac:dyDescent="0.3">
      <c r="A64" t="s">
        <v>179</v>
      </c>
      <c r="B64" t="str">
        <f>"00076633"</f>
        <v>00076633</v>
      </c>
      <c r="C64" t="s">
        <v>4262</v>
      </c>
      <c r="D64" t="s">
        <v>4309</v>
      </c>
      <c r="E64" t="str">
        <f>"00057463"</f>
        <v>00057463</v>
      </c>
      <c r="F64">
        <v>0</v>
      </c>
      <c r="G64" s="243">
        <v>40042</v>
      </c>
      <c r="H64" t="s">
        <v>182</v>
      </c>
      <c r="I64">
        <v>15</v>
      </c>
      <c r="J64">
        <v>1</v>
      </c>
      <c r="K64">
        <v>1</v>
      </c>
      <c r="L64">
        <v>53256</v>
      </c>
      <c r="M64" t="str">
        <f t="shared" ref="M64:M123" si="8">"13"</f>
        <v>13</v>
      </c>
      <c r="N64" t="s">
        <v>3370</v>
      </c>
      <c r="O64" t="str">
        <f t="shared" si="5"/>
        <v>51311</v>
      </c>
      <c r="P64" t="str">
        <f>"2100L"</f>
        <v>2100L</v>
      </c>
      <c r="Q64" t="str">
        <f t="shared" ref="Q64:Q123" si="9">"0101"</f>
        <v>0101</v>
      </c>
      <c r="R64">
        <v>2100</v>
      </c>
      <c r="S64" t="str">
        <f t="shared" si="6"/>
        <v>5130</v>
      </c>
      <c r="T64" t="s">
        <v>3329</v>
      </c>
      <c r="U64" t="s">
        <v>207</v>
      </c>
    </row>
    <row r="65" spans="1:21" ht="15" customHeight="1" x14ac:dyDescent="0.3">
      <c r="A65" t="s">
        <v>179</v>
      </c>
      <c r="B65" t="str">
        <f>"00076634"</f>
        <v>00076634</v>
      </c>
      <c r="C65" t="s">
        <v>4262</v>
      </c>
      <c r="D65" t="s">
        <v>4310</v>
      </c>
      <c r="E65" t="str">
        <f>"00066574"</f>
        <v>00066574</v>
      </c>
      <c r="F65">
        <v>0</v>
      </c>
      <c r="G65" s="243">
        <v>40770</v>
      </c>
      <c r="H65" t="s">
        <v>182</v>
      </c>
      <c r="I65">
        <v>15</v>
      </c>
      <c r="J65">
        <v>1</v>
      </c>
      <c r="K65">
        <v>1</v>
      </c>
      <c r="L65">
        <v>53256</v>
      </c>
      <c r="M65" t="str">
        <f t="shared" si="8"/>
        <v>13</v>
      </c>
      <c r="N65" t="s">
        <v>3370</v>
      </c>
      <c r="O65" t="str">
        <f t="shared" si="5"/>
        <v>51311</v>
      </c>
      <c r="P65" t="str">
        <f>"2100L"</f>
        <v>2100L</v>
      </c>
      <c r="Q65" t="str">
        <f t="shared" si="9"/>
        <v>0101</v>
      </c>
      <c r="R65">
        <v>2100</v>
      </c>
      <c r="S65" t="str">
        <f t="shared" si="6"/>
        <v>5130</v>
      </c>
      <c r="T65" t="s">
        <v>3329</v>
      </c>
      <c r="U65" t="s">
        <v>207</v>
      </c>
    </row>
    <row r="66" spans="1:21" ht="15" customHeight="1" x14ac:dyDescent="0.3">
      <c r="A66" t="s">
        <v>179</v>
      </c>
      <c r="B66" t="str">
        <f>"00076635"</f>
        <v>00076635</v>
      </c>
      <c r="C66" t="s">
        <v>4271</v>
      </c>
      <c r="D66" t="s">
        <v>221</v>
      </c>
      <c r="E66" t="str">
        <f>"00050462"</f>
        <v>00050462</v>
      </c>
      <c r="F66">
        <v>0</v>
      </c>
      <c r="G66" s="243">
        <v>39679</v>
      </c>
      <c r="H66" t="s">
        <v>182</v>
      </c>
      <c r="I66">
        <v>15</v>
      </c>
      <c r="J66">
        <v>12</v>
      </c>
      <c r="K66">
        <v>0.5</v>
      </c>
      <c r="L66">
        <v>92613</v>
      </c>
      <c r="M66" t="str">
        <f t="shared" si="8"/>
        <v>13</v>
      </c>
      <c r="N66" t="s">
        <v>3370</v>
      </c>
      <c r="O66" t="str">
        <f t="shared" si="5"/>
        <v>51311</v>
      </c>
      <c r="P66" t="str">
        <f>"2100L"</f>
        <v>2100L</v>
      </c>
      <c r="Q66" t="str">
        <f t="shared" si="9"/>
        <v>0101</v>
      </c>
      <c r="R66">
        <v>2100</v>
      </c>
      <c r="S66" t="str">
        <f t="shared" si="6"/>
        <v>5130</v>
      </c>
      <c r="T66" t="s">
        <v>3329</v>
      </c>
      <c r="U66" t="s">
        <v>207</v>
      </c>
    </row>
    <row r="67" spans="1:21" ht="15" customHeight="1" x14ac:dyDescent="0.3">
      <c r="A67" t="s">
        <v>179</v>
      </c>
      <c r="B67" t="str">
        <f>"00076768"</f>
        <v>00076768</v>
      </c>
      <c r="C67" t="s">
        <v>4274</v>
      </c>
      <c r="D67" t="s">
        <v>4311</v>
      </c>
      <c r="E67" t="str">
        <f>"00070175"</f>
        <v>00070175</v>
      </c>
      <c r="F67">
        <v>0</v>
      </c>
      <c r="G67" s="243">
        <v>41148</v>
      </c>
      <c r="H67" t="s">
        <v>182</v>
      </c>
      <c r="I67">
        <v>4</v>
      </c>
      <c r="J67">
        <v>4</v>
      </c>
      <c r="K67">
        <v>1</v>
      </c>
      <c r="L67">
        <v>24543.75</v>
      </c>
      <c r="M67" t="str">
        <f t="shared" si="8"/>
        <v>13</v>
      </c>
      <c r="N67" t="s">
        <v>3370</v>
      </c>
      <c r="O67" t="str">
        <f t="shared" si="5"/>
        <v>51311</v>
      </c>
      <c r="P67" t="str">
        <f>"1502L"</f>
        <v>1502L</v>
      </c>
      <c r="Q67" t="str">
        <f t="shared" si="9"/>
        <v>0101</v>
      </c>
      <c r="R67">
        <v>1502</v>
      </c>
      <c r="S67" t="str">
        <f t="shared" si="6"/>
        <v>5130</v>
      </c>
      <c r="T67" t="s">
        <v>3329</v>
      </c>
      <c r="U67" t="s">
        <v>207</v>
      </c>
    </row>
    <row r="68" spans="1:21" ht="15" customHeight="1" x14ac:dyDescent="0.3">
      <c r="A68" t="s">
        <v>179</v>
      </c>
      <c r="B68" t="str">
        <f>"00076769"</f>
        <v>00076769</v>
      </c>
      <c r="C68" t="s">
        <v>4312</v>
      </c>
      <c r="H68" t="s">
        <v>170</v>
      </c>
      <c r="I68">
        <v>15</v>
      </c>
      <c r="J68">
        <v>0</v>
      </c>
      <c r="K68">
        <v>1</v>
      </c>
      <c r="L68">
        <v>51539</v>
      </c>
      <c r="M68" t="str">
        <f t="shared" si="8"/>
        <v>13</v>
      </c>
      <c r="N68" t="s">
        <v>3370</v>
      </c>
      <c r="O68" t="str">
        <f t="shared" si="5"/>
        <v>51311</v>
      </c>
      <c r="P68" t="str">
        <f>"1502L"</f>
        <v>1502L</v>
      </c>
      <c r="Q68" t="str">
        <f t="shared" si="9"/>
        <v>0101</v>
      </c>
      <c r="R68">
        <v>1502</v>
      </c>
      <c r="S68" t="str">
        <f t="shared" si="6"/>
        <v>5130</v>
      </c>
      <c r="T68" t="s">
        <v>3329</v>
      </c>
      <c r="U68" t="s">
        <v>207</v>
      </c>
    </row>
    <row r="69" spans="1:21" ht="15" customHeight="1" x14ac:dyDescent="0.3">
      <c r="A69" t="s">
        <v>179</v>
      </c>
      <c r="B69" t="str">
        <f>"00051706"</f>
        <v>00051706</v>
      </c>
      <c r="C69" t="s">
        <v>4274</v>
      </c>
      <c r="D69" t="s">
        <v>4313</v>
      </c>
      <c r="E69" t="str">
        <f>"00069760"</f>
        <v>00069760</v>
      </c>
      <c r="F69">
        <v>0</v>
      </c>
      <c r="G69" s="243">
        <v>41133</v>
      </c>
      <c r="H69" t="s">
        <v>182</v>
      </c>
      <c r="I69">
        <v>4</v>
      </c>
      <c r="J69">
        <v>4</v>
      </c>
      <c r="K69">
        <v>1</v>
      </c>
      <c r="L69">
        <v>24543.75</v>
      </c>
      <c r="M69" t="str">
        <f t="shared" si="8"/>
        <v>13</v>
      </c>
      <c r="N69" t="s">
        <v>3370</v>
      </c>
      <c r="O69" t="str">
        <f t="shared" ref="O69:O96" si="10">"51411"</f>
        <v>51411</v>
      </c>
      <c r="P69" t="str">
        <f>"2200L"</f>
        <v>2200L</v>
      </c>
      <c r="Q69" t="str">
        <f t="shared" si="9"/>
        <v>0101</v>
      </c>
      <c r="R69">
        <v>2200</v>
      </c>
      <c r="S69" t="str">
        <f t="shared" ref="S69:S96" si="11">"5140"</f>
        <v>5140</v>
      </c>
      <c r="T69" t="s">
        <v>3341</v>
      </c>
      <c r="U69" t="s">
        <v>16</v>
      </c>
    </row>
    <row r="70" spans="1:21" ht="15" customHeight="1" x14ac:dyDescent="0.3">
      <c r="A70" t="s">
        <v>179</v>
      </c>
      <c r="B70" t="str">
        <f>"00051727"</f>
        <v>00051727</v>
      </c>
      <c r="C70" t="s">
        <v>4262</v>
      </c>
      <c r="D70" t="s">
        <v>357</v>
      </c>
      <c r="E70" t="str">
        <f>"00045676"</f>
        <v>00045676</v>
      </c>
      <c r="F70">
        <v>0</v>
      </c>
      <c r="G70" s="243">
        <v>33918</v>
      </c>
      <c r="H70" t="s">
        <v>182</v>
      </c>
      <c r="I70">
        <v>15</v>
      </c>
      <c r="J70">
        <v>16</v>
      </c>
      <c r="K70">
        <v>1</v>
      </c>
      <c r="L70">
        <v>100839</v>
      </c>
      <c r="M70" t="str">
        <f t="shared" si="8"/>
        <v>13</v>
      </c>
      <c r="N70" t="s">
        <v>3323</v>
      </c>
      <c r="O70" t="str">
        <f t="shared" si="10"/>
        <v>51411</v>
      </c>
      <c r="P70" t="str">
        <f>"2100L"</f>
        <v>2100L</v>
      </c>
      <c r="Q70" t="str">
        <f t="shared" si="9"/>
        <v>0101</v>
      </c>
      <c r="R70">
        <v>2100</v>
      </c>
      <c r="S70" t="str">
        <f t="shared" si="11"/>
        <v>5140</v>
      </c>
      <c r="T70" t="s">
        <v>3341</v>
      </c>
      <c r="U70" t="s">
        <v>16</v>
      </c>
    </row>
    <row r="71" spans="1:21" ht="15" customHeight="1" x14ac:dyDescent="0.3">
      <c r="A71" t="s">
        <v>179</v>
      </c>
      <c r="B71" t="str">
        <f>"00051975"</f>
        <v>00051975</v>
      </c>
      <c r="C71" t="s">
        <v>4272</v>
      </c>
      <c r="D71" t="s">
        <v>358</v>
      </c>
      <c r="E71" t="str">
        <f>"00046762"</f>
        <v>00046762</v>
      </c>
      <c r="F71">
        <v>0</v>
      </c>
      <c r="G71" s="243">
        <v>35675</v>
      </c>
      <c r="H71" t="s">
        <v>182</v>
      </c>
      <c r="I71">
        <v>15</v>
      </c>
      <c r="J71">
        <v>15</v>
      </c>
      <c r="K71">
        <v>1</v>
      </c>
      <c r="L71">
        <v>98285</v>
      </c>
      <c r="M71" t="str">
        <f t="shared" si="8"/>
        <v>13</v>
      </c>
      <c r="N71" t="s">
        <v>3323</v>
      </c>
      <c r="O71" t="str">
        <f t="shared" si="10"/>
        <v>51411</v>
      </c>
      <c r="P71" t="str">
        <f>"2100L"</f>
        <v>2100L</v>
      </c>
      <c r="Q71" t="str">
        <f t="shared" si="9"/>
        <v>0101</v>
      </c>
      <c r="R71">
        <v>2100</v>
      </c>
      <c r="S71" t="str">
        <f t="shared" si="11"/>
        <v>5140</v>
      </c>
      <c r="T71" t="s">
        <v>3341</v>
      </c>
      <c r="U71" t="s">
        <v>16</v>
      </c>
    </row>
    <row r="72" spans="1:21" ht="15" customHeight="1" x14ac:dyDescent="0.3">
      <c r="A72" t="s">
        <v>179</v>
      </c>
      <c r="B72" t="str">
        <f>"00052059"</f>
        <v>00052059</v>
      </c>
      <c r="C72" t="s">
        <v>4262</v>
      </c>
      <c r="D72" t="s">
        <v>4314</v>
      </c>
      <c r="E72" t="str">
        <f>"00069733"</f>
        <v>00069733</v>
      </c>
      <c r="F72">
        <v>0</v>
      </c>
      <c r="G72" s="243">
        <v>41133</v>
      </c>
      <c r="H72" t="s">
        <v>182</v>
      </c>
      <c r="I72">
        <v>15</v>
      </c>
      <c r="J72">
        <v>1</v>
      </c>
      <c r="K72">
        <v>1</v>
      </c>
      <c r="L72">
        <v>51539</v>
      </c>
      <c r="M72" t="str">
        <f t="shared" si="8"/>
        <v>13</v>
      </c>
      <c r="N72" t="s">
        <v>3370</v>
      </c>
      <c r="O72" t="str">
        <f t="shared" si="10"/>
        <v>51411</v>
      </c>
      <c r="P72" t="str">
        <f>"2100L"</f>
        <v>2100L</v>
      </c>
      <c r="Q72" t="str">
        <f t="shared" si="9"/>
        <v>0101</v>
      </c>
      <c r="R72">
        <v>2100</v>
      </c>
      <c r="S72" t="str">
        <f t="shared" si="11"/>
        <v>5140</v>
      </c>
      <c r="T72" t="s">
        <v>3341</v>
      </c>
      <c r="U72" t="s">
        <v>16</v>
      </c>
    </row>
    <row r="73" spans="1:21" ht="15" customHeight="1" x14ac:dyDescent="0.3">
      <c r="A73" t="s">
        <v>179</v>
      </c>
      <c r="B73" t="str">
        <f>"00052201"</f>
        <v>00052201</v>
      </c>
      <c r="C73" t="s">
        <v>4272</v>
      </c>
      <c r="D73" t="s">
        <v>359</v>
      </c>
      <c r="E73" t="str">
        <f>"00047619"</f>
        <v>00047619</v>
      </c>
      <c r="F73">
        <v>0</v>
      </c>
      <c r="G73" s="243">
        <v>35305</v>
      </c>
      <c r="H73" t="s">
        <v>182</v>
      </c>
      <c r="I73">
        <v>15</v>
      </c>
      <c r="J73">
        <v>14</v>
      </c>
      <c r="K73">
        <v>1</v>
      </c>
      <c r="L73">
        <v>96460</v>
      </c>
      <c r="M73" t="str">
        <f t="shared" si="8"/>
        <v>13</v>
      </c>
      <c r="N73" t="s">
        <v>3323</v>
      </c>
      <c r="O73" t="str">
        <f t="shared" si="10"/>
        <v>51411</v>
      </c>
      <c r="P73" t="str">
        <f>"2200L"</f>
        <v>2200L</v>
      </c>
      <c r="Q73" t="str">
        <f t="shared" si="9"/>
        <v>0101</v>
      </c>
      <c r="R73">
        <v>2200</v>
      </c>
      <c r="S73" t="str">
        <f t="shared" si="11"/>
        <v>5140</v>
      </c>
      <c r="T73" t="s">
        <v>3341</v>
      </c>
      <c r="U73" t="s">
        <v>16</v>
      </c>
    </row>
    <row r="74" spans="1:21" ht="15" customHeight="1" x14ac:dyDescent="0.3">
      <c r="A74" t="s">
        <v>179</v>
      </c>
      <c r="B74" t="str">
        <f>"00052756"</f>
        <v>00052756</v>
      </c>
      <c r="C74" t="s">
        <v>4254</v>
      </c>
      <c r="D74" t="s">
        <v>1077</v>
      </c>
      <c r="E74" t="str">
        <f>"00051829"</f>
        <v>00051829</v>
      </c>
      <c r="F74">
        <v>0</v>
      </c>
      <c r="G74" s="243">
        <v>32792</v>
      </c>
      <c r="H74" t="s">
        <v>182</v>
      </c>
      <c r="I74">
        <v>15</v>
      </c>
      <c r="J74">
        <v>16</v>
      </c>
      <c r="K74">
        <v>1</v>
      </c>
      <c r="L74">
        <v>100839</v>
      </c>
      <c r="M74" t="str">
        <f t="shared" si="8"/>
        <v>13</v>
      </c>
      <c r="N74" t="s">
        <v>3323</v>
      </c>
      <c r="O74" t="str">
        <f t="shared" si="10"/>
        <v>51411</v>
      </c>
      <c r="P74" t="str">
        <f t="shared" ref="P74:P81" si="12">"2100L"</f>
        <v>2100L</v>
      </c>
      <c r="Q74" t="str">
        <f t="shared" si="9"/>
        <v>0101</v>
      </c>
      <c r="R74">
        <v>2100</v>
      </c>
      <c r="S74" t="str">
        <f t="shared" si="11"/>
        <v>5140</v>
      </c>
      <c r="T74" t="s">
        <v>3341</v>
      </c>
      <c r="U74" t="s">
        <v>16</v>
      </c>
    </row>
    <row r="75" spans="1:21" ht="15" customHeight="1" x14ac:dyDescent="0.3">
      <c r="A75" t="s">
        <v>179</v>
      </c>
      <c r="B75" t="str">
        <f>"00052862"</f>
        <v>00052862</v>
      </c>
      <c r="C75" t="s">
        <v>4257</v>
      </c>
      <c r="D75" t="s">
        <v>360</v>
      </c>
      <c r="E75" t="str">
        <f>"00045827"</f>
        <v>00045827</v>
      </c>
      <c r="F75">
        <v>0</v>
      </c>
      <c r="G75" s="243">
        <v>38951</v>
      </c>
      <c r="H75" t="s">
        <v>182</v>
      </c>
      <c r="I75">
        <v>15</v>
      </c>
      <c r="J75">
        <v>7</v>
      </c>
      <c r="K75">
        <v>1</v>
      </c>
      <c r="L75">
        <v>69132</v>
      </c>
      <c r="M75" t="str">
        <f t="shared" si="8"/>
        <v>13</v>
      </c>
      <c r="N75" t="s">
        <v>3323</v>
      </c>
      <c r="O75" t="str">
        <f t="shared" si="10"/>
        <v>51411</v>
      </c>
      <c r="P75" t="str">
        <f t="shared" si="12"/>
        <v>2100L</v>
      </c>
      <c r="Q75" t="str">
        <f t="shared" si="9"/>
        <v>0101</v>
      </c>
      <c r="R75">
        <v>2100</v>
      </c>
      <c r="S75" t="str">
        <f t="shared" si="11"/>
        <v>5140</v>
      </c>
      <c r="T75" t="s">
        <v>3341</v>
      </c>
      <c r="U75" t="s">
        <v>16</v>
      </c>
    </row>
    <row r="76" spans="1:21" ht="15" customHeight="1" x14ac:dyDescent="0.3">
      <c r="A76" t="s">
        <v>179</v>
      </c>
      <c r="B76" t="str">
        <f>"00052920"</f>
        <v>00052920</v>
      </c>
      <c r="C76" t="s">
        <v>4266</v>
      </c>
      <c r="D76" t="s">
        <v>3349</v>
      </c>
      <c r="E76" t="str">
        <f>"00063990"</f>
        <v>00063990</v>
      </c>
      <c r="F76">
        <v>0</v>
      </c>
      <c r="G76" s="243">
        <v>40469</v>
      </c>
      <c r="H76" t="s">
        <v>182</v>
      </c>
      <c r="I76">
        <v>15</v>
      </c>
      <c r="J76">
        <v>8</v>
      </c>
      <c r="K76">
        <v>1</v>
      </c>
      <c r="L76">
        <v>63517</v>
      </c>
      <c r="M76" t="str">
        <f t="shared" si="8"/>
        <v>13</v>
      </c>
      <c r="N76" t="s">
        <v>3323</v>
      </c>
      <c r="O76" t="str">
        <f t="shared" si="10"/>
        <v>51411</v>
      </c>
      <c r="P76" t="str">
        <f t="shared" si="12"/>
        <v>2100L</v>
      </c>
      <c r="Q76" t="str">
        <f t="shared" si="9"/>
        <v>0101</v>
      </c>
      <c r="R76">
        <v>2100</v>
      </c>
      <c r="S76" t="str">
        <f t="shared" si="11"/>
        <v>5140</v>
      </c>
      <c r="T76" t="s">
        <v>3341</v>
      </c>
      <c r="U76" t="s">
        <v>16</v>
      </c>
    </row>
    <row r="77" spans="1:21" ht="15" customHeight="1" x14ac:dyDescent="0.3">
      <c r="A77" t="s">
        <v>179</v>
      </c>
      <c r="B77" t="str">
        <f>"00052932"</f>
        <v>00052932</v>
      </c>
      <c r="C77" t="s">
        <v>4262</v>
      </c>
      <c r="D77" t="s">
        <v>4315</v>
      </c>
      <c r="E77" t="str">
        <f>"00069784"</f>
        <v>00069784</v>
      </c>
      <c r="F77">
        <v>0</v>
      </c>
      <c r="G77" s="243">
        <v>41133</v>
      </c>
      <c r="H77" t="s">
        <v>182</v>
      </c>
      <c r="I77">
        <v>15</v>
      </c>
      <c r="J77">
        <v>3</v>
      </c>
      <c r="K77">
        <v>1</v>
      </c>
      <c r="L77">
        <v>58699</v>
      </c>
      <c r="M77" t="str">
        <f t="shared" si="8"/>
        <v>13</v>
      </c>
      <c r="N77" t="s">
        <v>3370</v>
      </c>
      <c r="O77" t="str">
        <f t="shared" si="10"/>
        <v>51411</v>
      </c>
      <c r="P77" t="str">
        <f t="shared" si="12"/>
        <v>2100L</v>
      </c>
      <c r="Q77" t="str">
        <f t="shared" si="9"/>
        <v>0101</v>
      </c>
      <c r="R77">
        <v>2100</v>
      </c>
      <c r="S77" t="str">
        <f t="shared" si="11"/>
        <v>5140</v>
      </c>
      <c r="T77" t="s">
        <v>3341</v>
      </c>
      <c r="U77" t="s">
        <v>16</v>
      </c>
    </row>
    <row r="78" spans="1:21" ht="15" customHeight="1" x14ac:dyDescent="0.3">
      <c r="A78" t="s">
        <v>179</v>
      </c>
      <c r="B78" t="str">
        <f>"00052995"</f>
        <v>00052995</v>
      </c>
      <c r="C78" t="s">
        <v>4266</v>
      </c>
      <c r="D78" t="s">
        <v>361</v>
      </c>
      <c r="E78" t="str">
        <f>"00050661"</f>
        <v>00050661</v>
      </c>
      <c r="F78">
        <v>0</v>
      </c>
      <c r="G78" s="243">
        <v>34941</v>
      </c>
      <c r="H78" t="s">
        <v>182</v>
      </c>
      <c r="I78">
        <v>15</v>
      </c>
      <c r="J78">
        <v>14</v>
      </c>
      <c r="K78">
        <v>1</v>
      </c>
      <c r="L78">
        <v>96460</v>
      </c>
      <c r="M78" t="str">
        <f t="shared" si="8"/>
        <v>13</v>
      </c>
      <c r="N78" t="s">
        <v>3323</v>
      </c>
      <c r="O78" t="str">
        <f t="shared" si="10"/>
        <v>51411</v>
      </c>
      <c r="P78" t="str">
        <f t="shared" si="12"/>
        <v>2100L</v>
      </c>
      <c r="Q78" t="str">
        <f t="shared" si="9"/>
        <v>0101</v>
      </c>
      <c r="R78">
        <v>2100</v>
      </c>
      <c r="S78" t="str">
        <f t="shared" si="11"/>
        <v>5140</v>
      </c>
      <c r="T78" t="s">
        <v>3341</v>
      </c>
      <c r="U78" t="s">
        <v>16</v>
      </c>
    </row>
    <row r="79" spans="1:21" ht="15" customHeight="1" x14ac:dyDescent="0.3">
      <c r="A79" t="s">
        <v>179</v>
      </c>
      <c r="B79" t="str">
        <f>"00053122"</f>
        <v>00053122</v>
      </c>
      <c r="C79" t="s">
        <v>4262</v>
      </c>
      <c r="D79" t="s">
        <v>3343</v>
      </c>
      <c r="E79" t="str">
        <f>"00066212"</f>
        <v>00066212</v>
      </c>
      <c r="F79">
        <v>0</v>
      </c>
      <c r="G79" s="243">
        <v>40755</v>
      </c>
      <c r="H79" t="s">
        <v>182</v>
      </c>
      <c r="I79">
        <v>15</v>
      </c>
      <c r="J79">
        <v>4</v>
      </c>
      <c r="K79">
        <v>1</v>
      </c>
      <c r="L79">
        <v>61158</v>
      </c>
      <c r="M79" t="str">
        <f t="shared" si="8"/>
        <v>13</v>
      </c>
      <c r="N79" t="s">
        <v>3323</v>
      </c>
      <c r="O79" t="str">
        <f t="shared" si="10"/>
        <v>51411</v>
      </c>
      <c r="P79" t="str">
        <f t="shared" si="12"/>
        <v>2100L</v>
      </c>
      <c r="Q79" t="str">
        <f t="shared" si="9"/>
        <v>0101</v>
      </c>
      <c r="R79">
        <v>2100</v>
      </c>
      <c r="S79" t="str">
        <f t="shared" si="11"/>
        <v>5140</v>
      </c>
      <c r="T79" t="s">
        <v>3341</v>
      </c>
      <c r="U79" t="s">
        <v>16</v>
      </c>
    </row>
    <row r="80" spans="1:21" ht="15" customHeight="1" x14ac:dyDescent="0.3">
      <c r="A80" t="s">
        <v>179</v>
      </c>
      <c r="B80" t="str">
        <f>"00053159"</f>
        <v>00053159</v>
      </c>
      <c r="C80" t="s">
        <v>4262</v>
      </c>
      <c r="H80" t="s">
        <v>170</v>
      </c>
      <c r="I80">
        <v>15</v>
      </c>
      <c r="J80">
        <v>1</v>
      </c>
      <c r="K80">
        <v>1</v>
      </c>
      <c r="L80">
        <v>54975</v>
      </c>
      <c r="M80" t="str">
        <f t="shared" si="8"/>
        <v>13</v>
      </c>
      <c r="N80" t="s">
        <v>3323</v>
      </c>
      <c r="O80" t="str">
        <f t="shared" si="10"/>
        <v>51411</v>
      </c>
      <c r="P80" t="str">
        <f t="shared" si="12"/>
        <v>2100L</v>
      </c>
      <c r="Q80" t="str">
        <f t="shared" si="9"/>
        <v>0101</v>
      </c>
      <c r="R80">
        <v>2100</v>
      </c>
      <c r="S80" t="str">
        <f t="shared" si="11"/>
        <v>5140</v>
      </c>
      <c r="T80" t="s">
        <v>3341</v>
      </c>
      <c r="U80" t="s">
        <v>16</v>
      </c>
    </row>
    <row r="81" spans="1:21" ht="15" customHeight="1" x14ac:dyDescent="0.3">
      <c r="A81" t="s">
        <v>179</v>
      </c>
      <c r="B81" t="str">
        <f>"00053470"</f>
        <v>00053470</v>
      </c>
      <c r="C81" t="s">
        <v>4272</v>
      </c>
      <c r="D81" t="s">
        <v>362</v>
      </c>
      <c r="E81" t="str">
        <f>"00051556"</f>
        <v>00051556</v>
      </c>
      <c r="F81">
        <v>0</v>
      </c>
      <c r="G81" s="243">
        <v>31821</v>
      </c>
      <c r="H81" t="s">
        <v>182</v>
      </c>
      <c r="I81">
        <v>15</v>
      </c>
      <c r="J81">
        <v>16</v>
      </c>
      <c r="K81">
        <v>1</v>
      </c>
      <c r="L81">
        <v>106540</v>
      </c>
      <c r="M81" t="str">
        <f t="shared" si="8"/>
        <v>13</v>
      </c>
      <c r="N81" t="s">
        <v>3323</v>
      </c>
      <c r="O81" t="str">
        <f t="shared" si="10"/>
        <v>51411</v>
      </c>
      <c r="P81" t="str">
        <f t="shared" si="12"/>
        <v>2100L</v>
      </c>
      <c r="Q81" t="str">
        <f t="shared" si="9"/>
        <v>0101</v>
      </c>
      <c r="R81">
        <v>2100</v>
      </c>
      <c r="S81" t="str">
        <f t="shared" si="11"/>
        <v>5140</v>
      </c>
      <c r="T81" t="s">
        <v>3341</v>
      </c>
      <c r="U81" t="s">
        <v>16</v>
      </c>
    </row>
    <row r="82" spans="1:21" ht="15" customHeight="1" x14ac:dyDescent="0.3">
      <c r="A82" t="s">
        <v>179</v>
      </c>
      <c r="B82" t="str">
        <f>"00053754"</f>
        <v>00053754</v>
      </c>
      <c r="C82" t="s">
        <v>3798</v>
      </c>
      <c r="D82" t="s">
        <v>363</v>
      </c>
      <c r="E82" t="str">
        <f>"00057011"</f>
        <v>00057011</v>
      </c>
      <c r="F82">
        <v>0</v>
      </c>
      <c r="G82" s="243">
        <v>40028</v>
      </c>
      <c r="H82" t="s">
        <v>182</v>
      </c>
      <c r="I82">
        <v>61</v>
      </c>
      <c r="J82">
        <v>6</v>
      </c>
      <c r="K82">
        <v>1</v>
      </c>
      <c r="L82">
        <v>125000</v>
      </c>
      <c r="M82" t="str">
        <f t="shared" si="8"/>
        <v>13</v>
      </c>
      <c r="N82" t="s">
        <v>3323</v>
      </c>
      <c r="O82" t="str">
        <f t="shared" si="10"/>
        <v>51411</v>
      </c>
      <c r="P82" t="str">
        <f>"1501L"</f>
        <v>1501L</v>
      </c>
      <c r="Q82" t="str">
        <f t="shared" si="9"/>
        <v>0101</v>
      </c>
      <c r="R82">
        <v>1501</v>
      </c>
      <c r="S82" t="str">
        <f t="shared" si="11"/>
        <v>5140</v>
      </c>
      <c r="T82" t="s">
        <v>3341</v>
      </c>
      <c r="U82" t="s">
        <v>16</v>
      </c>
    </row>
    <row r="83" spans="1:21" ht="15" customHeight="1" x14ac:dyDescent="0.3">
      <c r="A83" t="s">
        <v>179</v>
      </c>
      <c r="B83" t="str">
        <f>"00054174"</f>
        <v>00054174</v>
      </c>
      <c r="C83" t="s">
        <v>4274</v>
      </c>
      <c r="D83" t="s">
        <v>4316</v>
      </c>
      <c r="E83" t="str">
        <f>"00053168"</f>
        <v>00053168</v>
      </c>
      <c r="F83">
        <v>0</v>
      </c>
      <c r="G83" s="243">
        <v>31428</v>
      </c>
      <c r="H83" t="s">
        <v>182</v>
      </c>
      <c r="I83">
        <v>4</v>
      </c>
      <c r="J83">
        <v>10</v>
      </c>
      <c r="K83">
        <v>0.875</v>
      </c>
      <c r="L83">
        <v>28721</v>
      </c>
      <c r="M83" t="str">
        <f t="shared" si="8"/>
        <v>13</v>
      </c>
      <c r="N83" t="s">
        <v>3323</v>
      </c>
      <c r="O83" t="str">
        <f t="shared" si="10"/>
        <v>51411</v>
      </c>
      <c r="P83" t="str">
        <f>"2200L"</f>
        <v>2200L</v>
      </c>
      <c r="Q83" t="str">
        <f t="shared" si="9"/>
        <v>0101</v>
      </c>
      <c r="R83">
        <v>2200</v>
      </c>
      <c r="S83" t="str">
        <f t="shared" si="11"/>
        <v>5140</v>
      </c>
      <c r="T83" t="s">
        <v>3341</v>
      </c>
      <c r="U83" t="s">
        <v>16</v>
      </c>
    </row>
    <row r="84" spans="1:21" ht="15" customHeight="1" x14ac:dyDescent="0.3">
      <c r="A84" t="s">
        <v>179</v>
      </c>
      <c r="B84" t="str">
        <f>"00054251"</f>
        <v>00054251</v>
      </c>
      <c r="C84" t="s">
        <v>4266</v>
      </c>
      <c r="D84" t="s">
        <v>364</v>
      </c>
      <c r="E84" t="str">
        <f>"00053366"</f>
        <v>00053366</v>
      </c>
      <c r="F84">
        <v>0</v>
      </c>
      <c r="G84" s="243">
        <v>35388</v>
      </c>
      <c r="H84" t="s">
        <v>182</v>
      </c>
      <c r="I84">
        <v>15</v>
      </c>
      <c r="J84">
        <v>13</v>
      </c>
      <c r="K84">
        <v>1</v>
      </c>
      <c r="L84">
        <v>95366</v>
      </c>
      <c r="M84" t="str">
        <f t="shared" si="8"/>
        <v>13</v>
      </c>
      <c r="N84" t="s">
        <v>3323</v>
      </c>
      <c r="O84" t="str">
        <f t="shared" si="10"/>
        <v>51411</v>
      </c>
      <c r="P84" t="str">
        <f>"2100L"</f>
        <v>2100L</v>
      </c>
      <c r="Q84" t="str">
        <f t="shared" si="9"/>
        <v>0101</v>
      </c>
      <c r="R84">
        <v>2100</v>
      </c>
      <c r="S84" t="str">
        <f t="shared" si="11"/>
        <v>5140</v>
      </c>
      <c r="T84" t="s">
        <v>3341</v>
      </c>
      <c r="U84" t="s">
        <v>16</v>
      </c>
    </row>
    <row r="85" spans="1:21" ht="15" customHeight="1" x14ac:dyDescent="0.3">
      <c r="A85" t="s">
        <v>179</v>
      </c>
      <c r="B85" t="str">
        <f>"00054349"</f>
        <v>00054349</v>
      </c>
      <c r="C85" t="s">
        <v>4274</v>
      </c>
      <c r="D85" t="s">
        <v>4317</v>
      </c>
      <c r="E85" t="str">
        <f>"00053764"</f>
        <v>00053764</v>
      </c>
      <c r="F85">
        <v>0</v>
      </c>
      <c r="G85" s="243">
        <v>34702</v>
      </c>
      <c r="H85" t="s">
        <v>182</v>
      </c>
      <c r="I85">
        <v>4</v>
      </c>
      <c r="J85">
        <v>10</v>
      </c>
      <c r="K85">
        <v>0.875</v>
      </c>
      <c r="L85">
        <v>28721</v>
      </c>
      <c r="M85" t="str">
        <f t="shared" si="8"/>
        <v>13</v>
      </c>
      <c r="N85" t="s">
        <v>3323</v>
      </c>
      <c r="O85" t="str">
        <f t="shared" si="10"/>
        <v>51411</v>
      </c>
      <c r="P85" t="str">
        <f>"2200L"</f>
        <v>2200L</v>
      </c>
      <c r="Q85" t="str">
        <f t="shared" si="9"/>
        <v>0101</v>
      </c>
      <c r="R85">
        <v>2200</v>
      </c>
      <c r="S85" t="str">
        <f t="shared" si="11"/>
        <v>5140</v>
      </c>
      <c r="T85" t="s">
        <v>3341</v>
      </c>
      <c r="U85" t="s">
        <v>16</v>
      </c>
    </row>
    <row r="86" spans="1:21" ht="15" customHeight="1" x14ac:dyDescent="0.3">
      <c r="A86" t="s">
        <v>179</v>
      </c>
      <c r="B86" t="str">
        <f>"00054516"</f>
        <v>00054516</v>
      </c>
      <c r="C86" t="s">
        <v>4262</v>
      </c>
      <c r="D86" t="s">
        <v>3350</v>
      </c>
      <c r="E86" t="str">
        <f>"00065617"</f>
        <v>00065617</v>
      </c>
      <c r="F86">
        <v>0</v>
      </c>
      <c r="G86" s="243">
        <v>40755</v>
      </c>
      <c r="H86" t="s">
        <v>182</v>
      </c>
      <c r="I86">
        <v>15</v>
      </c>
      <c r="J86">
        <v>2</v>
      </c>
      <c r="K86">
        <v>1</v>
      </c>
      <c r="L86">
        <v>56242</v>
      </c>
      <c r="M86" t="str">
        <f t="shared" si="8"/>
        <v>13</v>
      </c>
      <c r="N86" t="s">
        <v>3323</v>
      </c>
      <c r="O86" t="str">
        <f t="shared" si="10"/>
        <v>51411</v>
      </c>
      <c r="P86" t="str">
        <f t="shared" ref="P86:P91" si="13">"2100L"</f>
        <v>2100L</v>
      </c>
      <c r="Q86" t="str">
        <f t="shared" si="9"/>
        <v>0101</v>
      </c>
      <c r="R86">
        <v>2100</v>
      </c>
      <c r="S86" t="str">
        <f t="shared" si="11"/>
        <v>5140</v>
      </c>
      <c r="T86" t="s">
        <v>3341</v>
      </c>
      <c r="U86" t="s">
        <v>16</v>
      </c>
    </row>
    <row r="87" spans="1:21" ht="15" customHeight="1" x14ac:dyDescent="0.3">
      <c r="A87" t="s">
        <v>179</v>
      </c>
      <c r="B87" t="str">
        <f>"00054631"</f>
        <v>00054631</v>
      </c>
      <c r="C87" t="s">
        <v>4262</v>
      </c>
      <c r="D87" t="s">
        <v>365</v>
      </c>
      <c r="E87" t="str">
        <f>"00054317"</f>
        <v>00054317</v>
      </c>
      <c r="F87">
        <v>0</v>
      </c>
      <c r="G87" s="243">
        <v>32050</v>
      </c>
      <c r="H87" t="s">
        <v>182</v>
      </c>
      <c r="I87">
        <v>15</v>
      </c>
      <c r="J87">
        <v>16</v>
      </c>
      <c r="K87">
        <v>1</v>
      </c>
      <c r="L87">
        <v>106540</v>
      </c>
      <c r="M87" t="str">
        <f t="shared" si="8"/>
        <v>13</v>
      </c>
      <c r="N87" t="s">
        <v>3323</v>
      </c>
      <c r="O87" t="str">
        <f t="shared" si="10"/>
        <v>51411</v>
      </c>
      <c r="P87" t="str">
        <f t="shared" si="13"/>
        <v>2100L</v>
      </c>
      <c r="Q87" t="str">
        <f t="shared" si="9"/>
        <v>0101</v>
      </c>
      <c r="R87">
        <v>2100</v>
      </c>
      <c r="S87" t="str">
        <f t="shared" si="11"/>
        <v>5140</v>
      </c>
      <c r="T87" t="s">
        <v>3341</v>
      </c>
      <c r="U87" t="s">
        <v>16</v>
      </c>
    </row>
    <row r="88" spans="1:21" ht="15" customHeight="1" x14ac:dyDescent="0.3">
      <c r="A88" t="s">
        <v>179</v>
      </c>
      <c r="B88" t="str">
        <f>"00054855"</f>
        <v>00054855</v>
      </c>
      <c r="C88" t="s">
        <v>4262</v>
      </c>
      <c r="D88" t="s">
        <v>366</v>
      </c>
      <c r="E88" t="str">
        <f>"00054783"</f>
        <v>00054783</v>
      </c>
      <c r="F88">
        <v>0</v>
      </c>
      <c r="G88" s="243">
        <v>32690</v>
      </c>
      <c r="H88" t="s">
        <v>182</v>
      </c>
      <c r="I88">
        <v>15</v>
      </c>
      <c r="J88">
        <v>16</v>
      </c>
      <c r="K88">
        <v>1</v>
      </c>
      <c r="L88">
        <v>100839</v>
      </c>
      <c r="M88" t="str">
        <f t="shared" si="8"/>
        <v>13</v>
      </c>
      <c r="N88" t="s">
        <v>3323</v>
      </c>
      <c r="O88" t="str">
        <f t="shared" si="10"/>
        <v>51411</v>
      </c>
      <c r="P88" t="str">
        <f t="shared" si="13"/>
        <v>2100L</v>
      </c>
      <c r="Q88" t="str">
        <f t="shared" si="9"/>
        <v>0101</v>
      </c>
      <c r="R88">
        <v>2100</v>
      </c>
      <c r="S88" t="str">
        <f t="shared" si="11"/>
        <v>5140</v>
      </c>
      <c r="T88" t="s">
        <v>3341</v>
      </c>
      <c r="U88" t="s">
        <v>16</v>
      </c>
    </row>
    <row r="89" spans="1:21" ht="15" customHeight="1" x14ac:dyDescent="0.3">
      <c r="A89" t="s">
        <v>179</v>
      </c>
      <c r="B89" t="str">
        <f>"00056841"</f>
        <v>00056841</v>
      </c>
      <c r="C89" t="s">
        <v>4266</v>
      </c>
      <c r="D89" t="s">
        <v>4318</v>
      </c>
      <c r="E89" t="str">
        <f>"00057032"</f>
        <v>00057032</v>
      </c>
      <c r="F89">
        <v>0</v>
      </c>
      <c r="G89" s="243">
        <v>40042</v>
      </c>
      <c r="H89" t="s">
        <v>182</v>
      </c>
      <c r="I89">
        <v>15</v>
      </c>
      <c r="J89">
        <v>2</v>
      </c>
      <c r="K89">
        <v>1</v>
      </c>
      <c r="L89">
        <v>51716</v>
      </c>
      <c r="M89" t="str">
        <f t="shared" si="8"/>
        <v>13</v>
      </c>
      <c r="N89" t="s">
        <v>3370</v>
      </c>
      <c r="O89" t="str">
        <f t="shared" si="10"/>
        <v>51411</v>
      </c>
      <c r="P89" t="str">
        <f t="shared" si="13"/>
        <v>2100L</v>
      </c>
      <c r="Q89" t="str">
        <f t="shared" si="9"/>
        <v>0101</v>
      </c>
      <c r="R89">
        <v>2100</v>
      </c>
      <c r="S89" t="str">
        <f t="shared" si="11"/>
        <v>5140</v>
      </c>
      <c r="T89" t="s">
        <v>3341</v>
      </c>
      <c r="U89" t="s">
        <v>16</v>
      </c>
    </row>
    <row r="90" spans="1:21" ht="15" customHeight="1" x14ac:dyDescent="0.3">
      <c r="A90" t="s">
        <v>179</v>
      </c>
      <c r="B90" t="str">
        <f>"00057982"</f>
        <v>00057982</v>
      </c>
      <c r="C90" t="s">
        <v>4262</v>
      </c>
      <c r="D90" t="s">
        <v>367</v>
      </c>
      <c r="E90" t="str">
        <f>"00053765"</f>
        <v>00053765</v>
      </c>
      <c r="F90">
        <v>0</v>
      </c>
      <c r="G90" s="243">
        <v>37775</v>
      </c>
      <c r="H90" t="s">
        <v>182</v>
      </c>
      <c r="I90">
        <v>15</v>
      </c>
      <c r="J90">
        <v>12</v>
      </c>
      <c r="K90">
        <v>1</v>
      </c>
      <c r="L90">
        <v>75816</v>
      </c>
      <c r="M90" t="str">
        <f t="shared" si="8"/>
        <v>13</v>
      </c>
      <c r="N90" t="s">
        <v>3323</v>
      </c>
      <c r="O90" t="str">
        <f t="shared" si="10"/>
        <v>51411</v>
      </c>
      <c r="P90" t="str">
        <f t="shared" si="13"/>
        <v>2100L</v>
      </c>
      <c r="Q90" t="str">
        <f t="shared" si="9"/>
        <v>0101</v>
      </c>
      <c r="R90">
        <v>2100</v>
      </c>
      <c r="S90" t="str">
        <f t="shared" si="11"/>
        <v>5140</v>
      </c>
      <c r="T90" t="s">
        <v>3341</v>
      </c>
      <c r="U90" t="s">
        <v>16</v>
      </c>
    </row>
    <row r="91" spans="1:21" ht="15" customHeight="1" x14ac:dyDescent="0.3">
      <c r="A91" t="s">
        <v>179</v>
      </c>
      <c r="B91" t="str">
        <f>"00058133"</f>
        <v>00058133</v>
      </c>
      <c r="C91" t="s">
        <v>4266</v>
      </c>
      <c r="D91" t="s">
        <v>368</v>
      </c>
      <c r="E91" t="str">
        <f>"00046689"</f>
        <v>00046689</v>
      </c>
      <c r="F91">
        <v>0</v>
      </c>
      <c r="G91" s="243">
        <v>37124</v>
      </c>
      <c r="H91" t="s">
        <v>182</v>
      </c>
      <c r="I91">
        <v>15</v>
      </c>
      <c r="J91">
        <v>12</v>
      </c>
      <c r="K91">
        <v>1</v>
      </c>
      <c r="L91">
        <v>92613</v>
      </c>
      <c r="M91" t="str">
        <f t="shared" si="8"/>
        <v>13</v>
      </c>
      <c r="N91" t="s">
        <v>3323</v>
      </c>
      <c r="O91" t="str">
        <f t="shared" si="10"/>
        <v>51411</v>
      </c>
      <c r="P91" t="str">
        <f t="shared" si="13"/>
        <v>2100L</v>
      </c>
      <c r="Q91" t="str">
        <f t="shared" si="9"/>
        <v>0101</v>
      </c>
      <c r="R91">
        <v>2100</v>
      </c>
      <c r="S91" t="str">
        <f t="shared" si="11"/>
        <v>5140</v>
      </c>
      <c r="T91" t="s">
        <v>3341</v>
      </c>
      <c r="U91" t="s">
        <v>16</v>
      </c>
    </row>
    <row r="92" spans="1:21" ht="15" customHeight="1" x14ac:dyDescent="0.3">
      <c r="A92" t="s">
        <v>179</v>
      </c>
      <c r="B92" t="str">
        <f>"00058357"</f>
        <v>00058357</v>
      </c>
      <c r="C92" t="s">
        <v>4274</v>
      </c>
      <c r="D92" t="s">
        <v>4319</v>
      </c>
      <c r="E92" t="str">
        <f>"00047310"</f>
        <v>00047310</v>
      </c>
      <c r="F92">
        <v>0</v>
      </c>
      <c r="G92" s="243">
        <v>37144</v>
      </c>
      <c r="H92" t="s">
        <v>182</v>
      </c>
      <c r="I92">
        <v>4</v>
      </c>
      <c r="J92">
        <v>8</v>
      </c>
      <c r="K92">
        <v>0.875</v>
      </c>
      <c r="L92">
        <v>27329.75</v>
      </c>
      <c r="M92" t="str">
        <f t="shared" si="8"/>
        <v>13</v>
      </c>
      <c r="N92" t="s">
        <v>3323</v>
      </c>
      <c r="O92" t="str">
        <f t="shared" si="10"/>
        <v>51411</v>
      </c>
      <c r="P92" t="str">
        <f>"2200L"</f>
        <v>2200L</v>
      </c>
      <c r="Q92" t="str">
        <f t="shared" si="9"/>
        <v>0101</v>
      </c>
      <c r="R92">
        <v>2200</v>
      </c>
      <c r="S92" t="str">
        <f t="shared" si="11"/>
        <v>5140</v>
      </c>
      <c r="T92" t="s">
        <v>3341</v>
      </c>
      <c r="U92" t="s">
        <v>16</v>
      </c>
    </row>
    <row r="93" spans="1:21" ht="15" customHeight="1" x14ac:dyDescent="0.3">
      <c r="A93" t="s">
        <v>179</v>
      </c>
      <c r="B93" t="str">
        <f>"00059022"</f>
        <v>00059022</v>
      </c>
      <c r="C93" t="s">
        <v>4260</v>
      </c>
      <c r="D93" t="s">
        <v>3351</v>
      </c>
      <c r="E93" t="str">
        <f>"00066654"</f>
        <v>00066654</v>
      </c>
      <c r="F93">
        <v>0</v>
      </c>
      <c r="G93" s="243">
        <v>40755</v>
      </c>
      <c r="H93" t="s">
        <v>182</v>
      </c>
      <c r="I93">
        <v>15</v>
      </c>
      <c r="J93">
        <v>11</v>
      </c>
      <c r="K93">
        <v>1</v>
      </c>
      <c r="L93">
        <v>81335</v>
      </c>
      <c r="M93" t="str">
        <f t="shared" si="8"/>
        <v>13</v>
      </c>
      <c r="N93" t="s">
        <v>3323</v>
      </c>
      <c r="O93" t="str">
        <f t="shared" si="10"/>
        <v>51411</v>
      </c>
      <c r="P93" t="str">
        <f>"2100L"</f>
        <v>2100L</v>
      </c>
      <c r="Q93" t="str">
        <f t="shared" si="9"/>
        <v>0101</v>
      </c>
      <c r="R93">
        <v>2100</v>
      </c>
      <c r="S93" t="str">
        <f t="shared" si="11"/>
        <v>5140</v>
      </c>
      <c r="T93" t="s">
        <v>3341</v>
      </c>
      <c r="U93" t="s">
        <v>16</v>
      </c>
    </row>
    <row r="94" spans="1:21" ht="15" customHeight="1" x14ac:dyDescent="0.3">
      <c r="A94" t="s">
        <v>179</v>
      </c>
      <c r="B94" t="str">
        <f>"00059110"</f>
        <v>00059110</v>
      </c>
      <c r="C94" t="s">
        <v>4266</v>
      </c>
      <c r="D94" t="s">
        <v>3352</v>
      </c>
      <c r="E94" t="str">
        <f>"00061564"</f>
        <v>00061564</v>
      </c>
      <c r="F94">
        <v>0</v>
      </c>
      <c r="G94" s="243">
        <v>40911</v>
      </c>
      <c r="H94" t="s">
        <v>182</v>
      </c>
      <c r="I94">
        <v>15</v>
      </c>
      <c r="J94">
        <v>1</v>
      </c>
      <c r="K94">
        <v>1</v>
      </c>
      <c r="L94">
        <v>54975</v>
      </c>
      <c r="M94" t="str">
        <f t="shared" si="8"/>
        <v>13</v>
      </c>
      <c r="N94" t="s">
        <v>3323</v>
      </c>
      <c r="O94" t="str">
        <f t="shared" si="10"/>
        <v>51411</v>
      </c>
      <c r="P94" t="str">
        <f>"2100L"</f>
        <v>2100L</v>
      </c>
      <c r="Q94" t="str">
        <f t="shared" si="9"/>
        <v>0101</v>
      </c>
      <c r="R94">
        <v>2100</v>
      </c>
      <c r="S94" t="str">
        <f t="shared" si="11"/>
        <v>5140</v>
      </c>
      <c r="T94" t="s">
        <v>3341</v>
      </c>
      <c r="U94" t="s">
        <v>16</v>
      </c>
    </row>
    <row r="95" spans="1:21" ht="15" customHeight="1" x14ac:dyDescent="0.3">
      <c r="A95" t="s">
        <v>179</v>
      </c>
      <c r="B95" t="str">
        <f>"00059389"</f>
        <v>00059389</v>
      </c>
      <c r="C95" t="s">
        <v>4266</v>
      </c>
      <c r="D95" t="s">
        <v>3692</v>
      </c>
      <c r="E95" t="str">
        <f>"00065897"</f>
        <v>00065897</v>
      </c>
      <c r="F95">
        <v>0</v>
      </c>
      <c r="G95" s="243">
        <v>40755</v>
      </c>
      <c r="H95" t="s">
        <v>182</v>
      </c>
      <c r="I95">
        <v>15</v>
      </c>
      <c r="J95">
        <v>2</v>
      </c>
      <c r="K95">
        <v>1</v>
      </c>
      <c r="L95">
        <v>56242</v>
      </c>
      <c r="M95" t="str">
        <f t="shared" si="8"/>
        <v>13</v>
      </c>
      <c r="N95" t="s">
        <v>3323</v>
      </c>
      <c r="O95" t="str">
        <f t="shared" si="10"/>
        <v>51411</v>
      </c>
      <c r="P95" t="str">
        <f>"2100L"</f>
        <v>2100L</v>
      </c>
      <c r="Q95" t="str">
        <f t="shared" si="9"/>
        <v>0101</v>
      </c>
      <c r="R95">
        <v>2100</v>
      </c>
      <c r="S95" t="str">
        <f t="shared" si="11"/>
        <v>5140</v>
      </c>
      <c r="T95" t="s">
        <v>3341</v>
      </c>
      <c r="U95" t="s">
        <v>16</v>
      </c>
    </row>
    <row r="96" spans="1:21" ht="15" customHeight="1" x14ac:dyDescent="0.3">
      <c r="A96" t="s">
        <v>179</v>
      </c>
      <c r="B96" t="str">
        <f>"00059484"</f>
        <v>00059484</v>
      </c>
      <c r="C96" t="s">
        <v>4274</v>
      </c>
      <c r="D96" t="s">
        <v>4320</v>
      </c>
      <c r="E96" t="str">
        <f>"00047688"</f>
        <v>00047688</v>
      </c>
      <c r="F96">
        <v>0</v>
      </c>
      <c r="G96" s="243">
        <v>40938</v>
      </c>
      <c r="H96" t="s">
        <v>182</v>
      </c>
      <c r="I96">
        <v>4</v>
      </c>
      <c r="J96">
        <v>4</v>
      </c>
      <c r="K96">
        <v>0.875</v>
      </c>
      <c r="L96">
        <v>24543.75</v>
      </c>
      <c r="M96" t="str">
        <f t="shared" si="8"/>
        <v>13</v>
      </c>
      <c r="N96" t="s">
        <v>3323</v>
      </c>
      <c r="O96" t="str">
        <f t="shared" si="10"/>
        <v>51411</v>
      </c>
      <c r="P96" t="str">
        <f>"2200L"</f>
        <v>2200L</v>
      </c>
      <c r="Q96" t="str">
        <f t="shared" si="9"/>
        <v>0101</v>
      </c>
      <c r="R96">
        <v>2200</v>
      </c>
      <c r="S96" t="str">
        <f t="shared" si="11"/>
        <v>5140</v>
      </c>
      <c r="T96" t="s">
        <v>3341</v>
      </c>
      <c r="U96" t="s">
        <v>16</v>
      </c>
    </row>
    <row r="97" spans="1:21" ht="15" customHeight="1" x14ac:dyDescent="0.3">
      <c r="A97" t="s">
        <v>179</v>
      </c>
      <c r="B97" t="str">
        <f>"00059894"</f>
        <v>00059894</v>
      </c>
      <c r="C97" t="s">
        <v>3670</v>
      </c>
      <c r="D97" t="s">
        <v>3340</v>
      </c>
      <c r="E97" t="str">
        <f>"00063087"</f>
        <v>00063087</v>
      </c>
      <c r="F97">
        <v>0</v>
      </c>
      <c r="G97" s="243">
        <v>40399</v>
      </c>
      <c r="H97" t="s">
        <v>182</v>
      </c>
      <c r="I97">
        <v>8</v>
      </c>
      <c r="J97">
        <v>7</v>
      </c>
      <c r="K97">
        <v>1</v>
      </c>
      <c r="L97">
        <v>96325</v>
      </c>
      <c r="M97" t="str">
        <f t="shared" si="8"/>
        <v>13</v>
      </c>
      <c r="N97" t="s">
        <v>3323</v>
      </c>
      <c r="O97" t="str">
        <f t="shared" ref="O97:O127" si="14">"51411"</f>
        <v>51411</v>
      </c>
      <c r="P97" t="str">
        <f>"1501L"</f>
        <v>1501L</v>
      </c>
      <c r="Q97" t="str">
        <f t="shared" si="9"/>
        <v>0101</v>
      </c>
      <c r="R97">
        <v>1501</v>
      </c>
      <c r="S97" t="str">
        <f t="shared" ref="S97:S127" si="15">"5140"</f>
        <v>5140</v>
      </c>
      <c r="T97" t="s">
        <v>3341</v>
      </c>
      <c r="U97" t="s">
        <v>16</v>
      </c>
    </row>
    <row r="98" spans="1:21" ht="15" customHeight="1" x14ac:dyDescent="0.3">
      <c r="A98" t="s">
        <v>179</v>
      </c>
      <c r="B98" t="str">
        <f>"00060155"</f>
        <v>00060155</v>
      </c>
      <c r="C98" t="s">
        <v>4260</v>
      </c>
      <c r="D98" t="s">
        <v>371</v>
      </c>
      <c r="E98" t="str">
        <f>"00046421"</f>
        <v>00046421</v>
      </c>
      <c r="F98">
        <v>0</v>
      </c>
      <c r="G98" s="243">
        <v>40406</v>
      </c>
      <c r="H98" t="s">
        <v>182</v>
      </c>
      <c r="I98">
        <v>15</v>
      </c>
      <c r="J98">
        <v>13</v>
      </c>
      <c r="K98">
        <v>1</v>
      </c>
      <c r="L98">
        <v>95366</v>
      </c>
      <c r="M98" t="str">
        <f t="shared" si="8"/>
        <v>13</v>
      </c>
      <c r="N98" t="s">
        <v>3323</v>
      </c>
      <c r="O98" t="str">
        <f t="shared" si="14"/>
        <v>51411</v>
      </c>
      <c r="P98" t="str">
        <f>"3030L"</f>
        <v>3030L</v>
      </c>
      <c r="Q98" t="str">
        <f t="shared" si="9"/>
        <v>0101</v>
      </c>
      <c r="R98">
        <v>3030</v>
      </c>
      <c r="S98" t="str">
        <f t="shared" si="15"/>
        <v>5140</v>
      </c>
      <c r="T98" t="s">
        <v>3341</v>
      </c>
      <c r="U98" t="s">
        <v>16</v>
      </c>
    </row>
    <row r="99" spans="1:21" ht="15" customHeight="1" x14ac:dyDescent="0.3">
      <c r="A99" t="s">
        <v>179</v>
      </c>
      <c r="B99" t="str">
        <f>"00060321"</f>
        <v>00060321</v>
      </c>
      <c r="C99" t="s">
        <v>4272</v>
      </c>
      <c r="D99" t="s">
        <v>372</v>
      </c>
      <c r="E99" t="str">
        <f>"00050720"</f>
        <v>00050720</v>
      </c>
      <c r="F99">
        <v>0</v>
      </c>
      <c r="G99" s="243">
        <v>36382</v>
      </c>
      <c r="H99" t="s">
        <v>182</v>
      </c>
      <c r="I99">
        <v>15</v>
      </c>
      <c r="J99">
        <v>12</v>
      </c>
      <c r="K99">
        <v>1</v>
      </c>
      <c r="L99">
        <v>87431</v>
      </c>
      <c r="M99" t="str">
        <f t="shared" si="8"/>
        <v>13</v>
      </c>
      <c r="N99" t="s">
        <v>3323</v>
      </c>
      <c r="O99" t="str">
        <f t="shared" si="14"/>
        <v>51411</v>
      </c>
      <c r="P99" t="str">
        <f>"2200L"</f>
        <v>2200L</v>
      </c>
      <c r="Q99" t="str">
        <f t="shared" si="9"/>
        <v>0101</v>
      </c>
      <c r="R99">
        <v>2200</v>
      </c>
      <c r="S99" t="str">
        <f t="shared" si="15"/>
        <v>5140</v>
      </c>
      <c r="T99" t="s">
        <v>3341</v>
      </c>
      <c r="U99" t="s">
        <v>16</v>
      </c>
    </row>
    <row r="100" spans="1:21" ht="15" customHeight="1" x14ac:dyDescent="0.3">
      <c r="A100" t="s">
        <v>179</v>
      </c>
      <c r="B100" t="str">
        <f>"00060783"</f>
        <v>00060783</v>
      </c>
      <c r="C100" t="s">
        <v>4266</v>
      </c>
      <c r="D100" t="s">
        <v>373</v>
      </c>
      <c r="E100" t="str">
        <f>"00055309"</f>
        <v>00055309</v>
      </c>
      <c r="F100">
        <v>0</v>
      </c>
      <c r="G100" s="243">
        <v>39140</v>
      </c>
      <c r="H100" t="s">
        <v>182</v>
      </c>
      <c r="I100">
        <v>15</v>
      </c>
      <c r="J100">
        <v>6</v>
      </c>
      <c r="K100">
        <v>1</v>
      </c>
      <c r="L100">
        <v>66078</v>
      </c>
      <c r="M100" t="str">
        <f t="shared" si="8"/>
        <v>13</v>
      </c>
      <c r="N100" t="s">
        <v>3323</v>
      </c>
      <c r="O100" t="str">
        <f t="shared" si="14"/>
        <v>51411</v>
      </c>
      <c r="P100" t="str">
        <f t="shared" ref="P100:P110" si="16">"2100L"</f>
        <v>2100L</v>
      </c>
      <c r="Q100" t="str">
        <f t="shared" si="9"/>
        <v>0101</v>
      </c>
      <c r="R100">
        <v>2100</v>
      </c>
      <c r="S100" t="str">
        <f t="shared" si="15"/>
        <v>5140</v>
      </c>
      <c r="T100" t="s">
        <v>3341</v>
      </c>
      <c r="U100" t="s">
        <v>16</v>
      </c>
    </row>
    <row r="101" spans="1:21" ht="15" customHeight="1" x14ac:dyDescent="0.3">
      <c r="A101" t="s">
        <v>179</v>
      </c>
      <c r="B101" t="str">
        <f>"00061209"</f>
        <v>00061209</v>
      </c>
      <c r="C101" t="s">
        <v>4262</v>
      </c>
      <c r="D101" t="s">
        <v>4321</v>
      </c>
      <c r="E101" t="str">
        <f>"00067715"</f>
        <v>00067715</v>
      </c>
      <c r="F101">
        <v>0</v>
      </c>
      <c r="G101" s="243">
        <v>40945</v>
      </c>
      <c r="H101" t="s">
        <v>182</v>
      </c>
      <c r="I101">
        <v>15</v>
      </c>
      <c r="J101">
        <v>7</v>
      </c>
      <c r="K101">
        <v>1</v>
      </c>
      <c r="L101">
        <v>69132</v>
      </c>
      <c r="M101" t="str">
        <f t="shared" si="8"/>
        <v>13</v>
      </c>
      <c r="N101" t="s">
        <v>3370</v>
      </c>
      <c r="O101" t="str">
        <f t="shared" si="14"/>
        <v>51411</v>
      </c>
      <c r="P101" t="str">
        <f t="shared" si="16"/>
        <v>2100L</v>
      </c>
      <c r="Q101" t="str">
        <f t="shared" si="9"/>
        <v>0101</v>
      </c>
      <c r="R101">
        <v>2100</v>
      </c>
      <c r="S101" t="str">
        <f t="shared" si="15"/>
        <v>5140</v>
      </c>
      <c r="T101" t="s">
        <v>3341</v>
      </c>
      <c r="U101" t="s">
        <v>16</v>
      </c>
    </row>
    <row r="102" spans="1:21" ht="15" customHeight="1" x14ac:dyDescent="0.3">
      <c r="A102" t="s">
        <v>179</v>
      </c>
      <c r="B102" t="str">
        <f>"00061312"</f>
        <v>00061312</v>
      </c>
      <c r="C102" t="s">
        <v>4260</v>
      </c>
      <c r="D102" t="s">
        <v>3348</v>
      </c>
      <c r="E102" t="str">
        <f>"00066363"</f>
        <v>00066363</v>
      </c>
      <c r="F102">
        <v>0</v>
      </c>
      <c r="G102" s="243">
        <v>40755</v>
      </c>
      <c r="H102" t="s">
        <v>182</v>
      </c>
      <c r="I102">
        <v>15</v>
      </c>
      <c r="J102">
        <v>2</v>
      </c>
      <c r="K102">
        <v>1</v>
      </c>
      <c r="L102">
        <v>51716</v>
      </c>
      <c r="M102" t="str">
        <f t="shared" si="8"/>
        <v>13</v>
      </c>
      <c r="N102" t="s">
        <v>3323</v>
      </c>
      <c r="O102" t="str">
        <f t="shared" si="14"/>
        <v>51411</v>
      </c>
      <c r="P102" t="str">
        <f t="shared" si="16"/>
        <v>2100L</v>
      </c>
      <c r="Q102" t="str">
        <f t="shared" si="9"/>
        <v>0101</v>
      </c>
      <c r="R102">
        <v>2100</v>
      </c>
      <c r="S102" t="str">
        <f t="shared" si="15"/>
        <v>5140</v>
      </c>
      <c r="T102" t="s">
        <v>3341</v>
      </c>
      <c r="U102" t="s">
        <v>16</v>
      </c>
    </row>
    <row r="103" spans="1:21" ht="15" customHeight="1" x14ac:dyDescent="0.3">
      <c r="A103" t="s">
        <v>179</v>
      </c>
      <c r="B103" t="str">
        <f>"00061764"</f>
        <v>00061764</v>
      </c>
      <c r="C103" t="s">
        <v>4262</v>
      </c>
      <c r="D103" t="s">
        <v>374</v>
      </c>
      <c r="E103" t="str">
        <f>"00031906"</f>
        <v>00031906</v>
      </c>
      <c r="F103">
        <v>1</v>
      </c>
      <c r="G103" s="243">
        <v>36244</v>
      </c>
      <c r="H103" t="s">
        <v>182</v>
      </c>
      <c r="I103">
        <v>15</v>
      </c>
      <c r="J103">
        <v>12</v>
      </c>
      <c r="K103">
        <v>1</v>
      </c>
      <c r="L103">
        <v>87431</v>
      </c>
      <c r="M103" t="str">
        <f t="shared" si="8"/>
        <v>13</v>
      </c>
      <c r="N103" t="s">
        <v>3323</v>
      </c>
      <c r="O103" t="str">
        <f t="shared" si="14"/>
        <v>51411</v>
      </c>
      <c r="P103" t="str">
        <f t="shared" si="16"/>
        <v>2100L</v>
      </c>
      <c r="Q103" t="str">
        <f t="shared" si="9"/>
        <v>0101</v>
      </c>
      <c r="R103">
        <v>2100</v>
      </c>
      <c r="S103" t="str">
        <f t="shared" si="15"/>
        <v>5140</v>
      </c>
      <c r="T103" t="s">
        <v>3341</v>
      </c>
      <c r="U103" t="s">
        <v>16</v>
      </c>
    </row>
    <row r="104" spans="1:21" ht="15" customHeight="1" x14ac:dyDescent="0.3">
      <c r="A104" t="s">
        <v>179</v>
      </c>
      <c r="B104" t="str">
        <f>"00062029"</f>
        <v>00062029</v>
      </c>
      <c r="C104" t="s">
        <v>4256</v>
      </c>
      <c r="D104" t="s">
        <v>375</v>
      </c>
      <c r="E104" t="str">
        <f>"00053799"</f>
        <v>00053799</v>
      </c>
      <c r="F104">
        <v>0</v>
      </c>
      <c r="G104" s="243">
        <v>38226</v>
      </c>
      <c r="H104" t="s">
        <v>182</v>
      </c>
      <c r="I104">
        <v>15</v>
      </c>
      <c r="J104">
        <v>9</v>
      </c>
      <c r="K104">
        <v>1</v>
      </c>
      <c r="L104">
        <v>75232</v>
      </c>
      <c r="M104" t="str">
        <f t="shared" si="8"/>
        <v>13</v>
      </c>
      <c r="N104" t="s">
        <v>3323</v>
      </c>
      <c r="O104" t="str">
        <f t="shared" si="14"/>
        <v>51411</v>
      </c>
      <c r="P104" t="str">
        <f t="shared" si="16"/>
        <v>2100L</v>
      </c>
      <c r="Q104" t="str">
        <f t="shared" si="9"/>
        <v>0101</v>
      </c>
      <c r="R104">
        <v>2100</v>
      </c>
      <c r="S104" t="str">
        <f t="shared" si="15"/>
        <v>5140</v>
      </c>
      <c r="T104" t="s">
        <v>3341</v>
      </c>
      <c r="U104" t="s">
        <v>16</v>
      </c>
    </row>
    <row r="105" spans="1:21" ht="15" customHeight="1" x14ac:dyDescent="0.3">
      <c r="A105" t="s">
        <v>179</v>
      </c>
      <c r="B105" t="str">
        <f>"00062077"</f>
        <v>00062077</v>
      </c>
      <c r="C105" t="s">
        <v>4262</v>
      </c>
      <c r="D105" t="s">
        <v>4322</v>
      </c>
      <c r="E105" t="str">
        <f>"00069880"</f>
        <v>00069880</v>
      </c>
      <c r="F105">
        <v>0</v>
      </c>
      <c r="G105" s="243">
        <v>41133</v>
      </c>
      <c r="H105" t="s">
        <v>182</v>
      </c>
      <c r="I105">
        <v>15</v>
      </c>
      <c r="J105">
        <v>2</v>
      </c>
      <c r="K105">
        <v>1</v>
      </c>
      <c r="L105">
        <v>56242</v>
      </c>
      <c r="M105" t="str">
        <f t="shared" si="8"/>
        <v>13</v>
      </c>
      <c r="N105" t="s">
        <v>3370</v>
      </c>
      <c r="O105" t="str">
        <f t="shared" si="14"/>
        <v>51411</v>
      </c>
      <c r="P105" t="str">
        <f t="shared" si="16"/>
        <v>2100L</v>
      </c>
      <c r="Q105" t="str">
        <f t="shared" si="9"/>
        <v>0101</v>
      </c>
      <c r="R105">
        <v>2100</v>
      </c>
      <c r="S105" t="str">
        <f t="shared" si="15"/>
        <v>5140</v>
      </c>
      <c r="T105" t="s">
        <v>3341</v>
      </c>
      <c r="U105" t="s">
        <v>16</v>
      </c>
    </row>
    <row r="106" spans="1:21" ht="15" customHeight="1" x14ac:dyDescent="0.3">
      <c r="A106" t="s">
        <v>179</v>
      </c>
      <c r="B106" t="str">
        <f>"00062082"</f>
        <v>00062082</v>
      </c>
      <c r="C106" t="s">
        <v>4260</v>
      </c>
      <c r="D106" t="s">
        <v>4323</v>
      </c>
      <c r="E106" t="str">
        <f>"00070116"</f>
        <v>00070116</v>
      </c>
      <c r="F106">
        <v>0</v>
      </c>
      <c r="G106" s="243">
        <v>41133</v>
      </c>
      <c r="H106" t="s">
        <v>182</v>
      </c>
      <c r="I106">
        <v>15</v>
      </c>
      <c r="J106">
        <v>2</v>
      </c>
      <c r="K106">
        <v>1</v>
      </c>
      <c r="L106">
        <v>54099</v>
      </c>
      <c r="M106" t="str">
        <f t="shared" si="8"/>
        <v>13</v>
      </c>
      <c r="N106" t="s">
        <v>3323</v>
      </c>
      <c r="O106" t="str">
        <f t="shared" si="14"/>
        <v>51411</v>
      </c>
      <c r="P106" t="str">
        <f t="shared" si="16"/>
        <v>2100L</v>
      </c>
      <c r="Q106" t="str">
        <f t="shared" si="9"/>
        <v>0101</v>
      </c>
      <c r="R106">
        <v>2100</v>
      </c>
      <c r="S106" t="str">
        <f t="shared" si="15"/>
        <v>5140</v>
      </c>
      <c r="T106" t="s">
        <v>3341</v>
      </c>
      <c r="U106" t="s">
        <v>16</v>
      </c>
    </row>
    <row r="107" spans="1:21" ht="15" customHeight="1" x14ac:dyDescent="0.3">
      <c r="A107" t="s">
        <v>179</v>
      </c>
      <c r="B107" t="str">
        <f>"00062159"</f>
        <v>00062159</v>
      </c>
      <c r="C107" t="s">
        <v>4262</v>
      </c>
      <c r="D107" t="s">
        <v>376</v>
      </c>
      <c r="E107" t="str">
        <f>"00050719"</f>
        <v>00050719</v>
      </c>
      <c r="F107">
        <v>0</v>
      </c>
      <c r="G107" s="243">
        <v>39679</v>
      </c>
      <c r="H107" t="s">
        <v>182</v>
      </c>
      <c r="I107">
        <v>15</v>
      </c>
      <c r="J107">
        <v>5</v>
      </c>
      <c r="K107">
        <v>1</v>
      </c>
      <c r="L107">
        <v>56655</v>
      </c>
      <c r="M107" t="str">
        <f t="shared" si="8"/>
        <v>13</v>
      </c>
      <c r="N107" t="s">
        <v>3323</v>
      </c>
      <c r="O107" t="str">
        <f t="shared" si="14"/>
        <v>51411</v>
      </c>
      <c r="P107" t="str">
        <f t="shared" si="16"/>
        <v>2100L</v>
      </c>
      <c r="Q107" t="str">
        <f t="shared" si="9"/>
        <v>0101</v>
      </c>
      <c r="R107">
        <v>2100</v>
      </c>
      <c r="S107" t="str">
        <f t="shared" si="15"/>
        <v>5140</v>
      </c>
      <c r="T107" t="s">
        <v>3341</v>
      </c>
      <c r="U107" t="s">
        <v>16</v>
      </c>
    </row>
    <row r="108" spans="1:21" ht="15" customHeight="1" x14ac:dyDescent="0.3">
      <c r="A108" t="s">
        <v>179</v>
      </c>
      <c r="B108" t="str">
        <f>"00062167"</f>
        <v>00062167</v>
      </c>
      <c r="C108" t="s">
        <v>4262</v>
      </c>
      <c r="D108" t="s">
        <v>3344</v>
      </c>
      <c r="E108" t="str">
        <f>"00066429"</f>
        <v>00066429</v>
      </c>
      <c r="F108">
        <v>0</v>
      </c>
      <c r="G108" s="243">
        <v>40755</v>
      </c>
      <c r="H108" t="s">
        <v>182</v>
      </c>
      <c r="I108">
        <v>15</v>
      </c>
      <c r="J108">
        <v>4</v>
      </c>
      <c r="K108">
        <v>1</v>
      </c>
      <c r="L108">
        <v>61158</v>
      </c>
      <c r="M108" t="str">
        <f t="shared" si="8"/>
        <v>13</v>
      </c>
      <c r="N108" t="s">
        <v>3323</v>
      </c>
      <c r="O108" t="str">
        <f t="shared" si="14"/>
        <v>51411</v>
      </c>
      <c r="P108" t="str">
        <f t="shared" si="16"/>
        <v>2100L</v>
      </c>
      <c r="Q108" t="str">
        <f t="shared" si="9"/>
        <v>0101</v>
      </c>
      <c r="R108">
        <v>2100</v>
      </c>
      <c r="S108" t="str">
        <f t="shared" si="15"/>
        <v>5140</v>
      </c>
      <c r="T108" t="s">
        <v>3341</v>
      </c>
      <c r="U108" t="s">
        <v>16</v>
      </c>
    </row>
    <row r="109" spans="1:21" ht="15" customHeight="1" x14ac:dyDescent="0.3">
      <c r="A109" t="s">
        <v>179</v>
      </c>
      <c r="B109" t="str">
        <f>"00062202"</f>
        <v>00062202</v>
      </c>
      <c r="C109" t="s">
        <v>4258</v>
      </c>
      <c r="D109" t="s">
        <v>378</v>
      </c>
      <c r="E109" t="str">
        <f>"00063350"</f>
        <v>00063350</v>
      </c>
      <c r="F109">
        <v>0</v>
      </c>
      <c r="G109" s="243">
        <v>40441</v>
      </c>
      <c r="H109" t="s">
        <v>182</v>
      </c>
      <c r="I109">
        <v>15</v>
      </c>
      <c r="J109">
        <v>3</v>
      </c>
      <c r="K109">
        <v>1</v>
      </c>
      <c r="L109">
        <v>52777</v>
      </c>
      <c r="M109" t="str">
        <f t="shared" si="8"/>
        <v>13</v>
      </c>
      <c r="N109" t="s">
        <v>3323</v>
      </c>
      <c r="O109" t="str">
        <f t="shared" si="14"/>
        <v>51411</v>
      </c>
      <c r="P109" t="str">
        <f t="shared" si="16"/>
        <v>2100L</v>
      </c>
      <c r="Q109" t="str">
        <f t="shared" si="9"/>
        <v>0101</v>
      </c>
      <c r="R109">
        <v>2100</v>
      </c>
      <c r="S109" t="str">
        <f t="shared" si="15"/>
        <v>5140</v>
      </c>
      <c r="T109" t="s">
        <v>3341</v>
      </c>
      <c r="U109" t="s">
        <v>16</v>
      </c>
    </row>
    <row r="110" spans="1:21" ht="15" customHeight="1" x14ac:dyDescent="0.3">
      <c r="A110" t="s">
        <v>179</v>
      </c>
      <c r="B110" t="str">
        <f>"00063228"</f>
        <v>00063228</v>
      </c>
      <c r="C110" t="s">
        <v>4266</v>
      </c>
      <c r="D110" t="s">
        <v>4240</v>
      </c>
      <c r="E110" t="str">
        <f>"00050260"</f>
        <v>00050260</v>
      </c>
      <c r="F110">
        <v>0</v>
      </c>
      <c r="G110" s="243">
        <v>38587</v>
      </c>
      <c r="H110" t="s">
        <v>182</v>
      </c>
      <c r="I110">
        <v>15</v>
      </c>
      <c r="J110">
        <v>10</v>
      </c>
      <c r="K110">
        <v>1</v>
      </c>
      <c r="L110">
        <v>78273</v>
      </c>
      <c r="M110" t="str">
        <f t="shared" si="8"/>
        <v>13</v>
      </c>
      <c r="N110" t="s">
        <v>3323</v>
      </c>
      <c r="O110" t="str">
        <f t="shared" si="14"/>
        <v>51411</v>
      </c>
      <c r="P110" t="str">
        <f t="shared" si="16"/>
        <v>2100L</v>
      </c>
      <c r="Q110" t="str">
        <f t="shared" si="9"/>
        <v>0101</v>
      </c>
      <c r="R110">
        <v>2100</v>
      </c>
      <c r="S110" t="str">
        <f t="shared" si="15"/>
        <v>5140</v>
      </c>
      <c r="T110" t="s">
        <v>3341</v>
      </c>
      <c r="U110" t="s">
        <v>16</v>
      </c>
    </row>
    <row r="111" spans="1:21" ht="15" customHeight="1" x14ac:dyDescent="0.3">
      <c r="A111" t="s">
        <v>179</v>
      </c>
      <c r="B111" t="str">
        <f>"00065687"</f>
        <v>00065687</v>
      </c>
      <c r="C111" t="s">
        <v>4288</v>
      </c>
      <c r="D111" t="s">
        <v>4324</v>
      </c>
      <c r="E111" t="str">
        <f>"00050743"</f>
        <v>00050743</v>
      </c>
      <c r="F111">
        <v>0</v>
      </c>
      <c r="G111" s="243">
        <v>41133</v>
      </c>
      <c r="H111" t="s">
        <v>182</v>
      </c>
      <c r="I111">
        <v>4</v>
      </c>
      <c r="J111">
        <v>1</v>
      </c>
      <c r="K111">
        <v>1</v>
      </c>
      <c r="L111">
        <v>22454.25</v>
      </c>
      <c r="M111" t="str">
        <f t="shared" si="8"/>
        <v>13</v>
      </c>
      <c r="N111" t="s">
        <v>3323</v>
      </c>
      <c r="O111" t="str">
        <f t="shared" si="14"/>
        <v>51411</v>
      </c>
      <c r="P111" t="str">
        <f>"2200L"</f>
        <v>2200L</v>
      </c>
      <c r="Q111" t="str">
        <f t="shared" si="9"/>
        <v>0101</v>
      </c>
      <c r="R111">
        <v>2200</v>
      </c>
      <c r="S111" t="str">
        <f t="shared" si="15"/>
        <v>5140</v>
      </c>
      <c r="T111" t="s">
        <v>3341</v>
      </c>
      <c r="U111" t="s">
        <v>16</v>
      </c>
    </row>
    <row r="112" spans="1:21" ht="15" customHeight="1" x14ac:dyDescent="0.3">
      <c r="A112" t="s">
        <v>179</v>
      </c>
      <c r="B112" t="str">
        <f>"00066147"</f>
        <v>00066147</v>
      </c>
      <c r="C112" t="s">
        <v>4290</v>
      </c>
      <c r="D112" t="s">
        <v>4325</v>
      </c>
      <c r="E112" t="str">
        <f>"00056228"</f>
        <v>00056228</v>
      </c>
      <c r="F112">
        <v>0</v>
      </c>
      <c r="G112" s="243">
        <v>40042</v>
      </c>
      <c r="H112" t="s">
        <v>182</v>
      </c>
      <c r="I112">
        <v>4</v>
      </c>
      <c r="J112">
        <v>5</v>
      </c>
      <c r="K112">
        <v>1</v>
      </c>
      <c r="L112">
        <v>25239.37</v>
      </c>
      <c r="M112" t="str">
        <f t="shared" si="8"/>
        <v>13</v>
      </c>
      <c r="N112" t="s">
        <v>3323</v>
      </c>
      <c r="O112" t="str">
        <f t="shared" si="14"/>
        <v>51411</v>
      </c>
      <c r="P112" t="str">
        <f t="shared" ref="P112:P118" si="17">"2100L"</f>
        <v>2100L</v>
      </c>
      <c r="Q112" t="str">
        <f t="shared" si="9"/>
        <v>0101</v>
      </c>
      <c r="R112">
        <v>2100</v>
      </c>
      <c r="S112" t="str">
        <f t="shared" si="15"/>
        <v>5140</v>
      </c>
      <c r="T112" t="s">
        <v>3341</v>
      </c>
      <c r="U112" t="s">
        <v>16</v>
      </c>
    </row>
    <row r="113" spans="1:21" ht="15" customHeight="1" x14ac:dyDescent="0.3">
      <c r="A113" t="s">
        <v>179</v>
      </c>
      <c r="B113" t="str">
        <f>"00066258"</f>
        <v>00066258</v>
      </c>
      <c r="C113" t="s">
        <v>4326</v>
      </c>
      <c r="D113" t="s">
        <v>4327</v>
      </c>
      <c r="E113" t="str">
        <f>"00065905"</f>
        <v>00065905</v>
      </c>
      <c r="F113">
        <v>0</v>
      </c>
      <c r="G113" s="243">
        <v>40770</v>
      </c>
      <c r="H113" t="s">
        <v>182</v>
      </c>
      <c r="I113">
        <v>4</v>
      </c>
      <c r="J113">
        <v>1</v>
      </c>
      <c r="K113">
        <v>1</v>
      </c>
      <c r="L113">
        <v>22454.25</v>
      </c>
      <c r="M113" t="str">
        <f t="shared" si="8"/>
        <v>13</v>
      </c>
      <c r="N113" t="s">
        <v>3323</v>
      </c>
      <c r="O113" t="str">
        <f t="shared" si="14"/>
        <v>51411</v>
      </c>
      <c r="P113" t="str">
        <f t="shared" si="17"/>
        <v>2100L</v>
      </c>
      <c r="Q113" t="str">
        <f t="shared" si="9"/>
        <v>0101</v>
      </c>
      <c r="R113">
        <v>2100</v>
      </c>
      <c r="S113" t="str">
        <f t="shared" si="15"/>
        <v>5140</v>
      </c>
      <c r="T113" t="s">
        <v>3341</v>
      </c>
      <c r="U113" t="s">
        <v>16</v>
      </c>
    </row>
    <row r="114" spans="1:21" ht="15" customHeight="1" x14ac:dyDescent="0.3">
      <c r="A114" t="s">
        <v>179</v>
      </c>
      <c r="B114" t="str">
        <f>"00066508"</f>
        <v>00066508</v>
      </c>
      <c r="C114" t="s">
        <v>4266</v>
      </c>
      <c r="D114" t="s">
        <v>3345</v>
      </c>
      <c r="E114" t="str">
        <f>"00065768"</f>
        <v>00065768</v>
      </c>
      <c r="F114">
        <v>0</v>
      </c>
      <c r="G114" s="243">
        <v>40755</v>
      </c>
      <c r="H114" t="s">
        <v>182</v>
      </c>
      <c r="I114">
        <v>15</v>
      </c>
      <c r="J114">
        <v>5</v>
      </c>
      <c r="K114">
        <v>1</v>
      </c>
      <c r="L114">
        <v>59087</v>
      </c>
      <c r="M114" t="str">
        <f t="shared" si="8"/>
        <v>13</v>
      </c>
      <c r="N114" t="s">
        <v>3323</v>
      </c>
      <c r="O114" t="str">
        <f t="shared" si="14"/>
        <v>51411</v>
      </c>
      <c r="P114" t="str">
        <f t="shared" si="17"/>
        <v>2100L</v>
      </c>
      <c r="Q114" t="str">
        <f t="shared" si="9"/>
        <v>0101</v>
      </c>
      <c r="R114">
        <v>2100</v>
      </c>
      <c r="S114" t="str">
        <f t="shared" si="15"/>
        <v>5140</v>
      </c>
      <c r="T114" t="s">
        <v>3341</v>
      </c>
      <c r="U114" t="s">
        <v>16</v>
      </c>
    </row>
    <row r="115" spans="1:21" ht="15" customHeight="1" x14ac:dyDescent="0.3">
      <c r="A115" t="s">
        <v>179</v>
      </c>
      <c r="B115" t="str">
        <f>"00066510"</f>
        <v>00066510</v>
      </c>
      <c r="C115" t="s">
        <v>4266</v>
      </c>
      <c r="D115" t="s">
        <v>380</v>
      </c>
      <c r="E115" t="str">
        <f>"00063164"</f>
        <v>00063164</v>
      </c>
      <c r="F115">
        <v>0</v>
      </c>
      <c r="G115" s="243">
        <v>40406</v>
      </c>
      <c r="H115" t="s">
        <v>182</v>
      </c>
      <c r="I115">
        <v>15</v>
      </c>
      <c r="J115">
        <v>6</v>
      </c>
      <c r="K115">
        <v>1</v>
      </c>
      <c r="L115">
        <v>61032</v>
      </c>
      <c r="M115" t="str">
        <f t="shared" si="8"/>
        <v>13</v>
      </c>
      <c r="N115" t="s">
        <v>3323</v>
      </c>
      <c r="O115" t="str">
        <f t="shared" si="14"/>
        <v>51411</v>
      </c>
      <c r="P115" t="str">
        <f t="shared" si="17"/>
        <v>2100L</v>
      </c>
      <c r="Q115" t="str">
        <f t="shared" si="9"/>
        <v>0101</v>
      </c>
      <c r="R115">
        <v>2100</v>
      </c>
      <c r="S115" t="str">
        <f t="shared" si="15"/>
        <v>5140</v>
      </c>
      <c r="T115" t="s">
        <v>3341</v>
      </c>
      <c r="U115" t="s">
        <v>16</v>
      </c>
    </row>
    <row r="116" spans="1:21" ht="15" customHeight="1" x14ac:dyDescent="0.3">
      <c r="A116" t="s">
        <v>179</v>
      </c>
      <c r="B116" t="str">
        <f>"00066511"</f>
        <v>00066511</v>
      </c>
      <c r="C116" t="s">
        <v>4266</v>
      </c>
      <c r="D116" t="s">
        <v>4328</v>
      </c>
      <c r="E116" t="str">
        <f>"00069991"</f>
        <v>00069991</v>
      </c>
      <c r="F116">
        <v>0</v>
      </c>
      <c r="G116" s="243">
        <v>41133</v>
      </c>
      <c r="H116" t="s">
        <v>182</v>
      </c>
      <c r="I116">
        <v>15</v>
      </c>
      <c r="J116">
        <v>6</v>
      </c>
      <c r="K116">
        <v>1</v>
      </c>
      <c r="L116">
        <v>58599</v>
      </c>
      <c r="M116" t="str">
        <f t="shared" si="8"/>
        <v>13</v>
      </c>
      <c r="N116" t="s">
        <v>3370</v>
      </c>
      <c r="O116" t="str">
        <f t="shared" si="14"/>
        <v>51411</v>
      </c>
      <c r="P116" t="str">
        <f t="shared" si="17"/>
        <v>2100L</v>
      </c>
      <c r="Q116" t="str">
        <f t="shared" si="9"/>
        <v>0101</v>
      </c>
      <c r="R116">
        <v>2100</v>
      </c>
      <c r="S116" t="str">
        <f t="shared" si="15"/>
        <v>5140</v>
      </c>
      <c r="T116" t="s">
        <v>3341</v>
      </c>
      <c r="U116" t="s">
        <v>16</v>
      </c>
    </row>
    <row r="117" spans="1:21" ht="15" customHeight="1" x14ac:dyDescent="0.3">
      <c r="A117" t="s">
        <v>179</v>
      </c>
      <c r="B117" t="str">
        <f>"00066512"</f>
        <v>00066512</v>
      </c>
      <c r="C117" t="s">
        <v>4266</v>
      </c>
      <c r="D117" t="s">
        <v>381</v>
      </c>
      <c r="E117" t="str">
        <f>"00058369"</f>
        <v>00058369</v>
      </c>
      <c r="F117">
        <v>0</v>
      </c>
      <c r="G117" s="243">
        <v>40064</v>
      </c>
      <c r="H117" t="s">
        <v>182</v>
      </c>
      <c r="I117">
        <v>15</v>
      </c>
      <c r="J117">
        <v>12</v>
      </c>
      <c r="K117">
        <v>1</v>
      </c>
      <c r="L117">
        <v>87431</v>
      </c>
      <c r="M117" t="str">
        <f t="shared" si="8"/>
        <v>13</v>
      </c>
      <c r="N117" t="s">
        <v>3323</v>
      </c>
      <c r="O117" t="str">
        <f t="shared" si="14"/>
        <v>51411</v>
      </c>
      <c r="P117" t="str">
        <f t="shared" si="17"/>
        <v>2100L</v>
      </c>
      <c r="Q117" t="str">
        <f t="shared" si="9"/>
        <v>0101</v>
      </c>
      <c r="R117">
        <v>2100</v>
      </c>
      <c r="S117" t="str">
        <f t="shared" si="15"/>
        <v>5140</v>
      </c>
      <c r="T117" t="s">
        <v>3341</v>
      </c>
      <c r="U117" t="s">
        <v>16</v>
      </c>
    </row>
    <row r="118" spans="1:21" ht="15" customHeight="1" x14ac:dyDescent="0.3">
      <c r="A118" t="s">
        <v>179</v>
      </c>
      <c r="B118" t="str">
        <f>"00066513"</f>
        <v>00066513</v>
      </c>
      <c r="C118" t="s">
        <v>4266</v>
      </c>
      <c r="D118" t="s">
        <v>3346</v>
      </c>
      <c r="E118" t="str">
        <f>"00066325"</f>
        <v>00066325</v>
      </c>
      <c r="F118">
        <v>0</v>
      </c>
      <c r="G118" s="243">
        <v>40755</v>
      </c>
      <c r="H118" t="s">
        <v>182</v>
      </c>
      <c r="I118">
        <v>15</v>
      </c>
      <c r="J118">
        <v>1</v>
      </c>
      <c r="K118">
        <v>1</v>
      </c>
      <c r="L118">
        <v>51539</v>
      </c>
      <c r="M118" t="str">
        <f t="shared" si="8"/>
        <v>13</v>
      </c>
      <c r="N118" t="s">
        <v>3323</v>
      </c>
      <c r="O118" t="str">
        <f t="shared" si="14"/>
        <v>51411</v>
      </c>
      <c r="P118" t="str">
        <f t="shared" si="17"/>
        <v>2100L</v>
      </c>
      <c r="Q118" t="str">
        <f t="shared" si="9"/>
        <v>0101</v>
      </c>
      <c r="R118">
        <v>2100</v>
      </c>
      <c r="S118" t="str">
        <f t="shared" si="15"/>
        <v>5140</v>
      </c>
      <c r="T118" t="s">
        <v>3341</v>
      </c>
      <c r="U118" t="s">
        <v>16</v>
      </c>
    </row>
    <row r="119" spans="1:21" ht="15" customHeight="1" x14ac:dyDescent="0.3">
      <c r="A119" t="s">
        <v>179</v>
      </c>
      <c r="B119" t="str">
        <f>"00066515"</f>
        <v>00066515</v>
      </c>
      <c r="C119" t="s">
        <v>4272</v>
      </c>
      <c r="D119" t="s">
        <v>382</v>
      </c>
      <c r="E119" t="str">
        <f>"00056923"</f>
        <v>00056923</v>
      </c>
      <c r="F119">
        <v>0</v>
      </c>
      <c r="G119" s="243">
        <v>40042</v>
      </c>
      <c r="H119" t="s">
        <v>182</v>
      </c>
      <c r="I119">
        <v>15</v>
      </c>
      <c r="J119">
        <v>4</v>
      </c>
      <c r="K119">
        <v>1</v>
      </c>
      <c r="L119">
        <v>54725</v>
      </c>
      <c r="M119" t="str">
        <f t="shared" si="8"/>
        <v>13</v>
      </c>
      <c r="N119" t="s">
        <v>3323</v>
      </c>
      <c r="O119" t="str">
        <f t="shared" si="14"/>
        <v>51411</v>
      </c>
      <c r="P119" t="str">
        <f>"2200L"</f>
        <v>2200L</v>
      </c>
      <c r="Q119" t="str">
        <f t="shared" si="9"/>
        <v>0101</v>
      </c>
      <c r="R119">
        <v>2200</v>
      </c>
      <c r="S119" t="str">
        <f t="shared" si="15"/>
        <v>5140</v>
      </c>
      <c r="T119" t="s">
        <v>3341</v>
      </c>
      <c r="U119" t="s">
        <v>16</v>
      </c>
    </row>
    <row r="120" spans="1:21" ht="15" customHeight="1" x14ac:dyDescent="0.3">
      <c r="A120" t="s">
        <v>179</v>
      </c>
      <c r="B120" t="str">
        <f>"00066515"</f>
        <v>00066515</v>
      </c>
      <c r="C120" t="s">
        <v>4272</v>
      </c>
      <c r="D120" t="s">
        <v>4329</v>
      </c>
      <c r="E120" t="str">
        <f>"00069482"</f>
        <v>00069482</v>
      </c>
      <c r="F120">
        <v>0</v>
      </c>
      <c r="G120" s="243">
        <v>41133</v>
      </c>
      <c r="H120" t="s">
        <v>182</v>
      </c>
      <c r="I120">
        <v>15</v>
      </c>
      <c r="J120">
        <v>1</v>
      </c>
      <c r="K120">
        <v>1</v>
      </c>
      <c r="L120">
        <v>51539</v>
      </c>
      <c r="M120" t="str">
        <f t="shared" si="8"/>
        <v>13</v>
      </c>
      <c r="N120" t="s">
        <v>3370</v>
      </c>
      <c r="O120" t="str">
        <f t="shared" si="14"/>
        <v>51411</v>
      </c>
      <c r="P120" t="str">
        <f>"2200L"</f>
        <v>2200L</v>
      </c>
      <c r="Q120" t="str">
        <f t="shared" si="9"/>
        <v>0101</v>
      </c>
      <c r="R120">
        <v>2200</v>
      </c>
      <c r="S120" t="str">
        <f t="shared" si="15"/>
        <v>5140</v>
      </c>
      <c r="T120" t="s">
        <v>3341</v>
      </c>
      <c r="U120" t="s">
        <v>16</v>
      </c>
    </row>
    <row r="121" spans="1:21" ht="15" customHeight="1" x14ac:dyDescent="0.3">
      <c r="A121" t="s">
        <v>179</v>
      </c>
      <c r="B121" t="str">
        <f>"00066846"</f>
        <v>00066846</v>
      </c>
      <c r="C121" t="s">
        <v>4288</v>
      </c>
      <c r="D121" t="s">
        <v>4330</v>
      </c>
      <c r="E121" t="str">
        <f>"00062616"</f>
        <v>00062616</v>
      </c>
      <c r="F121">
        <v>0</v>
      </c>
      <c r="G121" s="243">
        <v>40406</v>
      </c>
      <c r="H121" t="s">
        <v>182</v>
      </c>
      <c r="I121">
        <v>4</v>
      </c>
      <c r="J121">
        <v>7</v>
      </c>
      <c r="K121">
        <v>1</v>
      </c>
      <c r="L121">
        <v>26633.25</v>
      </c>
      <c r="M121" t="str">
        <f t="shared" si="8"/>
        <v>13</v>
      </c>
      <c r="N121" t="s">
        <v>3323</v>
      </c>
      <c r="O121" t="str">
        <f t="shared" si="14"/>
        <v>51411</v>
      </c>
      <c r="P121" t="str">
        <f>"2200L"</f>
        <v>2200L</v>
      </c>
      <c r="Q121" t="str">
        <f t="shared" si="9"/>
        <v>0101</v>
      </c>
      <c r="R121">
        <v>2200</v>
      </c>
      <c r="S121" t="str">
        <f t="shared" si="15"/>
        <v>5140</v>
      </c>
      <c r="T121" t="s">
        <v>3341</v>
      </c>
      <c r="U121" t="s">
        <v>16</v>
      </c>
    </row>
    <row r="122" spans="1:21" ht="15" customHeight="1" x14ac:dyDescent="0.3">
      <c r="A122" t="s">
        <v>179</v>
      </c>
      <c r="B122" t="str">
        <f>"00066960"</f>
        <v>00066960</v>
      </c>
      <c r="C122" t="s">
        <v>200</v>
      </c>
      <c r="D122" t="s">
        <v>383</v>
      </c>
      <c r="E122" t="str">
        <f>"00039315"</f>
        <v>00039315</v>
      </c>
      <c r="F122">
        <v>0</v>
      </c>
      <c r="G122" s="243">
        <v>40042</v>
      </c>
      <c r="H122" t="s">
        <v>182</v>
      </c>
      <c r="I122">
        <v>15</v>
      </c>
      <c r="J122">
        <v>4</v>
      </c>
      <c r="K122">
        <v>1</v>
      </c>
      <c r="L122">
        <v>61158</v>
      </c>
      <c r="M122" t="str">
        <f t="shared" si="8"/>
        <v>13</v>
      </c>
      <c r="N122" t="s">
        <v>3323</v>
      </c>
      <c r="O122" t="str">
        <f t="shared" si="14"/>
        <v>51411</v>
      </c>
      <c r="P122" t="str">
        <f>"2100L"</f>
        <v>2100L</v>
      </c>
      <c r="Q122" t="str">
        <f t="shared" si="9"/>
        <v>0101</v>
      </c>
      <c r="R122">
        <v>2100</v>
      </c>
      <c r="S122" t="str">
        <f t="shared" si="15"/>
        <v>5140</v>
      </c>
      <c r="T122" t="s">
        <v>3341</v>
      </c>
      <c r="U122" t="s">
        <v>16</v>
      </c>
    </row>
    <row r="123" spans="1:21" ht="15" customHeight="1" x14ac:dyDescent="0.3">
      <c r="A123" t="s">
        <v>179</v>
      </c>
      <c r="B123" t="str">
        <f>"00067480"</f>
        <v>00067480</v>
      </c>
      <c r="C123" t="s">
        <v>4272</v>
      </c>
      <c r="D123" t="s">
        <v>384</v>
      </c>
      <c r="E123" t="str">
        <f>"00062957"</f>
        <v>00062957</v>
      </c>
      <c r="F123">
        <v>0</v>
      </c>
      <c r="G123" s="243">
        <v>40406</v>
      </c>
      <c r="H123" t="s">
        <v>182</v>
      </c>
      <c r="I123">
        <v>15</v>
      </c>
      <c r="J123">
        <v>3</v>
      </c>
      <c r="K123">
        <v>1</v>
      </c>
      <c r="L123">
        <v>58699</v>
      </c>
      <c r="M123" t="str">
        <f t="shared" si="8"/>
        <v>13</v>
      </c>
      <c r="N123" t="s">
        <v>3323</v>
      </c>
      <c r="O123" t="str">
        <f t="shared" si="14"/>
        <v>51411</v>
      </c>
      <c r="P123" t="str">
        <f>"2100L"</f>
        <v>2100L</v>
      </c>
      <c r="Q123" t="str">
        <f t="shared" si="9"/>
        <v>0101</v>
      </c>
      <c r="R123">
        <v>2100</v>
      </c>
      <c r="S123" t="str">
        <f t="shared" si="15"/>
        <v>5140</v>
      </c>
      <c r="T123" t="s">
        <v>3341</v>
      </c>
      <c r="U123" t="s">
        <v>16</v>
      </c>
    </row>
    <row r="124" spans="1:21" ht="15" customHeight="1" x14ac:dyDescent="0.3">
      <c r="A124" t="s">
        <v>179</v>
      </c>
      <c r="B124" t="str">
        <f>"00067481"</f>
        <v>00067481</v>
      </c>
      <c r="C124" t="s">
        <v>4260</v>
      </c>
      <c r="D124" t="s">
        <v>4331</v>
      </c>
      <c r="E124" t="str">
        <f>"00069736"</f>
        <v>00069736</v>
      </c>
      <c r="F124">
        <v>0</v>
      </c>
      <c r="G124" s="243">
        <v>41133</v>
      </c>
      <c r="H124" t="s">
        <v>182</v>
      </c>
      <c r="I124">
        <v>15</v>
      </c>
      <c r="J124">
        <v>1</v>
      </c>
      <c r="K124">
        <v>1</v>
      </c>
      <c r="L124">
        <v>51539</v>
      </c>
      <c r="M124" t="str">
        <f t="shared" ref="M124:M184" si="18">"13"</f>
        <v>13</v>
      </c>
      <c r="N124" t="s">
        <v>3370</v>
      </c>
      <c r="O124" t="str">
        <f t="shared" si="14"/>
        <v>51411</v>
      </c>
      <c r="P124" t="str">
        <f>"3030L"</f>
        <v>3030L</v>
      </c>
      <c r="Q124" t="str">
        <f t="shared" ref="Q124:Q184" si="19">"0101"</f>
        <v>0101</v>
      </c>
      <c r="R124">
        <v>3030</v>
      </c>
      <c r="S124" t="str">
        <f t="shared" si="15"/>
        <v>5140</v>
      </c>
      <c r="T124" t="s">
        <v>3341</v>
      </c>
      <c r="U124" t="s">
        <v>16</v>
      </c>
    </row>
    <row r="125" spans="1:21" ht="15" customHeight="1" x14ac:dyDescent="0.3">
      <c r="A125" t="s">
        <v>179</v>
      </c>
      <c r="B125" t="str">
        <f>"00071526"</f>
        <v>00071526</v>
      </c>
      <c r="C125" t="s">
        <v>4274</v>
      </c>
      <c r="H125" t="s">
        <v>170</v>
      </c>
      <c r="I125">
        <v>4</v>
      </c>
      <c r="J125">
        <v>1</v>
      </c>
      <c r="K125">
        <v>1</v>
      </c>
      <c r="L125">
        <v>25662</v>
      </c>
      <c r="M125" t="str">
        <f t="shared" si="18"/>
        <v>13</v>
      </c>
      <c r="N125" t="s">
        <v>3370</v>
      </c>
      <c r="O125" t="str">
        <f t="shared" si="14"/>
        <v>51411</v>
      </c>
      <c r="P125" t="str">
        <f>"2200L"</f>
        <v>2200L</v>
      </c>
      <c r="Q125" t="str">
        <f t="shared" si="19"/>
        <v>0101</v>
      </c>
      <c r="R125">
        <v>2200</v>
      </c>
      <c r="S125" t="str">
        <f t="shared" si="15"/>
        <v>5140</v>
      </c>
      <c r="T125" t="s">
        <v>3341</v>
      </c>
      <c r="U125" t="s">
        <v>16</v>
      </c>
    </row>
    <row r="126" spans="1:21" ht="15" customHeight="1" x14ac:dyDescent="0.3">
      <c r="A126" t="s">
        <v>179</v>
      </c>
      <c r="B126" t="str">
        <f>"00072263"</f>
        <v>00072263</v>
      </c>
      <c r="C126" t="s">
        <v>4272</v>
      </c>
      <c r="D126" t="s">
        <v>4215</v>
      </c>
      <c r="E126" t="str">
        <f>"00066297"</f>
        <v>00066297</v>
      </c>
      <c r="F126">
        <v>0</v>
      </c>
      <c r="G126" s="243">
        <v>40755</v>
      </c>
      <c r="H126" t="s">
        <v>182</v>
      </c>
      <c r="I126">
        <v>15</v>
      </c>
      <c r="J126">
        <v>10</v>
      </c>
      <c r="K126">
        <v>1</v>
      </c>
      <c r="L126">
        <v>78273</v>
      </c>
      <c r="M126" t="str">
        <f t="shared" si="18"/>
        <v>13</v>
      </c>
      <c r="N126" t="s">
        <v>3370</v>
      </c>
      <c r="O126" t="str">
        <f t="shared" si="14"/>
        <v>51411</v>
      </c>
      <c r="P126" t="str">
        <f>"2100L"</f>
        <v>2100L</v>
      </c>
      <c r="Q126" t="str">
        <f t="shared" si="19"/>
        <v>0101</v>
      </c>
      <c r="R126">
        <v>2100</v>
      </c>
      <c r="S126" t="str">
        <f t="shared" si="15"/>
        <v>5140</v>
      </c>
      <c r="T126" t="s">
        <v>3341</v>
      </c>
      <c r="U126" t="s">
        <v>16</v>
      </c>
    </row>
    <row r="127" spans="1:21" ht="15" customHeight="1" x14ac:dyDescent="0.3">
      <c r="A127" t="s">
        <v>179</v>
      </c>
      <c r="B127" t="str">
        <f>"00072291"</f>
        <v>00072291</v>
      </c>
      <c r="C127" t="s">
        <v>4272</v>
      </c>
      <c r="D127" t="s">
        <v>4332</v>
      </c>
      <c r="E127" t="str">
        <f>"00069717"</f>
        <v>00069717</v>
      </c>
      <c r="F127">
        <v>0</v>
      </c>
      <c r="G127" s="243">
        <v>41133</v>
      </c>
      <c r="H127" t="s">
        <v>182</v>
      </c>
      <c r="I127">
        <v>15</v>
      </c>
      <c r="J127">
        <v>1</v>
      </c>
      <c r="K127">
        <v>1</v>
      </c>
      <c r="L127">
        <v>51539</v>
      </c>
      <c r="M127" t="str">
        <f t="shared" si="18"/>
        <v>13</v>
      </c>
      <c r="N127" t="s">
        <v>3370</v>
      </c>
      <c r="O127" t="str">
        <f t="shared" si="14"/>
        <v>51411</v>
      </c>
      <c r="P127" t="str">
        <f>"2100L"</f>
        <v>2100L</v>
      </c>
      <c r="Q127" t="str">
        <f t="shared" si="19"/>
        <v>0101</v>
      </c>
      <c r="R127">
        <v>2100</v>
      </c>
      <c r="S127" t="str">
        <f t="shared" si="15"/>
        <v>5140</v>
      </c>
      <c r="T127" t="s">
        <v>3341</v>
      </c>
      <c r="U127" t="s">
        <v>16</v>
      </c>
    </row>
    <row r="128" spans="1:21" ht="15" customHeight="1" x14ac:dyDescent="0.3">
      <c r="A128" t="s">
        <v>179</v>
      </c>
      <c r="B128" t="str">
        <f>"00073797"</f>
        <v>00073797</v>
      </c>
      <c r="C128" t="s">
        <v>4333</v>
      </c>
      <c r="D128" t="s">
        <v>4334</v>
      </c>
      <c r="E128" t="str">
        <f>"00058592"</f>
        <v>00058592</v>
      </c>
      <c r="F128">
        <v>0</v>
      </c>
      <c r="G128" s="243">
        <v>40085</v>
      </c>
      <c r="H128" t="s">
        <v>182</v>
      </c>
      <c r="I128">
        <v>12</v>
      </c>
      <c r="J128">
        <v>4</v>
      </c>
      <c r="K128">
        <v>1</v>
      </c>
      <c r="L128">
        <v>65427</v>
      </c>
      <c r="M128" t="str">
        <f t="shared" si="18"/>
        <v>13</v>
      </c>
      <c r="N128" t="s">
        <v>3323</v>
      </c>
      <c r="O128" t="str">
        <f t="shared" ref="O128:O137" si="20">"51411"</f>
        <v>51411</v>
      </c>
      <c r="P128" t="str">
        <f>"1502L"</f>
        <v>1502L</v>
      </c>
      <c r="Q128" t="str">
        <f t="shared" si="19"/>
        <v>0101</v>
      </c>
      <c r="R128">
        <v>1502</v>
      </c>
      <c r="S128" t="str">
        <f t="shared" ref="S128:S137" si="21">"5140"</f>
        <v>5140</v>
      </c>
      <c r="T128" t="s">
        <v>3341</v>
      </c>
      <c r="U128" t="s">
        <v>16</v>
      </c>
    </row>
    <row r="129" spans="1:21" ht="15" customHeight="1" x14ac:dyDescent="0.3">
      <c r="A129" t="s">
        <v>179</v>
      </c>
      <c r="B129" t="str">
        <f>"00073798"</f>
        <v>00073798</v>
      </c>
      <c r="C129" t="s">
        <v>4292</v>
      </c>
      <c r="D129" t="s">
        <v>4335</v>
      </c>
      <c r="E129" t="str">
        <f>"00065522"</f>
        <v>00065522</v>
      </c>
      <c r="F129">
        <v>0</v>
      </c>
      <c r="G129" s="243">
        <v>40770</v>
      </c>
      <c r="H129" t="s">
        <v>182</v>
      </c>
      <c r="I129">
        <v>4</v>
      </c>
      <c r="J129">
        <v>3</v>
      </c>
      <c r="K129">
        <v>0.71</v>
      </c>
      <c r="L129">
        <v>23848.12</v>
      </c>
      <c r="M129" t="str">
        <f t="shared" si="18"/>
        <v>13</v>
      </c>
      <c r="N129" t="s">
        <v>3323</v>
      </c>
      <c r="O129" t="str">
        <f t="shared" si="20"/>
        <v>51411</v>
      </c>
      <c r="P129" t="str">
        <f>"2100L"</f>
        <v>2100L</v>
      </c>
      <c r="Q129" t="str">
        <f t="shared" si="19"/>
        <v>0101</v>
      </c>
      <c r="R129">
        <v>2100</v>
      </c>
      <c r="S129" t="str">
        <f t="shared" si="21"/>
        <v>5140</v>
      </c>
      <c r="T129" t="s">
        <v>3341</v>
      </c>
      <c r="U129" t="s">
        <v>16</v>
      </c>
    </row>
    <row r="130" spans="1:21" ht="15" customHeight="1" x14ac:dyDescent="0.3">
      <c r="A130" t="s">
        <v>179</v>
      </c>
      <c r="B130" t="str">
        <f>"00073799"</f>
        <v>00073799</v>
      </c>
      <c r="C130" t="s">
        <v>4288</v>
      </c>
      <c r="D130" t="s">
        <v>4336</v>
      </c>
      <c r="E130" t="str">
        <f>"00052281"</f>
        <v>00052281</v>
      </c>
      <c r="F130">
        <v>0</v>
      </c>
      <c r="G130" s="243">
        <v>36859</v>
      </c>
      <c r="H130" t="s">
        <v>182</v>
      </c>
      <c r="I130">
        <v>4</v>
      </c>
      <c r="J130">
        <v>8</v>
      </c>
      <c r="K130">
        <v>0.71</v>
      </c>
      <c r="L130">
        <v>27329.75</v>
      </c>
      <c r="M130" t="str">
        <f t="shared" si="18"/>
        <v>13</v>
      </c>
      <c r="N130" t="s">
        <v>3323</v>
      </c>
      <c r="O130" t="str">
        <f t="shared" si="20"/>
        <v>51411</v>
      </c>
      <c r="P130" t="str">
        <f>"2100L"</f>
        <v>2100L</v>
      </c>
      <c r="Q130" t="str">
        <f t="shared" si="19"/>
        <v>0101</v>
      </c>
      <c r="R130">
        <v>2100</v>
      </c>
      <c r="S130" t="str">
        <f t="shared" si="21"/>
        <v>5140</v>
      </c>
      <c r="T130" t="s">
        <v>3341</v>
      </c>
      <c r="U130" t="s">
        <v>16</v>
      </c>
    </row>
    <row r="131" spans="1:21" ht="15" customHeight="1" x14ac:dyDescent="0.3">
      <c r="A131" t="s">
        <v>179</v>
      </c>
      <c r="B131" t="str">
        <f>"00074148"</f>
        <v>00074148</v>
      </c>
      <c r="C131" t="s">
        <v>4337</v>
      </c>
      <c r="D131" t="s">
        <v>3347</v>
      </c>
      <c r="E131" t="str">
        <f>"00066348"</f>
        <v>00066348</v>
      </c>
      <c r="F131">
        <v>0</v>
      </c>
      <c r="G131" s="243">
        <v>40755</v>
      </c>
      <c r="H131" t="s">
        <v>182</v>
      </c>
      <c r="I131">
        <v>15</v>
      </c>
      <c r="J131">
        <v>2</v>
      </c>
      <c r="K131">
        <v>0.5</v>
      </c>
      <c r="L131">
        <v>25858</v>
      </c>
      <c r="M131" t="str">
        <f t="shared" si="18"/>
        <v>13</v>
      </c>
      <c r="N131" t="s">
        <v>3323</v>
      </c>
      <c r="O131" t="str">
        <f t="shared" si="20"/>
        <v>51411</v>
      </c>
      <c r="P131" t="str">
        <f>"2100L"</f>
        <v>2100L</v>
      </c>
      <c r="Q131" t="str">
        <f t="shared" si="19"/>
        <v>0101</v>
      </c>
      <c r="R131">
        <v>2100</v>
      </c>
      <c r="S131" t="str">
        <f t="shared" si="21"/>
        <v>5140</v>
      </c>
      <c r="T131" t="s">
        <v>3341</v>
      </c>
      <c r="U131" t="s">
        <v>16</v>
      </c>
    </row>
    <row r="132" spans="1:21" ht="15" customHeight="1" x14ac:dyDescent="0.3">
      <c r="A132" t="s">
        <v>179</v>
      </c>
      <c r="B132" t="str">
        <f>"00074182"</f>
        <v>00074182</v>
      </c>
      <c r="C132" t="s">
        <v>4272</v>
      </c>
      <c r="H132" t="s">
        <v>170</v>
      </c>
      <c r="I132">
        <v>15</v>
      </c>
      <c r="J132">
        <v>1</v>
      </c>
      <c r="K132">
        <v>1</v>
      </c>
      <c r="L132">
        <v>53256</v>
      </c>
      <c r="M132" t="str">
        <f t="shared" si="18"/>
        <v>13</v>
      </c>
      <c r="N132" t="s">
        <v>3370</v>
      </c>
      <c r="O132" t="str">
        <f t="shared" si="20"/>
        <v>51411</v>
      </c>
      <c r="P132" t="str">
        <f>"2100L"</f>
        <v>2100L</v>
      </c>
      <c r="Q132" t="str">
        <f t="shared" si="19"/>
        <v>0101</v>
      </c>
      <c r="R132">
        <v>2100</v>
      </c>
      <c r="S132" t="str">
        <f t="shared" si="21"/>
        <v>5140</v>
      </c>
      <c r="T132" t="s">
        <v>3341</v>
      </c>
      <c r="U132" t="s">
        <v>16</v>
      </c>
    </row>
    <row r="133" spans="1:21" ht="15" customHeight="1" x14ac:dyDescent="0.3">
      <c r="A133" t="s">
        <v>179</v>
      </c>
      <c r="B133" t="str">
        <f>"00074293"</f>
        <v>00074293</v>
      </c>
      <c r="C133" t="s">
        <v>4259</v>
      </c>
      <c r="D133" t="s">
        <v>369</v>
      </c>
      <c r="E133" t="str">
        <f>"00046888"</f>
        <v>00046888</v>
      </c>
      <c r="F133">
        <v>0</v>
      </c>
      <c r="G133" s="243">
        <v>37496</v>
      </c>
      <c r="H133" t="s">
        <v>182</v>
      </c>
      <c r="I133">
        <v>15</v>
      </c>
      <c r="J133">
        <v>11</v>
      </c>
      <c r="K133">
        <v>1</v>
      </c>
      <c r="L133">
        <v>81335</v>
      </c>
      <c r="M133" t="str">
        <f t="shared" si="18"/>
        <v>13</v>
      </c>
      <c r="N133" t="s">
        <v>3323</v>
      </c>
      <c r="O133" t="str">
        <f t="shared" si="20"/>
        <v>51411</v>
      </c>
      <c r="P133" t="str">
        <f>"2100L"</f>
        <v>2100L</v>
      </c>
      <c r="Q133" t="str">
        <f t="shared" si="19"/>
        <v>0101</v>
      </c>
      <c r="R133">
        <v>2100</v>
      </c>
      <c r="S133" t="str">
        <f t="shared" si="21"/>
        <v>5140</v>
      </c>
      <c r="T133" t="s">
        <v>3341</v>
      </c>
      <c r="U133" t="s">
        <v>16</v>
      </c>
    </row>
    <row r="134" spans="1:21" ht="15" customHeight="1" x14ac:dyDescent="0.3">
      <c r="A134" t="s">
        <v>179</v>
      </c>
      <c r="B134" t="str">
        <f>"00076638"</f>
        <v>00076638</v>
      </c>
      <c r="C134" t="s">
        <v>4306</v>
      </c>
      <c r="D134" t="s">
        <v>4338</v>
      </c>
      <c r="E134" t="str">
        <f>"00053651"</f>
        <v>00053651</v>
      </c>
      <c r="F134">
        <v>0</v>
      </c>
      <c r="G134" s="243">
        <v>40042</v>
      </c>
      <c r="H134" t="s">
        <v>182</v>
      </c>
      <c r="I134">
        <v>9</v>
      </c>
      <c r="J134">
        <v>9</v>
      </c>
      <c r="K134">
        <v>1</v>
      </c>
      <c r="L134">
        <v>41667</v>
      </c>
      <c r="M134" t="str">
        <f t="shared" si="18"/>
        <v>13</v>
      </c>
      <c r="N134" t="s">
        <v>3370</v>
      </c>
      <c r="O134" t="str">
        <f t="shared" si="20"/>
        <v>51411</v>
      </c>
      <c r="P134" t="str">
        <f>"1502L"</f>
        <v>1502L</v>
      </c>
      <c r="Q134" t="str">
        <f t="shared" si="19"/>
        <v>0101</v>
      </c>
      <c r="R134">
        <v>1502</v>
      </c>
      <c r="S134" t="str">
        <f t="shared" si="21"/>
        <v>5140</v>
      </c>
      <c r="T134" t="s">
        <v>3341</v>
      </c>
      <c r="U134" t="s">
        <v>16</v>
      </c>
    </row>
    <row r="135" spans="1:21" ht="15" customHeight="1" x14ac:dyDescent="0.3">
      <c r="A135" t="s">
        <v>179</v>
      </c>
      <c r="B135" t="str">
        <f>"00076657"</f>
        <v>00076657</v>
      </c>
      <c r="C135" t="s">
        <v>4271</v>
      </c>
      <c r="D135" t="s">
        <v>4339</v>
      </c>
      <c r="E135" t="str">
        <f>"00069914"</f>
        <v>00069914</v>
      </c>
      <c r="F135">
        <v>0</v>
      </c>
      <c r="G135" s="243">
        <v>41133</v>
      </c>
      <c r="H135" t="s">
        <v>182</v>
      </c>
      <c r="I135">
        <v>15</v>
      </c>
      <c r="J135">
        <v>3</v>
      </c>
      <c r="K135">
        <v>1</v>
      </c>
      <c r="L135">
        <v>61159</v>
      </c>
      <c r="M135" t="str">
        <f t="shared" si="18"/>
        <v>13</v>
      </c>
      <c r="N135" t="s">
        <v>3370</v>
      </c>
      <c r="O135" t="str">
        <f t="shared" si="20"/>
        <v>51411</v>
      </c>
      <c r="P135" t="str">
        <f>"2100L"</f>
        <v>2100L</v>
      </c>
      <c r="Q135" t="str">
        <f t="shared" si="19"/>
        <v>0101</v>
      </c>
      <c r="R135">
        <v>2100</v>
      </c>
      <c r="S135" t="str">
        <f t="shared" si="21"/>
        <v>5140</v>
      </c>
      <c r="T135" t="s">
        <v>3341</v>
      </c>
      <c r="U135" t="s">
        <v>16</v>
      </c>
    </row>
    <row r="136" spans="1:21" ht="15" customHeight="1" x14ac:dyDescent="0.3">
      <c r="A136" t="s">
        <v>179</v>
      </c>
      <c r="B136" t="str">
        <f>"00076658"</f>
        <v>00076658</v>
      </c>
      <c r="C136" t="s">
        <v>4262</v>
      </c>
      <c r="D136" t="s">
        <v>4340</v>
      </c>
      <c r="E136" t="str">
        <f>"00069548"</f>
        <v>00069548</v>
      </c>
      <c r="F136">
        <v>0</v>
      </c>
      <c r="G136" s="243">
        <v>41133</v>
      </c>
      <c r="H136" t="s">
        <v>182</v>
      </c>
      <c r="I136">
        <v>15</v>
      </c>
      <c r="J136">
        <v>6</v>
      </c>
      <c r="K136">
        <v>1</v>
      </c>
      <c r="L136">
        <v>66078</v>
      </c>
      <c r="M136" t="str">
        <f t="shared" si="18"/>
        <v>13</v>
      </c>
      <c r="N136" t="s">
        <v>3370</v>
      </c>
      <c r="O136" t="str">
        <f t="shared" si="20"/>
        <v>51411</v>
      </c>
      <c r="P136" t="str">
        <f>"2100L"</f>
        <v>2100L</v>
      </c>
      <c r="Q136" t="str">
        <f t="shared" si="19"/>
        <v>0101</v>
      </c>
      <c r="R136">
        <v>2100</v>
      </c>
      <c r="S136" t="str">
        <f t="shared" si="21"/>
        <v>5140</v>
      </c>
      <c r="T136" t="s">
        <v>3341</v>
      </c>
      <c r="U136" t="s">
        <v>16</v>
      </c>
    </row>
    <row r="137" spans="1:21" ht="15" customHeight="1" x14ac:dyDescent="0.3">
      <c r="A137" t="s">
        <v>179</v>
      </c>
      <c r="B137" t="str">
        <f>"00076802"</f>
        <v>00076802</v>
      </c>
      <c r="C137" t="s">
        <v>4341</v>
      </c>
      <c r="D137" t="s">
        <v>3342</v>
      </c>
      <c r="E137" t="str">
        <f>"00067319"</f>
        <v>00067319</v>
      </c>
      <c r="F137">
        <v>0</v>
      </c>
      <c r="G137" s="243">
        <v>40868</v>
      </c>
      <c r="H137" t="s">
        <v>182</v>
      </c>
      <c r="I137">
        <v>10</v>
      </c>
      <c r="J137">
        <v>1</v>
      </c>
      <c r="K137">
        <v>1</v>
      </c>
      <c r="L137">
        <v>64547</v>
      </c>
      <c r="M137" t="str">
        <f t="shared" si="18"/>
        <v>13</v>
      </c>
      <c r="N137" t="s">
        <v>3370</v>
      </c>
      <c r="O137" t="str">
        <f t="shared" si="20"/>
        <v>51411</v>
      </c>
      <c r="P137" t="str">
        <f>"3030L"</f>
        <v>3030L</v>
      </c>
      <c r="Q137" t="str">
        <f t="shared" si="19"/>
        <v>0101</v>
      </c>
      <c r="R137">
        <v>3030</v>
      </c>
      <c r="S137" t="str">
        <f t="shared" si="21"/>
        <v>5140</v>
      </c>
      <c r="T137" t="s">
        <v>3341</v>
      </c>
      <c r="U137" t="s">
        <v>16</v>
      </c>
    </row>
    <row r="138" spans="1:21" ht="15" customHeight="1" x14ac:dyDescent="0.3">
      <c r="A138" t="s">
        <v>179</v>
      </c>
      <c r="B138" t="str">
        <f>"00051648"</f>
        <v>00051648</v>
      </c>
      <c r="C138" t="s">
        <v>3798</v>
      </c>
      <c r="D138" t="s">
        <v>415</v>
      </c>
      <c r="E138" t="str">
        <f>"00053784"</f>
        <v>00053784</v>
      </c>
      <c r="F138">
        <v>0</v>
      </c>
      <c r="G138" s="243">
        <v>36963</v>
      </c>
      <c r="H138" t="s">
        <v>182</v>
      </c>
      <c r="I138">
        <v>61</v>
      </c>
      <c r="J138">
        <v>3</v>
      </c>
      <c r="K138">
        <v>1</v>
      </c>
      <c r="L138">
        <v>110000</v>
      </c>
      <c r="M138" t="str">
        <f t="shared" si="18"/>
        <v>13</v>
      </c>
      <c r="N138" t="s">
        <v>3323</v>
      </c>
      <c r="O138" t="str">
        <f t="shared" ref="O138:O167" si="22">"51511"</f>
        <v>51511</v>
      </c>
      <c r="P138" t="str">
        <f>"1501L"</f>
        <v>1501L</v>
      </c>
      <c r="Q138" t="str">
        <f t="shared" si="19"/>
        <v>0101</v>
      </c>
      <c r="R138">
        <v>1501</v>
      </c>
      <c r="S138" t="str">
        <f t="shared" ref="S138:S167" si="23">"5150"</f>
        <v>5150</v>
      </c>
      <c r="T138" t="s">
        <v>3354</v>
      </c>
      <c r="U138" t="s">
        <v>17</v>
      </c>
    </row>
    <row r="139" spans="1:21" ht="15" customHeight="1" x14ac:dyDescent="0.3">
      <c r="A139" t="s">
        <v>179</v>
      </c>
      <c r="B139" t="str">
        <f>"00051899"</f>
        <v>00051899</v>
      </c>
      <c r="C139" t="s">
        <v>4290</v>
      </c>
      <c r="D139" t="s">
        <v>4342</v>
      </c>
      <c r="E139" t="str">
        <f>"00046465"</f>
        <v>00046465</v>
      </c>
      <c r="F139">
        <v>0</v>
      </c>
      <c r="G139" s="243">
        <v>34757</v>
      </c>
      <c r="H139" t="s">
        <v>182</v>
      </c>
      <c r="I139">
        <v>4</v>
      </c>
      <c r="J139">
        <v>9</v>
      </c>
      <c r="K139">
        <v>0.875</v>
      </c>
      <c r="L139">
        <v>28025.38</v>
      </c>
      <c r="M139" t="str">
        <f t="shared" si="18"/>
        <v>13</v>
      </c>
      <c r="N139" t="s">
        <v>3323</v>
      </c>
      <c r="O139" t="str">
        <f t="shared" si="22"/>
        <v>51511</v>
      </c>
      <c r="P139" t="str">
        <f>"3030L"</f>
        <v>3030L</v>
      </c>
      <c r="Q139" t="str">
        <f t="shared" si="19"/>
        <v>0101</v>
      </c>
      <c r="R139">
        <v>3030</v>
      </c>
      <c r="S139" t="str">
        <f t="shared" si="23"/>
        <v>5150</v>
      </c>
      <c r="T139" t="s">
        <v>3354</v>
      </c>
      <c r="U139" t="s">
        <v>17</v>
      </c>
    </row>
    <row r="140" spans="1:21" ht="15" customHeight="1" x14ac:dyDescent="0.3">
      <c r="A140" t="s">
        <v>179</v>
      </c>
      <c r="B140" t="str">
        <f>"00052025"</f>
        <v>00052025</v>
      </c>
      <c r="C140" t="s">
        <v>4343</v>
      </c>
      <c r="D140" t="s">
        <v>416</v>
      </c>
      <c r="E140" t="str">
        <f>"00046993"</f>
        <v>00046993</v>
      </c>
      <c r="F140">
        <v>0</v>
      </c>
      <c r="G140" s="243">
        <v>35675</v>
      </c>
      <c r="H140" t="s">
        <v>182</v>
      </c>
      <c r="I140">
        <v>15</v>
      </c>
      <c r="J140">
        <v>16</v>
      </c>
      <c r="K140">
        <v>1</v>
      </c>
      <c r="L140">
        <v>100839</v>
      </c>
      <c r="M140" t="str">
        <f t="shared" si="18"/>
        <v>13</v>
      </c>
      <c r="N140" t="s">
        <v>3323</v>
      </c>
      <c r="O140" t="str">
        <f t="shared" si="22"/>
        <v>51511</v>
      </c>
      <c r="P140" t="str">
        <f>"2300L"</f>
        <v>2300L</v>
      </c>
      <c r="Q140" t="str">
        <f t="shared" si="19"/>
        <v>0101</v>
      </c>
      <c r="R140">
        <v>2300</v>
      </c>
      <c r="S140" t="str">
        <f t="shared" si="23"/>
        <v>5150</v>
      </c>
      <c r="T140" t="s">
        <v>3354</v>
      </c>
      <c r="U140" t="s">
        <v>17</v>
      </c>
    </row>
    <row r="141" spans="1:21" ht="15" customHeight="1" x14ac:dyDescent="0.3">
      <c r="A141" t="s">
        <v>179</v>
      </c>
      <c r="B141" t="str">
        <f>"00052228"</f>
        <v>00052228</v>
      </c>
      <c r="C141" t="s">
        <v>4266</v>
      </c>
      <c r="D141" t="s">
        <v>3366</v>
      </c>
      <c r="E141" t="str">
        <f>"00047697"</f>
        <v>00047697</v>
      </c>
      <c r="F141">
        <v>0</v>
      </c>
      <c r="G141" s="243">
        <v>30340</v>
      </c>
      <c r="H141" t="s">
        <v>182</v>
      </c>
      <c r="I141">
        <v>15</v>
      </c>
      <c r="J141">
        <v>16</v>
      </c>
      <c r="K141">
        <v>1</v>
      </c>
      <c r="L141">
        <v>100839</v>
      </c>
      <c r="M141" t="str">
        <f t="shared" si="18"/>
        <v>13</v>
      </c>
      <c r="N141" t="s">
        <v>3323</v>
      </c>
      <c r="O141" t="str">
        <f t="shared" si="22"/>
        <v>51511</v>
      </c>
      <c r="P141" t="str">
        <f>"2100L"</f>
        <v>2100L</v>
      </c>
      <c r="Q141" t="str">
        <f t="shared" si="19"/>
        <v>0101</v>
      </c>
      <c r="R141">
        <v>2100</v>
      </c>
      <c r="S141" t="str">
        <f t="shared" si="23"/>
        <v>5150</v>
      </c>
      <c r="T141" t="s">
        <v>3354</v>
      </c>
      <c r="U141" t="s">
        <v>17</v>
      </c>
    </row>
    <row r="142" spans="1:21" ht="15" customHeight="1" x14ac:dyDescent="0.3">
      <c r="A142" t="s">
        <v>179</v>
      </c>
      <c r="B142" t="str">
        <f>"00052360"</f>
        <v>00052360</v>
      </c>
      <c r="C142" t="s">
        <v>4290</v>
      </c>
      <c r="D142" t="s">
        <v>4344</v>
      </c>
      <c r="E142" t="str">
        <f>"00048098"</f>
        <v>00048098</v>
      </c>
      <c r="F142">
        <v>0</v>
      </c>
      <c r="G142" s="243">
        <v>35369</v>
      </c>
      <c r="H142" t="s">
        <v>182</v>
      </c>
      <c r="I142">
        <v>4</v>
      </c>
      <c r="J142">
        <v>10</v>
      </c>
      <c r="K142">
        <v>0.875</v>
      </c>
      <c r="L142">
        <v>28721</v>
      </c>
      <c r="M142" t="str">
        <f t="shared" si="18"/>
        <v>13</v>
      </c>
      <c r="N142" t="s">
        <v>3323</v>
      </c>
      <c r="O142" t="str">
        <f t="shared" si="22"/>
        <v>51511</v>
      </c>
      <c r="P142" t="str">
        <f>"3030L"</f>
        <v>3030L</v>
      </c>
      <c r="Q142" t="str">
        <f t="shared" si="19"/>
        <v>0101</v>
      </c>
      <c r="R142">
        <v>3030</v>
      </c>
      <c r="S142" t="str">
        <f t="shared" si="23"/>
        <v>5150</v>
      </c>
      <c r="T142" t="s">
        <v>3354</v>
      </c>
      <c r="U142" t="s">
        <v>17</v>
      </c>
    </row>
    <row r="143" spans="1:21" ht="15" customHeight="1" x14ac:dyDescent="0.3">
      <c r="A143" t="s">
        <v>179</v>
      </c>
      <c r="B143" t="str">
        <f>"00053002"</f>
        <v>00053002</v>
      </c>
      <c r="C143" t="s">
        <v>4256</v>
      </c>
      <c r="D143" t="s">
        <v>2302</v>
      </c>
      <c r="E143" t="str">
        <f>"00046459"</f>
        <v>00046459</v>
      </c>
      <c r="F143">
        <v>0</v>
      </c>
      <c r="G143" s="243">
        <v>32050</v>
      </c>
      <c r="H143" t="s">
        <v>182</v>
      </c>
      <c r="I143">
        <v>15</v>
      </c>
      <c r="J143">
        <v>16</v>
      </c>
      <c r="K143">
        <v>1</v>
      </c>
      <c r="L143">
        <v>100839</v>
      </c>
      <c r="M143" t="str">
        <f t="shared" si="18"/>
        <v>13</v>
      </c>
      <c r="N143" t="s">
        <v>3323</v>
      </c>
      <c r="O143" t="str">
        <f t="shared" si="22"/>
        <v>51511</v>
      </c>
      <c r="P143" t="str">
        <f>"2100L"</f>
        <v>2100L</v>
      </c>
      <c r="Q143" t="str">
        <f t="shared" si="19"/>
        <v>0101</v>
      </c>
      <c r="R143">
        <v>2100</v>
      </c>
      <c r="S143" t="str">
        <f t="shared" si="23"/>
        <v>5150</v>
      </c>
      <c r="T143" t="s">
        <v>3354</v>
      </c>
      <c r="U143" t="s">
        <v>17</v>
      </c>
    </row>
    <row r="144" spans="1:21" ht="15" customHeight="1" x14ac:dyDescent="0.3">
      <c r="A144" t="s">
        <v>179</v>
      </c>
      <c r="B144" t="str">
        <f>"00054327"</f>
        <v>00054327</v>
      </c>
      <c r="C144" t="s">
        <v>4262</v>
      </c>
      <c r="D144" t="s">
        <v>417</v>
      </c>
      <c r="E144" t="str">
        <f>"00053634"</f>
        <v>00053634</v>
      </c>
      <c r="F144">
        <v>0</v>
      </c>
      <c r="G144" s="243">
        <v>40120</v>
      </c>
      <c r="H144" t="s">
        <v>182</v>
      </c>
      <c r="I144">
        <v>15</v>
      </c>
      <c r="J144">
        <v>13</v>
      </c>
      <c r="K144">
        <v>1</v>
      </c>
      <c r="L144">
        <v>86613</v>
      </c>
      <c r="M144" t="str">
        <f t="shared" si="18"/>
        <v>13</v>
      </c>
      <c r="N144" t="s">
        <v>3323</v>
      </c>
      <c r="O144" t="str">
        <f t="shared" si="22"/>
        <v>51511</v>
      </c>
      <c r="P144" t="str">
        <f>"2100L"</f>
        <v>2100L</v>
      </c>
      <c r="Q144" t="str">
        <f t="shared" si="19"/>
        <v>0101</v>
      </c>
      <c r="R144">
        <v>2100</v>
      </c>
      <c r="S144" t="str">
        <f t="shared" si="23"/>
        <v>5150</v>
      </c>
      <c r="T144" t="s">
        <v>3354</v>
      </c>
      <c r="U144" t="s">
        <v>17</v>
      </c>
    </row>
    <row r="145" spans="1:21" ht="15" customHeight="1" x14ac:dyDescent="0.3">
      <c r="A145" t="s">
        <v>179</v>
      </c>
      <c r="B145" t="str">
        <f>"00054466"</f>
        <v>00054466</v>
      </c>
      <c r="C145" t="s">
        <v>4262</v>
      </c>
      <c r="D145" t="s">
        <v>418</v>
      </c>
      <c r="E145" t="str">
        <f>"00054062"</f>
        <v>00054062</v>
      </c>
      <c r="F145">
        <v>0</v>
      </c>
      <c r="G145" s="243">
        <v>25451</v>
      </c>
      <c r="H145" t="s">
        <v>182</v>
      </c>
      <c r="I145">
        <v>15</v>
      </c>
      <c r="J145">
        <v>16</v>
      </c>
      <c r="K145">
        <v>1</v>
      </c>
      <c r="L145">
        <v>103347</v>
      </c>
      <c r="M145" t="str">
        <f t="shared" si="18"/>
        <v>13</v>
      </c>
      <c r="N145" t="s">
        <v>3323</v>
      </c>
      <c r="O145" t="str">
        <f t="shared" si="22"/>
        <v>51511</v>
      </c>
      <c r="P145" t="str">
        <f>"2100L"</f>
        <v>2100L</v>
      </c>
      <c r="Q145" t="str">
        <f t="shared" si="19"/>
        <v>0101</v>
      </c>
      <c r="R145">
        <v>2100</v>
      </c>
      <c r="S145" t="str">
        <f t="shared" si="23"/>
        <v>5150</v>
      </c>
      <c r="T145" t="s">
        <v>3354</v>
      </c>
      <c r="U145" t="s">
        <v>17</v>
      </c>
    </row>
    <row r="146" spans="1:21" ht="15" customHeight="1" x14ac:dyDescent="0.3">
      <c r="A146" t="s">
        <v>179</v>
      </c>
      <c r="B146" t="str">
        <f>"00056580"</f>
        <v>00056580</v>
      </c>
      <c r="C146" t="s">
        <v>4262</v>
      </c>
      <c r="D146" t="s">
        <v>419</v>
      </c>
      <c r="E146" t="str">
        <f>"00054605"</f>
        <v>00054605</v>
      </c>
      <c r="F146">
        <v>0</v>
      </c>
      <c r="G146" s="243">
        <v>36039</v>
      </c>
      <c r="H146" t="s">
        <v>182</v>
      </c>
      <c r="I146">
        <v>15</v>
      </c>
      <c r="J146">
        <v>13</v>
      </c>
      <c r="K146">
        <v>1</v>
      </c>
      <c r="L146">
        <v>86613</v>
      </c>
      <c r="M146" t="str">
        <f t="shared" si="18"/>
        <v>13</v>
      </c>
      <c r="N146" t="s">
        <v>3323</v>
      </c>
      <c r="O146" t="str">
        <f t="shared" si="22"/>
        <v>51511</v>
      </c>
      <c r="P146" t="str">
        <f>"2100L"</f>
        <v>2100L</v>
      </c>
      <c r="Q146" t="str">
        <f t="shared" si="19"/>
        <v>0101</v>
      </c>
      <c r="R146">
        <v>2100</v>
      </c>
      <c r="S146" t="str">
        <f t="shared" si="23"/>
        <v>5150</v>
      </c>
      <c r="T146" t="s">
        <v>3354</v>
      </c>
      <c r="U146" t="s">
        <v>17</v>
      </c>
    </row>
    <row r="147" spans="1:21" ht="15" customHeight="1" x14ac:dyDescent="0.3">
      <c r="A147" t="s">
        <v>179</v>
      </c>
      <c r="B147" t="str">
        <f>"00056898"</f>
        <v>00056898</v>
      </c>
      <c r="C147" t="s">
        <v>4260</v>
      </c>
      <c r="D147" t="s">
        <v>420</v>
      </c>
      <c r="E147" t="str">
        <f>"00044588"</f>
        <v>00044588</v>
      </c>
      <c r="F147">
        <v>0</v>
      </c>
      <c r="G147" s="243">
        <v>32050</v>
      </c>
      <c r="H147" t="s">
        <v>182</v>
      </c>
      <c r="I147">
        <v>15</v>
      </c>
      <c r="J147">
        <v>16</v>
      </c>
      <c r="K147">
        <v>1</v>
      </c>
      <c r="L147">
        <v>106540</v>
      </c>
      <c r="M147" t="str">
        <f t="shared" si="18"/>
        <v>13</v>
      </c>
      <c r="N147" t="s">
        <v>3323</v>
      </c>
      <c r="O147" t="str">
        <f t="shared" si="22"/>
        <v>51511</v>
      </c>
      <c r="P147" t="str">
        <f>"3030L"</f>
        <v>3030L</v>
      </c>
      <c r="Q147" t="str">
        <f t="shared" si="19"/>
        <v>0101</v>
      </c>
      <c r="R147">
        <v>3030</v>
      </c>
      <c r="S147" t="str">
        <f t="shared" si="23"/>
        <v>5150</v>
      </c>
      <c r="T147" t="s">
        <v>3354</v>
      </c>
      <c r="U147" t="s">
        <v>17</v>
      </c>
    </row>
    <row r="148" spans="1:21" ht="15" customHeight="1" x14ac:dyDescent="0.3">
      <c r="A148" t="s">
        <v>179</v>
      </c>
      <c r="B148" t="str">
        <f>"00057131"</f>
        <v>00057131</v>
      </c>
      <c r="C148" t="s">
        <v>4274</v>
      </c>
      <c r="D148" t="s">
        <v>4345</v>
      </c>
      <c r="E148" t="str">
        <f>"00047577"</f>
        <v>00047577</v>
      </c>
      <c r="F148">
        <v>0</v>
      </c>
      <c r="G148" s="243">
        <v>36105</v>
      </c>
      <c r="H148" t="s">
        <v>182</v>
      </c>
      <c r="I148">
        <v>4</v>
      </c>
      <c r="J148">
        <v>8</v>
      </c>
      <c r="K148">
        <v>0.875</v>
      </c>
      <c r="L148">
        <v>27329.75</v>
      </c>
      <c r="M148" t="str">
        <f t="shared" si="18"/>
        <v>13</v>
      </c>
      <c r="N148" t="s">
        <v>3323</v>
      </c>
      <c r="O148" t="str">
        <f t="shared" si="22"/>
        <v>51511</v>
      </c>
      <c r="P148" t="str">
        <f>"2200L"</f>
        <v>2200L</v>
      </c>
      <c r="Q148" t="str">
        <f t="shared" si="19"/>
        <v>0101</v>
      </c>
      <c r="R148">
        <v>2200</v>
      </c>
      <c r="S148" t="str">
        <f t="shared" si="23"/>
        <v>5150</v>
      </c>
      <c r="T148" t="s">
        <v>3354</v>
      </c>
      <c r="U148" t="s">
        <v>17</v>
      </c>
    </row>
    <row r="149" spans="1:21" ht="15" customHeight="1" x14ac:dyDescent="0.3">
      <c r="A149" t="s">
        <v>179</v>
      </c>
      <c r="B149" t="str">
        <f>"00057274"</f>
        <v>00057274</v>
      </c>
      <c r="C149" t="s">
        <v>4262</v>
      </c>
      <c r="D149" t="s">
        <v>421</v>
      </c>
      <c r="E149" t="str">
        <f>"00046446"</f>
        <v>00046446</v>
      </c>
      <c r="F149">
        <v>0</v>
      </c>
      <c r="G149" s="243">
        <v>38587</v>
      </c>
      <c r="H149" t="s">
        <v>182</v>
      </c>
      <c r="I149">
        <v>15</v>
      </c>
      <c r="J149">
        <v>14</v>
      </c>
      <c r="K149">
        <v>1</v>
      </c>
      <c r="L149">
        <v>96460</v>
      </c>
      <c r="M149" t="str">
        <f t="shared" si="18"/>
        <v>13</v>
      </c>
      <c r="N149" t="s">
        <v>3323</v>
      </c>
      <c r="O149" t="str">
        <f t="shared" si="22"/>
        <v>51511</v>
      </c>
      <c r="P149" t="str">
        <f>"2100L"</f>
        <v>2100L</v>
      </c>
      <c r="Q149" t="str">
        <f t="shared" si="19"/>
        <v>0101</v>
      </c>
      <c r="R149">
        <v>2100</v>
      </c>
      <c r="S149" t="str">
        <f t="shared" si="23"/>
        <v>5150</v>
      </c>
      <c r="T149" t="s">
        <v>3354</v>
      </c>
      <c r="U149" t="s">
        <v>17</v>
      </c>
    </row>
    <row r="150" spans="1:21" ht="15" customHeight="1" x14ac:dyDescent="0.3">
      <c r="A150" t="s">
        <v>179</v>
      </c>
      <c r="B150" t="str">
        <f>"00057842"</f>
        <v>00057842</v>
      </c>
      <c r="C150" t="s">
        <v>4260</v>
      </c>
      <c r="D150" t="s">
        <v>422</v>
      </c>
      <c r="E150" t="str">
        <f>"00052261"</f>
        <v>00052261</v>
      </c>
      <c r="F150">
        <v>0</v>
      </c>
      <c r="G150" s="243">
        <v>36948</v>
      </c>
      <c r="H150" t="s">
        <v>182</v>
      </c>
      <c r="I150">
        <v>15</v>
      </c>
      <c r="J150">
        <v>16</v>
      </c>
      <c r="K150">
        <v>1</v>
      </c>
      <c r="L150">
        <v>100839</v>
      </c>
      <c r="M150" t="str">
        <f t="shared" si="18"/>
        <v>13</v>
      </c>
      <c r="N150" t="s">
        <v>3323</v>
      </c>
      <c r="O150" t="str">
        <f t="shared" si="22"/>
        <v>51511</v>
      </c>
      <c r="P150" t="str">
        <f>"3030L"</f>
        <v>3030L</v>
      </c>
      <c r="Q150" t="str">
        <f t="shared" si="19"/>
        <v>0101</v>
      </c>
      <c r="R150">
        <v>3030</v>
      </c>
      <c r="S150" t="str">
        <f t="shared" si="23"/>
        <v>5150</v>
      </c>
      <c r="T150" t="s">
        <v>3354</v>
      </c>
      <c r="U150" t="s">
        <v>17</v>
      </c>
    </row>
    <row r="151" spans="1:21" ht="15" customHeight="1" x14ac:dyDescent="0.3">
      <c r="A151" t="s">
        <v>179</v>
      </c>
      <c r="B151" t="str">
        <f>"00057898"</f>
        <v>00057898</v>
      </c>
      <c r="C151" t="s">
        <v>4262</v>
      </c>
      <c r="D151" t="s">
        <v>423</v>
      </c>
      <c r="E151" t="str">
        <f>"00053787"</f>
        <v>00053787</v>
      </c>
      <c r="F151">
        <v>0</v>
      </c>
      <c r="G151" s="243">
        <v>35347</v>
      </c>
      <c r="H151" t="s">
        <v>182</v>
      </c>
      <c r="I151">
        <v>15</v>
      </c>
      <c r="J151">
        <v>13</v>
      </c>
      <c r="K151">
        <v>1</v>
      </c>
      <c r="L151">
        <v>81724</v>
      </c>
      <c r="M151" t="str">
        <f t="shared" si="18"/>
        <v>13</v>
      </c>
      <c r="N151" t="s">
        <v>3323</v>
      </c>
      <c r="O151" t="str">
        <f t="shared" si="22"/>
        <v>51511</v>
      </c>
      <c r="P151" t="str">
        <f>"2100L"</f>
        <v>2100L</v>
      </c>
      <c r="Q151" t="str">
        <f t="shared" si="19"/>
        <v>0101</v>
      </c>
      <c r="R151">
        <v>2100</v>
      </c>
      <c r="S151" t="str">
        <f t="shared" si="23"/>
        <v>5150</v>
      </c>
      <c r="T151" t="s">
        <v>3354</v>
      </c>
      <c r="U151" t="s">
        <v>17</v>
      </c>
    </row>
    <row r="152" spans="1:21" ht="15" customHeight="1" x14ac:dyDescent="0.3">
      <c r="A152" t="s">
        <v>179</v>
      </c>
      <c r="B152" t="str">
        <f>"00058087"</f>
        <v>00058087</v>
      </c>
      <c r="C152" t="s">
        <v>4262</v>
      </c>
      <c r="D152" t="s">
        <v>3364</v>
      </c>
      <c r="E152" t="str">
        <f>"00064701"</f>
        <v>00064701</v>
      </c>
      <c r="F152">
        <v>0</v>
      </c>
      <c r="G152" s="243">
        <v>40602</v>
      </c>
      <c r="H152" t="s">
        <v>182</v>
      </c>
      <c r="I152">
        <v>15</v>
      </c>
      <c r="J152">
        <v>2</v>
      </c>
      <c r="K152">
        <v>1</v>
      </c>
      <c r="L152">
        <v>56242</v>
      </c>
      <c r="M152" t="str">
        <f t="shared" si="18"/>
        <v>13</v>
      </c>
      <c r="N152" t="s">
        <v>3323</v>
      </c>
      <c r="O152" t="str">
        <f t="shared" si="22"/>
        <v>51511</v>
      </c>
      <c r="P152" t="str">
        <f>"2100L"</f>
        <v>2100L</v>
      </c>
      <c r="Q152" t="str">
        <f t="shared" si="19"/>
        <v>0101</v>
      </c>
      <c r="R152">
        <v>2100</v>
      </c>
      <c r="S152" t="str">
        <f t="shared" si="23"/>
        <v>5150</v>
      </c>
      <c r="T152" t="s">
        <v>3354</v>
      </c>
      <c r="U152" t="s">
        <v>17</v>
      </c>
    </row>
    <row r="153" spans="1:21" ht="15" customHeight="1" x14ac:dyDescent="0.3">
      <c r="A153" t="s">
        <v>179</v>
      </c>
      <c r="B153" t="str">
        <f>"00058486"</f>
        <v>00058486</v>
      </c>
      <c r="C153" t="s">
        <v>4274</v>
      </c>
      <c r="D153" t="s">
        <v>4346</v>
      </c>
      <c r="E153" t="str">
        <f>"00029377"</f>
        <v>00029377</v>
      </c>
      <c r="F153">
        <v>1</v>
      </c>
      <c r="G153" s="243">
        <v>37135</v>
      </c>
      <c r="H153" t="s">
        <v>182</v>
      </c>
      <c r="I153">
        <v>4</v>
      </c>
      <c r="J153">
        <v>8</v>
      </c>
      <c r="K153">
        <v>0.875</v>
      </c>
      <c r="L153">
        <v>27329.75</v>
      </c>
      <c r="M153" t="str">
        <f t="shared" si="18"/>
        <v>13</v>
      </c>
      <c r="N153" t="s">
        <v>3323</v>
      </c>
      <c r="O153" t="str">
        <f t="shared" si="22"/>
        <v>51511</v>
      </c>
      <c r="P153" t="str">
        <f>"2200L"</f>
        <v>2200L</v>
      </c>
      <c r="Q153" t="str">
        <f t="shared" si="19"/>
        <v>0101</v>
      </c>
      <c r="R153">
        <v>2200</v>
      </c>
      <c r="S153" t="str">
        <f t="shared" si="23"/>
        <v>5150</v>
      </c>
      <c r="T153" t="s">
        <v>3354</v>
      </c>
      <c r="U153" t="s">
        <v>17</v>
      </c>
    </row>
    <row r="154" spans="1:21" ht="15" customHeight="1" x14ac:dyDescent="0.3">
      <c r="A154" t="s">
        <v>179</v>
      </c>
      <c r="B154" t="str">
        <f>"00059137"</f>
        <v>00059137</v>
      </c>
      <c r="C154" t="s">
        <v>4272</v>
      </c>
      <c r="D154" t="s">
        <v>424</v>
      </c>
      <c r="E154" t="str">
        <f>"00049130"</f>
        <v>00049130</v>
      </c>
      <c r="F154">
        <v>0</v>
      </c>
      <c r="G154" s="243">
        <v>37557</v>
      </c>
      <c r="H154" t="s">
        <v>182</v>
      </c>
      <c r="I154">
        <v>15</v>
      </c>
      <c r="J154">
        <v>12</v>
      </c>
      <c r="K154">
        <v>1</v>
      </c>
      <c r="L154">
        <v>87431</v>
      </c>
      <c r="M154" t="str">
        <f t="shared" si="18"/>
        <v>13</v>
      </c>
      <c r="N154" t="s">
        <v>3323</v>
      </c>
      <c r="O154" t="str">
        <f t="shared" si="22"/>
        <v>51511</v>
      </c>
      <c r="P154" t="str">
        <f>"2200L"</f>
        <v>2200L</v>
      </c>
      <c r="Q154" t="str">
        <f t="shared" si="19"/>
        <v>0101</v>
      </c>
      <c r="R154">
        <v>2200</v>
      </c>
      <c r="S154" t="str">
        <f t="shared" si="23"/>
        <v>5150</v>
      </c>
      <c r="T154" t="s">
        <v>3354</v>
      </c>
      <c r="U154" t="s">
        <v>17</v>
      </c>
    </row>
    <row r="155" spans="1:21" ht="15" customHeight="1" x14ac:dyDescent="0.3">
      <c r="A155" t="s">
        <v>179</v>
      </c>
      <c r="B155" t="str">
        <f>"00059194"</f>
        <v>00059194</v>
      </c>
      <c r="C155" t="s">
        <v>4266</v>
      </c>
      <c r="D155" t="s">
        <v>4347</v>
      </c>
      <c r="E155" t="str">
        <f>"00067716"</f>
        <v>00067716</v>
      </c>
      <c r="F155">
        <v>0</v>
      </c>
      <c r="G155" s="243">
        <v>40931</v>
      </c>
      <c r="H155" t="s">
        <v>182</v>
      </c>
      <c r="I155">
        <v>15</v>
      </c>
      <c r="J155">
        <v>10</v>
      </c>
      <c r="K155">
        <v>1</v>
      </c>
      <c r="L155">
        <v>78273</v>
      </c>
      <c r="M155" t="str">
        <f t="shared" si="18"/>
        <v>13</v>
      </c>
      <c r="N155" t="s">
        <v>3323</v>
      </c>
      <c r="O155" t="str">
        <f t="shared" si="22"/>
        <v>51511</v>
      </c>
      <c r="P155" t="str">
        <f>"2300L"</f>
        <v>2300L</v>
      </c>
      <c r="Q155" t="str">
        <f t="shared" si="19"/>
        <v>0101</v>
      </c>
      <c r="R155">
        <v>2300</v>
      </c>
      <c r="S155" t="str">
        <f t="shared" si="23"/>
        <v>5150</v>
      </c>
      <c r="T155" t="s">
        <v>3354</v>
      </c>
      <c r="U155" t="s">
        <v>17</v>
      </c>
    </row>
    <row r="156" spans="1:21" ht="15" customHeight="1" x14ac:dyDescent="0.3">
      <c r="A156" t="s">
        <v>179</v>
      </c>
      <c r="B156" t="str">
        <f>"00059309"</f>
        <v>00059309</v>
      </c>
      <c r="C156" t="s">
        <v>4288</v>
      </c>
      <c r="H156" t="s">
        <v>170</v>
      </c>
      <c r="I156">
        <v>4</v>
      </c>
      <c r="J156">
        <v>1</v>
      </c>
      <c r="K156">
        <v>0.75</v>
      </c>
      <c r="L156">
        <v>25662</v>
      </c>
      <c r="M156" t="str">
        <f t="shared" si="18"/>
        <v>13</v>
      </c>
      <c r="N156" t="s">
        <v>3323</v>
      </c>
      <c r="O156" t="str">
        <f t="shared" si="22"/>
        <v>51511</v>
      </c>
      <c r="P156" t="str">
        <f>"2100L"</f>
        <v>2100L</v>
      </c>
      <c r="Q156" t="str">
        <f t="shared" si="19"/>
        <v>0101</v>
      </c>
      <c r="R156">
        <v>2100</v>
      </c>
      <c r="S156" t="str">
        <f t="shared" si="23"/>
        <v>5150</v>
      </c>
      <c r="T156" t="s">
        <v>3354</v>
      </c>
      <c r="U156" t="s">
        <v>17</v>
      </c>
    </row>
    <row r="157" spans="1:21" ht="15" customHeight="1" x14ac:dyDescent="0.3">
      <c r="A157" t="s">
        <v>179</v>
      </c>
      <c r="B157" t="str">
        <f>"00059316"</f>
        <v>00059316</v>
      </c>
      <c r="C157" t="s">
        <v>4272</v>
      </c>
      <c r="D157" t="s">
        <v>426</v>
      </c>
      <c r="E157" t="str">
        <f>"00051437"</f>
        <v>00051437</v>
      </c>
      <c r="F157">
        <v>0</v>
      </c>
      <c r="G157" s="243">
        <v>40243</v>
      </c>
      <c r="H157" t="s">
        <v>182</v>
      </c>
      <c r="I157">
        <v>15</v>
      </c>
      <c r="J157">
        <v>16</v>
      </c>
      <c r="K157">
        <v>1</v>
      </c>
      <c r="L157">
        <v>100839</v>
      </c>
      <c r="M157" t="str">
        <f t="shared" si="18"/>
        <v>13</v>
      </c>
      <c r="N157" t="s">
        <v>3323</v>
      </c>
      <c r="O157" t="str">
        <f t="shared" si="22"/>
        <v>51511</v>
      </c>
      <c r="P157" t="str">
        <f>"2200L"</f>
        <v>2200L</v>
      </c>
      <c r="Q157" t="str">
        <f t="shared" si="19"/>
        <v>0101</v>
      </c>
      <c r="R157">
        <v>2200</v>
      </c>
      <c r="S157" t="str">
        <f t="shared" si="23"/>
        <v>5150</v>
      </c>
      <c r="T157" t="s">
        <v>3354</v>
      </c>
      <c r="U157" t="s">
        <v>17</v>
      </c>
    </row>
    <row r="158" spans="1:21" ht="15" customHeight="1" x14ac:dyDescent="0.3">
      <c r="A158" t="s">
        <v>179</v>
      </c>
      <c r="B158" t="str">
        <f>"00060013"</f>
        <v>00060013</v>
      </c>
      <c r="C158" t="s">
        <v>4290</v>
      </c>
      <c r="D158" t="s">
        <v>4348</v>
      </c>
      <c r="E158" t="str">
        <f>"00052844"</f>
        <v>00052844</v>
      </c>
      <c r="F158">
        <v>0</v>
      </c>
      <c r="G158" s="243">
        <v>38285</v>
      </c>
      <c r="H158" t="s">
        <v>182</v>
      </c>
      <c r="I158">
        <v>4</v>
      </c>
      <c r="J158">
        <v>10</v>
      </c>
      <c r="K158">
        <v>0.875</v>
      </c>
      <c r="L158">
        <v>28721</v>
      </c>
      <c r="M158" t="str">
        <f t="shared" si="18"/>
        <v>13</v>
      </c>
      <c r="N158" t="s">
        <v>3323</v>
      </c>
      <c r="O158" t="str">
        <f t="shared" si="22"/>
        <v>51511</v>
      </c>
      <c r="P158" t="str">
        <f>"3030L"</f>
        <v>3030L</v>
      </c>
      <c r="Q158" t="str">
        <f t="shared" si="19"/>
        <v>0101</v>
      </c>
      <c r="R158">
        <v>3030</v>
      </c>
      <c r="S158" t="str">
        <f t="shared" si="23"/>
        <v>5150</v>
      </c>
      <c r="T158" t="s">
        <v>3354</v>
      </c>
      <c r="U158" t="s">
        <v>17</v>
      </c>
    </row>
    <row r="159" spans="1:21" ht="15" customHeight="1" x14ac:dyDescent="0.3">
      <c r="A159" t="s">
        <v>179</v>
      </c>
      <c r="B159" t="str">
        <f>"00060057"</f>
        <v>00060057</v>
      </c>
      <c r="C159" t="s">
        <v>4290</v>
      </c>
      <c r="D159" t="s">
        <v>4349</v>
      </c>
      <c r="E159" t="str">
        <f>"00054981"</f>
        <v>00054981</v>
      </c>
      <c r="F159">
        <v>0</v>
      </c>
      <c r="G159" s="243">
        <v>38362</v>
      </c>
      <c r="H159" t="s">
        <v>182</v>
      </c>
      <c r="I159">
        <v>4</v>
      </c>
      <c r="J159">
        <v>8</v>
      </c>
      <c r="K159">
        <v>0.875</v>
      </c>
      <c r="L159">
        <v>27329.75</v>
      </c>
      <c r="M159" t="str">
        <f t="shared" si="18"/>
        <v>13</v>
      </c>
      <c r="N159" t="s">
        <v>3323</v>
      </c>
      <c r="O159" t="str">
        <f t="shared" si="22"/>
        <v>51511</v>
      </c>
      <c r="P159" t="str">
        <f>"2100L"</f>
        <v>2100L</v>
      </c>
      <c r="Q159" t="str">
        <f t="shared" si="19"/>
        <v>0101</v>
      </c>
      <c r="R159">
        <v>2100</v>
      </c>
      <c r="S159" t="str">
        <f t="shared" si="23"/>
        <v>5150</v>
      </c>
      <c r="T159" t="s">
        <v>3354</v>
      </c>
      <c r="U159" t="s">
        <v>17</v>
      </c>
    </row>
    <row r="160" spans="1:21" ht="15" customHeight="1" x14ac:dyDescent="0.3">
      <c r="A160" t="s">
        <v>179</v>
      </c>
      <c r="B160" t="str">
        <f>"00060083"</f>
        <v>00060083</v>
      </c>
      <c r="C160" t="s">
        <v>4288</v>
      </c>
      <c r="D160" t="s">
        <v>4350</v>
      </c>
      <c r="E160" t="str">
        <f>"00067155"</f>
        <v>00067155</v>
      </c>
      <c r="F160">
        <v>0</v>
      </c>
      <c r="G160" s="243">
        <v>40861</v>
      </c>
      <c r="H160" t="s">
        <v>182</v>
      </c>
      <c r="I160">
        <v>4</v>
      </c>
      <c r="J160">
        <v>4</v>
      </c>
      <c r="K160">
        <v>1</v>
      </c>
      <c r="L160">
        <v>24543.75</v>
      </c>
      <c r="M160" t="str">
        <f t="shared" si="18"/>
        <v>13</v>
      </c>
      <c r="N160" t="s">
        <v>3323</v>
      </c>
      <c r="O160" t="str">
        <f t="shared" si="22"/>
        <v>51511</v>
      </c>
      <c r="P160" t="str">
        <f>"2200L"</f>
        <v>2200L</v>
      </c>
      <c r="Q160" t="str">
        <f t="shared" si="19"/>
        <v>0101</v>
      </c>
      <c r="R160">
        <v>2200</v>
      </c>
      <c r="S160" t="str">
        <f t="shared" si="23"/>
        <v>5150</v>
      </c>
      <c r="T160" t="s">
        <v>3354</v>
      </c>
      <c r="U160" t="s">
        <v>17</v>
      </c>
    </row>
    <row r="161" spans="1:21" ht="15" customHeight="1" x14ac:dyDescent="0.3">
      <c r="A161" t="s">
        <v>179</v>
      </c>
      <c r="B161" t="str">
        <f>"00060749"</f>
        <v>00060749</v>
      </c>
      <c r="C161" t="s">
        <v>4290</v>
      </c>
      <c r="D161" t="s">
        <v>4351</v>
      </c>
      <c r="E161" t="str">
        <f>"00028952"</f>
        <v>00028952</v>
      </c>
      <c r="F161">
        <v>1</v>
      </c>
      <c r="G161" s="243">
        <v>36332</v>
      </c>
      <c r="H161" t="s">
        <v>182</v>
      </c>
      <c r="I161">
        <v>4</v>
      </c>
      <c r="J161">
        <v>10</v>
      </c>
      <c r="K161">
        <v>0.875</v>
      </c>
      <c r="L161">
        <v>28721</v>
      </c>
      <c r="M161" t="str">
        <f t="shared" si="18"/>
        <v>13</v>
      </c>
      <c r="N161" t="s">
        <v>3323</v>
      </c>
      <c r="O161" t="str">
        <f t="shared" si="22"/>
        <v>51511</v>
      </c>
      <c r="P161" t="str">
        <f>"2200L"</f>
        <v>2200L</v>
      </c>
      <c r="Q161" t="str">
        <f t="shared" si="19"/>
        <v>0101</v>
      </c>
      <c r="R161">
        <v>2200</v>
      </c>
      <c r="S161" t="str">
        <f t="shared" si="23"/>
        <v>5150</v>
      </c>
      <c r="T161" t="s">
        <v>3354</v>
      </c>
      <c r="U161" t="s">
        <v>17</v>
      </c>
    </row>
    <row r="162" spans="1:21" ht="15" customHeight="1" x14ac:dyDescent="0.3">
      <c r="A162" t="s">
        <v>179</v>
      </c>
      <c r="B162" t="str">
        <f>"00060759"</f>
        <v>00060759</v>
      </c>
      <c r="C162" t="s">
        <v>4288</v>
      </c>
      <c r="D162" t="s">
        <v>4352</v>
      </c>
      <c r="E162" t="str">
        <f>"00047299"</f>
        <v>00047299</v>
      </c>
      <c r="F162">
        <v>0</v>
      </c>
      <c r="G162" s="243">
        <v>39146</v>
      </c>
      <c r="H162" t="s">
        <v>182</v>
      </c>
      <c r="I162">
        <v>4</v>
      </c>
      <c r="J162">
        <v>10</v>
      </c>
      <c r="K162">
        <v>0.875</v>
      </c>
      <c r="L162">
        <v>28721</v>
      </c>
      <c r="M162" t="str">
        <f t="shared" si="18"/>
        <v>13</v>
      </c>
      <c r="N162" t="s">
        <v>3323</v>
      </c>
      <c r="O162" t="str">
        <f t="shared" si="22"/>
        <v>51511</v>
      </c>
      <c r="P162" t="str">
        <f>"2100L"</f>
        <v>2100L</v>
      </c>
      <c r="Q162" t="str">
        <f t="shared" si="19"/>
        <v>0101</v>
      </c>
      <c r="R162">
        <v>2100</v>
      </c>
      <c r="S162" t="str">
        <f t="shared" si="23"/>
        <v>5150</v>
      </c>
      <c r="T162" t="s">
        <v>3354</v>
      </c>
      <c r="U162" t="s">
        <v>17</v>
      </c>
    </row>
    <row r="163" spans="1:21" ht="15" customHeight="1" x14ac:dyDescent="0.3">
      <c r="A163" t="s">
        <v>179</v>
      </c>
      <c r="B163" t="str">
        <f>"00060918"</f>
        <v>00060918</v>
      </c>
      <c r="C163" t="s">
        <v>4266</v>
      </c>
      <c r="D163" t="s">
        <v>3357</v>
      </c>
      <c r="E163" t="str">
        <f>"00066410"</f>
        <v>00066410</v>
      </c>
      <c r="F163">
        <v>0</v>
      </c>
      <c r="G163" s="243">
        <v>40755</v>
      </c>
      <c r="H163" t="s">
        <v>182</v>
      </c>
      <c r="I163">
        <v>15</v>
      </c>
      <c r="J163">
        <v>7</v>
      </c>
      <c r="K163">
        <v>1</v>
      </c>
      <c r="L163">
        <v>71581</v>
      </c>
      <c r="M163" t="str">
        <f t="shared" si="18"/>
        <v>13</v>
      </c>
      <c r="N163" t="s">
        <v>3323</v>
      </c>
      <c r="O163" t="str">
        <f t="shared" si="22"/>
        <v>51511</v>
      </c>
      <c r="P163" t="str">
        <f>"2200L"</f>
        <v>2200L</v>
      </c>
      <c r="Q163" t="str">
        <f t="shared" si="19"/>
        <v>0101</v>
      </c>
      <c r="R163">
        <v>2200</v>
      </c>
      <c r="S163" t="str">
        <f t="shared" si="23"/>
        <v>5150</v>
      </c>
      <c r="T163" t="s">
        <v>3354</v>
      </c>
      <c r="U163" t="s">
        <v>17</v>
      </c>
    </row>
    <row r="164" spans="1:21" ht="15" customHeight="1" x14ac:dyDescent="0.3">
      <c r="A164" t="s">
        <v>179</v>
      </c>
      <c r="B164" t="str">
        <f>"00061204"</f>
        <v>00061204</v>
      </c>
      <c r="C164" t="s">
        <v>4262</v>
      </c>
      <c r="D164" t="s">
        <v>428</v>
      </c>
      <c r="E164" t="str">
        <f>"00046499"</f>
        <v>00046499</v>
      </c>
      <c r="F164">
        <v>0</v>
      </c>
      <c r="G164" s="243">
        <v>39314</v>
      </c>
      <c r="H164" t="s">
        <v>182</v>
      </c>
      <c r="I164">
        <v>15</v>
      </c>
      <c r="J164">
        <v>12</v>
      </c>
      <c r="K164">
        <v>1</v>
      </c>
      <c r="L164">
        <v>87431</v>
      </c>
      <c r="M164" t="str">
        <f t="shared" si="18"/>
        <v>13</v>
      </c>
      <c r="N164" t="s">
        <v>3323</v>
      </c>
      <c r="O164" t="str">
        <f t="shared" si="22"/>
        <v>51511</v>
      </c>
      <c r="P164" t="str">
        <f>"2100L"</f>
        <v>2100L</v>
      </c>
      <c r="Q164" t="str">
        <f t="shared" si="19"/>
        <v>0101</v>
      </c>
      <c r="R164">
        <v>2100</v>
      </c>
      <c r="S164" t="str">
        <f t="shared" si="23"/>
        <v>5150</v>
      </c>
      <c r="T164" t="s">
        <v>3354</v>
      </c>
      <c r="U164" t="s">
        <v>17</v>
      </c>
    </row>
    <row r="165" spans="1:21" ht="15" customHeight="1" x14ac:dyDescent="0.3">
      <c r="A165" t="s">
        <v>179</v>
      </c>
      <c r="B165" t="str">
        <f>"00061212"</f>
        <v>00061212</v>
      </c>
      <c r="C165" t="s">
        <v>4260</v>
      </c>
      <c r="D165" t="s">
        <v>3365</v>
      </c>
      <c r="E165" t="str">
        <f>"00066377"</f>
        <v>00066377</v>
      </c>
      <c r="F165">
        <v>0</v>
      </c>
      <c r="G165" s="243">
        <v>40755</v>
      </c>
      <c r="H165" t="s">
        <v>182</v>
      </c>
      <c r="I165">
        <v>15</v>
      </c>
      <c r="J165">
        <v>2</v>
      </c>
      <c r="K165">
        <v>1</v>
      </c>
      <c r="L165">
        <v>51716</v>
      </c>
      <c r="M165" t="str">
        <f t="shared" si="18"/>
        <v>13</v>
      </c>
      <c r="N165" t="s">
        <v>3323</v>
      </c>
      <c r="O165" t="str">
        <f t="shared" si="22"/>
        <v>51511</v>
      </c>
      <c r="P165" t="str">
        <f>"3030L"</f>
        <v>3030L</v>
      </c>
      <c r="Q165" t="str">
        <f t="shared" si="19"/>
        <v>0101</v>
      </c>
      <c r="R165">
        <v>3030</v>
      </c>
      <c r="S165" t="str">
        <f t="shared" si="23"/>
        <v>5150</v>
      </c>
      <c r="T165" t="s">
        <v>3354</v>
      </c>
      <c r="U165" t="s">
        <v>17</v>
      </c>
    </row>
    <row r="166" spans="1:21" ht="15" customHeight="1" x14ac:dyDescent="0.3">
      <c r="A166" t="s">
        <v>179</v>
      </c>
      <c r="B166" t="str">
        <f>"00061537"</f>
        <v>00061537</v>
      </c>
      <c r="C166" t="s">
        <v>4274</v>
      </c>
      <c r="D166" t="s">
        <v>4353</v>
      </c>
      <c r="E166" t="str">
        <f>"00046694"</f>
        <v>00046694</v>
      </c>
      <c r="F166">
        <v>0</v>
      </c>
      <c r="G166" s="243">
        <v>39344</v>
      </c>
      <c r="H166" t="s">
        <v>182</v>
      </c>
      <c r="I166">
        <v>4</v>
      </c>
      <c r="J166">
        <v>5</v>
      </c>
      <c r="K166">
        <v>0.875</v>
      </c>
      <c r="L166">
        <v>25239.37</v>
      </c>
      <c r="M166" t="str">
        <f t="shared" si="18"/>
        <v>13</v>
      </c>
      <c r="N166" t="s">
        <v>3323</v>
      </c>
      <c r="O166" t="str">
        <f t="shared" si="22"/>
        <v>51511</v>
      </c>
      <c r="P166" t="str">
        <f>"2200L"</f>
        <v>2200L</v>
      </c>
      <c r="Q166" t="str">
        <f t="shared" si="19"/>
        <v>0101</v>
      </c>
      <c r="R166">
        <v>2200</v>
      </c>
      <c r="S166" t="str">
        <f t="shared" si="23"/>
        <v>5150</v>
      </c>
      <c r="T166" t="s">
        <v>3354</v>
      </c>
      <c r="U166" t="s">
        <v>17</v>
      </c>
    </row>
    <row r="167" spans="1:21" ht="15" customHeight="1" x14ac:dyDescent="0.3">
      <c r="A167" t="s">
        <v>179</v>
      </c>
      <c r="B167" t="str">
        <f>"00061884"</f>
        <v>00061884</v>
      </c>
      <c r="C167" t="s">
        <v>4258</v>
      </c>
      <c r="D167" t="s">
        <v>3358</v>
      </c>
      <c r="E167" t="str">
        <f>"00059956"</f>
        <v>00059956</v>
      </c>
      <c r="F167">
        <v>0</v>
      </c>
      <c r="G167" s="243">
        <v>40140</v>
      </c>
      <c r="H167" t="s">
        <v>182</v>
      </c>
      <c r="I167">
        <v>15</v>
      </c>
      <c r="J167">
        <v>7</v>
      </c>
      <c r="K167">
        <v>1</v>
      </c>
      <c r="L167">
        <v>63496</v>
      </c>
      <c r="M167" t="str">
        <f t="shared" si="18"/>
        <v>13</v>
      </c>
      <c r="N167" t="s">
        <v>3323</v>
      </c>
      <c r="O167" t="str">
        <f t="shared" si="22"/>
        <v>51511</v>
      </c>
      <c r="P167" t="str">
        <f>"2100L"</f>
        <v>2100L</v>
      </c>
      <c r="Q167" t="str">
        <f t="shared" si="19"/>
        <v>0101</v>
      </c>
      <c r="R167">
        <v>2100</v>
      </c>
      <c r="S167" t="str">
        <f t="shared" si="23"/>
        <v>5150</v>
      </c>
      <c r="T167" t="s">
        <v>3354</v>
      </c>
      <c r="U167" t="s">
        <v>17</v>
      </c>
    </row>
    <row r="168" spans="1:21" ht="15" customHeight="1" x14ac:dyDescent="0.3">
      <c r="A168" t="s">
        <v>179</v>
      </c>
      <c r="B168" t="str">
        <f>"00062022"</f>
        <v>00062022</v>
      </c>
      <c r="C168" t="s">
        <v>4272</v>
      </c>
      <c r="D168" t="s">
        <v>4354</v>
      </c>
      <c r="E168" t="str">
        <f>"00069956"</f>
        <v>00069956</v>
      </c>
      <c r="F168">
        <v>0</v>
      </c>
      <c r="G168" s="243">
        <v>41133</v>
      </c>
      <c r="H168" t="s">
        <v>182</v>
      </c>
      <c r="I168">
        <v>15</v>
      </c>
      <c r="J168">
        <v>1</v>
      </c>
      <c r="K168">
        <v>1</v>
      </c>
      <c r="L168">
        <v>54975</v>
      </c>
      <c r="M168" t="str">
        <f t="shared" si="18"/>
        <v>13</v>
      </c>
      <c r="N168" t="s">
        <v>3323</v>
      </c>
      <c r="O168" t="str">
        <f t="shared" ref="O168:O196" si="24">"51511"</f>
        <v>51511</v>
      </c>
      <c r="P168" t="str">
        <f>"2100L"</f>
        <v>2100L</v>
      </c>
      <c r="Q168" t="str">
        <f t="shared" si="19"/>
        <v>0101</v>
      </c>
      <c r="R168">
        <v>2100</v>
      </c>
      <c r="S168" t="str">
        <f t="shared" ref="S168:S196" si="25">"5150"</f>
        <v>5150</v>
      </c>
      <c r="T168" t="s">
        <v>3354</v>
      </c>
      <c r="U168" t="s">
        <v>17</v>
      </c>
    </row>
    <row r="169" spans="1:21" ht="15" customHeight="1" x14ac:dyDescent="0.3">
      <c r="A169" t="s">
        <v>179</v>
      </c>
      <c r="B169" t="str">
        <f>"00062262"</f>
        <v>00062262</v>
      </c>
      <c r="C169" t="s">
        <v>4257</v>
      </c>
      <c r="D169" t="s">
        <v>430</v>
      </c>
      <c r="E169" t="str">
        <f>"00052298"</f>
        <v>00052298</v>
      </c>
      <c r="F169">
        <v>0</v>
      </c>
      <c r="G169" s="243">
        <v>39679</v>
      </c>
      <c r="H169" t="s">
        <v>182</v>
      </c>
      <c r="I169">
        <v>15</v>
      </c>
      <c r="J169">
        <v>5</v>
      </c>
      <c r="K169">
        <v>1</v>
      </c>
      <c r="L169">
        <v>56655</v>
      </c>
      <c r="M169" t="str">
        <f t="shared" si="18"/>
        <v>13</v>
      </c>
      <c r="N169" t="s">
        <v>3323</v>
      </c>
      <c r="O169" t="str">
        <f t="shared" si="24"/>
        <v>51511</v>
      </c>
      <c r="P169" t="str">
        <f>"2100L"</f>
        <v>2100L</v>
      </c>
      <c r="Q169" t="str">
        <f t="shared" si="19"/>
        <v>0101</v>
      </c>
      <c r="R169">
        <v>2100</v>
      </c>
      <c r="S169" t="str">
        <f t="shared" si="25"/>
        <v>5150</v>
      </c>
      <c r="T169" t="s">
        <v>3354</v>
      </c>
      <c r="U169" t="s">
        <v>17</v>
      </c>
    </row>
    <row r="170" spans="1:21" ht="15" customHeight="1" x14ac:dyDescent="0.3">
      <c r="A170" t="s">
        <v>179</v>
      </c>
      <c r="B170" t="str">
        <f>"00062684"</f>
        <v>00062684</v>
      </c>
      <c r="C170" t="s">
        <v>4272</v>
      </c>
      <c r="D170" t="s">
        <v>431</v>
      </c>
      <c r="E170" t="str">
        <f>"00052849"</f>
        <v>00052849</v>
      </c>
      <c r="F170">
        <v>0</v>
      </c>
      <c r="G170" s="243">
        <v>35275</v>
      </c>
      <c r="H170" t="s">
        <v>182</v>
      </c>
      <c r="I170">
        <v>15</v>
      </c>
      <c r="J170">
        <v>12</v>
      </c>
      <c r="K170">
        <v>1</v>
      </c>
      <c r="L170">
        <v>89887</v>
      </c>
      <c r="M170" t="str">
        <f t="shared" si="18"/>
        <v>13</v>
      </c>
      <c r="N170" t="s">
        <v>3323</v>
      </c>
      <c r="O170" t="str">
        <f t="shared" si="24"/>
        <v>51511</v>
      </c>
      <c r="P170" t="str">
        <f>"2200L"</f>
        <v>2200L</v>
      </c>
      <c r="Q170" t="str">
        <f t="shared" si="19"/>
        <v>0101</v>
      </c>
      <c r="R170">
        <v>2200</v>
      </c>
      <c r="S170" t="str">
        <f t="shared" si="25"/>
        <v>5150</v>
      </c>
      <c r="T170" t="s">
        <v>3354</v>
      </c>
      <c r="U170" t="s">
        <v>17</v>
      </c>
    </row>
    <row r="171" spans="1:21" ht="15" customHeight="1" x14ac:dyDescent="0.3">
      <c r="A171" t="s">
        <v>179</v>
      </c>
      <c r="B171" t="str">
        <f>"00066635"</f>
        <v>00066635</v>
      </c>
      <c r="C171" t="s">
        <v>4266</v>
      </c>
      <c r="D171" t="s">
        <v>736</v>
      </c>
      <c r="E171" t="str">
        <f>"00049716"</f>
        <v>00049716</v>
      </c>
      <c r="F171">
        <v>0</v>
      </c>
      <c r="G171" s="243">
        <v>38280</v>
      </c>
      <c r="H171" t="s">
        <v>182</v>
      </c>
      <c r="I171">
        <v>15</v>
      </c>
      <c r="J171">
        <v>14</v>
      </c>
      <c r="K171">
        <v>1</v>
      </c>
      <c r="L171">
        <v>96460</v>
      </c>
      <c r="M171" t="str">
        <f t="shared" si="18"/>
        <v>13</v>
      </c>
      <c r="N171" t="s">
        <v>3323</v>
      </c>
      <c r="O171" t="str">
        <f t="shared" si="24"/>
        <v>51511</v>
      </c>
      <c r="P171" t="str">
        <f>"2300L"</f>
        <v>2300L</v>
      </c>
      <c r="Q171" t="str">
        <f t="shared" si="19"/>
        <v>0101</v>
      </c>
      <c r="R171">
        <v>2300</v>
      </c>
      <c r="S171" t="str">
        <f t="shared" si="25"/>
        <v>5150</v>
      </c>
      <c r="T171" t="s">
        <v>3354</v>
      </c>
      <c r="U171" t="s">
        <v>17</v>
      </c>
    </row>
    <row r="172" spans="1:21" ht="15" customHeight="1" x14ac:dyDescent="0.3">
      <c r="A172" t="s">
        <v>179</v>
      </c>
      <c r="B172" t="str">
        <f>"00066636"</f>
        <v>00066636</v>
      </c>
      <c r="C172" t="s">
        <v>4262</v>
      </c>
      <c r="D172" t="s">
        <v>432</v>
      </c>
      <c r="E172" t="str">
        <f>"00046684"</f>
        <v>00046684</v>
      </c>
      <c r="F172">
        <v>0</v>
      </c>
      <c r="G172" s="243">
        <v>40434</v>
      </c>
      <c r="H172" t="s">
        <v>182</v>
      </c>
      <c r="I172">
        <v>15</v>
      </c>
      <c r="J172">
        <v>7</v>
      </c>
      <c r="K172">
        <v>1</v>
      </c>
      <c r="L172">
        <v>69132</v>
      </c>
      <c r="M172" t="str">
        <f t="shared" si="18"/>
        <v>13</v>
      </c>
      <c r="N172" t="s">
        <v>3323</v>
      </c>
      <c r="O172" t="str">
        <f t="shared" si="24"/>
        <v>51511</v>
      </c>
      <c r="P172" t="str">
        <f>"2300L"</f>
        <v>2300L</v>
      </c>
      <c r="Q172" t="str">
        <f t="shared" si="19"/>
        <v>0101</v>
      </c>
      <c r="R172">
        <v>2300</v>
      </c>
      <c r="S172" t="str">
        <f t="shared" si="25"/>
        <v>5150</v>
      </c>
      <c r="T172" t="s">
        <v>3354</v>
      </c>
      <c r="U172" t="s">
        <v>17</v>
      </c>
    </row>
    <row r="173" spans="1:21" ht="15" customHeight="1" x14ac:dyDescent="0.3">
      <c r="A173" t="s">
        <v>179</v>
      </c>
      <c r="B173" t="str">
        <f>"00066637"</f>
        <v>00066637</v>
      </c>
      <c r="C173" t="s">
        <v>4272</v>
      </c>
      <c r="D173" t="s">
        <v>3359</v>
      </c>
      <c r="E173" t="str">
        <f>"00066902"</f>
        <v>00066902</v>
      </c>
      <c r="F173">
        <v>0</v>
      </c>
      <c r="G173" s="243">
        <v>40805</v>
      </c>
      <c r="H173" t="s">
        <v>182</v>
      </c>
      <c r="I173">
        <v>15</v>
      </c>
      <c r="J173">
        <v>11</v>
      </c>
      <c r="K173">
        <v>1</v>
      </c>
      <c r="L173">
        <v>81335</v>
      </c>
      <c r="M173" t="str">
        <f t="shared" si="18"/>
        <v>13</v>
      </c>
      <c r="N173" t="s">
        <v>3323</v>
      </c>
      <c r="O173" t="str">
        <f t="shared" si="24"/>
        <v>51511</v>
      </c>
      <c r="P173" t="str">
        <f>"2300L"</f>
        <v>2300L</v>
      </c>
      <c r="Q173" t="str">
        <f t="shared" si="19"/>
        <v>0101</v>
      </c>
      <c r="R173">
        <v>2300</v>
      </c>
      <c r="S173" t="str">
        <f t="shared" si="25"/>
        <v>5150</v>
      </c>
      <c r="T173" t="s">
        <v>3354</v>
      </c>
      <c r="U173" t="s">
        <v>17</v>
      </c>
    </row>
    <row r="174" spans="1:21" ht="15" customHeight="1" x14ac:dyDescent="0.3">
      <c r="A174" t="s">
        <v>179</v>
      </c>
      <c r="B174" t="str">
        <f>"00066638"</f>
        <v>00066638</v>
      </c>
      <c r="C174" t="s">
        <v>4266</v>
      </c>
      <c r="D174" t="s">
        <v>3360</v>
      </c>
      <c r="E174" t="str">
        <f>"00065810"</f>
        <v>00065810</v>
      </c>
      <c r="F174">
        <v>0</v>
      </c>
      <c r="G174" s="243">
        <v>40755</v>
      </c>
      <c r="H174" t="s">
        <v>182</v>
      </c>
      <c r="I174">
        <v>15</v>
      </c>
      <c r="J174">
        <v>4</v>
      </c>
      <c r="K174">
        <v>1</v>
      </c>
      <c r="L174">
        <v>61158</v>
      </c>
      <c r="M174" t="str">
        <f t="shared" si="18"/>
        <v>13</v>
      </c>
      <c r="N174" t="s">
        <v>3323</v>
      </c>
      <c r="O174" t="str">
        <f t="shared" si="24"/>
        <v>51511</v>
      </c>
      <c r="P174" t="str">
        <f>"2300L"</f>
        <v>2300L</v>
      </c>
      <c r="Q174" t="str">
        <f t="shared" si="19"/>
        <v>0101</v>
      </c>
      <c r="R174">
        <v>2300</v>
      </c>
      <c r="S174" t="str">
        <f t="shared" si="25"/>
        <v>5150</v>
      </c>
      <c r="T174" t="s">
        <v>3354</v>
      </c>
      <c r="U174" t="s">
        <v>17</v>
      </c>
    </row>
    <row r="175" spans="1:21" ht="15" customHeight="1" x14ac:dyDescent="0.3">
      <c r="A175" t="s">
        <v>179</v>
      </c>
      <c r="B175" t="str">
        <f>"00066639"</f>
        <v>00066639</v>
      </c>
      <c r="C175" t="s">
        <v>4272</v>
      </c>
      <c r="D175" t="s">
        <v>4355</v>
      </c>
      <c r="E175" t="str">
        <f>"00057921"</f>
        <v>00057921</v>
      </c>
      <c r="F175">
        <v>0</v>
      </c>
      <c r="G175" s="243">
        <v>40042</v>
      </c>
      <c r="H175" t="s">
        <v>182</v>
      </c>
      <c r="I175">
        <v>15</v>
      </c>
      <c r="J175">
        <v>13</v>
      </c>
      <c r="K175">
        <v>1</v>
      </c>
      <c r="L175">
        <v>95366</v>
      </c>
      <c r="M175" t="str">
        <f t="shared" si="18"/>
        <v>13</v>
      </c>
      <c r="N175" t="s">
        <v>3323</v>
      </c>
      <c r="O175" t="str">
        <f t="shared" si="24"/>
        <v>51511</v>
      </c>
      <c r="P175" t="str">
        <f>"2100L"</f>
        <v>2100L</v>
      </c>
      <c r="Q175" t="str">
        <f t="shared" si="19"/>
        <v>0101</v>
      </c>
      <c r="R175">
        <v>2100</v>
      </c>
      <c r="S175" t="str">
        <f t="shared" si="25"/>
        <v>5150</v>
      </c>
      <c r="T175" t="s">
        <v>3354</v>
      </c>
      <c r="U175" t="s">
        <v>17</v>
      </c>
    </row>
    <row r="176" spans="1:21" ht="15" customHeight="1" x14ac:dyDescent="0.3">
      <c r="A176" t="s">
        <v>179</v>
      </c>
      <c r="B176" t="str">
        <f>"00066640"</f>
        <v>00066640</v>
      </c>
      <c r="C176" t="s">
        <v>4272</v>
      </c>
      <c r="D176" t="s">
        <v>433</v>
      </c>
      <c r="E176" t="str">
        <f>"00057211"</f>
        <v>00057211</v>
      </c>
      <c r="F176">
        <v>0</v>
      </c>
      <c r="G176" s="243">
        <v>40042</v>
      </c>
      <c r="H176" t="s">
        <v>182</v>
      </c>
      <c r="I176">
        <v>15</v>
      </c>
      <c r="J176">
        <v>6</v>
      </c>
      <c r="K176">
        <v>1</v>
      </c>
      <c r="L176">
        <v>58599</v>
      </c>
      <c r="M176" t="str">
        <f t="shared" si="18"/>
        <v>13</v>
      </c>
      <c r="N176" t="s">
        <v>3323</v>
      </c>
      <c r="O176" t="str">
        <f t="shared" si="24"/>
        <v>51511</v>
      </c>
      <c r="P176" t="str">
        <f>"2200L"</f>
        <v>2200L</v>
      </c>
      <c r="Q176" t="str">
        <f t="shared" si="19"/>
        <v>0101</v>
      </c>
      <c r="R176">
        <v>2200</v>
      </c>
      <c r="S176" t="str">
        <f t="shared" si="25"/>
        <v>5150</v>
      </c>
      <c r="T176" t="s">
        <v>3354</v>
      </c>
      <c r="U176" t="s">
        <v>17</v>
      </c>
    </row>
    <row r="177" spans="1:21" ht="15" customHeight="1" x14ac:dyDescent="0.3">
      <c r="A177" t="s">
        <v>179</v>
      </c>
      <c r="B177" t="str">
        <f>"00066642"</f>
        <v>00066642</v>
      </c>
      <c r="C177" t="s">
        <v>4262</v>
      </c>
      <c r="D177" t="s">
        <v>434</v>
      </c>
      <c r="E177" t="str">
        <f>"00056483"</f>
        <v>00056483</v>
      </c>
      <c r="F177">
        <v>0</v>
      </c>
      <c r="G177" s="243">
        <v>40042</v>
      </c>
      <c r="H177" t="s">
        <v>182</v>
      </c>
      <c r="I177">
        <v>15</v>
      </c>
      <c r="J177">
        <v>4</v>
      </c>
      <c r="K177">
        <v>1</v>
      </c>
      <c r="L177">
        <v>61158</v>
      </c>
      <c r="M177" t="str">
        <f t="shared" si="18"/>
        <v>13</v>
      </c>
      <c r="N177" t="s">
        <v>3323</v>
      </c>
      <c r="O177" t="str">
        <f t="shared" si="24"/>
        <v>51511</v>
      </c>
      <c r="P177" t="str">
        <f>"2100L"</f>
        <v>2100L</v>
      </c>
      <c r="Q177" t="str">
        <f t="shared" si="19"/>
        <v>0101</v>
      </c>
      <c r="R177">
        <v>2100</v>
      </c>
      <c r="S177" t="str">
        <f t="shared" si="25"/>
        <v>5150</v>
      </c>
      <c r="T177" t="s">
        <v>3354</v>
      </c>
      <c r="U177" t="s">
        <v>17</v>
      </c>
    </row>
    <row r="178" spans="1:21" ht="15" customHeight="1" x14ac:dyDescent="0.3">
      <c r="A178" t="s">
        <v>179</v>
      </c>
      <c r="B178" t="str">
        <f>"00066643"</f>
        <v>00066643</v>
      </c>
      <c r="C178" t="s">
        <v>4260</v>
      </c>
      <c r="D178" t="s">
        <v>435</v>
      </c>
      <c r="E178" t="str">
        <f>"00057229"</f>
        <v>00057229</v>
      </c>
      <c r="F178">
        <v>0</v>
      </c>
      <c r="G178" s="243">
        <v>40042</v>
      </c>
      <c r="H178" t="s">
        <v>182</v>
      </c>
      <c r="I178">
        <v>15</v>
      </c>
      <c r="J178">
        <v>10</v>
      </c>
      <c r="K178">
        <v>1</v>
      </c>
      <c r="L178">
        <v>78273</v>
      </c>
      <c r="M178" t="str">
        <f t="shared" si="18"/>
        <v>13</v>
      </c>
      <c r="N178" t="s">
        <v>3323</v>
      </c>
      <c r="O178" t="str">
        <f t="shared" si="24"/>
        <v>51511</v>
      </c>
      <c r="P178" t="str">
        <f>"3030L"</f>
        <v>3030L</v>
      </c>
      <c r="Q178" t="str">
        <f t="shared" si="19"/>
        <v>0101</v>
      </c>
      <c r="R178">
        <v>3030</v>
      </c>
      <c r="S178" t="str">
        <f t="shared" si="25"/>
        <v>5150</v>
      </c>
      <c r="T178" t="s">
        <v>3354</v>
      </c>
      <c r="U178" t="s">
        <v>17</v>
      </c>
    </row>
    <row r="179" spans="1:21" ht="15" customHeight="1" x14ac:dyDescent="0.3">
      <c r="A179" t="s">
        <v>179</v>
      </c>
      <c r="B179" t="str">
        <f>"00066895"</f>
        <v>00066895</v>
      </c>
      <c r="C179" t="s">
        <v>4274</v>
      </c>
      <c r="D179" t="s">
        <v>4356</v>
      </c>
      <c r="E179" t="str">
        <f>"00053778"</f>
        <v>00053778</v>
      </c>
      <c r="F179">
        <v>0</v>
      </c>
      <c r="G179" s="243">
        <v>40455</v>
      </c>
      <c r="H179" t="s">
        <v>182</v>
      </c>
      <c r="I179">
        <v>4</v>
      </c>
      <c r="J179">
        <v>7</v>
      </c>
      <c r="K179">
        <v>1</v>
      </c>
      <c r="L179">
        <v>26633.25</v>
      </c>
      <c r="M179" t="str">
        <f t="shared" si="18"/>
        <v>13</v>
      </c>
      <c r="N179" t="s">
        <v>3323</v>
      </c>
      <c r="O179" t="str">
        <f t="shared" si="24"/>
        <v>51511</v>
      </c>
      <c r="P179" t="str">
        <f>"2200L"</f>
        <v>2200L</v>
      </c>
      <c r="Q179" t="str">
        <f t="shared" si="19"/>
        <v>0101</v>
      </c>
      <c r="R179">
        <v>2200</v>
      </c>
      <c r="S179" t="str">
        <f t="shared" si="25"/>
        <v>5150</v>
      </c>
      <c r="T179" t="s">
        <v>3354</v>
      </c>
      <c r="U179" t="s">
        <v>17</v>
      </c>
    </row>
    <row r="180" spans="1:21" ht="15" customHeight="1" x14ac:dyDescent="0.3">
      <c r="A180" t="s">
        <v>179</v>
      </c>
      <c r="B180" t="str">
        <f>"00067526"</f>
        <v>00067526</v>
      </c>
      <c r="C180" t="s">
        <v>4254</v>
      </c>
      <c r="D180" t="s">
        <v>436</v>
      </c>
      <c r="E180" t="str">
        <f>"00046343"</f>
        <v>00046343</v>
      </c>
      <c r="F180">
        <v>0</v>
      </c>
      <c r="G180" s="243">
        <v>38587</v>
      </c>
      <c r="H180" t="s">
        <v>182</v>
      </c>
      <c r="I180">
        <v>15</v>
      </c>
      <c r="J180">
        <v>12</v>
      </c>
      <c r="K180">
        <v>1</v>
      </c>
      <c r="L180">
        <v>87431</v>
      </c>
      <c r="M180" t="str">
        <f t="shared" si="18"/>
        <v>13</v>
      </c>
      <c r="N180" t="s">
        <v>3323</v>
      </c>
      <c r="O180" t="str">
        <f t="shared" si="24"/>
        <v>51511</v>
      </c>
      <c r="P180" t="str">
        <f>"2100L"</f>
        <v>2100L</v>
      </c>
      <c r="Q180" t="str">
        <f t="shared" si="19"/>
        <v>0101</v>
      </c>
      <c r="R180">
        <v>2100</v>
      </c>
      <c r="S180" t="str">
        <f t="shared" si="25"/>
        <v>5150</v>
      </c>
      <c r="T180" t="s">
        <v>3354</v>
      </c>
      <c r="U180" t="s">
        <v>17</v>
      </c>
    </row>
    <row r="181" spans="1:21" ht="15" customHeight="1" x14ac:dyDescent="0.3">
      <c r="A181" t="s">
        <v>179</v>
      </c>
      <c r="B181" t="str">
        <f>"00067899"</f>
        <v>00067899</v>
      </c>
      <c r="C181" t="s">
        <v>4260</v>
      </c>
      <c r="D181" t="s">
        <v>2210</v>
      </c>
      <c r="E181" t="str">
        <f>"00056933"</f>
        <v>00056933</v>
      </c>
      <c r="F181">
        <v>0</v>
      </c>
      <c r="G181" s="243">
        <v>40042</v>
      </c>
      <c r="H181" t="s">
        <v>182</v>
      </c>
      <c r="I181">
        <v>15</v>
      </c>
      <c r="J181">
        <v>6</v>
      </c>
      <c r="K181">
        <v>1</v>
      </c>
      <c r="L181">
        <v>61032</v>
      </c>
      <c r="M181" t="str">
        <f t="shared" si="18"/>
        <v>13</v>
      </c>
      <c r="N181" t="s">
        <v>3323</v>
      </c>
      <c r="O181" t="str">
        <f t="shared" si="24"/>
        <v>51511</v>
      </c>
      <c r="P181" t="str">
        <f>"3030L"</f>
        <v>3030L</v>
      </c>
      <c r="Q181" t="str">
        <f t="shared" si="19"/>
        <v>0101</v>
      </c>
      <c r="R181">
        <v>3030</v>
      </c>
      <c r="S181" t="str">
        <f t="shared" si="25"/>
        <v>5150</v>
      </c>
      <c r="T181" t="s">
        <v>3354</v>
      </c>
      <c r="U181" t="s">
        <v>17</v>
      </c>
    </row>
    <row r="182" spans="1:21" ht="15" customHeight="1" x14ac:dyDescent="0.3">
      <c r="A182" t="s">
        <v>179</v>
      </c>
      <c r="B182" t="str">
        <f>"00067906"</f>
        <v>00067906</v>
      </c>
      <c r="C182" t="s">
        <v>4262</v>
      </c>
      <c r="D182" t="s">
        <v>437</v>
      </c>
      <c r="E182" t="str">
        <f>"00056117"</f>
        <v>00056117</v>
      </c>
      <c r="F182">
        <v>0</v>
      </c>
      <c r="G182" s="243">
        <v>40042</v>
      </c>
      <c r="H182" t="s">
        <v>182</v>
      </c>
      <c r="I182">
        <v>15</v>
      </c>
      <c r="J182">
        <v>5</v>
      </c>
      <c r="K182">
        <v>1</v>
      </c>
      <c r="L182">
        <v>63611</v>
      </c>
      <c r="M182" t="str">
        <f t="shared" si="18"/>
        <v>13</v>
      </c>
      <c r="N182" t="s">
        <v>3323</v>
      </c>
      <c r="O182" t="str">
        <f t="shared" si="24"/>
        <v>51511</v>
      </c>
      <c r="P182" t="str">
        <f>"2100L"</f>
        <v>2100L</v>
      </c>
      <c r="Q182" t="str">
        <f t="shared" si="19"/>
        <v>0101</v>
      </c>
      <c r="R182">
        <v>2100</v>
      </c>
      <c r="S182" t="str">
        <f t="shared" si="25"/>
        <v>5150</v>
      </c>
      <c r="T182" t="s">
        <v>3354</v>
      </c>
      <c r="U182" t="s">
        <v>17</v>
      </c>
    </row>
    <row r="183" spans="1:21" ht="15" customHeight="1" x14ac:dyDescent="0.3">
      <c r="A183" t="s">
        <v>179</v>
      </c>
      <c r="B183" t="str">
        <f>"00067911"</f>
        <v>00067911</v>
      </c>
      <c r="C183" t="s">
        <v>4260</v>
      </c>
      <c r="D183" t="s">
        <v>3367</v>
      </c>
      <c r="E183" t="str">
        <f>"00066134"</f>
        <v>00066134</v>
      </c>
      <c r="F183">
        <v>0</v>
      </c>
      <c r="G183" s="243">
        <v>40755</v>
      </c>
      <c r="H183" t="s">
        <v>182</v>
      </c>
      <c r="I183">
        <v>15</v>
      </c>
      <c r="J183">
        <v>2</v>
      </c>
      <c r="K183">
        <v>1</v>
      </c>
      <c r="L183">
        <v>56242</v>
      </c>
      <c r="M183" t="str">
        <f t="shared" si="18"/>
        <v>13</v>
      </c>
      <c r="N183" t="s">
        <v>3323</v>
      </c>
      <c r="O183" t="str">
        <f t="shared" si="24"/>
        <v>51511</v>
      </c>
      <c r="P183" t="str">
        <f>"3030L"</f>
        <v>3030L</v>
      </c>
      <c r="Q183" t="str">
        <f t="shared" si="19"/>
        <v>0101</v>
      </c>
      <c r="R183">
        <v>3030</v>
      </c>
      <c r="S183" t="str">
        <f t="shared" si="25"/>
        <v>5150</v>
      </c>
      <c r="T183" t="s">
        <v>3354</v>
      </c>
      <c r="U183" t="s">
        <v>17</v>
      </c>
    </row>
    <row r="184" spans="1:21" ht="15" customHeight="1" x14ac:dyDescent="0.3">
      <c r="A184" t="s">
        <v>179</v>
      </c>
      <c r="B184" t="str">
        <f>"00067915"</f>
        <v>00067915</v>
      </c>
      <c r="C184" t="s">
        <v>4260</v>
      </c>
      <c r="D184" t="s">
        <v>1006</v>
      </c>
      <c r="E184" t="str">
        <f>"00063384"</f>
        <v>00063384</v>
      </c>
      <c r="F184">
        <v>0</v>
      </c>
      <c r="G184" s="243">
        <v>40413</v>
      </c>
      <c r="H184" t="s">
        <v>182</v>
      </c>
      <c r="I184">
        <v>15</v>
      </c>
      <c r="J184">
        <v>5</v>
      </c>
      <c r="K184">
        <v>1</v>
      </c>
      <c r="L184">
        <v>63611</v>
      </c>
      <c r="M184" t="str">
        <f t="shared" si="18"/>
        <v>13</v>
      </c>
      <c r="N184" t="s">
        <v>3323</v>
      </c>
      <c r="O184" t="str">
        <f t="shared" si="24"/>
        <v>51511</v>
      </c>
      <c r="P184" t="str">
        <f>"3030L"</f>
        <v>3030L</v>
      </c>
      <c r="Q184" t="str">
        <f t="shared" si="19"/>
        <v>0101</v>
      </c>
      <c r="R184">
        <v>3030</v>
      </c>
      <c r="S184" t="str">
        <f t="shared" si="25"/>
        <v>5150</v>
      </c>
      <c r="T184" t="s">
        <v>3354</v>
      </c>
      <c r="U184" t="s">
        <v>17</v>
      </c>
    </row>
    <row r="185" spans="1:21" ht="15" customHeight="1" x14ac:dyDescent="0.3">
      <c r="A185" t="s">
        <v>179</v>
      </c>
      <c r="B185" t="str">
        <f>"00067957"</f>
        <v>00067957</v>
      </c>
      <c r="C185" t="s">
        <v>4274</v>
      </c>
      <c r="D185" t="s">
        <v>4357</v>
      </c>
      <c r="E185" t="str">
        <f>"00039215"</f>
        <v>00039215</v>
      </c>
      <c r="F185">
        <v>0</v>
      </c>
      <c r="G185" s="243">
        <v>39818</v>
      </c>
      <c r="H185" t="s">
        <v>182</v>
      </c>
      <c r="I185">
        <v>4</v>
      </c>
      <c r="J185">
        <v>7</v>
      </c>
      <c r="K185">
        <v>0.71</v>
      </c>
      <c r="L185">
        <v>26633.25</v>
      </c>
      <c r="M185" t="str">
        <f t="shared" ref="M185:M242" si="26">"13"</f>
        <v>13</v>
      </c>
      <c r="N185" t="s">
        <v>3323</v>
      </c>
      <c r="O185" t="str">
        <f t="shared" si="24"/>
        <v>51511</v>
      </c>
      <c r="P185" t="str">
        <f>"2100L"</f>
        <v>2100L</v>
      </c>
      <c r="Q185" t="str">
        <f t="shared" ref="Q185:Q242" si="27">"0101"</f>
        <v>0101</v>
      </c>
      <c r="R185">
        <v>2100</v>
      </c>
      <c r="S185" t="str">
        <f t="shared" si="25"/>
        <v>5150</v>
      </c>
      <c r="T185" t="s">
        <v>3354</v>
      </c>
      <c r="U185" t="s">
        <v>17</v>
      </c>
    </row>
    <row r="186" spans="1:21" ht="15" customHeight="1" x14ac:dyDescent="0.3">
      <c r="A186" t="s">
        <v>179</v>
      </c>
      <c r="B186" t="str">
        <f>"00070817"</f>
        <v>00070817</v>
      </c>
      <c r="C186" t="s">
        <v>4259</v>
      </c>
      <c r="D186" t="s">
        <v>438</v>
      </c>
      <c r="E186" t="str">
        <f>"00054349"</f>
        <v>00054349</v>
      </c>
      <c r="F186">
        <v>0</v>
      </c>
      <c r="G186" s="243">
        <v>34578</v>
      </c>
      <c r="H186" t="s">
        <v>182</v>
      </c>
      <c r="I186">
        <v>15</v>
      </c>
      <c r="J186">
        <v>16</v>
      </c>
      <c r="K186">
        <v>1</v>
      </c>
      <c r="L186">
        <v>100839</v>
      </c>
      <c r="M186" t="str">
        <f t="shared" si="26"/>
        <v>13</v>
      </c>
      <c r="N186" t="s">
        <v>3323</v>
      </c>
      <c r="O186" t="str">
        <f t="shared" si="24"/>
        <v>51511</v>
      </c>
      <c r="P186" t="str">
        <f>"2100L"</f>
        <v>2100L</v>
      </c>
      <c r="Q186" t="str">
        <f t="shared" si="27"/>
        <v>0101</v>
      </c>
      <c r="R186">
        <v>2100</v>
      </c>
      <c r="S186" t="str">
        <f t="shared" si="25"/>
        <v>5150</v>
      </c>
      <c r="T186" t="s">
        <v>3354</v>
      </c>
      <c r="U186" t="s">
        <v>17</v>
      </c>
    </row>
    <row r="187" spans="1:21" ht="15" customHeight="1" x14ac:dyDescent="0.3">
      <c r="A187" t="s">
        <v>179</v>
      </c>
      <c r="B187" t="str">
        <f>"00072110"</f>
        <v>00072110</v>
      </c>
      <c r="C187" t="s">
        <v>4288</v>
      </c>
      <c r="D187" t="s">
        <v>4358</v>
      </c>
      <c r="E187" t="str">
        <f>"00058103"</f>
        <v>00058103</v>
      </c>
      <c r="F187">
        <v>0</v>
      </c>
      <c r="G187" s="243">
        <v>40042</v>
      </c>
      <c r="H187" t="s">
        <v>182</v>
      </c>
      <c r="I187">
        <v>4</v>
      </c>
      <c r="J187">
        <v>7</v>
      </c>
      <c r="K187">
        <v>1</v>
      </c>
      <c r="L187">
        <v>26633.25</v>
      </c>
      <c r="M187" t="str">
        <f t="shared" si="26"/>
        <v>13</v>
      </c>
      <c r="N187" t="s">
        <v>3323</v>
      </c>
      <c r="O187" t="str">
        <f t="shared" si="24"/>
        <v>51511</v>
      </c>
      <c r="P187" t="str">
        <f>"2200L"</f>
        <v>2200L</v>
      </c>
      <c r="Q187" t="str">
        <f t="shared" si="27"/>
        <v>0101</v>
      </c>
      <c r="R187">
        <v>2200</v>
      </c>
      <c r="S187" t="str">
        <f t="shared" si="25"/>
        <v>5150</v>
      </c>
      <c r="T187" t="s">
        <v>3354</v>
      </c>
      <c r="U187" t="s">
        <v>17</v>
      </c>
    </row>
    <row r="188" spans="1:21" ht="15" customHeight="1" x14ac:dyDescent="0.3">
      <c r="A188" t="s">
        <v>179</v>
      </c>
      <c r="B188" t="str">
        <f>"00072111"</f>
        <v>00072111</v>
      </c>
      <c r="C188" t="s">
        <v>4274</v>
      </c>
      <c r="D188" t="s">
        <v>4359</v>
      </c>
      <c r="E188" t="str">
        <f>"00046297"</f>
        <v>00046297</v>
      </c>
      <c r="F188">
        <v>0</v>
      </c>
      <c r="G188" s="243">
        <v>39735</v>
      </c>
      <c r="H188" t="s">
        <v>182</v>
      </c>
      <c r="I188">
        <v>4</v>
      </c>
      <c r="J188">
        <v>6</v>
      </c>
      <c r="K188">
        <v>1</v>
      </c>
      <c r="L188">
        <v>25935.88</v>
      </c>
      <c r="M188" t="str">
        <f t="shared" si="26"/>
        <v>13</v>
      </c>
      <c r="N188" t="s">
        <v>3323</v>
      </c>
      <c r="O188" t="str">
        <f t="shared" si="24"/>
        <v>51511</v>
      </c>
      <c r="P188" t="str">
        <f>"2200L"</f>
        <v>2200L</v>
      </c>
      <c r="Q188" t="str">
        <f t="shared" si="27"/>
        <v>0101</v>
      </c>
      <c r="R188">
        <v>2200</v>
      </c>
      <c r="S188" t="str">
        <f t="shared" si="25"/>
        <v>5150</v>
      </c>
      <c r="T188" t="s">
        <v>3354</v>
      </c>
      <c r="U188" t="s">
        <v>17</v>
      </c>
    </row>
    <row r="189" spans="1:21" ht="15" customHeight="1" x14ac:dyDescent="0.3">
      <c r="A189" t="s">
        <v>179</v>
      </c>
      <c r="B189" t="str">
        <f>"00072112"</f>
        <v>00072112</v>
      </c>
      <c r="C189" t="s">
        <v>4274</v>
      </c>
      <c r="H189" t="s">
        <v>170</v>
      </c>
      <c r="I189">
        <v>4</v>
      </c>
      <c r="J189">
        <v>1</v>
      </c>
      <c r="K189">
        <v>1</v>
      </c>
      <c r="L189">
        <v>25662</v>
      </c>
      <c r="M189" t="str">
        <f t="shared" si="26"/>
        <v>13</v>
      </c>
      <c r="N189" t="s">
        <v>3323</v>
      </c>
      <c r="O189" t="str">
        <f t="shared" si="24"/>
        <v>51511</v>
      </c>
      <c r="P189" t="str">
        <f>"2200L"</f>
        <v>2200L</v>
      </c>
      <c r="Q189" t="str">
        <f t="shared" si="27"/>
        <v>0101</v>
      </c>
      <c r="R189">
        <v>2200</v>
      </c>
      <c r="S189" t="str">
        <f t="shared" si="25"/>
        <v>5150</v>
      </c>
      <c r="T189" t="s">
        <v>3354</v>
      </c>
      <c r="U189" t="s">
        <v>17</v>
      </c>
    </row>
    <row r="190" spans="1:21" ht="15" customHeight="1" x14ac:dyDescent="0.3">
      <c r="A190" t="s">
        <v>179</v>
      </c>
      <c r="B190" t="str">
        <f>"00072293"</f>
        <v>00072293</v>
      </c>
      <c r="C190" t="s">
        <v>4272</v>
      </c>
      <c r="D190" t="s">
        <v>439</v>
      </c>
      <c r="E190" t="str">
        <f>"00062642"</f>
        <v>00062642</v>
      </c>
      <c r="F190">
        <v>0</v>
      </c>
      <c r="G190" s="243">
        <v>40406</v>
      </c>
      <c r="H190" t="s">
        <v>182</v>
      </c>
      <c r="I190">
        <v>15</v>
      </c>
      <c r="J190">
        <v>3</v>
      </c>
      <c r="K190">
        <v>1</v>
      </c>
      <c r="L190">
        <v>58699</v>
      </c>
      <c r="M190" t="str">
        <f t="shared" si="26"/>
        <v>13</v>
      </c>
      <c r="N190" t="s">
        <v>3323</v>
      </c>
      <c r="O190" t="str">
        <f t="shared" si="24"/>
        <v>51511</v>
      </c>
      <c r="P190" t="str">
        <f>"2100L"</f>
        <v>2100L</v>
      </c>
      <c r="Q190" t="str">
        <f t="shared" si="27"/>
        <v>0101</v>
      </c>
      <c r="R190">
        <v>2100</v>
      </c>
      <c r="S190" t="str">
        <f t="shared" si="25"/>
        <v>5150</v>
      </c>
      <c r="T190" t="s">
        <v>3354</v>
      </c>
      <c r="U190" t="s">
        <v>17</v>
      </c>
    </row>
    <row r="191" spans="1:21" ht="15" customHeight="1" x14ac:dyDescent="0.3">
      <c r="A191" t="s">
        <v>179</v>
      </c>
      <c r="B191" t="str">
        <f>"00072294"</f>
        <v>00072294</v>
      </c>
      <c r="C191" t="s">
        <v>4266</v>
      </c>
      <c r="D191" t="s">
        <v>440</v>
      </c>
      <c r="E191" t="str">
        <f>"00062875"</f>
        <v>00062875</v>
      </c>
      <c r="F191">
        <v>0</v>
      </c>
      <c r="G191" s="243">
        <v>40406</v>
      </c>
      <c r="H191" t="s">
        <v>182</v>
      </c>
      <c r="I191">
        <v>15</v>
      </c>
      <c r="J191">
        <v>12</v>
      </c>
      <c r="K191">
        <v>1</v>
      </c>
      <c r="L191">
        <v>87431</v>
      </c>
      <c r="M191" t="str">
        <f t="shared" si="26"/>
        <v>13</v>
      </c>
      <c r="N191" t="s">
        <v>3323</v>
      </c>
      <c r="O191" t="str">
        <f t="shared" si="24"/>
        <v>51511</v>
      </c>
      <c r="P191" t="str">
        <f>"2100L"</f>
        <v>2100L</v>
      </c>
      <c r="Q191" t="str">
        <f t="shared" si="27"/>
        <v>0101</v>
      </c>
      <c r="R191">
        <v>2100</v>
      </c>
      <c r="S191" t="str">
        <f t="shared" si="25"/>
        <v>5150</v>
      </c>
      <c r="T191" t="s">
        <v>3354</v>
      </c>
      <c r="U191" t="s">
        <v>17</v>
      </c>
    </row>
    <row r="192" spans="1:21" ht="15" customHeight="1" x14ac:dyDescent="0.3">
      <c r="A192" t="s">
        <v>179</v>
      </c>
      <c r="B192" t="str">
        <f>"00072418"</f>
        <v>00072418</v>
      </c>
      <c r="C192" t="s">
        <v>4360</v>
      </c>
      <c r="D192" t="s">
        <v>4361</v>
      </c>
      <c r="E192" t="str">
        <f>"00058818"</f>
        <v>00058818</v>
      </c>
      <c r="F192">
        <v>0</v>
      </c>
      <c r="G192" s="243">
        <v>40077</v>
      </c>
      <c r="H192" t="s">
        <v>182</v>
      </c>
      <c r="I192">
        <v>7</v>
      </c>
      <c r="J192">
        <v>7</v>
      </c>
      <c r="K192">
        <v>1</v>
      </c>
      <c r="L192">
        <v>41514</v>
      </c>
      <c r="M192" t="str">
        <f t="shared" si="26"/>
        <v>13</v>
      </c>
      <c r="N192" t="s">
        <v>3323</v>
      </c>
      <c r="O192" t="str">
        <f t="shared" si="24"/>
        <v>51511</v>
      </c>
      <c r="P192" t="str">
        <f>"1502L"</f>
        <v>1502L</v>
      </c>
      <c r="Q192" t="str">
        <f t="shared" si="27"/>
        <v>0101</v>
      </c>
      <c r="R192">
        <v>1502</v>
      </c>
      <c r="S192" t="str">
        <f t="shared" si="25"/>
        <v>5150</v>
      </c>
      <c r="T192" t="s">
        <v>3354</v>
      </c>
      <c r="U192" t="s">
        <v>17</v>
      </c>
    </row>
    <row r="193" spans="1:21" ht="15" customHeight="1" x14ac:dyDescent="0.3">
      <c r="A193" t="s">
        <v>179</v>
      </c>
      <c r="B193" t="str">
        <f>"00072918"</f>
        <v>00072918</v>
      </c>
      <c r="C193" t="s">
        <v>4272</v>
      </c>
      <c r="D193" t="s">
        <v>3361</v>
      </c>
      <c r="E193" t="str">
        <f>"00066308"</f>
        <v>00066308</v>
      </c>
      <c r="F193">
        <v>0</v>
      </c>
      <c r="G193" s="243">
        <v>40755</v>
      </c>
      <c r="H193" t="s">
        <v>182</v>
      </c>
      <c r="I193">
        <v>15</v>
      </c>
      <c r="J193">
        <v>2</v>
      </c>
      <c r="K193">
        <v>1</v>
      </c>
      <c r="L193">
        <v>51716</v>
      </c>
      <c r="M193" t="str">
        <f t="shared" si="26"/>
        <v>13</v>
      </c>
      <c r="N193" t="s">
        <v>3323</v>
      </c>
      <c r="O193" t="str">
        <f t="shared" si="24"/>
        <v>51511</v>
      </c>
      <c r="P193" t="str">
        <f>"2100L"</f>
        <v>2100L</v>
      </c>
      <c r="Q193" t="str">
        <f t="shared" si="27"/>
        <v>0101</v>
      </c>
      <c r="R193">
        <v>2100</v>
      </c>
      <c r="S193" t="str">
        <f t="shared" si="25"/>
        <v>5150</v>
      </c>
      <c r="T193" t="s">
        <v>3354</v>
      </c>
      <c r="U193" t="s">
        <v>17</v>
      </c>
    </row>
    <row r="194" spans="1:21" ht="15" customHeight="1" x14ac:dyDescent="0.3">
      <c r="A194" t="s">
        <v>179</v>
      </c>
      <c r="B194" t="str">
        <f>"00073802"</f>
        <v>00073802</v>
      </c>
      <c r="C194" t="s">
        <v>4341</v>
      </c>
      <c r="D194" t="s">
        <v>427</v>
      </c>
      <c r="E194" t="str">
        <f>"00045116"</f>
        <v>00045116</v>
      </c>
      <c r="F194">
        <v>0</v>
      </c>
      <c r="G194" s="243">
        <v>35809</v>
      </c>
      <c r="H194" t="s">
        <v>182</v>
      </c>
      <c r="I194">
        <v>10</v>
      </c>
      <c r="J194">
        <v>7</v>
      </c>
      <c r="K194">
        <v>1</v>
      </c>
      <c r="L194">
        <v>81541</v>
      </c>
      <c r="M194" t="str">
        <f t="shared" si="26"/>
        <v>13</v>
      </c>
      <c r="N194" t="s">
        <v>3323</v>
      </c>
      <c r="O194" t="str">
        <f t="shared" si="24"/>
        <v>51511</v>
      </c>
      <c r="P194" t="str">
        <f>"3030L"</f>
        <v>3030L</v>
      </c>
      <c r="Q194" t="str">
        <f t="shared" si="27"/>
        <v>0101</v>
      </c>
      <c r="R194">
        <v>3030</v>
      </c>
      <c r="S194" t="str">
        <f t="shared" si="25"/>
        <v>5150</v>
      </c>
      <c r="T194" t="s">
        <v>3354</v>
      </c>
      <c r="U194" t="s">
        <v>17</v>
      </c>
    </row>
    <row r="195" spans="1:21" ht="15" customHeight="1" x14ac:dyDescent="0.3">
      <c r="A195" t="s">
        <v>179</v>
      </c>
      <c r="B195" t="str">
        <f>"00073803"</f>
        <v>00073803</v>
      </c>
      <c r="C195" t="s">
        <v>4262</v>
      </c>
      <c r="D195" t="s">
        <v>2026</v>
      </c>
      <c r="E195" t="str">
        <f>"00049396"</f>
        <v>00049396</v>
      </c>
      <c r="F195">
        <v>0</v>
      </c>
      <c r="G195" s="243">
        <v>33855</v>
      </c>
      <c r="H195" t="s">
        <v>182</v>
      </c>
      <c r="I195">
        <v>15</v>
      </c>
      <c r="J195">
        <v>13</v>
      </c>
      <c r="K195">
        <v>1</v>
      </c>
      <c r="L195">
        <v>81724</v>
      </c>
      <c r="M195" t="str">
        <f t="shared" si="26"/>
        <v>13</v>
      </c>
      <c r="N195" t="s">
        <v>3370</v>
      </c>
      <c r="O195" t="str">
        <f t="shared" si="24"/>
        <v>51511</v>
      </c>
      <c r="P195" t="str">
        <f>"2100L"</f>
        <v>2100L</v>
      </c>
      <c r="Q195" t="str">
        <f t="shared" si="27"/>
        <v>0101</v>
      </c>
      <c r="R195">
        <v>2100</v>
      </c>
      <c r="S195" t="str">
        <f t="shared" si="25"/>
        <v>5150</v>
      </c>
      <c r="T195" t="s">
        <v>3354</v>
      </c>
      <c r="U195" t="s">
        <v>17</v>
      </c>
    </row>
    <row r="196" spans="1:21" ht="15" customHeight="1" x14ac:dyDescent="0.3">
      <c r="A196" t="s">
        <v>179</v>
      </c>
      <c r="B196" t="str">
        <f>"00073804"</f>
        <v>00073804</v>
      </c>
      <c r="C196" t="s">
        <v>200</v>
      </c>
      <c r="D196" t="s">
        <v>3356</v>
      </c>
      <c r="E196" t="str">
        <f>"00051438"</f>
        <v>00051438</v>
      </c>
      <c r="F196">
        <v>0</v>
      </c>
      <c r="G196" s="243">
        <v>34967</v>
      </c>
      <c r="H196" t="s">
        <v>182</v>
      </c>
      <c r="I196">
        <v>15</v>
      </c>
      <c r="J196">
        <v>16</v>
      </c>
      <c r="K196">
        <v>1</v>
      </c>
      <c r="L196">
        <v>106540</v>
      </c>
      <c r="M196" t="str">
        <f t="shared" si="26"/>
        <v>13</v>
      </c>
      <c r="N196" t="s">
        <v>3323</v>
      </c>
      <c r="O196" t="str">
        <f t="shared" si="24"/>
        <v>51511</v>
      </c>
      <c r="P196" t="str">
        <f>"2100L"</f>
        <v>2100L</v>
      </c>
      <c r="Q196" t="str">
        <f t="shared" si="27"/>
        <v>0101</v>
      </c>
      <c r="R196">
        <v>2100</v>
      </c>
      <c r="S196" t="str">
        <f t="shared" si="25"/>
        <v>5150</v>
      </c>
      <c r="T196" t="s">
        <v>3354</v>
      </c>
      <c r="U196" t="s">
        <v>17</v>
      </c>
    </row>
    <row r="197" spans="1:21" ht="15" customHeight="1" x14ac:dyDescent="0.3">
      <c r="A197" t="s">
        <v>179</v>
      </c>
      <c r="B197" t="str">
        <f>"00073950"</f>
        <v>00073950</v>
      </c>
      <c r="C197" t="s">
        <v>4262</v>
      </c>
      <c r="D197" t="s">
        <v>2107</v>
      </c>
      <c r="E197" t="str">
        <f>"00046682"</f>
        <v>00046682</v>
      </c>
      <c r="F197">
        <v>0</v>
      </c>
      <c r="G197" s="243">
        <v>37124</v>
      </c>
      <c r="H197" t="s">
        <v>182</v>
      </c>
      <c r="I197">
        <v>15</v>
      </c>
      <c r="J197">
        <v>15</v>
      </c>
      <c r="K197">
        <v>1</v>
      </c>
      <c r="L197">
        <v>98285</v>
      </c>
      <c r="M197" t="str">
        <f t="shared" si="26"/>
        <v>13</v>
      </c>
      <c r="N197" t="s">
        <v>3323</v>
      </c>
      <c r="O197" t="str">
        <f t="shared" ref="O197:O217" si="28">"51511"</f>
        <v>51511</v>
      </c>
      <c r="P197" t="str">
        <f>"2100L"</f>
        <v>2100L</v>
      </c>
      <c r="Q197" t="str">
        <f t="shared" si="27"/>
        <v>0101</v>
      </c>
      <c r="R197">
        <v>2100</v>
      </c>
      <c r="S197" t="str">
        <f t="shared" ref="S197:S217" si="29">"5150"</f>
        <v>5150</v>
      </c>
      <c r="T197" t="s">
        <v>3354</v>
      </c>
      <c r="U197" t="s">
        <v>17</v>
      </c>
    </row>
    <row r="198" spans="1:21" ht="15" customHeight="1" x14ac:dyDescent="0.3">
      <c r="A198" t="s">
        <v>179</v>
      </c>
      <c r="B198" t="str">
        <f>"00074150"</f>
        <v>00074150</v>
      </c>
      <c r="C198" t="s">
        <v>3670</v>
      </c>
      <c r="D198" t="s">
        <v>3353</v>
      </c>
      <c r="E198" t="str">
        <f>"00065680"</f>
        <v>00065680</v>
      </c>
      <c r="F198">
        <v>0</v>
      </c>
      <c r="G198" s="243">
        <v>40742</v>
      </c>
      <c r="H198" t="s">
        <v>182</v>
      </c>
      <c r="I198">
        <v>8</v>
      </c>
      <c r="J198">
        <v>1</v>
      </c>
      <c r="K198">
        <v>1</v>
      </c>
      <c r="L198">
        <v>82397</v>
      </c>
      <c r="M198" t="str">
        <f t="shared" si="26"/>
        <v>13</v>
      </c>
      <c r="N198" t="s">
        <v>3323</v>
      </c>
      <c r="O198" t="str">
        <f t="shared" si="28"/>
        <v>51511</v>
      </c>
      <c r="P198" t="str">
        <f>"1501L"</f>
        <v>1501L</v>
      </c>
      <c r="Q198" t="str">
        <f t="shared" si="27"/>
        <v>0101</v>
      </c>
      <c r="R198">
        <v>1501</v>
      </c>
      <c r="S198" t="str">
        <f t="shared" si="29"/>
        <v>5150</v>
      </c>
      <c r="T198" t="s">
        <v>3354</v>
      </c>
      <c r="U198" t="s">
        <v>17</v>
      </c>
    </row>
    <row r="199" spans="1:21" ht="15" customHeight="1" x14ac:dyDescent="0.3">
      <c r="A199" t="s">
        <v>179</v>
      </c>
      <c r="B199" t="str">
        <f>"00074151"</f>
        <v>00074151</v>
      </c>
      <c r="C199" t="s">
        <v>4272</v>
      </c>
      <c r="D199" t="s">
        <v>3362</v>
      </c>
      <c r="E199" t="str">
        <f>"00065629"</f>
        <v>00065629</v>
      </c>
      <c r="F199">
        <v>0</v>
      </c>
      <c r="G199" s="243">
        <v>40755</v>
      </c>
      <c r="H199" t="s">
        <v>182</v>
      </c>
      <c r="I199">
        <v>15</v>
      </c>
      <c r="J199">
        <v>2</v>
      </c>
      <c r="K199">
        <v>1</v>
      </c>
      <c r="L199">
        <v>56242</v>
      </c>
      <c r="M199" t="str">
        <f t="shared" si="26"/>
        <v>13</v>
      </c>
      <c r="N199" t="s">
        <v>3323</v>
      </c>
      <c r="O199" t="str">
        <f t="shared" si="28"/>
        <v>51511</v>
      </c>
      <c r="P199" t="str">
        <f>"2100L"</f>
        <v>2100L</v>
      </c>
      <c r="Q199" t="str">
        <f t="shared" si="27"/>
        <v>0101</v>
      </c>
      <c r="R199">
        <v>2100</v>
      </c>
      <c r="S199" t="str">
        <f t="shared" si="29"/>
        <v>5150</v>
      </c>
      <c r="T199" t="s">
        <v>3354</v>
      </c>
      <c r="U199" t="s">
        <v>17</v>
      </c>
    </row>
    <row r="200" spans="1:21" ht="15" customHeight="1" x14ac:dyDescent="0.3">
      <c r="A200" t="s">
        <v>179</v>
      </c>
      <c r="B200" t="str">
        <f>"00074152"</f>
        <v>00074152</v>
      </c>
      <c r="C200" t="s">
        <v>4262</v>
      </c>
      <c r="D200" t="s">
        <v>3363</v>
      </c>
      <c r="E200" t="str">
        <f>"00065750"</f>
        <v>00065750</v>
      </c>
      <c r="F200">
        <v>0</v>
      </c>
      <c r="G200" s="243">
        <v>40755</v>
      </c>
      <c r="H200" t="s">
        <v>182</v>
      </c>
      <c r="I200">
        <v>15</v>
      </c>
      <c r="J200">
        <v>6</v>
      </c>
      <c r="K200">
        <v>1</v>
      </c>
      <c r="L200">
        <v>66078</v>
      </c>
      <c r="M200" t="str">
        <f t="shared" si="26"/>
        <v>13</v>
      </c>
      <c r="N200" t="s">
        <v>3323</v>
      </c>
      <c r="O200" t="str">
        <f t="shared" si="28"/>
        <v>51511</v>
      </c>
      <c r="P200" t="str">
        <f>"2100L"</f>
        <v>2100L</v>
      </c>
      <c r="Q200" t="str">
        <f t="shared" si="27"/>
        <v>0101</v>
      </c>
      <c r="R200">
        <v>2100</v>
      </c>
      <c r="S200" t="str">
        <f t="shared" si="29"/>
        <v>5150</v>
      </c>
      <c r="T200" t="s">
        <v>3354</v>
      </c>
      <c r="U200" t="s">
        <v>17</v>
      </c>
    </row>
    <row r="201" spans="1:21" ht="15" customHeight="1" x14ac:dyDescent="0.3">
      <c r="A201" t="s">
        <v>179</v>
      </c>
      <c r="B201" t="str">
        <f>"00074153"</f>
        <v>00074153</v>
      </c>
      <c r="C201" t="s">
        <v>4259</v>
      </c>
      <c r="D201" t="s">
        <v>3355</v>
      </c>
      <c r="E201" t="str">
        <f>"00066447"</f>
        <v>00066447</v>
      </c>
      <c r="F201">
        <v>0</v>
      </c>
      <c r="G201" s="243">
        <v>40755</v>
      </c>
      <c r="H201" t="s">
        <v>182</v>
      </c>
      <c r="I201">
        <v>15</v>
      </c>
      <c r="J201">
        <v>11</v>
      </c>
      <c r="K201">
        <v>1</v>
      </c>
      <c r="L201">
        <v>86236</v>
      </c>
      <c r="M201" t="str">
        <f t="shared" si="26"/>
        <v>13</v>
      </c>
      <c r="N201" t="s">
        <v>3323</v>
      </c>
      <c r="O201" t="str">
        <f t="shared" si="28"/>
        <v>51511</v>
      </c>
      <c r="P201" t="str">
        <f>"2100L"</f>
        <v>2100L</v>
      </c>
      <c r="Q201" t="str">
        <f t="shared" si="27"/>
        <v>0101</v>
      </c>
      <c r="R201">
        <v>2100</v>
      </c>
      <c r="S201" t="str">
        <f t="shared" si="29"/>
        <v>5150</v>
      </c>
      <c r="T201" t="s">
        <v>3354</v>
      </c>
      <c r="U201" t="s">
        <v>17</v>
      </c>
    </row>
    <row r="202" spans="1:21" ht="15" customHeight="1" x14ac:dyDescent="0.3">
      <c r="A202" t="s">
        <v>179</v>
      </c>
      <c r="B202" t="str">
        <f>"00074154"</f>
        <v>00074154</v>
      </c>
      <c r="C202" t="s">
        <v>4290</v>
      </c>
      <c r="D202" t="s">
        <v>4362</v>
      </c>
      <c r="E202" t="str">
        <f>"00053788"</f>
        <v>00053788</v>
      </c>
      <c r="F202">
        <v>0</v>
      </c>
      <c r="G202" s="243">
        <v>37138</v>
      </c>
      <c r="H202" t="s">
        <v>182</v>
      </c>
      <c r="I202">
        <v>4</v>
      </c>
      <c r="J202">
        <v>7</v>
      </c>
      <c r="K202">
        <v>0.71</v>
      </c>
      <c r="L202">
        <v>26633.25</v>
      </c>
      <c r="M202" t="str">
        <f t="shared" si="26"/>
        <v>13</v>
      </c>
      <c r="N202" t="s">
        <v>3323</v>
      </c>
      <c r="O202" t="str">
        <f t="shared" si="28"/>
        <v>51511</v>
      </c>
      <c r="P202" t="str">
        <f>"3030L"</f>
        <v>3030L</v>
      </c>
      <c r="Q202" t="str">
        <f t="shared" si="27"/>
        <v>0101</v>
      </c>
      <c r="R202">
        <v>3030</v>
      </c>
      <c r="S202" t="str">
        <f t="shared" si="29"/>
        <v>5150</v>
      </c>
      <c r="T202" t="s">
        <v>3354</v>
      </c>
      <c r="U202" t="s">
        <v>17</v>
      </c>
    </row>
    <row r="203" spans="1:21" ht="15" customHeight="1" x14ac:dyDescent="0.3">
      <c r="A203" t="s">
        <v>179</v>
      </c>
      <c r="B203" t="str">
        <f>"00074155"</f>
        <v>00074155</v>
      </c>
      <c r="C203" t="s">
        <v>4290</v>
      </c>
      <c r="D203" t="s">
        <v>4363</v>
      </c>
      <c r="E203" t="str">
        <f>"00063099"</f>
        <v>00063099</v>
      </c>
      <c r="F203">
        <v>0</v>
      </c>
      <c r="G203" s="243">
        <v>40406</v>
      </c>
      <c r="H203" t="s">
        <v>182</v>
      </c>
      <c r="I203">
        <v>4</v>
      </c>
      <c r="J203">
        <v>6</v>
      </c>
      <c r="K203">
        <v>0.71</v>
      </c>
      <c r="L203">
        <v>25935.88</v>
      </c>
      <c r="M203" t="str">
        <f t="shared" si="26"/>
        <v>13</v>
      </c>
      <c r="N203" t="s">
        <v>3323</v>
      </c>
      <c r="O203" t="str">
        <f t="shared" si="28"/>
        <v>51511</v>
      </c>
      <c r="P203" t="str">
        <f>"3030L"</f>
        <v>3030L</v>
      </c>
      <c r="Q203" t="str">
        <f t="shared" si="27"/>
        <v>0101</v>
      </c>
      <c r="R203">
        <v>3030</v>
      </c>
      <c r="S203" t="str">
        <f t="shared" si="29"/>
        <v>5150</v>
      </c>
      <c r="T203" t="s">
        <v>3354</v>
      </c>
      <c r="U203" t="s">
        <v>17</v>
      </c>
    </row>
    <row r="204" spans="1:21" ht="15" customHeight="1" x14ac:dyDescent="0.3">
      <c r="A204" t="s">
        <v>179</v>
      </c>
      <c r="B204" t="str">
        <f>"00074156"</f>
        <v>00074156</v>
      </c>
      <c r="C204" t="s">
        <v>4290</v>
      </c>
      <c r="D204" t="s">
        <v>4364</v>
      </c>
      <c r="E204" t="str">
        <f>"00058484"</f>
        <v>00058484</v>
      </c>
      <c r="F204">
        <v>0</v>
      </c>
      <c r="G204" s="243">
        <v>40770</v>
      </c>
      <c r="H204" t="s">
        <v>182</v>
      </c>
      <c r="I204">
        <v>4</v>
      </c>
      <c r="J204">
        <v>8</v>
      </c>
      <c r="K204">
        <v>0.71</v>
      </c>
      <c r="L204">
        <v>27329.75</v>
      </c>
      <c r="M204" t="str">
        <f t="shared" si="26"/>
        <v>13</v>
      </c>
      <c r="N204" t="s">
        <v>3323</v>
      </c>
      <c r="O204" t="str">
        <f t="shared" si="28"/>
        <v>51511</v>
      </c>
      <c r="P204" t="str">
        <f>"3030L"</f>
        <v>3030L</v>
      </c>
      <c r="Q204" t="str">
        <f t="shared" si="27"/>
        <v>0101</v>
      </c>
      <c r="R204">
        <v>3030</v>
      </c>
      <c r="S204" t="str">
        <f t="shared" si="29"/>
        <v>5150</v>
      </c>
      <c r="T204" t="s">
        <v>3354</v>
      </c>
      <c r="U204" t="s">
        <v>17</v>
      </c>
    </row>
    <row r="205" spans="1:21" ht="15" customHeight="1" x14ac:dyDescent="0.3">
      <c r="A205" t="s">
        <v>179</v>
      </c>
      <c r="B205" t="str">
        <f>"00074157"</f>
        <v>00074157</v>
      </c>
      <c r="C205" t="s">
        <v>4274</v>
      </c>
      <c r="D205" t="s">
        <v>4365</v>
      </c>
      <c r="E205" t="str">
        <f>"00046726"</f>
        <v>00046726</v>
      </c>
      <c r="F205">
        <v>0</v>
      </c>
      <c r="G205" s="243">
        <v>40770</v>
      </c>
      <c r="H205" t="s">
        <v>182</v>
      </c>
      <c r="I205">
        <v>4</v>
      </c>
      <c r="J205">
        <v>4</v>
      </c>
      <c r="K205">
        <v>0.71</v>
      </c>
      <c r="L205">
        <v>24543.75</v>
      </c>
      <c r="M205" t="str">
        <f t="shared" si="26"/>
        <v>13</v>
      </c>
      <c r="N205" t="s">
        <v>3323</v>
      </c>
      <c r="O205" t="str">
        <f t="shared" si="28"/>
        <v>51511</v>
      </c>
      <c r="P205" t="str">
        <f>"2200L"</f>
        <v>2200L</v>
      </c>
      <c r="Q205" t="str">
        <f t="shared" si="27"/>
        <v>0101</v>
      </c>
      <c r="R205">
        <v>2200</v>
      </c>
      <c r="S205" t="str">
        <f t="shared" si="29"/>
        <v>5150</v>
      </c>
      <c r="T205" t="s">
        <v>3354</v>
      </c>
      <c r="U205" t="s">
        <v>17</v>
      </c>
    </row>
    <row r="206" spans="1:21" ht="15" customHeight="1" x14ac:dyDescent="0.3">
      <c r="A206" t="s">
        <v>179</v>
      </c>
      <c r="B206" t="str">
        <f>"00074158"</f>
        <v>00074158</v>
      </c>
      <c r="C206" t="s">
        <v>4290</v>
      </c>
      <c r="D206" t="s">
        <v>4366</v>
      </c>
      <c r="E206" t="str">
        <f>"00066693"</f>
        <v>00066693</v>
      </c>
      <c r="F206">
        <v>0</v>
      </c>
      <c r="G206" s="243">
        <v>40770</v>
      </c>
      <c r="H206" t="s">
        <v>182</v>
      </c>
      <c r="I206">
        <v>4</v>
      </c>
      <c r="J206">
        <v>8</v>
      </c>
      <c r="K206">
        <v>0.71</v>
      </c>
      <c r="L206">
        <v>27329.75</v>
      </c>
      <c r="M206" t="str">
        <f t="shared" si="26"/>
        <v>13</v>
      </c>
      <c r="N206" t="s">
        <v>3323</v>
      </c>
      <c r="O206" t="str">
        <f t="shared" si="28"/>
        <v>51511</v>
      </c>
      <c r="P206" t="str">
        <f>"2200L"</f>
        <v>2200L</v>
      </c>
      <c r="Q206" t="str">
        <f t="shared" si="27"/>
        <v>0101</v>
      </c>
      <c r="R206">
        <v>2200</v>
      </c>
      <c r="S206" t="str">
        <f t="shared" si="29"/>
        <v>5150</v>
      </c>
      <c r="T206" t="s">
        <v>3354</v>
      </c>
      <c r="U206" t="s">
        <v>17</v>
      </c>
    </row>
    <row r="207" spans="1:21" ht="15" customHeight="1" x14ac:dyDescent="0.3">
      <c r="A207" t="s">
        <v>179</v>
      </c>
      <c r="B207" t="str">
        <f>"00075924"</f>
        <v>00075924</v>
      </c>
      <c r="C207" t="s">
        <v>4367</v>
      </c>
      <c r="D207" t="s">
        <v>4244</v>
      </c>
      <c r="E207" t="str">
        <f>"00049582"</f>
        <v>00049582</v>
      </c>
      <c r="F207">
        <v>0</v>
      </c>
      <c r="G207" s="243">
        <v>40770</v>
      </c>
      <c r="H207" t="s">
        <v>182</v>
      </c>
      <c r="I207">
        <v>9</v>
      </c>
      <c r="J207">
        <v>2</v>
      </c>
      <c r="K207">
        <v>1</v>
      </c>
      <c r="L207">
        <v>37949</v>
      </c>
      <c r="M207" t="str">
        <f t="shared" si="26"/>
        <v>13</v>
      </c>
      <c r="N207" t="s">
        <v>3370</v>
      </c>
      <c r="O207" t="str">
        <f t="shared" si="28"/>
        <v>51511</v>
      </c>
      <c r="P207" t="str">
        <f t="shared" ref="P207:P217" si="30">"2100L"</f>
        <v>2100L</v>
      </c>
      <c r="Q207" t="str">
        <f t="shared" si="27"/>
        <v>0101</v>
      </c>
      <c r="R207">
        <v>2100</v>
      </c>
      <c r="S207" t="str">
        <f t="shared" si="29"/>
        <v>5150</v>
      </c>
      <c r="T207" t="s">
        <v>3354</v>
      </c>
      <c r="U207" t="s">
        <v>17</v>
      </c>
    </row>
    <row r="208" spans="1:21" ht="15" customHeight="1" x14ac:dyDescent="0.3">
      <c r="A208" t="s">
        <v>179</v>
      </c>
      <c r="B208" t="str">
        <f>"00075925"</f>
        <v>00075925</v>
      </c>
      <c r="C208" t="s">
        <v>4262</v>
      </c>
      <c r="D208" t="s">
        <v>4368</v>
      </c>
      <c r="E208" t="str">
        <f>"00069005"</f>
        <v>00069005</v>
      </c>
      <c r="F208">
        <v>0</v>
      </c>
      <c r="G208" s="243">
        <v>41078</v>
      </c>
      <c r="H208" t="s">
        <v>182</v>
      </c>
      <c r="I208">
        <v>15</v>
      </c>
      <c r="J208">
        <v>1</v>
      </c>
      <c r="K208">
        <v>1</v>
      </c>
      <c r="L208">
        <v>54975</v>
      </c>
      <c r="M208" t="str">
        <f t="shared" si="26"/>
        <v>13</v>
      </c>
      <c r="N208" t="s">
        <v>3323</v>
      </c>
      <c r="O208" t="str">
        <f t="shared" si="28"/>
        <v>51511</v>
      </c>
      <c r="P208" t="str">
        <f t="shared" si="30"/>
        <v>2100L</v>
      </c>
      <c r="Q208" t="str">
        <f t="shared" si="27"/>
        <v>0101</v>
      </c>
      <c r="R208">
        <v>2100</v>
      </c>
      <c r="S208" t="str">
        <f t="shared" si="29"/>
        <v>5150</v>
      </c>
      <c r="T208" t="s">
        <v>3354</v>
      </c>
      <c r="U208" t="s">
        <v>17</v>
      </c>
    </row>
    <row r="209" spans="1:21" ht="15" customHeight="1" x14ac:dyDescent="0.3">
      <c r="A209" t="s">
        <v>179</v>
      </c>
      <c r="B209" t="str">
        <f>"00075926"</f>
        <v>00075926</v>
      </c>
      <c r="C209" t="s">
        <v>4262</v>
      </c>
      <c r="D209" t="s">
        <v>4369</v>
      </c>
      <c r="E209" t="str">
        <f>"00069844"</f>
        <v>00069844</v>
      </c>
      <c r="F209">
        <v>0</v>
      </c>
      <c r="G209" s="243">
        <v>41133</v>
      </c>
      <c r="H209" t="s">
        <v>182</v>
      </c>
      <c r="I209">
        <v>15</v>
      </c>
      <c r="J209">
        <v>5</v>
      </c>
      <c r="K209">
        <v>1</v>
      </c>
      <c r="L209">
        <v>63611</v>
      </c>
      <c r="M209" t="str">
        <f t="shared" si="26"/>
        <v>13</v>
      </c>
      <c r="N209" t="s">
        <v>3370</v>
      </c>
      <c r="O209" t="str">
        <f t="shared" si="28"/>
        <v>51511</v>
      </c>
      <c r="P209" t="str">
        <f t="shared" si="30"/>
        <v>2100L</v>
      </c>
      <c r="Q209" t="str">
        <f t="shared" si="27"/>
        <v>0101</v>
      </c>
      <c r="R209">
        <v>2100</v>
      </c>
      <c r="S209" t="str">
        <f t="shared" si="29"/>
        <v>5150</v>
      </c>
      <c r="T209" t="s">
        <v>3354</v>
      </c>
      <c r="U209" t="s">
        <v>17</v>
      </c>
    </row>
    <row r="210" spans="1:21" ht="15" customHeight="1" x14ac:dyDescent="0.3">
      <c r="A210" t="s">
        <v>179</v>
      </c>
      <c r="B210" t="str">
        <f>"00075927"</f>
        <v>00075927</v>
      </c>
      <c r="C210" t="s">
        <v>4262</v>
      </c>
      <c r="D210" t="s">
        <v>4370</v>
      </c>
      <c r="E210" t="str">
        <f>"00048067"</f>
        <v>00048067</v>
      </c>
      <c r="F210">
        <v>0</v>
      </c>
      <c r="G210" s="243">
        <v>41133</v>
      </c>
      <c r="H210" t="s">
        <v>182</v>
      </c>
      <c r="I210">
        <v>15</v>
      </c>
      <c r="J210">
        <v>10</v>
      </c>
      <c r="K210">
        <v>1</v>
      </c>
      <c r="L210">
        <v>78273</v>
      </c>
      <c r="M210" t="str">
        <f t="shared" si="26"/>
        <v>13</v>
      </c>
      <c r="N210" t="s">
        <v>3323</v>
      </c>
      <c r="O210" t="str">
        <f t="shared" si="28"/>
        <v>51511</v>
      </c>
      <c r="P210" t="str">
        <f t="shared" si="30"/>
        <v>2100L</v>
      </c>
      <c r="Q210" t="str">
        <f t="shared" si="27"/>
        <v>0101</v>
      </c>
      <c r="R210">
        <v>2100</v>
      </c>
      <c r="S210" t="str">
        <f t="shared" si="29"/>
        <v>5150</v>
      </c>
      <c r="T210" t="s">
        <v>3354</v>
      </c>
      <c r="U210" t="s">
        <v>17</v>
      </c>
    </row>
    <row r="211" spans="1:21" ht="15" customHeight="1" x14ac:dyDescent="0.3">
      <c r="A211" t="s">
        <v>179</v>
      </c>
      <c r="B211" t="str">
        <f>"00075928"</f>
        <v>00075928</v>
      </c>
      <c r="C211" t="s">
        <v>4271</v>
      </c>
      <c r="H211" t="s">
        <v>170</v>
      </c>
      <c r="I211">
        <v>15</v>
      </c>
      <c r="J211">
        <v>0</v>
      </c>
      <c r="K211">
        <v>0.5</v>
      </c>
      <c r="L211">
        <v>51539</v>
      </c>
      <c r="M211" t="str">
        <f t="shared" si="26"/>
        <v>13</v>
      </c>
      <c r="N211" t="s">
        <v>3323</v>
      </c>
      <c r="O211" t="str">
        <f t="shared" si="28"/>
        <v>51511</v>
      </c>
      <c r="P211" t="str">
        <f t="shared" si="30"/>
        <v>2100L</v>
      </c>
      <c r="Q211" t="str">
        <f t="shared" si="27"/>
        <v>0101</v>
      </c>
      <c r="R211">
        <v>2100</v>
      </c>
      <c r="S211" t="str">
        <f t="shared" si="29"/>
        <v>5150</v>
      </c>
      <c r="T211" t="s">
        <v>3354</v>
      </c>
      <c r="U211" t="s">
        <v>17</v>
      </c>
    </row>
    <row r="212" spans="1:21" ht="15" customHeight="1" x14ac:dyDescent="0.3">
      <c r="A212" t="s">
        <v>179</v>
      </c>
      <c r="B212" t="str">
        <f>"00075929"</f>
        <v>00075929</v>
      </c>
      <c r="C212" t="s">
        <v>4262</v>
      </c>
      <c r="D212" t="s">
        <v>1717</v>
      </c>
      <c r="E212" t="str">
        <f>"00044489"</f>
        <v>00044489</v>
      </c>
      <c r="F212">
        <v>0</v>
      </c>
      <c r="G212" s="243">
        <v>38951</v>
      </c>
      <c r="H212" t="s">
        <v>182</v>
      </c>
      <c r="I212">
        <v>15</v>
      </c>
      <c r="J212">
        <v>11</v>
      </c>
      <c r="K212">
        <v>1</v>
      </c>
      <c r="L212">
        <v>70891</v>
      </c>
      <c r="M212" t="str">
        <f t="shared" si="26"/>
        <v>13</v>
      </c>
      <c r="N212" t="s">
        <v>3370</v>
      </c>
      <c r="O212" t="str">
        <f t="shared" si="28"/>
        <v>51511</v>
      </c>
      <c r="P212" t="str">
        <f t="shared" si="30"/>
        <v>2100L</v>
      </c>
      <c r="Q212" t="str">
        <f t="shared" si="27"/>
        <v>0101</v>
      </c>
      <c r="R212">
        <v>2100</v>
      </c>
      <c r="S212" t="str">
        <f t="shared" si="29"/>
        <v>5150</v>
      </c>
      <c r="T212" t="s">
        <v>3354</v>
      </c>
      <c r="U212" t="s">
        <v>17</v>
      </c>
    </row>
    <row r="213" spans="1:21" ht="15" customHeight="1" x14ac:dyDescent="0.3">
      <c r="A213" t="s">
        <v>179</v>
      </c>
      <c r="B213" t="str">
        <f>"00075930"</f>
        <v>00075930</v>
      </c>
      <c r="C213" t="s">
        <v>4262</v>
      </c>
      <c r="D213" t="s">
        <v>4371</v>
      </c>
      <c r="E213" t="str">
        <f>"00055114"</f>
        <v>00055114</v>
      </c>
      <c r="F213">
        <v>0</v>
      </c>
      <c r="G213" s="243">
        <v>41133</v>
      </c>
      <c r="H213" t="s">
        <v>182</v>
      </c>
      <c r="I213">
        <v>15</v>
      </c>
      <c r="J213">
        <v>10</v>
      </c>
      <c r="K213">
        <v>1</v>
      </c>
      <c r="L213">
        <v>78273</v>
      </c>
      <c r="M213" t="str">
        <f t="shared" si="26"/>
        <v>13</v>
      </c>
      <c r="N213" t="s">
        <v>3370</v>
      </c>
      <c r="O213" t="str">
        <f t="shared" si="28"/>
        <v>51511</v>
      </c>
      <c r="P213" t="str">
        <f t="shared" si="30"/>
        <v>2100L</v>
      </c>
      <c r="Q213" t="str">
        <f t="shared" si="27"/>
        <v>0101</v>
      </c>
      <c r="R213">
        <v>2100</v>
      </c>
      <c r="S213" t="str">
        <f t="shared" si="29"/>
        <v>5150</v>
      </c>
      <c r="T213" t="s">
        <v>3354</v>
      </c>
      <c r="U213" t="s">
        <v>17</v>
      </c>
    </row>
    <row r="214" spans="1:21" ht="15" customHeight="1" x14ac:dyDescent="0.3">
      <c r="A214" t="s">
        <v>179</v>
      </c>
      <c r="B214" t="str">
        <f>"00075931"</f>
        <v>00075931</v>
      </c>
      <c r="C214" t="s">
        <v>4262</v>
      </c>
      <c r="D214" t="s">
        <v>531</v>
      </c>
      <c r="E214" t="str">
        <f>"00051973"</f>
        <v>00051973</v>
      </c>
      <c r="F214">
        <v>0</v>
      </c>
      <c r="G214" s="243">
        <v>32756</v>
      </c>
      <c r="H214" t="s">
        <v>182</v>
      </c>
      <c r="I214">
        <v>15</v>
      </c>
      <c r="J214">
        <v>16</v>
      </c>
      <c r="K214">
        <v>1</v>
      </c>
      <c r="L214">
        <v>106540</v>
      </c>
      <c r="M214" t="str">
        <f t="shared" si="26"/>
        <v>13</v>
      </c>
      <c r="N214" t="s">
        <v>3370</v>
      </c>
      <c r="O214" t="str">
        <f t="shared" si="28"/>
        <v>51511</v>
      </c>
      <c r="P214" t="str">
        <f t="shared" si="30"/>
        <v>2100L</v>
      </c>
      <c r="Q214" t="str">
        <f t="shared" si="27"/>
        <v>0101</v>
      </c>
      <c r="R214">
        <v>2100</v>
      </c>
      <c r="S214" t="str">
        <f t="shared" si="29"/>
        <v>5150</v>
      </c>
      <c r="T214" t="s">
        <v>3354</v>
      </c>
      <c r="U214" t="s">
        <v>17</v>
      </c>
    </row>
    <row r="215" spans="1:21" ht="15" customHeight="1" x14ac:dyDescent="0.3">
      <c r="A215" t="s">
        <v>179</v>
      </c>
      <c r="B215" t="str">
        <f>"00075932"</f>
        <v>00075932</v>
      </c>
      <c r="C215" t="s">
        <v>4262</v>
      </c>
      <c r="D215" t="s">
        <v>3433</v>
      </c>
      <c r="E215" t="str">
        <f>"00065650"</f>
        <v>00065650</v>
      </c>
      <c r="F215">
        <v>0</v>
      </c>
      <c r="G215" s="243">
        <v>40755</v>
      </c>
      <c r="H215" t="s">
        <v>182</v>
      </c>
      <c r="I215">
        <v>15</v>
      </c>
      <c r="J215">
        <v>6</v>
      </c>
      <c r="K215">
        <v>1</v>
      </c>
      <c r="L215">
        <v>68537</v>
      </c>
      <c r="M215" t="str">
        <f t="shared" si="26"/>
        <v>13</v>
      </c>
      <c r="N215" t="s">
        <v>3323</v>
      </c>
      <c r="O215" t="str">
        <f t="shared" si="28"/>
        <v>51511</v>
      </c>
      <c r="P215" t="str">
        <f t="shared" si="30"/>
        <v>2100L</v>
      </c>
      <c r="Q215" t="str">
        <f t="shared" si="27"/>
        <v>0101</v>
      </c>
      <c r="R215">
        <v>2100</v>
      </c>
      <c r="S215" t="str">
        <f t="shared" si="29"/>
        <v>5150</v>
      </c>
      <c r="T215" t="s">
        <v>3354</v>
      </c>
      <c r="U215" t="s">
        <v>17</v>
      </c>
    </row>
    <row r="216" spans="1:21" ht="15" customHeight="1" x14ac:dyDescent="0.3">
      <c r="A216" t="s">
        <v>179</v>
      </c>
      <c r="B216" t="str">
        <f>"00076659"</f>
        <v>00076659</v>
      </c>
      <c r="C216" t="s">
        <v>4372</v>
      </c>
      <c r="D216" t="s">
        <v>4373</v>
      </c>
      <c r="E216" t="str">
        <f>"00044976"</f>
        <v>00044976</v>
      </c>
      <c r="F216">
        <v>0</v>
      </c>
      <c r="G216" s="243">
        <v>40056</v>
      </c>
      <c r="H216" t="s">
        <v>182</v>
      </c>
      <c r="I216">
        <v>4</v>
      </c>
      <c r="J216">
        <v>7</v>
      </c>
      <c r="K216">
        <v>1</v>
      </c>
      <c r="L216">
        <v>30438</v>
      </c>
      <c r="M216" t="str">
        <f t="shared" si="26"/>
        <v>13</v>
      </c>
      <c r="N216" t="s">
        <v>3370</v>
      </c>
      <c r="O216" t="str">
        <f t="shared" si="28"/>
        <v>51511</v>
      </c>
      <c r="P216" t="str">
        <f t="shared" si="30"/>
        <v>2100L</v>
      </c>
      <c r="Q216" t="str">
        <f t="shared" si="27"/>
        <v>0101</v>
      </c>
      <c r="R216">
        <v>2100</v>
      </c>
      <c r="S216" t="str">
        <f t="shared" si="29"/>
        <v>5150</v>
      </c>
      <c r="T216" t="s">
        <v>3354</v>
      </c>
      <c r="U216" t="s">
        <v>17</v>
      </c>
    </row>
    <row r="217" spans="1:21" ht="15" customHeight="1" x14ac:dyDescent="0.3">
      <c r="A217" t="s">
        <v>179</v>
      </c>
      <c r="B217" t="str">
        <f>"00076834"</f>
        <v>00076834</v>
      </c>
      <c r="C217" t="s">
        <v>4262</v>
      </c>
      <c r="D217" t="s">
        <v>4374</v>
      </c>
      <c r="E217" t="str">
        <f>"00070358"</f>
        <v>00070358</v>
      </c>
      <c r="F217">
        <v>0</v>
      </c>
      <c r="G217" s="243">
        <v>41147</v>
      </c>
      <c r="H217" t="s">
        <v>182</v>
      </c>
      <c r="I217">
        <v>15</v>
      </c>
      <c r="J217">
        <v>2</v>
      </c>
      <c r="K217">
        <v>1</v>
      </c>
      <c r="L217">
        <v>54099</v>
      </c>
      <c r="M217" t="str">
        <f t="shared" si="26"/>
        <v>13</v>
      </c>
      <c r="N217" t="s">
        <v>3370</v>
      </c>
      <c r="O217" t="str">
        <f t="shared" si="28"/>
        <v>51511</v>
      </c>
      <c r="P217" t="str">
        <f t="shared" si="30"/>
        <v>2100L</v>
      </c>
      <c r="Q217" t="str">
        <f t="shared" si="27"/>
        <v>0101</v>
      </c>
      <c r="R217">
        <v>2100</v>
      </c>
      <c r="S217" t="str">
        <f t="shared" si="29"/>
        <v>5150</v>
      </c>
      <c r="T217" t="s">
        <v>3354</v>
      </c>
      <c r="U217" t="s">
        <v>17</v>
      </c>
    </row>
    <row r="218" spans="1:21" ht="15" customHeight="1" x14ac:dyDescent="0.3">
      <c r="A218" t="s">
        <v>179</v>
      </c>
      <c r="B218" t="str">
        <f>"00051587"</f>
        <v>00051587</v>
      </c>
      <c r="C218" t="s">
        <v>3798</v>
      </c>
      <c r="D218" t="s">
        <v>441</v>
      </c>
      <c r="E218" t="str">
        <f>"00044998"</f>
        <v>00044998</v>
      </c>
      <c r="F218">
        <v>0</v>
      </c>
      <c r="G218" s="243">
        <v>33484</v>
      </c>
      <c r="H218" t="s">
        <v>182</v>
      </c>
      <c r="I218">
        <v>61</v>
      </c>
      <c r="J218">
        <v>6</v>
      </c>
      <c r="K218">
        <v>1</v>
      </c>
      <c r="L218">
        <v>125000</v>
      </c>
      <c r="M218" t="str">
        <f t="shared" si="26"/>
        <v>13</v>
      </c>
      <c r="N218" t="s">
        <v>3323</v>
      </c>
      <c r="O218" t="str">
        <f t="shared" ref="O218:O245" si="31">"51611"</f>
        <v>51611</v>
      </c>
      <c r="P218" t="str">
        <f>"1501L"</f>
        <v>1501L</v>
      </c>
      <c r="Q218" t="str">
        <f t="shared" si="27"/>
        <v>0101</v>
      </c>
      <c r="R218">
        <v>1501</v>
      </c>
      <c r="S218" t="str">
        <f t="shared" ref="S218:S245" si="32">"5160"</f>
        <v>5160</v>
      </c>
      <c r="T218" t="s">
        <v>3369</v>
      </c>
      <c r="U218" t="s">
        <v>18</v>
      </c>
    </row>
    <row r="219" spans="1:21" ht="15" customHeight="1" x14ac:dyDescent="0.3">
      <c r="A219" t="s">
        <v>179</v>
      </c>
      <c r="B219" t="str">
        <f>"00051845"</f>
        <v>00051845</v>
      </c>
      <c r="C219" t="s">
        <v>4272</v>
      </c>
      <c r="D219" t="s">
        <v>3377</v>
      </c>
      <c r="E219" t="str">
        <f>"00046225"</f>
        <v>00046225</v>
      </c>
      <c r="F219">
        <v>0</v>
      </c>
      <c r="G219" s="243">
        <v>35305</v>
      </c>
      <c r="H219" t="s">
        <v>182</v>
      </c>
      <c r="I219">
        <v>15</v>
      </c>
      <c r="J219">
        <v>14</v>
      </c>
      <c r="K219">
        <v>1</v>
      </c>
      <c r="L219">
        <v>98967</v>
      </c>
      <c r="M219" t="str">
        <f t="shared" si="26"/>
        <v>13</v>
      </c>
      <c r="N219" t="s">
        <v>3323</v>
      </c>
      <c r="O219" t="str">
        <f t="shared" si="31"/>
        <v>51611</v>
      </c>
      <c r="P219" t="str">
        <f>"2200L"</f>
        <v>2200L</v>
      </c>
      <c r="Q219" t="str">
        <f t="shared" si="27"/>
        <v>0101</v>
      </c>
      <c r="R219">
        <v>2200</v>
      </c>
      <c r="S219" t="str">
        <f t="shared" si="32"/>
        <v>5160</v>
      </c>
      <c r="T219" t="s">
        <v>3369</v>
      </c>
      <c r="U219" t="s">
        <v>18</v>
      </c>
    </row>
    <row r="220" spans="1:21" ht="15" customHeight="1" x14ac:dyDescent="0.3">
      <c r="A220" t="s">
        <v>179</v>
      </c>
      <c r="B220" t="str">
        <f>"00052362"</f>
        <v>00052362</v>
      </c>
      <c r="C220" t="s">
        <v>4262</v>
      </c>
      <c r="D220" t="s">
        <v>3375</v>
      </c>
      <c r="E220" t="str">
        <f>"00065740"</f>
        <v>00065740</v>
      </c>
      <c r="F220">
        <v>0</v>
      </c>
      <c r="G220" s="243">
        <v>40755</v>
      </c>
      <c r="H220" t="s">
        <v>182</v>
      </c>
      <c r="I220">
        <v>15</v>
      </c>
      <c r="J220">
        <v>11</v>
      </c>
      <c r="K220">
        <v>1</v>
      </c>
      <c r="L220">
        <v>83774</v>
      </c>
      <c r="M220" t="str">
        <f t="shared" si="26"/>
        <v>13</v>
      </c>
      <c r="N220" t="s">
        <v>3323</v>
      </c>
      <c r="O220" t="str">
        <f t="shared" si="31"/>
        <v>51611</v>
      </c>
      <c r="P220" t="str">
        <f t="shared" ref="P220:P228" si="33">"2100L"</f>
        <v>2100L</v>
      </c>
      <c r="Q220" t="str">
        <f t="shared" si="27"/>
        <v>0101</v>
      </c>
      <c r="R220">
        <v>2100</v>
      </c>
      <c r="S220" t="str">
        <f t="shared" si="32"/>
        <v>5160</v>
      </c>
      <c r="T220" t="s">
        <v>3369</v>
      </c>
      <c r="U220" t="s">
        <v>18</v>
      </c>
    </row>
    <row r="221" spans="1:21" ht="15" customHeight="1" x14ac:dyDescent="0.3">
      <c r="A221" t="s">
        <v>179</v>
      </c>
      <c r="B221" t="str">
        <f>"00052471"</f>
        <v>00052471</v>
      </c>
      <c r="C221" t="s">
        <v>4272</v>
      </c>
      <c r="D221" t="s">
        <v>443</v>
      </c>
      <c r="E221" t="str">
        <f>"00049486"</f>
        <v>00049486</v>
      </c>
      <c r="F221">
        <v>0</v>
      </c>
      <c r="G221" s="243">
        <v>40406</v>
      </c>
      <c r="H221" t="s">
        <v>182</v>
      </c>
      <c r="I221">
        <v>15</v>
      </c>
      <c r="J221">
        <v>2</v>
      </c>
      <c r="K221">
        <v>1</v>
      </c>
      <c r="L221">
        <v>51716</v>
      </c>
      <c r="M221" t="str">
        <f t="shared" si="26"/>
        <v>13</v>
      </c>
      <c r="N221" t="s">
        <v>3323</v>
      </c>
      <c r="O221" t="str">
        <f t="shared" si="31"/>
        <v>51611</v>
      </c>
      <c r="P221" t="str">
        <f t="shared" si="33"/>
        <v>2100L</v>
      </c>
      <c r="Q221" t="str">
        <f t="shared" si="27"/>
        <v>0101</v>
      </c>
      <c r="R221">
        <v>2100</v>
      </c>
      <c r="S221" t="str">
        <f t="shared" si="32"/>
        <v>5160</v>
      </c>
      <c r="T221" t="s">
        <v>3369</v>
      </c>
      <c r="U221" t="s">
        <v>18</v>
      </c>
    </row>
    <row r="222" spans="1:21" ht="15" customHeight="1" x14ac:dyDescent="0.3">
      <c r="A222" t="s">
        <v>179</v>
      </c>
      <c r="B222" t="str">
        <f>"00052630"</f>
        <v>00052630</v>
      </c>
      <c r="C222" t="s">
        <v>4272</v>
      </c>
      <c r="D222" t="s">
        <v>444</v>
      </c>
      <c r="E222" t="str">
        <f>"00048733"</f>
        <v>00048733</v>
      </c>
      <c r="F222">
        <v>0</v>
      </c>
      <c r="G222" s="243">
        <v>32050</v>
      </c>
      <c r="H222" t="s">
        <v>182</v>
      </c>
      <c r="I222">
        <v>15</v>
      </c>
      <c r="J222">
        <v>16</v>
      </c>
      <c r="K222">
        <v>1</v>
      </c>
      <c r="L222">
        <v>100839</v>
      </c>
      <c r="M222" t="str">
        <f t="shared" si="26"/>
        <v>13</v>
      </c>
      <c r="N222" t="s">
        <v>3323</v>
      </c>
      <c r="O222" t="str">
        <f t="shared" si="31"/>
        <v>51611</v>
      </c>
      <c r="P222" t="str">
        <f t="shared" si="33"/>
        <v>2100L</v>
      </c>
      <c r="Q222" t="str">
        <f t="shared" si="27"/>
        <v>0101</v>
      </c>
      <c r="R222">
        <v>2100</v>
      </c>
      <c r="S222" t="str">
        <f t="shared" si="32"/>
        <v>5160</v>
      </c>
      <c r="T222" t="s">
        <v>3369</v>
      </c>
      <c r="U222" t="s">
        <v>18</v>
      </c>
    </row>
    <row r="223" spans="1:21" ht="15" customHeight="1" x14ac:dyDescent="0.3">
      <c r="A223" t="s">
        <v>179</v>
      </c>
      <c r="B223" t="str">
        <f>"00052767"</f>
        <v>00052767</v>
      </c>
      <c r="C223" t="s">
        <v>4262</v>
      </c>
      <c r="D223" t="s">
        <v>4375</v>
      </c>
      <c r="E223" t="str">
        <f>"00069949"</f>
        <v>00069949</v>
      </c>
      <c r="F223">
        <v>0</v>
      </c>
      <c r="G223" s="243">
        <v>41133</v>
      </c>
      <c r="H223" t="s">
        <v>182</v>
      </c>
      <c r="I223">
        <v>15</v>
      </c>
      <c r="J223">
        <v>1</v>
      </c>
      <c r="K223">
        <v>1</v>
      </c>
      <c r="L223">
        <v>51539</v>
      </c>
      <c r="M223" t="str">
        <f t="shared" si="26"/>
        <v>13</v>
      </c>
      <c r="N223" t="s">
        <v>3323</v>
      </c>
      <c r="O223" t="str">
        <f t="shared" si="31"/>
        <v>51611</v>
      </c>
      <c r="P223" t="str">
        <f t="shared" si="33"/>
        <v>2100L</v>
      </c>
      <c r="Q223" t="str">
        <f t="shared" si="27"/>
        <v>0101</v>
      </c>
      <c r="R223">
        <v>2100</v>
      </c>
      <c r="S223" t="str">
        <f t="shared" si="32"/>
        <v>5160</v>
      </c>
      <c r="T223" t="s">
        <v>3369</v>
      </c>
      <c r="U223" t="s">
        <v>18</v>
      </c>
    </row>
    <row r="224" spans="1:21" ht="15" customHeight="1" x14ac:dyDescent="0.3">
      <c r="A224" t="s">
        <v>179</v>
      </c>
      <c r="B224" t="str">
        <f>"00053018"</f>
        <v>00053018</v>
      </c>
      <c r="C224" t="s">
        <v>4262</v>
      </c>
      <c r="D224" t="s">
        <v>1036</v>
      </c>
      <c r="E224" t="str">
        <f>"00019584"</f>
        <v>00019584</v>
      </c>
      <c r="F224">
        <v>0</v>
      </c>
      <c r="G224" s="243">
        <v>40042</v>
      </c>
      <c r="H224" t="s">
        <v>182</v>
      </c>
      <c r="I224">
        <v>15</v>
      </c>
      <c r="J224">
        <v>4</v>
      </c>
      <c r="K224">
        <v>1</v>
      </c>
      <c r="L224">
        <v>57147</v>
      </c>
      <c r="M224" t="str">
        <f t="shared" si="26"/>
        <v>13</v>
      </c>
      <c r="N224" t="s">
        <v>3323</v>
      </c>
      <c r="O224" t="str">
        <f t="shared" si="31"/>
        <v>51611</v>
      </c>
      <c r="P224" t="str">
        <f t="shared" si="33"/>
        <v>2100L</v>
      </c>
      <c r="Q224" t="str">
        <f t="shared" si="27"/>
        <v>0101</v>
      </c>
      <c r="R224">
        <v>2100</v>
      </c>
      <c r="S224" t="str">
        <f t="shared" si="32"/>
        <v>5160</v>
      </c>
      <c r="T224" t="s">
        <v>3369</v>
      </c>
      <c r="U224" t="s">
        <v>18</v>
      </c>
    </row>
    <row r="225" spans="1:21" ht="15" customHeight="1" x14ac:dyDescent="0.3">
      <c r="A225" t="s">
        <v>179</v>
      </c>
      <c r="B225" t="str">
        <f>"00053186"</f>
        <v>00053186</v>
      </c>
      <c r="C225" t="s">
        <v>4258</v>
      </c>
      <c r="D225" t="s">
        <v>3376</v>
      </c>
      <c r="E225" t="str">
        <f>"00066403"</f>
        <v>00066403</v>
      </c>
      <c r="F225">
        <v>0</v>
      </c>
      <c r="G225" s="243">
        <v>40770</v>
      </c>
      <c r="H225" t="s">
        <v>182</v>
      </c>
      <c r="I225">
        <v>15</v>
      </c>
      <c r="J225">
        <v>1</v>
      </c>
      <c r="K225">
        <v>1</v>
      </c>
      <c r="L225">
        <v>54975</v>
      </c>
      <c r="M225" t="str">
        <f t="shared" si="26"/>
        <v>13</v>
      </c>
      <c r="N225" t="s">
        <v>3323</v>
      </c>
      <c r="O225" t="str">
        <f t="shared" si="31"/>
        <v>51611</v>
      </c>
      <c r="P225" t="str">
        <f t="shared" si="33"/>
        <v>2100L</v>
      </c>
      <c r="Q225" t="str">
        <f t="shared" si="27"/>
        <v>0101</v>
      </c>
      <c r="R225">
        <v>2100</v>
      </c>
      <c r="S225" t="str">
        <f t="shared" si="32"/>
        <v>5160</v>
      </c>
      <c r="T225" t="s">
        <v>3369</v>
      </c>
      <c r="U225" t="s">
        <v>18</v>
      </c>
    </row>
    <row r="226" spans="1:21" ht="15" customHeight="1" x14ac:dyDescent="0.3">
      <c r="A226" t="s">
        <v>179</v>
      </c>
      <c r="B226" t="str">
        <f>"00053285"</f>
        <v>00053285</v>
      </c>
      <c r="C226" t="s">
        <v>4257</v>
      </c>
      <c r="D226" t="s">
        <v>445</v>
      </c>
      <c r="E226" t="str">
        <f>"00051228"</f>
        <v>00051228</v>
      </c>
      <c r="F226">
        <v>0</v>
      </c>
      <c r="G226" s="243">
        <v>34578</v>
      </c>
      <c r="H226" t="s">
        <v>182</v>
      </c>
      <c r="I226">
        <v>15</v>
      </c>
      <c r="J226">
        <v>15</v>
      </c>
      <c r="K226">
        <v>1</v>
      </c>
      <c r="L226">
        <v>98285</v>
      </c>
      <c r="M226" t="str">
        <f t="shared" si="26"/>
        <v>13</v>
      </c>
      <c r="N226" t="s">
        <v>3323</v>
      </c>
      <c r="O226" t="str">
        <f t="shared" si="31"/>
        <v>51611</v>
      </c>
      <c r="P226" t="str">
        <f t="shared" si="33"/>
        <v>2100L</v>
      </c>
      <c r="Q226" t="str">
        <f t="shared" si="27"/>
        <v>0101</v>
      </c>
      <c r="R226">
        <v>2100</v>
      </c>
      <c r="S226" t="str">
        <f t="shared" si="32"/>
        <v>5160</v>
      </c>
      <c r="T226" t="s">
        <v>3369</v>
      </c>
      <c r="U226" t="s">
        <v>18</v>
      </c>
    </row>
    <row r="227" spans="1:21" ht="15" customHeight="1" x14ac:dyDescent="0.3">
      <c r="A227" t="s">
        <v>179</v>
      </c>
      <c r="B227" t="str">
        <f>"00053486"</f>
        <v>00053486</v>
      </c>
      <c r="C227" t="s">
        <v>4262</v>
      </c>
      <c r="D227" t="s">
        <v>446</v>
      </c>
      <c r="E227" t="str">
        <f>"00051585"</f>
        <v>00051585</v>
      </c>
      <c r="F227">
        <v>0</v>
      </c>
      <c r="G227" s="243">
        <v>34213</v>
      </c>
      <c r="H227" t="s">
        <v>182</v>
      </c>
      <c r="I227">
        <v>15</v>
      </c>
      <c r="J227">
        <v>13</v>
      </c>
      <c r="K227">
        <v>1</v>
      </c>
      <c r="L227">
        <v>86613</v>
      </c>
      <c r="M227" t="str">
        <f t="shared" si="26"/>
        <v>13</v>
      </c>
      <c r="N227" t="s">
        <v>3323</v>
      </c>
      <c r="O227" t="str">
        <f t="shared" si="31"/>
        <v>51611</v>
      </c>
      <c r="P227" t="str">
        <f t="shared" si="33"/>
        <v>2100L</v>
      </c>
      <c r="Q227" t="str">
        <f t="shared" si="27"/>
        <v>0101</v>
      </c>
      <c r="R227">
        <v>2100</v>
      </c>
      <c r="S227" t="str">
        <f t="shared" si="32"/>
        <v>5160</v>
      </c>
      <c r="T227" t="s">
        <v>3369</v>
      </c>
      <c r="U227" t="s">
        <v>18</v>
      </c>
    </row>
    <row r="228" spans="1:21" ht="15" customHeight="1" x14ac:dyDescent="0.3">
      <c r="A228" t="s">
        <v>179</v>
      </c>
      <c r="B228" t="str">
        <f>"00053500"</f>
        <v>00053500</v>
      </c>
      <c r="C228" t="s">
        <v>4262</v>
      </c>
      <c r="D228" t="s">
        <v>4376</v>
      </c>
      <c r="E228" t="str">
        <f>"00064829"</f>
        <v>00064829</v>
      </c>
      <c r="F228">
        <v>0</v>
      </c>
      <c r="G228" s="243">
        <v>40627</v>
      </c>
      <c r="H228" t="s">
        <v>182</v>
      </c>
      <c r="I228">
        <v>15</v>
      </c>
      <c r="J228">
        <v>1</v>
      </c>
      <c r="K228">
        <v>1</v>
      </c>
      <c r="L228">
        <v>51539</v>
      </c>
      <c r="M228" t="str">
        <f t="shared" si="26"/>
        <v>13</v>
      </c>
      <c r="N228" t="s">
        <v>3370</v>
      </c>
      <c r="O228" t="str">
        <f t="shared" si="31"/>
        <v>51611</v>
      </c>
      <c r="P228" t="str">
        <f t="shared" si="33"/>
        <v>2100L</v>
      </c>
      <c r="Q228" t="str">
        <f t="shared" si="27"/>
        <v>0101</v>
      </c>
      <c r="R228">
        <v>2100</v>
      </c>
      <c r="S228" t="str">
        <f t="shared" si="32"/>
        <v>5160</v>
      </c>
      <c r="T228" t="s">
        <v>3369</v>
      </c>
      <c r="U228" t="s">
        <v>18</v>
      </c>
    </row>
    <row r="229" spans="1:21" ht="15" customHeight="1" x14ac:dyDescent="0.3">
      <c r="A229" t="s">
        <v>179</v>
      </c>
      <c r="B229" t="str">
        <f>"00053526"</f>
        <v>00053526</v>
      </c>
      <c r="C229" t="s">
        <v>4260</v>
      </c>
      <c r="D229" t="s">
        <v>447</v>
      </c>
      <c r="E229" t="str">
        <f>"00051661"</f>
        <v>00051661</v>
      </c>
      <c r="F229">
        <v>0</v>
      </c>
      <c r="G229" s="243">
        <v>34213</v>
      </c>
      <c r="H229" t="s">
        <v>182</v>
      </c>
      <c r="I229">
        <v>15</v>
      </c>
      <c r="J229">
        <v>16</v>
      </c>
      <c r="K229">
        <v>1</v>
      </c>
      <c r="L229">
        <v>103347</v>
      </c>
      <c r="M229" t="str">
        <f t="shared" si="26"/>
        <v>13</v>
      </c>
      <c r="N229" t="s">
        <v>3323</v>
      </c>
      <c r="O229" t="str">
        <f t="shared" si="31"/>
        <v>51611</v>
      </c>
      <c r="P229" t="str">
        <f>"3030L"</f>
        <v>3030L</v>
      </c>
      <c r="Q229" t="str">
        <f t="shared" si="27"/>
        <v>0101</v>
      </c>
      <c r="R229">
        <v>3030</v>
      </c>
      <c r="S229" t="str">
        <f t="shared" si="32"/>
        <v>5160</v>
      </c>
      <c r="T229" t="s">
        <v>3369</v>
      </c>
      <c r="U229" t="s">
        <v>18</v>
      </c>
    </row>
    <row r="230" spans="1:21" ht="15" customHeight="1" x14ac:dyDescent="0.3">
      <c r="A230" t="s">
        <v>179</v>
      </c>
      <c r="B230" t="str">
        <f>"00053839"</f>
        <v>00053839</v>
      </c>
      <c r="C230" t="s">
        <v>4262</v>
      </c>
      <c r="D230" t="s">
        <v>442</v>
      </c>
      <c r="E230" t="str">
        <f>"00053434"</f>
        <v>00053434</v>
      </c>
      <c r="F230">
        <v>0</v>
      </c>
      <c r="G230" s="243">
        <v>31686</v>
      </c>
      <c r="H230" t="s">
        <v>182</v>
      </c>
      <c r="I230">
        <v>15</v>
      </c>
      <c r="J230">
        <v>15</v>
      </c>
      <c r="K230">
        <v>1</v>
      </c>
      <c r="L230">
        <v>98285</v>
      </c>
      <c r="M230" t="str">
        <f t="shared" si="26"/>
        <v>13</v>
      </c>
      <c r="N230" t="s">
        <v>3370</v>
      </c>
      <c r="O230" t="str">
        <f t="shared" si="31"/>
        <v>51611</v>
      </c>
      <c r="P230" t="str">
        <f>"2100L"</f>
        <v>2100L</v>
      </c>
      <c r="Q230" t="str">
        <f t="shared" si="27"/>
        <v>0101</v>
      </c>
      <c r="R230">
        <v>2100</v>
      </c>
      <c r="S230" t="str">
        <f t="shared" si="32"/>
        <v>5160</v>
      </c>
      <c r="T230" t="s">
        <v>3369</v>
      </c>
      <c r="U230" t="s">
        <v>18</v>
      </c>
    </row>
    <row r="231" spans="1:21" ht="15" customHeight="1" x14ac:dyDescent="0.3">
      <c r="A231" t="s">
        <v>179</v>
      </c>
      <c r="B231" t="str">
        <f>"00053984"</f>
        <v>00053984</v>
      </c>
      <c r="C231" t="s">
        <v>4262</v>
      </c>
      <c r="D231" t="s">
        <v>448</v>
      </c>
      <c r="E231" t="str">
        <f>"00021149"</f>
        <v>00021149</v>
      </c>
      <c r="F231">
        <v>1</v>
      </c>
      <c r="G231" s="243">
        <v>35305</v>
      </c>
      <c r="H231" t="s">
        <v>182</v>
      </c>
      <c r="I231">
        <v>15</v>
      </c>
      <c r="J231">
        <v>13</v>
      </c>
      <c r="K231">
        <v>1</v>
      </c>
      <c r="L231">
        <v>86613</v>
      </c>
      <c r="M231" t="str">
        <f t="shared" si="26"/>
        <v>13</v>
      </c>
      <c r="N231" t="s">
        <v>3323</v>
      </c>
      <c r="O231" t="str">
        <f t="shared" si="31"/>
        <v>51611</v>
      </c>
      <c r="P231" t="str">
        <f>"2100L"</f>
        <v>2100L</v>
      </c>
      <c r="Q231" t="str">
        <f t="shared" si="27"/>
        <v>0101</v>
      </c>
      <c r="R231">
        <v>2100</v>
      </c>
      <c r="S231" t="str">
        <f t="shared" si="32"/>
        <v>5160</v>
      </c>
      <c r="T231" t="s">
        <v>3369</v>
      </c>
      <c r="U231" t="s">
        <v>18</v>
      </c>
    </row>
    <row r="232" spans="1:21" ht="15" customHeight="1" x14ac:dyDescent="0.3">
      <c r="A232" t="s">
        <v>179</v>
      </c>
      <c r="B232" t="str">
        <f>"00054020"</f>
        <v>00054020</v>
      </c>
      <c r="C232" t="s">
        <v>4306</v>
      </c>
      <c r="D232" t="s">
        <v>4377</v>
      </c>
      <c r="E232" t="str">
        <f>"00052889"</f>
        <v>00052889</v>
      </c>
      <c r="F232">
        <v>0</v>
      </c>
      <c r="G232" s="243">
        <v>36091</v>
      </c>
      <c r="H232" t="s">
        <v>182</v>
      </c>
      <c r="I232">
        <v>9</v>
      </c>
      <c r="J232">
        <v>6</v>
      </c>
      <c r="K232">
        <v>1</v>
      </c>
      <c r="L232">
        <v>38478</v>
      </c>
      <c r="M232" t="str">
        <f t="shared" si="26"/>
        <v>13</v>
      </c>
      <c r="N232" t="s">
        <v>3323</v>
      </c>
      <c r="O232" t="str">
        <f t="shared" si="31"/>
        <v>51611</v>
      </c>
      <c r="P232" t="str">
        <f>"1502L"</f>
        <v>1502L</v>
      </c>
      <c r="Q232" t="str">
        <f t="shared" si="27"/>
        <v>0101</v>
      </c>
      <c r="R232">
        <v>1502</v>
      </c>
      <c r="S232" t="str">
        <f t="shared" si="32"/>
        <v>5160</v>
      </c>
      <c r="T232" t="s">
        <v>3369</v>
      </c>
      <c r="U232" t="s">
        <v>18</v>
      </c>
    </row>
    <row r="233" spans="1:21" ht="15" customHeight="1" x14ac:dyDescent="0.3">
      <c r="A233" t="s">
        <v>179</v>
      </c>
      <c r="B233" t="str">
        <f>"00054474"</f>
        <v>00054474</v>
      </c>
      <c r="C233" t="s">
        <v>4262</v>
      </c>
      <c r="D233" t="s">
        <v>3368</v>
      </c>
      <c r="E233" t="str">
        <f>"00046344"</f>
        <v>00046344</v>
      </c>
      <c r="F233">
        <v>0</v>
      </c>
      <c r="G233" s="243">
        <v>36761</v>
      </c>
      <c r="H233" t="s">
        <v>182</v>
      </c>
      <c r="I233">
        <v>15</v>
      </c>
      <c r="J233">
        <v>12</v>
      </c>
      <c r="K233">
        <v>1</v>
      </c>
      <c r="L233">
        <v>87431</v>
      </c>
      <c r="M233" t="str">
        <f t="shared" si="26"/>
        <v>13</v>
      </c>
      <c r="N233" t="s">
        <v>3370</v>
      </c>
      <c r="O233" t="str">
        <f t="shared" si="31"/>
        <v>51611</v>
      </c>
      <c r="P233" t="str">
        <f>"2100L"</f>
        <v>2100L</v>
      </c>
      <c r="Q233" t="str">
        <f t="shared" si="27"/>
        <v>0101</v>
      </c>
      <c r="R233">
        <v>2100</v>
      </c>
      <c r="S233" t="str">
        <f t="shared" si="32"/>
        <v>5160</v>
      </c>
      <c r="T233" t="s">
        <v>3369</v>
      </c>
      <c r="U233" t="s">
        <v>18</v>
      </c>
    </row>
    <row r="234" spans="1:21" ht="15" customHeight="1" x14ac:dyDescent="0.3">
      <c r="A234" t="s">
        <v>179</v>
      </c>
      <c r="B234" t="str">
        <f>"00054862"</f>
        <v>00054862</v>
      </c>
      <c r="C234" t="s">
        <v>4262</v>
      </c>
      <c r="D234" t="s">
        <v>4378</v>
      </c>
      <c r="E234" t="str">
        <f>"00027120"</f>
        <v>00027120</v>
      </c>
      <c r="F234">
        <v>1</v>
      </c>
      <c r="G234" s="243">
        <v>34941</v>
      </c>
      <c r="H234" t="s">
        <v>182</v>
      </c>
      <c r="I234">
        <v>15</v>
      </c>
      <c r="J234">
        <v>14</v>
      </c>
      <c r="K234">
        <v>1</v>
      </c>
      <c r="L234">
        <v>102160</v>
      </c>
      <c r="M234" t="str">
        <f t="shared" si="26"/>
        <v>13</v>
      </c>
      <c r="N234" t="s">
        <v>3323</v>
      </c>
      <c r="O234" t="str">
        <f t="shared" si="31"/>
        <v>51611</v>
      </c>
      <c r="P234" t="str">
        <f>"2100L"</f>
        <v>2100L</v>
      </c>
      <c r="Q234" t="str">
        <f t="shared" si="27"/>
        <v>0101</v>
      </c>
      <c r="R234">
        <v>2100</v>
      </c>
      <c r="S234" t="str">
        <f t="shared" si="32"/>
        <v>5160</v>
      </c>
      <c r="T234" t="s">
        <v>3369</v>
      </c>
      <c r="U234" t="s">
        <v>18</v>
      </c>
    </row>
    <row r="235" spans="1:21" ht="15" customHeight="1" x14ac:dyDescent="0.3">
      <c r="A235" t="s">
        <v>179</v>
      </c>
      <c r="B235" t="str">
        <f>"00056755"</f>
        <v>00056755</v>
      </c>
      <c r="C235" t="s">
        <v>4341</v>
      </c>
      <c r="D235" t="s">
        <v>449</v>
      </c>
      <c r="E235" t="str">
        <f>"00051810"</f>
        <v>00051810</v>
      </c>
      <c r="F235">
        <v>0</v>
      </c>
      <c r="G235" s="243">
        <v>34512</v>
      </c>
      <c r="H235" t="s">
        <v>182</v>
      </c>
      <c r="I235">
        <v>10</v>
      </c>
      <c r="J235">
        <v>9</v>
      </c>
      <c r="K235">
        <v>1</v>
      </c>
      <c r="L235">
        <v>84226</v>
      </c>
      <c r="M235" t="str">
        <f t="shared" si="26"/>
        <v>13</v>
      </c>
      <c r="N235" t="s">
        <v>3323</v>
      </c>
      <c r="O235" t="str">
        <f t="shared" si="31"/>
        <v>51611</v>
      </c>
      <c r="P235" t="str">
        <f>"3030L"</f>
        <v>3030L</v>
      </c>
      <c r="Q235" t="str">
        <f t="shared" si="27"/>
        <v>0101</v>
      </c>
      <c r="R235">
        <v>3030</v>
      </c>
      <c r="S235" t="str">
        <f t="shared" si="32"/>
        <v>5160</v>
      </c>
      <c r="T235" t="s">
        <v>3369</v>
      </c>
      <c r="U235" t="s">
        <v>18</v>
      </c>
    </row>
    <row r="236" spans="1:21" ht="15" customHeight="1" x14ac:dyDescent="0.3">
      <c r="A236" t="s">
        <v>179</v>
      </c>
      <c r="B236" t="str">
        <f>"00056847"</f>
        <v>00056847</v>
      </c>
      <c r="C236" t="s">
        <v>4262</v>
      </c>
      <c r="D236" t="s">
        <v>450</v>
      </c>
      <c r="E236" t="str">
        <f>"00053640"</f>
        <v>00053640</v>
      </c>
      <c r="F236">
        <v>0</v>
      </c>
      <c r="G236" s="243">
        <v>36145</v>
      </c>
      <c r="H236" t="s">
        <v>182</v>
      </c>
      <c r="I236">
        <v>15</v>
      </c>
      <c r="J236">
        <v>14</v>
      </c>
      <c r="K236">
        <v>1</v>
      </c>
      <c r="L236">
        <v>96460</v>
      </c>
      <c r="M236" t="str">
        <f t="shared" si="26"/>
        <v>13</v>
      </c>
      <c r="N236" t="s">
        <v>3323</v>
      </c>
      <c r="O236" t="str">
        <f t="shared" si="31"/>
        <v>51611</v>
      </c>
      <c r="P236" t="str">
        <f>"2100L"</f>
        <v>2100L</v>
      </c>
      <c r="Q236" t="str">
        <f t="shared" si="27"/>
        <v>0101</v>
      </c>
      <c r="R236">
        <v>2100</v>
      </c>
      <c r="S236" t="str">
        <f t="shared" si="32"/>
        <v>5160</v>
      </c>
      <c r="T236" t="s">
        <v>3369</v>
      </c>
      <c r="U236" t="s">
        <v>18</v>
      </c>
    </row>
    <row r="237" spans="1:21" ht="15" customHeight="1" x14ac:dyDescent="0.3">
      <c r="A237" t="s">
        <v>179</v>
      </c>
      <c r="B237" t="str">
        <f>"00057289"</f>
        <v>00057289</v>
      </c>
      <c r="C237" t="s">
        <v>4288</v>
      </c>
      <c r="D237" t="s">
        <v>4379</v>
      </c>
      <c r="E237" t="str">
        <f>"00053563"</f>
        <v>00053563</v>
      </c>
      <c r="F237">
        <v>0</v>
      </c>
      <c r="G237" s="243">
        <v>38943</v>
      </c>
      <c r="H237" t="s">
        <v>182</v>
      </c>
      <c r="I237">
        <v>4</v>
      </c>
      <c r="J237">
        <v>9</v>
      </c>
      <c r="K237">
        <v>1</v>
      </c>
      <c r="L237">
        <v>28025.38</v>
      </c>
      <c r="M237" t="str">
        <f t="shared" si="26"/>
        <v>13</v>
      </c>
      <c r="N237" t="s">
        <v>3323</v>
      </c>
      <c r="O237" t="str">
        <f t="shared" si="31"/>
        <v>51611</v>
      </c>
      <c r="P237" t="str">
        <f>"2200L"</f>
        <v>2200L</v>
      </c>
      <c r="Q237" t="str">
        <f t="shared" si="27"/>
        <v>0101</v>
      </c>
      <c r="R237">
        <v>2200</v>
      </c>
      <c r="S237" t="str">
        <f t="shared" si="32"/>
        <v>5160</v>
      </c>
      <c r="T237" t="s">
        <v>3369</v>
      </c>
      <c r="U237" t="s">
        <v>18</v>
      </c>
    </row>
    <row r="238" spans="1:21" ht="15" customHeight="1" x14ac:dyDescent="0.3">
      <c r="A238" t="s">
        <v>179</v>
      </c>
      <c r="B238" t="str">
        <f>"00057587"</f>
        <v>00057587</v>
      </c>
      <c r="C238" t="s">
        <v>4290</v>
      </c>
      <c r="D238" t="s">
        <v>4380</v>
      </c>
      <c r="E238" t="str">
        <f>"00053227"</f>
        <v>00053227</v>
      </c>
      <c r="F238">
        <v>0</v>
      </c>
      <c r="G238" s="243">
        <v>36797</v>
      </c>
      <c r="H238" t="s">
        <v>182</v>
      </c>
      <c r="I238">
        <v>4</v>
      </c>
      <c r="J238">
        <v>10</v>
      </c>
      <c r="K238">
        <v>0.875</v>
      </c>
      <c r="L238">
        <v>28721</v>
      </c>
      <c r="M238" t="str">
        <f t="shared" si="26"/>
        <v>13</v>
      </c>
      <c r="N238" t="s">
        <v>3323</v>
      </c>
      <c r="O238" t="str">
        <f t="shared" si="31"/>
        <v>51611</v>
      </c>
      <c r="P238" t="str">
        <f>"2200L"</f>
        <v>2200L</v>
      </c>
      <c r="Q238" t="str">
        <f t="shared" si="27"/>
        <v>0101</v>
      </c>
      <c r="R238">
        <v>2200</v>
      </c>
      <c r="S238" t="str">
        <f t="shared" si="32"/>
        <v>5160</v>
      </c>
      <c r="T238" t="s">
        <v>3369</v>
      </c>
      <c r="U238" t="s">
        <v>18</v>
      </c>
    </row>
    <row r="239" spans="1:21" ht="15" customHeight="1" x14ac:dyDescent="0.3">
      <c r="A239" t="s">
        <v>179</v>
      </c>
      <c r="B239" t="str">
        <f>"00057676"</f>
        <v>00057676</v>
      </c>
      <c r="C239" t="s">
        <v>4254</v>
      </c>
      <c r="D239" t="s">
        <v>451</v>
      </c>
      <c r="E239" t="str">
        <f>"00050632"</f>
        <v>00050632</v>
      </c>
      <c r="F239">
        <v>0</v>
      </c>
      <c r="G239" s="243">
        <v>38587</v>
      </c>
      <c r="H239" t="s">
        <v>182</v>
      </c>
      <c r="I239">
        <v>15</v>
      </c>
      <c r="J239">
        <v>8</v>
      </c>
      <c r="K239">
        <v>1</v>
      </c>
      <c r="L239">
        <v>72171</v>
      </c>
      <c r="M239" t="str">
        <f t="shared" si="26"/>
        <v>13</v>
      </c>
      <c r="N239" t="s">
        <v>3323</v>
      </c>
      <c r="O239" t="str">
        <f t="shared" si="31"/>
        <v>51611</v>
      </c>
      <c r="P239" t="str">
        <f>"2100L"</f>
        <v>2100L</v>
      </c>
      <c r="Q239" t="str">
        <f t="shared" si="27"/>
        <v>0101</v>
      </c>
      <c r="R239">
        <v>2100</v>
      </c>
      <c r="S239" t="str">
        <f t="shared" si="32"/>
        <v>5160</v>
      </c>
      <c r="T239" t="s">
        <v>3369</v>
      </c>
      <c r="U239" t="s">
        <v>18</v>
      </c>
    </row>
    <row r="240" spans="1:21" ht="15" customHeight="1" x14ac:dyDescent="0.3">
      <c r="A240" t="s">
        <v>179</v>
      </c>
      <c r="B240" t="str">
        <f>"00057965"</f>
        <v>00057965</v>
      </c>
      <c r="C240" t="s">
        <v>4260</v>
      </c>
      <c r="D240" t="s">
        <v>3374</v>
      </c>
      <c r="E240" t="str">
        <f>"00058131"</f>
        <v>00058131</v>
      </c>
      <c r="F240">
        <v>0</v>
      </c>
      <c r="G240" s="243">
        <v>40049</v>
      </c>
      <c r="H240" t="s">
        <v>182</v>
      </c>
      <c r="I240">
        <v>15</v>
      </c>
      <c r="J240">
        <v>2</v>
      </c>
      <c r="K240">
        <v>1</v>
      </c>
      <c r="L240">
        <v>54099</v>
      </c>
      <c r="M240" t="str">
        <f t="shared" si="26"/>
        <v>13</v>
      </c>
      <c r="N240" t="s">
        <v>3323</v>
      </c>
      <c r="O240" t="str">
        <f t="shared" si="31"/>
        <v>51611</v>
      </c>
      <c r="P240" t="str">
        <f>"3030L"</f>
        <v>3030L</v>
      </c>
      <c r="Q240" t="str">
        <f t="shared" si="27"/>
        <v>0101</v>
      </c>
      <c r="R240">
        <v>3030</v>
      </c>
      <c r="S240" t="str">
        <f t="shared" si="32"/>
        <v>5160</v>
      </c>
      <c r="T240" t="s">
        <v>3369</v>
      </c>
      <c r="U240" t="s">
        <v>18</v>
      </c>
    </row>
    <row r="241" spans="1:21" ht="15" customHeight="1" x14ac:dyDescent="0.3">
      <c r="A241" t="s">
        <v>179</v>
      </c>
      <c r="B241" t="str">
        <f>"00058098"</f>
        <v>00058098</v>
      </c>
      <c r="C241" t="s">
        <v>4260</v>
      </c>
      <c r="D241" t="s">
        <v>452</v>
      </c>
      <c r="E241" t="str">
        <f>"00044785"</f>
        <v>00044785</v>
      </c>
      <c r="F241">
        <v>0</v>
      </c>
      <c r="G241" s="243">
        <v>38951</v>
      </c>
      <c r="H241" t="s">
        <v>182</v>
      </c>
      <c r="I241">
        <v>15</v>
      </c>
      <c r="J241">
        <v>7</v>
      </c>
      <c r="K241">
        <v>1</v>
      </c>
      <c r="L241">
        <v>74045</v>
      </c>
      <c r="M241" t="str">
        <f t="shared" si="26"/>
        <v>13</v>
      </c>
      <c r="N241" t="s">
        <v>3323</v>
      </c>
      <c r="O241" t="str">
        <f t="shared" si="31"/>
        <v>51611</v>
      </c>
      <c r="P241" t="str">
        <f>"2100L"</f>
        <v>2100L</v>
      </c>
      <c r="Q241" t="str">
        <f t="shared" si="27"/>
        <v>0101</v>
      </c>
      <c r="R241">
        <v>2100</v>
      </c>
      <c r="S241" t="str">
        <f t="shared" si="32"/>
        <v>5160</v>
      </c>
      <c r="T241" t="s">
        <v>3369</v>
      </c>
      <c r="U241" t="s">
        <v>18</v>
      </c>
    </row>
    <row r="242" spans="1:21" ht="15" customHeight="1" x14ac:dyDescent="0.3">
      <c r="A242" t="s">
        <v>179</v>
      </c>
      <c r="B242" t="str">
        <f>"00058490"</f>
        <v>00058490</v>
      </c>
      <c r="C242" t="s">
        <v>4260</v>
      </c>
      <c r="D242" t="s">
        <v>4241</v>
      </c>
      <c r="E242" t="str">
        <f>"00067429"</f>
        <v>00067429</v>
      </c>
      <c r="F242">
        <v>0</v>
      </c>
      <c r="G242" s="243">
        <v>40911</v>
      </c>
      <c r="H242" t="s">
        <v>182</v>
      </c>
      <c r="I242">
        <v>15</v>
      </c>
      <c r="J242">
        <v>1</v>
      </c>
      <c r="K242">
        <v>1</v>
      </c>
      <c r="L242">
        <v>51539</v>
      </c>
      <c r="M242" t="str">
        <f t="shared" si="26"/>
        <v>13</v>
      </c>
      <c r="N242" t="s">
        <v>3323</v>
      </c>
      <c r="O242" t="str">
        <f t="shared" si="31"/>
        <v>51611</v>
      </c>
      <c r="P242" t="str">
        <f>"2100L"</f>
        <v>2100L</v>
      </c>
      <c r="Q242" t="str">
        <f t="shared" si="27"/>
        <v>0101</v>
      </c>
      <c r="R242">
        <v>2100</v>
      </c>
      <c r="S242" t="str">
        <f t="shared" si="32"/>
        <v>5160</v>
      </c>
      <c r="T242" t="s">
        <v>3369</v>
      </c>
      <c r="U242" t="s">
        <v>18</v>
      </c>
    </row>
    <row r="243" spans="1:21" ht="15" customHeight="1" x14ac:dyDescent="0.3">
      <c r="A243" t="s">
        <v>179</v>
      </c>
      <c r="B243" t="str">
        <f>"00059594"</f>
        <v>00059594</v>
      </c>
      <c r="C243" t="s">
        <v>4290</v>
      </c>
      <c r="H243" t="s">
        <v>170</v>
      </c>
      <c r="I243">
        <v>4</v>
      </c>
      <c r="J243">
        <v>1</v>
      </c>
      <c r="K243">
        <v>0.875</v>
      </c>
      <c r="L243">
        <v>25662</v>
      </c>
      <c r="M243" t="str">
        <f t="shared" ref="M243:M302" si="34">"13"</f>
        <v>13</v>
      </c>
      <c r="N243" t="s">
        <v>3323</v>
      </c>
      <c r="O243" t="str">
        <f t="shared" si="31"/>
        <v>51611</v>
      </c>
      <c r="P243" t="str">
        <f>"2200L"</f>
        <v>2200L</v>
      </c>
      <c r="Q243" t="str">
        <f t="shared" ref="Q243:Q302" si="35">"0101"</f>
        <v>0101</v>
      </c>
      <c r="R243">
        <v>2200</v>
      </c>
      <c r="S243" t="str">
        <f t="shared" si="32"/>
        <v>5160</v>
      </c>
      <c r="T243" t="s">
        <v>3369</v>
      </c>
      <c r="U243" t="s">
        <v>18</v>
      </c>
    </row>
    <row r="244" spans="1:21" ht="15" customHeight="1" x14ac:dyDescent="0.3">
      <c r="A244" t="s">
        <v>179</v>
      </c>
      <c r="B244" t="str">
        <f>"00059896"</f>
        <v>00059896</v>
      </c>
      <c r="C244" t="s">
        <v>4260</v>
      </c>
      <c r="H244" t="s">
        <v>170</v>
      </c>
      <c r="I244">
        <v>15</v>
      </c>
      <c r="J244">
        <v>1</v>
      </c>
      <c r="K244">
        <v>1</v>
      </c>
      <c r="L244">
        <v>54975</v>
      </c>
      <c r="M244" t="str">
        <f t="shared" si="34"/>
        <v>13</v>
      </c>
      <c r="N244" t="s">
        <v>3323</v>
      </c>
      <c r="O244" t="str">
        <f t="shared" si="31"/>
        <v>51611</v>
      </c>
      <c r="P244" t="str">
        <f>"3030L"</f>
        <v>3030L</v>
      </c>
      <c r="Q244" t="str">
        <f t="shared" si="35"/>
        <v>0101</v>
      </c>
      <c r="R244">
        <v>3030</v>
      </c>
      <c r="S244" t="str">
        <f t="shared" si="32"/>
        <v>5160</v>
      </c>
      <c r="T244" t="s">
        <v>3369</v>
      </c>
      <c r="U244" t="s">
        <v>18</v>
      </c>
    </row>
    <row r="245" spans="1:21" ht="15" customHeight="1" x14ac:dyDescent="0.3">
      <c r="A245" t="s">
        <v>179</v>
      </c>
      <c r="B245" t="str">
        <f>"00060691"</f>
        <v>00060691</v>
      </c>
      <c r="C245" t="s">
        <v>4381</v>
      </c>
      <c r="D245" t="s">
        <v>454</v>
      </c>
      <c r="E245" t="str">
        <f>"00047000"</f>
        <v>00047000</v>
      </c>
      <c r="F245">
        <v>0</v>
      </c>
      <c r="G245" s="243">
        <v>39090</v>
      </c>
      <c r="H245" t="s">
        <v>182</v>
      </c>
      <c r="I245">
        <v>9</v>
      </c>
      <c r="J245">
        <v>6</v>
      </c>
      <c r="K245">
        <v>1</v>
      </c>
      <c r="L245">
        <v>38478</v>
      </c>
      <c r="M245" t="str">
        <f t="shared" si="34"/>
        <v>13</v>
      </c>
      <c r="N245" t="s">
        <v>3323</v>
      </c>
      <c r="O245" t="str">
        <f t="shared" si="31"/>
        <v>51611</v>
      </c>
      <c r="P245" t="str">
        <f>"2100L"</f>
        <v>2100L</v>
      </c>
      <c r="Q245" t="str">
        <f t="shared" si="35"/>
        <v>0101</v>
      </c>
      <c r="R245">
        <v>2100</v>
      </c>
      <c r="S245" t="str">
        <f t="shared" si="32"/>
        <v>5160</v>
      </c>
      <c r="T245" t="s">
        <v>3369</v>
      </c>
      <c r="U245" t="s">
        <v>18</v>
      </c>
    </row>
    <row r="246" spans="1:21" ht="15" customHeight="1" x14ac:dyDescent="0.3">
      <c r="A246" t="s">
        <v>179</v>
      </c>
      <c r="B246" t="str">
        <f>"00061238"</f>
        <v>00061238</v>
      </c>
      <c r="C246" t="s">
        <v>4272</v>
      </c>
      <c r="D246" t="s">
        <v>455</v>
      </c>
      <c r="E246" t="str">
        <f>"00047316"</f>
        <v>00047316</v>
      </c>
      <c r="F246">
        <v>0</v>
      </c>
      <c r="G246" s="243">
        <v>39314</v>
      </c>
      <c r="H246" t="s">
        <v>182</v>
      </c>
      <c r="I246">
        <v>15</v>
      </c>
      <c r="J246">
        <v>6</v>
      </c>
      <c r="K246">
        <v>1</v>
      </c>
      <c r="L246">
        <v>68537</v>
      </c>
      <c r="M246" t="str">
        <f t="shared" si="34"/>
        <v>13</v>
      </c>
      <c r="N246" t="s">
        <v>3323</v>
      </c>
      <c r="O246" t="str">
        <f t="shared" ref="O246:O274" si="36">"51611"</f>
        <v>51611</v>
      </c>
      <c r="P246" t="str">
        <f>"2100L"</f>
        <v>2100L</v>
      </c>
      <c r="Q246" t="str">
        <f t="shared" si="35"/>
        <v>0101</v>
      </c>
      <c r="R246">
        <v>2100</v>
      </c>
      <c r="S246" t="str">
        <f t="shared" ref="S246:S274" si="37">"5160"</f>
        <v>5160</v>
      </c>
      <c r="T246" t="s">
        <v>3369</v>
      </c>
      <c r="U246" t="s">
        <v>18</v>
      </c>
    </row>
    <row r="247" spans="1:21" ht="15" customHeight="1" x14ac:dyDescent="0.3">
      <c r="A247" t="s">
        <v>179</v>
      </c>
      <c r="B247" t="str">
        <f>"00062035"</f>
        <v>00062035</v>
      </c>
      <c r="C247" t="s">
        <v>4260</v>
      </c>
      <c r="D247" t="s">
        <v>456</v>
      </c>
      <c r="E247" t="str">
        <f>"00062965"</f>
        <v>00062965</v>
      </c>
      <c r="F247">
        <v>0</v>
      </c>
      <c r="G247" s="243">
        <v>40406</v>
      </c>
      <c r="H247" t="s">
        <v>182</v>
      </c>
      <c r="I247">
        <v>15</v>
      </c>
      <c r="J247">
        <v>6</v>
      </c>
      <c r="K247">
        <v>1</v>
      </c>
      <c r="L247">
        <v>66078</v>
      </c>
      <c r="M247" t="str">
        <f t="shared" si="34"/>
        <v>13</v>
      </c>
      <c r="N247" t="s">
        <v>3323</v>
      </c>
      <c r="O247" t="str">
        <f t="shared" si="36"/>
        <v>51611</v>
      </c>
      <c r="P247" t="str">
        <f>"3030L"</f>
        <v>3030L</v>
      </c>
      <c r="Q247" t="str">
        <f t="shared" si="35"/>
        <v>0101</v>
      </c>
      <c r="R247">
        <v>3030</v>
      </c>
      <c r="S247" t="str">
        <f t="shared" si="37"/>
        <v>5160</v>
      </c>
      <c r="T247" t="s">
        <v>3369</v>
      </c>
      <c r="U247" t="s">
        <v>18</v>
      </c>
    </row>
    <row r="248" spans="1:21" ht="15" customHeight="1" x14ac:dyDescent="0.3">
      <c r="A248" t="s">
        <v>179</v>
      </c>
      <c r="B248" t="str">
        <f>"00062521"</f>
        <v>00062521</v>
      </c>
      <c r="C248" t="s">
        <v>4290</v>
      </c>
      <c r="D248" t="s">
        <v>4382</v>
      </c>
      <c r="E248" t="str">
        <f>"00050624"</f>
        <v>00050624</v>
      </c>
      <c r="F248">
        <v>0</v>
      </c>
      <c r="G248" s="243">
        <v>39702</v>
      </c>
      <c r="H248" t="s">
        <v>182</v>
      </c>
      <c r="I248">
        <v>4</v>
      </c>
      <c r="J248">
        <v>6</v>
      </c>
      <c r="K248">
        <v>0.875</v>
      </c>
      <c r="L248">
        <v>25935.88</v>
      </c>
      <c r="M248" t="str">
        <f t="shared" si="34"/>
        <v>13</v>
      </c>
      <c r="N248" t="s">
        <v>3323</v>
      </c>
      <c r="O248" t="str">
        <f t="shared" si="36"/>
        <v>51611</v>
      </c>
      <c r="P248" t="str">
        <f>"2200L"</f>
        <v>2200L</v>
      </c>
      <c r="Q248" t="str">
        <f t="shared" si="35"/>
        <v>0101</v>
      </c>
      <c r="R248">
        <v>2200</v>
      </c>
      <c r="S248" t="str">
        <f t="shared" si="37"/>
        <v>5160</v>
      </c>
      <c r="T248" t="s">
        <v>3369</v>
      </c>
      <c r="U248" t="s">
        <v>18</v>
      </c>
    </row>
    <row r="249" spans="1:21" ht="15" customHeight="1" x14ac:dyDescent="0.3">
      <c r="A249" t="s">
        <v>179</v>
      </c>
      <c r="B249" t="str">
        <f>"00062686"</f>
        <v>00062686</v>
      </c>
      <c r="C249" t="s">
        <v>4290</v>
      </c>
      <c r="D249" t="s">
        <v>4383</v>
      </c>
      <c r="E249" t="str">
        <f>"00056431"</f>
        <v>00056431</v>
      </c>
      <c r="F249">
        <v>0</v>
      </c>
      <c r="G249" s="243">
        <v>40770</v>
      </c>
      <c r="H249" t="s">
        <v>182</v>
      </c>
      <c r="I249">
        <v>4</v>
      </c>
      <c r="J249">
        <v>4</v>
      </c>
      <c r="K249">
        <v>0.875</v>
      </c>
      <c r="L249">
        <v>24543.75</v>
      </c>
      <c r="M249" t="str">
        <f t="shared" si="34"/>
        <v>13</v>
      </c>
      <c r="N249" t="s">
        <v>3370</v>
      </c>
      <c r="O249" t="str">
        <f t="shared" si="36"/>
        <v>51611</v>
      </c>
      <c r="P249" t="str">
        <f>"2200L"</f>
        <v>2200L</v>
      </c>
      <c r="Q249" t="str">
        <f t="shared" si="35"/>
        <v>0101</v>
      </c>
      <c r="R249">
        <v>2200</v>
      </c>
      <c r="S249" t="str">
        <f t="shared" si="37"/>
        <v>5160</v>
      </c>
      <c r="T249" t="s">
        <v>3369</v>
      </c>
      <c r="U249" t="s">
        <v>18</v>
      </c>
    </row>
    <row r="250" spans="1:21" ht="15" customHeight="1" x14ac:dyDescent="0.3">
      <c r="A250" t="s">
        <v>179</v>
      </c>
      <c r="B250" t="str">
        <f>"00062720"</f>
        <v>00062720</v>
      </c>
      <c r="C250" t="s">
        <v>4274</v>
      </c>
      <c r="D250" t="s">
        <v>4384</v>
      </c>
      <c r="E250" t="str">
        <f>"00050388"</f>
        <v>00050388</v>
      </c>
      <c r="F250">
        <v>0</v>
      </c>
      <c r="G250" s="243">
        <v>37656</v>
      </c>
      <c r="H250" t="s">
        <v>182</v>
      </c>
      <c r="I250">
        <v>4</v>
      </c>
      <c r="J250">
        <v>7</v>
      </c>
      <c r="K250">
        <v>0.875</v>
      </c>
      <c r="L250">
        <v>26633.25</v>
      </c>
      <c r="M250" t="str">
        <f t="shared" si="34"/>
        <v>13</v>
      </c>
      <c r="N250" t="s">
        <v>3323</v>
      </c>
      <c r="O250" t="str">
        <f t="shared" si="36"/>
        <v>51611</v>
      </c>
      <c r="P250" t="str">
        <f>"2200L"</f>
        <v>2200L</v>
      </c>
      <c r="Q250" t="str">
        <f t="shared" si="35"/>
        <v>0101</v>
      </c>
      <c r="R250">
        <v>2200</v>
      </c>
      <c r="S250" t="str">
        <f t="shared" si="37"/>
        <v>5160</v>
      </c>
      <c r="T250" t="s">
        <v>3369</v>
      </c>
      <c r="U250" t="s">
        <v>18</v>
      </c>
    </row>
    <row r="251" spans="1:21" ht="15" customHeight="1" x14ac:dyDescent="0.3">
      <c r="A251" t="s">
        <v>179</v>
      </c>
      <c r="B251" t="str">
        <f>"00066341"</f>
        <v>00066341</v>
      </c>
      <c r="C251" t="s">
        <v>4252</v>
      </c>
      <c r="D251" t="s">
        <v>457</v>
      </c>
      <c r="E251" t="str">
        <f>"00026272"</f>
        <v>00026272</v>
      </c>
      <c r="F251">
        <v>0</v>
      </c>
      <c r="G251" s="243">
        <v>40042</v>
      </c>
      <c r="H251" t="s">
        <v>182</v>
      </c>
      <c r="I251">
        <v>15</v>
      </c>
      <c r="J251">
        <v>5</v>
      </c>
      <c r="K251">
        <v>1</v>
      </c>
      <c r="L251">
        <v>66078</v>
      </c>
      <c r="M251" t="str">
        <f t="shared" si="34"/>
        <v>13</v>
      </c>
      <c r="N251" t="s">
        <v>3323</v>
      </c>
      <c r="O251" t="str">
        <f t="shared" si="36"/>
        <v>51611</v>
      </c>
      <c r="P251" t="str">
        <f>"2100L"</f>
        <v>2100L</v>
      </c>
      <c r="Q251" t="str">
        <f t="shared" si="35"/>
        <v>0101</v>
      </c>
      <c r="R251">
        <v>2100</v>
      </c>
      <c r="S251" t="str">
        <f t="shared" si="37"/>
        <v>5160</v>
      </c>
      <c r="T251" t="s">
        <v>3369</v>
      </c>
      <c r="U251" t="s">
        <v>18</v>
      </c>
    </row>
    <row r="252" spans="1:21" ht="15" customHeight="1" x14ac:dyDescent="0.3">
      <c r="A252" t="s">
        <v>179</v>
      </c>
      <c r="B252" t="str">
        <f>"00066434"</f>
        <v>00066434</v>
      </c>
      <c r="C252" t="s">
        <v>4260</v>
      </c>
      <c r="D252" t="s">
        <v>453</v>
      </c>
      <c r="E252" t="str">
        <f>"00047893"</f>
        <v>00047893</v>
      </c>
      <c r="F252">
        <v>0</v>
      </c>
      <c r="G252" s="243">
        <v>38237</v>
      </c>
      <c r="H252" t="s">
        <v>182</v>
      </c>
      <c r="I252">
        <v>15</v>
      </c>
      <c r="J252">
        <v>14</v>
      </c>
      <c r="K252">
        <v>1</v>
      </c>
      <c r="L252">
        <v>96460</v>
      </c>
      <c r="M252" t="str">
        <f t="shared" si="34"/>
        <v>13</v>
      </c>
      <c r="N252" t="s">
        <v>3323</v>
      </c>
      <c r="O252" t="str">
        <f t="shared" si="36"/>
        <v>51611</v>
      </c>
      <c r="P252" t="str">
        <f>"3030L"</f>
        <v>3030L</v>
      </c>
      <c r="Q252" t="str">
        <f t="shared" si="35"/>
        <v>0101</v>
      </c>
      <c r="R252">
        <v>3030</v>
      </c>
      <c r="S252" t="str">
        <f t="shared" si="37"/>
        <v>5160</v>
      </c>
      <c r="T252" t="s">
        <v>3369</v>
      </c>
      <c r="U252" t="s">
        <v>18</v>
      </c>
    </row>
    <row r="253" spans="1:21" ht="15" customHeight="1" x14ac:dyDescent="0.3">
      <c r="A253" t="s">
        <v>179</v>
      </c>
      <c r="B253" t="str">
        <f>"00066940"</f>
        <v>00066940</v>
      </c>
      <c r="C253" t="s">
        <v>4262</v>
      </c>
      <c r="D253" t="s">
        <v>458</v>
      </c>
      <c r="E253" t="str">
        <f>"00037865"</f>
        <v>00037865</v>
      </c>
      <c r="F253">
        <v>0</v>
      </c>
      <c r="G253" s="243">
        <v>39995</v>
      </c>
      <c r="H253" t="s">
        <v>182</v>
      </c>
      <c r="I253">
        <v>15</v>
      </c>
      <c r="J253">
        <v>7</v>
      </c>
      <c r="K253">
        <v>1</v>
      </c>
      <c r="L253">
        <v>61068</v>
      </c>
      <c r="M253" t="str">
        <f t="shared" si="34"/>
        <v>13</v>
      </c>
      <c r="N253" t="s">
        <v>3323</v>
      </c>
      <c r="O253" t="str">
        <f t="shared" si="36"/>
        <v>51611</v>
      </c>
      <c r="P253" t="str">
        <f>"2100L"</f>
        <v>2100L</v>
      </c>
      <c r="Q253" t="str">
        <f t="shared" si="35"/>
        <v>0101</v>
      </c>
      <c r="R253">
        <v>2100</v>
      </c>
      <c r="S253" t="str">
        <f t="shared" si="37"/>
        <v>5160</v>
      </c>
      <c r="T253" t="s">
        <v>3369</v>
      </c>
      <c r="U253" t="s">
        <v>18</v>
      </c>
    </row>
    <row r="254" spans="1:21" ht="15" customHeight="1" x14ac:dyDescent="0.3">
      <c r="A254" t="s">
        <v>179</v>
      </c>
      <c r="B254" t="str">
        <f>"00067251"</f>
        <v>00067251</v>
      </c>
      <c r="C254" t="s">
        <v>4274</v>
      </c>
      <c r="D254" t="s">
        <v>4385</v>
      </c>
      <c r="E254" t="str">
        <f>"00057010"</f>
        <v>00057010</v>
      </c>
      <c r="F254">
        <v>0</v>
      </c>
      <c r="G254" s="243">
        <v>40042</v>
      </c>
      <c r="H254" t="s">
        <v>182</v>
      </c>
      <c r="I254">
        <v>4</v>
      </c>
      <c r="J254">
        <v>5</v>
      </c>
      <c r="K254">
        <v>1</v>
      </c>
      <c r="L254">
        <v>25239.37</v>
      </c>
      <c r="M254" t="str">
        <f t="shared" si="34"/>
        <v>13</v>
      </c>
      <c r="N254" t="s">
        <v>3323</v>
      </c>
      <c r="O254" t="str">
        <f t="shared" si="36"/>
        <v>51611</v>
      </c>
      <c r="P254" t="str">
        <f>"3030L"</f>
        <v>3030L</v>
      </c>
      <c r="Q254" t="str">
        <f t="shared" si="35"/>
        <v>0101</v>
      </c>
      <c r="R254">
        <v>3030</v>
      </c>
      <c r="S254" t="str">
        <f t="shared" si="37"/>
        <v>5160</v>
      </c>
      <c r="T254" t="s">
        <v>3369</v>
      </c>
      <c r="U254" t="s">
        <v>18</v>
      </c>
    </row>
    <row r="255" spans="1:21" ht="15" customHeight="1" x14ac:dyDescent="0.3">
      <c r="A255" t="s">
        <v>179</v>
      </c>
      <c r="B255" t="str">
        <f>"00067516"</f>
        <v>00067516</v>
      </c>
      <c r="C255" t="s">
        <v>4274</v>
      </c>
      <c r="D255" t="s">
        <v>4386</v>
      </c>
      <c r="E255" t="str">
        <f>"00058444"</f>
        <v>00058444</v>
      </c>
      <c r="F255">
        <v>0</v>
      </c>
      <c r="G255" s="243">
        <v>40067</v>
      </c>
      <c r="H255" t="s">
        <v>182</v>
      </c>
      <c r="I255">
        <v>4</v>
      </c>
      <c r="J255">
        <v>6</v>
      </c>
      <c r="K255">
        <v>1</v>
      </c>
      <c r="L255">
        <v>25935.88</v>
      </c>
      <c r="M255" t="str">
        <f t="shared" si="34"/>
        <v>13</v>
      </c>
      <c r="N255" t="s">
        <v>3323</v>
      </c>
      <c r="O255" t="str">
        <f t="shared" si="36"/>
        <v>51611</v>
      </c>
      <c r="P255" t="str">
        <f>"2200L"</f>
        <v>2200L</v>
      </c>
      <c r="Q255" t="str">
        <f t="shared" si="35"/>
        <v>0101</v>
      </c>
      <c r="R255">
        <v>2200</v>
      </c>
      <c r="S255" t="str">
        <f t="shared" si="37"/>
        <v>5160</v>
      </c>
      <c r="T255" t="s">
        <v>3369</v>
      </c>
      <c r="U255" t="s">
        <v>18</v>
      </c>
    </row>
    <row r="256" spans="1:21" ht="15" customHeight="1" x14ac:dyDescent="0.3">
      <c r="A256" t="s">
        <v>179</v>
      </c>
      <c r="B256" t="str">
        <f>"00067892"</f>
        <v>00067892</v>
      </c>
      <c r="C256" t="s">
        <v>4272</v>
      </c>
      <c r="D256" t="s">
        <v>926</v>
      </c>
      <c r="E256" t="str">
        <f>"00051459"</f>
        <v>00051459</v>
      </c>
      <c r="F256">
        <v>0</v>
      </c>
      <c r="G256" s="243">
        <v>32050</v>
      </c>
      <c r="H256" t="s">
        <v>182</v>
      </c>
      <c r="I256">
        <v>15</v>
      </c>
      <c r="J256">
        <v>16</v>
      </c>
      <c r="K256">
        <v>1</v>
      </c>
      <c r="L256">
        <v>103347</v>
      </c>
      <c r="M256" t="str">
        <f t="shared" si="34"/>
        <v>13</v>
      </c>
      <c r="N256" t="s">
        <v>3323</v>
      </c>
      <c r="O256" t="str">
        <f t="shared" si="36"/>
        <v>51611</v>
      </c>
      <c r="P256" t="str">
        <f>"2200L"</f>
        <v>2200L</v>
      </c>
      <c r="Q256" t="str">
        <f t="shared" si="35"/>
        <v>0101</v>
      </c>
      <c r="R256">
        <v>2200</v>
      </c>
      <c r="S256" t="str">
        <f t="shared" si="37"/>
        <v>5160</v>
      </c>
      <c r="T256" t="s">
        <v>3369</v>
      </c>
      <c r="U256" t="s">
        <v>18</v>
      </c>
    </row>
    <row r="257" spans="1:21" ht="15" customHeight="1" x14ac:dyDescent="0.3">
      <c r="A257" t="s">
        <v>179</v>
      </c>
      <c r="B257" t="str">
        <f>"00067895"</f>
        <v>00067895</v>
      </c>
      <c r="C257" t="s">
        <v>4272</v>
      </c>
      <c r="D257" t="s">
        <v>459</v>
      </c>
      <c r="E257" t="str">
        <f>"00057714"</f>
        <v>00057714</v>
      </c>
      <c r="F257">
        <v>0</v>
      </c>
      <c r="G257" s="243">
        <v>40042</v>
      </c>
      <c r="H257" t="s">
        <v>182</v>
      </c>
      <c r="I257">
        <v>15</v>
      </c>
      <c r="J257">
        <v>4</v>
      </c>
      <c r="K257">
        <v>1</v>
      </c>
      <c r="L257">
        <v>61158</v>
      </c>
      <c r="M257" t="str">
        <f t="shared" si="34"/>
        <v>13</v>
      </c>
      <c r="N257" t="s">
        <v>3323</v>
      </c>
      <c r="O257" t="str">
        <f t="shared" si="36"/>
        <v>51611</v>
      </c>
      <c r="P257" t="str">
        <f>"2200L"</f>
        <v>2200L</v>
      </c>
      <c r="Q257" t="str">
        <f t="shared" si="35"/>
        <v>0101</v>
      </c>
      <c r="R257">
        <v>2200</v>
      </c>
      <c r="S257" t="str">
        <f t="shared" si="37"/>
        <v>5160</v>
      </c>
      <c r="T257" t="s">
        <v>3369</v>
      </c>
      <c r="U257" t="s">
        <v>18</v>
      </c>
    </row>
    <row r="258" spans="1:21" ht="15" customHeight="1" x14ac:dyDescent="0.3">
      <c r="A258" t="s">
        <v>179</v>
      </c>
      <c r="B258" t="str">
        <f>"00071424"</f>
        <v>00071424</v>
      </c>
      <c r="C258" t="s">
        <v>4387</v>
      </c>
      <c r="D258" t="s">
        <v>460</v>
      </c>
      <c r="E258" t="str">
        <f>"00012099"</f>
        <v>00012099</v>
      </c>
      <c r="F258">
        <v>1</v>
      </c>
      <c r="G258" s="243">
        <v>32756</v>
      </c>
      <c r="H258" t="s">
        <v>182</v>
      </c>
      <c r="I258">
        <v>10</v>
      </c>
      <c r="J258">
        <v>9</v>
      </c>
      <c r="K258">
        <v>1</v>
      </c>
      <c r="L258">
        <v>84226</v>
      </c>
      <c r="M258" t="str">
        <f t="shared" si="34"/>
        <v>13</v>
      </c>
      <c r="N258" t="s">
        <v>3370</v>
      </c>
      <c r="O258" t="str">
        <f t="shared" si="36"/>
        <v>51611</v>
      </c>
      <c r="P258" t="str">
        <f>"2100L"</f>
        <v>2100L</v>
      </c>
      <c r="Q258" t="str">
        <f t="shared" si="35"/>
        <v>0101</v>
      </c>
      <c r="R258">
        <v>2100</v>
      </c>
      <c r="S258" t="str">
        <f t="shared" si="37"/>
        <v>5160</v>
      </c>
      <c r="T258" t="s">
        <v>3369</v>
      </c>
      <c r="U258" t="s">
        <v>18</v>
      </c>
    </row>
    <row r="259" spans="1:21" ht="15" customHeight="1" x14ac:dyDescent="0.3">
      <c r="A259" t="s">
        <v>179</v>
      </c>
      <c r="B259" t="str">
        <f>"00072109"</f>
        <v>00072109</v>
      </c>
      <c r="C259" t="s">
        <v>4290</v>
      </c>
      <c r="H259" t="s">
        <v>170</v>
      </c>
      <c r="I259">
        <v>4</v>
      </c>
      <c r="J259">
        <v>1</v>
      </c>
      <c r="K259">
        <v>1</v>
      </c>
      <c r="L259">
        <v>25662</v>
      </c>
      <c r="M259" t="str">
        <f t="shared" si="34"/>
        <v>13</v>
      </c>
      <c r="N259" t="s">
        <v>3323</v>
      </c>
      <c r="O259" t="str">
        <f t="shared" si="36"/>
        <v>51611</v>
      </c>
      <c r="P259" t="str">
        <f>"2200L"</f>
        <v>2200L</v>
      </c>
      <c r="Q259" t="str">
        <f t="shared" si="35"/>
        <v>0101</v>
      </c>
      <c r="R259">
        <v>2200</v>
      </c>
      <c r="S259" t="str">
        <f t="shared" si="37"/>
        <v>5160</v>
      </c>
      <c r="T259" t="s">
        <v>3369</v>
      </c>
      <c r="U259" t="s">
        <v>18</v>
      </c>
    </row>
    <row r="260" spans="1:21" ht="15" customHeight="1" x14ac:dyDescent="0.3">
      <c r="A260" t="s">
        <v>179</v>
      </c>
      <c r="B260" t="str">
        <f>"00072113"</f>
        <v>00072113</v>
      </c>
      <c r="C260" t="s">
        <v>4274</v>
      </c>
      <c r="D260" t="s">
        <v>4388</v>
      </c>
      <c r="E260" t="str">
        <f>"00064631"</f>
        <v>00064631</v>
      </c>
      <c r="F260">
        <v>0</v>
      </c>
      <c r="G260" s="243">
        <v>40596</v>
      </c>
      <c r="H260" t="s">
        <v>182</v>
      </c>
      <c r="I260">
        <v>4</v>
      </c>
      <c r="J260">
        <v>5</v>
      </c>
      <c r="K260">
        <v>1</v>
      </c>
      <c r="L260">
        <v>25239.37</v>
      </c>
      <c r="M260" t="str">
        <f t="shared" si="34"/>
        <v>13</v>
      </c>
      <c r="N260" t="s">
        <v>3323</v>
      </c>
      <c r="O260" t="str">
        <f t="shared" si="36"/>
        <v>51611</v>
      </c>
      <c r="P260" t="str">
        <f>"2200L"</f>
        <v>2200L</v>
      </c>
      <c r="Q260" t="str">
        <f t="shared" si="35"/>
        <v>0101</v>
      </c>
      <c r="R260">
        <v>2200</v>
      </c>
      <c r="S260" t="str">
        <f t="shared" si="37"/>
        <v>5160</v>
      </c>
      <c r="T260" t="s">
        <v>3369</v>
      </c>
      <c r="U260" t="s">
        <v>18</v>
      </c>
    </row>
    <row r="261" spans="1:21" ht="15" customHeight="1" x14ac:dyDescent="0.3">
      <c r="A261" t="s">
        <v>179</v>
      </c>
      <c r="B261" t="str">
        <f>"00072193"</f>
        <v>00072193</v>
      </c>
      <c r="C261" t="s">
        <v>4272</v>
      </c>
      <c r="D261" t="s">
        <v>3372</v>
      </c>
      <c r="E261" t="str">
        <f>"00063025"</f>
        <v>00063025</v>
      </c>
      <c r="F261">
        <v>0</v>
      </c>
      <c r="G261" s="243">
        <v>40406</v>
      </c>
      <c r="H261" t="s">
        <v>182</v>
      </c>
      <c r="I261">
        <v>15</v>
      </c>
      <c r="J261">
        <v>3</v>
      </c>
      <c r="K261">
        <v>1</v>
      </c>
      <c r="L261">
        <v>58699</v>
      </c>
      <c r="M261" t="str">
        <f t="shared" si="34"/>
        <v>13</v>
      </c>
      <c r="N261" t="s">
        <v>3323</v>
      </c>
      <c r="O261" t="str">
        <f t="shared" si="36"/>
        <v>51611</v>
      </c>
      <c r="P261" t="str">
        <f>"2200L"</f>
        <v>2200L</v>
      </c>
      <c r="Q261" t="str">
        <f t="shared" si="35"/>
        <v>0101</v>
      </c>
      <c r="R261">
        <v>2200</v>
      </c>
      <c r="S261" t="str">
        <f t="shared" si="37"/>
        <v>5160</v>
      </c>
      <c r="T261" t="s">
        <v>3369</v>
      </c>
      <c r="U261" t="s">
        <v>18</v>
      </c>
    </row>
    <row r="262" spans="1:21" ht="15" customHeight="1" x14ac:dyDescent="0.3">
      <c r="A262" t="s">
        <v>179</v>
      </c>
      <c r="B262" t="str">
        <f>"00072264"</f>
        <v>00072264</v>
      </c>
      <c r="C262" t="s">
        <v>4272</v>
      </c>
      <c r="D262" t="s">
        <v>461</v>
      </c>
      <c r="E262" t="str">
        <f>"00062507"</f>
        <v>00062507</v>
      </c>
      <c r="F262">
        <v>0</v>
      </c>
      <c r="G262" s="243">
        <v>40406</v>
      </c>
      <c r="H262" t="s">
        <v>182</v>
      </c>
      <c r="I262">
        <v>15</v>
      </c>
      <c r="J262">
        <v>3</v>
      </c>
      <c r="K262">
        <v>1</v>
      </c>
      <c r="L262">
        <v>52777</v>
      </c>
      <c r="M262" t="str">
        <f t="shared" si="34"/>
        <v>13</v>
      </c>
      <c r="N262" t="s">
        <v>3323</v>
      </c>
      <c r="O262" t="str">
        <f t="shared" si="36"/>
        <v>51611</v>
      </c>
      <c r="P262" t="str">
        <f>"2100L"</f>
        <v>2100L</v>
      </c>
      <c r="Q262" t="str">
        <f t="shared" si="35"/>
        <v>0101</v>
      </c>
      <c r="R262">
        <v>2100</v>
      </c>
      <c r="S262" t="str">
        <f t="shared" si="37"/>
        <v>5160</v>
      </c>
      <c r="T262" t="s">
        <v>3369</v>
      </c>
      <c r="U262" t="s">
        <v>18</v>
      </c>
    </row>
    <row r="263" spans="1:21" ht="15" customHeight="1" x14ac:dyDescent="0.3">
      <c r="A263" t="s">
        <v>179</v>
      </c>
      <c r="B263" t="str">
        <f>"00072444"</f>
        <v>00072444</v>
      </c>
      <c r="C263" t="s">
        <v>4290</v>
      </c>
      <c r="D263" t="s">
        <v>4389</v>
      </c>
      <c r="E263" t="str">
        <f>"00065604"</f>
        <v>00065604</v>
      </c>
      <c r="F263">
        <v>0</v>
      </c>
      <c r="G263" s="243">
        <v>40770</v>
      </c>
      <c r="H263" t="s">
        <v>182</v>
      </c>
      <c r="I263">
        <v>4</v>
      </c>
      <c r="J263">
        <v>8</v>
      </c>
      <c r="K263">
        <v>0.71</v>
      </c>
      <c r="L263">
        <v>27329.75</v>
      </c>
      <c r="M263" t="str">
        <f t="shared" si="34"/>
        <v>13</v>
      </c>
      <c r="N263" t="s">
        <v>3323</v>
      </c>
      <c r="O263" t="str">
        <f t="shared" si="36"/>
        <v>51611</v>
      </c>
      <c r="P263" t="str">
        <f>"2100L"</f>
        <v>2100L</v>
      </c>
      <c r="Q263" t="str">
        <f t="shared" si="35"/>
        <v>0101</v>
      </c>
      <c r="R263">
        <v>2100</v>
      </c>
      <c r="S263" t="str">
        <f t="shared" si="37"/>
        <v>5160</v>
      </c>
      <c r="T263" t="s">
        <v>3369</v>
      </c>
      <c r="U263" t="s">
        <v>18</v>
      </c>
    </row>
    <row r="264" spans="1:21" ht="15" customHeight="1" x14ac:dyDescent="0.3">
      <c r="A264" t="s">
        <v>179</v>
      </c>
      <c r="B264" t="str">
        <f>"00072456"</f>
        <v>00072456</v>
      </c>
      <c r="C264" t="s">
        <v>4290</v>
      </c>
      <c r="D264" t="s">
        <v>4390</v>
      </c>
      <c r="E264" t="str">
        <f>"00062812"</f>
        <v>00062812</v>
      </c>
      <c r="F264">
        <v>0</v>
      </c>
      <c r="G264" s="243">
        <v>40406</v>
      </c>
      <c r="H264" t="s">
        <v>182</v>
      </c>
      <c r="I264">
        <v>4</v>
      </c>
      <c r="J264">
        <v>7</v>
      </c>
      <c r="K264">
        <v>0.71</v>
      </c>
      <c r="L264">
        <v>26633.25</v>
      </c>
      <c r="M264" t="str">
        <f t="shared" si="34"/>
        <v>13</v>
      </c>
      <c r="N264" t="s">
        <v>3323</v>
      </c>
      <c r="O264" t="str">
        <f t="shared" si="36"/>
        <v>51611</v>
      </c>
      <c r="P264" t="str">
        <f>"2100L"</f>
        <v>2100L</v>
      </c>
      <c r="Q264" t="str">
        <f t="shared" si="35"/>
        <v>0101</v>
      </c>
      <c r="R264">
        <v>2100</v>
      </c>
      <c r="S264" t="str">
        <f t="shared" si="37"/>
        <v>5160</v>
      </c>
      <c r="T264" t="s">
        <v>3369</v>
      </c>
      <c r="U264" t="s">
        <v>18</v>
      </c>
    </row>
    <row r="265" spans="1:21" ht="15" customHeight="1" x14ac:dyDescent="0.3">
      <c r="A265" t="s">
        <v>179</v>
      </c>
      <c r="B265" t="str">
        <f>"00072589"</f>
        <v>00072589</v>
      </c>
      <c r="C265" t="s">
        <v>4274</v>
      </c>
      <c r="D265" t="s">
        <v>4391</v>
      </c>
      <c r="E265" t="str">
        <f>"00058501"</f>
        <v>00058501</v>
      </c>
      <c r="F265">
        <v>0</v>
      </c>
      <c r="G265" s="243">
        <v>40070</v>
      </c>
      <c r="H265" t="s">
        <v>182</v>
      </c>
      <c r="I265">
        <v>4</v>
      </c>
      <c r="J265">
        <v>3</v>
      </c>
      <c r="K265">
        <v>0.71</v>
      </c>
      <c r="L265">
        <v>23848.12</v>
      </c>
      <c r="M265" t="str">
        <f t="shared" si="34"/>
        <v>13</v>
      </c>
      <c r="N265" t="s">
        <v>3323</v>
      </c>
      <c r="O265" t="str">
        <f t="shared" si="36"/>
        <v>51611</v>
      </c>
      <c r="P265" t="str">
        <f>"2100L"</f>
        <v>2100L</v>
      </c>
      <c r="Q265" t="str">
        <f t="shared" si="35"/>
        <v>0101</v>
      </c>
      <c r="R265">
        <v>2100</v>
      </c>
      <c r="S265" t="str">
        <f t="shared" si="37"/>
        <v>5160</v>
      </c>
      <c r="T265" t="s">
        <v>3369</v>
      </c>
      <c r="U265" t="s">
        <v>18</v>
      </c>
    </row>
    <row r="266" spans="1:21" ht="15" customHeight="1" x14ac:dyDescent="0.3">
      <c r="A266" t="s">
        <v>179</v>
      </c>
      <c r="B266" t="str">
        <f>"00073769"</f>
        <v>00073769</v>
      </c>
      <c r="C266" t="s">
        <v>4260</v>
      </c>
      <c r="D266" t="s">
        <v>3373</v>
      </c>
      <c r="E266" t="str">
        <f>"00066039"</f>
        <v>00066039</v>
      </c>
      <c r="F266">
        <v>0</v>
      </c>
      <c r="G266" s="243">
        <v>40770</v>
      </c>
      <c r="H266" t="s">
        <v>182</v>
      </c>
      <c r="I266">
        <v>15</v>
      </c>
      <c r="J266">
        <v>3</v>
      </c>
      <c r="K266">
        <v>1</v>
      </c>
      <c r="L266">
        <v>55210</v>
      </c>
      <c r="M266" t="str">
        <f t="shared" si="34"/>
        <v>13</v>
      </c>
      <c r="N266" t="s">
        <v>3323</v>
      </c>
      <c r="O266" t="str">
        <f t="shared" si="36"/>
        <v>51611</v>
      </c>
      <c r="P266" t="str">
        <f>"3030L"</f>
        <v>3030L</v>
      </c>
      <c r="Q266" t="str">
        <f t="shared" si="35"/>
        <v>0101</v>
      </c>
      <c r="R266">
        <v>3030</v>
      </c>
      <c r="S266" t="str">
        <f t="shared" si="37"/>
        <v>5160</v>
      </c>
      <c r="T266" t="s">
        <v>3369</v>
      </c>
      <c r="U266" t="s">
        <v>18</v>
      </c>
    </row>
    <row r="267" spans="1:21" ht="15" customHeight="1" x14ac:dyDescent="0.3">
      <c r="A267" t="s">
        <v>179</v>
      </c>
      <c r="B267" t="str">
        <f>"00073995"</f>
        <v>00073995</v>
      </c>
      <c r="C267" t="s">
        <v>200</v>
      </c>
      <c r="D267" t="s">
        <v>3371</v>
      </c>
      <c r="E267" t="str">
        <f>"00054229"</f>
        <v>00054229</v>
      </c>
      <c r="F267">
        <v>0</v>
      </c>
      <c r="G267" s="243">
        <v>27882</v>
      </c>
      <c r="H267" t="s">
        <v>182</v>
      </c>
      <c r="I267">
        <v>15</v>
      </c>
      <c r="J267">
        <v>16</v>
      </c>
      <c r="K267">
        <v>1</v>
      </c>
      <c r="L267">
        <v>103347</v>
      </c>
      <c r="M267" t="str">
        <f t="shared" si="34"/>
        <v>13</v>
      </c>
      <c r="N267" t="s">
        <v>3323</v>
      </c>
      <c r="O267" t="str">
        <f t="shared" si="36"/>
        <v>51611</v>
      </c>
      <c r="P267" t="str">
        <f>"2100L"</f>
        <v>2100L</v>
      </c>
      <c r="Q267" t="str">
        <f t="shared" si="35"/>
        <v>0101</v>
      </c>
      <c r="R267">
        <v>2100</v>
      </c>
      <c r="S267" t="str">
        <f t="shared" si="37"/>
        <v>5160</v>
      </c>
      <c r="T267" t="s">
        <v>3369</v>
      </c>
      <c r="U267" t="s">
        <v>18</v>
      </c>
    </row>
    <row r="268" spans="1:21" ht="15" customHeight="1" x14ac:dyDescent="0.3">
      <c r="A268" t="s">
        <v>179</v>
      </c>
      <c r="B268" t="str">
        <f>"00074162"</f>
        <v>00074162</v>
      </c>
      <c r="C268" t="s">
        <v>4292</v>
      </c>
      <c r="D268" t="s">
        <v>4392</v>
      </c>
      <c r="E268" t="str">
        <f>"00065674"</f>
        <v>00065674</v>
      </c>
      <c r="F268">
        <v>0</v>
      </c>
      <c r="G268" s="243">
        <v>40770</v>
      </c>
      <c r="H268" t="s">
        <v>182</v>
      </c>
      <c r="I268">
        <v>4</v>
      </c>
      <c r="J268">
        <v>4</v>
      </c>
      <c r="K268">
        <v>0.71</v>
      </c>
      <c r="L268">
        <v>24543.75</v>
      </c>
      <c r="M268" t="str">
        <f t="shared" si="34"/>
        <v>13</v>
      </c>
      <c r="N268" t="s">
        <v>3323</v>
      </c>
      <c r="O268" t="str">
        <f t="shared" si="36"/>
        <v>51611</v>
      </c>
      <c r="P268" t="str">
        <f>"2100L"</f>
        <v>2100L</v>
      </c>
      <c r="Q268" t="str">
        <f t="shared" si="35"/>
        <v>0101</v>
      </c>
      <c r="R268">
        <v>2100</v>
      </c>
      <c r="S268" t="str">
        <f t="shared" si="37"/>
        <v>5160</v>
      </c>
      <c r="T268" t="s">
        <v>3369</v>
      </c>
      <c r="U268" t="s">
        <v>18</v>
      </c>
    </row>
    <row r="269" spans="1:21" ht="15" customHeight="1" x14ac:dyDescent="0.3">
      <c r="A269" t="s">
        <v>179</v>
      </c>
      <c r="B269" t="str">
        <f>"00074163"</f>
        <v>00074163</v>
      </c>
      <c r="C269" t="s">
        <v>4288</v>
      </c>
      <c r="D269" t="s">
        <v>4393</v>
      </c>
      <c r="E269" t="str">
        <f>"00065655"</f>
        <v>00065655</v>
      </c>
      <c r="F269">
        <v>0</v>
      </c>
      <c r="G269" s="243">
        <v>40770</v>
      </c>
      <c r="H269" t="s">
        <v>182</v>
      </c>
      <c r="I269">
        <v>4</v>
      </c>
      <c r="J269">
        <v>4</v>
      </c>
      <c r="K269">
        <v>0.71</v>
      </c>
      <c r="L269">
        <v>24543.75</v>
      </c>
      <c r="M269" t="str">
        <f t="shared" si="34"/>
        <v>13</v>
      </c>
      <c r="N269" t="s">
        <v>3323</v>
      </c>
      <c r="O269" t="str">
        <f t="shared" si="36"/>
        <v>51611</v>
      </c>
      <c r="P269" t="str">
        <f>"2200L"</f>
        <v>2200L</v>
      </c>
      <c r="Q269" t="str">
        <f t="shared" si="35"/>
        <v>0101</v>
      </c>
      <c r="R269">
        <v>2200</v>
      </c>
      <c r="S269" t="str">
        <f t="shared" si="37"/>
        <v>5160</v>
      </c>
      <c r="T269" t="s">
        <v>3369</v>
      </c>
      <c r="U269" t="s">
        <v>18</v>
      </c>
    </row>
    <row r="270" spans="1:21" ht="15" customHeight="1" x14ac:dyDescent="0.3">
      <c r="A270" t="s">
        <v>179</v>
      </c>
      <c r="B270" t="str">
        <f>"00075568"</f>
        <v>00075568</v>
      </c>
      <c r="C270" t="s">
        <v>3670</v>
      </c>
      <c r="D270" t="s">
        <v>4394</v>
      </c>
      <c r="E270" t="str">
        <f>"00048025"</f>
        <v>00048025</v>
      </c>
      <c r="F270">
        <v>0</v>
      </c>
      <c r="G270" s="243">
        <v>41122</v>
      </c>
      <c r="H270" t="s">
        <v>182</v>
      </c>
      <c r="I270">
        <v>8</v>
      </c>
      <c r="J270">
        <v>1</v>
      </c>
      <c r="K270">
        <v>1</v>
      </c>
      <c r="L270">
        <v>82397</v>
      </c>
      <c r="M270" t="str">
        <f t="shared" si="34"/>
        <v>13</v>
      </c>
      <c r="N270" t="s">
        <v>3370</v>
      </c>
      <c r="O270" t="str">
        <f t="shared" si="36"/>
        <v>51611</v>
      </c>
      <c r="P270" t="str">
        <f>"1501L"</f>
        <v>1501L</v>
      </c>
      <c r="Q270" t="str">
        <f t="shared" si="35"/>
        <v>0101</v>
      </c>
      <c r="R270">
        <v>1501</v>
      </c>
      <c r="S270" t="str">
        <f t="shared" si="37"/>
        <v>5160</v>
      </c>
      <c r="T270" t="s">
        <v>3369</v>
      </c>
      <c r="U270" t="s">
        <v>18</v>
      </c>
    </row>
    <row r="271" spans="1:21" ht="15" customHeight="1" x14ac:dyDescent="0.3">
      <c r="A271" t="s">
        <v>179</v>
      </c>
      <c r="B271" t="str">
        <f>"00075933"</f>
        <v>00075933</v>
      </c>
      <c r="C271" t="s">
        <v>4372</v>
      </c>
      <c r="D271" t="s">
        <v>462</v>
      </c>
      <c r="E271" t="str">
        <f>"00063071"</f>
        <v>00063071</v>
      </c>
      <c r="F271">
        <v>0</v>
      </c>
      <c r="G271" s="243">
        <v>40406</v>
      </c>
      <c r="H271" t="s">
        <v>182</v>
      </c>
      <c r="I271">
        <v>4</v>
      </c>
      <c r="J271">
        <v>10</v>
      </c>
      <c r="K271">
        <v>1</v>
      </c>
      <c r="L271">
        <v>32824</v>
      </c>
      <c r="M271" t="str">
        <f t="shared" si="34"/>
        <v>13</v>
      </c>
      <c r="N271" t="s">
        <v>3323</v>
      </c>
      <c r="O271" t="str">
        <f t="shared" si="36"/>
        <v>51611</v>
      </c>
      <c r="P271" t="str">
        <f>"2100L"</f>
        <v>2100L</v>
      </c>
      <c r="Q271" t="str">
        <f t="shared" si="35"/>
        <v>0101</v>
      </c>
      <c r="R271">
        <v>2100</v>
      </c>
      <c r="S271" t="str">
        <f t="shared" si="37"/>
        <v>5160</v>
      </c>
      <c r="T271" t="s">
        <v>3369</v>
      </c>
      <c r="U271" t="s">
        <v>18</v>
      </c>
    </row>
    <row r="272" spans="1:21" ht="15" customHeight="1" x14ac:dyDescent="0.3">
      <c r="A272" t="s">
        <v>179</v>
      </c>
      <c r="B272" t="str">
        <f>"00075935"</f>
        <v>00075935</v>
      </c>
      <c r="C272" t="s">
        <v>4395</v>
      </c>
      <c r="D272" t="s">
        <v>4396</v>
      </c>
      <c r="E272" t="str">
        <f>"00046733"</f>
        <v>00046733</v>
      </c>
      <c r="F272">
        <v>0</v>
      </c>
      <c r="G272" s="243">
        <v>41133</v>
      </c>
      <c r="H272" t="s">
        <v>182</v>
      </c>
      <c r="I272">
        <v>10</v>
      </c>
      <c r="J272">
        <v>9</v>
      </c>
      <c r="K272">
        <v>1</v>
      </c>
      <c r="L272">
        <v>84226</v>
      </c>
      <c r="M272" t="str">
        <f t="shared" si="34"/>
        <v>13</v>
      </c>
      <c r="N272" t="s">
        <v>3323</v>
      </c>
      <c r="O272" t="str">
        <f t="shared" si="36"/>
        <v>51611</v>
      </c>
      <c r="P272" t="str">
        <f>"2100L"</f>
        <v>2100L</v>
      </c>
      <c r="Q272" t="str">
        <f t="shared" si="35"/>
        <v>0101</v>
      </c>
      <c r="R272">
        <v>2100</v>
      </c>
      <c r="S272" t="str">
        <f t="shared" si="37"/>
        <v>5160</v>
      </c>
      <c r="T272" t="s">
        <v>3369</v>
      </c>
      <c r="U272" t="s">
        <v>18</v>
      </c>
    </row>
    <row r="273" spans="1:21" ht="15" customHeight="1" x14ac:dyDescent="0.3">
      <c r="A273" t="s">
        <v>179</v>
      </c>
      <c r="B273" t="str">
        <f>"00075936"</f>
        <v>00075936</v>
      </c>
      <c r="C273" t="s">
        <v>4271</v>
      </c>
      <c r="H273" t="s">
        <v>170</v>
      </c>
      <c r="I273">
        <v>15</v>
      </c>
      <c r="J273">
        <v>0</v>
      </c>
      <c r="K273">
        <v>0.5</v>
      </c>
      <c r="L273">
        <v>56693</v>
      </c>
      <c r="M273" t="str">
        <f t="shared" si="34"/>
        <v>13</v>
      </c>
      <c r="N273" t="s">
        <v>3323</v>
      </c>
      <c r="O273" t="str">
        <f t="shared" si="36"/>
        <v>51611</v>
      </c>
      <c r="P273" t="str">
        <f>"2100L"</f>
        <v>2100L</v>
      </c>
      <c r="Q273" t="str">
        <f t="shared" si="35"/>
        <v>0101</v>
      </c>
      <c r="R273">
        <v>2100</v>
      </c>
      <c r="S273" t="str">
        <f t="shared" si="37"/>
        <v>5160</v>
      </c>
      <c r="T273" t="s">
        <v>3369</v>
      </c>
      <c r="U273" t="s">
        <v>18</v>
      </c>
    </row>
    <row r="274" spans="1:21" ht="15" customHeight="1" x14ac:dyDescent="0.3">
      <c r="A274" t="s">
        <v>179</v>
      </c>
      <c r="B274" t="str">
        <f>"00076800"</f>
        <v>00076800</v>
      </c>
      <c r="C274" t="s">
        <v>4395</v>
      </c>
      <c r="D274" t="s">
        <v>4397</v>
      </c>
      <c r="E274" t="str">
        <f>"00066203"</f>
        <v>00066203</v>
      </c>
      <c r="F274">
        <v>0</v>
      </c>
      <c r="G274" s="243">
        <v>40763</v>
      </c>
      <c r="H274" t="s">
        <v>182</v>
      </c>
      <c r="I274">
        <v>10</v>
      </c>
      <c r="J274">
        <v>1</v>
      </c>
      <c r="K274">
        <v>1</v>
      </c>
      <c r="L274">
        <v>64547</v>
      </c>
      <c r="M274" t="str">
        <f t="shared" si="34"/>
        <v>13</v>
      </c>
      <c r="N274" t="s">
        <v>3370</v>
      </c>
      <c r="O274" t="str">
        <f t="shared" si="36"/>
        <v>51611</v>
      </c>
      <c r="P274" t="str">
        <f>"2100L"</f>
        <v>2100L</v>
      </c>
      <c r="Q274" t="str">
        <f t="shared" si="35"/>
        <v>0101</v>
      </c>
      <c r="R274">
        <v>2100</v>
      </c>
      <c r="S274" t="str">
        <f t="shared" si="37"/>
        <v>5160</v>
      </c>
      <c r="T274" t="s">
        <v>3369</v>
      </c>
      <c r="U274" t="s">
        <v>18</v>
      </c>
    </row>
    <row r="275" spans="1:21" ht="15" customHeight="1" x14ac:dyDescent="0.3">
      <c r="A275" t="s">
        <v>179</v>
      </c>
      <c r="B275" t="str">
        <f>"00055001"</f>
        <v>00055001</v>
      </c>
      <c r="C275" t="s">
        <v>4272</v>
      </c>
      <c r="D275" t="s">
        <v>464</v>
      </c>
      <c r="E275" t="str">
        <f>"00047708"</f>
        <v>00047708</v>
      </c>
      <c r="F275">
        <v>0</v>
      </c>
      <c r="G275" s="243">
        <v>38678</v>
      </c>
      <c r="H275" t="s">
        <v>182</v>
      </c>
      <c r="I275">
        <v>15</v>
      </c>
      <c r="J275">
        <v>12</v>
      </c>
      <c r="K275">
        <v>1</v>
      </c>
      <c r="L275">
        <v>87431</v>
      </c>
      <c r="M275" t="str">
        <f t="shared" si="34"/>
        <v>13</v>
      </c>
      <c r="N275" t="s">
        <v>3323</v>
      </c>
      <c r="O275" t="str">
        <f t="shared" ref="O275:O303" si="38">"52011"</f>
        <v>52011</v>
      </c>
      <c r="P275" t="str">
        <f>"2100L"</f>
        <v>2100L</v>
      </c>
      <c r="Q275" t="str">
        <f t="shared" si="35"/>
        <v>0101</v>
      </c>
      <c r="R275">
        <v>2100</v>
      </c>
      <c r="S275" t="str">
        <f t="shared" ref="S275:S303" si="39">"5200"</f>
        <v>5200</v>
      </c>
      <c r="T275" t="s">
        <v>3379</v>
      </c>
      <c r="U275" t="s">
        <v>117</v>
      </c>
    </row>
    <row r="276" spans="1:21" ht="15" customHeight="1" x14ac:dyDescent="0.3">
      <c r="A276" t="s">
        <v>179</v>
      </c>
      <c r="B276" t="str">
        <f>"00055004"</f>
        <v>00055004</v>
      </c>
      <c r="C276" t="s">
        <v>4274</v>
      </c>
      <c r="D276" t="s">
        <v>4398</v>
      </c>
      <c r="E276" t="str">
        <f>"00051725"</f>
        <v>00051725</v>
      </c>
      <c r="F276">
        <v>0</v>
      </c>
      <c r="G276" s="243">
        <v>38677</v>
      </c>
      <c r="H276" t="s">
        <v>182</v>
      </c>
      <c r="I276">
        <v>4</v>
      </c>
      <c r="J276">
        <v>9</v>
      </c>
      <c r="K276">
        <v>0.875</v>
      </c>
      <c r="L276">
        <v>28025.38</v>
      </c>
      <c r="M276" t="str">
        <f t="shared" si="34"/>
        <v>13</v>
      </c>
      <c r="N276" t="s">
        <v>3323</v>
      </c>
      <c r="O276" t="str">
        <f t="shared" si="38"/>
        <v>52011</v>
      </c>
      <c r="P276" t="str">
        <f>"2200L"</f>
        <v>2200L</v>
      </c>
      <c r="Q276" t="str">
        <f t="shared" si="35"/>
        <v>0101</v>
      </c>
      <c r="R276">
        <v>2200</v>
      </c>
      <c r="S276" t="str">
        <f t="shared" si="39"/>
        <v>5200</v>
      </c>
      <c r="T276" t="s">
        <v>3379</v>
      </c>
      <c r="U276" t="s">
        <v>117</v>
      </c>
    </row>
    <row r="277" spans="1:21" ht="15" customHeight="1" x14ac:dyDescent="0.3">
      <c r="A277" t="s">
        <v>179</v>
      </c>
      <c r="B277" t="str">
        <f>"00055182"</f>
        <v>00055182</v>
      </c>
      <c r="C277" t="s">
        <v>4272</v>
      </c>
      <c r="D277" t="s">
        <v>465</v>
      </c>
      <c r="E277" t="str">
        <f>"00047397"</f>
        <v>00047397</v>
      </c>
      <c r="F277">
        <v>0</v>
      </c>
      <c r="G277" s="243">
        <v>36397</v>
      </c>
      <c r="H277" t="s">
        <v>182</v>
      </c>
      <c r="I277">
        <v>15</v>
      </c>
      <c r="J277">
        <v>15</v>
      </c>
      <c r="K277">
        <v>1</v>
      </c>
      <c r="L277">
        <v>98285</v>
      </c>
      <c r="M277" t="str">
        <f t="shared" si="34"/>
        <v>13</v>
      </c>
      <c r="N277" t="s">
        <v>3323</v>
      </c>
      <c r="O277" t="str">
        <f t="shared" si="38"/>
        <v>52011</v>
      </c>
      <c r="P277" t="str">
        <f>"2200L"</f>
        <v>2200L</v>
      </c>
      <c r="Q277" t="str">
        <f t="shared" si="35"/>
        <v>0101</v>
      </c>
      <c r="R277">
        <v>2200</v>
      </c>
      <c r="S277" t="str">
        <f t="shared" si="39"/>
        <v>5200</v>
      </c>
      <c r="T277" t="s">
        <v>3379</v>
      </c>
      <c r="U277" t="s">
        <v>117</v>
      </c>
    </row>
    <row r="278" spans="1:21" ht="15" customHeight="1" x14ac:dyDescent="0.3">
      <c r="A278" t="s">
        <v>179</v>
      </c>
      <c r="B278" t="str">
        <f>"00056940"</f>
        <v>00056940</v>
      </c>
      <c r="C278" t="s">
        <v>4272</v>
      </c>
      <c r="D278" t="s">
        <v>3386</v>
      </c>
      <c r="E278" t="str">
        <f>"00065793"</f>
        <v>00065793</v>
      </c>
      <c r="F278">
        <v>0</v>
      </c>
      <c r="G278" s="243">
        <v>40755</v>
      </c>
      <c r="H278" t="s">
        <v>182</v>
      </c>
      <c r="I278">
        <v>15</v>
      </c>
      <c r="J278">
        <v>8</v>
      </c>
      <c r="K278">
        <v>1</v>
      </c>
      <c r="L278">
        <v>72171</v>
      </c>
      <c r="M278" t="str">
        <f t="shared" si="34"/>
        <v>13</v>
      </c>
      <c r="N278" t="s">
        <v>3323</v>
      </c>
      <c r="O278" t="str">
        <f t="shared" si="38"/>
        <v>52011</v>
      </c>
      <c r="P278" t="str">
        <f>"2100L"</f>
        <v>2100L</v>
      </c>
      <c r="Q278" t="str">
        <f t="shared" si="35"/>
        <v>0101</v>
      </c>
      <c r="R278">
        <v>2100</v>
      </c>
      <c r="S278" t="str">
        <f t="shared" si="39"/>
        <v>5200</v>
      </c>
      <c r="T278" t="s">
        <v>3379</v>
      </c>
      <c r="U278" t="s">
        <v>117</v>
      </c>
    </row>
    <row r="279" spans="1:21" ht="15" customHeight="1" x14ac:dyDescent="0.3">
      <c r="A279" t="s">
        <v>179</v>
      </c>
      <c r="B279" t="str">
        <f>"00057789"</f>
        <v>00057789</v>
      </c>
      <c r="C279" t="s">
        <v>4274</v>
      </c>
      <c r="D279" t="s">
        <v>4399</v>
      </c>
      <c r="E279" t="str">
        <f>"00046255"</f>
        <v>00046255</v>
      </c>
      <c r="F279">
        <v>0</v>
      </c>
      <c r="G279" s="243">
        <v>37607</v>
      </c>
      <c r="H279" t="s">
        <v>182</v>
      </c>
      <c r="I279">
        <v>4</v>
      </c>
      <c r="J279">
        <v>10</v>
      </c>
      <c r="K279">
        <v>0.875</v>
      </c>
      <c r="L279">
        <v>28721</v>
      </c>
      <c r="M279" t="str">
        <f t="shared" si="34"/>
        <v>13</v>
      </c>
      <c r="N279" t="s">
        <v>3323</v>
      </c>
      <c r="O279" t="str">
        <f t="shared" si="38"/>
        <v>52011</v>
      </c>
      <c r="P279" t="str">
        <f>"2200L"</f>
        <v>2200L</v>
      </c>
      <c r="Q279" t="str">
        <f t="shared" si="35"/>
        <v>0101</v>
      </c>
      <c r="R279">
        <v>2200</v>
      </c>
      <c r="S279" t="str">
        <f t="shared" si="39"/>
        <v>5200</v>
      </c>
      <c r="T279" t="s">
        <v>3379</v>
      </c>
      <c r="U279" t="s">
        <v>117</v>
      </c>
    </row>
    <row r="280" spans="1:21" ht="15" customHeight="1" x14ac:dyDescent="0.3">
      <c r="A280" t="s">
        <v>179</v>
      </c>
      <c r="B280" t="str">
        <f>"00057833"</f>
        <v>00057833</v>
      </c>
      <c r="C280" t="s">
        <v>4288</v>
      </c>
      <c r="D280" t="s">
        <v>4400</v>
      </c>
      <c r="E280" t="str">
        <f>"00069525"</f>
        <v>00069525</v>
      </c>
      <c r="F280">
        <v>0</v>
      </c>
      <c r="G280" s="243">
        <v>41133</v>
      </c>
      <c r="H280" t="s">
        <v>182</v>
      </c>
      <c r="I280">
        <v>4</v>
      </c>
      <c r="J280">
        <v>2</v>
      </c>
      <c r="K280">
        <v>0.875</v>
      </c>
      <c r="L280">
        <v>23151.63</v>
      </c>
      <c r="M280" t="str">
        <f t="shared" si="34"/>
        <v>13</v>
      </c>
      <c r="N280" t="s">
        <v>3370</v>
      </c>
      <c r="O280" t="str">
        <f t="shared" si="38"/>
        <v>52011</v>
      </c>
      <c r="P280" t="str">
        <f>"2200L"</f>
        <v>2200L</v>
      </c>
      <c r="Q280" t="str">
        <f t="shared" si="35"/>
        <v>0101</v>
      </c>
      <c r="R280">
        <v>2200</v>
      </c>
      <c r="S280" t="str">
        <f t="shared" si="39"/>
        <v>5200</v>
      </c>
      <c r="T280" t="s">
        <v>3379</v>
      </c>
      <c r="U280" t="s">
        <v>117</v>
      </c>
    </row>
    <row r="281" spans="1:21" ht="15" customHeight="1" x14ac:dyDescent="0.3">
      <c r="A281" t="s">
        <v>179</v>
      </c>
      <c r="B281" t="str">
        <f>"00058422"</f>
        <v>00058422</v>
      </c>
      <c r="C281" t="s">
        <v>4272</v>
      </c>
      <c r="D281" t="s">
        <v>478</v>
      </c>
      <c r="E281" t="str">
        <f>"00015164"</f>
        <v>00015164</v>
      </c>
      <c r="F281">
        <v>0</v>
      </c>
      <c r="G281" s="243">
        <v>40042</v>
      </c>
      <c r="H281" t="s">
        <v>182</v>
      </c>
      <c r="I281">
        <v>15</v>
      </c>
      <c r="J281">
        <v>2</v>
      </c>
      <c r="K281">
        <v>1</v>
      </c>
      <c r="L281">
        <v>56242</v>
      </c>
      <c r="M281" t="str">
        <f t="shared" si="34"/>
        <v>13</v>
      </c>
      <c r="N281" t="s">
        <v>3323</v>
      </c>
      <c r="O281" t="str">
        <f t="shared" si="38"/>
        <v>52011</v>
      </c>
      <c r="P281" t="str">
        <f>"2200L"</f>
        <v>2200L</v>
      </c>
      <c r="Q281" t="str">
        <f t="shared" si="35"/>
        <v>0101</v>
      </c>
      <c r="R281">
        <v>2200</v>
      </c>
      <c r="S281" t="str">
        <f t="shared" si="39"/>
        <v>5200</v>
      </c>
      <c r="T281" t="s">
        <v>3379</v>
      </c>
      <c r="U281" t="s">
        <v>117</v>
      </c>
    </row>
    <row r="282" spans="1:21" ht="15" customHeight="1" x14ac:dyDescent="0.3">
      <c r="A282" t="s">
        <v>179</v>
      </c>
      <c r="B282" t="str">
        <f>"00059346"</f>
        <v>00059346</v>
      </c>
      <c r="C282" t="s">
        <v>4262</v>
      </c>
      <c r="D282" t="s">
        <v>467</v>
      </c>
      <c r="E282" t="str">
        <f>"00045775"</f>
        <v>00045775</v>
      </c>
      <c r="F282">
        <v>0</v>
      </c>
      <c r="G282" s="243">
        <v>37861</v>
      </c>
      <c r="H282" t="s">
        <v>182</v>
      </c>
      <c r="I282">
        <v>15</v>
      </c>
      <c r="J282">
        <v>13</v>
      </c>
      <c r="K282">
        <v>1</v>
      </c>
      <c r="L282">
        <v>95366</v>
      </c>
      <c r="M282" t="str">
        <f t="shared" si="34"/>
        <v>13</v>
      </c>
      <c r="N282" t="s">
        <v>3323</v>
      </c>
      <c r="O282" t="str">
        <f t="shared" si="38"/>
        <v>52011</v>
      </c>
      <c r="P282" t="str">
        <f>"2100L"</f>
        <v>2100L</v>
      </c>
      <c r="Q282" t="str">
        <f t="shared" si="35"/>
        <v>0101</v>
      </c>
      <c r="R282">
        <v>2100</v>
      </c>
      <c r="S282" t="str">
        <f t="shared" si="39"/>
        <v>5200</v>
      </c>
      <c r="T282" t="s">
        <v>3379</v>
      </c>
      <c r="U282" t="s">
        <v>117</v>
      </c>
    </row>
    <row r="283" spans="1:21" ht="15" customHeight="1" x14ac:dyDescent="0.3">
      <c r="A283" t="s">
        <v>179</v>
      </c>
      <c r="B283" t="str">
        <f>"00059629"</f>
        <v>00059629</v>
      </c>
      <c r="C283" t="s">
        <v>4272</v>
      </c>
      <c r="D283" t="s">
        <v>468</v>
      </c>
      <c r="E283" t="str">
        <f>"00046482"</f>
        <v>00046482</v>
      </c>
      <c r="F283">
        <v>0</v>
      </c>
      <c r="G283" s="243">
        <v>38587</v>
      </c>
      <c r="H283" t="s">
        <v>182</v>
      </c>
      <c r="I283">
        <v>15</v>
      </c>
      <c r="J283">
        <v>13</v>
      </c>
      <c r="K283">
        <v>1</v>
      </c>
      <c r="L283">
        <v>97873</v>
      </c>
      <c r="M283" t="str">
        <f t="shared" si="34"/>
        <v>13</v>
      </c>
      <c r="N283" t="s">
        <v>3323</v>
      </c>
      <c r="O283" t="str">
        <f t="shared" si="38"/>
        <v>52011</v>
      </c>
      <c r="P283" t="str">
        <f>"2100L"</f>
        <v>2100L</v>
      </c>
      <c r="Q283" t="str">
        <f t="shared" si="35"/>
        <v>0101</v>
      </c>
      <c r="R283">
        <v>2100</v>
      </c>
      <c r="S283" t="str">
        <f t="shared" si="39"/>
        <v>5200</v>
      </c>
      <c r="T283" t="s">
        <v>3379</v>
      </c>
      <c r="U283" t="s">
        <v>117</v>
      </c>
    </row>
    <row r="284" spans="1:21" ht="15" customHeight="1" x14ac:dyDescent="0.3">
      <c r="A284" t="s">
        <v>179</v>
      </c>
      <c r="B284" t="str">
        <f>"00060326"</f>
        <v>00060326</v>
      </c>
      <c r="C284" t="s">
        <v>3798</v>
      </c>
      <c r="D284" t="s">
        <v>1456</v>
      </c>
      <c r="E284" t="str">
        <f>"00062366"</f>
        <v>00062366</v>
      </c>
      <c r="F284">
        <v>0</v>
      </c>
      <c r="G284" s="243">
        <v>40378</v>
      </c>
      <c r="H284" t="s">
        <v>182</v>
      </c>
      <c r="I284">
        <v>61</v>
      </c>
      <c r="J284">
        <v>2</v>
      </c>
      <c r="K284">
        <v>1</v>
      </c>
      <c r="L284">
        <v>105000</v>
      </c>
      <c r="M284" t="str">
        <f t="shared" si="34"/>
        <v>13</v>
      </c>
      <c r="N284" t="s">
        <v>3323</v>
      </c>
      <c r="O284" t="str">
        <f t="shared" si="38"/>
        <v>52011</v>
      </c>
      <c r="P284" t="str">
        <f>"1501L"</f>
        <v>1501L</v>
      </c>
      <c r="Q284" t="str">
        <f t="shared" si="35"/>
        <v>0101</v>
      </c>
      <c r="R284">
        <v>1501</v>
      </c>
      <c r="S284" t="str">
        <f t="shared" si="39"/>
        <v>5200</v>
      </c>
      <c r="T284" t="s">
        <v>3379</v>
      </c>
      <c r="U284" t="s">
        <v>117</v>
      </c>
    </row>
    <row r="285" spans="1:21" ht="15" customHeight="1" x14ac:dyDescent="0.3">
      <c r="A285" t="s">
        <v>179</v>
      </c>
      <c r="B285" t="str">
        <f>"00060894"</f>
        <v>00060894</v>
      </c>
      <c r="C285" t="s">
        <v>4262</v>
      </c>
      <c r="D285" t="s">
        <v>469</v>
      </c>
      <c r="E285" t="str">
        <f>"00048948"</f>
        <v>00048948</v>
      </c>
      <c r="F285">
        <v>0</v>
      </c>
      <c r="G285" s="243">
        <v>39314</v>
      </c>
      <c r="H285" t="s">
        <v>182</v>
      </c>
      <c r="I285">
        <v>15</v>
      </c>
      <c r="J285">
        <v>6</v>
      </c>
      <c r="K285">
        <v>1</v>
      </c>
      <c r="L285">
        <v>66078</v>
      </c>
      <c r="M285" t="str">
        <f t="shared" si="34"/>
        <v>13</v>
      </c>
      <c r="N285" t="s">
        <v>3323</v>
      </c>
      <c r="O285" t="str">
        <f t="shared" si="38"/>
        <v>52011</v>
      </c>
      <c r="P285" t="str">
        <f>"2100L"</f>
        <v>2100L</v>
      </c>
      <c r="Q285" t="str">
        <f t="shared" si="35"/>
        <v>0101</v>
      </c>
      <c r="R285">
        <v>2100</v>
      </c>
      <c r="S285" t="str">
        <f t="shared" si="39"/>
        <v>5200</v>
      </c>
      <c r="T285" t="s">
        <v>3379</v>
      </c>
      <c r="U285" t="s">
        <v>117</v>
      </c>
    </row>
    <row r="286" spans="1:21" ht="15" customHeight="1" x14ac:dyDescent="0.3">
      <c r="A286" t="s">
        <v>179</v>
      </c>
      <c r="B286" t="str">
        <f>"00061245"</f>
        <v>00061245</v>
      </c>
      <c r="C286" t="s">
        <v>4262</v>
      </c>
      <c r="D286" t="s">
        <v>4401</v>
      </c>
      <c r="E286" t="str">
        <f>"00047162"</f>
        <v>00047162</v>
      </c>
      <c r="F286">
        <v>0</v>
      </c>
      <c r="G286" s="243">
        <v>39314</v>
      </c>
      <c r="H286" t="s">
        <v>182</v>
      </c>
      <c r="I286">
        <v>15</v>
      </c>
      <c r="J286">
        <v>6</v>
      </c>
      <c r="K286">
        <v>1</v>
      </c>
      <c r="L286">
        <v>66078</v>
      </c>
      <c r="M286" t="str">
        <f t="shared" si="34"/>
        <v>13</v>
      </c>
      <c r="N286" t="s">
        <v>3323</v>
      </c>
      <c r="O286" t="str">
        <f t="shared" si="38"/>
        <v>52011</v>
      </c>
      <c r="P286" t="str">
        <f>"2200L"</f>
        <v>2200L</v>
      </c>
      <c r="Q286" t="str">
        <f t="shared" si="35"/>
        <v>0101</v>
      </c>
      <c r="R286">
        <v>2200</v>
      </c>
      <c r="S286" t="str">
        <f t="shared" si="39"/>
        <v>5200</v>
      </c>
      <c r="T286" t="s">
        <v>3379</v>
      </c>
      <c r="U286" t="s">
        <v>117</v>
      </c>
    </row>
    <row r="287" spans="1:21" ht="15" customHeight="1" x14ac:dyDescent="0.3">
      <c r="A287" t="s">
        <v>179</v>
      </c>
      <c r="B287" t="str">
        <f>"00061933"</f>
        <v>00061933</v>
      </c>
      <c r="C287" t="s">
        <v>4258</v>
      </c>
      <c r="D287" t="s">
        <v>3381</v>
      </c>
      <c r="E287" t="str">
        <f>"00065943"</f>
        <v>00065943</v>
      </c>
      <c r="F287">
        <v>0</v>
      </c>
      <c r="G287" s="243">
        <v>40755</v>
      </c>
      <c r="H287" t="s">
        <v>182</v>
      </c>
      <c r="I287">
        <v>15</v>
      </c>
      <c r="J287">
        <v>2</v>
      </c>
      <c r="K287">
        <v>1</v>
      </c>
      <c r="L287">
        <v>56242</v>
      </c>
      <c r="M287" t="str">
        <f t="shared" si="34"/>
        <v>13</v>
      </c>
      <c r="N287" t="s">
        <v>3323</v>
      </c>
      <c r="O287" t="str">
        <f t="shared" si="38"/>
        <v>52011</v>
      </c>
      <c r="P287" t="str">
        <f>"2100L"</f>
        <v>2100L</v>
      </c>
      <c r="Q287" t="str">
        <f t="shared" si="35"/>
        <v>0101</v>
      </c>
      <c r="R287">
        <v>2100</v>
      </c>
      <c r="S287" t="str">
        <f t="shared" si="39"/>
        <v>5200</v>
      </c>
      <c r="T287" t="s">
        <v>3379</v>
      </c>
      <c r="U287" t="s">
        <v>117</v>
      </c>
    </row>
    <row r="288" spans="1:21" ht="15" customHeight="1" x14ac:dyDescent="0.3">
      <c r="A288" t="s">
        <v>179</v>
      </c>
      <c r="B288" t="str">
        <f>"00062132"</f>
        <v>00062132</v>
      </c>
      <c r="C288" t="s">
        <v>4262</v>
      </c>
      <c r="D288" t="s">
        <v>471</v>
      </c>
      <c r="E288" t="str">
        <f>"00044645"</f>
        <v>00044645</v>
      </c>
      <c r="F288">
        <v>0</v>
      </c>
      <c r="G288" s="243">
        <v>39679</v>
      </c>
      <c r="H288" t="s">
        <v>182</v>
      </c>
      <c r="I288">
        <v>15</v>
      </c>
      <c r="J288">
        <v>8</v>
      </c>
      <c r="K288">
        <v>1</v>
      </c>
      <c r="L288">
        <v>72171</v>
      </c>
      <c r="M288" t="str">
        <f t="shared" si="34"/>
        <v>13</v>
      </c>
      <c r="N288" t="s">
        <v>3323</v>
      </c>
      <c r="O288" t="str">
        <f t="shared" si="38"/>
        <v>52011</v>
      </c>
      <c r="P288" t="str">
        <f>"2100L"</f>
        <v>2100L</v>
      </c>
      <c r="Q288" t="str">
        <f t="shared" si="35"/>
        <v>0101</v>
      </c>
      <c r="R288">
        <v>2100</v>
      </c>
      <c r="S288" t="str">
        <f t="shared" si="39"/>
        <v>5200</v>
      </c>
      <c r="T288" t="s">
        <v>3379</v>
      </c>
      <c r="U288" t="s">
        <v>117</v>
      </c>
    </row>
    <row r="289" spans="1:21" ht="15" customHeight="1" x14ac:dyDescent="0.3">
      <c r="A289" t="s">
        <v>179</v>
      </c>
      <c r="B289" t="str">
        <f>"00062672"</f>
        <v>00062672</v>
      </c>
      <c r="C289" t="s">
        <v>4274</v>
      </c>
      <c r="D289" t="s">
        <v>4402</v>
      </c>
      <c r="E289" t="str">
        <f>"00046803"</f>
        <v>00046803</v>
      </c>
      <c r="F289">
        <v>0</v>
      </c>
      <c r="G289" s="243">
        <v>39729</v>
      </c>
      <c r="H289" t="s">
        <v>182</v>
      </c>
      <c r="I289">
        <v>4</v>
      </c>
      <c r="J289">
        <v>7</v>
      </c>
      <c r="K289">
        <v>0.875</v>
      </c>
      <c r="L289">
        <v>26633.25</v>
      </c>
      <c r="M289" t="str">
        <f t="shared" si="34"/>
        <v>13</v>
      </c>
      <c r="N289" t="s">
        <v>3323</v>
      </c>
      <c r="O289" t="str">
        <f t="shared" si="38"/>
        <v>52011</v>
      </c>
      <c r="P289" t="str">
        <f>"2200L"</f>
        <v>2200L</v>
      </c>
      <c r="Q289" t="str">
        <f t="shared" si="35"/>
        <v>0101</v>
      </c>
      <c r="R289">
        <v>2200</v>
      </c>
      <c r="S289" t="str">
        <f t="shared" si="39"/>
        <v>5200</v>
      </c>
      <c r="T289" t="s">
        <v>3379</v>
      </c>
      <c r="U289" t="s">
        <v>117</v>
      </c>
    </row>
    <row r="290" spans="1:21" ht="15" customHeight="1" x14ac:dyDescent="0.3">
      <c r="A290" t="s">
        <v>179</v>
      </c>
      <c r="B290" t="str">
        <f>"00065688"</f>
        <v>00065688</v>
      </c>
      <c r="C290" t="s">
        <v>4262</v>
      </c>
      <c r="D290" t="s">
        <v>3382</v>
      </c>
      <c r="E290" t="str">
        <f>"00057498"</f>
        <v>00057498</v>
      </c>
      <c r="F290">
        <v>0</v>
      </c>
      <c r="G290" s="243">
        <v>40042</v>
      </c>
      <c r="H290" t="s">
        <v>182</v>
      </c>
      <c r="I290">
        <v>15</v>
      </c>
      <c r="J290">
        <v>4</v>
      </c>
      <c r="K290">
        <v>1</v>
      </c>
      <c r="L290">
        <v>61158</v>
      </c>
      <c r="M290" t="str">
        <f t="shared" si="34"/>
        <v>13</v>
      </c>
      <c r="N290" t="s">
        <v>3323</v>
      </c>
      <c r="O290" t="str">
        <f t="shared" si="38"/>
        <v>52011</v>
      </c>
      <c r="P290" t="str">
        <f>"2100L"</f>
        <v>2100L</v>
      </c>
      <c r="Q290" t="str">
        <f t="shared" si="35"/>
        <v>0101</v>
      </c>
      <c r="R290">
        <v>2100</v>
      </c>
      <c r="S290" t="str">
        <f t="shared" si="39"/>
        <v>5200</v>
      </c>
      <c r="T290" t="s">
        <v>3379</v>
      </c>
      <c r="U290" t="s">
        <v>117</v>
      </c>
    </row>
    <row r="291" spans="1:21" ht="15" customHeight="1" x14ac:dyDescent="0.3">
      <c r="A291" t="s">
        <v>179</v>
      </c>
      <c r="B291" t="str">
        <f>"00065689"</f>
        <v>00065689</v>
      </c>
      <c r="C291" t="s">
        <v>4260</v>
      </c>
      <c r="D291" t="s">
        <v>472</v>
      </c>
      <c r="E291" t="str">
        <f>"00057139"</f>
        <v>00057139</v>
      </c>
      <c r="F291">
        <v>0</v>
      </c>
      <c r="G291" s="243">
        <v>40042</v>
      </c>
      <c r="H291" t="s">
        <v>182</v>
      </c>
      <c r="I291">
        <v>15</v>
      </c>
      <c r="J291">
        <v>12</v>
      </c>
      <c r="K291">
        <v>1</v>
      </c>
      <c r="L291">
        <v>87431</v>
      </c>
      <c r="M291" t="str">
        <f t="shared" si="34"/>
        <v>13</v>
      </c>
      <c r="N291" t="s">
        <v>3323</v>
      </c>
      <c r="O291" t="str">
        <f t="shared" si="38"/>
        <v>52011</v>
      </c>
      <c r="P291" t="str">
        <f>"2100L"</f>
        <v>2100L</v>
      </c>
      <c r="Q291" t="str">
        <f t="shared" si="35"/>
        <v>0101</v>
      </c>
      <c r="R291">
        <v>2100</v>
      </c>
      <c r="S291" t="str">
        <f t="shared" si="39"/>
        <v>5200</v>
      </c>
      <c r="T291" t="s">
        <v>3379</v>
      </c>
      <c r="U291" t="s">
        <v>117</v>
      </c>
    </row>
    <row r="292" spans="1:21" ht="15" customHeight="1" x14ac:dyDescent="0.3">
      <c r="A292" t="s">
        <v>179</v>
      </c>
      <c r="B292" t="str">
        <f>"00065690"</f>
        <v>00065690</v>
      </c>
      <c r="C292" t="s">
        <v>4263</v>
      </c>
      <c r="D292" t="s">
        <v>2578</v>
      </c>
      <c r="E292" t="str">
        <f>"00050728"</f>
        <v>00050728</v>
      </c>
      <c r="F292">
        <v>0</v>
      </c>
      <c r="G292" s="243">
        <v>38587</v>
      </c>
      <c r="H292" t="s">
        <v>182</v>
      </c>
      <c r="I292">
        <v>15</v>
      </c>
      <c r="J292">
        <v>14</v>
      </c>
      <c r="K292">
        <v>1</v>
      </c>
      <c r="L292">
        <v>96460</v>
      </c>
      <c r="M292" t="str">
        <f t="shared" si="34"/>
        <v>13</v>
      </c>
      <c r="N292" t="s">
        <v>3323</v>
      </c>
      <c r="O292" t="str">
        <f t="shared" si="38"/>
        <v>52011</v>
      </c>
      <c r="P292" t="str">
        <f>"2100L"</f>
        <v>2100L</v>
      </c>
      <c r="Q292" t="str">
        <f t="shared" si="35"/>
        <v>0101</v>
      </c>
      <c r="R292">
        <v>2100</v>
      </c>
      <c r="S292" t="str">
        <f t="shared" si="39"/>
        <v>5200</v>
      </c>
      <c r="T292" t="s">
        <v>3379</v>
      </c>
      <c r="U292" t="s">
        <v>117</v>
      </c>
    </row>
    <row r="293" spans="1:21" ht="15" customHeight="1" x14ac:dyDescent="0.3">
      <c r="A293" t="s">
        <v>179</v>
      </c>
      <c r="B293" t="str">
        <f>"00065691"</f>
        <v>00065691</v>
      </c>
      <c r="C293" t="s">
        <v>4262</v>
      </c>
      <c r="D293" t="s">
        <v>473</v>
      </c>
      <c r="E293" t="str">
        <f>"00062026"</f>
        <v>00062026</v>
      </c>
      <c r="F293">
        <v>0</v>
      </c>
      <c r="G293" s="243">
        <v>40406</v>
      </c>
      <c r="H293" t="s">
        <v>182</v>
      </c>
      <c r="I293">
        <v>15</v>
      </c>
      <c r="J293">
        <v>11</v>
      </c>
      <c r="K293">
        <v>1</v>
      </c>
      <c r="L293">
        <v>81335</v>
      </c>
      <c r="M293" t="str">
        <f t="shared" si="34"/>
        <v>13</v>
      </c>
      <c r="N293" t="s">
        <v>3323</v>
      </c>
      <c r="O293" t="str">
        <f t="shared" si="38"/>
        <v>52011</v>
      </c>
      <c r="P293" t="str">
        <f>"2100L"</f>
        <v>2100L</v>
      </c>
      <c r="Q293" t="str">
        <f t="shared" si="35"/>
        <v>0101</v>
      </c>
      <c r="R293">
        <v>2100</v>
      </c>
      <c r="S293" t="str">
        <f t="shared" si="39"/>
        <v>5200</v>
      </c>
      <c r="T293" t="s">
        <v>3379</v>
      </c>
      <c r="U293" t="s">
        <v>117</v>
      </c>
    </row>
    <row r="294" spans="1:21" ht="15" customHeight="1" x14ac:dyDescent="0.3">
      <c r="A294" t="s">
        <v>179</v>
      </c>
      <c r="B294" t="str">
        <f>"00065692"</f>
        <v>00065692</v>
      </c>
      <c r="C294" t="s">
        <v>4262</v>
      </c>
      <c r="D294" t="s">
        <v>474</v>
      </c>
      <c r="E294" t="str">
        <f>"00057266"</f>
        <v>00057266</v>
      </c>
      <c r="F294">
        <v>0</v>
      </c>
      <c r="G294" s="243">
        <v>40042</v>
      </c>
      <c r="H294" t="s">
        <v>182</v>
      </c>
      <c r="I294">
        <v>15</v>
      </c>
      <c r="J294">
        <v>13</v>
      </c>
      <c r="K294">
        <v>1</v>
      </c>
      <c r="L294">
        <v>95366</v>
      </c>
      <c r="M294" t="str">
        <f t="shared" si="34"/>
        <v>13</v>
      </c>
      <c r="N294" t="s">
        <v>3323</v>
      </c>
      <c r="O294" t="str">
        <f t="shared" si="38"/>
        <v>52011</v>
      </c>
      <c r="P294" t="str">
        <f>"2100L"</f>
        <v>2100L</v>
      </c>
      <c r="Q294" t="str">
        <f t="shared" si="35"/>
        <v>0101</v>
      </c>
      <c r="R294">
        <v>2100</v>
      </c>
      <c r="S294" t="str">
        <f t="shared" si="39"/>
        <v>5200</v>
      </c>
      <c r="T294" t="s">
        <v>3379</v>
      </c>
      <c r="U294" t="s">
        <v>117</v>
      </c>
    </row>
    <row r="295" spans="1:21" ht="15" customHeight="1" x14ac:dyDescent="0.3">
      <c r="A295" t="s">
        <v>179</v>
      </c>
      <c r="B295" t="str">
        <f>"00065986"</f>
        <v>00065986</v>
      </c>
      <c r="C295" t="s">
        <v>4288</v>
      </c>
      <c r="D295" t="s">
        <v>4403</v>
      </c>
      <c r="E295" t="str">
        <f>"00066115"</f>
        <v>00066115</v>
      </c>
      <c r="F295">
        <v>0</v>
      </c>
      <c r="G295" s="243">
        <v>40770</v>
      </c>
      <c r="H295" t="s">
        <v>182</v>
      </c>
      <c r="I295">
        <v>4</v>
      </c>
      <c r="J295">
        <v>4</v>
      </c>
      <c r="K295">
        <v>1</v>
      </c>
      <c r="L295">
        <v>24543.75</v>
      </c>
      <c r="M295" t="str">
        <f t="shared" si="34"/>
        <v>13</v>
      </c>
      <c r="N295" t="s">
        <v>3323</v>
      </c>
      <c r="O295" t="str">
        <f t="shared" si="38"/>
        <v>52011</v>
      </c>
      <c r="P295" t="str">
        <f>"2200L"</f>
        <v>2200L</v>
      </c>
      <c r="Q295" t="str">
        <f t="shared" si="35"/>
        <v>0101</v>
      </c>
      <c r="R295">
        <v>2200</v>
      </c>
      <c r="S295" t="str">
        <f t="shared" si="39"/>
        <v>5200</v>
      </c>
      <c r="T295" t="s">
        <v>3379</v>
      </c>
      <c r="U295" t="s">
        <v>117</v>
      </c>
    </row>
    <row r="296" spans="1:21" ht="15" customHeight="1" x14ac:dyDescent="0.3">
      <c r="A296" t="s">
        <v>179</v>
      </c>
      <c r="B296" t="str">
        <f>"00066320"</f>
        <v>00066320</v>
      </c>
      <c r="C296" t="s">
        <v>4259</v>
      </c>
      <c r="D296" t="s">
        <v>475</v>
      </c>
      <c r="E296" t="str">
        <f>"00057075"</f>
        <v>00057075</v>
      </c>
      <c r="F296">
        <v>0</v>
      </c>
      <c r="G296" s="243">
        <v>40042</v>
      </c>
      <c r="H296" t="s">
        <v>182</v>
      </c>
      <c r="I296">
        <v>15</v>
      </c>
      <c r="J296">
        <v>12</v>
      </c>
      <c r="K296">
        <v>1</v>
      </c>
      <c r="L296">
        <v>89887</v>
      </c>
      <c r="M296" t="str">
        <f t="shared" si="34"/>
        <v>13</v>
      </c>
      <c r="N296" t="s">
        <v>3323</v>
      </c>
      <c r="O296" t="str">
        <f t="shared" si="38"/>
        <v>52011</v>
      </c>
      <c r="P296" t="str">
        <f>"2100L"</f>
        <v>2100L</v>
      </c>
      <c r="Q296" t="str">
        <f t="shared" si="35"/>
        <v>0101</v>
      </c>
      <c r="R296">
        <v>2100</v>
      </c>
      <c r="S296" t="str">
        <f t="shared" si="39"/>
        <v>5200</v>
      </c>
      <c r="T296" t="s">
        <v>3379</v>
      </c>
      <c r="U296" t="s">
        <v>117</v>
      </c>
    </row>
    <row r="297" spans="1:21" ht="15" customHeight="1" x14ac:dyDescent="0.3">
      <c r="A297" t="s">
        <v>179</v>
      </c>
      <c r="B297" t="str">
        <f>"00066842"</f>
        <v>00066842</v>
      </c>
      <c r="C297" t="s">
        <v>4272</v>
      </c>
      <c r="D297" t="s">
        <v>476</v>
      </c>
      <c r="E297" t="str">
        <f>"00057378"</f>
        <v>00057378</v>
      </c>
      <c r="F297">
        <v>0</v>
      </c>
      <c r="G297" s="243">
        <v>40042</v>
      </c>
      <c r="H297" t="s">
        <v>182</v>
      </c>
      <c r="I297">
        <v>15</v>
      </c>
      <c r="J297">
        <v>14</v>
      </c>
      <c r="K297">
        <v>1</v>
      </c>
      <c r="L297">
        <v>98967</v>
      </c>
      <c r="M297" t="str">
        <f t="shared" si="34"/>
        <v>13</v>
      </c>
      <c r="N297" t="s">
        <v>3323</v>
      </c>
      <c r="O297" t="str">
        <f t="shared" si="38"/>
        <v>52011</v>
      </c>
      <c r="P297" t="str">
        <f>"2100L"</f>
        <v>2100L</v>
      </c>
      <c r="Q297" t="str">
        <f t="shared" si="35"/>
        <v>0101</v>
      </c>
      <c r="R297">
        <v>2100</v>
      </c>
      <c r="S297" t="str">
        <f t="shared" si="39"/>
        <v>5200</v>
      </c>
      <c r="T297" t="s">
        <v>3379</v>
      </c>
      <c r="U297" t="s">
        <v>117</v>
      </c>
    </row>
    <row r="298" spans="1:21" ht="15" customHeight="1" x14ac:dyDescent="0.3">
      <c r="A298" t="s">
        <v>179</v>
      </c>
      <c r="B298" t="str">
        <f>"00066843"</f>
        <v>00066843</v>
      </c>
      <c r="C298" t="s">
        <v>4262</v>
      </c>
      <c r="D298" t="s">
        <v>477</v>
      </c>
      <c r="E298" t="str">
        <f>"00059654"</f>
        <v>00059654</v>
      </c>
      <c r="F298">
        <v>0</v>
      </c>
      <c r="G298" s="243">
        <v>40125</v>
      </c>
      <c r="H298" t="s">
        <v>182</v>
      </c>
      <c r="I298">
        <v>15</v>
      </c>
      <c r="J298">
        <v>6</v>
      </c>
      <c r="K298">
        <v>1</v>
      </c>
      <c r="L298">
        <v>66078</v>
      </c>
      <c r="M298" t="str">
        <f t="shared" si="34"/>
        <v>13</v>
      </c>
      <c r="N298" t="s">
        <v>3323</v>
      </c>
      <c r="O298" t="str">
        <f t="shared" si="38"/>
        <v>52011</v>
      </c>
      <c r="P298" t="str">
        <f>"2100L"</f>
        <v>2100L</v>
      </c>
      <c r="Q298" t="str">
        <f t="shared" si="35"/>
        <v>0101</v>
      </c>
      <c r="R298">
        <v>2100</v>
      </c>
      <c r="S298" t="str">
        <f t="shared" si="39"/>
        <v>5200</v>
      </c>
      <c r="T298" t="s">
        <v>3379</v>
      </c>
      <c r="U298" t="s">
        <v>117</v>
      </c>
    </row>
    <row r="299" spans="1:21" ht="15" customHeight="1" x14ac:dyDescent="0.3">
      <c r="A299" t="s">
        <v>179</v>
      </c>
      <c r="B299" t="str">
        <f>"00066844"</f>
        <v>00066844</v>
      </c>
      <c r="C299" t="s">
        <v>4270</v>
      </c>
      <c r="D299" t="s">
        <v>4404</v>
      </c>
      <c r="E299" t="str">
        <f>"00057082"</f>
        <v>00057082</v>
      </c>
      <c r="F299">
        <v>0</v>
      </c>
      <c r="G299" s="243">
        <v>40042</v>
      </c>
      <c r="H299" t="s">
        <v>182</v>
      </c>
      <c r="I299">
        <v>15</v>
      </c>
      <c r="J299">
        <v>10</v>
      </c>
      <c r="K299">
        <v>1</v>
      </c>
      <c r="L299">
        <v>78273</v>
      </c>
      <c r="M299" t="str">
        <f t="shared" si="34"/>
        <v>13</v>
      </c>
      <c r="N299" t="s">
        <v>3323</v>
      </c>
      <c r="O299" t="str">
        <f t="shared" si="38"/>
        <v>52011</v>
      </c>
      <c r="P299" t="str">
        <f>"2100L"</f>
        <v>2100L</v>
      </c>
      <c r="Q299" t="str">
        <f t="shared" si="35"/>
        <v>0101</v>
      </c>
      <c r="R299">
        <v>2100</v>
      </c>
      <c r="S299" t="str">
        <f t="shared" si="39"/>
        <v>5200</v>
      </c>
      <c r="T299" t="s">
        <v>3379</v>
      </c>
      <c r="U299" t="s">
        <v>117</v>
      </c>
    </row>
    <row r="300" spans="1:21" ht="15" customHeight="1" x14ac:dyDescent="0.3">
      <c r="A300" t="s">
        <v>179</v>
      </c>
      <c r="B300" t="str">
        <f>"00066939"</f>
        <v>00066939</v>
      </c>
      <c r="C300" t="s">
        <v>4290</v>
      </c>
      <c r="D300" t="s">
        <v>4405</v>
      </c>
      <c r="E300" t="str">
        <f>"00057363"</f>
        <v>00057363</v>
      </c>
      <c r="F300">
        <v>0</v>
      </c>
      <c r="G300" s="243">
        <v>40042</v>
      </c>
      <c r="H300" t="s">
        <v>182</v>
      </c>
      <c r="I300">
        <v>4</v>
      </c>
      <c r="J300">
        <v>5</v>
      </c>
      <c r="K300">
        <v>1</v>
      </c>
      <c r="L300">
        <v>25239.37</v>
      </c>
      <c r="M300" t="str">
        <f t="shared" si="34"/>
        <v>13</v>
      </c>
      <c r="N300" t="s">
        <v>3323</v>
      </c>
      <c r="O300" t="str">
        <f t="shared" si="38"/>
        <v>52011</v>
      </c>
      <c r="P300" t="str">
        <f>"2200L"</f>
        <v>2200L</v>
      </c>
      <c r="Q300" t="str">
        <f t="shared" si="35"/>
        <v>0101</v>
      </c>
      <c r="R300">
        <v>2200</v>
      </c>
      <c r="S300" t="str">
        <f t="shared" si="39"/>
        <v>5200</v>
      </c>
      <c r="T300" t="s">
        <v>3379</v>
      </c>
      <c r="U300" t="s">
        <v>117</v>
      </c>
    </row>
    <row r="301" spans="1:21" ht="15" customHeight="1" x14ac:dyDescent="0.3">
      <c r="A301" t="s">
        <v>179</v>
      </c>
      <c r="B301" t="str">
        <f>"00066947"</f>
        <v>00066947</v>
      </c>
      <c r="C301" t="s">
        <v>4274</v>
      </c>
      <c r="D301" t="s">
        <v>4406</v>
      </c>
      <c r="E301" t="str">
        <f>"00064535"</f>
        <v>00064535</v>
      </c>
      <c r="F301">
        <v>0</v>
      </c>
      <c r="G301" s="243">
        <v>40567</v>
      </c>
      <c r="H301" t="s">
        <v>182</v>
      </c>
      <c r="I301">
        <v>4</v>
      </c>
      <c r="J301">
        <v>6</v>
      </c>
      <c r="K301">
        <v>1</v>
      </c>
      <c r="L301">
        <v>25935.88</v>
      </c>
      <c r="M301" t="str">
        <f t="shared" si="34"/>
        <v>13</v>
      </c>
      <c r="N301" t="s">
        <v>3323</v>
      </c>
      <c r="O301" t="str">
        <f t="shared" si="38"/>
        <v>52011</v>
      </c>
      <c r="P301" t="str">
        <f>"2200L"</f>
        <v>2200L</v>
      </c>
      <c r="Q301" t="str">
        <f t="shared" si="35"/>
        <v>0101</v>
      </c>
      <c r="R301">
        <v>2200</v>
      </c>
      <c r="S301" t="str">
        <f t="shared" si="39"/>
        <v>5200</v>
      </c>
      <c r="T301" t="s">
        <v>3379</v>
      </c>
      <c r="U301" t="s">
        <v>117</v>
      </c>
    </row>
    <row r="302" spans="1:21" ht="15" customHeight="1" x14ac:dyDescent="0.3">
      <c r="A302" t="s">
        <v>179</v>
      </c>
      <c r="B302" t="str">
        <f>"00066955"</f>
        <v>00066955</v>
      </c>
      <c r="C302" t="s">
        <v>4260</v>
      </c>
      <c r="D302" t="s">
        <v>479</v>
      </c>
      <c r="E302" t="str">
        <f>"00062894"</f>
        <v>00062894</v>
      </c>
      <c r="F302">
        <v>0</v>
      </c>
      <c r="G302" s="243">
        <v>40406</v>
      </c>
      <c r="H302" t="s">
        <v>182</v>
      </c>
      <c r="I302">
        <v>15</v>
      </c>
      <c r="J302">
        <v>11</v>
      </c>
      <c r="K302">
        <v>1</v>
      </c>
      <c r="L302">
        <v>81335</v>
      </c>
      <c r="M302" t="str">
        <f t="shared" si="34"/>
        <v>13</v>
      </c>
      <c r="N302" t="s">
        <v>3323</v>
      </c>
      <c r="O302" t="str">
        <f t="shared" si="38"/>
        <v>52011</v>
      </c>
      <c r="P302" t="str">
        <f>"2100L"</f>
        <v>2100L</v>
      </c>
      <c r="Q302" t="str">
        <f t="shared" si="35"/>
        <v>0101</v>
      </c>
      <c r="R302">
        <v>2100</v>
      </c>
      <c r="S302" t="str">
        <f t="shared" si="39"/>
        <v>5200</v>
      </c>
      <c r="T302" t="s">
        <v>3379</v>
      </c>
      <c r="U302" t="s">
        <v>117</v>
      </c>
    </row>
    <row r="303" spans="1:21" ht="15" customHeight="1" x14ac:dyDescent="0.3">
      <c r="A303" t="s">
        <v>179</v>
      </c>
      <c r="B303" t="str">
        <f>"00068345"</f>
        <v>00068345</v>
      </c>
      <c r="C303" t="s">
        <v>4262</v>
      </c>
      <c r="D303" t="s">
        <v>480</v>
      </c>
      <c r="E303" t="str">
        <f>"00060102"</f>
        <v>00060102</v>
      </c>
      <c r="F303">
        <v>0</v>
      </c>
      <c r="G303" s="243">
        <v>40182</v>
      </c>
      <c r="H303" t="s">
        <v>182</v>
      </c>
      <c r="I303">
        <v>15</v>
      </c>
      <c r="J303">
        <v>12</v>
      </c>
      <c r="K303">
        <v>1</v>
      </c>
      <c r="L303">
        <v>87431</v>
      </c>
      <c r="M303" t="str">
        <f t="shared" ref="M303:M359" si="40">"13"</f>
        <v>13</v>
      </c>
      <c r="N303" t="s">
        <v>3323</v>
      </c>
      <c r="O303" t="str">
        <f t="shared" si="38"/>
        <v>52011</v>
      </c>
      <c r="P303" t="str">
        <f>"2100L"</f>
        <v>2100L</v>
      </c>
      <c r="Q303" t="str">
        <f t="shared" ref="Q303:Q359" si="41">"0101"</f>
        <v>0101</v>
      </c>
      <c r="R303">
        <v>2100</v>
      </c>
      <c r="S303" t="str">
        <f t="shared" si="39"/>
        <v>5200</v>
      </c>
      <c r="T303" t="s">
        <v>3379</v>
      </c>
      <c r="U303" t="s">
        <v>117</v>
      </c>
    </row>
    <row r="304" spans="1:21" ht="15" customHeight="1" x14ac:dyDescent="0.3">
      <c r="A304" t="s">
        <v>179</v>
      </c>
      <c r="B304" t="str">
        <f>"00071840"</f>
        <v>00071840</v>
      </c>
      <c r="C304" t="s">
        <v>4306</v>
      </c>
      <c r="D304" t="s">
        <v>4407</v>
      </c>
      <c r="E304" t="str">
        <f>"00063501"</f>
        <v>00063501</v>
      </c>
      <c r="F304">
        <v>0</v>
      </c>
      <c r="G304" s="243">
        <v>40450</v>
      </c>
      <c r="H304" t="s">
        <v>182</v>
      </c>
      <c r="I304">
        <v>9</v>
      </c>
      <c r="J304">
        <v>2</v>
      </c>
      <c r="K304">
        <v>0.5</v>
      </c>
      <c r="L304">
        <v>34226</v>
      </c>
      <c r="M304" t="str">
        <f t="shared" si="40"/>
        <v>13</v>
      </c>
      <c r="N304" t="s">
        <v>3323</v>
      </c>
      <c r="O304" t="str">
        <f t="shared" ref="O304:O321" si="42">"52011"</f>
        <v>52011</v>
      </c>
      <c r="P304" t="str">
        <f>"1502L"</f>
        <v>1502L</v>
      </c>
      <c r="Q304" t="str">
        <f t="shared" si="41"/>
        <v>0101</v>
      </c>
      <c r="R304">
        <v>1502</v>
      </c>
      <c r="S304" t="str">
        <f t="shared" ref="S304:S321" si="43">"5200"</f>
        <v>5200</v>
      </c>
      <c r="T304" t="s">
        <v>3379</v>
      </c>
      <c r="U304" t="s">
        <v>117</v>
      </c>
    </row>
    <row r="305" spans="1:21" ht="15" customHeight="1" x14ac:dyDescent="0.3">
      <c r="A305" t="s">
        <v>179</v>
      </c>
      <c r="B305" t="str">
        <f>"00072295"</f>
        <v>00072295</v>
      </c>
      <c r="C305" t="s">
        <v>4262</v>
      </c>
      <c r="H305" t="s">
        <v>170</v>
      </c>
      <c r="I305">
        <v>15</v>
      </c>
      <c r="J305">
        <v>1</v>
      </c>
      <c r="K305">
        <v>1</v>
      </c>
      <c r="L305">
        <v>54975</v>
      </c>
      <c r="M305" t="str">
        <f t="shared" si="40"/>
        <v>13</v>
      </c>
      <c r="N305" t="s">
        <v>3323</v>
      </c>
      <c r="O305" t="str">
        <f t="shared" si="42"/>
        <v>52011</v>
      </c>
      <c r="P305" t="str">
        <f t="shared" ref="P305:P310" si="44">"2100L"</f>
        <v>2100L</v>
      </c>
      <c r="Q305" t="str">
        <f t="shared" si="41"/>
        <v>0101</v>
      </c>
      <c r="R305">
        <v>2100</v>
      </c>
      <c r="S305" t="str">
        <f t="shared" si="43"/>
        <v>5200</v>
      </c>
      <c r="T305" t="s">
        <v>3379</v>
      </c>
      <c r="U305" t="s">
        <v>117</v>
      </c>
    </row>
    <row r="306" spans="1:21" ht="15" customHeight="1" x14ac:dyDescent="0.3">
      <c r="A306" t="s">
        <v>179</v>
      </c>
      <c r="B306" t="str">
        <f>"00072407"</f>
        <v>00072407</v>
      </c>
      <c r="C306" t="s">
        <v>4272</v>
      </c>
      <c r="D306" t="s">
        <v>481</v>
      </c>
      <c r="E306" t="str">
        <f>"00063219"</f>
        <v>00063219</v>
      </c>
      <c r="F306">
        <v>0</v>
      </c>
      <c r="G306" s="243">
        <v>40406</v>
      </c>
      <c r="H306" t="s">
        <v>182</v>
      </c>
      <c r="I306">
        <v>15</v>
      </c>
      <c r="J306">
        <v>6</v>
      </c>
      <c r="K306">
        <v>1</v>
      </c>
      <c r="L306">
        <v>66078</v>
      </c>
      <c r="M306" t="str">
        <f t="shared" si="40"/>
        <v>13</v>
      </c>
      <c r="N306" t="s">
        <v>3323</v>
      </c>
      <c r="O306" t="str">
        <f t="shared" si="42"/>
        <v>52011</v>
      </c>
      <c r="P306" t="str">
        <f t="shared" si="44"/>
        <v>2100L</v>
      </c>
      <c r="Q306" t="str">
        <f t="shared" si="41"/>
        <v>0101</v>
      </c>
      <c r="R306">
        <v>2100</v>
      </c>
      <c r="S306" t="str">
        <f t="shared" si="43"/>
        <v>5200</v>
      </c>
      <c r="T306" t="s">
        <v>3379</v>
      </c>
      <c r="U306" t="s">
        <v>117</v>
      </c>
    </row>
    <row r="307" spans="1:21" ht="15" customHeight="1" x14ac:dyDescent="0.3">
      <c r="A307" t="s">
        <v>179</v>
      </c>
      <c r="B307" t="str">
        <f>"00072534"</f>
        <v>00072534</v>
      </c>
      <c r="C307" t="s">
        <v>4372</v>
      </c>
      <c r="D307" t="s">
        <v>4408</v>
      </c>
      <c r="E307" t="str">
        <f>"00062747"</f>
        <v>00062747</v>
      </c>
      <c r="F307">
        <v>0</v>
      </c>
      <c r="G307" s="243">
        <v>40406</v>
      </c>
      <c r="H307" t="s">
        <v>182</v>
      </c>
      <c r="I307">
        <v>4</v>
      </c>
      <c r="J307">
        <v>7</v>
      </c>
      <c r="K307">
        <v>0.5</v>
      </c>
      <c r="L307">
        <v>30438</v>
      </c>
      <c r="M307" t="str">
        <f t="shared" si="40"/>
        <v>13</v>
      </c>
      <c r="N307" t="s">
        <v>3323</v>
      </c>
      <c r="O307" t="str">
        <f t="shared" si="42"/>
        <v>52011</v>
      </c>
      <c r="P307" t="str">
        <f t="shared" si="44"/>
        <v>2100L</v>
      </c>
      <c r="Q307" t="str">
        <f t="shared" si="41"/>
        <v>0101</v>
      </c>
      <c r="R307">
        <v>2100</v>
      </c>
      <c r="S307" t="str">
        <f t="shared" si="43"/>
        <v>5200</v>
      </c>
      <c r="T307" t="s">
        <v>3379</v>
      </c>
      <c r="U307" t="s">
        <v>117</v>
      </c>
    </row>
    <row r="308" spans="1:21" ht="15" customHeight="1" x14ac:dyDescent="0.3">
      <c r="A308" t="s">
        <v>179</v>
      </c>
      <c r="B308" t="str">
        <f>"00072590"</f>
        <v>00072590</v>
      </c>
      <c r="C308" t="s">
        <v>4274</v>
      </c>
      <c r="H308" t="s">
        <v>170</v>
      </c>
      <c r="I308">
        <v>4</v>
      </c>
      <c r="J308">
        <v>1</v>
      </c>
      <c r="K308">
        <v>0.71</v>
      </c>
      <c r="L308">
        <v>25662</v>
      </c>
      <c r="M308" t="str">
        <f t="shared" si="40"/>
        <v>13</v>
      </c>
      <c r="N308" t="s">
        <v>3323</v>
      </c>
      <c r="O308" t="str">
        <f t="shared" si="42"/>
        <v>52011</v>
      </c>
      <c r="P308" t="str">
        <f t="shared" si="44"/>
        <v>2100L</v>
      </c>
      <c r="Q308" t="str">
        <f t="shared" si="41"/>
        <v>0101</v>
      </c>
      <c r="R308">
        <v>2100</v>
      </c>
      <c r="S308" t="str">
        <f t="shared" si="43"/>
        <v>5200</v>
      </c>
      <c r="T308" t="s">
        <v>3379</v>
      </c>
      <c r="U308" t="s">
        <v>117</v>
      </c>
    </row>
    <row r="309" spans="1:21" ht="15" customHeight="1" x14ac:dyDescent="0.3">
      <c r="A309" t="s">
        <v>179</v>
      </c>
      <c r="B309" t="str">
        <f>"00073037"</f>
        <v>00073037</v>
      </c>
      <c r="C309" t="s">
        <v>4260</v>
      </c>
      <c r="D309" t="s">
        <v>4409</v>
      </c>
      <c r="E309" t="str">
        <f>"00070091"</f>
        <v>00070091</v>
      </c>
      <c r="F309">
        <v>0</v>
      </c>
      <c r="G309" s="243">
        <v>41133</v>
      </c>
      <c r="H309" t="s">
        <v>182</v>
      </c>
      <c r="I309">
        <v>15</v>
      </c>
      <c r="J309">
        <v>1</v>
      </c>
      <c r="K309">
        <v>1</v>
      </c>
      <c r="L309">
        <v>54975</v>
      </c>
      <c r="M309" t="str">
        <f t="shared" si="40"/>
        <v>13</v>
      </c>
      <c r="N309" t="s">
        <v>3323</v>
      </c>
      <c r="O309" t="str">
        <f t="shared" si="42"/>
        <v>52011</v>
      </c>
      <c r="P309" t="str">
        <f t="shared" si="44"/>
        <v>2100L</v>
      </c>
      <c r="Q309" t="str">
        <f t="shared" si="41"/>
        <v>0101</v>
      </c>
      <c r="R309">
        <v>2100</v>
      </c>
      <c r="S309" t="str">
        <f t="shared" si="43"/>
        <v>5200</v>
      </c>
      <c r="T309" t="s">
        <v>3379</v>
      </c>
      <c r="U309" t="s">
        <v>117</v>
      </c>
    </row>
    <row r="310" spans="1:21" ht="15" customHeight="1" x14ac:dyDescent="0.3">
      <c r="A310" t="s">
        <v>179</v>
      </c>
      <c r="B310" t="str">
        <f>"00073809"</f>
        <v>00073809</v>
      </c>
      <c r="C310" t="s">
        <v>4410</v>
      </c>
      <c r="D310" t="s">
        <v>3378</v>
      </c>
      <c r="E310" t="str">
        <f>"00064635"</f>
        <v>00064635</v>
      </c>
      <c r="F310">
        <v>1</v>
      </c>
      <c r="H310" t="s">
        <v>182</v>
      </c>
      <c r="I310">
        <v>5</v>
      </c>
      <c r="J310">
        <v>1</v>
      </c>
      <c r="K310">
        <v>1</v>
      </c>
      <c r="L310">
        <v>28486</v>
      </c>
      <c r="M310" t="str">
        <f t="shared" si="40"/>
        <v>13</v>
      </c>
      <c r="N310" t="s">
        <v>3323</v>
      </c>
      <c r="O310" t="str">
        <f t="shared" si="42"/>
        <v>52011</v>
      </c>
      <c r="P310" t="str">
        <f t="shared" si="44"/>
        <v>2100L</v>
      </c>
      <c r="Q310" t="str">
        <f t="shared" si="41"/>
        <v>0101</v>
      </c>
      <c r="R310">
        <v>2100</v>
      </c>
      <c r="S310" t="str">
        <f t="shared" si="43"/>
        <v>5200</v>
      </c>
      <c r="T310" t="s">
        <v>3379</v>
      </c>
      <c r="U310" t="s">
        <v>117</v>
      </c>
    </row>
    <row r="311" spans="1:21" ht="15" customHeight="1" x14ac:dyDescent="0.3">
      <c r="A311" t="s">
        <v>179</v>
      </c>
      <c r="B311" t="str">
        <f>"00074164"</f>
        <v>00074164</v>
      </c>
      <c r="C311" t="s">
        <v>4260</v>
      </c>
      <c r="D311" t="s">
        <v>1501</v>
      </c>
      <c r="E311" t="str">
        <f>"00050756"</f>
        <v>00050756</v>
      </c>
      <c r="F311">
        <v>0</v>
      </c>
      <c r="G311" s="243">
        <v>37910</v>
      </c>
      <c r="H311" t="s">
        <v>182</v>
      </c>
      <c r="I311">
        <v>15</v>
      </c>
      <c r="J311">
        <v>12</v>
      </c>
      <c r="K311">
        <v>1</v>
      </c>
      <c r="L311">
        <v>87431</v>
      </c>
      <c r="M311" t="str">
        <f t="shared" si="40"/>
        <v>13</v>
      </c>
      <c r="N311" t="s">
        <v>3323</v>
      </c>
      <c r="O311" t="str">
        <f t="shared" si="42"/>
        <v>52011</v>
      </c>
      <c r="P311" t="str">
        <f t="shared" ref="P311:P318" si="45">"2100L"</f>
        <v>2100L</v>
      </c>
      <c r="Q311" t="str">
        <f t="shared" si="41"/>
        <v>0101</v>
      </c>
      <c r="R311">
        <v>2100</v>
      </c>
      <c r="S311" t="str">
        <f t="shared" si="43"/>
        <v>5200</v>
      </c>
      <c r="T311" t="s">
        <v>3379</v>
      </c>
      <c r="U311" t="s">
        <v>117</v>
      </c>
    </row>
    <row r="312" spans="1:21" ht="15" customHeight="1" x14ac:dyDescent="0.3">
      <c r="A312" t="s">
        <v>179</v>
      </c>
      <c r="B312" t="str">
        <f>"00074165"</f>
        <v>00074165</v>
      </c>
      <c r="C312" t="s">
        <v>4254</v>
      </c>
      <c r="D312" t="s">
        <v>3384</v>
      </c>
      <c r="E312" t="str">
        <f>"00065936"</f>
        <v>00065936</v>
      </c>
      <c r="F312">
        <v>0</v>
      </c>
      <c r="G312" s="243">
        <v>40755</v>
      </c>
      <c r="H312" t="s">
        <v>182</v>
      </c>
      <c r="I312">
        <v>15</v>
      </c>
      <c r="J312">
        <v>6</v>
      </c>
      <c r="K312">
        <v>1</v>
      </c>
      <c r="L312">
        <v>66078</v>
      </c>
      <c r="M312" t="str">
        <f t="shared" si="40"/>
        <v>13</v>
      </c>
      <c r="N312" t="s">
        <v>3323</v>
      </c>
      <c r="O312" t="str">
        <f t="shared" si="42"/>
        <v>52011</v>
      </c>
      <c r="P312" t="str">
        <f t="shared" si="45"/>
        <v>2100L</v>
      </c>
      <c r="Q312" t="str">
        <f t="shared" si="41"/>
        <v>0101</v>
      </c>
      <c r="R312">
        <v>2100</v>
      </c>
      <c r="S312" t="str">
        <f t="shared" si="43"/>
        <v>5200</v>
      </c>
      <c r="T312" t="s">
        <v>3379</v>
      </c>
      <c r="U312" t="s">
        <v>117</v>
      </c>
    </row>
    <row r="313" spans="1:21" ht="15" customHeight="1" x14ac:dyDescent="0.3">
      <c r="A313" t="s">
        <v>179</v>
      </c>
      <c r="B313" t="str">
        <f>"00074534"</f>
        <v>00074534</v>
      </c>
      <c r="C313" t="s">
        <v>4262</v>
      </c>
      <c r="D313" t="s">
        <v>3385</v>
      </c>
      <c r="E313" t="str">
        <f>"00065688"</f>
        <v>00065688</v>
      </c>
      <c r="F313">
        <v>0</v>
      </c>
      <c r="G313" s="243">
        <v>40755</v>
      </c>
      <c r="H313" t="s">
        <v>182</v>
      </c>
      <c r="I313">
        <v>15</v>
      </c>
      <c r="J313">
        <v>4</v>
      </c>
      <c r="K313">
        <v>1</v>
      </c>
      <c r="L313">
        <v>61158</v>
      </c>
      <c r="M313" t="str">
        <f t="shared" si="40"/>
        <v>13</v>
      </c>
      <c r="N313" t="s">
        <v>3323</v>
      </c>
      <c r="O313" t="str">
        <f t="shared" si="42"/>
        <v>52011</v>
      </c>
      <c r="P313" t="str">
        <f t="shared" si="45"/>
        <v>2100L</v>
      </c>
      <c r="Q313" t="str">
        <f t="shared" si="41"/>
        <v>0101</v>
      </c>
      <c r="R313">
        <v>2100</v>
      </c>
      <c r="S313" t="str">
        <f t="shared" si="43"/>
        <v>5200</v>
      </c>
      <c r="T313" t="s">
        <v>3379</v>
      </c>
      <c r="U313" t="s">
        <v>117</v>
      </c>
    </row>
    <row r="314" spans="1:21" ht="15" customHeight="1" x14ac:dyDescent="0.3">
      <c r="A314" t="s">
        <v>179</v>
      </c>
      <c r="B314" t="str">
        <f>"00074535"</f>
        <v>00074535</v>
      </c>
      <c r="C314" t="s">
        <v>4290</v>
      </c>
      <c r="D314" t="s">
        <v>4411</v>
      </c>
      <c r="E314" t="str">
        <f>"00065907"</f>
        <v>00065907</v>
      </c>
      <c r="F314">
        <v>0</v>
      </c>
      <c r="G314" s="243">
        <v>40770</v>
      </c>
      <c r="H314" t="s">
        <v>182</v>
      </c>
      <c r="I314">
        <v>4</v>
      </c>
      <c r="J314">
        <v>5</v>
      </c>
      <c r="K314">
        <v>0.71</v>
      </c>
      <c r="L314">
        <v>25239.37</v>
      </c>
      <c r="M314" t="str">
        <f t="shared" si="40"/>
        <v>13</v>
      </c>
      <c r="N314" t="s">
        <v>3323</v>
      </c>
      <c r="O314" t="str">
        <f t="shared" si="42"/>
        <v>52011</v>
      </c>
      <c r="P314" t="str">
        <f t="shared" si="45"/>
        <v>2100L</v>
      </c>
      <c r="Q314" t="str">
        <f t="shared" si="41"/>
        <v>0101</v>
      </c>
      <c r="R314">
        <v>2100</v>
      </c>
      <c r="S314" t="str">
        <f t="shared" si="43"/>
        <v>5200</v>
      </c>
      <c r="T314" t="s">
        <v>3379</v>
      </c>
      <c r="U314" t="s">
        <v>117</v>
      </c>
    </row>
    <row r="315" spans="1:21" ht="15" customHeight="1" x14ac:dyDescent="0.3">
      <c r="A315" t="s">
        <v>179</v>
      </c>
      <c r="B315" t="str">
        <f>"00074677"</f>
        <v>00074677</v>
      </c>
      <c r="C315" t="s">
        <v>4265</v>
      </c>
      <c r="D315" t="s">
        <v>218</v>
      </c>
      <c r="E315" t="str">
        <f>"00044690"</f>
        <v>00044690</v>
      </c>
      <c r="F315">
        <v>0</v>
      </c>
      <c r="G315" s="243">
        <v>37200</v>
      </c>
      <c r="H315" t="s">
        <v>182</v>
      </c>
      <c r="I315">
        <v>15</v>
      </c>
      <c r="J315">
        <v>15</v>
      </c>
      <c r="K315">
        <v>1</v>
      </c>
      <c r="L315">
        <v>98285</v>
      </c>
      <c r="M315" t="str">
        <f t="shared" si="40"/>
        <v>13</v>
      </c>
      <c r="N315" t="s">
        <v>3323</v>
      </c>
      <c r="O315" t="str">
        <f t="shared" si="42"/>
        <v>52011</v>
      </c>
      <c r="P315" t="str">
        <f t="shared" si="45"/>
        <v>2100L</v>
      </c>
      <c r="Q315" t="str">
        <f t="shared" si="41"/>
        <v>0101</v>
      </c>
      <c r="R315">
        <v>2100</v>
      </c>
      <c r="S315" t="str">
        <f t="shared" si="43"/>
        <v>5200</v>
      </c>
      <c r="T315" t="s">
        <v>3379</v>
      </c>
      <c r="U315" t="s">
        <v>117</v>
      </c>
    </row>
    <row r="316" spans="1:21" ht="15" customHeight="1" x14ac:dyDescent="0.3">
      <c r="A316" t="s">
        <v>179</v>
      </c>
      <c r="B316" t="str">
        <f>"00075944"</f>
        <v>00075944</v>
      </c>
      <c r="C316" t="s">
        <v>4262</v>
      </c>
      <c r="D316" t="s">
        <v>2393</v>
      </c>
      <c r="E316" t="str">
        <f>"00057783"</f>
        <v>00057783</v>
      </c>
      <c r="F316">
        <v>0</v>
      </c>
      <c r="G316" s="243">
        <v>41133</v>
      </c>
      <c r="H316" t="s">
        <v>182</v>
      </c>
      <c r="I316">
        <v>15</v>
      </c>
      <c r="J316">
        <v>7</v>
      </c>
      <c r="K316">
        <v>1</v>
      </c>
      <c r="L316">
        <v>69132</v>
      </c>
      <c r="M316" t="str">
        <f t="shared" si="40"/>
        <v>13</v>
      </c>
      <c r="N316" t="s">
        <v>3323</v>
      </c>
      <c r="O316" t="str">
        <f t="shared" si="42"/>
        <v>52011</v>
      </c>
      <c r="P316" t="str">
        <f t="shared" si="45"/>
        <v>2100L</v>
      </c>
      <c r="Q316" t="str">
        <f t="shared" si="41"/>
        <v>0101</v>
      </c>
      <c r="R316">
        <v>2100</v>
      </c>
      <c r="S316" t="str">
        <f t="shared" si="43"/>
        <v>5200</v>
      </c>
      <c r="T316" t="s">
        <v>3379</v>
      </c>
      <c r="U316" t="s">
        <v>117</v>
      </c>
    </row>
    <row r="317" spans="1:21" ht="15" customHeight="1" x14ac:dyDescent="0.3">
      <c r="A317" t="s">
        <v>179</v>
      </c>
      <c r="B317" t="str">
        <f>"00075946"</f>
        <v>00075946</v>
      </c>
      <c r="C317" t="s">
        <v>4262</v>
      </c>
      <c r="D317" t="s">
        <v>4412</v>
      </c>
      <c r="E317" t="str">
        <f>"00062594"</f>
        <v>00062594</v>
      </c>
      <c r="F317">
        <v>0</v>
      </c>
      <c r="G317" s="243">
        <v>40406</v>
      </c>
      <c r="H317" t="s">
        <v>182</v>
      </c>
      <c r="I317">
        <v>15</v>
      </c>
      <c r="J317">
        <v>10</v>
      </c>
      <c r="K317">
        <v>1</v>
      </c>
      <c r="L317">
        <v>78273</v>
      </c>
      <c r="M317" t="str">
        <f t="shared" si="40"/>
        <v>13</v>
      </c>
      <c r="N317" t="s">
        <v>3323</v>
      </c>
      <c r="O317" t="str">
        <f t="shared" si="42"/>
        <v>52011</v>
      </c>
      <c r="P317" t="str">
        <f t="shared" si="45"/>
        <v>2100L</v>
      </c>
      <c r="Q317" t="str">
        <f t="shared" si="41"/>
        <v>0101</v>
      </c>
      <c r="R317">
        <v>2100</v>
      </c>
      <c r="S317" t="str">
        <f t="shared" si="43"/>
        <v>5200</v>
      </c>
      <c r="T317" t="s">
        <v>3379</v>
      </c>
      <c r="U317" t="s">
        <v>117</v>
      </c>
    </row>
    <row r="318" spans="1:21" ht="15" customHeight="1" x14ac:dyDescent="0.3">
      <c r="A318" t="s">
        <v>179</v>
      </c>
      <c r="B318" t="str">
        <f>"00075947"</f>
        <v>00075947</v>
      </c>
      <c r="C318" t="s">
        <v>4271</v>
      </c>
      <c r="H318" t="s">
        <v>170</v>
      </c>
      <c r="I318">
        <v>15</v>
      </c>
      <c r="J318">
        <v>0</v>
      </c>
      <c r="K318">
        <v>0.5</v>
      </c>
      <c r="L318">
        <v>60128</v>
      </c>
      <c r="M318" t="str">
        <f t="shared" si="40"/>
        <v>13</v>
      </c>
      <c r="N318" t="s">
        <v>3323</v>
      </c>
      <c r="O318" t="str">
        <f t="shared" si="42"/>
        <v>52011</v>
      </c>
      <c r="P318" t="str">
        <f t="shared" si="45"/>
        <v>2100L</v>
      </c>
      <c r="Q318" t="str">
        <f t="shared" si="41"/>
        <v>0101</v>
      </c>
      <c r="R318">
        <v>2100</v>
      </c>
      <c r="S318" t="str">
        <f t="shared" si="43"/>
        <v>5200</v>
      </c>
      <c r="T318" t="s">
        <v>3379</v>
      </c>
      <c r="U318" t="s">
        <v>117</v>
      </c>
    </row>
    <row r="319" spans="1:21" ht="15" customHeight="1" x14ac:dyDescent="0.3">
      <c r="A319" t="s">
        <v>179</v>
      </c>
      <c r="B319" t="str">
        <f>"00076501"</f>
        <v>00076501</v>
      </c>
      <c r="C319" t="s">
        <v>4290</v>
      </c>
      <c r="D319" t="s">
        <v>4413</v>
      </c>
      <c r="E319" t="str">
        <f>"00069551"</f>
        <v>00069551</v>
      </c>
      <c r="F319">
        <v>0</v>
      </c>
      <c r="G319" s="243">
        <v>41133</v>
      </c>
      <c r="H319" t="s">
        <v>182</v>
      </c>
      <c r="I319">
        <v>4</v>
      </c>
      <c r="J319">
        <v>4</v>
      </c>
      <c r="K319">
        <v>0.71</v>
      </c>
      <c r="L319">
        <v>24543.75</v>
      </c>
      <c r="M319" t="str">
        <f t="shared" si="40"/>
        <v>13</v>
      </c>
      <c r="N319" t="s">
        <v>3370</v>
      </c>
      <c r="O319" t="str">
        <f t="shared" si="42"/>
        <v>52011</v>
      </c>
      <c r="P319" t="str">
        <f>"3030L"</f>
        <v>3030L</v>
      </c>
      <c r="Q319" t="str">
        <f t="shared" si="41"/>
        <v>0101</v>
      </c>
      <c r="R319">
        <v>3030</v>
      </c>
      <c r="S319" t="str">
        <f t="shared" si="43"/>
        <v>5200</v>
      </c>
      <c r="T319" t="s">
        <v>3379</v>
      </c>
      <c r="U319" t="s">
        <v>117</v>
      </c>
    </row>
    <row r="320" spans="1:21" ht="15" customHeight="1" x14ac:dyDescent="0.3">
      <c r="A320" t="s">
        <v>179</v>
      </c>
      <c r="B320" t="str">
        <f>"00076502"</f>
        <v>00076502</v>
      </c>
      <c r="C320" t="s">
        <v>4290</v>
      </c>
      <c r="D320" t="s">
        <v>4414</v>
      </c>
      <c r="E320" t="str">
        <f>"00069560"</f>
        <v>00069560</v>
      </c>
      <c r="F320">
        <v>0</v>
      </c>
      <c r="G320" s="243">
        <v>41133</v>
      </c>
      <c r="H320" t="s">
        <v>182</v>
      </c>
      <c r="I320">
        <v>4</v>
      </c>
      <c r="J320">
        <v>5</v>
      </c>
      <c r="K320">
        <v>0.71</v>
      </c>
      <c r="L320">
        <v>25239.37</v>
      </c>
      <c r="M320" t="str">
        <f t="shared" si="40"/>
        <v>13</v>
      </c>
      <c r="N320" t="s">
        <v>3323</v>
      </c>
      <c r="O320" t="str">
        <f t="shared" si="42"/>
        <v>52011</v>
      </c>
      <c r="P320" t="str">
        <f>"3030L"</f>
        <v>3030L</v>
      </c>
      <c r="Q320" t="str">
        <f t="shared" si="41"/>
        <v>0101</v>
      </c>
      <c r="R320">
        <v>3030</v>
      </c>
      <c r="S320" t="str">
        <f t="shared" si="43"/>
        <v>5200</v>
      </c>
      <c r="T320" t="s">
        <v>3379</v>
      </c>
      <c r="U320" t="s">
        <v>117</v>
      </c>
    </row>
    <row r="321" spans="1:21" ht="15" customHeight="1" x14ac:dyDescent="0.3">
      <c r="A321" t="s">
        <v>179</v>
      </c>
      <c r="B321" t="str">
        <f>"00076649"</f>
        <v>00076649</v>
      </c>
      <c r="C321" t="s">
        <v>4294</v>
      </c>
      <c r="H321" t="s">
        <v>170</v>
      </c>
      <c r="I321">
        <v>7</v>
      </c>
      <c r="J321">
        <v>0</v>
      </c>
      <c r="K321">
        <v>1</v>
      </c>
      <c r="L321">
        <v>34871</v>
      </c>
      <c r="M321" t="str">
        <f t="shared" si="40"/>
        <v>13</v>
      </c>
      <c r="N321" t="s">
        <v>3370</v>
      </c>
      <c r="O321" t="str">
        <f t="shared" si="42"/>
        <v>52011</v>
      </c>
      <c r="P321" t="str">
        <f>"1502L"</f>
        <v>1502L</v>
      </c>
      <c r="Q321" t="str">
        <f t="shared" si="41"/>
        <v>0101</v>
      </c>
      <c r="R321">
        <v>1502</v>
      </c>
      <c r="S321" t="str">
        <f t="shared" si="43"/>
        <v>5200</v>
      </c>
      <c r="T321" t="s">
        <v>3379</v>
      </c>
      <c r="U321" t="s">
        <v>117</v>
      </c>
    </row>
    <row r="322" spans="1:21" ht="15" customHeight="1" x14ac:dyDescent="0.3">
      <c r="A322" t="s">
        <v>179</v>
      </c>
      <c r="B322" t="str">
        <f>"00051821"</f>
        <v>00051821</v>
      </c>
      <c r="C322" t="s">
        <v>4266</v>
      </c>
      <c r="D322" t="s">
        <v>2586</v>
      </c>
      <c r="E322" t="str">
        <f>"00062608"</f>
        <v>00062608</v>
      </c>
      <c r="F322">
        <v>0</v>
      </c>
      <c r="G322" s="243">
        <v>40406</v>
      </c>
      <c r="H322" t="s">
        <v>182</v>
      </c>
      <c r="I322">
        <v>15</v>
      </c>
      <c r="J322">
        <v>12</v>
      </c>
      <c r="K322">
        <v>1</v>
      </c>
      <c r="L322">
        <v>87431</v>
      </c>
      <c r="M322" t="str">
        <f t="shared" si="40"/>
        <v>13</v>
      </c>
      <c r="N322" t="s">
        <v>3323</v>
      </c>
      <c r="O322" t="str">
        <f t="shared" ref="O322:O350" si="46">"52111"</f>
        <v>52111</v>
      </c>
      <c r="P322" t="str">
        <f>"2300L"</f>
        <v>2300L</v>
      </c>
      <c r="Q322" t="str">
        <f t="shared" si="41"/>
        <v>0101</v>
      </c>
      <c r="R322">
        <v>2300</v>
      </c>
      <c r="S322" t="str">
        <f t="shared" ref="S322:S350" si="47">"5210"</f>
        <v>5210</v>
      </c>
      <c r="T322" t="s">
        <v>3388</v>
      </c>
      <c r="U322" t="s">
        <v>19</v>
      </c>
    </row>
    <row r="323" spans="1:21" ht="15" customHeight="1" x14ac:dyDescent="0.3">
      <c r="A323" t="s">
        <v>179</v>
      </c>
      <c r="B323" t="str">
        <f>"00051855"</f>
        <v>00051855</v>
      </c>
      <c r="C323" t="s">
        <v>4262</v>
      </c>
      <c r="D323" t="s">
        <v>483</v>
      </c>
      <c r="E323" t="str">
        <f>"00046279"</f>
        <v>00046279</v>
      </c>
      <c r="F323">
        <v>0</v>
      </c>
      <c r="G323" s="243">
        <v>33521</v>
      </c>
      <c r="H323" t="s">
        <v>182</v>
      </c>
      <c r="I323">
        <v>15</v>
      </c>
      <c r="J323">
        <v>15</v>
      </c>
      <c r="K323">
        <v>1</v>
      </c>
      <c r="L323">
        <v>103985</v>
      </c>
      <c r="M323" t="str">
        <f t="shared" si="40"/>
        <v>13</v>
      </c>
      <c r="N323" t="s">
        <v>3323</v>
      </c>
      <c r="O323" t="str">
        <f t="shared" si="46"/>
        <v>52111</v>
      </c>
      <c r="P323" t="str">
        <f>"2100L"</f>
        <v>2100L</v>
      </c>
      <c r="Q323" t="str">
        <f t="shared" si="41"/>
        <v>0101</v>
      </c>
      <c r="R323">
        <v>2100</v>
      </c>
      <c r="S323" t="str">
        <f t="shared" si="47"/>
        <v>5210</v>
      </c>
      <c r="T323" t="s">
        <v>3388</v>
      </c>
      <c r="U323" t="s">
        <v>19</v>
      </c>
    </row>
    <row r="324" spans="1:21" ht="15" customHeight="1" x14ac:dyDescent="0.3">
      <c r="A324" t="s">
        <v>179</v>
      </c>
      <c r="B324" t="str">
        <f>"00051935"</f>
        <v>00051935</v>
      </c>
      <c r="C324" t="s">
        <v>4266</v>
      </c>
      <c r="D324" t="s">
        <v>484</v>
      </c>
      <c r="E324" t="str">
        <f>"00046605"</f>
        <v>00046605</v>
      </c>
      <c r="F324">
        <v>0</v>
      </c>
      <c r="G324" s="243">
        <v>32986</v>
      </c>
      <c r="H324" t="s">
        <v>182</v>
      </c>
      <c r="I324">
        <v>15</v>
      </c>
      <c r="J324">
        <v>16</v>
      </c>
      <c r="K324">
        <v>1</v>
      </c>
      <c r="L324">
        <v>103347</v>
      </c>
      <c r="M324" t="str">
        <f t="shared" si="40"/>
        <v>13</v>
      </c>
      <c r="N324" t="s">
        <v>3323</v>
      </c>
      <c r="O324" t="str">
        <f t="shared" si="46"/>
        <v>52111</v>
      </c>
      <c r="P324" t="str">
        <f>"2300L"</f>
        <v>2300L</v>
      </c>
      <c r="Q324" t="str">
        <f t="shared" si="41"/>
        <v>0101</v>
      </c>
      <c r="R324">
        <v>2300</v>
      </c>
      <c r="S324" t="str">
        <f t="shared" si="47"/>
        <v>5210</v>
      </c>
      <c r="T324" t="s">
        <v>3388</v>
      </c>
      <c r="U324" t="s">
        <v>19</v>
      </c>
    </row>
    <row r="325" spans="1:21" ht="15" customHeight="1" x14ac:dyDescent="0.3">
      <c r="A325" t="s">
        <v>179</v>
      </c>
      <c r="B325" t="str">
        <f>"00051963"</f>
        <v>00051963</v>
      </c>
      <c r="C325" t="s">
        <v>4256</v>
      </c>
      <c r="D325" t="s">
        <v>485</v>
      </c>
      <c r="E325" t="str">
        <f>"00046716"</f>
        <v>00046716</v>
      </c>
      <c r="F325">
        <v>0</v>
      </c>
      <c r="G325" s="243">
        <v>34578</v>
      </c>
      <c r="H325" t="s">
        <v>182</v>
      </c>
      <c r="I325">
        <v>15</v>
      </c>
      <c r="J325">
        <v>16</v>
      </c>
      <c r="K325">
        <v>1</v>
      </c>
      <c r="L325">
        <v>100839</v>
      </c>
      <c r="M325" t="str">
        <f t="shared" si="40"/>
        <v>13</v>
      </c>
      <c r="N325" t="s">
        <v>3323</v>
      </c>
      <c r="O325" t="str">
        <f t="shared" si="46"/>
        <v>52111</v>
      </c>
      <c r="P325" t="str">
        <f>"2100L"</f>
        <v>2100L</v>
      </c>
      <c r="Q325" t="str">
        <f t="shared" si="41"/>
        <v>0101</v>
      </c>
      <c r="R325">
        <v>2100</v>
      </c>
      <c r="S325" t="str">
        <f t="shared" si="47"/>
        <v>5210</v>
      </c>
      <c r="T325" t="s">
        <v>3388</v>
      </c>
      <c r="U325" t="s">
        <v>19</v>
      </c>
    </row>
    <row r="326" spans="1:21" ht="15" customHeight="1" x14ac:dyDescent="0.3">
      <c r="A326" t="s">
        <v>179</v>
      </c>
      <c r="B326" t="str">
        <f>"00052055"</f>
        <v>00052055</v>
      </c>
      <c r="C326" t="s">
        <v>4266</v>
      </c>
      <c r="D326" t="s">
        <v>486</v>
      </c>
      <c r="E326" t="str">
        <f>"00047136"</f>
        <v>00047136</v>
      </c>
      <c r="F326">
        <v>0</v>
      </c>
      <c r="G326" s="243">
        <v>38438</v>
      </c>
      <c r="H326" t="s">
        <v>182</v>
      </c>
      <c r="I326">
        <v>15</v>
      </c>
      <c r="J326">
        <v>12</v>
      </c>
      <c r="K326">
        <v>1</v>
      </c>
      <c r="L326">
        <v>89887</v>
      </c>
      <c r="M326" t="str">
        <f t="shared" si="40"/>
        <v>13</v>
      </c>
      <c r="N326" t="s">
        <v>3323</v>
      </c>
      <c r="O326" t="str">
        <f t="shared" si="46"/>
        <v>52111</v>
      </c>
      <c r="P326" t="str">
        <f>"2300L"</f>
        <v>2300L</v>
      </c>
      <c r="Q326" t="str">
        <f t="shared" si="41"/>
        <v>0101</v>
      </c>
      <c r="R326">
        <v>2300</v>
      </c>
      <c r="S326" t="str">
        <f t="shared" si="47"/>
        <v>5210</v>
      </c>
      <c r="T326" t="s">
        <v>3388</v>
      </c>
      <c r="U326" t="s">
        <v>19</v>
      </c>
    </row>
    <row r="327" spans="1:21" ht="15" customHeight="1" x14ac:dyDescent="0.3">
      <c r="A327" t="s">
        <v>179</v>
      </c>
      <c r="B327" t="str">
        <f>"00052374"</f>
        <v>00052374</v>
      </c>
      <c r="C327" t="s">
        <v>4253</v>
      </c>
      <c r="D327" t="s">
        <v>487</v>
      </c>
      <c r="E327" t="str">
        <f>"00048133"</f>
        <v>00048133</v>
      </c>
      <c r="F327">
        <v>0</v>
      </c>
      <c r="G327" s="243">
        <v>32690</v>
      </c>
      <c r="H327" t="s">
        <v>182</v>
      </c>
      <c r="I327">
        <v>15</v>
      </c>
      <c r="J327">
        <v>16</v>
      </c>
      <c r="K327">
        <v>1</v>
      </c>
      <c r="L327">
        <v>103347</v>
      </c>
      <c r="M327" t="str">
        <f t="shared" si="40"/>
        <v>13</v>
      </c>
      <c r="N327" t="s">
        <v>3323</v>
      </c>
      <c r="O327" t="str">
        <f t="shared" si="46"/>
        <v>52111</v>
      </c>
      <c r="P327" t="str">
        <f t="shared" ref="P327:P337" si="48">"2100L"</f>
        <v>2100L</v>
      </c>
      <c r="Q327" t="str">
        <f t="shared" si="41"/>
        <v>0101</v>
      </c>
      <c r="R327">
        <v>2100</v>
      </c>
      <c r="S327" t="str">
        <f t="shared" si="47"/>
        <v>5210</v>
      </c>
      <c r="T327" t="s">
        <v>3388</v>
      </c>
      <c r="U327" t="s">
        <v>19</v>
      </c>
    </row>
    <row r="328" spans="1:21" ht="15" customHeight="1" x14ac:dyDescent="0.3">
      <c r="A328" t="s">
        <v>179</v>
      </c>
      <c r="B328" t="str">
        <f>"00052595"</f>
        <v>00052595</v>
      </c>
      <c r="C328" t="s">
        <v>4262</v>
      </c>
      <c r="D328" t="s">
        <v>488</v>
      </c>
      <c r="E328" t="str">
        <f>"00048647"</f>
        <v>00048647</v>
      </c>
      <c r="F328">
        <v>0</v>
      </c>
      <c r="G328" s="243">
        <v>36034</v>
      </c>
      <c r="H328" t="s">
        <v>182</v>
      </c>
      <c r="I328">
        <v>15</v>
      </c>
      <c r="J328">
        <v>12</v>
      </c>
      <c r="K328">
        <v>1</v>
      </c>
      <c r="L328">
        <v>92613</v>
      </c>
      <c r="M328" t="str">
        <f t="shared" si="40"/>
        <v>13</v>
      </c>
      <c r="N328" t="s">
        <v>3323</v>
      </c>
      <c r="O328" t="str">
        <f t="shared" si="46"/>
        <v>52111</v>
      </c>
      <c r="P328" t="str">
        <f t="shared" si="48"/>
        <v>2100L</v>
      </c>
      <c r="Q328" t="str">
        <f t="shared" si="41"/>
        <v>0101</v>
      </c>
      <c r="R328">
        <v>2100</v>
      </c>
      <c r="S328" t="str">
        <f t="shared" si="47"/>
        <v>5210</v>
      </c>
      <c r="T328" t="s">
        <v>3388</v>
      </c>
      <c r="U328" t="s">
        <v>19</v>
      </c>
    </row>
    <row r="329" spans="1:21" ht="15" customHeight="1" x14ac:dyDescent="0.3">
      <c r="A329" t="s">
        <v>179</v>
      </c>
      <c r="B329" t="str">
        <f>"00052749"</f>
        <v>00052749</v>
      </c>
      <c r="C329" t="s">
        <v>4258</v>
      </c>
      <c r="D329" t="s">
        <v>489</v>
      </c>
      <c r="E329" t="str">
        <f>"00049268"</f>
        <v>00049268</v>
      </c>
      <c r="F329">
        <v>0</v>
      </c>
      <c r="G329" s="243">
        <v>32387</v>
      </c>
      <c r="H329" t="s">
        <v>182</v>
      </c>
      <c r="I329">
        <v>15</v>
      </c>
      <c r="J329">
        <v>16</v>
      </c>
      <c r="K329">
        <v>1</v>
      </c>
      <c r="L329">
        <v>103347</v>
      </c>
      <c r="M329" t="str">
        <f t="shared" si="40"/>
        <v>13</v>
      </c>
      <c r="N329" t="s">
        <v>3323</v>
      </c>
      <c r="O329" t="str">
        <f t="shared" si="46"/>
        <v>52111</v>
      </c>
      <c r="P329" t="str">
        <f t="shared" si="48"/>
        <v>2100L</v>
      </c>
      <c r="Q329" t="str">
        <f t="shared" si="41"/>
        <v>0101</v>
      </c>
      <c r="R329">
        <v>2100</v>
      </c>
      <c r="S329" t="str">
        <f t="shared" si="47"/>
        <v>5210</v>
      </c>
      <c r="T329" t="s">
        <v>3388</v>
      </c>
      <c r="U329" t="s">
        <v>19</v>
      </c>
    </row>
    <row r="330" spans="1:21" ht="15" customHeight="1" x14ac:dyDescent="0.3">
      <c r="A330" t="s">
        <v>179</v>
      </c>
      <c r="B330" t="str">
        <f>"00052979"</f>
        <v>00052979</v>
      </c>
      <c r="C330" t="s">
        <v>4262</v>
      </c>
      <c r="D330" t="s">
        <v>3393</v>
      </c>
      <c r="E330" t="str">
        <f>"00050512"</f>
        <v>00050512</v>
      </c>
      <c r="F330">
        <v>0</v>
      </c>
      <c r="G330" s="243">
        <v>32195</v>
      </c>
      <c r="H330" t="s">
        <v>182</v>
      </c>
      <c r="I330">
        <v>15</v>
      </c>
      <c r="J330">
        <v>14</v>
      </c>
      <c r="K330">
        <v>1</v>
      </c>
      <c r="L330">
        <v>96460</v>
      </c>
      <c r="M330" t="str">
        <f t="shared" si="40"/>
        <v>13</v>
      </c>
      <c r="N330" t="s">
        <v>3323</v>
      </c>
      <c r="O330" t="str">
        <f t="shared" si="46"/>
        <v>52111</v>
      </c>
      <c r="P330" t="str">
        <f t="shared" si="48"/>
        <v>2100L</v>
      </c>
      <c r="Q330" t="str">
        <f t="shared" si="41"/>
        <v>0101</v>
      </c>
      <c r="R330">
        <v>2100</v>
      </c>
      <c r="S330" t="str">
        <f t="shared" si="47"/>
        <v>5210</v>
      </c>
      <c r="T330" t="s">
        <v>3388</v>
      </c>
      <c r="U330" t="s">
        <v>19</v>
      </c>
    </row>
    <row r="331" spans="1:21" ht="15" customHeight="1" x14ac:dyDescent="0.3">
      <c r="A331" t="s">
        <v>179</v>
      </c>
      <c r="B331" t="str">
        <f>"00053001"</f>
        <v>00053001</v>
      </c>
      <c r="C331" t="s">
        <v>4274</v>
      </c>
      <c r="D331" t="s">
        <v>4415</v>
      </c>
      <c r="E331" t="str">
        <f>"00050711"</f>
        <v>00050711</v>
      </c>
      <c r="F331">
        <v>0</v>
      </c>
      <c r="G331" s="243">
        <v>35719</v>
      </c>
      <c r="H331" t="s">
        <v>182</v>
      </c>
      <c r="I331">
        <v>4</v>
      </c>
      <c r="J331">
        <v>10</v>
      </c>
      <c r="K331">
        <v>1</v>
      </c>
      <c r="L331">
        <v>32824</v>
      </c>
      <c r="M331" t="str">
        <f t="shared" si="40"/>
        <v>13</v>
      </c>
      <c r="N331" t="s">
        <v>3323</v>
      </c>
      <c r="O331" t="str">
        <f t="shared" si="46"/>
        <v>52111</v>
      </c>
      <c r="P331" t="str">
        <f t="shared" si="48"/>
        <v>2100L</v>
      </c>
      <c r="Q331" t="str">
        <f t="shared" si="41"/>
        <v>0101</v>
      </c>
      <c r="R331">
        <v>2100</v>
      </c>
      <c r="S331" t="str">
        <f t="shared" si="47"/>
        <v>5210</v>
      </c>
      <c r="T331" t="s">
        <v>3388</v>
      </c>
      <c r="U331" t="s">
        <v>19</v>
      </c>
    </row>
    <row r="332" spans="1:21" ht="15" customHeight="1" x14ac:dyDescent="0.3">
      <c r="A332" t="s">
        <v>179</v>
      </c>
      <c r="B332" t="str">
        <f>"00053346"</f>
        <v>00053346</v>
      </c>
      <c r="C332" t="s">
        <v>4260</v>
      </c>
      <c r="D332" t="s">
        <v>490</v>
      </c>
      <c r="E332" t="str">
        <f>"00051342"</f>
        <v>00051342</v>
      </c>
      <c r="F332">
        <v>0</v>
      </c>
      <c r="G332" s="243">
        <v>32050</v>
      </c>
      <c r="H332" t="s">
        <v>182</v>
      </c>
      <c r="I332">
        <v>15</v>
      </c>
      <c r="J332">
        <v>16</v>
      </c>
      <c r="K332">
        <v>1</v>
      </c>
      <c r="L332">
        <v>100839</v>
      </c>
      <c r="M332" t="str">
        <f t="shared" si="40"/>
        <v>13</v>
      </c>
      <c r="N332" t="s">
        <v>3323</v>
      </c>
      <c r="O332" t="str">
        <f t="shared" si="46"/>
        <v>52111</v>
      </c>
      <c r="P332" t="str">
        <f t="shared" si="48"/>
        <v>2100L</v>
      </c>
      <c r="Q332" t="str">
        <f t="shared" si="41"/>
        <v>0101</v>
      </c>
      <c r="R332">
        <v>2100</v>
      </c>
      <c r="S332" t="str">
        <f t="shared" si="47"/>
        <v>5210</v>
      </c>
      <c r="T332" t="s">
        <v>3388</v>
      </c>
      <c r="U332" t="s">
        <v>19</v>
      </c>
    </row>
    <row r="333" spans="1:21" ht="15" customHeight="1" x14ac:dyDescent="0.3">
      <c r="A333" t="s">
        <v>179</v>
      </c>
      <c r="B333" t="str">
        <f>"00053705"</f>
        <v>00053705</v>
      </c>
      <c r="C333" t="s">
        <v>4253</v>
      </c>
      <c r="D333" t="s">
        <v>4416</v>
      </c>
      <c r="E333" t="str">
        <f>"00065764"</f>
        <v>00065764</v>
      </c>
      <c r="F333">
        <v>0</v>
      </c>
      <c r="G333" s="243">
        <v>40755</v>
      </c>
      <c r="H333" t="s">
        <v>182</v>
      </c>
      <c r="I333">
        <v>15</v>
      </c>
      <c r="J333">
        <v>2</v>
      </c>
      <c r="K333">
        <v>1</v>
      </c>
      <c r="L333">
        <v>51716</v>
      </c>
      <c r="M333" t="str">
        <f t="shared" si="40"/>
        <v>13</v>
      </c>
      <c r="N333" t="s">
        <v>3323</v>
      </c>
      <c r="O333" t="str">
        <f t="shared" si="46"/>
        <v>52111</v>
      </c>
      <c r="P333" t="str">
        <f t="shared" si="48"/>
        <v>2100L</v>
      </c>
      <c r="Q333" t="str">
        <f t="shared" si="41"/>
        <v>0101</v>
      </c>
      <c r="R333">
        <v>2100</v>
      </c>
      <c r="S333" t="str">
        <f t="shared" si="47"/>
        <v>5210</v>
      </c>
      <c r="T333" t="s">
        <v>3388</v>
      </c>
      <c r="U333" t="s">
        <v>19</v>
      </c>
    </row>
    <row r="334" spans="1:21" ht="15" customHeight="1" x14ac:dyDescent="0.3">
      <c r="A334" t="s">
        <v>179</v>
      </c>
      <c r="B334" t="str">
        <f>"00053790"</f>
        <v>00053790</v>
      </c>
      <c r="C334" t="s">
        <v>4272</v>
      </c>
      <c r="D334" t="s">
        <v>491</v>
      </c>
      <c r="E334" t="str">
        <f>"00052540"</f>
        <v>00052540</v>
      </c>
      <c r="F334">
        <v>0</v>
      </c>
      <c r="G334" s="243">
        <v>32050</v>
      </c>
      <c r="H334" t="s">
        <v>182</v>
      </c>
      <c r="I334">
        <v>15</v>
      </c>
      <c r="J334">
        <v>16</v>
      </c>
      <c r="K334">
        <v>1</v>
      </c>
      <c r="L334">
        <v>100839</v>
      </c>
      <c r="M334" t="str">
        <f t="shared" si="40"/>
        <v>13</v>
      </c>
      <c r="N334" t="s">
        <v>3323</v>
      </c>
      <c r="O334" t="str">
        <f t="shared" si="46"/>
        <v>52111</v>
      </c>
      <c r="P334" t="str">
        <f t="shared" si="48"/>
        <v>2100L</v>
      </c>
      <c r="Q334" t="str">
        <f t="shared" si="41"/>
        <v>0101</v>
      </c>
      <c r="R334">
        <v>2100</v>
      </c>
      <c r="S334" t="str">
        <f t="shared" si="47"/>
        <v>5210</v>
      </c>
      <c r="T334" t="s">
        <v>3388</v>
      </c>
      <c r="U334" t="s">
        <v>19</v>
      </c>
    </row>
    <row r="335" spans="1:21" ht="15" customHeight="1" x14ac:dyDescent="0.3">
      <c r="A335" t="s">
        <v>179</v>
      </c>
      <c r="B335" t="str">
        <f>"00053836"</f>
        <v>00053836</v>
      </c>
      <c r="C335" t="s">
        <v>4262</v>
      </c>
      <c r="D335" t="s">
        <v>492</v>
      </c>
      <c r="E335" t="str">
        <f>"00052608"</f>
        <v>00052608</v>
      </c>
      <c r="F335">
        <v>0</v>
      </c>
      <c r="G335" s="243">
        <v>32021</v>
      </c>
      <c r="H335" t="s">
        <v>182</v>
      </c>
      <c r="I335">
        <v>15</v>
      </c>
      <c r="J335">
        <v>16</v>
      </c>
      <c r="K335">
        <v>1</v>
      </c>
      <c r="L335">
        <v>103347</v>
      </c>
      <c r="M335" t="str">
        <f t="shared" si="40"/>
        <v>13</v>
      </c>
      <c r="N335" t="s">
        <v>3323</v>
      </c>
      <c r="O335" t="str">
        <f t="shared" si="46"/>
        <v>52111</v>
      </c>
      <c r="P335" t="str">
        <f t="shared" si="48"/>
        <v>2100L</v>
      </c>
      <c r="Q335" t="str">
        <f t="shared" si="41"/>
        <v>0101</v>
      </c>
      <c r="R335">
        <v>2100</v>
      </c>
      <c r="S335" t="str">
        <f t="shared" si="47"/>
        <v>5210</v>
      </c>
      <c r="T335" t="s">
        <v>3388</v>
      </c>
      <c r="U335" t="s">
        <v>19</v>
      </c>
    </row>
    <row r="336" spans="1:21" ht="15" customHeight="1" x14ac:dyDescent="0.3">
      <c r="A336" t="s">
        <v>179</v>
      </c>
      <c r="B336" t="str">
        <f>"00053865"</f>
        <v>00053865</v>
      </c>
      <c r="C336" t="s">
        <v>4262</v>
      </c>
      <c r="D336" t="s">
        <v>4417</v>
      </c>
      <c r="E336" t="str">
        <f>"00070232"</f>
        <v>00070232</v>
      </c>
      <c r="F336">
        <v>0</v>
      </c>
      <c r="G336" s="243">
        <v>41133</v>
      </c>
      <c r="H336" t="s">
        <v>182</v>
      </c>
      <c r="I336">
        <v>15</v>
      </c>
      <c r="J336">
        <v>10</v>
      </c>
      <c r="K336">
        <v>1</v>
      </c>
      <c r="L336">
        <v>78273</v>
      </c>
      <c r="M336" t="str">
        <f t="shared" si="40"/>
        <v>13</v>
      </c>
      <c r="N336" t="s">
        <v>3323</v>
      </c>
      <c r="O336" t="str">
        <f t="shared" si="46"/>
        <v>52111</v>
      </c>
      <c r="P336" t="str">
        <f t="shared" si="48"/>
        <v>2100L</v>
      </c>
      <c r="Q336" t="str">
        <f t="shared" si="41"/>
        <v>0101</v>
      </c>
      <c r="R336">
        <v>2100</v>
      </c>
      <c r="S336" t="str">
        <f t="shared" si="47"/>
        <v>5210</v>
      </c>
      <c r="T336" t="s">
        <v>3388</v>
      </c>
      <c r="U336" t="s">
        <v>19</v>
      </c>
    </row>
    <row r="337" spans="1:21" ht="15" customHeight="1" x14ac:dyDescent="0.3">
      <c r="A337" t="s">
        <v>179</v>
      </c>
      <c r="B337" t="str">
        <f>"00054089"</f>
        <v>00054089</v>
      </c>
      <c r="C337" t="s">
        <v>4254</v>
      </c>
      <c r="H337" t="s">
        <v>170</v>
      </c>
      <c r="I337">
        <v>15</v>
      </c>
      <c r="J337">
        <v>1</v>
      </c>
      <c r="K337">
        <v>1</v>
      </c>
      <c r="L337">
        <v>51539</v>
      </c>
      <c r="M337" t="str">
        <f t="shared" si="40"/>
        <v>13</v>
      </c>
      <c r="N337" t="s">
        <v>3323</v>
      </c>
      <c r="O337" t="str">
        <f t="shared" si="46"/>
        <v>52111</v>
      </c>
      <c r="P337" t="str">
        <f t="shared" si="48"/>
        <v>2100L</v>
      </c>
      <c r="Q337" t="str">
        <f t="shared" si="41"/>
        <v>0101</v>
      </c>
      <c r="R337">
        <v>2100</v>
      </c>
      <c r="S337" t="str">
        <f t="shared" si="47"/>
        <v>5210</v>
      </c>
      <c r="T337" t="s">
        <v>3388</v>
      </c>
      <c r="U337" t="s">
        <v>19</v>
      </c>
    </row>
    <row r="338" spans="1:21" ht="15" customHeight="1" x14ac:dyDescent="0.3">
      <c r="A338" t="s">
        <v>179</v>
      </c>
      <c r="B338" t="str">
        <f>"00054284"</f>
        <v>00054284</v>
      </c>
      <c r="C338" t="s">
        <v>4343</v>
      </c>
      <c r="D338" t="s">
        <v>494</v>
      </c>
      <c r="E338" t="str">
        <f>"00053458"</f>
        <v>00053458</v>
      </c>
      <c r="F338">
        <v>0</v>
      </c>
      <c r="G338" s="243">
        <v>35675</v>
      </c>
      <c r="H338" t="s">
        <v>182</v>
      </c>
      <c r="I338">
        <v>15</v>
      </c>
      <c r="J338">
        <v>16</v>
      </c>
      <c r="K338">
        <v>1</v>
      </c>
      <c r="L338">
        <v>103347</v>
      </c>
      <c r="M338" t="str">
        <f t="shared" si="40"/>
        <v>13</v>
      </c>
      <c r="N338" t="s">
        <v>3323</v>
      </c>
      <c r="O338" t="str">
        <f t="shared" si="46"/>
        <v>52111</v>
      </c>
      <c r="P338" t="str">
        <f>"2300L"</f>
        <v>2300L</v>
      </c>
      <c r="Q338" t="str">
        <f t="shared" si="41"/>
        <v>0101</v>
      </c>
      <c r="R338">
        <v>2300</v>
      </c>
      <c r="S338" t="str">
        <f t="shared" si="47"/>
        <v>5210</v>
      </c>
      <c r="T338" t="s">
        <v>3388</v>
      </c>
      <c r="U338" t="s">
        <v>19</v>
      </c>
    </row>
    <row r="339" spans="1:21" ht="15" customHeight="1" x14ac:dyDescent="0.3">
      <c r="A339" t="s">
        <v>179</v>
      </c>
      <c r="B339" t="str">
        <f>"00054428"</f>
        <v>00054428</v>
      </c>
      <c r="C339" t="s">
        <v>4262</v>
      </c>
      <c r="D339" t="s">
        <v>3394</v>
      </c>
      <c r="E339" t="str">
        <f>"00065860"</f>
        <v>00065860</v>
      </c>
      <c r="F339">
        <v>0</v>
      </c>
      <c r="G339" s="243">
        <v>40755</v>
      </c>
      <c r="H339" t="s">
        <v>182</v>
      </c>
      <c r="I339">
        <v>15</v>
      </c>
      <c r="J339">
        <v>2</v>
      </c>
      <c r="K339">
        <v>1</v>
      </c>
      <c r="L339">
        <v>51716</v>
      </c>
      <c r="M339" t="str">
        <f t="shared" si="40"/>
        <v>13</v>
      </c>
      <c r="N339" t="s">
        <v>3323</v>
      </c>
      <c r="O339" t="str">
        <f t="shared" si="46"/>
        <v>52111</v>
      </c>
      <c r="P339" t="str">
        <f>"2100L"</f>
        <v>2100L</v>
      </c>
      <c r="Q339" t="str">
        <f t="shared" si="41"/>
        <v>0101</v>
      </c>
      <c r="R339">
        <v>2100</v>
      </c>
      <c r="S339" t="str">
        <f t="shared" si="47"/>
        <v>5210</v>
      </c>
      <c r="T339" t="s">
        <v>3388</v>
      </c>
      <c r="U339" t="s">
        <v>19</v>
      </c>
    </row>
    <row r="340" spans="1:21" ht="15" customHeight="1" x14ac:dyDescent="0.3">
      <c r="A340" t="s">
        <v>179</v>
      </c>
      <c r="B340" t="str">
        <f>"00054557"</f>
        <v>00054557</v>
      </c>
      <c r="C340" t="s">
        <v>4341</v>
      </c>
      <c r="D340" t="s">
        <v>495</v>
      </c>
      <c r="E340" t="str">
        <f>"00047159"</f>
        <v>00047159</v>
      </c>
      <c r="F340">
        <v>0</v>
      </c>
      <c r="G340" s="243">
        <v>39846</v>
      </c>
      <c r="H340" t="s">
        <v>182</v>
      </c>
      <c r="I340">
        <v>10</v>
      </c>
      <c r="J340">
        <v>4</v>
      </c>
      <c r="K340">
        <v>1</v>
      </c>
      <c r="L340">
        <v>69119</v>
      </c>
      <c r="M340" t="str">
        <f t="shared" si="40"/>
        <v>13</v>
      </c>
      <c r="N340" t="s">
        <v>3323</v>
      </c>
      <c r="O340" t="str">
        <f t="shared" si="46"/>
        <v>52111</v>
      </c>
      <c r="P340" t="str">
        <f>"2100L"</f>
        <v>2100L</v>
      </c>
      <c r="Q340" t="str">
        <f t="shared" si="41"/>
        <v>0101</v>
      </c>
      <c r="R340">
        <v>2100</v>
      </c>
      <c r="S340" t="str">
        <f t="shared" si="47"/>
        <v>5210</v>
      </c>
      <c r="T340" t="s">
        <v>3388</v>
      </c>
      <c r="U340" t="s">
        <v>19</v>
      </c>
    </row>
    <row r="341" spans="1:21" ht="15" customHeight="1" x14ac:dyDescent="0.3">
      <c r="A341" t="s">
        <v>179</v>
      </c>
      <c r="B341" t="str">
        <f>"00054779"</f>
        <v>00054779</v>
      </c>
      <c r="C341" t="s">
        <v>4272</v>
      </c>
      <c r="D341" t="s">
        <v>496</v>
      </c>
      <c r="E341" t="str">
        <f>"00054687"</f>
        <v>00054687</v>
      </c>
      <c r="F341">
        <v>0</v>
      </c>
      <c r="G341" s="243">
        <v>36514</v>
      </c>
      <c r="H341" t="s">
        <v>182</v>
      </c>
      <c r="I341">
        <v>15</v>
      </c>
      <c r="J341">
        <v>13</v>
      </c>
      <c r="K341">
        <v>1</v>
      </c>
      <c r="L341">
        <v>81724</v>
      </c>
      <c r="M341" t="str">
        <f t="shared" si="40"/>
        <v>13</v>
      </c>
      <c r="N341" t="s">
        <v>3323</v>
      </c>
      <c r="O341" t="str">
        <f t="shared" si="46"/>
        <v>52111</v>
      </c>
      <c r="P341" t="str">
        <f>"2200L"</f>
        <v>2200L</v>
      </c>
      <c r="Q341" t="str">
        <f t="shared" si="41"/>
        <v>0101</v>
      </c>
      <c r="R341">
        <v>2200</v>
      </c>
      <c r="S341" t="str">
        <f t="shared" si="47"/>
        <v>5210</v>
      </c>
      <c r="T341" t="s">
        <v>3388</v>
      </c>
      <c r="U341" t="s">
        <v>19</v>
      </c>
    </row>
    <row r="342" spans="1:21" ht="15" customHeight="1" x14ac:dyDescent="0.3">
      <c r="A342" t="s">
        <v>179</v>
      </c>
      <c r="B342" t="str">
        <f>"00054931"</f>
        <v>00054931</v>
      </c>
      <c r="C342" t="s">
        <v>4272</v>
      </c>
      <c r="D342" t="s">
        <v>497</v>
      </c>
      <c r="E342" t="str">
        <f>"00055059"</f>
        <v>00055059</v>
      </c>
      <c r="F342">
        <v>0</v>
      </c>
      <c r="G342" s="243">
        <v>32387</v>
      </c>
      <c r="H342" t="s">
        <v>182</v>
      </c>
      <c r="I342">
        <v>15</v>
      </c>
      <c r="J342">
        <v>16</v>
      </c>
      <c r="K342">
        <v>1</v>
      </c>
      <c r="L342">
        <v>100839</v>
      </c>
      <c r="M342" t="str">
        <f t="shared" si="40"/>
        <v>13</v>
      </c>
      <c r="N342" t="s">
        <v>3323</v>
      </c>
      <c r="O342" t="str">
        <f t="shared" si="46"/>
        <v>52111</v>
      </c>
      <c r="P342" t="str">
        <f>"2200L"</f>
        <v>2200L</v>
      </c>
      <c r="Q342" t="str">
        <f t="shared" si="41"/>
        <v>0101</v>
      </c>
      <c r="R342">
        <v>2200</v>
      </c>
      <c r="S342" t="str">
        <f t="shared" si="47"/>
        <v>5210</v>
      </c>
      <c r="T342" t="s">
        <v>3388</v>
      </c>
      <c r="U342" t="s">
        <v>19</v>
      </c>
    </row>
    <row r="343" spans="1:21" ht="15" customHeight="1" x14ac:dyDescent="0.3">
      <c r="A343" t="s">
        <v>179</v>
      </c>
      <c r="B343" t="str">
        <f>"00055162"</f>
        <v>00055162</v>
      </c>
      <c r="C343" t="s">
        <v>4266</v>
      </c>
      <c r="H343" t="s">
        <v>170</v>
      </c>
      <c r="I343">
        <v>15</v>
      </c>
      <c r="J343">
        <v>1</v>
      </c>
      <c r="K343">
        <v>1</v>
      </c>
      <c r="L343">
        <v>56693</v>
      </c>
      <c r="M343" t="str">
        <f t="shared" si="40"/>
        <v>13</v>
      </c>
      <c r="N343" t="s">
        <v>3323</v>
      </c>
      <c r="O343" t="str">
        <f t="shared" si="46"/>
        <v>52111</v>
      </c>
      <c r="P343" t="str">
        <f>"2300L"</f>
        <v>2300L</v>
      </c>
      <c r="Q343" t="str">
        <f t="shared" si="41"/>
        <v>0101</v>
      </c>
      <c r="R343">
        <v>2300</v>
      </c>
      <c r="S343" t="str">
        <f t="shared" si="47"/>
        <v>5210</v>
      </c>
      <c r="T343" t="s">
        <v>3388</v>
      </c>
      <c r="U343" t="s">
        <v>19</v>
      </c>
    </row>
    <row r="344" spans="1:21" ht="15" customHeight="1" x14ac:dyDescent="0.3">
      <c r="A344" t="s">
        <v>179</v>
      </c>
      <c r="B344" t="str">
        <f>"00055216"</f>
        <v>00055216</v>
      </c>
      <c r="C344" t="s">
        <v>4274</v>
      </c>
      <c r="D344" t="s">
        <v>4418</v>
      </c>
      <c r="E344" t="str">
        <f>"00050737"</f>
        <v>00050737</v>
      </c>
      <c r="F344">
        <v>0</v>
      </c>
      <c r="G344" s="243">
        <v>38775</v>
      </c>
      <c r="H344" t="s">
        <v>182</v>
      </c>
      <c r="I344">
        <v>4</v>
      </c>
      <c r="J344">
        <v>6</v>
      </c>
      <c r="K344">
        <v>1</v>
      </c>
      <c r="L344">
        <v>25935.88</v>
      </c>
      <c r="M344" t="str">
        <f t="shared" si="40"/>
        <v>13</v>
      </c>
      <c r="N344" t="s">
        <v>3323</v>
      </c>
      <c r="O344" t="str">
        <f t="shared" si="46"/>
        <v>52111</v>
      </c>
      <c r="P344" t="str">
        <f>"2100L"</f>
        <v>2100L</v>
      </c>
      <c r="Q344" t="str">
        <f t="shared" si="41"/>
        <v>0101</v>
      </c>
      <c r="R344">
        <v>2100</v>
      </c>
      <c r="S344" t="str">
        <f t="shared" si="47"/>
        <v>5210</v>
      </c>
      <c r="T344" t="s">
        <v>3388</v>
      </c>
      <c r="U344" t="s">
        <v>19</v>
      </c>
    </row>
    <row r="345" spans="1:21" ht="15" customHeight="1" x14ac:dyDescent="0.3">
      <c r="A345" t="s">
        <v>179</v>
      </c>
      <c r="B345" t="str">
        <f>"00056848"</f>
        <v>00056848</v>
      </c>
      <c r="C345" t="s">
        <v>4262</v>
      </c>
      <c r="D345" t="s">
        <v>2398</v>
      </c>
      <c r="E345" t="str">
        <f>"00038063"</f>
        <v>00038063</v>
      </c>
      <c r="F345">
        <v>1</v>
      </c>
      <c r="G345" s="243">
        <v>39278</v>
      </c>
      <c r="H345" t="s">
        <v>182</v>
      </c>
      <c r="I345">
        <v>15</v>
      </c>
      <c r="J345">
        <v>4</v>
      </c>
      <c r="K345">
        <v>1</v>
      </c>
      <c r="L345">
        <v>54725</v>
      </c>
      <c r="M345" t="str">
        <f t="shared" si="40"/>
        <v>13</v>
      </c>
      <c r="N345" t="s">
        <v>3370</v>
      </c>
      <c r="O345" t="str">
        <f t="shared" si="46"/>
        <v>52111</v>
      </c>
      <c r="P345" t="str">
        <f>"2100L"</f>
        <v>2100L</v>
      </c>
      <c r="Q345" t="str">
        <f t="shared" si="41"/>
        <v>0101</v>
      </c>
      <c r="R345">
        <v>2100</v>
      </c>
      <c r="S345" t="str">
        <f t="shared" si="47"/>
        <v>5210</v>
      </c>
      <c r="T345" t="s">
        <v>3388</v>
      </c>
      <c r="U345" t="s">
        <v>19</v>
      </c>
    </row>
    <row r="346" spans="1:21" ht="15" customHeight="1" x14ac:dyDescent="0.3">
      <c r="A346" t="s">
        <v>179</v>
      </c>
      <c r="B346" t="str">
        <f>"00056900"</f>
        <v>00056900</v>
      </c>
      <c r="C346" t="s">
        <v>4262</v>
      </c>
      <c r="D346" t="s">
        <v>500</v>
      </c>
      <c r="E346" t="str">
        <f>"00044594"</f>
        <v>00044594</v>
      </c>
      <c r="F346">
        <v>0</v>
      </c>
      <c r="G346" s="243">
        <v>33120</v>
      </c>
      <c r="H346" t="s">
        <v>182</v>
      </c>
      <c r="I346">
        <v>15</v>
      </c>
      <c r="J346">
        <v>16</v>
      </c>
      <c r="K346">
        <v>1</v>
      </c>
      <c r="L346">
        <v>106540</v>
      </c>
      <c r="M346" t="str">
        <f t="shared" si="40"/>
        <v>13</v>
      </c>
      <c r="N346" t="s">
        <v>3323</v>
      </c>
      <c r="O346" t="str">
        <f t="shared" si="46"/>
        <v>52111</v>
      </c>
      <c r="P346" t="str">
        <f>"2100L"</f>
        <v>2100L</v>
      </c>
      <c r="Q346" t="str">
        <f t="shared" si="41"/>
        <v>0101</v>
      </c>
      <c r="R346">
        <v>2100</v>
      </c>
      <c r="S346" t="str">
        <f t="shared" si="47"/>
        <v>5210</v>
      </c>
      <c r="T346" t="s">
        <v>3388</v>
      </c>
      <c r="U346" t="s">
        <v>19</v>
      </c>
    </row>
    <row r="347" spans="1:21" ht="15" customHeight="1" x14ac:dyDescent="0.3">
      <c r="A347" t="s">
        <v>179</v>
      </c>
      <c r="B347" t="str">
        <f>"00057018"</f>
        <v>00057018</v>
      </c>
      <c r="C347" t="s">
        <v>4262</v>
      </c>
      <c r="D347" t="s">
        <v>501</v>
      </c>
      <c r="E347" t="str">
        <f>"00045478"</f>
        <v>00045478</v>
      </c>
      <c r="F347">
        <v>0</v>
      </c>
      <c r="G347" s="243">
        <v>36449</v>
      </c>
      <c r="H347" t="s">
        <v>182</v>
      </c>
      <c r="I347">
        <v>15</v>
      </c>
      <c r="J347">
        <v>12</v>
      </c>
      <c r="K347">
        <v>1</v>
      </c>
      <c r="L347">
        <v>87431</v>
      </c>
      <c r="M347" t="str">
        <f t="shared" si="40"/>
        <v>13</v>
      </c>
      <c r="N347" t="s">
        <v>3323</v>
      </c>
      <c r="O347" t="str">
        <f t="shared" si="46"/>
        <v>52111</v>
      </c>
      <c r="P347" t="str">
        <f>"2200L"</f>
        <v>2200L</v>
      </c>
      <c r="Q347" t="str">
        <f t="shared" si="41"/>
        <v>0101</v>
      </c>
      <c r="R347">
        <v>2200</v>
      </c>
      <c r="S347" t="str">
        <f t="shared" si="47"/>
        <v>5210</v>
      </c>
      <c r="T347" t="s">
        <v>3388</v>
      </c>
      <c r="U347" t="s">
        <v>19</v>
      </c>
    </row>
    <row r="348" spans="1:21" ht="15" customHeight="1" x14ac:dyDescent="0.3">
      <c r="A348" t="s">
        <v>179</v>
      </c>
      <c r="B348" t="str">
        <f>"00057465"</f>
        <v>00057465</v>
      </c>
      <c r="C348" t="s">
        <v>4266</v>
      </c>
      <c r="D348" t="s">
        <v>502</v>
      </c>
      <c r="E348" t="str">
        <f>"00049632"</f>
        <v>00049632</v>
      </c>
      <c r="F348">
        <v>0</v>
      </c>
      <c r="G348" s="243">
        <v>36858</v>
      </c>
      <c r="H348" t="s">
        <v>182</v>
      </c>
      <c r="I348">
        <v>15</v>
      </c>
      <c r="J348">
        <v>12</v>
      </c>
      <c r="K348">
        <v>1</v>
      </c>
      <c r="L348">
        <v>89887</v>
      </c>
      <c r="M348" t="str">
        <f t="shared" si="40"/>
        <v>13</v>
      </c>
      <c r="N348" t="s">
        <v>3323</v>
      </c>
      <c r="O348" t="str">
        <f t="shared" si="46"/>
        <v>52111</v>
      </c>
      <c r="P348" t="str">
        <f>"2300L"</f>
        <v>2300L</v>
      </c>
      <c r="Q348" t="str">
        <f t="shared" si="41"/>
        <v>0101</v>
      </c>
      <c r="R348">
        <v>2300</v>
      </c>
      <c r="S348" t="str">
        <f t="shared" si="47"/>
        <v>5210</v>
      </c>
      <c r="T348" t="s">
        <v>3388</v>
      </c>
      <c r="U348" t="s">
        <v>19</v>
      </c>
    </row>
    <row r="349" spans="1:21" ht="15" customHeight="1" x14ac:dyDescent="0.3">
      <c r="A349" t="s">
        <v>179</v>
      </c>
      <c r="B349" t="str">
        <f>"00057726"</f>
        <v>00057726</v>
      </c>
      <c r="C349" t="s">
        <v>3798</v>
      </c>
      <c r="D349" t="s">
        <v>503</v>
      </c>
      <c r="E349" t="str">
        <f>"00052943"</f>
        <v>00052943</v>
      </c>
      <c r="F349">
        <v>0</v>
      </c>
      <c r="G349" s="243">
        <v>32050</v>
      </c>
      <c r="H349" t="s">
        <v>182</v>
      </c>
      <c r="I349">
        <v>63</v>
      </c>
      <c r="J349">
        <v>9</v>
      </c>
      <c r="K349">
        <v>1</v>
      </c>
      <c r="L349">
        <v>140000</v>
      </c>
      <c r="M349" t="str">
        <f t="shared" si="40"/>
        <v>13</v>
      </c>
      <c r="N349" t="s">
        <v>3323</v>
      </c>
      <c r="O349" t="str">
        <f t="shared" si="46"/>
        <v>52111</v>
      </c>
      <c r="P349" t="str">
        <f>"1501L"</f>
        <v>1501L</v>
      </c>
      <c r="Q349" t="str">
        <f t="shared" si="41"/>
        <v>0101</v>
      </c>
      <c r="R349">
        <v>1501</v>
      </c>
      <c r="S349" t="str">
        <f t="shared" si="47"/>
        <v>5210</v>
      </c>
      <c r="T349" t="s">
        <v>3388</v>
      </c>
      <c r="U349" t="s">
        <v>19</v>
      </c>
    </row>
    <row r="350" spans="1:21" ht="15" customHeight="1" x14ac:dyDescent="0.3">
      <c r="A350" t="s">
        <v>179</v>
      </c>
      <c r="B350" t="str">
        <f>"00058238"</f>
        <v>00058238</v>
      </c>
      <c r="C350" t="s">
        <v>4257</v>
      </c>
      <c r="D350" t="s">
        <v>504</v>
      </c>
      <c r="E350" t="str">
        <f>"00053671"</f>
        <v>00053671</v>
      </c>
      <c r="F350">
        <v>0</v>
      </c>
      <c r="G350" s="243">
        <v>37124</v>
      </c>
      <c r="H350" t="s">
        <v>182</v>
      </c>
      <c r="I350">
        <v>15</v>
      </c>
      <c r="J350">
        <v>14</v>
      </c>
      <c r="K350">
        <v>1</v>
      </c>
      <c r="L350">
        <v>96460</v>
      </c>
      <c r="M350" t="str">
        <f t="shared" si="40"/>
        <v>13</v>
      </c>
      <c r="N350" t="s">
        <v>3323</v>
      </c>
      <c r="O350" t="str">
        <f t="shared" si="46"/>
        <v>52111</v>
      </c>
      <c r="P350" t="str">
        <f>"2100L"</f>
        <v>2100L</v>
      </c>
      <c r="Q350" t="str">
        <f t="shared" si="41"/>
        <v>0101</v>
      </c>
      <c r="R350">
        <v>2100</v>
      </c>
      <c r="S350" t="str">
        <f t="shared" si="47"/>
        <v>5210</v>
      </c>
      <c r="T350" t="s">
        <v>3388</v>
      </c>
      <c r="U350" t="s">
        <v>19</v>
      </c>
    </row>
    <row r="351" spans="1:21" ht="15" customHeight="1" x14ac:dyDescent="0.3">
      <c r="A351" t="s">
        <v>179</v>
      </c>
      <c r="B351" t="str">
        <f>"00058571"</f>
        <v>00058571</v>
      </c>
      <c r="C351" t="s">
        <v>4262</v>
      </c>
      <c r="D351" t="s">
        <v>506</v>
      </c>
      <c r="E351" t="str">
        <f>"00047695"</f>
        <v>00047695</v>
      </c>
      <c r="F351">
        <v>0</v>
      </c>
      <c r="G351" s="243">
        <v>37228</v>
      </c>
      <c r="H351" t="s">
        <v>182</v>
      </c>
      <c r="I351">
        <v>15</v>
      </c>
      <c r="J351">
        <v>13</v>
      </c>
      <c r="K351">
        <v>1</v>
      </c>
      <c r="L351">
        <v>101066</v>
      </c>
      <c r="M351" t="str">
        <f t="shared" si="40"/>
        <v>13</v>
      </c>
      <c r="N351" t="s">
        <v>3323</v>
      </c>
      <c r="O351" t="str">
        <f t="shared" ref="O351:O378" si="49">"52111"</f>
        <v>52111</v>
      </c>
      <c r="P351" t="str">
        <f>"2200L"</f>
        <v>2200L</v>
      </c>
      <c r="Q351" t="str">
        <f t="shared" si="41"/>
        <v>0101</v>
      </c>
      <c r="R351">
        <v>2200</v>
      </c>
      <c r="S351" t="str">
        <f t="shared" ref="S351:S378" si="50">"5210"</f>
        <v>5210</v>
      </c>
      <c r="T351" t="s">
        <v>3388</v>
      </c>
      <c r="U351" t="s">
        <v>19</v>
      </c>
    </row>
    <row r="352" spans="1:21" ht="15" customHeight="1" x14ac:dyDescent="0.3">
      <c r="A352" t="s">
        <v>179</v>
      </c>
      <c r="B352" t="str">
        <f>"00059269"</f>
        <v>00059269</v>
      </c>
      <c r="C352" t="s">
        <v>4326</v>
      </c>
      <c r="D352" t="s">
        <v>4419</v>
      </c>
      <c r="E352" t="str">
        <f>"00050729"</f>
        <v>00050729</v>
      </c>
      <c r="F352">
        <v>0</v>
      </c>
      <c r="G352" s="243">
        <v>38601</v>
      </c>
      <c r="H352" t="s">
        <v>182</v>
      </c>
      <c r="I352">
        <v>4</v>
      </c>
      <c r="J352">
        <v>6</v>
      </c>
      <c r="K352">
        <v>1</v>
      </c>
      <c r="L352">
        <v>29641</v>
      </c>
      <c r="M352" t="str">
        <f t="shared" si="40"/>
        <v>13</v>
      </c>
      <c r="N352" t="s">
        <v>3323</v>
      </c>
      <c r="O352" t="str">
        <f t="shared" si="49"/>
        <v>52111</v>
      </c>
      <c r="P352" t="str">
        <f>"2300L"</f>
        <v>2300L</v>
      </c>
      <c r="Q352" t="str">
        <f t="shared" si="41"/>
        <v>0101</v>
      </c>
      <c r="R352">
        <v>2300</v>
      </c>
      <c r="S352" t="str">
        <f t="shared" si="50"/>
        <v>5210</v>
      </c>
      <c r="T352" t="s">
        <v>3388</v>
      </c>
      <c r="U352" t="s">
        <v>19</v>
      </c>
    </row>
    <row r="353" spans="1:21" ht="15" customHeight="1" x14ac:dyDescent="0.3">
      <c r="A353" t="s">
        <v>179</v>
      </c>
      <c r="B353" t="str">
        <f>"00059561"</f>
        <v>00059561</v>
      </c>
      <c r="C353" t="s">
        <v>4266</v>
      </c>
      <c r="D353" t="s">
        <v>507</v>
      </c>
      <c r="E353" t="str">
        <f>"00055269"</f>
        <v>00055269</v>
      </c>
      <c r="F353">
        <v>0</v>
      </c>
      <c r="G353" s="243">
        <v>37916</v>
      </c>
      <c r="H353" t="s">
        <v>182</v>
      </c>
      <c r="I353">
        <v>15</v>
      </c>
      <c r="J353">
        <v>12</v>
      </c>
      <c r="K353">
        <v>1</v>
      </c>
      <c r="L353">
        <v>89887</v>
      </c>
      <c r="M353" t="str">
        <f t="shared" si="40"/>
        <v>13</v>
      </c>
      <c r="N353" t="s">
        <v>3323</v>
      </c>
      <c r="O353" t="str">
        <f t="shared" si="49"/>
        <v>52111</v>
      </c>
      <c r="P353" t="str">
        <f>"2300L"</f>
        <v>2300L</v>
      </c>
      <c r="Q353" t="str">
        <f t="shared" si="41"/>
        <v>0101</v>
      </c>
      <c r="R353">
        <v>2300</v>
      </c>
      <c r="S353" t="str">
        <f t="shared" si="50"/>
        <v>5210</v>
      </c>
      <c r="T353" t="s">
        <v>3388</v>
      </c>
      <c r="U353" t="s">
        <v>19</v>
      </c>
    </row>
    <row r="354" spans="1:21" ht="15" customHeight="1" x14ac:dyDescent="0.3">
      <c r="A354" t="s">
        <v>179</v>
      </c>
      <c r="B354" t="str">
        <f>"00059747"</f>
        <v>00059747</v>
      </c>
      <c r="C354" t="s">
        <v>4253</v>
      </c>
      <c r="D354" t="s">
        <v>508</v>
      </c>
      <c r="E354" t="str">
        <f>"00045626"</f>
        <v>00045626</v>
      </c>
      <c r="F354">
        <v>0</v>
      </c>
      <c r="G354" s="243">
        <v>38226</v>
      </c>
      <c r="H354" t="s">
        <v>182</v>
      </c>
      <c r="I354">
        <v>15</v>
      </c>
      <c r="J354">
        <v>16</v>
      </c>
      <c r="K354">
        <v>1</v>
      </c>
      <c r="L354">
        <v>106540</v>
      </c>
      <c r="M354" t="str">
        <f t="shared" si="40"/>
        <v>13</v>
      </c>
      <c r="N354" t="s">
        <v>3323</v>
      </c>
      <c r="O354" t="str">
        <f t="shared" si="49"/>
        <v>52111</v>
      </c>
      <c r="P354" t="str">
        <f>"2100L"</f>
        <v>2100L</v>
      </c>
      <c r="Q354" t="str">
        <f t="shared" si="41"/>
        <v>0101</v>
      </c>
      <c r="R354">
        <v>2100</v>
      </c>
      <c r="S354" t="str">
        <f t="shared" si="50"/>
        <v>5210</v>
      </c>
      <c r="T354" t="s">
        <v>3388</v>
      </c>
      <c r="U354" t="s">
        <v>19</v>
      </c>
    </row>
    <row r="355" spans="1:21" ht="15" customHeight="1" x14ac:dyDescent="0.3">
      <c r="A355" t="s">
        <v>179</v>
      </c>
      <c r="B355" t="str">
        <f>"00059811"</f>
        <v>00059811</v>
      </c>
      <c r="C355" t="s">
        <v>4266</v>
      </c>
      <c r="D355" t="s">
        <v>509</v>
      </c>
      <c r="E355" t="str">
        <f>"00050046"</f>
        <v>00050046</v>
      </c>
      <c r="F355">
        <v>0</v>
      </c>
      <c r="G355" s="243">
        <v>38226</v>
      </c>
      <c r="H355" t="s">
        <v>182</v>
      </c>
      <c r="I355">
        <v>15</v>
      </c>
      <c r="J355">
        <v>12</v>
      </c>
      <c r="K355">
        <v>1</v>
      </c>
      <c r="L355">
        <v>87431</v>
      </c>
      <c r="M355" t="str">
        <f t="shared" si="40"/>
        <v>13</v>
      </c>
      <c r="N355" t="s">
        <v>3323</v>
      </c>
      <c r="O355" t="str">
        <f t="shared" si="49"/>
        <v>52111</v>
      </c>
      <c r="P355" t="str">
        <f>"2300L"</f>
        <v>2300L</v>
      </c>
      <c r="Q355" t="str">
        <f t="shared" si="41"/>
        <v>0101</v>
      </c>
      <c r="R355">
        <v>2300</v>
      </c>
      <c r="S355" t="str">
        <f t="shared" si="50"/>
        <v>5210</v>
      </c>
      <c r="T355" t="s">
        <v>3388</v>
      </c>
      <c r="U355" t="s">
        <v>19</v>
      </c>
    </row>
    <row r="356" spans="1:21" ht="15" customHeight="1" x14ac:dyDescent="0.3">
      <c r="A356" t="s">
        <v>179</v>
      </c>
      <c r="B356" t="str">
        <f>"00059815"</f>
        <v>00059815</v>
      </c>
      <c r="C356" t="s">
        <v>4266</v>
      </c>
      <c r="D356" t="s">
        <v>4420</v>
      </c>
      <c r="E356" t="str">
        <f>"00069856"</f>
        <v>00069856</v>
      </c>
      <c r="F356">
        <v>0</v>
      </c>
      <c r="G356" s="243">
        <v>41133</v>
      </c>
      <c r="H356" t="s">
        <v>182</v>
      </c>
      <c r="I356">
        <v>15</v>
      </c>
      <c r="J356">
        <v>1</v>
      </c>
      <c r="K356">
        <v>1</v>
      </c>
      <c r="L356">
        <v>51539</v>
      </c>
      <c r="M356" t="str">
        <f t="shared" si="40"/>
        <v>13</v>
      </c>
      <c r="N356" t="s">
        <v>3370</v>
      </c>
      <c r="O356" t="str">
        <f t="shared" si="49"/>
        <v>52111</v>
      </c>
      <c r="P356" t="str">
        <f>"2300L"</f>
        <v>2300L</v>
      </c>
      <c r="Q356" t="str">
        <f t="shared" si="41"/>
        <v>0101</v>
      </c>
      <c r="R356">
        <v>2300</v>
      </c>
      <c r="S356" t="str">
        <f t="shared" si="50"/>
        <v>5210</v>
      </c>
      <c r="T356" t="s">
        <v>3388</v>
      </c>
      <c r="U356" t="s">
        <v>19</v>
      </c>
    </row>
    <row r="357" spans="1:21" ht="15" customHeight="1" x14ac:dyDescent="0.3">
      <c r="A357" t="s">
        <v>179</v>
      </c>
      <c r="B357" t="str">
        <f>"00061392"</f>
        <v>00061392</v>
      </c>
      <c r="C357" t="s">
        <v>4272</v>
      </c>
      <c r="D357" t="s">
        <v>510</v>
      </c>
      <c r="E357" t="str">
        <f>"00048587"</f>
        <v>00048587</v>
      </c>
      <c r="F357">
        <v>0</v>
      </c>
      <c r="G357" s="243">
        <v>37576</v>
      </c>
      <c r="H357" t="s">
        <v>182</v>
      </c>
      <c r="I357">
        <v>15</v>
      </c>
      <c r="J357">
        <v>9</v>
      </c>
      <c r="K357">
        <v>1</v>
      </c>
      <c r="L357">
        <v>77687</v>
      </c>
      <c r="M357" t="str">
        <f t="shared" si="40"/>
        <v>13</v>
      </c>
      <c r="N357" t="s">
        <v>3323</v>
      </c>
      <c r="O357" t="str">
        <f t="shared" si="49"/>
        <v>52111</v>
      </c>
      <c r="P357" t="str">
        <f>"2100L"</f>
        <v>2100L</v>
      </c>
      <c r="Q357" t="str">
        <f t="shared" si="41"/>
        <v>0101</v>
      </c>
      <c r="R357">
        <v>2100</v>
      </c>
      <c r="S357" t="str">
        <f t="shared" si="50"/>
        <v>5210</v>
      </c>
      <c r="T357" t="s">
        <v>3388</v>
      </c>
      <c r="U357" t="s">
        <v>19</v>
      </c>
    </row>
    <row r="358" spans="1:21" ht="15" customHeight="1" x14ac:dyDescent="0.3">
      <c r="A358" t="s">
        <v>179</v>
      </c>
      <c r="B358" t="str">
        <f>"00061901"</f>
        <v>00061901</v>
      </c>
      <c r="C358" t="s">
        <v>200</v>
      </c>
      <c r="D358" t="s">
        <v>511</v>
      </c>
      <c r="E358" t="str">
        <f>"00054769"</f>
        <v>00054769</v>
      </c>
      <c r="F358">
        <v>0</v>
      </c>
      <c r="G358" s="243">
        <v>39312</v>
      </c>
      <c r="H358" t="s">
        <v>182</v>
      </c>
      <c r="I358">
        <v>15</v>
      </c>
      <c r="J358">
        <v>12</v>
      </c>
      <c r="K358">
        <v>1</v>
      </c>
      <c r="L358">
        <v>89887</v>
      </c>
      <c r="M358" t="str">
        <f t="shared" si="40"/>
        <v>13</v>
      </c>
      <c r="N358" t="s">
        <v>3323</v>
      </c>
      <c r="O358" t="str">
        <f t="shared" si="49"/>
        <v>52111</v>
      </c>
      <c r="P358" t="str">
        <f>"2100L"</f>
        <v>2100L</v>
      </c>
      <c r="Q358" t="str">
        <f t="shared" si="41"/>
        <v>0101</v>
      </c>
      <c r="R358">
        <v>2100</v>
      </c>
      <c r="S358" t="str">
        <f t="shared" si="50"/>
        <v>5210</v>
      </c>
      <c r="T358" t="s">
        <v>3388</v>
      </c>
      <c r="U358" t="s">
        <v>19</v>
      </c>
    </row>
    <row r="359" spans="1:21" ht="15" customHeight="1" x14ac:dyDescent="0.3">
      <c r="A359" t="s">
        <v>179</v>
      </c>
      <c r="B359" t="str">
        <f>"00062000"</f>
        <v>00062000</v>
      </c>
      <c r="C359" t="s">
        <v>4343</v>
      </c>
      <c r="D359" t="s">
        <v>379</v>
      </c>
      <c r="E359" t="str">
        <f>"00044859"</f>
        <v>00044859</v>
      </c>
      <c r="F359">
        <v>0</v>
      </c>
      <c r="G359" s="243">
        <v>39735</v>
      </c>
      <c r="H359" t="s">
        <v>182</v>
      </c>
      <c r="I359">
        <v>15</v>
      </c>
      <c r="J359">
        <v>12</v>
      </c>
      <c r="K359">
        <v>1</v>
      </c>
      <c r="L359">
        <v>92613</v>
      </c>
      <c r="M359" t="str">
        <f t="shared" si="40"/>
        <v>13</v>
      </c>
      <c r="N359" t="s">
        <v>3323</v>
      </c>
      <c r="O359" t="str">
        <f t="shared" si="49"/>
        <v>52111</v>
      </c>
      <c r="P359" t="str">
        <f>"2300L"</f>
        <v>2300L</v>
      </c>
      <c r="Q359" t="str">
        <f t="shared" si="41"/>
        <v>0101</v>
      </c>
      <c r="R359">
        <v>2300</v>
      </c>
      <c r="S359" t="str">
        <f t="shared" si="50"/>
        <v>5210</v>
      </c>
      <c r="T359" t="s">
        <v>3388</v>
      </c>
      <c r="U359" t="s">
        <v>19</v>
      </c>
    </row>
    <row r="360" spans="1:21" ht="15" customHeight="1" x14ac:dyDescent="0.3">
      <c r="A360" t="s">
        <v>179</v>
      </c>
      <c r="B360" t="str">
        <f>"00062134"</f>
        <v>00062134</v>
      </c>
      <c r="C360" t="s">
        <v>4262</v>
      </c>
      <c r="D360" t="s">
        <v>512</v>
      </c>
      <c r="E360" t="str">
        <f>"00046320"</f>
        <v>00046320</v>
      </c>
      <c r="F360">
        <v>0</v>
      </c>
      <c r="G360" s="243">
        <v>39679</v>
      </c>
      <c r="H360" t="s">
        <v>182</v>
      </c>
      <c r="I360">
        <v>15</v>
      </c>
      <c r="J360">
        <v>14</v>
      </c>
      <c r="K360">
        <v>1</v>
      </c>
      <c r="L360">
        <v>96460</v>
      </c>
      <c r="M360" t="str">
        <f t="shared" ref="M360:M417" si="51">"13"</f>
        <v>13</v>
      </c>
      <c r="N360" t="s">
        <v>3323</v>
      </c>
      <c r="O360" t="str">
        <f t="shared" si="49"/>
        <v>52111</v>
      </c>
      <c r="P360" t="str">
        <f>"2100L"</f>
        <v>2100L</v>
      </c>
      <c r="Q360" t="str">
        <f t="shared" ref="Q360:Q417" si="52">"0101"</f>
        <v>0101</v>
      </c>
      <c r="R360">
        <v>2100</v>
      </c>
      <c r="S360" t="str">
        <f t="shared" si="50"/>
        <v>5210</v>
      </c>
      <c r="T360" t="s">
        <v>3388</v>
      </c>
      <c r="U360" t="s">
        <v>19</v>
      </c>
    </row>
    <row r="361" spans="1:21" ht="15" customHeight="1" x14ac:dyDescent="0.3">
      <c r="A361" t="s">
        <v>179</v>
      </c>
      <c r="B361" t="str">
        <f>"00062468"</f>
        <v>00062468</v>
      </c>
      <c r="C361" t="s">
        <v>4253</v>
      </c>
      <c r="D361" t="s">
        <v>4421</v>
      </c>
      <c r="E361" t="str">
        <f>"00069609"</f>
        <v>00069609</v>
      </c>
      <c r="F361">
        <v>0</v>
      </c>
      <c r="G361" s="243">
        <v>41133</v>
      </c>
      <c r="H361" t="s">
        <v>182</v>
      </c>
      <c r="I361">
        <v>15</v>
      </c>
      <c r="J361">
        <v>8</v>
      </c>
      <c r="K361">
        <v>1</v>
      </c>
      <c r="L361">
        <v>72171</v>
      </c>
      <c r="M361" t="str">
        <f t="shared" si="51"/>
        <v>13</v>
      </c>
      <c r="N361" t="s">
        <v>3370</v>
      </c>
      <c r="O361" t="str">
        <f t="shared" si="49"/>
        <v>52111</v>
      </c>
      <c r="P361" t="str">
        <f>"2100L"</f>
        <v>2100L</v>
      </c>
      <c r="Q361" t="str">
        <f t="shared" si="52"/>
        <v>0101</v>
      </c>
      <c r="R361">
        <v>2100</v>
      </c>
      <c r="S361" t="str">
        <f t="shared" si="50"/>
        <v>5210</v>
      </c>
      <c r="T361" t="s">
        <v>3388</v>
      </c>
      <c r="U361" t="s">
        <v>19</v>
      </c>
    </row>
    <row r="362" spans="1:21" ht="15" customHeight="1" x14ac:dyDescent="0.3">
      <c r="A362" t="s">
        <v>179</v>
      </c>
      <c r="B362" t="str">
        <f>"00062553"</f>
        <v>00062553</v>
      </c>
      <c r="C362" t="s">
        <v>4272</v>
      </c>
      <c r="D362" t="s">
        <v>513</v>
      </c>
      <c r="E362" t="str">
        <f>"00055066"</f>
        <v>00055066</v>
      </c>
      <c r="F362">
        <v>0</v>
      </c>
      <c r="G362" s="243">
        <v>39696</v>
      </c>
      <c r="H362" t="s">
        <v>182</v>
      </c>
      <c r="I362">
        <v>15</v>
      </c>
      <c r="J362">
        <v>13</v>
      </c>
      <c r="K362">
        <v>1</v>
      </c>
      <c r="L362">
        <v>95366</v>
      </c>
      <c r="M362" t="str">
        <f t="shared" si="51"/>
        <v>13</v>
      </c>
      <c r="N362" t="s">
        <v>3323</v>
      </c>
      <c r="O362" t="str">
        <f t="shared" si="49"/>
        <v>52111</v>
      </c>
      <c r="P362" t="str">
        <f>"2100L"</f>
        <v>2100L</v>
      </c>
      <c r="Q362" t="str">
        <f t="shared" si="52"/>
        <v>0101</v>
      </c>
      <c r="R362">
        <v>2100</v>
      </c>
      <c r="S362" t="str">
        <f t="shared" si="50"/>
        <v>5210</v>
      </c>
      <c r="T362" t="s">
        <v>3388</v>
      </c>
      <c r="U362" t="s">
        <v>19</v>
      </c>
    </row>
    <row r="363" spans="1:21" ht="15" customHeight="1" x14ac:dyDescent="0.3">
      <c r="A363" t="s">
        <v>179</v>
      </c>
      <c r="B363" t="str">
        <f>"00063035"</f>
        <v>00063035</v>
      </c>
      <c r="C363" t="s">
        <v>4266</v>
      </c>
      <c r="D363" t="s">
        <v>514</v>
      </c>
      <c r="E363" t="str">
        <f>"00047088"</f>
        <v>00047088</v>
      </c>
      <c r="F363">
        <v>0</v>
      </c>
      <c r="G363" s="243">
        <v>40406</v>
      </c>
      <c r="H363" t="s">
        <v>182</v>
      </c>
      <c r="I363">
        <v>15</v>
      </c>
      <c r="J363">
        <v>12</v>
      </c>
      <c r="K363">
        <v>1</v>
      </c>
      <c r="L363">
        <v>87431</v>
      </c>
      <c r="M363" t="str">
        <f t="shared" si="51"/>
        <v>13</v>
      </c>
      <c r="N363" t="s">
        <v>3323</v>
      </c>
      <c r="O363" t="str">
        <f t="shared" si="49"/>
        <v>52111</v>
      </c>
      <c r="P363" t="str">
        <f>"2300L"</f>
        <v>2300L</v>
      </c>
      <c r="Q363" t="str">
        <f t="shared" si="52"/>
        <v>0101</v>
      </c>
      <c r="R363">
        <v>2300</v>
      </c>
      <c r="S363" t="str">
        <f t="shared" si="50"/>
        <v>5210</v>
      </c>
      <c r="T363" t="s">
        <v>3388</v>
      </c>
      <c r="U363" t="s">
        <v>19</v>
      </c>
    </row>
    <row r="364" spans="1:21" ht="15" customHeight="1" x14ac:dyDescent="0.3">
      <c r="A364" t="s">
        <v>179</v>
      </c>
      <c r="B364" t="str">
        <f>"00063036"</f>
        <v>00063036</v>
      </c>
      <c r="C364" t="s">
        <v>4262</v>
      </c>
      <c r="D364" t="s">
        <v>515</v>
      </c>
      <c r="E364" t="str">
        <f>"00049297"</f>
        <v>00049297</v>
      </c>
      <c r="F364">
        <v>0</v>
      </c>
      <c r="G364" s="243">
        <v>40070</v>
      </c>
      <c r="H364" t="s">
        <v>182</v>
      </c>
      <c r="I364">
        <v>15</v>
      </c>
      <c r="J364">
        <v>9</v>
      </c>
      <c r="K364">
        <v>1</v>
      </c>
      <c r="L364">
        <v>68414</v>
      </c>
      <c r="M364" t="str">
        <f t="shared" si="51"/>
        <v>13</v>
      </c>
      <c r="N364" t="s">
        <v>3323</v>
      </c>
      <c r="O364" t="str">
        <f t="shared" si="49"/>
        <v>52111</v>
      </c>
      <c r="P364" t="str">
        <f>"2100L"</f>
        <v>2100L</v>
      </c>
      <c r="Q364" t="str">
        <f t="shared" si="52"/>
        <v>0101</v>
      </c>
      <c r="R364">
        <v>2100</v>
      </c>
      <c r="S364" t="str">
        <f t="shared" si="50"/>
        <v>5210</v>
      </c>
      <c r="T364" t="s">
        <v>3388</v>
      </c>
      <c r="U364" t="s">
        <v>19</v>
      </c>
    </row>
    <row r="365" spans="1:21" ht="15" customHeight="1" x14ac:dyDescent="0.3">
      <c r="A365" t="s">
        <v>179</v>
      </c>
      <c r="B365" t="str">
        <f>"00063046"</f>
        <v>00063046</v>
      </c>
      <c r="C365" t="s">
        <v>4253</v>
      </c>
      <c r="D365" t="s">
        <v>3389</v>
      </c>
      <c r="E365" t="str">
        <f>"00064510"</f>
        <v>00064510</v>
      </c>
      <c r="F365">
        <v>0</v>
      </c>
      <c r="G365" s="243">
        <v>40576</v>
      </c>
      <c r="H365" t="s">
        <v>182</v>
      </c>
      <c r="I365">
        <v>15</v>
      </c>
      <c r="J365">
        <v>2</v>
      </c>
      <c r="K365">
        <v>1</v>
      </c>
      <c r="L365">
        <v>51716</v>
      </c>
      <c r="M365" t="str">
        <f t="shared" si="51"/>
        <v>13</v>
      </c>
      <c r="N365" t="s">
        <v>3323</v>
      </c>
      <c r="O365" t="str">
        <f t="shared" si="49"/>
        <v>52111</v>
      </c>
      <c r="P365" t="str">
        <f>"2100L"</f>
        <v>2100L</v>
      </c>
      <c r="Q365" t="str">
        <f t="shared" si="52"/>
        <v>0101</v>
      </c>
      <c r="R365">
        <v>2100</v>
      </c>
      <c r="S365" t="str">
        <f t="shared" si="50"/>
        <v>5210</v>
      </c>
      <c r="T365" t="s">
        <v>3388</v>
      </c>
      <c r="U365" t="s">
        <v>19</v>
      </c>
    </row>
    <row r="366" spans="1:21" ht="15" customHeight="1" x14ac:dyDescent="0.3">
      <c r="A366" t="s">
        <v>179</v>
      </c>
      <c r="B366" t="str">
        <f>"00063088"</f>
        <v>00063088</v>
      </c>
      <c r="C366" t="s">
        <v>4360</v>
      </c>
      <c r="D366" t="s">
        <v>4422</v>
      </c>
      <c r="E366" t="str">
        <f>"00050722"</f>
        <v>00050722</v>
      </c>
      <c r="F366">
        <v>0</v>
      </c>
      <c r="G366" s="243">
        <v>39839</v>
      </c>
      <c r="H366" t="s">
        <v>182</v>
      </c>
      <c r="I366">
        <v>7</v>
      </c>
      <c r="J366">
        <v>3</v>
      </c>
      <c r="K366">
        <v>1</v>
      </c>
      <c r="L366">
        <v>37084</v>
      </c>
      <c r="M366" t="str">
        <f t="shared" si="51"/>
        <v>13</v>
      </c>
      <c r="N366" t="s">
        <v>3323</v>
      </c>
      <c r="O366" t="str">
        <f t="shared" si="49"/>
        <v>52111</v>
      </c>
      <c r="P366" t="str">
        <f>"1502L"</f>
        <v>1502L</v>
      </c>
      <c r="Q366" t="str">
        <f t="shared" si="52"/>
        <v>0101</v>
      </c>
      <c r="R366">
        <v>1502</v>
      </c>
      <c r="S366" t="str">
        <f t="shared" si="50"/>
        <v>5210</v>
      </c>
      <c r="T366" t="s">
        <v>3388</v>
      </c>
      <c r="U366" t="s">
        <v>19</v>
      </c>
    </row>
    <row r="367" spans="1:21" ht="15" customHeight="1" x14ac:dyDescent="0.3">
      <c r="A367" t="s">
        <v>179</v>
      </c>
      <c r="B367" t="str">
        <f>"00065405"</f>
        <v>00065405</v>
      </c>
      <c r="C367" t="s">
        <v>3670</v>
      </c>
      <c r="D367" t="s">
        <v>3387</v>
      </c>
      <c r="E367" t="str">
        <f>"00063102"</f>
        <v>00063102</v>
      </c>
      <c r="F367">
        <v>0</v>
      </c>
      <c r="G367" s="243">
        <v>40420</v>
      </c>
      <c r="H367" t="s">
        <v>182</v>
      </c>
      <c r="I367">
        <v>8</v>
      </c>
      <c r="J367">
        <v>6</v>
      </c>
      <c r="K367">
        <v>1</v>
      </c>
      <c r="L367">
        <v>94825</v>
      </c>
      <c r="M367" t="str">
        <f t="shared" si="51"/>
        <v>13</v>
      </c>
      <c r="N367" t="s">
        <v>3370</v>
      </c>
      <c r="O367" t="str">
        <f t="shared" si="49"/>
        <v>52111</v>
      </c>
      <c r="P367" t="str">
        <f>"1501L"</f>
        <v>1501L</v>
      </c>
      <c r="Q367" t="str">
        <f t="shared" si="52"/>
        <v>0101</v>
      </c>
      <c r="R367">
        <v>1501</v>
      </c>
      <c r="S367" t="str">
        <f t="shared" si="50"/>
        <v>5210</v>
      </c>
      <c r="T367" t="s">
        <v>3388</v>
      </c>
      <c r="U367" t="s">
        <v>19</v>
      </c>
    </row>
    <row r="368" spans="1:21" ht="15" customHeight="1" x14ac:dyDescent="0.3">
      <c r="A368" t="s">
        <v>179</v>
      </c>
      <c r="B368" t="str">
        <f>"00065847"</f>
        <v>00065847</v>
      </c>
      <c r="C368" t="s">
        <v>4262</v>
      </c>
      <c r="D368" t="s">
        <v>516</v>
      </c>
      <c r="E368" t="str">
        <f>"00057792"</f>
        <v>00057792</v>
      </c>
      <c r="F368">
        <v>0</v>
      </c>
      <c r="G368" s="243">
        <v>40042</v>
      </c>
      <c r="H368" t="s">
        <v>182</v>
      </c>
      <c r="I368">
        <v>15</v>
      </c>
      <c r="J368">
        <v>4</v>
      </c>
      <c r="K368">
        <v>1</v>
      </c>
      <c r="L368">
        <v>54725</v>
      </c>
      <c r="M368" t="str">
        <f t="shared" si="51"/>
        <v>13</v>
      </c>
      <c r="N368" t="s">
        <v>3323</v>
      </c>
      <c r="O368" t="str">
        <f t="shared" si="49"/>
        <v>52111</v>
      </c>
      <c r="P368" t="str">
        <f>"2100L"</f>
        <v>2100L</v>
      </c>
      <c r="Q368" t="str">
        <f t="shared" si="52"/>
        <v>0101</v>
      </c>
      <c r="R368">
        <v>2100</v>
      </c>
      <c r="S368" t="str">
        <f t="shared" si="50"/>
        <v>5210</v>
      </c>
      <c r="T368" t="s">
        <v>3388</v>
      </c>
      <c r="U368" t="s">
        <v>19</v>
      </c>
    </row>
    <row r="369" spans="1:21" ht="15" customHeight="1" x14ac:dyDescent="0.3">
      <c r="A369" t="s">
        <v>179</v>
      </c>
      <c r="B369" t="str">
        <f>"00065848"</f>
        <v>00065848</v>
      </c>
      <c r="C369" t="s">
        <v>4262</v>
      </c>
      <c r="D369" t="s">
        <v>517</v>
      </c>
      <c r="E369" t="str">
        <f>"00057150"</f>
        <v>00057150</v>
      </c>
      <c r="F369">
        <v>0</v>
      </c>
      <c r="G369" s="243">
        <v>40042</v>
      </c>
      <c r="H369" t="s">
        <v>182</v>
      </c>
      <c r="I369">
        <v>15</v>
      </c>
      <c r="J369">
        <v>10</v>
      </c>
      <c r="K369">
        <v>1</v>
      </c>
      <c r="L369">
        <v>78273</v>
      </c>
      <c r="M369" t="str">
        <f t="shared" si="51"/>
        <v>13</v>
      </c>
      <c r="N369" t="s">
        <v>3323</v>
      </c>
      <c r="O369" t="str">
        <f t="shared" si="49"/>
        <v>52111</v>
      </c>
      <c r="P369" t="str">
        <f>"2100L"</f>
        <v>2100L</v>
      </c>
      <c r="Q369" t="str">
        <f t="shared" si="52"/>
        <v>0101</v>
      </c>
      <c r="R369">
        <v>2100</v>
      </c>
      <c r="S369" t="str">
        <f t="shared" si="50"/>
        <v>5210</v>
      </c>
      <c r="T369" t="s">
        <v>3388</v>
      </c>
      <c r="U369" t="s">
        <v>19</v>
      </c>
    </row>
    <row r="370" spans="1:21" ht="15" customHeight="1" x14ac:dyDescent="0.3">
      <c r="A370" t="s">
        <v>179</v>
      </c>
      <c r="B370" t="str">
        <f>"00065852"</f>
        <v>00065852</v>
      </c>
      <c r="C370" t="s">
        <v>4260</v>
      </c>
      <c r="D370" t="s">
        <v>3390</v>
      </c>
      <c r="E370" t="str">
        <f>"00066335"</f>
        <v>00066335</v>
      </c>
      <c r="F370">
        <v>0</v>
      </c>
      <c r="G370" s="243">
        <v>40755</v>
      </c>
      <c r="H370" t="s">
        <v>182</v>
      </c>
      <c r="I370">
        <v>15</v>
      </c>
      <c r="J370">
        <v>2</v>
      </c>
      <c r="K370">
        <v>1</v>
      </c>
      <c r="L370">
        <v>51716</v>
      </c>
      <c r="M370" t="str">
        <f t="shared" si="51"/>
        <v>13</v>
      </c>
      <c r="N370" t="s">
        <v>3323</v>
      </c>
      <c r="O370" t="str">
        <f t="shared" si="49"/>
        <v>52111</v>
      </c>
      <c r="P370" t="str">
        <f>"2300L"</f>
        <v>2300L</v>
      </c>
      <c r="Q370" t="str">
        <f t="shared" si="52"/>
        <v>0101</v>
      </c>
      <c r="R370">
        <v>2300</v>
      </c>
      <c r="S370" t="str">
        <f t="shared" si="50"/>
        <v>5210</v>
      </c>
      <c r="T370" t="s">
        <v>3388</v>
      </c>
      <c r="U370" t="s">
        <v>19</v>
      </c>
    </row>
    <row r="371" spans="1:21" ht="15" customHeight="1" x14ac:dyDescent="0.3">
      <c r="A371" t="s">
        <v>179</v>
      </c>
      <c r="B371" t="str">
        <f>"00065853"</f>
        <v>00065853</v>
      </c>
      <c r="C371" t="s">
        <v>4266</v>
      </c>
      <c r="D371" t="s">
        <v>3956</v>
      </c>
      <c r="E371" t="str">
        <f>"00066440"</f>
        <v>00066440</v>
      </c>
      <c r="F371">
        <v>0</v>
      </c>
      <c r="G371" s="243">
        <v>40770</v>
      </c>
      <c r="H371" t="s">
        <v>182</v>
      </c>
      <c r="I371">
        <v>15</v>
      </c>
      <c r="J371">
        <v>5</v>
      </c>
      <c r="K371">
        <v>1</v>
      </c>
      <c r="L371">
        <v>59087</v>
      </c>
      <c r="M371" t="str">
        <f t="shared" si="51"/>
        <v>13</v>
      </c>
      <c r="N371" t="s">
        <v>3370</v>
      </c>
      <c r="O371" t="str">
        <f t="shared" si="49"/>
        <v>52111</v>
      </c>
      <c r="P371" t="str">
        <f>"2300L"</f>
        <v>2300L</v>
      </c>
      <c r="Q371" t="str">
        <f t="shared" si="52"/>
        <v>0101</v>
      </c>
      <c r="R371">
        <v>2300</v>
      </c>
      <c r="S371" t="str">
        <f t="shared" si="50"/>
        <v>5210</v>
      </c>
      <c r="T371" t="s">
        <v>3388</v>
      </c>
      <c r="U371" t="s">
        <v>19</v>
      </c>
    </row>
    <row r="372" spans="1:21" ht="15" customHeight="1" x14ac:dyDescent="0.3">
      <c r="A372" t="s">
        <v>179</v>
      </c>
      <c r="B372" t="str">
        <f>"00065855"</f>
        <v>00065855</v>
      </c>
      <c r="C372" t="s">
        <v>4266</v>
      </c>
      <c r="D372" t="s">
        <v>519</v>
      </c>
      <c r="E372" t="str">
        <f>"00057370"</f>
        <v>00057370</v>
      </c>
      <c r="F372">
        <v>0</v>
      </c>
      <c r="G372" s="243">
        <v>40042</v>
      </c>
      <c r="H372" t="s">
        <v>182</v>
      </c>
      <c r="I372">
        <v>15</v>
      </c>
      <c r="J372">
        <v>9</v>
      </c>
      <c r="K372">
        <v>1</v>
      </c>
      <c r="L372">
        <v>77687</v>
      </c>
      <c r="M372" t="str">
        <f t="shared" si="51"/>
        <v>13</v>
      </c>
      <c r="N372" t="s">
        <v>3323</v>
      </c>
      <c r="O372" t="str">
        <f t="shared" si="49"/>
        <v>52111</v>
      </c>
      <c r="P372" t="str">
        <f>"2300L"</f>
        <v>2300L</v>
      </c>
      <c r="Q372" t="str">
        <f t="shared" si="52"/>
        <v>0101</v>
      </c>
      <c r="R372">
        <v>2300</v>
      </c>
      <c r="S372" t="str">
        <f t="shared" si="50"/>
        <v>5210</v>
      </c>
      <c r="T372" t="s">
        <v>3388</v>
      </c>
      <c r="U372" t="s">
        <v>19</v>
      </c>
    </row>
    <row r="373" spans="1:21" ht="15" customHeight="1" x14ac:dyDescent="0.3">
      <c r="A373" t="s">
        <v>179</v>
      </c>
      <c r="B373" t="str">
        <f>"00066098"</f>
        <v>00066098</v>
      </c>
      <c r="C373" t="s">
        <v>4381</v>
      </c>
      <c r="D373" t="s">
        <v>520</v>
      </c>
      <c r="E373" t="str">
        <f>"00063652"</f>
        <v>00063652</v>
      </c>
      <c r="F373">
        <v>0</v>
      </c>
      <c r="G373" s="243">
        <v>40463</v>
      </c>
      <c r="H373" t="s">
        <v>182</v>
      </c>
      <c r="I373">
        <v>9</v>
      </c>
      <c r="J373">
        <v>1</v>
      </c>
      <c r="K373">
        <v>1</v>
      </c>
      <c r="L373">
        <v>33163</v>
      </c>
      <c r="M373" t="str">
        <f t="shared" si="51"/>
        <v>13</v>
      </c>
      <c r="N373" t="s">
        <v>3323</v>
      </c>
      <c r="O373" t="str">
        <f t="shared" si="49"/>
        <v>52111</v>
      </c>
      <c r="P373" t="str">
        <f>"2100L"</f>
        <v>2100L</v>
      </c>
      <c r="Q373" t="str">
        <f t="shared" si="52"/>
        <v>0101</v>
      </c>
      <c r="R373">
        <v>2100</v>
      </c>
      <c r="S373" t="str">
        <f t="shared" si="50"/>
        <v>5210</v>
      </c>
      <c r="T373" t="s">
        <v>3388</v>
      </c>
      <c r="U373" t="s">
        <v>19</v>
      </c>
    </row>
    <row r="374" spans="1:21" ht="15" customHeight="1" x14ac:dyDescent="0.3">
      <c r="A374" t="s">
        <v>179</v>
      </c>
      <c r="B374" t="str">
        <f>"00067175"</f>
        <v>00067175</v>
      </c>
      <c r="C374" t="s">
        <v>4274</v>
      </c>
      <c r="D374" t="s">
        <v>4423</v>
      </c>
      <c r="E374" t="str">
        <f>"00065796"</f>
        <v>00065796</v>
      </c>
      <c r="F374">
        <v>0</v>
      </c>
      <c r="G374" s="243">
        <v>40770</v>
      </c>
      <c r="H374" t="s">
        <v>182</v>
      </c>
      <c r="I374">
        <v>4</v>
      </c>
      <c r="J374">
        <v>4</v>
      </c>
      <c r="K374">
        <v>1</v>
      </c>
      <c r="L374">
        <v>24543.75</v>
      </c>
      <c r="M374" t="str">
        <f t="shared" si="51"/>
        <v>13</v>
      </c>
      <c r="N374" t="s">
        <v>3323</v>
      </c>
      <c r="O374" t="str">
        <f t="shared" si="49"/>
        <v>52111</v>
      </c>
      <c r="P374" t="str">
        <f>"2200L"</f>
        <v>2200L</v>
      </c>
      <c r="Q374" t="str">
        <f t="shared" si="52"/>
        <v>0101</v>
      </c>
      <c r="R374">
        <v>2200</v>
      </c>
      <c r="S374" t="str">
        <f t="shared" si="50"/>
        <v>5210</v>
      </c>
      <c r="T374" t="s">
        <v>3388</v>
      </c>
      <c r="U374" t="s">
        <v>19</v>
      </c>
    </row>
    <row r="375" spans="1:21" ht="15" customHeight="1" x14ac:dyDescent="0.3">
      <c r="A375" t="s">
        <v>179</v>
      </c>
      <c r="B375" t="str">
        <f>"00070802"</f>
        <v>00070802</v>
      </c>
      <c r="C375" t="s">
        <v>4274</v>
      </c>
      <c r="D375" t="s">
        <v>4424</v>
      </c>
      <c r="E375" t="str">
        <f>"00060658"</f>
        <v>00060658</v>
      </c>
      <c r="F375">
        <v>0</v>
      </c>
      <c r="G375" s="243">
        <v>40259</v>
      </c>
      <c r="H375" t="s">
        <v>182</v>
      </c>
      <c r="I375">
        <v>4</v>
      </c>
      <c r="J375">
        <v>7</v>
      </c>
      <c r="K375">
        <v>0.71</v>
      </c>
      <c r="L375">
        <v>26633.25</v>
      </c>
      <c r="M375" t="str">
        <f t="shared" si="51"/>
        <v>13</v>
      </c>
      <c r="N375" t="s">
        <v>3323</v>
      </c>
      <c r="O375" t="str">
        <f t="shared" si="49"/>
        <v>52111</v>
      </c>
      <c r="P375" t="str">
        <f>"2200L"</f>
        <v>2200L</v>
      </c>
      <c r="Q375" t="str">
        <f t="shared" si="52"/>
        <v>0101</v>
      </c>
      <c r="R375">
        <v>2200</v>
      </c>
      <c r="S375" t="str">
        <f t="shared" si="50"/>
        <v>5210</v>
      </c>
      <c r="T375" t="s">
        <v>3388</v>
      </c>
      <c r="U375" t="s">
        <v>19</v>
      </c>
    </row>
    <row r="376" spans="1:21" ht="15" customHeight="1" x14ac:dyDescent="0.3">
      <c r="A376" t="s">
        <v>179</v>
      </c>
      <c r="B376" t="str">
        <f>"00072115"</f>
        <v>00072115</v>
      </c>
      <c r="C376" t="s">
        <v>4274</v>
      </c>
      <c r="H376" t="s">
        <v>170</v>
      </c>
      <c r="I376">
        <v>4</v>
      </c>
      <c r="J376">
        <v>1</v>
      </c>
      <c r="K376">
        <v>1</v>
      </c>
      <c r="L376">
        <v>25662</v>
      </c>
      <c r="M376" t="str">
        <f t="shared" si="51"/>
        <v>13</v>
      </c>
      <c r="N376" t="s">
        <v>3323</v>
      </c>
      <c r="O376" t="str">
        <f t="shared" si="49"/>
        <v>52111</v>
      </c>
      <c r="P376" t="str">
        <f>"2200L"</f>
        <v>2200L</v>
      </c>
      <c r="Q376" t="str">
        <f t="shared" si="52"/>
        <v>0101</v>
      </c>
      <c r="R376">
        <v>2200</v>
      </c>
      <c r="S376" t="str">
        <f t="shared" si="50"/>
        <v>5210</v>
      </c>
      <c r="T376" t="s">
        <v>3388</v>
      </c>
      <c r="U376" t="s">
        <v>19</v>
      </c>
    </row>
    <row r="377" spans="1:21" ht="15" customHeight="1" x14ac:dyDescent="0.3">
      <c r="A377" t="s">
        <v>179</v>
      </c>
      <c r="B377" t="str">
        <f>"00072265"</f>
        <v>00072265</v>
      </c>
      <c r="C377" t="s">
        <v>4260</v>
      </c>
      <c r="H377" t="s">
        <v>170</v>
      </c>
      <c r="I377">
        <v>15</v>
      </c>
      <c r="J377">
        <v>1</v>
      </c>
      <c r="K377">
        <v>1</v>
      </c>
      <c r="L377">
        <v>51539</v>
      </c>
      <c r="M377" t="str">
        <f t="shared" si="51"/>
        <v>13</v>
      </c>
      <c r="N377" t="s">
        <v>3323</v>
      </c>
      <c r="O377" t="str">
        <f t="shared" si="49"/>
        <v>52111</v>
      </c>
      <c r="P377" t="str">
        <f>"2100L"</f>
        <v>2100L</v>
      </c>
      <c r="Q377" t="str">
        <f t="shared" si="52"/>
        <v>0101</v>
      </c>
      <c r="R377">
        <v>2100</v>
      </c>
      <c r="S377" t="str">
        <f t="shared" si="50"/>
        <v>5210</v>
      </c>
      <c r="T377" t="s">
        <v>3388</v>
      </c>
      <c r="U377" t="s">
        <v>19</v>
      </c>
    </row>
    <row r="378" spans="1:21" ht="15" customHeight="1" x14ac:dyDescent="0.3">
      <c r="A378" t="s">
        <v>179</v>
      </c>
      <c r="B378" t="str">
        <f>"00072445"</f>
        <v>00072445</v>
      </c>
      <c r="C378" t="s">
        <v>4290</v>
      </c>
      <c r="D378" t="s">
        <v>4425</v>
      </c>
      <c r="E378" t="str">
        <f>"00058599"</f>
        <v>00058599</v>
      </c>
      <c r="F378">
        <v>0</v>
      </c>
      <c r="G378" s="243">
        <v>40064</v>
      </c>
      <c r="H378" t="s">
        <v>182</v>
      </c>
      <c r="I378">
        <v>4</v>
      </c>
      <c r="J378">
        <v>6</v>
      </c>
      <c r="K378">
        <v>0.71</v>
      </c>
      <c r="L378">
        <v>25935.88</v>
      </c>
      <c r="M378" t="str">
        <f t="shared" si="51"/>
        <v>13</v>
      </c>
      <c r="N378" t="s">
        <v>3323</v>
      </c>
      <c r="O378" t="str">
        <f t="shared" si="49"/>
        <v>52111</v>
      </c>
      <c r="P378" t="str">
        <f>"2100L"</f>
        <v>2100L</v>
      </c>
      <c r="Q378" t="str">
        <f t="shared" si="52"/>
        <v>0101</v>
      </c>
      <c r="R378">
        <v>2100</v>
      </c>
      <c r="S378" t="str">
        <f t="shared" si="50"/>
        <v>5210</v>
      </c>
      <c r="T378" t="s">
        <v>3388</v>
      </c>
      <c r="U378" t="s">
        <v>19</v>
      </c>
    </row>
    <row r="379" spans="1:21" ht="15" customHeight="1" x14ac:dyDescent="0.3">
      <c r="A379" t="s">
        <v>179</v>
      </c>
      <c r="B379" t="str">
        <f>"00072446"</f>
        <v>00072446</v>
      </c>
      <c r="C379" t="s">
        <v>4290</v>
      </c>
      <c r="D379" t="s">
        <v>4426</v>
      </c>
      <c r="E379" t="str">
        <f>"00058356"</f>
        <v>00058356</v>
      </c>
      <c r="F379">
        <v>0</v>
      </c>
      <c r="G379" s="243">
        <v>40056</v>
      </c>
      <c r="H379" t="s">
        <v>182</v>
      </c>
      <c r="I379">
        <v>4</v>
      </c>
      <c r="J379">
        <v>8</v>
      </c>
      <c r="K379">
        <v>0.71</v>
      </c>
      <c r="L379">
        <v>27329.75</v>
      </c>
      <c r="M379" t="str">
        <f t="shared" si="51"/>
        <v>13</v>
      </c>
      <c r="N379" t="s">
        <v>3323</v>
      </c>
      <c r="O379" t="str">
        <f t="shared" ref="O379:O391" si="53">"52111"</f>
        <v>52111</v>
      </c>
      <c r="P379" t="str">
        <f>"2100L"</f>
        <v>2100L</v>
      </c>
      <c r="Q379" t="str">
        <f t="shared" si="52"/>
        <v>0101</v>
      </c>
      <c r="R379">
        <v>2100</v>
      </c>
      <c r="S379" t="str">
        <f t="shared" ref="S379:S391" si="54">"5210"</f>
        <v>5210</v>
      </c>
      <c r="T379" t="s">
        <v>3388</v>
      </c>
      <c r="U379" t="s">
        <v>19</v>
      </c>
    </row>
    <row r="380" spans="1:21" ht="15" customHeight="1" x14ac:dyDescent="0.3">
      <c r="A380" t="s">
        <v>179</v>
      </c>
      <c r="B380" t="str">
        <f>"00072678"</f>
        <v>00072678</v>
      </c>
      <c r="C380" t="s">
        <v>200</v>
      </c>
      <c r="D380" t="s">
        <v>521</v>
      </c>
      <c r="E380" t="str">
        <f>"00044526"</f>
        <v>00044526</v>
      </c>
      <c r="F380">
        <v>0</v>
      </c>
      <c r="G380" s="243">
        <v>32050</v>
      </c>
      <c r="H380" t="s">
        <v>182</v>
      </c>
      <c r="I380">
        <v>15</v>
      </c>
      <c r="J380">
        <v>16</v>
      </c>
      <c r="K380">
        <v>1</v>
      </c>
      <c r="L380">
        <v>100839</v>
      </c>
      <c r="M380" t="str">
        <f t="shared" si="51"/>
        <v>13</v>
      </c>
      <c r="N380" t="s">
        <v>3323</v>
      </c>
      <c r="O380" t="str">
        <f t="shared" si="53"/>
        <v>52111</v>
      </c>
      <c r="P380" t="str">
        <f>"2100L"</f>
        <v>2100L</v>
      </c>
      <c r="Q380" t="str">
        <f t="shared" si="52"/>
        <v>0101</v>
      </c>
      <c r="R380">
        <v>2100</v>
      </c>
      <c r="S380" t="str">
        <f t="shared" si="54"/>
        <v>5210</v>
      </c>
      <c r="T380" t="s">
        <v>3388</v>
      </c>
      <c r="U380" t="s">
        <v>19</v>
      </c>
    </row>
    <row r="381" spans="1:21" ht="15" customHeight="1" x14ac:dyDescent="0.3">
      <c r="A381" t="s">
        <v>179</v>
      </c>
      <c r="B381" t="str">
        <f>"00073811"</f>
        <v>00073811</v>
      </c>
      <c r="C381" t="s">
        <v>3670</v>
      </c>
      <c r="D381" t="s">
        <v>705</v>
      </c>
      <c r="E381" t="str">
        <f>"00049624"</f>
        <v>00049624</v>
      </c>
      <c r="F381">
        <v>0</v>
      </c>
      <c r="G381" s="243">
        <v>36390</v>
      </c>
      <c r="H381" t="s">
        <v>182</v>
      </c>
      <c r="I381">
        <v>8</v>
      </c>
      <c r="J381">
        <v>6</v>
      </c>
      <c r="K381">
        <v>1</v>
      </c>
      <c r="L381">
        <v>96453</v>
      </c>
      <c r="M381" t="str">
        <f t="shared" si="51"/>
        <v>13</v>
      </c>
      <c r="N381" t="s">
        <v>3323</v>
      </c>
      <c r="O381" t="str">
        <f t="shared" si="53"/>
        <v>52111</v>
      </c>
      <c r="P381" t="str">
        <f>"1501L"</f>
        <v>1501L</v>
      </c>
      <c r="Q381" t="str">
        <f t="shared" si="52"/>
        <v>0101</v>
      </c>
      <c r="R381">
        <v>1501</v>
      </c>
      <c r="S381" t="str">
        <f t="shared" si="54"/>
        <v>5210</v>
      </c>
      <c r="T381" t="s">
        <v>3388</v>
      </c>
      <c r="U381" t="s">
        <v>19</v>
      </c>
    </row>
    <row r="382" spans="1:21" ht="15" customHeight="1" x14ac:dyDescent="0.3">
      <c r="A382" t="s">
        <v>179</v>
      </c>
      <c r="B382" t="str">
        <f>"00073812"</f>
        <v>00073812</v>
      </c>
      <c r="C382" t="s">
        <v>4259</v>
      </c>
      <c r="D382" t="s">
        <v>1492</v>
      </c>
      <c r="E382" t="str">
        <f>"00051379"</f>
        <v>00051379</v>
      </c>
      <c r="F382">
        <v>0</v>
      </c>
      <c r="G382" s="243">
        <v>32050</v>
      </c>
      <c r="H382" t="s">
        <v>182</v>
      </c>
      <c r="I382">
        <v>15</v>
      </c>
      <c r="J382">
        <v>16</v>
      </c>
      <c r="K382">
        <v>1</v>
      </c>
      <c r="L382">
        <v>103347</v>
      </c>
      <c r="M382" t="str">
        <f t="shared" si="51"/>
        <v>13</v>
      </c>
      <c r="N382" t="s">
        <v>3323</v>
      </c>
      <c r="O382" t="str">
        <f t="shared" si="53"/>
        <v>52111</v>
      </c>
      <c r="P382" t="str">
        <f t="shared" ref="P382:P387" si="55">"2100L"</f>
        <v>2100L</v>
      </c>
      <c r="Q382" t="str">
        <f t="shared" si="52"/>
        <v>0101</v>
      </c>
      <c r="R382">
        <v>2100</v>
      </c>
      <c r="S382" t="str">
        <f t="shared" si="54"/>
        <v>5210</v>
      </c>
      <c r="T382" t="s">
        <v>3388</v>
      </c>
      <c r="U382" t="s">
        <v>19</v>
      </c>
    </row>
    <row r="383" spans="1:21" ht="15" customHeight="1" x14ac:dyDescent="0.3">
      <c r="A383" t="s">
        <v>179</v>
      </c>
      <c r="B383" t="str">
        <f>"00074166"</f>
        <v>00074166</v>
      </c>
      <c r="C383" t="s">
        <v>4262</v>
      </c>
      <c r="D383" t="s">
        <v>3391</v>
      </c>
      <c r="E383" t="str">
        <f>"00065745"</f>
        <v>00065745</v>
      </c>
      <c r="F383">
        <v>0</v>
      </c>
      <c r="G383" s="243">
        <v>40755</v>
      </c>
      <c r="H383" t="s">
        <v>182</v>
      </c>
      <c r="I383">
        <v>15</v>
      </c>
      <c r="J383">
        <v>10</v>
      </c>
      <c r="K383">
        <v>1</v>
      </c>
      <c r="L383">
        <v>78273</v>
      </c>
      <c r="M383" t="str">
        <f t="shared" si="51"/>
        <v>13</v>
      </c>
      <c r="N383" t="s">
        <v>3323</v>
      </c>
      <c r="O383" t="str">
        <f t="shared" si="53"/>
        <v>52111</v>
      </c>
      <c r="P383" t="str">
        <f t="shared" si="55"/>
        <v>2100L</v>
      </c>
      <c r="Q383" t="str">
        <f t="shared" si="52"/>
        <v>0101</v>
      </c>
      <c r="R383">
        <v>2100</v>
      </c>
      <c r="S383" t="str">
        <f t="shared" si="54"/>
        <v>5210</v>
      </c>
      <c r="T383" t="s">
        <v>3388</v>
      </c>
      <c r="U383" t="s">
        <v>19</v>
      </c>
    </row>
    <row r="384" spans="1:21" ht="15" customHeight="1" x14ac:dyDescent="0.3">
      <c r="A384" t="s">
        <v>179</v>
      </c>
      <c r="B384" t="str">
        <f>"00074167"</f>
        <v>00074167</v>
      </c>
      <c r="C384" t="s">
        <v>4253</v>
      </c>
      <c r="D384" t="s">
        <v>2305</v>
      </c>
      <c r="E384" t="str">
        <f>"00063028"</f>
        <v>00063028</v>
      </c>
      <c r="F384">
        <v>0</v>
      </c>
      <c r="G384" s="243">
        <v>40406</v>
      </c>
      <c r="H384" t="s">
        <v>182</v>
      </c>
      <c r="I384">
        <v>15</v>
      </c>
      <c r="J384">
        <v>2</v>
      </c>
      <c r="K384">
        <v>1</v>
      </c>
      <c r="L384">
        <v>51716</v>
      </c>
      <c r="M384" t="str">
        <f t="shared" si="51"/>
        <v>13</v>
      </c>
      <c r="N384" t="s">
        <v>3323</v>
      </c>
      <c r="O384" t="str">
        <f t="shared" si="53"/>
        <v>52111</v>
      </c>
      <c r="P384" t="str">
        <f t="shared" si="55"/>
        <v>2100L</v>
      </c>
      <c r="Q384" t="str">
        <f t="shared" si="52"/>
        <v>0101</v>
      </c>
      <c r="R384">
        <v>2100</v>
      </c>
      <c r="S384" t="str">
        <f t="shared" si="54"/>
        <v>5210</v>
      </c>
      <c r="T384" t="s">
        <v>3388</v>
      </c>
      <c r="U384" t="s">
        <v>19</v>
      </c>
    </row>
    <row r="385" spans="1:21" ht="15" customHeight="1" x14ac:dyDescent="0.3">
      <c r="A385" t="s">
        <v>179</v>
      </c>
      <c r="B385" t="str">
        <f>"00074168"</f>
        <v>00074168</v>
      </c>
      <c r="C385" t="s">
        <v>4260</v>
      </c>
      <c r="D385" t="s">
        <v>3392</v>
      </c>
      <c r="E385" t="str">
        <f>"00066362"</f>
        <v>00066362</v>
      </c>
      <c r="F385">
        <v>0</v>
      </c>
      <c r="G385" s="243">
        <v>40755</v>
      </c>
      <c r="H385" t="s">
        <v>182</v>
      </c>
      <c r="I385">
        <v>15</v>
      </c>
      <c r="J385">
        <v>2</v>
      </c>
      <c r="K385">
        <v>1</v>
      </c>
      <c r="L385">
        <v>51716</v>
      </c>
      <c r="M385" t="str">
        <f t="shared" si="51"/>
        <v>13</v>
      </c>
      <c r="N385" t="s">
        <v>3323</v>
      </c>
      <c r="O385" t="str">
        <f t="shared" si="53"/>
        <v>52111</v>
      </c>
      <c r="P385" t="str">
        <f t="shared" si="55"/>
        <v>2100L</v>
      </c>
      <c r="Q385" t="str">
        <f t="shared" si="52"/>
        <v>0101</v>
      </c>
      <c r="R385">
        <v>2100</v>
      </c>
      <c r="S385" t="str">
        <f t="shared" si="54"/>
        <v>5210</v>
      </c>
      <c r="T385" t="s">
        <v>3388</v>
      </c>
      <c r="U385" t="s">
        <v>19</v>
      </c>
    </row>
    <row r="386" spans="1:21" ht="15" customHeight="1" x14ac:dyDescent="0.3">
      <c r="A386" t="s">
        <v>179</v>
      </c>
      <c r="B386" t="str">
        <f>"00074515"</f>
        <v>00074515</v>
      </c>
      <c r="C386" t="s">
        <v>4257</v>
      </c>
      <c r="D386" t="s">
        <v>505</v>
      </c>
      <c r="E386" t="str">
        <f>"00053152"</f>
        <v>00053152</v>
      </c>
      <c r="F386">
        <v>0</v>
      </c>
      <c r="G386" s="243">
        <v>38951</v>
      </c>
      <c r="H386" t="s">
        <v>182</v>
      </c>
      <c r="I386">
        <v>15</v>
      </c>
      <c r="J386">
        <v>13</v>
      </c>
      <c r="K386">
        <v>1</v>
      </c>
      <c r="L386">
        <v>95366</v>
      </c>
      <c r="M386" t="str">
        <f t="shared" si="51"/>
        <v>13</v>
      </c>
      <c r="N386" t="s">
        <v>3323</v>
      </c>
      <c r="O386" t="str">
        <f t="shared" si="53"/>
        <v>52111</v>
      </c>
      <c r="P386" t="str">
        <f t="shared" si="55"/>
        <v>2100L</v>
      </c>
      <c r="Q386" t="str">
        <f t="shared" si="52"/>
        <v>0101</v>
      </c>
      <c r="R386">
        <v>2100</v>
      </c>
      <c r="S386" t="str">
        <f t="shared" si="54"/>
        <v>5210</v>
      </c>
      <c r="T386" t="s">
        <v>3388</v>
      </c>
      <c r="U386" t="s">
        <v>19</v>
      </c>
    </row>
    <row r="387" spans="1:21" ht="15" customHeight="1" x14ac:dyDescent="0.3">
      <c r="A387" t="s">
        <v>179</v>
      </c>
      <c r="B387" t="str">
        <f>"00074527"</f>
        <v>00074527</v>
      </c>
      <c r="C387" t="s">
        <v>4260</v>
      </c>
      <c r="D387" t="s">
        <v>1699</v>
      </c>
      <c r="E387" t="str">
        <f>"00046215"</f>
        <v>00046215</v>
      </c>
      <c r="F387">
        <v>0</v>
      </c>
      <c r="G387" s="243">
        <v>40049</v>
      </c>
      <c r="H387" t="s">
        <v>182</v>
      </c>
      <c r="I387">
        <v>15</v>
      </c>
      <c r="J387">
        <v>11</v>
      </c>
      <c r="K387">
        <v>1</v>
      </c>
      <c r="L387">
        <v>81335</v>
      </c>
      <c r="M387" t="str">
        <f t="shared" si="51"/>
        <v>13</v>
      </c>
      <c r="N387" t="s">
        <v>3323</v>
      </c>
      <c r="O387" t="str">
        <f t="shared" si="53"/>
        <v>52111</v>
      </c>
      <c r="P387" t="str">
        <f t="shared" si="55"/>
        <v>2100L</v>
      </c>
      <c r="Q387" t="str">
        <f t="shared" si="52"/>
        <v>0101</v>
      </c>
      <c r="R387">
        <v>2100</v>
      </c>
      <c r="S387" t="str">
        <f t="shared" si="54"/>
        <v>5210</v>
      </c>
      <c r="T387" t="s">
        <v>3388</v>
      </c>
      <c r="U387" t="s">
        <v>19</v>
      </c>
    </row>
    <row r="388" spans="1:21" ht="15" customHeight="1" x14ac:dyDescent="0.3">
      <c r="A388" t="s">
        <v>179</v>
      </c>
      <c r="B388" t="str">
        <f>"00074536"</f>
        <v>00074536</v>
      </c>
      <c r="C388" t="s">
        <v>4288</v>
      </c>
      <c r="D388" t="s">
        <v>4427</v>
      </c>
      <c r="E388" t="str">
        <f>"00065788"</f>
        <v>00065788</v>
      </c>
      <c r="F388">
        <v>0</v>
      </c>
      <c r="G388" s="243">
        <v>40770</v>
      </c>
      <c r="H388" t="s">
        <v>182</v>
      </c>
      <c r="I388">
        <v>4</v>
      </c>
      <c r="J388">
        <v>3</v>
      </c>
      <c r="K388">
        <v>0.71</v>
      </c>
      <c r="L388">
        <v>23848.12</v>
      </c>
      <c r="M388" t="str">
        <f t="shared" si="51"/>
        <v>13</v>
      </c>
      <c r="N388" t="s">
        <v>3323</v>
      </c>
      <c r="O388" t="str">
        <f t="shared" si="53"/>
        <v>52111</v>
      </c>
      <c r="P388" t="str">
        <f>"2200L"</f>
        <v>2200L</v>
      </c>
      <c r="Q388" t="str">
        <f t="shared" si="52"/>
        <v>0101</v>
      </c>
      <c r="R388">
        <v>2200</v>
      </c>
      <c r="S388" t="str">
        <f t="shared" si="54"/>
        <v>5210</v>
      </c>
      <c r="T388" t="s">
        <v>3388</v>
      </c>
      <c r="U388" t="s">
        <v>19</v>
      </c>
    </row>
    <row r="389" spans="1:21" ht="15" customHeight="1" x14ac:dyDescent="0.3">
      <c r="A389" t="s">
        <v>179</v>
      </c>
      <c r="B389" t="str">
        <f>"00074538"</f>
        <v>00074538</v>
      </c>
      <c r="C389" t="s">
        <v>4288</v>
      </c>
      <c r="D389" t="s">
        <v>4428</v>
      </c>
      <c r="E389" t="str">
        <f>"00065795"</f>
        <v>00065795</v>
      </c>
      <c r="F389">
        <v>0</v>
      </c>
      <c r="G389" s="243">
        <v>40770</v>
      </c>
      <c r="H389" t="s">
        <v>182</v>
      </c>
      <c r="I389">
        <v>4</v>
      </c>
      <c r="J389">
        <v>4</v>
      </c>
      <c r="K389">
        <v>0.71</v>
      </c>
      <c r="L389">
        <v>24543.75</v>
      </c>
      <c r="M389" t="str">
        <f t="shared" si="51"/>
        <v>13</v>
      </c>
      <c r="N389" t="s">
        <v>3323</v>
      </c>
      <c r="O389" t="str">
        <f t="shared" si="53"/>
        <v>52111</v>
      </c>
      <c r="P389" t="str">
        <f>"2200L"</f>
        <v>2200L</v>
      </c>
      <c r="Q389" t="str">
        <f t="shared" si="52"/>
        <v>0101</v>
      </c>
      <c r="R389">
        <v>2200</v>
      </c>
      <c r="S389" t="str">
        <f t="shared" si="54"/>
        <v>5210</v>
      </c>
      <c r="T389" t="s">
        <v>3388</v>
      </c>
      <c r="U389" t="s">
        <v>19</v>
      </c>
    </row>
    <row r="390" spans="1:21" ht="15" customHeight="1" x14ac:dyDescent="0.3">
      <c r="A390" t="s">
        <v>179</v>
      </c>
      <c r="B390" t="str">
        <f>"00075951"</f>
        <v>00075951</v>
      </c>
      <c r="C390" t="s">
        <v>4262</v>
      </c>
      <c r="D390" t="s">
        <v>4429</v>
      </c>
      <c r="E390" t="str">
        <f>"00070036"</f>
        <v>00070036</v>
      </c>
      <c r="F390">
        <v>0</v>
      </c>
      <c r="G390" s="243">
        <v>41133</v>
      </c>
      <c r="H390" t="s">
        <v>182</v>
      </c>
      <c r="I390">
        <v>15</v>
      </c>
      <c r="J390">
        <v>1</v>
      </c>
      <c r="K390">
        <v>1</v>
      </c>
      <c r="L390">
        <v>51539</v>
      </c>
      <c r="M390" t="str">
        <f t="shared" si="51"/>
        <v>13</v>
      </c>
      <c r="N390" t="s">
        <v>3370</v>
      </c>
      <c r="O390" t="str">
        <f t="shared" si="53"/>
        <v>52111</v>
      </c>
      <c r="P390" t="str">
        <f t="shared" ref="P390:P396" si="56">"2100L"</f>
        <v>2100L</v>
      </c>
      <c r="Q390" t="str">
        <f t="shared" si="52"/>
        <v>0101</v>
      </c>
      <c r="R390">
        <v>2100</v>
      </c>
      <c r="S390" t="str">
        <f t="shared" si="54"/>
        <v>5210</v>
      </c>
      <c r="T390" t="s">
        <v>3388</v>
      </c>
      <c r="U390" t="s">
        <v>19</v>
      </c>
    </row>
    <row r="391" spans="1:21" ht="15" customHeight="1" x14ac:dyDescent="0.3">
      <c r="A391" t="s">
        <v>179</v>
      </c>
      <c r="B391" t="str">
        <f>"00076245"</f>
        <v>00076245</v>
      </c>
      <c r="C391" t="s">
        <v>4271</v>
      </c>
      <c r="D391" t="s">
        <v>4430</v>
      </c>
      <c r="E391" t="str">
        <f>"00059653"</f>
        <v>00059653</v>
      </c>
      <c r="F391">
        <v>0</v>
      </c>
      <c r="G391" s="243">
        <v>40112</v>
      </c>
      <c r="H391" t="s">
        <v>182</v>
      </c>
      <c r="I391">
        <v>15</v>
      </c>
      <c r="J391">
        <v>4</v>
      </c>
      <c r="K391">
        <v>0.25</v>
      </c>
      <c r="L391">
        <v>61158</v>
      </c>
      <c r="M391" t="str">
        <f t="shared" si="51"/>
        <v>13</v>
      </c>
      <c r="N391" t="s">
        <v>3323</v>
      </c>
      <c r="O391" t="str">
        <f t="shared" si="53"/>
        <v>52111</v>
      </c>
      <c r="P391" t="str">
        <f t="shared" si="56"/>
        <v>2100L</v>
      </c>
      <c r="Q391" t="str">
        <f t="shared" si="52"/>
        <v>0101</v>
      </c>
      <c r="R391">
        <v>2100</v>
      </c>
      <c r="S391" t="str">
        <f t="shared" si="54"/>
        <v>5210</v>
      </c>
      <c r="T391" t="s">
        <v>3626</v>
      </c>
      <c r="U391" t="s">
        <v>53</v>
      </c>
    </row>
    <row r="392" spans="1:21" ht="15" customHeight="1" x14ac:dyDescent="0.3">
      <c r="A392" t="s">
        <v>179</v>
      </c>
      <c r="B392" t="str">
        <f>"00051817"</f>
        <v>00051817</v>
      </c>
      <c r="C392" t="s">
        <v>4262</v>
      </c>
      <c r="D392" t="s">
        <v>3397</v>
      </c>
      <c r="E392" t="str">
        <f>"00066033"</f>
        <v>00066033</v>
      </c>
      <c r="F392">
        <v>0</v>
      </c>
      <c r="G392" s="243">
        <v>40755</v>
      </c>
      <c r="H392" t="s">
        <v>182</v>
      </c>
      <c r="I392">
        <v>15</v>
      </c>
      <c r="J392">
        <v>2</v>
      </c>
      <c r="K392">
        <v>1</v>
      </c>
      <c r="L392">
        <v>56242</v>
      </c>
      <c r="M392" t="str">
        <f t="shared" si="51"/>
        <v>13</v>
      </c>
      <c r="N392" t="s">
        <v>3323</v>
      </c>
      <c r="O392" t="str">
        <f t="shared" ref="O392:O427" si="57">"52211"</f>
        <v>52211</v>
      </c>
      <c r="P392" t="str">
        <f t="shared" si="56"/>
        <v>2100L</v>
      </c>
      <c r="Q392" t="str">
        <f t="shared" si="52"/>
        <v>0101</v>
      </c>
      <c r="R392">
        <v>2100</v>
      </c>
      <c r="S392" t="str">
        <f t="shared" ref="S392:S427" si="58">"5220"</f>
        <v>5220</v>
      </c>
      <c r="T392" t="s">
        <v>3395</v>
      </c>
      <c r="U392" t="s">
        <v>522</v>
      </c>
    </row>
    <row r="393" spans="1:21" ht="15" customHeight="1" x14ac:dyDescent="0.3">
      <c r="A393" t="s">
        <v>179</v>
      </c>
      <c r="B393" t="str">
        <f>"00051893"</f>
        <v>00051893</v>
      </c>
      <c r="C393" t="s">
        <v>4255</v>
      </c>
      <c r="D393" t="s">
        <v>523</v>
      </c>
      <c r="E393" t="str">
        <f>"00046452"</f>
        <v>00046452</v>
      </c>
      <c r="F393">
        <v>0</v>
      </c>
      <c r="G393" s="243">
        <v>34578</v>
      </c>
      <c r="H393" t="s">
        <v>182</v>
      </c>
      <c r="I393">
        <v>15</v>
      </c>
      <c r="J393">
        <v>16</v>
      </c>
      <c r="K393">
        <v>1</v>
      </c>
      <c r="L393">
        <v>100839</v>
      </c>
      <c r="M393" t="str">
        <f t="shared" si="51"/>
        <v>13</v>
      </c>
      <c r="N393" t="s">
        <v>3323</v>
      </c>
      <c r="O393" t="str">
        <f t="shared" si="57"/>
        <v>52211</v>
      </c>
      <c r="P393" t="str">
        <f t="shared" si="56"/>
        <v>2100L</v>
      </c>
      <c r="Q393" t="str">
        <f t="shared" si="52"/>
        <v>0101</v>
      </c>
      <c r="R393">
        <v>2100</v>
      </c>
      <c r="S393" t="str">
        <f t="shared" si="58"/>
        <v>5220</v>
      </c>
      <c r="T393" t="s">
        <v>3395</v>
      </c>
      <c r="U393" t="s">
        <v>522</v>
      </c>
    </row>
    <row r="394" spans="1:21" ht="15" customHeight="1" x14ac:dyDescent="0.3">
      <c r="A394" t="s">
        <v>179</v>
      </c>
      <c r="B394" t="str">
        <f>"00051962"</f>
        <v>00051962</v>
      </c>
      <c r="C394" t="s">
        <v>4257</v>
      </c>
      <c r="D394" t="s">
        <v>524</v>
      </c>
      <c r="E394" t="str">
        <f>"00046715"</f>
        <v>00046715</v>
      </c>
      <c r="F394">
        <v>0</v>
      </c>
      <c r="G394" s="243">
        <v>32387</v>
      </c>
      <c r="H394" t="s">
        <v>182</v>
      </c>
      <c r="I394">
        <v>15</v>
      </c>
      <c r="J394">
        <v>16</v>
      </c>
      <c r="K394">
        <v>1</v>
      </c>
      <c r="L394">
        <v>100839</v>
      </c>
      <c r="M394" t="str">
        <f t="shared" si="51"/>
        <v>13</v>
      </c>
      <c r="N394" t="s">
        <v>3323</v>
      </c>
      <c r="O394" t="str">
        <f t="shared" si="57"/>
        <v>52211</v>
      </c>
      <c r="P394" t="str">
        <f t="shared" si="56"/>
        <v>2100L</v>
      </c>
      <c r="Q394" t="str">
        <f t="shared" si="52"/>
        <v>0101</v>
      </c>
      <c r="R394">
        <v>2100</v>
      </c>
      <c r="S394" t="str">
        <f t="shared" si="58"/>
        <v>5220</v>
      </c>
      <c r="T394" t="s">
        <v>3395</v>
      </c>
      <c r="U394" t="s">
        <v>522</v>
      </c>
    </row>
    <row r="395" spans="1:21" ht="15" customHeight="1" x14ac:dyDescent="0.3">
      <c r="A395" t="s">
        <v>179</v>
      </c>
      <c r="B395" t="str">
        <f>"00052074"</f>
        <v>00052074</v>
      </c>
      <c r="C395" t="s">
        <v>4262</v>
      </c>
      <c r="D395" t="s">
        <v>525</v>
      </c>
      <c r="E395" t="str">
        <f>"00047219"</f>
        <v>00047219</v>
      </c>
      <c r="F395">
        <v>0</v>
      </c>
      <c r="G395" s="243">
        <v>32839</v>
      </c>
      <c r="H395" t="s">
        <v>182</v>
      </c>
      <c r="I395">
        <v>15</v>
      </c>
      <c r="J395">
        <v>16</v>
      </c>
      <c r="K395">
        <v>1</v>
      </c>
      <c r="L395">
        <v>103347</v>
      </c>
      <c r="M395" t="str">
        <f t="shared" si="51"/>
        <v>13</v>
      </c>
      <c r="N395" t="s">
        <v>3323</v>
      </c>
      <c r="O395" t="str">
        <f t="shared" si="57"/>
        <v>52211</v>
      </c>
      <c r="P395" t="str">
        <f t="shared" si="56"/>
        <v>2100L</v>
      </c>
      <c r="Q395" t="str">
        <f t="shared" si="52"/>
        <v>0101</v>
      </c>
      <c r="R395">
        <v>2100</v>
      </c>
      <c r="S395" t="str">
        <f t="shared" si="58"/>
        <v>5220</v>
      </c>
      <c r="T395" t="s">
        <v>3395</v>
      </c>
      <c r="U395" t="s">
        <v>522</v>
      </c>
    </row>
    <row r="396" spans="1:21" ht="15" customHeight="1" x14ac:dyDescent="0.3">
      <c r="A396" t="s">
        <v>179</v>
      </c>
      <c r="B396" t="str">
        <f>"00052663"</f>
        <v>00052663</v>
      </c>
      <c r="C396" t="s">
        <v>4262</v>
      </c>
      <c r="D396" t="s">
        <v>526</v>
      </c>
      <c r="E396" t="str">
        <f>"00048820"</f>
        <v>00048820</v>
      </c>
      <c r="F396">
        <v>0</v>
      </c>
      <c r="G396" s="243">
        <v>35675</v>
      </c>
      <c r="H396" t="s">
        <v>182</v>
      </c>
      <c r="I396">
        <v>15</v>
      </c>
      <c r="J396">
        <v>14</v>
      </c>
      <c r="K396">
        <v>1</v>
      </c>
      <c r="L396">
        <v>96460</v>
      </c>
      <c r="M396" t="str">
        <f t="shared" si="51"/>
        <v>13</v>
      </c>
      <c r="N396" t="s">
        <v>3323</v>
      </c>
      <c r="O396" t="str">
        <f t="shared" si="57"/>
        <v>52211</v>
      </c>
      <c r="P396" t="str">
        <f t="shared" si="56"/>
        <v>2100L</v>
      </c>
      <c r="Q396" t="str">
        <f t="shared" si="52"/>
        <v>0101</v>
      </c>
      <c r="R396">
        <v>2100</v>
      </c>
      <c r="S396" t="str">
        <f t="shared" si="58"/>
        <v>5220</v>
      </c>
      <c r="T396" t="s">
        <v>3395</v>
      </c>
      <c r="U396" t="s">
        <v>522</v>
      </c>
    </row>
    <row r="397" spans="1:21" ht="15" customHeight="1" x14ac:dyDescent="0.3">
      <c r="A397" t="s">
        <v>179</v>
      </c>
      <c r="B397" t="str">
        <f>"00053580"</f>
        <v>00053580</v>
      </c>
      <c r="C397" t="s">
        <v>4260</v>
      </c>
      <c r="D397" t="s">
        <v>530</v>
      </c>
      <c r="E397" t="str">
        <f>"00051813"</f>
        <v>00051813</v>
      </c>
      <c r="F397">
        <v>0</v>
      </c>
      <c r="G397" s="243">
        <v>31579</v>
      </c>
      <c r="H397" t="s">
        <v>182</v>
      </c>
      <c r="I397">
        <v>15</v>
      </c>
      <c r="J397">
        <v>16</v>
      </c>
      <c r="K397">
        <v>1</v>
      </c>
      <c r="L397">
        <v>100839</v>
      </c>
      <c r="M397" t="str">
        <f t="shared" si="51"/>
        <v>13</v>
      </c>
      <c r="N397" t="s">
        <v>3323</v>
      </c>
      <c r="O397" t="str">
        <f t="shared" si="57"/>
        <v>52211</v>
      </c>
      <c r="P397" t="str">
        <f>"3030L"</f>
        <v>3030L</v>
      </c>
      <c r="Q397" t="str">
        <f t="shared" si="52"/>
        <v>0101</v>
      </c>
      <c r="R397">
        <v>3030</v>
      </c>
      <c r="S397" t="str">
        <f t="shared" si="58"/>
        <v>5220</v>
      </c>
      <c r="T397" t="s">
        <v>3395</v>
      </c>
      <c r="U397" t="s">
        <v>522</v>
      </c>
    </row>
    <row r="398" spans="1:21" ht="15" customHeight="1" x14ac:dyDescent="0.3">
      <c r="A398" t="s">
        <v>179</v>
      </c>
      <c r="B398" t="str">
        <f>"00053608"</f>
        <v>00053608</v>
      </c>
      <c r="C398" t="s">
        <v>4262</v>
      </c>
      <c r="H398" t="s">
        <v>170</v>
      </c>
      <c r="I398">
        <v>15</v>
      </c>
      <c r="J398">
        <v>1</v>
      </c>
      <c r="K398">
        <v>1</v>
      </c>
      <c r="L398">
        <v>54975</v>
      </c>
      <c r="M398" t="str">
        <f t="shared" si="51"/>
        <v>13</v>
      </c>
      <c r="N398" t="s">
        <v>3323</v>
      </c>
      <c r="O398" t="str">
        <f t="shared" si="57"/>
        <v>52211</v>
      </c>
      <c r="P398" t="str">
        <f>"2100L"</f>
        <v>2100L</v>
      </c>
      <c r="Q398" t="str">
        <f t="shared" si="52"/>
        <v>0101</v>
      </c>
      <c r="R398">
        <v>2100</v>
      </c>
      <c r="S398" t="str">
        <f t="shared" si="58"/>
        <v>5220</v>
      </c>
      <c r="T398" t="s">
        <v>3395</v>
      </c>
      <c r="U398" t="s">
        <v>522</v>
      </c>
    </row>
    <row r="399" spans="1:21" ht="15" customHeight="1" x14ac:dyDescent="0.3">
      <c r="A399" t="s">
        <v>179</v>
      </c>
      <c r="B399" t="str">
        <f>"00053633"</f>
        <v>00053633</v>
      </c>
      <c r="C399" t="s">
        <v>4272</v>
      </c>
      <c r="D399" t="s">
        <v>4431</v>
      </c>
      <c r="E399" t="str">
        <f>"00069974"</f>
        <v>00069974</v>
      </c>
      <c r="F399">
        <v>0</v>
      </c>
      <c r="G399" s="243">
        <v>41133</v>
      </c>
      <c r="H399" t="s">
        <v>182</v>
      </c>
      <c r="I399">
        <v>15</v>
      </c>
      <c r="J399">
        <v>1</v>
      </c>
      <c r="K399">
        <v>1</v>
      </c>
      <c r="L399">
        <v>51539</v>
      </c>
      <c r="M399" t="str">
        <f t="shared" si="51"/>
        <v>13</v>
      </c>
      <c r="N399" t="s">
        <v>3370</v>
      </c>
      <c r="O399" t="str">
        <f t="shared" si="57"/>
        <v>52211</v>
      </c>
      <c r="P399" t="str">
        <f>"2100L"</f>
        <v>2100L</v>
      </c>
      <c r="Q399" t="str">
        <f t="shared" si="52"/>
        <v>0101</v>
      </c>
      <c r="R399">
        <v>2100</v>
      </c>
      <c r="S399" t="str">
        <f t="shared" si="58"/>
        <v>5220</v>
      </c>
      <c r="T399" t="s">
        <v>3395</v>
      </c>
      <c r="U399" t="s">
        <v>522</v>
      </c>
    </row>
    <row r="400" spans="1:21" ht="15" customHeight="1" x14ac:dyDescent="0.3">
      <c r="A400" t="s">
        <v>179</v>
      </c>
      <c r="B400" t="str">
        <f>"00054274"</f>
        <v>00054274</v>
      </c>
      <c r="C400" t="s">
        <v>4272</v>
      </c>
      <c r="D400" t="s">
        <v>532</v>
      </c>
      <c r="E400" t="str">
        <f>"00053431"</f>
        <v>00053431</v>
      </c>
      <c r="F400">
        <v>0</v>
      </c>
      <c r="G400" s="243">
        <v>32050</v>
      </c>
      <c r="H400" t="s">
        <v>182</v>
      </c>
      <c r="I400">
        <v>15</v>
      </c>
      <c r="J400">
        <v>16</v>
      </c>
      <c r="K400">
        <v>1</v>
      </c>
      <c r="L400">
        <v>100839</v>
      </c>
      <c r="M400" t="str">
        <f t="shared" si="51"/>
        <v>13</v>
      </c>
      <c r="N400" t="s">
        <v>3323</v>
      </c>
      <c r="O400" t="str">
        <f t="shared" si="57"/>
        <v>52211</v>
      </c>
      <c r="P400" t="str">
        <f t="shared" ref="P400:P407" si="59">"2100L"</f>
        <v>2100L</v>
      </c>
      <c r="Q400" t="str">
        <f t="shared" si="52"/>
        <v>0101</v>
      </c>
      <c r="R400">
        <v>2100</v>
      </c>
      <c r="S400" t="str">
        <f t="shared" si="58"/>
        <v>5220</v>
      </c>
      <c r="T400" t="s">
        <v>3395</v>
      </c>
      <c r="U400" t="s">
        <v>522</v>
      </c>
    </row>
    <row r="401" spans="1:21" ht="15" customHeight="1" x14ac:dyDescent="0.3">
      <c r="A401" t="s">
        <v>179</v>
      </c>
      <c r="B401" t="str">
        <f>"00054299"</f>
        <v>00054299</v>
      </c>
      <c r="C401" t="s">
        <v>4262</v>
      </c>
      <c r="D401" t="s">
        <v>533</v>
      </c>
      <c r="E401" t="str">
        <f>"00053506"</f>
        <v>00053506</v>
      </c>
      <c r="F401">
        <v>0</v>
      </c>
      <c r="G401" s="243">
        <v>34761</v>
      </c>
      <c r="H401" t="s">
        <v>182</v>
      </c>
      <c r="I401">
        <v>15</v>
      </c>
      <c r="J401">
        <v>12</v>
      </c>
      <c r="K401">
        <v>1</v>
      </c>
      <c r="L401">
        <v>87431</v>
      </c>
      <c r="M401" t="str">
        <f t="shared" si="51"/>
        <v>13</v>
      </c>
      <c r="N401" t="s">
        <v>3323</v>
      </c>
      <c r="O401" t="str">
        <f t="shared" si="57"/>
        <v>52211</v>
      </c>
      <c r="P401" t="str">
        <f t="shared" si="59"/>
        <v>2100L</v>
      </c>
      <c r="Q401" t="str">
        <f t="shared" si="52"/>
        <v>0101</v>
      </c>
      <c r="R401">
        <v>2100</v>
      </c>
      <c r="S401" t="str">
        <f t="shared" si="58"/>
        <v>5220</v>
      </c>
      <c r="T401" t="s">
        <v>3395</v>
      </c>
      <c r="U401" t="s">
        <v>522</v>
      </c>
    </row>
    <row r="402" spans="1:21" ht="15" customHeight="1" x14ac:dyDescent="0.3">
      <c r="A402" t="s">
        <v>179</v>
      </c>
      <c r="B402" t="str">
        <f>"00054698"</f>
        <v>00054698</v>
      </c>
      <c r="C402" t="s">
        <v>4288</v>
      </c>
      <c r="D402" t="s">
        <v>4432</v>
      </c>
      <c r="E402" t="str">
        <f>"00054425"</f>
        <v>00054425</v>
      </c>
      <c r="F402">
        <v>0</v>
      </c>
      <c r="G402" s="243">
        <v>34151</v>
      </c>
      <c r="H402" t="s">
        <v>182</v>
      </c>
      <c r="I402">
        <v>4</v>
      </c>
      <c r="J402">
        <v>10</v>
      </c>
      <c r="K402">
        <v>0.875</v>
      </c>
      <c r="L402">
        <v>28721</v>
      </c>
      <c r="M402" t="str">
        <f t="shared" si="51"/>
        <v>13</v>
      </c>
      <c r="N402" t="s">
        <v>3323</v>
      </c>
      <c r="O402" t="str">
        <f t="shared" si="57"/>
        <v>52211</v>
      </c>
      <c r="P402" t="str">
        <f t="shared" si="59"/>
        <v>2100L</v>
      </c>
      <c r="Q402" t="str">
        <f t="shared" si="52"/>
        <v>0101</v>
      </c>
      <c r="R402">
        <v>2100</v>
      </c>
      <c r="S402" t="str">
        <f t="shared" si="58"/>
        <v>5220</v>
      </c>
      <c r="T402" t="s">
        <v>3395</v>
      </c>
      <c r="U402" t="s">
        <v>522</v>
      </c>
    </row>
    <row r="403" spans="1:21" ht="15" customHeight="1" x14ac:dyDescent="0.3">
      <c r="A403" t="s">
        <v>179</v>
      </c>
      <c r="B403" t="str">
        <f>"00054821"</f>
        <v>00054821</v>
      </c>
      <c r="C403" t="s">
        <v>4274</v>
      </c>
      <c r="D403" t="s">
        <v>4433</v>
      </c>
      <c r="E403" t="str">
        <f>"00054696"</f>
        <v>00054696</v>
      </c>
      <c r="F403">
        <v>0</v>
      </c>
      <c r="G403" s="243">
        <v>33386</v>
      </c>
      <c r="H403" t="s">
        <v>182</v>
      </c>
      <c r="I403">
        <v>4</v>
      </c>
      <c r="J403">
        <v>10</v>
      </c>
      <c r="K403">
        <v>0.875</v>
      </c>
      <c r="L403">
        <v>28721</v>
      </c>
      <c r="M403" t="str">
        <f t="shared" si="51"/>
        <v>13</v>
      </c>
      <c r="N403" t="s">
        <v>3323</v>
      </c>
      <c r="O403" t="str">
        <f t="shared" si="57"/>
        <v>52211</v>
      </c>
      <c r="P403" t="str">
        <f t="shared" si="59"/>
        <v>2100L</v>
      </c>
      <c r="Q403" t="str">
        <f t="shared" si="52"/>
        <v>0101</v>
      </c>
      <c r="R403">
        <v>2100</v>
      </c>
      <c r="S403" t="str">
        <f t="shared" si="58"/>
        <v>5220</v>
      </c>
      <c r="T403" t="s">
        <v>3395</v>
      </c>
      <c r="U403" t="s">
        <v>522</v>
      </c>
    </row>
    <row r="404" spans="1:21" ht="15" customHeight="1" x14ac:dyDescent="0.3">
      <c r="A404" t="s">
        <v>179</v>
      </c>
      <c r="B404" t="str">
        <f>"00055299"</f>
        <v>00055299</v>
      </c>
      <c r="C404" t="s">
        <v>4260</v>
      </c>
      <c r="D404" t="s">
        <v>534</v>
      </c>
      <c r="E404" t="str">
        <f>"00049617"</f>
        <v>00049617</v>
      </c>
      <c r="F404">
        <v>0</v>
      </c>
      <c r="G404" s="243">
        <v>36390</v>
      </c>
      <c r="H404" t="s">
        <v>182</v>
      </c>
      <c r="I404">
        <v>15</v>
      </c>
      <c r="J404">
        <v>15</v>
      </c>
      <c r="K404">
        <v>1</v>
      </c>
      <c r="L404">
        <v>100792</v>
      </c>
      <c r="M404" t="str">
        <f t="shared" si="51"/>
        <v>13</v>
      </c>
      <c r="N404" t="s">
        <v>3323</v>
      </c>
      <c r="O404" t="str">
        <f t="shared" si="57"/>
        <v>52211</v>
      </c>
      <c r="P404" t="str">
        <f t="shared" si="59"/>
        <v>2100L</v>
      </c>
      <c r="Q404" t="str">
        <f t="shared" si="52"/>
        <v>0101</v>
      </c>
      <c r="R404">
        <v>2100</v>
      </c>
      <c r="S404" t="str">
        <f t="shared" si="58"/>
        <v>5220</v>
      </c>
      <c r="T404" t="s">
        <v>3395</v>
      </c>
      <c r="U404" t="s">
        <v>522</v>
      </c>
    </row>
    <row r="405" spans="1:21" ht="15" customHeight="1" x14ac:dyDescent="0.3">
      <c r="A405" t="s">
        <v>179</v>
      </c>
      <c r="B405" t="str">
        <f>"00057330"</f>
        <v>00057330</v>
      </c>
      <c r="C405" t="s">
        <v>4262</v>
      </c>
      <c r="D405" t="s">
        <v>535</v>
      </c>
      <c r="E405" t="str">
        <f>"00045765"</f>
        <v>00045765</v>
      </c>
      <c r="F405">
        <v>0</v>
      </c>
      <c r="G405" s="243">
        <v>36761</v>
      </c>
      <c r="H405" t="s">
        <v>182</v>
      </c>
      <c r="I405">
        <v>15</v>
      </c>
      <c r="J405">
        <v>15</v>
      </c>
      <c r="K405">
        <v>1</v>
      </c>
      <c r="L405">
        <v>98285</v>
      </c>
      <c r="M405" t="str">
        <f t="shared" si="51"/>
        <v>13</v>
      </c>
      <c r="N405" t="s">
        <v>3323</v>
      </c>
      <c r="O405" t="str">
        <f t="shared" si="57"/>
        <v>52211</v>
      </c>
      <c r="P405" t="str">
        <f t="shared" si="59"/>
        <v>2100L</v>
      </c>
      <c r="Q405" t="str">
        <f t="shared" si="52"/>
        <v>0101</v>
      </c>
      <c r="R405">
        <v>2100</v>
      </c>
      <c r="S405" t="str">
        <f t="shared" si="58"/>
        <v>5220</v>
      </c>
      <c r="T405" t="s">
        <v>3395</v>
      </c>
      <c r="U405" t="s">
        <v>522</v>
      </c>
    </row>
    <row r="406" spans="1:21" ht="15" customHeight="1" x14ac:dyDescent="0.3">
      <c r="A406" t="s">
        <v>179</v>
      </c>
      <c r="B406" t="str">
        <f>"00057422"</f>
        <v>00057422</v>
      </c>
      <c r="C406" t="s">
        <v>4272</v>
      </c>
      <c r="D406" t="s">
        <v>536</v>
      </c>
      <c r="E406" t="str">
        <f>"00047140"</f>
        <v>00047140</v>
      </c>
      <c r="F406">
        <v>0</v>
      </c>
      <c r="G406" s="243">
        <v>36761</v>
      </c>
      <c r="H406" t="s">
        <v>182</v>
      </c>
      <c r="I406">
        <v>15</v>
      </c>
      <c r="J406">
        <v>15</v>
      </c>
      <c r="K406">
        <v>1</v>
      </c>
      <c r="L406">
        <v>100792</v>
      </c>
      <c r="M406" t="str">
        <f t="shared" si="51"/>
        <v>13</v>
      </c>
      <c r="N406" t="s">
        <v>3323</v>
      </c>
      <c r="O406" t="str">
        <f t="shared" si="57"/>
        <v>52211</v>
      </c>
      <c r="P406" t="str">
        <f t="shared" si="59"/>
        <v>2100L</v>
      </c>
      <c r="Q406" t="str">
        <f t="shared" si="52"/>
        <v>0101</v>
      </c>
      <c r="R406">
        <v>2100</v>
      </c>
      <c r="S406" t="str">
        <f t="shared" si="58"/>
        <v>5220</v>
      </c>
      <c r="T406" t="s">
        <v>3395</v>
      </c>
      <c r="U406" t="s">
        <v>522</v>
      </c>
    </row>
    <row r="407" spans="1:21" ht="15" customHeight="1" x14ac:dyDescent="0.3">
      <c r="A407" t="s">
        <v>179</v>
      </c>
      <c r="B407" t="str">
        <f>"00058362"</f>
        <v>00058362</v>
      </c>
      <c r="C407" t="s">
        <v>4262</v>
      </c>
      <c r="D407" t="s">
        <v>537</v>
      </c>
      <c r="E407" t="str">
        <f>"00046809"</f>
        <v>00046809</v>
      </c>
      <c r="F407">
        <v>0</v>
      </c>
      <c r="G407" s="243">
        <v>37144</v>
      </c>
      <c r="H407" t="s">
        <v>182</v>
      </c>
      <c r="I407">
        <v>15</v>
      </c>
      <c r="J407">
        <v>12</v>
      </c>
      <c r="K407">
        <v>1</v>
      </c>
      <c r="L407">
        <v>87431</v>
      </c>
      <c r="M407" t="str">
        <f t="shared" si="51"/>
        <v>13</v>
      </c>
      <c r="N407" t="s">
        <v>3323</v>
      </c>
      <c r="O407" t="str">
        <f t="shared" si="57"/>
        <v>52211</v>
      </c>
      <c r="P407" t="str">
        <f t="shared" si="59"/>
        <v>2100L</v>
      </c>
      <c r="Q407" t="str">
        <f t="shared" si="52"/>
        <v>0101</v>
      </c>
      <c r="R407">
        <v>2100</v>
      </c>
      <c r="S407" t="str">
        <f t="shared" si="58"/>
        <v>5220</v>
      </c>
      <c r="T407" t="s">
        <v>3395</v>
      </c>
      <c r="U407" t="s">
        <v>522</v>
      </c>
    </row>
    <row r="408" spans="1:21" ht="15" customHeight="1" x14ac:dyDescent="0.3">
      <c r="A408" t="s">
        <v>179</v>
      </c>
      <c r="B408" t="str">
        <f>"00059354"</f>
        <v>00059354</v>
      </c>
      <c r="C408" t="s">
        <v>3798</v>
      </c>
      <c r="D408" t="s">
        <v>194</v>
      </c>
      <c r="E408" t="str">
        <f>"00050111"</f>
        <v>00050111</v>
      </c>
      <c r="F408">
        <v>0</v>
      </c>
      <c r="G408" s="243">
        <v>39671</v>
      </c>
      <c r="H408" t="s">
        <v>182</v>
      </c>
      <c r="I408">
        <v>62</v>
      </c>
      <c r="J408">
        <v>4</v>
      </c>
      <c r="K408">
        <v>1</v>
      </c>
      <c r="L408">
        <v>118000</v>
      </c>
      <c r="M408" t="str">
        <f t="shared" si="51"/>
        <v>13</v>
      </c>
      <c r="N408" t="s">
        <v>3323</v>
      </c>
      <c r="O408" t="str">
        <f t="shared" si="57"/>
        <v>52211</v>
      </c>
      <c r="P408" t="str">
        <f>"1501L"</f>
        <v>1501L</v>
      </c>
      <c r="Q408" t="str">
        <f t="shared" si="52"/>
        <v>0101</v>
      </c>
      <c r="R408">
        <v>1501</v>
      </c>
      <c r="S408" t="str">
        <f t="shared" si="58"/>
        <v>5220</v>
      </c>
      <c r="T408" t="s">
        <v>3395</v>
      </c>
      <c r="U408" t="s">
        <v>522</v>
      </c>
    </row>
    <row r="409" spans="1:21" ht="15" customHeight="1" x14ac:dyDescent="0.3">
      <c r="A409" t="s">
        <v>179</v>
      </c>
      <c r="B409" t="str">
        <f>"00059882"</f>
        <v>00059882</v>
      </c>
      <c r="C409" t="s">
        <v>4260</v>
      </c>
      <c r="D409" t="s">
        <v>539</v>
      </c>
      <c r="E409" t="str">
        <f>"00049319"</f>
        <v>00049319</v>
      </c>
      <c r="F409">
        <v>0</v>
      </c>
      <c r="G409" s="243">
        <v>38226</v>
      </c>
      <c r="H409" t="s">
        <v>182</v>
      </c>
      <c r="I409">
        <v>15</v>
      </c>
      <c r="J409">
        <v>8</v>
      </c>
      <c r="K409">
        <v>1</v>
      </c>
      <c r="L409">
        <v>72171</v>
      </c>
      <c r="M409" t="str">
        <f t="shared" si="51"/>
        <v>13</v>
      </c>
      <c r="N409" t="s">
        <v>3323</v>
      </c>
      <c r="O409" t="str">
        <f t="shared" si="57"/>
        <v>52211</v>
      </c>
      <c r="P409" t="str">
        <f t="shared" ref="P409:P417" si="60">"2100L"</f>
        <v>2100L</v>
      </c>
      <c r="Q409" t="str">
        <f t="shared" si="52"/>
        <v>0101</v>
      </c>
      <c r="R409">
        <v>2100</v>
      </c>
      <c r="S409" t="str">
        <f t="shared" si="58"/>
        <v>5220</v>
      </c>
      <c r="T409" t="s">
        <v>3395</v>
      </c>
      <c r="U409" t="s">
        <v>522</v>
      </c>
    </row>
    <row r="410" spans="1:21" ht="15" customHeight="1" x14ac:dyDescent="0.3">
      <c r="A410" t="s">
        <v>179</v>
      </c>
      <c r="B410" t="str">
        <f>"00062016"</f>
        <v>00062016</v>
      </c>
      <c r="C410" t="s">
        <v>4253</v>
      </c>
      <c r="D410" t="s">
        <v>541</v>
      </c>
      <c r="E410" t="str">
        <f>"00053650"</f>
        <v>00053650</v>
      </c>
      <c r="F410">
        <v>0</v>
      </c>
      <c r="G410" s="243">
        <v>39679</v>
      </c>
      <c r="H410" t="s">
        <v>182</v>
      </c>
      <c r="I410">
        <v>15</v>
      </c>
      <c r="J410">
        <v>4</v>
      </c>
      <c r="K410">
        <v>1</v>
      </c>
      <c r="L410">
        <v>54725</v>
      </c>
      <c r="M410" t="str">
        <f t="shared" si="51"/>
        <v>13</v>
      </c>
      <c r="N410" t="s">
        <v>3323</v>
      </c>
      <c r="O410" t="str">
        <f t="shared" si="57"/>
        <v>52211</v>
      </c>
      <c r="P410" t="str">
        <f t="shared" si="60"/>
        <v>2100L</v>
      </c>
      <c r="Q410" t="str">
        <f t="shared" si="52"/>
        <v>0101</v>
      </c>
      <c r="R410">
        <v>2100</v>
      </c>
      <c r="S410" t="str">
        <f t="shared" si="58"/>
        <v>5220</v>
      </c>
      <c r="T410" t="s">
        <v>3395</v>
      </c>
      <c r="U410" t="s">
        <v>522</v>
      </c>
    </row>
    <row r="411" spans="1:21" ht="15" customHeight="1" x14ac:dyDescent="0.3">
      <c r="A411" t="s">
        <v>179</v>
      </c>
      <c r="B411" t="str">
        <f>"00062017"</f>
        <v>00062017</v>
      </c>
      <c r="C411" t="s">
        <v>4262</v>
      </c>
      <c r="D411" t="s">
        <v>542</v>
      </c>
      <c r="E411" t="str">
        <f>"00062562"</f>
        <v>00062562</v>
      </c>
      <c r="F411">
        <v>0</v>
      </c>
      <c r="G411" s="243">
        <v>40406</v>
      </c>
      <c r="H411" t="s">
        <v>182</v>
      </c>
      <c r="I411">
        <v>15</v>
      </c>
      <c r="J411">
        <v>3</v>
      </c>
      <c r="K411">
        <v>1</v>
      </c>
      <c r="L411">
        <v>52777</v>
      </c>
      <c r="M411" t="str">
        <f t="shared" si="51"/>
        <v>13</v>
      </c>
      <c r="N411" t="s">
        <v>3323</v>
      </c>
      <c r="O411" t="str">
        <f t="shared" si="57"/>
        <v>52211</v>
      </c>
      <c r="P411" t="str">
        <f t="shared" si="60"/>
        <v>2100L</v>
      </c>
      <c r="Q411" t="str">
        <f t="shared" si="52"/>
        <v>0101</v>
      </c>
      <c r="R411">
        <v>2100</v>
      </c>
      <c r="S411" t="str">
        <f t="shared" si="58"/>
        <v>5220</v>
      </c>
      <c r="T411" t="s">
        <v>3395</v>
      </c>
      <c r="U411" t="s">
        <v>522</v>
      </c>
    </row>
    <row r="412" spans="1:21" ht="15" customHeight="1" x14ac:dyDescent="0.3">
      <c r="A412" t="s">
        <v>179</v>
      </c>
      <c r="B412" t="str">
        <f>"00062653"</f>
        <v>00062653</v>
      </c>
      <c r="C412" t="s">
        <v>4260</v>
      </c>
      <c r="H412" t="s">
        <v>170</v>
      </c>
      <c r="I412">
        <v>15</v>
      </c>
      <c r="J412">
        <v>1</v>
      </c>
      <c r="K412">
        <v>1</v>
      </c>
      <c r="L412">
        <v>51539</v>
      </c>
      <c r="M412" t="str">
        <f t="shared" si="51"/>
        <v>13</v>
      </c>
      <c r="N412" t="s">
        <v>3323</v>
      </c>
      <c r="O412" t="str">
        <f t="shared" si="57"/>
        <v>52211</v>
      </c>
      <c r="P412" t="str">
        <f t="shared" si="60"/>
        <v>2100L</v>
      </c>
      <c r="Q412" t="str">
        <f t="shared" si="52"/>
        <v>0101</v>
      </c>
      <c r="R412">
        <v>2100</v>
      </c>
      <c r="S412" t="str">
        <f t="shared" si="58"/>
        <v>5220</v>
      </c>
      <c r="T412" t="s">
        <v>3395</v>
      </c>
      <c r="U412" t="s">
        <v>522</v>
      </c>
    </row>
    <row r="413" spans="1:21" ht="15" customHeight="1" x14ac:dyDescent="0.3">
      <c r="A413" t="s">
        <v>179</v>
      </c>
      <c r="B413" t="str">
        <f>"00063013"</f>
        <v>00063013</v>
      </c>
      <c r="C413" t="s">
        <v>4254</v>
      </c>
      <c r="H413" t="s">
        <v>170</v>
      </c>
      <c r="I413">
        <v>15</v>
      </c>
      <c r="J413">
        <v>1</v>
      </c>
      <c r="K413">
        <v>1</v>
      </c>
      <c r="L413">
        <v>54975</v>
      </c>
      <c r="M413" t="str">
        <f t="shared" si="51"/>
        <v>13</v>
      </c>
      <c r="N413" t="s">
        <v>3323</v>
      </c>
      <c r="O413" t="str">
        <f t="shared" si="57"/>
        <v>52211</v>
      </c>
      <c r="P413" t="str">
        <f t="shared" si="60"/>
        <v>2100L</v>
      </c>
      <c r="Q413" t="str">
        <f t="shared" si="52"/>
        <v>0101</v>
      </c>
      <c r="R413">
        <v>2100</v>
      </c>
      <c r="S413" t="str">
        <f t="shared" si="58"/>
        <v>5220</v>
      </c>
      <c r="T413" t="s">
        <v>3395</v>
      </c>
      <c r="U413" t="s">
        <v>522</v>
      </c>
    </row>
    <row r="414" spans="1:21" ht="15" customHeight="1" x14ac:dyDescent="0.3">
      <c r="A414" t="s">
        <v>179</v>
      </c>
      <c r="B414" t="str">
        <f>"00066509"</f>
        <v>00066509</v>
      </c>
      <c r="C414" t="s">
        <v>4292</v>
      </c>
      <c r="D414" t="s">
        <v>4434</v>
      </c>
      <c r="E414" t="str">
        <f>"00047086"</f>
        <v>00047086</v>
      </c>
      <c r="F414">
        <v>0</v>
      </c>
      <c r="G414" s="243">
        <v>39713</v>
      </c>
      <c r="H414" t="s">
        <v>182</v>
      </c>
      <c r="I414">
        <v>4</v>
      </c>
      <c r="J414">
        <v>5</v>
      </c>
      <c r="K414">
        <v>1</v>
      </c>
      <c r="L414">
        <v>25239.37</v>
      </c>
      <c r="M414" t="str">
        <f t="shared" si="51"/>
        <v>13</v>
      </c>
      <c r="N414" t="s">
        <v>3323</v>
      </c>
      <c r="O414" t="str">
        <f t="shared" si="57"/>
        <v>52211</v>
      </c>
      <c r="P414" t="str">
        <f t="shared" si="60"/>
        <v>2100L</v>
      </c>
      <c r="Q414" t="str">
        <f t="shared" si="52"/>
        <v>0101</v>
      </c>
      <c r="R414">
        <v>2100</v>
      </c>
      <c r="S414" t="str">
        <f t="shared" si="58"/>
        <v>5220</v>
      </c>
      <c r="T414" t="s">
        <v>3395</v>
      </c>
      <c r="U414" t="s">
        <v>522</v>
      </c>
    </row>
    <row r="415" spans="1:21" ht="15" customHeight="1" x14ac:dyDescent="0.3">
      <c r="A415" t="s">
        <v>179</v>
      </c>
      <c r="B415" t="str">
        <f>"00066712"</f>
        <v>00066712</v>
      </c>
      <c r="C415" t="s">
        <v>4253</v>
      </c>
      <c r="D415" t="s">
        <v>3398</v>
      </c>
      <c r="E415" t="str">
        <f>"00066121"</f>
        <v>00066121</v>
      </c>
      <c r="F415">
        <v>0</v>
      </c>
      <c r="G415" s="243">
        <v>40755</v>
      </c>
      <c r="H415" t="s">
        <v>182</v>
      </c>
      <c r="I415">
        <v>15</v>
      </c>
      <c r="J415">
        <v>4</v>
      </c>
      <c r="K415">
        <v>1</v>
      </c>
      <c r="L415">
        <v>61158</v>
      </c>
      <c r="M415" t="str">
        <f t="shared" si="51"/>
        <v>13</v>
      </c>
      <c r="N415" t="s">
        <v>3323</v>
      </c>
      <c r="O415" t="str">
        <f t="shared" si="57"/>
        <v>52211</v>
      </c>
      <c r="P415" t="str">
        <f t="shared" si="60"/>
        <v>2100L</v>
      </c>
      <c r="Q415" t="str">
        <f t="shared" si="52"/>
        <v>0101</v>
      </c>
      <c r="R415">
        <v>2100</v>
      </c>
      <c r="S415" t="str">
        <f t="shared" si="58"/>
        <v>5220</v>
      </c>
      <c r="T415" t="s">
        <v>3395</v>
      </c>
      <c r="U415" t="s">
        <v>522</v>
      </c>
    </row>
    <row r="416" spans="1:21" ht="15" customHeight="1" x14ac:dyDescent="0.3">
      <c r="A416" t="s">
        <v>179</v>
      </c>
      <c r="B416" t="str">
        <f>"00067292"</f>
        <v>00067292</v>
      </c>
      <c r="C416" t="s">
        <v>4274</v>
      </c>
      <c r="D416" t="s">
        <v>4435</v>
      </c>
      <c r="E416" t="str">
        <f>"00057066"</f>
        <v>00057066</v>
      </c>
      <c r="F416">
        <v>0</v>
      </c>
      <c r="G416" s="243">
        <v>40042</v>
      </c>
      <c r="H416" t="s">
        <v>182</v>
      </c>
      <c r="I416">
        <v>4</v>
      </c>
      <c r="J416">
        <v>5</v>
      </c>
      <c r="K416">
        <v>1</v>
      </c>
      <c r="L416">
        <v>25239.37</v>
      </c>
      <c r="M416" t="str">
        <f t="shared" si="51"/>
        <v>13</v>
      </c>
      <c r="N416" t="s">
        <v>3323</v>
      </c>
      <c r="O416" t="str">
        <f t="shared" si="57"/>
        <v>52211</v>
      </c>
      <c r="P416" t="str">
        <f t="shared" si="60"/>
        <v>2100L</v>
      </c>
      <c r="Q416" t="str">
        <f t="shared" si="52"/>
        <v>0101</v>
      </c>
      <c r="R416">
        <v>2100</v>
      </c>
      <c r="S416" t="str">
        <f t="shared" si="58"/>
        <v>5220</v>
      </c>
      <c r="T416" t="s">
        <v>3395</v>
      </c>
      <c r="U416" t="s">
        <v>522</v>
      </c>
    </row>
    <row r="417" spans="1:21" ht="15" customHeight="1" x14ac:dyDescent="0.3">
      <c r="A417" t="s">
        <v>179</v>
      </c>
      <c r="B417" t="str">
        <f>"00067544"</f>
        <v>00067544</v>
      </c>
      <c r="C417" t="s">
        <v>4253</v>
      </c>
      <c r="D417" t="s">
        <v>545</v>
      </c>
      <c r="E417" t="str">
        <f>"00062736"</f>
        <v>00062736</v>
      </c>
      <c r="F417">
        <v>0</v>
      </c>
      <c r="G417" s="243">
        <v>40406</v>
      </c>
      <c r="H417" t="s">
        <v>182</v>
      </c>
      <c r="I417">
        <v>15</v>
      </c>
      <c r="J417">
        <v>3</v>
      </c>
      <c r="K417">
        <v>1</v>
      </c>
      <c r="L417">
        <v>55210</v>
      </c>
      <c r="M417" t="str">
        <f t="shared" si="51"/>
        <v>13</v>
      </c>
      <c r="N417" t="s">
        <v>3323</v>
      </c>
      <c r="O417" t="str">
        <f t="shared" si="57"/>
        <v>52211</v>
      </c>
      <c r="P417" t="str">
        <f t="shared" si="60"/>
        <v>2100L</v>
      </c>
      <c r="Q417" t="str">
        <f t="shared" si="52"/>
        <v>0101</v>
      </c>
      <c r="R417">
        <v>2100</v>
      </c>
      <c r="S417" t="str">
        <f t="shared" si="58"/>
        <v>5220</v>
      </c>
      <c r="T417" t="s">
        <v>3395</v>
      </c>
      <c r="U417" t="s">
        <v>522</v>
      </c>
    </row>
    <row r="418" spans="1:21" ht="15" customHeight="1" x14ac:dyDescent="0.3">
      <c r="A418" t="s">
        <v>179</v>
      </c>
      <c r="B418" t="str">
        <f>"00071607"</f>
        <v>00071607</v>
      </c>
      <c r="C418" t="s">
        <v>4341</v>
      </c>
      <c r="H418" t="s">
        <v>170</v>
      </c>
      <c r="I418">
        <v>10</v>
      </c>
      <c r="J418">
        <v>1</v>
      </c>
      <c r="K418">
        <v>1</v>
      </c>
      <c r="L418">
        <v>62794</v>
      </c>
      <c r="M418" t="str">
        <f t="shared" ref="M418:M475" si="61">"13"</f>
        <v>13</v>
      </c>
      <c r="N418" t="s">
        <v>3323</v>
      </c>
      <c r="O418" t="str">
        <f t="shared" si="57"/>
        <v>52211</v>
      </c>
      <c r="P418" t="str">
        <f>"3030L"</f>
        <v>3030L</v>
      </c>
      <c r="Q418" t="str">
        <f t="shared" ref="Q418:Q475" si="62">"0101"</f>
        <v>0101</v>
      </c>
      <c r="R418">
        <v>3030</v>
      </c>
      <c r="S418" t="str">
        <f t="shared" si="58"/>
        <v>5220</v>
      </c>
      <c r="T418" t="s">
        <v>3395</v>
      </c>
      <c r="U418" t="s">
        <v>522</v>
      </c>
    </row>
    <row r="419" spans="1:21" ht="15" customHeight="1" x14ac:dyDescent="0.3">
      <c r="A419" t="s">
        <v>179</v>
      </c>
      <c r="B419" t="str">
        <f>"00072522"</f>
        <v>00072522</v>
      </c>
      <c r="C419" t="s">
        <v>4306</v>
      </c>
      <c r="D419" t="s">
        <v>4436</v>
      </c>
      <c r="E419" t="str">
        <f>"00046088"</f>
        <v>00046088</v>
      </c>
      <c r="F419">
        <v>0</v>
      </c>
      <c r="G419" s="243">
        <v>40049</v>
      </c>
      <c r="H419" t="s">
        <v>182</v>
      </c>
      <c r="I419">
        <v>9</v>
      </c>
      <c r="J419">
        <v>3</v>
      </c>
      <c r="K419">
        <v>1</v>
      </c>
      <c r="L419">
        <v>35289</v>
      </c>
      <c r="M419" t="str">
        <f t="shared" si="61"/>
        <v>13</v>
      </c>
      <c r="N419" t="s">
        <v>3323</v>
      </c>
      <c r="O419" t="str">
        <f t="shared" si="57"/>
        <v>52211</v>
      </c>
      <c r="P419" t="str">
        <f>"1502L"</f>
        <v>1502L</v>
      </c>
      <c r="Q419" t="str">
        <f t="shared" si="62"/>
        <v>0101</v>
      </c>
      <c r="R419">
        <v>1502</v>
      </c>
      <c r="S419" t="str">
        <f t="shared" si="58"/>
        <v>5220</v>
      </c>
      <c r="T419" t="s">
        <v>3395</v>
      </c>
      <c r="U419" t="s">
        <v>522</v>
      </c>
    </row>
    <row r="420" spans="1:21" ht="15" customHeight="1" x14ac:dyDescent="0.3">
      <c r="A420" t="s">
        <v>179</v>
      </c>
      <c r="B420" t="str">
        <f>"00073814"</f>
        <v>00073814</v>
      </c>
      <c r="C420" t="s">
        <v>4266</v>
      </c>
      <c r="D420" t="s">
        <v>538</v>
      </c>
      <c r="E420" t="str">
        <f>"00045242"</f>
        <v>00045242</v>
      </c>
      <c r="F420">
        <v>0</v>
      </c>
      <c r="G420" s="243">
        <v>38226</v>
      </c>
      <c r="H420" t="s">
        <v>182</v>
      </c>
      <c r="I420">
        <v>15</v>
      </c>
      <c r="J420">
        <v>9</v>
      </c>
      <c r="K420">
        <v>1</v>
      </c>
      <c r="L420">
        <v>77687</v>
      </c>
      <c r="M420" t="str">
        <f t="shared" si="61"/>
        <v>13</v>
      </c>
      <c r="N420" t="s">
        <v>3323</v>
      </c>
      <c r="O420" t="str">
        <f t="shared" si="57"/>
        <v>52211</v>
      </c>
      <c r="P420" t="str">
        <f t="shared" ref="P420:P427" si="63">"2100L"</f>
        <v>2100L</v>
      </c>
      <c r="Q420" t="str">
        <f t="shared" si="62"/>
        <v>0101</v>
      </c>
      <c r="R420">
        <v>2100</v>
      </c>
      <c r="S420" t="str">
        <f t="shared" si="58"/>
        <v>5220</v>
      </c>
      <c r="T420" t="s">
        <v>3395</v>
      </c>
      <c r="U420" t="s">
        <v>522</v>
      </c>
    </row>
    <row r="421" spans="1:21" ht="15" customHeight="1" x14ac:dyDescent="0.3">
      <c r="A421" t="s">
        <v>179</v>
      </c>
      <c r="B421" t="str">
        <f>"00073819"</f>
        <v>00073819</v>
      </c>
      <c r="C421" t="s">
        <v>4437</v>
      </c>
      <c r="D421" t="s">
        <v>547</v>
      </c>
      <c r="E421" t="str">
        <f>"00062869"</f>
        <v>00062869</v>
      </c>
      <c r="F421">
        <v>0</v>
      </c>
      <c r="G421" s="243">
        <v>40406</v>
      </c>
      <c r="H421" t="s">
        <v>182</v>
      </c>
      <c r="I421">
        <v>15</v>
      </c>
      <c r="J421">
        <v>7</v>
      </c>
      <c r="K421">
        <v>0.5</v>
      </c>
      <c r="L421">
        <v>61068</v>
      </c>
      <c r="M421" t="str">
        <f t="shared" si="61"/>
        <v>13</v>
      </c>
      <c r="N421" t="s">
        <v>3323</v>
      </c>
      <c r="O421" t="str">
        <f t="shared" si="57"/>
        <v>52211</v>
      </c>
      <c r="P421" t="str">
        <f t="shared" si="63"/>
        <v>2100L</v>
      </c>
      <c r="Q421" t="str">
        <f t="shared" si="62"/>
        <v>0101</v>
      </c>
      <c r="R421">
        <v>2100</v>
      </c>
      <c r="S421" t="str">
        <f t="shared" si="58"/>
        <v>5220</v>
      </c>
      <c r="T421" t="s">
        <v>3395</v>
      </c>
      <c r="U421" t="s">
        <v>522</v>
      </c>
    </row>
    <row r="422" spans="1:21" ht="15" customHeight="1" x14ac:dyDescent="0.3">
      <c r="A422" t="s">
        <v>179</v>
      </c>
      <c r="B422" t="str">
        <f>"00074169"</f>
        <v>00074169</v>
      </c>
      <c r="C422" t="s">
        <v>4270</v>
      </c>
      <c r="H422" t="s">
        <v>170</v>
      </c>
      <c r="I422">
        <v>15</v>
      </c>
      <c r="J422">
        <v>1</v>
      </c>
      <c r="K422">
        <v>0.5</v>
      </c>
      <c r="L422">
        <v>51539</v>
      </c>
      <c r="M422" t="str">
        <f t="shared" si="61"/>
        <v>13</v>
      </c>
      <c r="N422" t="s">
        <v>3323</v>
      </c>
      <c r="O422" t="str">
        <f t="shared" si="57"/>
        <v>52211</v>
      </c>
      <c r="P422" t="str">
        <f t="shared" si="63"/>
        <v>2100L</v>
      </c>
      <c r="Q422" t="str">
        <f t="shared" si="62"/>
        <v>0101</v>
      </c>
      <c r="R422">
        <v>2100</v>
      </c>
      <c r="S422" t="str">
        <f t="shared" si="58"/>
        <v>5220</v>
      </c>
      <c r="T422" t="s">
        <v>3395</v>
      </c>
      <c r="U422" t="s">
        <v>522</v>
      </c>
    </row>
    <row r="423" spans="1:21" ht="15" customHeight="1" x14ac:dyDescent="0.3">
      <c r="A423" t="s">
        <v>179</v>
      </c>
      <c r="B423" t="str">
        <f>"00074625"</f>
        <v>00074625</v>
      </c>
      <c r="C423" t="s">
        <v>200</v>
      </c>
      <c r="D423" t="s">
        <v>3396</v>
      </c>
      <c r="E423" t="str">
        <f>"00054171"</f>
        <v>00054171</v>
      </c>
      <c r="F423">
        <v>0</v>
      </c>
      <c r="G423" s="243">
        <v>32807</v>
      </c>
      <c r="H423" t="s">
        <v>182</v>
      </c>
      <c r="I423">
        <v>15</v>
      </c>
      <c r="J423">
        <v>16</v>
      </c>
      <c r="K423">
        <v>1</v>
      </c>
      <c r="L423">
        <v>100839</v>
      </c>
      <c r="M423" t="str">
        <f t="shared" si="61"/>
        <v>13</v>
      </c>
      <c r="N423" t="s">
        <v>3323</v>
      </c>
      <c r="O423" t="str">
        <f t="shared" si="57"/>
        <v>52211</v>
      </c>
      <c r="P423" t="str">
        <f t="shared" si="63"/>
        <v>2100L</v>
      </c>
      <c r="Q423" t="str">
        <f t="shared" si="62"/>
        <v>0101</v>
      </c>
      <c r="R423">
        <v>2100</v>
      </c>
      <c r="S423" t="str">
        <f t="shared" si="58"/>
        <v>5220</v>
      </c>
      <c r="T423" t="s">
        <v>3395</v>
      </c>
      <c r="U423" t="s">
        <v>522</v>
      </c>
    </row>
    <row r="424" spans="1:21" ht="15" customHeight="1" x14ac:dyDescent="0.3">
      <c r="A424" t="s">
        <v>179</v>
      </c>
      <c r="B424" t="str">
        <f>"00075952"</f>
        <v>00075952</v>
      </c>
      <c r="C424" t="s">
        <v>4438</v>
      </c>
      <c r="H424" t="s">
        <v>170</v>
      </c>
      <c r="I424">
        <v>11</v>
      </c>
      <c r="J424">
        <v>0</v>
      </c>
      <c r="K424">
        <v>0.5</v>
      </c>
      <c r="L424">
        <v>60779</v>
      </c>
      <c r="M424" t="str">
        <f t="shared" si="61"/>
        <v>13</v>
      </c>
      <c r="N424" t="s">
        <v>3370</v>
      </c>
      <c r="O424" t="str">
        <f t="shared" si="57"/>
        <v>52211</v>
      </c>
      <c r="P424" t="str">
        <f t="shared" si="63"/>
        <v>2100L</v>
      </c>
      <c r="Q424" t="str">
        <f t="shared" si="62"/>
        <v>0101</v>
      </c>
      <c r="R424">
        <v>2100</v>
      </c>
      <c r="S424" t="str">
        <f t="shared" si="58"/>
        <v>5220</v>
      </c>
      <c r="T424" t="s">
        <v>3395</v>
      </c>
      <c r="U424" t="s">
        <v>522</v>
      </c>
    </row>
    <row r="425" spans="1:21" ht="15" customHeight="1" x14ac:dyDescent="0.3">
      <c r="A425" t="s">
        <v>179</v>
      </c>
      <c r="B425" t="str">
        <f>"00075953"</f>
        <v>00075953</v>
      </c>
      <c r="C425" t="s">
        <v>4270</v>
      </c>
      <c r="H425" t="s">
        <v>170</v>
      </c>
      <c r="I425">
        <v>15</v>
      </c>
      <c r="J425">
        <v>0</v>
      </c>
      <c r="K425">
        <v>0.5</v>
      </c>
      <c r="L425">
        <v>51539</v>
      </c>
      <c r="M425" t="str">
        <f t="shared" si="61"/>
        <v>13</v>
      </c>
      <c r="N425" t="s">
        <v>3370</v>
      </c>
      <c r="O425" t="str">
        <f t="shared" si="57"/>
        <v>52211</v>
      </c>
      <c r="P425" t="str">
        <f t="shared" si="63"/>
        <v>2100L</v>
      </c>
      <c r="Q425" t="str">
        <f t="shared" si="62"/>
        <v>0101</v>
      </c>
      <c r="R425">
        <v>2100</v>
      </c>
      <c r="S425" t="str">
        <f t="shared" si="58"/>
        <v>5220</v>
      </c>
      <c r="T425" t="s">
        <v>3395</v>
      </c>
      <c r="U425" t="s">
        <v>522</v>
      </c>
    </row>
    <row r="426" spans="1:21" ht="15" customHeight="1" x14ac:dyDescent="0.3">
      <c r="A426" t="s">
        <v>179</v>
      </c>
      <c r="B426" t="str">
        <f>"00075954"</f>
        <v>00075954</v>
      </c>
      <c r="C426" t="s">
        <v>4270</v>
      </c>
      <c r="D426" t="s">
        <v>2522</v>
      </c>
      <c r="E426" t="str">
        <f>"00052369"</f>
        <v>00052369</v>
      </c>
      <c r="F426">
        <v>0</v>
      </c>
      <c r="G426" s="243">
        <v>37124</v>
      </c>
      <c r="H426" t="s">
        <v>182</v>
      </c>
      <c r="I426">
        <v>15</v>
      </c>
      <c r="J426">
        <v>12</v>
      </c>
      <c r="K426">
        <v>0.5</v>
      </c>
      <c r="L426">
        <v>43715.5</v>
      </c>
      <c r="M426" t="str">
        <f t="shared" si="61"/>
        <v>13</v>
      </c>
      <c r="N426" t="s">
        <v>3370</v>
      </c>
      <c r="O426" t="str">
        <f t="shared" si="57"/>
        <v>52211</v>
      </c>
      <c r="P426" t="str">
        <f t="shared" si="63"/>
        <v>2100L</v>
      </c>
      <c r="Q426" t="str">
        <f t="shared" si="62"/>
        <v>0101</v>
      </c>
      <c r="R426">
        <v>2100</v>
      </c>
      <c r="S426" t="str">
        <f t="shared" si="58"/>
        <v>5220</v>
      </c>
      <c r="T426" t="s">
        <v>3395</v>
      </c>
      <c r="U426" t="s">
        <v>522</v>
      </c>
    </row>
    <row r="427" spans="1:21" ht="15" customHeight="1" x14ac:dyDescent="0.3">
      <c r="A427" t="s">
        <v>179</v>
      </c>
      <c r="B427" t="str">
        <f>"00076708"</f>
        <v>00076708</v>
      </c>
      <c r="C427" t="s">
        <v>204</v>
      </c>
      <c r="H427" t="s">
        <v>170</v>
      </c>
      <c r="I427">
        <v>15</v>
      </c>
      <c r="J427">
        <v>0</v>
      </c>
      <c r="K427">
        <v>1</v>
      </c>
      <c r="L427">
        <v>54975</v>
      </c>
      <c r="M427" t="str">
        <f t="shared" si="61"/>
        <v>13</v>
      </c>
      <c r="N427" t="s">
        <v>3370</v>
      </c>
      <c r="O427" t="str">
        <f t="shared" si="57"/>
        <v>52211</v>
      </c>
      <c r="P427" t="str">
        <f t="shared" si="63"/>
        <v>2100L</v>
      </c>
      <c r="Q427" t="str">
        <f t="shared" si="62"/>
        <v>0101</v>
      </c>
      <c r="R427">
        <v>2100</v>
      </c>
      <c r="S427" t="str">
        <f t="shared" si="58"/>
        <v>5220</v>
      </c>
      <c r="T427" t="s">
        <v>3395</v>
      </c>
      <c r="U427" t="s">
        <v>522</v>
      </c>
    </row>
    <row r="428" spans="1:21" ht="15" customHeight="1" x14ac:dyDescent="0.3">
      <c r="A428" t="s">
        <v>179</v>
      </c>
      <c r="B428" t="str">
        <f>"00052187"</f>
        <v>00052187</v>
      </c>
      <c r="C428" t="s">
        <v>4272</v>
      </c>
      <c r="D428" t="s">
        <v>576</v>
      </c>
      <c r="E428" t="str">
        <f>"00047587"</f>
        <v>00047587</v>
      </c>
      <c r="F428">
        <v>0</v>
      </c>
      <c r="G428" s="243">
        <v>33595</v>
      </c>
      <c r="H428" t="s">
        <v>182</v>
      </c>
      <c r="I428">
        <v>15</v>
      </c>
      <c r="J428">
        <v>15</v>
      </c>
      <c r="K428">
        <v>1</v>
      </c>
      <c r="L428">
        <v>103985</v>
      </c>
      <c r="M428" t="str">
        <f t="shared" si="61"/>
        <v>13</v>
      </c>
      <c r="N428" t="s">
        <v>3323</v>
      </c>
      <c r="O428" t="str">
        <f t="shared" ref="O428:O454" si="64">"52311"</f>
        <v>52311</v>
      </c>
      <c r="P428" t="str">
        <f>"2200L"</f>
        <v>2200L</v>
      </c>
      <c r="Q428" t="str">
        <f t="shared" si="62"/>
        <v>0101</v>
      </c>
      <c r="R428">
        <v>2200</v>
      </c>
      <c r="S428" t="str">
        <f t="shared" ref="S428:S454" si="65">"5230"</f>
        <v>5230</v>
      </c>
      <c r="T428" t="s">
        <v>3399</v>
      </c>
      <c r="U428" t="s">
        <v>22</v>
      </c>
    </row>
    <row r="429" spans="1:21" ht="15" customHeight="1" x14ac:dyDescent="0.3">
      <c r="A429" t="s">
        <v>179</v>
      </c>
      <c r="B429" t="str">
        <f>"00052210"</f>
        <v>00052210</v>
      </c>
      <c r="C429" t="s">
        <v>4274</v>
      </c>
      <c r="D429" t="s">
        <v>4439</v>
      </c>
      <c r="E429" t="str">
        <f>"00047660"</f>
        <v>00047660</v>
      </c>
      <c r="F429">
        <v>0</v>
      </c>
      <c r="G429" s="243">
        <v>35758</v>
      </c>
      <c r="H429" t="s">
        <v>182</v>
      </c>
      <c r="I429">
        <v>4</v>
      </c>
      <c r="J429">
        <v>9</v>
      </c>
      <c r="K429">
        <v>0.875</v>
      </c>
      <c r="L429">
        <v>28025.38</v>
      </c>
      <c r="M429" t="str">
        <f t="shared" si="61"/>
        <v>13</v>
      </c>
      <c r="N429" t="s">
        <v>3323</v>
      </c>
      <c r="O429" t="str">
        <f t="shared" si="64"/>
        <v>52311</v>
      </c>
      <c r="P429" t="str">
        <f>"2200L"</f>
        <v>2200L</v>
      </c>
      <c r="Q429" t="str">
        <f t="shared" si="62"/>
        <v>0101</v>
      </c>
      <c r="R429">
        <v>2200</v>
      </c>
      <c r="S429" t="str">
        <f t="shared" si="65"/>
        <v>5230</v>
      </c>
      <c r="T429" t="s">
        <v>3399</v>
      </c>
      <c r="U429" t="s">
        <v>22</v>
      </c>
    </row>
    <row r="430" spans="1:21" ht="15" customHeight="1" x14ac:dyDescent="0.3">
      <c r="A430" t="s">
        <v>179</v>
      </c>
      <c r="B430" t="str">
        <f>"00052998"</f>
        <v>00052998</v>
      </c>
      <c r="C430" t="s">
        <v>4266</v>
      </c>
      <c r="D430" t="s">
        <v>577</v>
      </c>
      <c r="E430" t="str">
        <f>"00050704"</f>
        <v>00050704</v>
      </c>
      <c r="F430">
        <v>0</v>
      </c>
      <c r="G430" s="243">
        <v>36033</v>
      </c>
      <c r="H430" t="s">
        <v>182</v>
      </c>
      <c r="I430">
        <v>15</v>
      </c>
      <c r="J430">
        <v>12</v>
      </c>
      <c r="K430">
        <v>1</v>
      </c>
      <c r="L430">
        <v>87431</v>
      </c>
      <c r="M430" t="str">
        <f t="shared" si="61"/>
        <v>13</v>
      </c>
      <c r="N430" t="s">
        <v>3323</v>
      </c>
      <c r="O430" t="str">
        <f t="shared" si="64"/>
        <v>52311</v>
      </c>
      <c r="P430" t="str">
        <f>"2100L"</f>
        <v>2100L</v>
      </c>
      <c r="Q430" t="str">
        <f t="shared" si="62"/>
        <v>0101</v>
      </c>
      <c r="R430">
        <v>2100</v>
      </c>
      <c r="S430" t="str">
        <f t="shared" si="65"/>
        <v>5230</v>
      </c>
      <c r="T430" t="s">
        <v>3399</v>
      </c>
      <c r="U430" t="s">
        <v>22</v>
      </c>
    </row>
    <row r="431" spans="1:21" ht="15" customHeight="1" x14ac:dyDescent="0.3">
      <c r="A431" t="s">
        <v>179</v>
      </c>
      <c r="B431" t="str">
        <f>"00053642"</f>
        <v>00053642</v>
      </c>
      <c r="C431" t="s">
        <v>4274</v>
      </c>
      <c r="D431" t="s">
        <v>4440</v>
      </c>
      <c r="E431" t="str">
        <f>"00068246"</f>
        <v>00068246</v>
      </c>
      <c r="F431">
        <v>0</v>
      </c>
      <c r="G431" s="243">
        <v>41018</v>
      </c>
      <c r="H431" t="s">
        <v>182</v>
      </c>
      <c r="I431">
        <v>4</v>
      </c>
      <c r="J431">
        <v>10</v>
      </c>
      <c r="K431">
        <v>1</v>
      </c>
      <c r="L431">
        <v>32824</v>
      </c>
      <c r="M431" t="str">
        <f t="shared" si="61"/>
        <v>13</v>
      </c>
      <c r="N431" t="s">
        <v>3323</v>
      </c>
      <c r="O431" t="str">
        <f t="shared" si="64"/>
        <v>52311</v>
      </c>
      <c r="P431" t="str">
        <f>"2200L"</f>
        <v>2200L</v>
      </c>
      <c r="Q431" t="str">
        <f t="shared" si="62"/>
        <v>0101</v>
      </c>
      <c r="R431">
        <v>2200</v>
      </c>
      <c r="S431" t="str">
        <f t="shared" si="65"/>
        <v>5230</v>
      </c>
      <c r="T431" t="s">
        <v>3399</v>
      </c>
      <c r="U431" t="s">
        <v>22</v>
      </c>
    </row>
    <row r="432" spans="1:21" ht="15" customHeight="1" x14ac:dyDescent="0.3">
      <c r="A432" t="s">
        <v>179</v>
      </c>
      <c r="B432" t="str">
        <f>"00053884"</f>
        <v>00053884</v>
      </c>
      <c r="C432" t="s">
        <v>4272</v>
      </c>
      <c r="D432" t="s">
        <v>578</v>
      </c>
      <c r="E432" t="str">
        <f>"00020758"</f>
        <v>00020758</v>
      </c>
      <c r="F432">
        <v>1</v>
      </c>
      <c r="G432" s="243">
        <v>27729</v>
      </c>
      <c r="H432" t="s">
        <v>182</v>
      </c>
      <c r="I432">
        <v>15</v>
      </c>
      <c r="J432">
        <v>13</v>
      </c>
      <c r="K432">
        <v>1</v>
      </c>
      <c r="L432">
        <v>81724</v>
      </c>
      <c r="M432" t="str">
        <f t="shared" si="61"/>
        <v>13</v>
      </c>
      <c r="N432" t="s">
        <v>3323</v>
      </c>
      <c r="O432" t="str">
        <f t="shared" si="64"/>
        <v>52311</v>
      </c>
      <c r="P432" t="str">
        <f>"2200L"</f>
        <v>2200L</v>
      </c>
      <c r="Q432" t="str">
        <f t="shared" si="62"/>
        <v>0101</v>
      </c>
      <c r="R432">
        <v>2200</v>
      </c>
      <c r="S432" t="str">
        <f t="shared" si="65"/>
        <v>5230</v>
      </c>
      <c r="T432" t="s">
        <v>3399</v>
      </c>
      <c r="U432" t="s">
        <v>22</v>
      </c>
    </row>
    <row r="433" spans="1:21" ht="15" customHeight="1" x14ac:dyDescent="0.3">
      <c r="A433" t="s">
        <v>179</v>
      </c>
      <c r="B433" t="str">
        <f>"00054570"</f>
        <v>00054570</v>
      </c>
      <c r="C433" t="s">
        <v>4272</v>
      </c>
      <c r="D433" t="s">
        <v>579</v>
      </c>
      <c r="E433" t="str">
        <f>"00054216"</f>
        <v>00054216</v>
      </c>
      <c r="F433">
        <v>0</v>
      </c>
      <c r="G433" s="243">
        <v>35675</v>
      </c>
      <c r="H433" t="s">
        <v>182</v>
      </c>
      <c r="I433">
        <v>15</v>
      </c>
      <c r="J433">
        <v>12</v>
      </c>
      <c r="K433">
        <v>1</v>
      </c>
      <c r="L433">
        <v>75816</v>
      </c>
      <c r="M433" t="str">
        <f t="shared" si="61"/>
        <v>13</v>
      </c>
      <c r="N433" t="s">
        <v>3323</v>
      </c>
      <c r="O433" t="str">
        <f t="shared" si="64"/>
        <v>52311</v>
      </c>
      <c r="P433" t="str">
        <f>"2100L"</f>
        <v>2100L</v>
      </c>
      <c r="Q433" t="str">
        <f t="shared" si="62"/>
        <v>0101</v>
      </c>
      <c r="R433">
        <v>2100</v>
      </c>
      <c r="S433" t="str">
        <f t="shared" si="65"/>
        <v>5230</v>
      </c>
      <c r="T433" t="s">
        <v>3399</v>
      </c>
      <c r="U433" t="s">
        <v>22</v>
      </c>
    </row>
    <row r="434" spans="1:21" ht="15" customHeight="1" x14ac:dyDescent="0.3">
      <c r="A434" t="s">
        <v>179</v>
      </c>
      <c r="B434" t="str">
        <f>"00054926"</f>
        <v>00054926</v>
      </c>
      <c r="C434" t="s">
        <v>4341</v>
      </c>
      <c r="D434" t="s">
        <v>580</v>
      </c>
      <c r="E434" t="str">
        <f>"00055021"</f>
        <v>00055021</v>
      </c>
      <c r="F434">
        <v>0</v>
      </c>
      <c r="G434" s="243">
        <v>33944</v>
      </c>
      <c r="H434" t="s">
        <v>182</v>
      </c>
      <c r="I434">
        <v>10</v>
      </c>
      <c r="J434">
        <v>9</v>
      </c>
      <c r="K434">
        <v>1</v>
      </c>
      <c r="L434">
        <v>86183</v>
      </c>
      <c r="M434" t="str">
        <f t="shared" si="61"/>
        <v>13</v>
      </c>
      <c r="N434" t="s">
        <v>3323</v>
      </c>
      <c r="O434" t="str">
        <f t="shared" si="64"/>
        <v>52311</v>
      </c>
      <c r="P434" t="str">
        <f>"3030L"</f>
        <v>3030L</v>
      </c>
      <c r="Q434" t="str">
        <f t="shared" si="62"/>
        <v>0101</v>
      </c>
      <c r="R434">
        <v>3030</v>
      </c>
      <c r="S434" t="str">
        <f t="shared" si="65"/>
        <v>5230</v>
      </c>
      <c r="T434" t="s">
        <v>3399</v>
      </c>
      <c r="U434" t="s">
        <v>22</v>
      </c>
    </row>
    <row r="435" spans="1:21" ht="15" customHeight="1" x14ac:dyDescent="0.3">
      <c r="A435" t="s">
        <v>179</v>
      </c>
      <c r="B435" t="str">
        <f>"00054942"</f>
        <v>00054942</v>
      </c>
      <c r="C435" t="s">
        <v>4266</v>
      </c>
      <c r="D435" t="s">
        <v>581</v>
      </c>
      <c r="E435" t="str">
        <f>"00055123"</f>
        <v>00055123</v>
      </c>
      <c r="F435">
        <v>0</v>
      </c>
      <c r="G435" s="243">
        <v>31418</v>
      </c>
      <c r="H435" t="s">
        <v>182</v>
      </c>
      <c r="I435">
        <v>15</v>
      </c>
      <c r="J435">
        <v>10</v>
      </c>
      <c r="K435">
        <v>1</v>
      </c>
      <c r="L435">
        <v>78273</v>
      </c>
      <c r="M435" t="str">
        <f t="shared" si="61"/>
        <v>13</v>
      </c>
      <c r="N435" t="s">
        <v>3323</v>
      </c>
      <c r="O435" t="str">
        <f t="shared" si="64"/>
        <v>52311</v>
      </c>
      <c r="P435" t="str">
        <f>"2200L"</f>
        <v>2200L</v>
      </c>
      <c r="Q435" t="str">
        <f t="shared" si="62"/>
        <v>0101</v>
      </c>
      <c r="R435">
        <v>2200</v>
      </c>
      <c r="S435" t="str">
        <f t="shared" si="65"/>
        <v>5230</v>
      </c>
      <c r="T435" t="s">
        <v>3399</v>
      </c>
      <c r="U435" t="s">
        <v>22</v>
      </c>
    </row>
    <row r="436" spans="1:21" ht="15" customHeight="1" x14ac:dyDescent="0.3">
      <c r="A436" t="s">
        <v>179</v>
      </c>
      <c r="B436" t="str">
        <f>"00055176"</f>
        <v>00055176</v>
      </c>
      <c r="C436" t="s">
        <v>4343</v>
      </c>
      <c r="D436" t="s">
        <v>582</v>
      </c>
      <c r="E436" t="str">
        <f>"00053478"</f>
        <v>00053478</v>
      </c>
      <c r="F436">
        <v>0</v>
      </c>
      <c r="G436" s="243">
        <v>36390</v>
      </c>
      <c r="H436" t="s">
        <v>182</v>
      </c>
      <c r="I436">
        <v>15</v>
      </c>
      <c r="J436">
        <v>12</v>
      </c>
      <c r="K436">
        <v>1</v>
      </c>
      <c r="L436">
        <v>92613</v>
      </c>
      <c r="M436" t="str">
        <f t="shared" si="61"/>
        <v>13</v>
      </c>
      <c r="N436" t="s">
        <v>3323</v>
      </c>
      <c r="O436" t="str">
        <f t="shared" si="64"/>
        <v>52311</v>
      </c>
      <c r="P436" t="str">
        <f>"2100L"</f>
        <v>2100L</v>
      </c>
      <c r="Q436" t="str">
        <f t="shared" si="62"/>
        <v>0101</v>
      </c>
      <c r="R436">
        <v>2100</v>
      </c>
      <c r="S436" t="str">
        <f t="shared" si="65"/>
        <v>5230</v>
      </c>
      <c r="T436" t="s">
        <v>3399</v>
      </c>
      <c r="U436" t="s">
        <v>22</v>
      </c>
    </row>
    <row r="437" spans="1:21" ht="15" customHeight="1" x14ac:dyDescent="0.3">
      <c r="A437" t="s">
        <v>179</v>
      </c>
      <c r="B437" t="str">
        <f>"00055223"</f>
        <v>00055223</v>
      </c>
      <c r="C437" t="s">
        <v>3798</v>
      </c>
      <c r="D437" t="s">
        <v>583</v>
      </c>
      <c r="E437" t="str">
        <f>"00054629"</f>
        <v>00054629</v>
      </c>
      <c r="F437">
        <v>0</v>
      </c>
      <c r="G437" s="243">
        <v>32050</v>
      </c>
      <c r="H437" t="s">
        <v>182</v>
      </c>
      <c r="I437">
        <v>61</v>
      </c>
      <c r="J437">
        <v>9</v>
      </c>
      <c r="K437">
        <v>1</v>
      </c>
      <c r="L437">
        <v>134000</v>
      </c>
      <c r="M437" t="str">
        <f t="shared" si="61"/>
        <v>13</v>
      </c>
      <c r="N437" t="s">
        <v>3323</v>
      </c>
      <c r="O437" t="str">
        <f t="shared" si="64"/>
        <v>52311</v>
      </c>
      <c r="P437" t="str">
        <f>"1501L"</f>
        <v>1501L</v>
      </c>
      <c r="Q437" t="str">
        <f t="shared" si="62"/>
        <v>0101</v>
      </c>
      <c r="R437">
        <v>1501</v>
      </c>
      <c r="S437" t="str">
        <f t="shared" si="65"/>
        <v>5230</v>
      </c>
      <c r="T437" t="s">
        <v>3399</v>
      </c>
      <c r="U437" t="s">
        <v>22</v>
      </c>
    </row>
    <row r="438" spans="1:21" ht="15" customHeight="1" x14ac:dyDescent="0.3">
      <c r="A438" t="s">
        <v>179</v>
      </c>
      <c r="B438" t="str">
        <f>"00055278"</f>
        <v>00055278</v>
      </c>
      <c r="C438" t="s">
        <v>4274</v>
      </c>
      <c r="D438" t="s">
        <v>4441</v>
      </c>
      <c r="E438" t="str">
        <f>"00051625"</f>
        <v>00051625</v>
      </c>
      <c r="F438">
        <v>0</v>
      </c>
      <c r="G438" s="243">
        <v>36774</v>
      </c>
      <c r="H438" t="s">
        <v>182</v>
      </c>
      <c r="I438">
        <v>4</v>
      </c>
      <c r="J438">
        <v>8</v>
      </c>
      <c r="K438">
        <v>0.875</v>
      </c>
      <c r="L438">
        <v>27329.75</v>
      </c>
      <c r="M438" t="str">
        <f t="shared" si="61"/>
        <v>13</v>
      </c>
      <c r="N438" t="s">
        <v>3323</v>
      </c>
      <c r="O438" t="str">
        <f t="shared" si="64"/>
        <v>52311</v>
      </c>
      <c r="P438" t="str">
        <f>"2200L"</f>
        <v>2200L</v>
      </c>
      <c r="Q438" t="str">
        <f t="shared" si="62"/>
        <v>0101</v>
      </c>
      <c r="R438">
        <v>2200</v>
      </c>
      <c r="S438" t="str">
        <f t="shared" si="65"/>
        <v>5230</v>
      </c>
      <c r="T438" t="s">
        <v>3399</v>
      </c>
      <c r="U438" t="s">
        <v>22</v>
      </c>
    </row>
    <row r="439" spans="1:21" ht="15" customHeight="1" x14ac:dyDescent="0.3">
      <c r="A439" t="s">
        <v>179</v>
      </c>
      <c r="B439" t="str">
        <f>"00056584"</f>
        <v>00056584</v>
      </c>
      <c r="C439" t="s">
        <v>200</v>
      </c>
      <c r="D439" t="s">
        <v>3401</v>
      </c>
      <c r="E439" t="str">
        <f>"00044727"</f>
        <v>00044727</v>
      </c>
      <c r="F439">
        <v>0</v>
      </c>
      <c r="G439" s="243">
        <v>36185</v>
      </c>
      <c r="H439" t="s">
        <v>182</v>
      </c>
      <c r="I439">
        <v>15</v>
      </c>
      <c r="J439">
        <v>15</v>
      </c>
      <c r="K439">
        <v>1</v>
      </c>
      <c r="L439">
        <v>98285</v>
      </c>
      <c r="M439" t="str">
        <f t="shared" si="61"/>
        <v>13</v>
      </c>
      <c r="N439" t="s">
        <v>3323</v>
      </c>
      <c r="O439" t="str">
        <f t="shared" si="64"/>
        <v>52311</v>
      </c>
      <c r="P439" t="str">
        <f>"3030L"</f>
        <v>3030L</v>
      </c>
      <c r="Q439" t="str">
        <f t="shared" si="62"/>
        <v>0101</v>
      </c>
      <c r="R439">
        <v>3030</v>
      </c>
      <c r="S439" t="str">
        <f t="shared" si="65"/>
        <v>5230</v>
      </c>
      <c r="T439" t="s">
        <v>3399</v>
      </c>
      <c r="U439" t="s">
        <v>22</v>
      </c>
    </row>
    <row r="440" spans="1:21" ht="15" customHeight="1" x14ac:dyDescent="0.3">
      <c r="A440" t="s">
        <v>179</v>
      </c>
      <c r="B440" t="str">
        <f>"00056742"</f>
        <v>00056742</v>
      </c>
      <c r="C440" t="s">
        <v>4288</v>
      </c>
      <c r="D440" t="s">
        <v>4442</v>
      </c>
      <c r="E440" t="str">
        <f>"00047047"</f>
        <v>00047047</v>
      </c>
      <c r="F440">
        <v>0</v>
      </c>
      <c r="G440" s="243">
        <v>36418</v>
      </c>
      <c r="H440" t="s">
        <v>182</v>
      </c>
      <c r="I440">
        <v>4</v>
      </c>
      <c r="J440">
        <v>9</v>
      </c>
      <c r="K440">
        <v>0.875</v>
      </c>
      <c r="L440">
        <v>28025.38</v>
      </c>
      <c r="M440" t="str">
        <f t="shared" si="61"/>
        <v>13</v>
      </c>
      <c r="N440" t="s">
        <v>3323</v>
      </c>
      <c r="O440" t="str">
        <f t="shared" si="64"/>
        <v>52311</v>
      </c>
      <c r="P440" t="str">
        <f>"2200L"</f>
        <v>2200L</v>
      </c>
      <c r="Q440" t="str">
        <f t="shared" si="62"/>
        <v>0101</v>
      </c>
      <c r="R440">
        <v>2200</v>
      </c>
      <c r="S440" t="str">
        <f t="shared" si="65"/>
        <v>5230</v>
      </c>
      <c r="T440" t="s">
        <v>3399</v>
      </c>
      <c r="U440" t="s">
        <v>22</v>
      </c>
    </row>
    <row r="441" spans="1:21" ht="15" customHeight="1" x14ac:dyDescent="0.3">
      <c r="A441" t="s">
        <v>179</v>
      </c>
      <c r="B441" t="str">
        <f>"00056916"</f>
        <v>00056916</v>
      </c>
      <c r="C441" t="s">
        <v>4259</v>
      </c>
      <c r="D441" t="s">
        <v>585</v>
      </c>
      <c r="E441" t="str">
        <f>"00044695"</f>
        <v>00044695</v>
      </c>
      <c r="F441">
        <v>0</v>
      </c>
      <c r="G441" s="243">
        <v>35710</v>
      </c>
      <c r="H441" t="s">
        <v>182</v>
      </c>
      <c r="I441">
        <v>15</v>
      </c>
      <c r="J441">
        <v>15</v>
      </c>
      <c r="K441">
        <v>1</v>
      </c>
      <c r="L441">
        <v>100792</v>
      </c>
      <c r="M441" t="str">
        <f t="shared" si="61"/>
        <v>13</v>
      </c>
      <c r="N441" t="s">
        <v>3323</v>
      </c>
      <c r="O441" t="str">
        <f t="shared" si="64"/>
        <v>52311</v>
      </c>
      <c r="P441" t="str">
        <f>"2100L"</f>
        <v>2100L</v>
      </c>
      <c r="Q441" t="str">
        <f t="shared" si="62"/>
        <v>0101</v>
      </c>
      <c r="R441">
        <v>2100</v>
      </c>
      <c r="S441" t="str">
        <f t="shared" si="65"/>
        <v>5230</v>
      </c>
      <c r="T441" t="s">
        <v>3399</v>
      </c>
      <c r="U441" t="s">
        <v>22</v>
      </c>
    </row>
    <row r="442" spans="1:21" ht="15" customHeight="1" x14ac:dyDescent="0.3">
      <c r="A442" t="s">
        <v>179</v>
      </c>
      <c r="B442" t="str">
        <f>"00057550"</f>
        <v>00057550</v>
      </c>
      <c r="C442" t="s">
        <v>4274</v>
      </c>
      <c r="D442" t="s">
        <v>4443</v>
      </c>
      <c r="E442" t="str">
        <f>"00054915"</f>
        <v>00054915</v>
      </c>
      <c r="F442">
        <v>0</v>
      </c>
      <c r="G442" s="243">
        <v>36768</v>
      </c>
      <c r="H442" t="s">
        <v>182</v>
      </c>
      <c r="I442">
        <v>4</v>
      </c>
      <c r="J442">
        <v>8</v>
      </c>
      <c r="K442">
        <v>0.875</v>
      </c>
      <c r="L442">
        <v>27329.75</v>
      </c>
      <c r="M442" t="str">
        <f t="shared" si="61"/>
        <v>13</v>
      </c>
      <c r="N442" t="s">
        <v>3323</v>
      </c>
      <c r="O442" t="str">
        <f t="shared" si="64"/>
        <v>52311</v>
      </c>
      <c r="P442" t="str">
        <f>"2200L"</f>
        <v>2200L</v>
      </c>
      <c r="Q442" t="str">
        <f t="shared" si="62"/>
        <v>0101</v>
      </c>
      <c r="R442">
        <v>2200</v>
      </c>
      <c r="S442" t="str">
        <f t="shared" si="65"/>
        <v>5230</v>
      </c>
      <c r="T442" t="s">
        <v>3399</v>
      </c>
      <c r="U442" t="s">
        <v>22</v>
      </c>
    </row>
    <row r="443" spans="1:21" ht="15" customHeight="1" x14ac:dyDescent="0.3">
      <c r="A443" t="s">
        <v>179</v>
      </c>
      <c r="B443" t="str">
        <f>"00057619"</f>
        <v>00057619</v>
      </c>
      <c r="C443" t="s">
        <v>4274</v>
      </c>
      <c r="D443" t="s">
        <v>4444</v>
      </c>
      <c r="E443" t="str">
        <f>"00046806"</f>
        <v>00046806</v>
      </c>
      <c r="F443">
        <v>0</v>
      </c>
      <c r="G443" s="243">
        <v>36798</v>
      </c>
      <c r="H443" t="s">
        <v>182</v>
      </c>
      <c r="I443">
        <v>4</v>
      </c>
      <c r="J443">
        <v>9</v>
      </c>
      <c r="K443">
        <v>0.875</v>
      </c>
      <c r="L443">
        <v>28025.38</v>
      </c>
      <c r="M443" t="str">
        <f t="shared" si="61"/>
        <v>13</v>
      </c>
      <c r="N443" t="s">
        <v>3323</v>
      </c>
      <c r="O443" t="str">
        <f t="shared" si="64"/>
        <v>52311</v>
      </c>
      <c r="P443" t="str">
        <f>"2200L"</f>
        <v>2200L</v>
      </c>
      <c r="Q443" t="str">
        <f t="shared" si="62"/>
        <v>0101</v>
      </c>
      <c r="R443">
        <v>2200</v>
      </c>
      <c r="S443" t="str">
        <f t="shared" si="65"/>
        <v>5230</v>
      </c>
      <c r="T443" t="s">
        <v>3399</v>
      </c>
      <c r="U443" t="s">
        <v>22</v>
      </c>
    </row>
    <row r="444" spans="1:21" ht="15" customHeight="1" x14ac:dyDescent="0.3">
      <c r="A444" t="s">
        <v>179</v>
      </c>
      <c r="B444" t="str">
        <f>"00058356"</f>
        <v>00058356</v>
      </c>
      <c r="C444" t="s">
        <v>4360</v>
      </c>
      <c r="D444" t="s">
        <v>4445</v>
      </c>
      <c r="E444" t="str">
        <f>"00052290"</f>
        <v>00052290</v>
      </c>
      <c r="F444">
        <v>0</v>
      </c>
      <c r="G444" s="243">
        <v>37186</v>
      </c>
      <c r="H444" t="s">
        <v>182</v>
      </c>
      <c r="I444">
        <v>7</v>
      </c>
      <c r="J444">
        <v>8</v>
      </c>
      <c r="K444">
        <v>1</v>
      </c>
      <c r="L444">
        <v>42621</v>
      </c>
      <c r="M444" t="str">
        <f t="shared" si="61"/>
        <v>13</v>
      </c>
      <c r="N444" t="s">
        <v>3323</v>
      </c>
      <c r="O444" t="str">
        <f t="shared" si="64"/>
        <v>52311</v>
      </c>
      <c r="P444" t="str">
        <f>"1502L"</f>
        <v>1502L</v>
      </c>
      <c r="Q444" t="str">
        <f t="shared" si="62"/>
        <v>0101</v>
      </c>
      <c r="R444">
        <v>1502</v>
      </c>
      <c r="S444" t="str">
        <f t="shared" si="65"/>
        <v>5230</v>
      </c>
      <c r="T444" t="s">
        <v>3399</v>
      </c>
      <c r="U444" t="s">
        <v>22</v>
      </c>
    </row>
    <row r="445" spans="1:21" ht="15" customHeight="1" x14ac:dyDescent="0.3">
      <c r="A445" t="s">
        <v>179</v>
      </c>
      <c r="B445" t="str">
        <f>"00058432"</f>
        <v>00058432</v>
      </c>
      <c r="C445" t="s">
        <v>4326</v>
      </c>
      <c r="D445" t="s">
        <v>4446</v>
      </c>
      <c r="E445" t="str">
        <f>"00053760"</f>
        <v>00053760</v>
      </c>
      <c r="F445">
        <v>0</v>
      </c>
      <c r="G445" s="243">
        <v>39995</v>
      </c>
      <c r="H445" t="s">
        <v>182</v>
      </c>
      <c r="I445">
        <v>4</v>
      </c>
      <c r="J445">
        <v>7</v>
      </c>
      <c r="K445">
        <v>0.875</v>
      </c>
      <c r="L445">
        <v>26633.25</v>
      </c>
      <c r="M445" t="str">
        <f t="shared" si="61"/>
        <v>13</v>
      </c>
      <c r="N445" t="s">
        <v>3323</v>
      </c>
      <c r="O445" t="str">
        <f t="shared" si="64"/>
        <v>52311</v>
      </c>
      <c r="P445" t="str">
        <f>"2100L"</f>
        <v>2100L</v>
      </c>
      <c r="Q445" t="str">
        <f t="shared" si="62"/>
        <v>0101</v>
      </c>
      <c r="R445">
        <v>2100</v>
      </c>
      <c r="S445" t="str">
        <f t="shared" si="65"/>
        <v>5230</v>
      </c>
      <c r="T445" t="s">
        <v>3399</v>
      </c>
      <c r="U445" t="s">
        <v>22</v>
      </c>
    </row>
    <row r="446" spans="1:21" ht="15" customHeight="1" x14ac:dyDescent="0.3">
      <c r="A446" t="s">
        <v>179</v>
      </c>
      <c r="B446" t="str">
        <f>"00058583"</f>
        <v>00058583</v>
      </c>
      <c r="C446" t="s">
        <v>4254</v>
      </c>
      <c r="D446" t="s">
        <v>586</v>
      </c>
      <c r="E446" t="str">
        <f>"00033892"</f>
        <v>00033892</v>
      </c>
      <c r="F446">
        <v>1</v>
      </c>
      <c r="G446" s="243">
        <v>37780</v>
      </c>
      <c r="H446" t="s">
        <v>182</v>
      </c>
      <c r="I446">
        <v>15</v>
      </c>
      <c r="J446">
        <v>11</v>
      </c>
      <c r="K446">
        <v>1</v>
      </c>
      <c r="L446">
        <v>70891</v>
      </c>
      <c r="M446" t="str">
        <f t="shared" si="61"/>
        <v>13</v>
      </c>
      <c r="N446" t="s">
        <v>3323</v>
      </c>
      <c r="O446" t="str">
        <f t="shared" si="64"/>
        <v>52311</v>
      </c>
      <c r="P446" t="str">
        <f>"2100L"</f>
        <v>2100L</v>
      </c>
      <c r="Q446" t="str">
        <f t="shared" si="62"/>
        <v>0101</v>
      </c>
      <c r="R446">
        <v>2100</v>
      </c>
      <c r="S446" t="str">
        <f t="shared" si="65"/>
        <v>5230</v>
      </c>
      <c r="T446" t="s">
        <v>3399</v>
      </c>
      <c r="U446" t="s">
        <v>22</v>
      </c>
    </row>
    <row r="447" spans="1:21" ht="15" customHeight="1" x14ac:dyDescent="0.3">
      <c r="A447" t="s">
        <v>179</v>
      </c>
      <c r="B447" t="str">
        <f>"00058915"</f>
        <v>00058915</v>
      </c>
      <c r="C447" t="s">
        <v>4256</v>
      </c>
      <c r="D447" t="s">
        <v>2568</v>
      </c>
      <c r="E447" t="str">
        <f>"00046072"</f>
        <v>00046072</v>
      </c>
      <c r="F447">
        <v>0</v>
      </c>
      <c r="G447" s="243">
        <v>33907</v>
      </c>
      <c r="H447" t="s">
        <v>182</v>
      </c>
      <c r="I447">
        <v>15</v>
      </c>
      <c r="J447">
        <v>16</v>
      </c>
      <c r="K447">
        <v>1</v>
      </c>
      <c r="L447">
        <v>106540</v>
      </c>
      <c r="M447" t="str">
        <f t="shared" si="61"/>
        <v>13</v>
      </c>
      <c r="N447" t="s">
        <v>3323</v>
      </c>
      <c r="O447" t="str">
        <f t="shared" si="64"/>
        <v>52311</v>
      </c>
      <c r="P447" t="str">
        <f>"2100L"</f>
        <v>2100L</v>
      </c>
      <c r="Q447" t="str">
        <f t="shared" si="62"/>
        <v>0101</v>
      </c>
      <c r="R447">
        <v>2100</v>
      </c>
      <c r="S447" t="str">
        <f t="shared" si="65"/>
        <v>5230</v>
      </c>
      <c r="T447" t="s">
        <v>3399</v>
      </c>
      <c r="U447" t="s">
        <v>22</v>
      </c>
    </row>
    <row r="448" spans="1:21" ht="15" customHeight="1" x14ac:dyDescent="0.3">
      <c r="A448" t="s">
        <v>179</v>
      </c>
      <c r="B448" t="str">
        <f>"00059145"</f>
        <v>00059145</v>
      </c>
      <c r="C448" t="s">
        <v>4266</v>
      </c>
      <c r="D448" t="s">
        <v>587</v>
      </c>
      <c r="E448" t="str">
        <f>"00046357"</f>
        <v>00046357</v>
      </c>
      <c r="F448">
        <v>0</v>
      </c>
      <c r="G448" s="243">
        <v>37658</v>
      </c>
      <c r="H448" t="s">
        <v>182</v>
      </c>
      <c r="I448">
        <v>15</v>
      </c>
      <c r="J448">
        <v>14</v>
      </c>
      <c r="K448">
        <v>1</v>
      </c>
      <c r="L448">
        <v>102160</v>
      </c>
      <c r="M448" t="str">
        <f t="shared" si="61"/>
        <v>13</v>
      </c>
      <c r="N448" t="s">
        <v>3323</v>
      </c>
      <c r="O448" t="str">
        <f t="shared" si="64"/>
        <v>52311</v>
      </c>
      <c r="P448" t="str">
        <f>"2200L"</f>
        <v>2200L</v>
      </c>
      <c r="Q448" t="str">
        <f t="shared" si="62"/>
        <v>0101</v>
      </c>
      <c r="R448">
        <v>2200</v>
      </c>
      <c r="S448" t="str">
        <f t="shared" si="65"/>
        <v>5230</v>
      </c>
      <c r="T448" t="s">
        <v>3399</v>
      </c>
      <c r="U448" t="s">
        <v>22</v>
      </c>
    </row>
    <row r="449" spans="1:21" ht="15" customHeight="1" x14ac:dyDescent="0.3">
      <c r="A449" t="s">
        <v>179</v>
      </c>
      <c r="B449" t="str">
        <f>"00059360"</f>
        <v>00059360</v>
      </c>
      <c r="C449" t="s">
        <v>4272</v>
      </c>
      <c r="D449" t="s">
        <v>588</v>
      </c>
      <c r="E449" t="str">
        <f>"00045384"</f>
        <v>00045384</v>
      </c>
      <c r="F449">
        <v>0</v>
      </c>
      <c r="G449" s="243">
        <v>37866</v>
      </c>
      <c r="H449" t="s">
        <v>182</v>
      </c>
      <c r="I449">
        <v>15</v>
      </c>
      <c r="J449">
        <v>12</v>
      </c>
      <c r="K449">
        <v>1</v>
      </c>
      <c r="L449">
        <v>87431</v>
      </c>
      <c r="M449" t="str">
        <f t="shared" si="61"/>
        <v>13</v>
      </c>
      <c r="N449" t="s">
        <v>3323</v>
      </c>
      <c r="O449" t="str">
        <f t="shared" si="64"/>
        <v>52311</v>
      </c>
      <c r="P449" t="str">
        <f>"2200L"</f>
        <v>2200L</v>
      </c>
      <c r="Q449" t="str">
        <f t="shared" si="62"/>
        <v>0101</v>
      </c>
      <c r="R449">
        <v>2200</v>
      </c>
      <c r="S449" t="str">
        <f t="shared" si="65"/>
        <v>5230</v>
      </c>
      <c r="T449" t="s">
        <v>3399</v>
      </c>
      <c r="U449" t="s">
        <v>22</v>
      </c>
    </row>
    <row r="450" spans="1:21" ht="15" customHeight="1" x14ac:dyDescent="0.3">
      <c r="A450" t="s">
        <v>179</v>
      </c>
      <c r="B450" t="str">
        <f>"00059592"</f>
        <v>00059592</v>
      </c>
      <c r="C450" t="s">
        <v>4262</v>
      </c>
      <c r="D450" t="s">
        <v>589</v>
      </c>
      <c r="E450" t="str">
        <f>"00049915"</f>
        <v>00049915</v>
      </c>
      <c r="F450">
        <v>0</v>
      </c>
      <c r="G450" s="243">
        <v>38226</v>
      </c>
      <c r="H450" t="s">
        <v>182</v>
      </c>
      <c r="I450">
        <v>15</v>
      </c>
      <c r="J450">
        <v>14</v>
      </c>
      <c r="K450">
        <v>1</v>
      </c>
      <c r="L450">
        <v>102160</v>
      </c>
      <c r="M450" t="str">
        <f t="shared" si="61"/>
        <v>13</v>
      </c>
      <c r="N450" t="s">
        <v>3323</v>
      </c>
      <c r="O450" t="str">
        <f t="shared" si="64"/>
        <v>52311</v>
      </c>
      <c r="P450" t="str">
        <f t="shared" ref="P450:P455" si="66">"2100L"</f>
        <v>2100L</v>
      </c>
      <c r="Q450" t="str">
        <f t="shared" si="62"/>
        <v>0101</v>
      </c>
      <c r="R450">
        <v>2100</v>
      </c>
      <c r="S450" t="str">
        <f t="shared" si="65"/>
        <v>5230</v>
      </c>
      <c r="T450" t="s">
        <v>3399</v>
      </c>
      <c r="U450" t="s">
        <v>22</v>
      </c>
    </row>
    <row r="451" spans="1:21" ht="15" customHeight="1" x14ac:dyDescent="0.3">
      <c r="A451" t="s">
        <v>179</v>
      </c>
      <c r="B451" t="str">
        <f>"00059628"</f>
        <v>00059628</v>
      </c>
      <c r="C451" t="s">
        <v>4262</v>
      </c>
      <c r="D451" t="s">
        <v>3408</v>
      </c>
      <c r="E451" t="str">
        <f>"00065828"</f>
        <v>00065828</v>
      </c>
      <c r="F451">
        <v>0</v>
      </c>
      <c r="G451" s="243">
        <v>40755</v>
      </c>
      <c r="H451" t="s">
        <v>182</v>
      </c>
      <c r="I451">
        <v>15</v>
      </c>
      <c r="J451">
        <v>1</v>
      </c>
      <c r="K451">
        <v>1</v>
      </c>
      <c r="L451">
        <v>53256</v>
      </c>
      <c r="M451" t="str">
        <f t="shared" si="61"/>
        <v>13</v>
      </c>
      <c r="N451" t="s">
        <v>3323</v>
      </c>
      <c r="O451" t="str">
        <f t="shared" si="64"/>
        <v>52311</v>
      </c>
      <c r="P451" t="str">
        <f t="shared" si="66"/>
        <v>2100L</v>
      </c>
      <c r="Q451" t="str">
        <f t="shared" si="62"/>
        <v>0101</v>
      </c>
      <c r="R451">
        <v>2100</v>
      </c>
      <c r="S451" t="str">
        <f t="shared" si="65"/>
        <v>5230</v>
      </c>
      <c r="T451" t="s">
        <v>3399</v>
      </c>
      <c r="U451" t="s">
        <v>22</v>
      </c>
    </row>
    <row r="452" spans="1:21" ht="15" customHeight="1" x14ac:dyDescent="0.3">
      <c r="A452" t="s">
        <v>179</v>
      </c>
      <c r="B452" t="str">
        <f>"00059878"</f>
        <v>00059878</v>
      </c>
      <c r="C452" t="s">
        <v>4262</v>
      </c>
      <c r="D452" t="s">
        <v>3411</v>
      </c>
      <c r="E452" t="str">
        <f>"00065880"</f>
        <v>00065880</v>
      </c>
      <c r="F452">
        <v>0</v>
      </c>
      <c r="G452" s="243">
        <v>40755</v>
      </c>
      <c r="H452" t="s">
        <v>182</v>
      </c>
      <c r="I452">
        <v>15</v>
      </c>
      <c r="J452">
        <v>2</v>
      </c>
      <c r="K452">
        <v>1</v>
      </c>
      <c r="L452">
        <v>51716</v>
      </c>
      <c r="M452" t="str">
        <f t="shared" si="61"/>
        <v>13</v>
      </c>
      <c r="N452" t="s">
        <v>3323</v>
      </c>
      <c r="O452" t="str">
        <f t="shared" si="64"/>
        <v>52311</v>
      </c>
      <c r="P452" t="str">
        <f t="shared" si="66"/>
        <v>2100L</v>
      </c>
      <c r="Q452" t="str">
        <f t="shared" si="62"/>
        <v>0101</v>
      </c>
      <c r="R452">
        <v>2100</v>
      </c>
      <c r="S452" t="str">
        <f t="shared" si="65"/>
        <v>5230</v>
      </c>
      <c r="T452" t="s">
        <v>3399</v>
      </c>
      <c r="U452" t="s">
        <v>22</v>
      </c>
    </row>
    <row r="453" spans="1:21" ht="15" customHeight="1" x14ac:dyDescent="0.3">
      <c r="A453" t="s">
        <v>179</v>
      </c>
      <c r="B453" t="str">
        <f>"00059889"</f>
        <v>00059889</v>
      </c>
      <c r="C453" t="s">
        <v>4266</v>
      </c>
      <c r="D453" t="s">
        <v>590</v>
      </c>
      <c r="E453" t="str">
        <f>"00062748"</f>
        <v>00062748</v>
      </c>
      <c r="F453">
        <v>0</v>
      </c>
      <c r="G453" s="243">
        <v>40406</v>
      </c>
      <c r="H453" t="s">
        <v>182</v>
      </c>
      <c r="I453">
        <v>15</v>
      </c>
      <c r="J453">
        <v>3</v>
      </c>
      <c r="K453">
        <v>1</v>
      </c>
      <c r="L453">
        <v>52777</v>
      </c>
      <c r="M453" t="str">
        <f t="shared" si="61"/>
        <v>13</v>
      </c>
      <c r="N453" t="s">
        <v>3323</v>
      </c>
      <c r="O453" t="str">
        <f t="shared" si="64"/>
        <v>52311</v>
      </c>
      <c r="P453" t="str">
        <f t="shared" si="66"/>
        <v>2100L</v>
      </c>
      <c r="Q453" t="str">
        <f t="shared" si="62"/>
        <v>0101</v>
      </c>
      <c r="R453">
        <v>2100</v>
      </c>
      <c r="S453" t="str">
        <f t="shared" si="65"/>
        <v>5230</v>
      </c>
      <c r="T453" t="s">
        <v>3399</v>
      </c>
      <c r="U453" t="s">
        <v>22</v>
      </c>
    </row>
    <row r="454" spans="1:21" ht="15" customHeight="1" x14ac:dyDescent="0.3">
      <c r="A454" t="s">
        <v>179</v>
      </c>
      <c r="B454" t="str">
        <f>"00060359"</f>
        <v>00060359</v>
      </c>
      <c r="C454" t="s">
        <v>4262</v>
      </c>
      <c r="D454" t="s">
        <v>591</v>
      </c>
      <c r="E454" t="str">
        <f>"00049102"</f>
        <v>00049102</v>
      </c>
      <c r="F454">
        <v>0</v>
      </c>
      <c r="G454" s="243">
        <v>38587</v>
      </c>
      <c r="H454" t="s">
        <v>182</v>
      </c>
      <c r="I454">
        <v>15</v>
      </c>
      <c r="J454">
        <v>7</v>
      </c>
      <c r="K454">
        <v>1</v>
      </c>
      <c r="L454">
        <v>61068</v>
      </c>
      <c r="M454" t="str">
        <f t="shared" si="61"/>
        <v>13</v>
      </c>
      <c r="N454" t="s">
        <v>3323</v>
      </c>
      <c r="O454" t="str">
        <f t="shared" si="64"/>
        <v>52311</v>
      </c>
      <c r="P454" t="str">
        <f t="shared" si="66"/>
        <v>2100L</v>
      </c>
      <c r="Q454" t="str">
        <f t="shared" si="62"/>
        <v>0101</v>
      </c>
      <c r="R454">
        <v>2100</v>
      </c>
      <c r="S454" t="str">
        <f t="shared" si="65"/>
        <v>5230</v>
      </c>
      <c r="T454" t="s">
        <v>3399</v>
      </c>
      <c r="U454" t="s">
        <v>22</v>
      </c>
    </row>
    <row r="455" spans="1:21" ht="15" customHeight="1" x14ac:dyDescent="0.3">
      <c r="A455" t="s">
        <v>179</v>
      </c>
      <c r="B455" t="str">
        <f>"00060648"</f>
        <v>00060648</v>
      </c>
      <c r="C455" t="s">
        <v>4262</v>
      </c>
      <c r="D455" t="s">
        <v>592</v>
      </c>
      <c r="E455" t="str">
        <f>"00053737"</f>
        <v>00053737</v>
      </c>
      <c r="F455">
        <v>0</v>
      </c>
      <c r="G455" s="243">
        <v>39034</v>
      </c>
      <c r="H455" t="s">
        <v>182</v>
      </c>
      <c r="I455">
        <v>15</v>
      </c>
      <c r="J455">
        <v>15</v>
      </c>
      <c r="K455">
        <v>1</v>
      </c>
      <c r="L455">
        <v>98285</v>
      </c>
      <c r="M455" t="str">
        <f t="shared" si="61"/>
        <v>13</v>
      </c>
      <c r="N455" t="s">
        <v>3323</v>
      </c>
      <c r="O455" t="str">
        <f t="shared" ref="O455:O486" si="67">"52311"</f>
        <v>52311</v>
      </c>
      <c r="P455" t="str">
        <f t="shared" si="66"/>
        <v>2100L</v>
      </c>
      <c r="Q455" t="str">
        <f t="shared" si="62"/>
        <v>0101</v>
      </c>
      <c r="R455">
        <v>2100</v>
      </c>
      <c r="S455" t="str">
        <f t="shared" ref="S455:S486" si="68">"5230"</f>
        <v>5230</v>
      </c>
      <c r="T455" t="s">
        <v>3399</v>
      </c>
      <c r="U455" t="s">
        <v>22</v>
      </c>
    </row>
    <row r="456" spans="1:21" ht="15" customHeight="1" x14ac:dyDescent="0.3">
      <c r="A456" t="s">
        <v>179</v>
      </c>
      <c r="B456" t="str">
        <f>"00060974"</f>
        <v>00060974</v>
      </c>
      <c r="C456" t="s">
        <v>4266</v>
      </c>
      <c r="D456" t="s">
        <v>3410</v>
      </c>
      <c r="E456" t="str">
        <f>"00066716"</f>
        <v>00066716</v>
      </c>
      <c r="F456">
        <v>0</v>
      </c>
      <c r="G456" s="243">
        <v>40756</v>
      </c>
      <c r="H456" t="s">
        <v>182</v>
      </c>
      <c r="I456">
        <v>15</v>
      </c>
      <c r="J456">
        <v>8</v>
      </c>
      <c r="K456">
        <v>1</v>
      </c>
      <c r="L456">
        <v>72171</v>
      </c>
      <c r="M456" t="str">
        <f t="shared" si="61"/>
        <v>13</v>
      </c>
      <c r="N456" t="s">
        <v>3323</v>
      </c>
      <c r="O456" t="str">
        <f t="shared" si="67"/>
        <v>52311</v>
      </c>
      <c r="P456" t="str">
        <f>"2200L"</f>
        <v>2200L</v>
      </c>
      <c r="Q456" t="str">
        <f t="shared" si="62"/>
        <v>0101</v>
      </c>
      <c r="R456">
        <v>2200</v>
      </c>
      <c r="S456" t="str">
        <f t="shared" si="68"/>
        <v>5230</v>
      </c>
      <c r="T456" t="s">
        <v>3399</v>
      </c>
      <c r="U456" t="s">
        <v>22</v>
      </c>
    </row>
    <row r="457" spans="1:21" ht="15" customHeight="1" x14ac:dyDescent="0.3">
      <c r="A457" t="s">
        <v>179</v>
      </c>
      <c r="B457" t="str">
        <f>"00060975"</f>
        <v>00060975</v>
      </c>
      <c r="C457" t="s">
        <v>4262</v>
      </c>
      <c r="D457" t="s">
        <v>593</v>
      </c>
      <c r="E457" t="str">
        <f>"00049257"</f>
        <v>00049257</v>
      </c>
      <c r="F457">
        <v>0</v>
      </c>
      <c r="G457" s="243">
        <v>39314</v>
      </c>
      <c r="H457" t="s">
        <v>182</v>
      </c>
      <c r="I457">
        <v>15</v>
      </c>
      <c r="J457">
        <v>11</v>
      </c>
      <c r="K457">
        <v>1</v>
      </c>
      <c r="L457">
        <v>81335</v>
      </c>
      <c r="M457" t="str">
        <f t="shared" si="61"/>
        <v>13</v>
      </c>
      <c r="N457" t="s">
        <v>3323</v>
      </c>
      <c r="O457" t="str">
        <f t="shared" si="67"/>
        <v>52311</v>
      </c>
      <c r="P457" t="str">
        <f>"2100L"</f>
        <v>2100L</v>
      </c>
      <c r="Q457" t="str">
        <f t="shared" si="62"/>
        <v>0101</v>
      </c>
      <c r="R457">
        <v>2100</v>
      </c>
      <c r="S457" t="str">
        <f t="shared" si="68"/>
        <v>5230</v>
      </c>
      <c r="T457" t="s">
        <v>3399</v>
      </c>
      <c r="U457" t="s">
        <v>22</v>
      </c>
    </row>
    <row r="458" spans="1:21" ht="15" customHeight="1" x14ac:dyDescent="0.3">
      <c r="A458" t="s">
        <v>179</v>
      </c>
      <c r="B458" t="str">
        <f>"00061182"</f>
        <v>00061182</v>
      </c>
      <c r="C458" t="s">
        <v>4266</v>
      </c>
      <c r="D458" t="s">
        <v>3400</v>
      </c>
      <c r="E458" t="str">
        <f>"00066333"</f>
        <v>00066333</v>
      </c>
      <c r="F458">
        <v>0</v>
      </c>
      <c r="G458" s="243">
        <v>40755</v>
      </c>
      <c r="H458" t="s">
        <v>182</v>
      </c>
      <c r="I458">
        <v>15</v>
      </c>
      <c r="J458">
        <v>2</v>
      </c>
      <c r="K458">
        <v>1</v>
      </c>
      <c r="L458">
        <v>56242</v>
      </c>
      <c r="M458" t="str">
        <f t="shared" si="61"/>
        <v>13</v>
      </c>
      <c r="N458" t="s">
        <v>3323</v>
      </c>
      <c r="O458" t="str">
        <f t="shared" si="67"/>
        <v>52311</v>
      </c>
      <c r="P458" t="str">
        <f>"2100L"</f>
        <v>2100L</v>
      </c>
      <c r="Q458" t="str">
        <f t="shared" si="62"/>
        <v>0101</v>
      </c>
      <c r="R458">
        <v>2100</v>
      </c>
      <c r="S458" t="str">
        <f t="shared" si="68"/>
        <v>5230</v>
      </c>
      <c r="T458" t="s">
        <v>3399</v>
      </c>
      <c r="U458" t="s">
        <v>22</v>
      </c>
    </row>
    <row r="459" spans="1:21" ht="15" customHeight="1" x14ac:dyDescent="0.3">
      <c r="A459" t="s">
        <v>179</v>
      </c>
      <c r="B459" t="str">
        <f>"00061922"</f>
        <v>00061922</v>
      </c>
      <c r="C459" t="s">
        <v>4266</v>
      </c>
      <c r="D459" t="s">
        <v>3402</v>
      </c>
      <c r="E459" t="str">
        <f>"00065598"</f>
        <v>00065598</v>
      </c>
      <c r="F459">
        <v>0</v>
      </c>
      <c r="G459" s="243">
        <v>40755</v>
      </c>
      <c r="H459" t="s">
        <v>182</v>
      </c>
      <c r="I459">
        <v>15</v>
      </c>
      <c r="J459">
        <v>11</v>
      </c>
      <c r="K459">
        <v>1</v>
      </c>
      <c r="L459">
        <v>81335</v>
      </c>
      <c r="M459" t="str">
        <f t="shared" si="61"/>
        <v>13</v>
      </c>
      <c r="N459" t="s">
        <v>3323</v>
      </c>
      <c r="O459" t="str">
        <f t="shared" si="67"/>
        <v>52311</v>
      </c>
      <c r="P459" t="str">
        <f>"2100L"</f>
        <v>2100L</v>
      </c>
      <c r="Q459" t="str">
        <f t="shared" si="62"/>
        <v>0101</v>
      </c>
      <c r="R459">
        <v>2100</v>
      </c>
      <c r="S459" t="str">
        <f t="shared" si="68"/>
        <v>5230</v>
      </c>
      <c r="T459" t="s">
        <v>3399</v>
      </c>
      <c r="U459" t="s">
        <v>22</v>
      </c>
    </row>
    <row r="460" spans="1:21" ht="15" customHeight="1" x14ac:dyDescent="0.3">
      <c r="A460" t="s">
        <v>179</v>
      </c>
      <c r="B460" t="str">
        <f>"00061956"</f>
        <v>00061956</v>
      </c>
      <c r="C460" t="s">
        <v>3670</v>
      </c>
      <c r="D460" t="s">
        <v>594</v>
      </c>
      <c r="E460" t="str">
        <f>"00058146"</f>
        <v>00058146</v>
      </c>
      <c r="F460">
        <v>0</v>
      </c>
      <c r="G460" s="243">
        <v>40042</v>
      </c>
      <c r="H460" t="s">
        <v>182</v>
      </c>
      <c r="I460">
        <v>8</v>
      </c>
      <c r="J460">
        <v>2</v>
      </c>
      <c r="K460">
        <v>1</v>
      </c>
      <c r="L460">
        <v>84746</v>
      </c>
      <c r="M460" t="str">
        <f t="shared" si="61"/>
        <v>13</v>
      </c>
      <c r="N460" t="s">
        <v>3323</v>
      </c>
      <c r="O460" t="str">
        <f t="shared" si="67"/>
        <v>52311</v>
      </c>
      <c r="P460" t="str">
        <f>"1501L"</f>
        <v>1501L</v>
      </c>
      <c r="Q460" t="str">
        <f t="shared" si="62"/>
        <v>0101</v>
      </c>
      <c r="R460">
        <v>1501</v>
      </c>
      <c r="S460" t="str">
        <f t="shared" si="68"/>
        <v>5230</v>
      </c>
      <c r="T460" t="s">
        <v>3399</v>
      </c>
      <c r="U460" t="s">
        <v>22</v>
      </c>
    </row>
    <row r="461" spans="1:21" ht="15" customHeight="1" x14ac:dyDescent="0.3">
      <c r="A461" t="s">
        <v>179</v>
      </c>
      <c r="B461" t="str">
        <f>"00061998"</f>
        <v>00061998</v>
      </c>
      <c r="C461" t="s">
        <v>4262</v>
      </c>
      <c r="D461" t="s">
        <v>3403</v>
      </c>
      <c r="E461" t="str">
        <f>"00065870"</f>
        <v>00065870</v>
      </c>
      <c r="F461">
        <v>0</v>
      </c>
      <c r="G461" s="243">
        <v>40755</v>
      </c>
      <c r="H461" t="s">
        <v>182</v>
      </c>
      <c r="I461">
        <v>15</v>
      </c>
      <c r="J461">
        <v>2</v>
      </c>
      <c r="K461">
        <v>1</v>
      </c>
      <c r="L461">
        <v>51716</v>
      </c>
      <c r="M461" t="str">
        <f t="shared" si="61"/>
        <v>13</v>
      </c>
      <c r="N461" t="s">
        <v>3323</v>
      </c>
      <c r="O461" t="str">
        <f t="shared" si="67"/>
        <v>52311</v>
      </c>
      <c r="P461" t="str">
        <f>"2100L"</f>
        <v>2100L</v>
      </c>
      <c r="Q461" t="str">
        <f t="shared" si="62"/>
        <v>0101</v>
      </c>
      <c r="R461">
        <v>2100</v>
      </c>
      <c r="S461" t="str">
        <f t="shared" si="68"/>
        <v>5230</v>
      </c>
      <c r="T461" t="s">
        <v>3399</v>
      </c>
      <c r="U461" t="s">
        <v>22</v>
      </c>
    </row>
    <row r="462" spans="1:21" ht="15" customHeight="1" x14ac:dyDescent="0.3">
      <c r="A462" t="s">
        <v>179</v>
      </c>
      <c r="B462" t="str">
        <f>"00062002"</f>
        <v>00062002</v>
      </c>
      <c r="C462" t="s">
        <v>4257</v>
      </c>
      <c r="D462" t="s">
        <v>3404</v>
      </c>
      <c r="E462" t="str">
        <f>"00065613"</f>
        <v>00065613</v>
      </c>
      <c r="F462">
        <v>0</v>
      </c>
      <c r="G462" s="243">
        <v>40755</v>
      </c>
      <c r="H462" t="s">
        <v>182</v>
      </c>
      <c r="I462">
        <v>15</v>
      </c>
      <c r="J462">
        <v>5</v>
      </c>
      <c r="K462">
        <v>1</v>
      </c>
      <c r="L462">
        <v>56655</v>
      </c>
      <c r="M462" t="str">
        <f t="shared" si="61"/>
        <v>13</v>
      </c>
      <c r="N462" t="s">
        <v>3323</v>
      </c>
      <c r="O462" t="str">
        <f t="shared" si="67"/>
        <v>52311</v>
      </c>
      <c r="P462" t="str">
        <f>"2100L"</f>
        <v>2100L</v>
      </c>
      <c r="Q462" t="str">
        <f t="shared" si="62"/>
        <v>0101</v>
      </c>
      <c r="R462">
        <v>2100</v>
      </c>
      <c r="S462" t="str">
        <f t="shared" si="68"/>
        <v>5230</v>
      </c>
      <c r="T462" t="s">
        <v>3399</v>
      </c>
      <c r="U462" t="s">
        <v>22</v>
      </c>
    </row>
    <row r="463" spans="1:21" ht="15" customHeight="1" x14ac:dyDescent="0.3">
      <c r="A463" t="s">
        <v>179</v>
      </c>
      <c r="B463" t="str">
        <f>"00062015"</f>
        <v>00062015</v>
      </c>
      <c r="C463" t="s">
        <v>4272</v>
      </c>
      <c r="D463" t="s">
        <v>595</v>
      </c>
      <c r="E463" t="str">
        <f>"00056922"</f>
        <v>00056922</v>
      </c>
      <c r="F463">
        <v>0</v>
      </c>
      <c r="G463" s="243">
        <v>40042</v>
      </c>
      <c r="H463" t="s">
        <v>182</v>
      </c>
      <c r="I463">
        <v>15</v>
      </c>
      <c r="J463">
        <v>4</v>
      </c>
      <c r="K463">
        <v>1</v>
      </c>
      <c r="L463">
        <v>61158</v>
      </c>
      <c r="M463" t="str">
        <f t="shared" si="61"/>
        <v>13</v>
      </c>
      <c r="N463" t="s">
        <v>3323</v>
      </c>
      <c r="O463" t="str">
        <f t="shared" si="67"/>
        <v>52311</v>
      </c>
      <c r="P463" t="str">
        <f>"2200L"</f>
        <v>2200L</v>
      </c>
      <c r="Q463" t="str">
        <f t="shared" si="62"/>
        <v>0101</v>
      </c>
      <c r="R463">
        <v>2200</v>
      </c>
      <c r="S463" t="str">
        <f t="shared" si="68"/>
        <v>5230</v>
      </c>
      <c r="T463" t="s">
        <v>3399</v>
      </c>
      <c r="U463" t="s">
        <v>22</v>
      </c>
    </row>
    <row r="464" spans="1:21" ht="15" customHeight="1" x14ac:dyDescent="0.3">
      <c r="A464" t="s">
        <v>179</v>
      </c>
      <c r="B464" t="str">
        <f>"00062222"</f>
        <v>00062222</v>
      </c>
      <c r="C464" t="s">
        <v>4274</v>
      </c>
      <c r="D464" t="s">
        <v>4447</v>
      </c>
      <c r="E464" t="str">
        <f>"00050748"</f>
        <v>00050748</v>
      </c>
      <c r="F464">
        <v>0</v>
      </c>
      <c r="G464" s="243">
        <v>39679</v>
      </c>
      <c r="H464" t="s">
        <v>182</v>
      </c>
      <c r="I464">
        <v>4</v>
      </c>
      <c r="J464">
        <v>6</v>
      </c>
      <c r="K464">
        <v>1</v>
      </c>
      <c r="L464">
        <v>25935.88</v>
      </c>
      <c r="M464" t="str">
        <f t="shared" si="61"/>
        <v>13</v>
      </c>
      <c r="N464" t="s">
        <v>3323</v>
      </c>
      <c r="O464" t="str">
        <f t="shared" si="67"/>
        <v>52311</v>
      </c>
      <c r="P464" t="str">
        <f>"2200L"</f>
        <v>2200L</v>
      </c>
      <c r="Q464" t="str">
        <f t="shared" si="62"/>
        <v>0101</v>
      </c>
      <c r="R464">
        <v>2200</v>
      </c>
      <c r="S464" t="str">
        <f t="shared" si="68"/>
        <v>5230</v>
      </c>
      <c r="T464" t="s">
        <v>3399</v>
      </c>
      <c r="U464" t="s">
        <v>22</v>
      </c>
    </row>
    <row r="465" spans="1:21" ht="15" customHeight="1" x14ac:dyDescent="0.3">
      <c r="A465" t="s">
        <v>179</v>
      </c>
      <c r="B465" t="str">
        <f>"00062345"</f>
        <v>00062345</v>
      </c>
      <c r="C465" t="s">
        <v>4260</v>
      </c>
      <c r="D465" t="s">
        <v>596</v>
      </c>
      <c r="E465" t="str">
        <f>"00049443"</f>
        <v>00049443</v>
      </c>
      <c r="F465">
        <v>0</v>
      </c>
      <c r="G465" s="243">
        <v>39679</v>
      </c>
      <c r="H465" t="s">
        <v>182</v>
      </c>
      <c r="I465">
        <v>15</v>
      </c>
      <c r="J465">
        <v>10</v>
      </c>
      <c r="K465">
        <v>1</v>
      </c>
      <c r="L465">
        <v>78273</v>
      </c>
      <c r="M465" t="str">
        <f t="shared" si="61"/>
        <v>13</v>
      </c>
      <c r="N465" t="s">
        <v>3323</v>
      </c>
      <c r="O465" t="str">
        <f t="shared" si="67"/>
        <v>52311</v>
      </c>
      <c r="P465" t="str">
        <f>"3030L"</f>
        <v>3030L</v>
      </c>
      <c r="Q465" t="str">
        <f t="shared" si="62"/>
        <v>0101</v>
      </c>
      <c r="R465">
        <v>3030</v>
      </c>
      <c r="S465" t="str">
        <f t="shared" si="68"/>
        <v>5230</v>
      </c>
      <c r="T465" t="s">
        <v>3399</v>
      </c>
      <c r="U465" t="s">
        <v>22</v>
      </c>
    </row>
    <row r="466" spans="1:21" ht="15" customHeight="1" x14ac:dyDescent="0.3">
      <c r="A466" t="s">
        <v>179</v>
      </c>
      <c r="B466" t="str">
        <f>"00062374"</f>
        <v>00062374</v>
      </c>
      <c r="C466" t="s">
        <v>4262</v>
      </c>
      <c r="D466" t="s">
        <v>3409</v>
      </c>
      <c r="E466" t="str">
        <f>"00065850"</f>
        <v>00065850</v>
      </c>
      <c r="F466">
        <v>0</v>
      </c>
      <c r="G466" s="243">
        <v>40755</v>
      </c>
      <c r="H466" t="s">
        <v>182</v>
      </c>
      <c r="I466">
        <v>15</v>
      </c>
      <c r="J466">
        <v>2</v>
      </c>
      <c r="K466">
        <v>1</v>
      </c>
      <c r="L466">
        <v>51716</v>
      </c>
      <c r="M466" t="str">
        <f t="shared" si="61"/>
        <v>13</v>
      </c>
      <c r="N466" t="s">
        <v>3323</v>
      </c>
      <c r="O466" t="str">
        <f t="shared" si="67"/>
        <v>52311</v>
      </c>
      <c r="P466" t="str">
        <f>"2100L"</f>
        <v>2100L</v>
      </c>
      <c r="Q466" t="str">
        <f t="shared" si="62"/>
        <v>0101</v>
      </c>
      <c r="R466">
        <v>2100</v>
      </c>
      <c r="S466" t="str">
        <f t="shared" si="68"/>
        <v>5230</v>
      </c>
      <c r="T466" t="s">
        <v>3399</v>
      </c>
      <c r="U466" t="s">
        <v>22</v>
      </c>
    </row>
    <row r="467" spans="1:21" ht="15" customHeight="1" x14ac:dyDescent="0.3">
      <c r="A467" t="s">
        <v>179</v>
      </c>
      <c r="B467" t="str">
        <f>"00062766"</f>
        <v>00062766</v>
      </c>
      <c r="C467" t="s">
        <v>4262</v>
      </c>
      <c r="D467" t="s">
        <v>597</v>
      </c>
      <c r="E467" t="str">
        <f>"00052237"</f>
        <v>00052237</v>
      </c>
      <c r="F467">
        <v>0</v>
      </c>
      <c r="G467" s="243">
        <v>37303</v>
      </c>
      <c r="H467" t="s">
        <v>182</v>
      </c>
      <c r="I467">
        <v>15</v>
      </c>
      <c r="J467">
        <v>10</v>
      </c>
      <c r="K467">
        <v>1</v>
      </c>
      <c r="L467">
        <v>68431</v>
      </c>
      <c r="M467" t="str">
        <f t="shared" si="61"/>
        <v>13</v>
      </c>
      <c r="N467" t="s">
        <v>3323</v>
      </c>
      <c r="O467" t="str">
        <f t="shared" si="67"/>
        <v>52311</v>
      </c>
      <c r="P467" t="str">
        <f>"2100L"</f>
        <v>2100L</v>
      </c>
      <c r="Q467" t="str">
        <f t="shared" si="62"/>
        <v>0101</v>
      </c>
      <c r="R467">
        <v>2100</v>
      </c>
      <c r="S467" t="str">
        <f t="shared" si="68"/>
        <v>5230</v>
      </c>
      <c r="T467" t="s">
        <v>3399</v>
      </c>
      <c r="U467" t="s">
        <v>22</v>
      </c>
    </row>
    <row r="468" spans="1:21" ht="15" customHeight="1" x14ac:dyDescent="0.3">
      <c r="A468" t="s">
        <v>179</v>
      </c>
      <c r="B468" t="str">
        <f>"00066305"</f>
        <v>00066305</v>
      </c>
      <c r="C468" t="s">
        <v>4262</v>
      </c>
      <c r="D468" t="s">
        <v>4448</v>
      </c>
      <c r="E468" t="str">
        <f>"00066508"</f>
        <v>00066508</v>
      </c>
      <c r="F468">
        <v>0</v>
      </c>
      <c r="G468" s="243">
        <v>40770</v>
      </c>
      <c r="H468" t="s">
        <v>182</v>
      </c>
      <c r="I468">
        <v>15</v>
      </c>
      <c r="J468">
        <v>1</v>
      </c>
      <c r="K468">
        <v>1</v>
      </c>
      <c r="L468">
        <v>51539</v>
      </c>
      <c r="M468" t="str">
        <f t="shared" si="61"/>
        <v>13</v>
      </c>
      <c r="N468" t="s">
        <v>3323</v>
      </c>
      <c r="O468" t="str">
        <f t="shared" si="67"/>
        <v>52311</v>
      </c>
      <c r="P468" t="str">
        <f>"2100L"</f>
        <v>2100L</v>
      </c>
      <c r="Q468" t="str">
        <f t="shared" si="62"/>
        <v>0101</v>
      </c>
      <c r="R468">
        <v>2100</v>
      </c>
      <c r="S468" t="str">
        <f t="shared" si="68"/>
        <v>5230</v>
      </c>
      <c r="T468" t="s">
        <v>3399</v>
      </c>
      <c r="U468" t="s">
        <v>22</v>
      </c>
    </row>
    <row r="469" spans="1:21" ht="15" customHeight="1" x14ac:dyDescent="0.3">
      <c r="A469" t="s">
        <v>179</v>
      </c>
      <c r="B469" t="str">
        <f>"00066540"</f>
        <v>00066540</v>
      </c>
      <c r="C469" t="s">
        <v>4262</v>
      </c>
      <c r="D469" t="s">
        <v>3405</v>
      </c>
      <c r="E469" t="str">
        <f>"00066637"</f>
        <v>00066637</v>
      </c>
      <c r="F469">
        <v>0</v>
      </c>
      <c r="G469" s="243">
        <v>40805</v>
      </c>
      <c r="H469" t="s">
        <v>182</v>
      </c>
      <c r="I469">
        <v>15</v>
      </c>
      <c r="J469">
        <v>11</v>
      </c>
      <c r="K469">
        <v>1</v>
      </c>
      <c r="L469">
        <v>81335</v>
      </c>
      <c r="M469" t="str">
        <f t="shared" si="61"/>
        <v>13</v>
      </c>
      <c r="N469" t="s">
        <v>3323</v>
      </c>
      <c r="O469" t="str">
        <f t="shared" si="67"/>
        <v>52311</v>
      </c>
      <c r="P469" t="str">
        <f>"2100L"</f>
        <v>2100L</v>
      </c>
      <c r="Q469" t="str">
        <f t="shared" si="62"/>
        <v>0101</v>
      </c>
      <c r="R469">
        <v>2100</v>
      </c>
      <c r="S469" t="str">
        <f t="shared" si="68"/>
        <v>5230</v>
      </c>
      <c r="T469" t="s">
        <v>3399</v>
      </c>
      <c r="U469" t="s">
        <v>22</v>
      </c>
    </row>
    <row r="470" spans="1:21" ht="15" customHeight="1" x14ac:dyDescent="0.3">
      <c r="A470" t="s">
        <v>179</v>
      </c>
      <c r="B470" t="str">
        <f>"00066541"</f>
        <v>00066541</v>
      </c>
      <c r="C470" t="s">
        <v>4266</v>
      </c>
      <c r="D470" t="s">
        <v>4449</v>
      </c>
      <c r="E470" t="str">
        <f>"00055020"</f>
        <v>00055020</v>
      </c>
      <c r="F470">
        <v>0</v>
      </c>
      <c r="G470" s="243">
        <v>40770</v>
      </c>
      <c r="H470" t="s">
        <v>182</v>
      </c>
      <c r="I470">
        <v>15</v>
      </c>
      <c r="J470">
        <v>6</v>
      </c>
      <c r="K470">
        <v>1</v>
      </c>
      <c r="L470">
        <v>58599</v>
      </c>
      <c r="M470" t="str">
        <f t="shared" si="61"/>
        <v>13</v>
      </c>
      <c r="N470" t="s">
        <v>3370</v>
      </c>
      <c r="O470" t="str">
        <f t="shared" si="67"/>
        <v>52311</v>
      </c>
      <c r="P470" t="str">
        <f>"2200L"</f>
        <v>2200L</v>
      </c>
      <c r="Q470" t="str">
        <f t="shared" si="62"/>
        <v>0101</v>
      </c>
      <c r="R470">
        <v>2200</v>
      </c>
      <c r="S470" t="str">
        <f t="shared" si="68"/>
        <v>5230</v>
      </c>
      <c r="T470" t="s">
        <v>3399</v>
      </c>
      <c r="U470" t="s">
        <v>22</v>
      </c>
    </row>
    <row r="471" spans="1:21" ht="15" customHeight="1" x14ac:dyDescent="0.3">
      <c r="A471" t="s">
        <v>179</v>
      </c>
      <c r="B471" t="str">
        <f>"00066542"</f>
        <v>00066542</v>
      </c>
      <c r="C471" t="s">
        <v>4266</v>
      </c>
      <c r="D471" t="s">
        <v>4450</v>
      </c>
      <c r="E471" t="str">
        <f>"00069606"</f>
        <v>00069606</v>
      </c>
      <c r="F471">
        <v>0</v>
      </c>
      <c r="G471" s="243">
        <v>41133</v>
      </c>
      <c r="H471" t="s">
        <v>182</v>
      </c>
      <c r="I471">
        <v>15</v>
      </c>
      <c r="J471">
        <v>1</v>
      </c>
      <c r="K471">
        <v>1</v>
      </c>
      <c r="L471">
        <v>51539</v>
      </c>
      <c r="M471" t="str">
        <f t="shared" si="61"/>
        <v>13</v>
      </c>
      <c r="N471" t="s">
        <v>3370</v>
      </c>
      <c r="O471" t="str">
        <f t="shared" si="67"/>
        <v>52311</v>
      </c>
      <c r="P471" t="str">
        <f>"2100L"</f>
        <v>2100L</v>
      </c>
      <c r="Q471" t="str">
        <f t="shared" si="62"/>
        <v>0101</v>
      </c>
      <c r="R471">
        <v>2100</v>
      </c>
      <c r="S471" t="str">
        <f t="shared" si="68"/>
        <v>5230</v>
      </c>
      <c r="T471" t="s">
        <v>3399</v>
      </c>
      <c r="U471" t="s">
        <v>22</v>
      </c>
    </row>
    <row r="472" spans="1:21" ht="15" customHeight="1" x14ac:dyDescent="0.3">
      <c r="A472" t="s">
        <v>179</v>
      </c>
      <c r="B472" t="str">
        <f>"00066543"</f>
        <v>00066543</v>
      </c>
      <c r="C472" t="s">
        <v>4260</v>
      </c>
      <c r="D472" t="s">
        <v>1105</v>
      </c>
      <c r="E472" t="str">
        <f>"00057637"</f>
        <v>00057637</v>
      </c>
      <c r="F472">
        <v>0</v>
      </c>
      <c r="G472" s="243">
        <v>40042</v>
      </c>
      <c r="H472" t="s">
        <v>182</v>
      </c>
      <c r="I472">
        <v>15</v>
      </c>
      <c r="J472">
        <v>10</v>
      </c>
      <c r="K472">
        <v>1</v>
      </c>
      <c r="L472">
        <v>78273</v>
      </c>
      <c r="M472" t="str">
        <f t="shared" si="61"/>
        <v>13</v>
      </c>
      <c r="N472" t="s">
        <v>3370</v>
      </c>
      <c r="O472" t="str">
        <f t="shared" si="67"/>
        <v>52311</v>
      </c>
      <c r="P472" t="str">
        <f>"2100L"</f>
        <v>2100L</v>
      </c>
      <c r="Q472" t="str">
        <f t="shared" si="62"/>
        <v>0101</v>
      </c>
      <c r="R472">
        <v>2100</v>
      </c>
      <c r="S472" t="str">
        <f t="shared" si="68"/>
        <v>5230</v>
      </c>
      <c r="T472" t="s">
        <v>3399</v>
      </c>
      <c r="U472" t="s">
        <v>22</v>
      </c>
    </row>
    <row r="473" spans="1:21" ht="15" customHeight="1" x14ac:dyDescent="0.3">
      <c r="A473" t="s">
        <v>179</v>
      </c>
      <c r="B473" t="str">
        <f>"00066976"</f>
        <v>00066976</v>
      </c>
      <c r="C473" t="s">
        <v>4395</v>
      </c>
      <c r="D473" t="s">
        <v>598</v>
      </c>
      <c r="E473" t="str">
        <f>"00053556"</f>
        <v>00053556</v>
      </c>
      <c r="F473">
        <v>0</v>
      </c>
      <c r="G473" s="243">
        <v>39679</v>
      </c>
      <c r="H473" t="s">
        <v>182</v>
      </c>
      <c r="I473">
        <v>10</v>
      </c>
      <c r="J473">
        <v>7</v>
      </c>
      <c r="K473">
        <v>1</v>
      </c>
      <c r="L473">
        <v>77822</v>
      </c>
      <c r="M473" t="str">
        <f t="shared" si="61"/>
        <v>13</v>
      </c>
      <c r="N473" t="s">
        <v>3323</v>
      </c>
      <c r="O473" t="str">
        <f t="shared" si="67"/>
        <v>52311</v>
      </c>
      <c r="P473" t="str">
        <f>"1502L"</f>
        <v>1502L</v>
      </c>
      <c r="Q473" t="str">
        <f t="shared" si="62"/>
        <v>0101</v>
      </c>
      <c r="R473">
        <v>1502</v>
      </c>
      <c r="S473" t="str">
        <f t="shared" si="68"/>
        <v>5230</v>
      </c>
      <c r="T473" t="s">
        <v>3399</v>
      </c>
      <c r="U473" t="s">
        <v>22</v>
      </c>
    </row>
    <row r="474" spans="1:21" ht="15" customHeight="1" x14ac:dyDescent="0.3">
      <c r="A474" t="s">
        <v>179</v>
      </c>
      <c r="B474" t="str">
        <f>"00067485"</f>
        <v>00067485</v>
      </c>
      <c r="C474" t="s">
        <v>4272</v>
      </c>
      <c r="D474" t="s">
        <v>599</v>
      </c>
      <c r="E474" t="str">
        <f>"00057517"</f>
        <v>00057517</v>
      </c>
      <c r="F474">
        <v>0</v>
      </c>
      <c r="G474" s="243">
        <v>40042</v>
      </c>
      <c r="H474" t="s">
        <v>182</v>
      </c>
      <c r="I474">
        <v>15</v>
      </c>
      <c r="J474">
        <v>4</v>
      </c>
      <c r="K474">
        <v>1</v>
      </c>
      <c r="L474">
        <v>54725</v>
      </c>
      <c r="M474" t="str">
        <f t="shared" si="61"/>
        <v>13</v>
      </c>
      <c r="N474" t="s">
        <v>3323</v>
      </c>
      <c r="O474" t="str">
        <f t="shared" si="67"/>
        <v>52311</v>
      </c>
      <c r="P474" t="str">
        <f>"2100L"</f>
        <v>2100L</v>
      </c>
      <c r="Q474" t="str">
        <f t="shared" si="62"/>
        <v>0101</v>
      </c>
      <c r="R474">
        <v>2100</v>
      </c>
      <c r="S474" t="str">
        <f t="shared" si="68"/>
        <v>5230</v>
      </c>
      <c r="T474" t="s">
        <v>3399</v>
      </c>
      <c r="U474" t="s">
        <v>22</v>
      </c>
    </row>
    <row r="475" spans="1:21" ht="15" customHeight="1" x14ac:dyDescent="0.3">
      <c r="A475" t="s">
        <v>179</v>
      </c>
      <c r="B475" t="str">
        <f>"00067486"</f>
        <v>00067486</v>
      </c>
      <c r="C475" t="s">
        <v>4272</v>
      </c>
      <c r="D475" t="s">
        <v>600</v>
      </c>
      <c r="E475" t="str">
        <f>"00057272"</f>
        <v>00057272</v>
      </c>
      <c r="F475">
        <v>0</v>
      </c>
      <c r="G475" s="243">
        <v>40042</v>
      </c>
      <c r="H475" t="s">
        <v>182</v>
      </c>
      <c r="I475">
        <v>15</v>
      </c>
      <c r="J475">
        <v>4</v>
      </c>
      <c r="K475">
        <v>1</v>
      </c>
      <c r="L475">
        <v>61158</v>
      </c>
      <c r="M475" t="str">
        <f t="shared" si="61"/>
        <v>13</v>
      </c>
      <c r="N475" t="s">
        <v>3323</v>
      </c>
      <c r="O475" t="str">
        <f t="shared" si="67"/>
        <v>52311</v>
      </c>
      <c r="P475" t="str">
        <f>"2100L"</f>
        <v>2100L</v>
      </c>
      <c r="Q475" t="str">
        <f t="shared" si="62"/>
        <v>0101</v>
      </c>
      <c r="R475">
        <v>2100</v>
      </c>
      <c r="S475" t="str">
        <f t="shared" si="68"/>
        <v>5230</v>
      </c>
      <c r="T475" t="s">
        <v>3399</v>
      </c>
      <c r="U475" t="s">
        <v>22</v>
      </c>
    </row>
    <row r="476" spans="1:21" ht="15" customHeight="1" x14ac:dyDescent="0.3">
      <c r="A476" t="s">
        <v>179</v>
      </c>
      <c r="B476" t="str">
        <f>"00070796"</f>
        <v>00070796</v>
      </c>
      <c r="C476" t="s">
        <v>4292</v>
      </c>
      <c r="D476" t="s">
        <v>4451</v>
      </c>
      <c r="E476" t="str">
        <f>"00060048"</f>
        <v>00060048</v>
      </c>
      <c r="F476">
        <v>0</v>
      </c>
      <c r="G476" s="243">
        <v>40161</v>
      </c>
      <c r="H476" t="s">
        <v>182</v>
      </c>
      <c r="I476">
        <v>4</v>
      </c>
      <c r="J476">
        <v>6</v>
      </c>
      <c r="K476">
        <v>0.71</v>
      </c>
      <c r="L476">
        <v>22230.75</v>
      </c>
      <c r="M476" t="str">
        <f t="shared" ref="M476:M534" si="69">"13"</f>
        <v>13</v>
      </c>
      <c r="N476" t="s">
        <v>3323</v>
      </c>
      <c r="O476" t="str">
        <f t="shared" si="67"/>
        <v>52311</v>
      </c>
      <c r="P476" t="str">
        <f>"2100L"</f>
        <v>2100L</v>
      </c>
      <c r="Q476" t="str">
        <f t="shared" ref="Q476:Q534" si="70">"0101"</f>
        <v>0101</v>
      </c>
      <c r="R476">
        <v>2100</v>
      </c>
      <c r="S476" t="str">
        <f t="shared" si="68"/>
        <v>5230</v>
      </c>
      <c r="T476" t="s">
        <v>3399</v>
      </c>
      <c r="U476" t="s">
        <v>22</v>
      </c>
    </row>
    <row r="477" spans="1:21" ht="15" customHeight="1" x14ac:dyDescent="0.3">
      <c r="A477" t="s">
        <v>179</v>
      </c>
      <c r="B477" t="str">
        <f>"00070797"</f>
        <v>00070797</v>
      </c>
      <c r="C477" t="s">
        <v>4290</v>
      </c>
      <c r="D477" t="s">
        <v>4452</v>
      </c>
      <c r="E477" t="str">
        <f>"00060250"</f>
        <v>00060250</v>
      </c>
      <c r="F477">
        <v>0</v>
      </c>
      <c r="G477" s="243">
        <v>40198</v>
      </c>
      <c r="H477" t="s">
        <v>182</v>
      </c>
      <c r="I477">
        <v>4</v>
      </c>
      <c r="J477">
        <v>7</v>
      </c>
      <c r="K477">
        <v>0.71</v>
      </c>
      <c r="L477">
        <v>22828.5</v>
      </c>
      <c r="M477" t="str">
        <f t="shared" si="69"/>
        <v>13</v>
      </c>
      <c r="N477" t="s">
        <v>3323</v>
      </c>
      <c r="O477" t="str">
        <f t="shared" si="67"/>
        <v>52311</v>
      </c>
      <c r="P477" t="str">
        <f>"2100L"</f>
        <v>2100L</v>
      </c>
      <c r="Q477" t="str">
        <f t="shared" si="70"/>
        <v>0101</v>
      </c>
      <c r="R477">
        <v>2100</v>
      </c>
      <c r="S477" t="str">
        <f t="shared" si="68"/>
        <v>5230</v>
      </c>
      <c r="T477" t="s">
        <v>3399</v>
      </c>
      <c r="U477" t="s">
        <v>22</v>
      </c>
    </row>
    <row r="478" spans="1:21" ht="15" customHeight="1" x14ac:dyDescent="0.3">
      <c r="A478" t="s">
        <v>179</v>
      </c>
      <c r="B478" t="str">
        <f>"00070827"</f>
        <v>00070827</v>
      </c>
      <c r="C478" t="s">
        <v>4266</v>
      </c>
      <c r="D478" t="s">
        <v>601</v>
      </c>
      <c r="E478" t="str">
        <f>"00060293"</f>
        <v>00060293</v>
      </c>
      <c r="F478">
        <v>0</v>
      </c>
      <c r="G478" s="243">
        <v>40203</v>
      </c>
      <c r="H478" t="s">
        <v>182</v>
      </c>
      <c r="I478">
        <v>15</v>
      </c>
      <c r="J478">
        <v>12</v>
      </c>
      <c r="K478">
        <v>1</v>
      </c>
      <c r="L478">
        <v>89887</v>
      </c>
      <c r="M478" t="str">
        <f t="shared" si="69"/>
        <v>13</v>
      </c>
      <c r="N478" t="s">
        <v>3323</v>
      </c>
      <c r="O478" t="str">
        <f t="shared" si="67"/>
        <v>52311</v>
      </c>
      <c r="P478" t="str">
        <f>"3030L"</f>
        <v>3030L</v>
      </c>
      <c r="Q478" t="str">
        <f t="shared" si="70"/>
        <v>0101</v>
      </c>
      <c r="R478">
        <v>3030</v>
      </c>
      <c r="S478" t="str">
        <f t="shared" si="68"/>
        <v>5230</v>
      </c>
      <c r="T478" t="s">
        <v>3399</v>
      </c>
      <c r="U478" t="s">
        <v>22</v>
      </c>
    </row>
    <row r="479" spans="1:21" ht="15" customHeight="1" x14ac:dyDescent="0.3">
      <c r="A479" t="s">
        <v>179</v>
      </c>
      <c r="B479" t="str">
        <f>"00072116"</f>
        <v>00072116</v>
      </c>
      <c r="C479" t="s">
        <v>4288</v>
      </c>
      <c r="D479" t="s">
        <v>4453</v>
      </c>
      <c r="E479" t="str">
        <f>"00045375"</f>
        <v>00045375</v>
      </c>
      <c r="F479">
        <v>0</v>
      </c>
      <c r="G479" s="243">
        <v>40754</v>
      </c>
      <c r="H479" t="s">
        <v>182</v>
      </c>
      <c r="I479">
        <v>4</v>
      </c>
      <c r="J479">
        <v>10</v>
      </c>
      <c r="K479">
        <v>1</v>
      </c>
      <c r="L479">
        <v>28721</v>
      </c>
      <c r="M479" t="str">
        <f t="shared" si="69"/>
        <v>13</v>
      </c>
      <c r="N479" t="s">
        <v>3323</v>
      </c>
      <c r="O479" t="str">
        <f t="shared" si="67"/>
        <v>52311</v>
      </c>
      <c r="P479" t="str">
        <f>"2200L"</f>
        <v>2200L</v>
      </c>
      <c r="Q479" t="str">
        <f t="shared" si="70"/>
        <v>0101</v>
      </c>
      <c r="R479">
        <v>2200</v>
      </c>
      <c r="S479" t="str">
        <f t="shared" si="68"/>
        <v>5230</v>
      </c>
      <c r="T479" t="s">
        <v>3399</v>
      </c>
      <c r="U479" t="s">
        <v>22</v>
      </c>
    </row>
    <row r="480" spans="1:21" ht="15" customHeight="1" x14ac:dyDescent="0.3">
      <c r="A480" t="s">
        <v>179</v>
      </c>
      <c r="B480" t="str">
        <f>"00072296"</f>
        <v>00072296</v>
      </c>
      <c r="C480" t="s">
        <v>4263</v>
      </c>
      <c r="D480" t="s">
        <v>377</v>
      </c>
      <c r="E480" t="str">
        <f>"00049393"</f>
        <v>00049393</v>
      </c>
      <c r="F480">
        <v>0</v>
      </c>
      <c r="G480" s="243">
        <v>39679</v>
      </c>
      <c r="H480" t="s">
        <v>182</v>
      </c>
      <c r="I480">
        <v>15</v>
      </c>
      <c r="J480">
        <v>4</v>
      </c>
      <c r="K480">
        <v>1</v>
      </c>
      <c r="L480">
        <v>61158</v>
      </c>
      <c r="M480" t="str">
        <f t="shared" si="69"/>
        <v>13</v>
      </c>
      <c r="N480" t="s">
        <v>3323</v>
      </c>
      <c r="O480" t="str">
        <f t="shared" si="67"/>
        <v>52311</v>
      </c>
      <c r="P480" t="str">
        <f>"2100L"</f>
        <v>2100L</v>
      </c>
      <c r="Q480" t="str">
        <f t="shared" si="70"/>
        <v>0101</v>
      </c>
      <c r="R480">
        <v>2100</v>
      </c>
      <c r="S480" t="str">
        <f t="shared" si="68"/>
        <v>5230</v>
      </c>
      <c r="T480" t="s">
        <v>3399</v>
      </c>
      <c r="U480" t="s">
        <v>22</v>
      </c>
    </row>
    <row r="481" spans="1:21" ht="15" customHeight="1" x14ac:dyDescent="0.3">
      <c r="A481" t="s">
        <v>179</v>
      </c>
      <c r="B481" t="str">
        <f>"00072535"</f>
        <v>00072535</v>
      </c>
      <c r="C481" t="s">
        <v>4381</v>
      </c>
      <c r="D481" t="s">
        <v>602</v>
      </c>
      <c r="E481" t="str">
        <f>"00052277"</f>
        <v>00052277</v>
      </c>
      <c r="F481">
        <v>0</v>
      </c>
      <c r="G481" s="243">
        <v>38113</v>
      </c>
      <c r="H481" t="s">
        <v>182</v>
      </c>
      <c r="I481">
        <v>9</v>
      </c>
      <c r="J481">
        <v>9</v>
      </c>
      <c r="K481">
        <v>1</v>
      </c>
      <c r="L481">
        <v>41667</v>
      </c>
      <c r="M481" t="str">
        <f t="shared" si="69"/>
        <v>13</v>
      </c>
      <c r="N481" t="s">
        <v>3323</v>
      </c>
      <c r="O481" t="str">
        <f t="shared" si="67"/>
        <v>52311</v>
      </c>
      <c r="P481" t="str">
        <f>"2100L"</f>
        <v>2100L</v>
      </c>
      <c r="Q481" t="str">
        <f t="shared" si="70"/>
        <v>0101</v>
      </c>
      <c r="R481">
        <v>2100</v>
      </c>
      <c r="S481" t="str">
        <f t="shared" si="68"/>
        <v>5230</v>
      </c>
      <c r="T481" t="s">
        <v>3399</v>
      </c>
      <c r="U481" t="s">
        <v>22</v>
      </c>
    </row>
    <row r="482" spans="1:21" ht="15" customHeight="1" x14ac:dyDescent="0.3">
      <c r="A482" t="s">
        <v>179</v>
      </c>
      <c r="B482" t="str">
        <f>"00072920"</f>
        <v>00072920</v>
      </c>
      <c r="C482" t="s">
        <v>4262</v>
      </c>
      <c r="D482" t="s">
        <v>603</v>
      </c>
      <c r="E482" t="str">
        <f>"00057866"</f>
        <v>00057866</v>
      </c>
      <c r="F482">
        <v>0</v>
      </c>
      <c r="G482" s="243">
        <v>40052</v>
      </c>
      <c r="H482" t="s">
        <v>182</v>
      </c>
      <c r="I482">
        <v>15</v>
      </c>
      <c r="J482">
        <v>3</v>
      </c>
      <c r="K482">
        <v>1</v>
      </c>
      <c r="L482">
        <v>52777</v>
      </c>
      <c r="M482" t="str">
        <f t="shared" si="69"/>
        <v>13</v>
      </c>
      <c r="N482" t="s">
        <v>3323</v>
      </c>
      <c r="O482" t="str">
        <f t="shared" si="67"/>
        <v>52311</v>
      </c>
      <c r="P482" t="str">
        <f>"2100L"</f>
        <v>2100L</v>
      </c>
      <c r="Q482" t="str">
        <f t="shared" si="70"/>
        <v>0101</v>
      </c>
      <c r="R482">
        <v>2100</v>
      </c>
      <c r="S482" t="str">
        <f t="shared" si="68"/>
        <v>5230</v>
      </c>
      <c r="T482" t="s">
        <v>3399</v>
      </c>
      <c r="U482" t="s">
        <v>22</v>
      </c>
    </row>
    <row r="483" spans="1:21" ht="15" customHeight="1" x14ac:dyDescent="0.3">
      <c r="A483" t="s">
        <v>179</v>
      </c>
      <c r="B483" t="str">
        <f>"00072921"</f>
        <v>00072921</v>
      </c>
      <c r="C483" t="s">
        <v>4262</v>
      </c>
      <c r="D483" t="s">
        <v>4454</v>
      </c>
      <c r="E483" t="str">
        <f>"00069549"</f>
        <v>00069549</v>
      </c>
      <c r="F483">
        <v>0</v>
      </c>
      <c r="G483" s="243">
        <v>41133</v>
      </c>
      <c r="H483" t="s">
        <v>182</v>
      </c>
      <c r="I483">
        <v>15</v>
      </c>
      <c r="J483">
        <v>6</v>
      </c>
      <c r="K483">
        <v>1</v>
      </c>
      <c r="L483">
        <v>68537</v>
      </c>
      <c r="M483" t="str">
        <f t="shared" si="69"/>
        <v>13</v>
      </c>
      <c r="N483" t="s">
        <v>3370</v>
      </c>
      <c r="O483" t="str">
        <f t="shared" si="67"/>
        <v>52311</v>
      </c>
      <c r="P483" t="str">
        <f>"2100L"</f>
        <v>2100L</v>
      </c>
      <c r="Q483" t="str">
        <f t="shared" si="70"/>
        <v>0101</v>
      </c>
      <c r="R483">
        <v>2100</v>
      </c>
      <c r="S483" t="str">
        <f t="shared" si="68"/>
        <v>5230</v>
      </c>
      <c r="T483" t="s">
        <v>3399</v>
      </c>
      <c r="U483" t="s">
        <v>22</v>
      </c>
    </row>
    <row r="484" spans="1:21" ht="15" customHeight="1" x14ac:dyDescent="0.3">
      <c r="A484" t="s">
        <v>179</v>
      </c>
      <c r="B484" t="str">
        <f>"00072922"</f>
        <v>00072922</v>
      </c>
      <c r="C484" t="s">
        <v>4272</v>
      </c>
      <c r="D484" t="s">
        <v>604</v>
      </c>
      <c r="E484" t="str">
        <f>"00062530"</f>
        <v>00062530</v>
      </c>
      <c r="F484">
        <v>0</v>
      </c>
      <c r="G484" s="243">
        <v>40406</v>
      </c>
      <c r="H484" t="s">
        <v>182</v>
      </c>
      <c r="I484">
        <v>15</v>
      </c>
      <c r="J484">
        <v>2</v>
      </c>
      <c r="K484">
        <v>1</v>
      </c>
      <c r="L484">
        <v>51716</v>
      </c>
      <c r="M484" t="str">
        <f t="shared" si="69"/>
        <v>13</v>
      </c>
      <c r="N484" t="s">
        <v>3323</v>
      </c>
      <c r="O484" t="str">
        <f t="shared" si="67"/>
        <v>52311</v>
      </c>
      <c r="P484" t="str">
        <f>"2100L"</f>
        <v>2100L</v>
      </c>
      <c r="Q484" t="str">
        <f t="shared" si="70"/>
        <v>0101</v>
      </c>
      <c r="R484">
        <v>2100</v>
      </c>
      <c r="S484" t="str">
        <f t="shared" si="68"/>
        <v>5230</v>
      </c>
      <c r="T484" t="s">
        <v>3399</v>
      </c>
      <c r="U484" t="s">
        <v>22</v>
      </c>
    </row>
    <row r="485" spans="1:21" ht="15" customHeight="1" x14ac:dyDescent="0.3">
      <c r="A485" t="s">
        <v>179</v>
      </c>
      <c r="B485" t="str">
        <f>"00073032"</f>
        <v>00073032</v>
      </c>
      <c r="C485" t="s">
        <v>4260</v>
      </c>
      <c r="D485" t="s">
        <v>3406</v>
      </c>
      <c r="E485" t="str">
        <f>"00060246"</f>
        <v>00060246</v>
      </c>
      <c r="F485">
        <v>0</v>
      </c>
      <c r="G485" s="243">
        <v>40546</v>
      </c>
      <c r="H485" t="s">
        <v>182</v>
      </c>
      <c r="I485">
        <v>15</v>
      </c>
      <c r="J485">
        <v>2</v>
      </c>
      <c r="K485">
        <v>1</v>
      </c>
      <c r="L485">
        <v>51716</v>
      </c>
      <c r="M485" t="str">
        <f t="shared" si="69"/>
        <v>13</v>
      </c>
      <c r="N485" t="s">
        <v>3323</v>
      </c>
      <c r="O485" t="str">
        <f t="shared" si="67"/>
        <v>52311</v>
      </c>
      <c r="P485" t="str">
        <f>"3030L"</f>
        <v>3030L</v>
      </c>
      <c r="Q485" t="str">
        <f t="shared" si="70"/>
        <v>0101</v>
      </c>
      <c r="R485">
        <v>3030</v>
      </c>
      <c r="S485" t="str">
        <f t="shared" si="68"/>
        <v>5230</v>
      </c>
      <c r="T485" t="s">
        <v>3399</v>
      </c>
      <c r="U485" t="s">
        <v>22</v>
      </c>
    </row>
    <row r="486" spans="1:21" ht="15" customHeight="1" x14ac:dyDescent="0.3">
      <c r="A486" t="s">
        <v>179</v>
      </c>
      <c r="B486" t="str">
        <f>"00073820"</f>
        <v>00073820</v>
      </c>
      <c r="C486" t="s">
        <v>4290</v>
      </c>
      <c r="D486" t="s">
        <v>4455</v>
      </c>
      <c r="E486" t="str">
        <f>"00053790"</f>
        <v>00053790</v>
      </c>
      <c r="F486">
        <v>0</v>
      </c>
      <c r="G486" s="243">
        <v>39161</v>
      </c>
      <c r="H486" t="s">
        <v>182</v>
      </c>
      <c r="I486">
        <v>4</v>
      </c>
      <c r="J486">
        <v>7</v>
      </c>
      <c r="K486">
        <v>0.71</v>
      </c>
      <c r="L486">
        <v>26633.25</v>
      </c>
      <c r="M486" t="str">
        <f t="shared" si="69"/>
        <v>13</v>
      </c>
      <c r="N486" t="s">
        <v>3323</v>
      </c>
      <c r="O486" t="str">
        <f t="shared" si="67"/>
        <v>52311</v>
      </c>
      <c r="P486" t="str">
        <f>"3030L"</f>
        <v>3030L</v>
      </c>
      <c r="Q486" t="str">
        <f t="shared" si="70"/>
        <v>0101</v>
      </c>
      <c r="R486">
        <v>3030</v>
      </c>
      <c r="S486" t="str">
        <f t="shared" si="68"/>
        <v>5230</v>
      </c>
      <c r="T486" t="s">
        <v>3399</v>
      </c>
      <c r="U486" t="s">
        <v>22</v>
      </c>
    </row>
    <row r="487" spans="1:21" ht="15" customHeight="1" x14ac:dyDescent="0.3">
      <c r="A487" t="s">
        <v>179</v>
      </c>
      <c r="B487" t="str">
        <f>"00074170"</f>
        <v>00074170</v>
      </c>
      <c r="C487" t="s">
        <v>4272</v>
      </c>
      <c r="D487" t="s">
        <v>3407</v>
      </c>
      <c r="E487" t="str">
        <f>"00065834"</f>
        <v>00065834</v>
      </c>
      <c r="F487">
        <v>0</v>
      </c>
      <c r="G487" s="243">
        <v>40755</v>
      </c>
      <c r="H487" t="s">
        <v>182</v>
      </c>
      <c r="I487">
        <v>15</v>
      </c>
      <c r="J487">
        <v>2</v>
      </c>
      <c r="K487">
        <v>1</v>
      </c>
      <c r="L487">
        <v>51716</v>
      </c>
      <c r="M487" t="str">
        <f t="shared" si="69"/>
        <v>13</v>
      </c>
      <c r="N487" t="s">
        <v>3323</v>
      </c>
      <c r="O487" t="str">
        <f t="shared" ref="O487:O495" si="71">"52311"</f>
        <v>52311</v>
      </c>
      <c r="P487" t="str">
        <f>"2100L"</f>
        <v>2100L</v>
      </c>
      <c r="Q487" t="str">
        <f t="shared" si="70"/>
        <v>0101</v>
      </c>
      <c r="R487">
        <v>2100</v>
      </c>
      <c r="S487" t="str">
        <f t="shared" ref="S487:S495" si="72">"5230"</f>
        <v>5230</v>
      </c>
      <c r="T487" t="s">
        <v>3399</v>
      </c>
      <c r="U487" t="s">
        <v>22</v>
      </c>
    </row>
    <row r="488" spans="1:21" ht="15" customHeight="1" x14ac:dyDescent="0.3">
      <c r="A488" t="s">
        <v>179</v>
      </c>
      <c r="B488" t="str">
        <f>"00074249"</f>
        <v>00074249</v>
      </c>
      <c r="C488" t="s">
        <v>4258</v>
      </c>
      <c r="D488" t="s">
        <v>735</v>
      </c>
      <c r="E488" t="str">
        <f>"00050050"</f>
        <v>00050050</v>
      </c>
      <c r="F488">
        <v>0</v>
      </c>
      <c r="G488" s="243">
        <v>37496</v>
      </c>
      <c r="H488" t="s">
        <v>182</v>
      </c>
      <c r="I488">
        <v>15</v>
      </c>
      <c r="J488">
        <v>13</v>
      </c>
      <c r="K488">
        <v>1</v>
      </c>
      <c r="L488">
        <v>86613</v>
      </c>
      <c r="M488" t="str">
        <f t="shared" si="69"/>
        <v>13</v>
      </c>
      <c r="N488" t="s">
        <v>3323</v>
      </c>
      <c r="O488" t="str">
        <f t="shared" si="71"/>
        <v>52311</v>
      </c>
      <c r="P488" t="str">
        <f>"2100L"</f>
        <v>2100L</v>
      </c>
      <c r="Q488" t="str">
        <f t="shared" si="70"/>
        <v>0101</v>
      </c>
      <c r="R488">
        <v>2100</v>
      </c>
      <c r="S488" t="str">
        <f t="shared" si="72"/>
        <v>5230</v>
      </c>
      <c r="T488" t="s">
        <v>3399</v>
      </c>
      <c r="U488" t="s">
        <v>22</v>
      </c>
    </row>
    <row r="489" spans="1:21" ht="15" customHeight="1" x14ac:dyDescent="0.3">
      <c r="A489" t="s">
        <v>179</v>
      </c>
      <c r="B489" t="str">
        <f>"00074260"</f>
        <v>00074260</v>
      </c>
      <c r="C489" t="s">
        <v>4266</v>
      </c>
      <c r="D489" t="s">
        <v>2109</v>
      </c>
      <c r="E489" t="str">
        <f>"00046196"</f>
        <v>00046196</v>
      </c>
      <c r="F489">
        <v>0</v>
      </c>
      <c r="G489" s="243">
        <v>37861</v>
      </c>
      <c r="H489" t="s">
        <v>182</v>
      </c>
      <c r="I489">
        <v>15</v>
      </c>
      <c r="J489">
        <v>13</v>
      </c>
      <c r="K489">
        <v>1</v>
      </c>
      <c r="L489">
        <v>86613</v>
      </c>
      <c r="M489" t="str">
        <f t="shared" si="69"/>
        <v>13</v>
      </c>
      <c r="N489" t="s">
        <v>3323</v>
      </c>
      <c r="O489" t="str">
        <f t="shared" si="71"/>
        <v>52311</v>
      </c>
      <c r="P489" t="str">
        <f>"2100L"</f>
        <v>2100L</v>
      </c>
      <c r="Q489" t="str">
        <f t="shared" si="70"/>
        <v>0101</v>
      </c>
      <c r="R489">
        <v>2100</v>
      </c>
      <c r="S489" t="str">
        <f t="shared" si="72"/>
        <v>5230</v>
      </c>
      <c r="T489" t="s">
        <v>3399</v>
      </c>
      <c r="U489" t="s">
        <v>22</v>
      </c>
    </row>
    <row r="490" spans="1:21" ht="15" customHeight="1" x14ac:dyDescent="0.3">
      <c r="A490" t="s">
        <v>179</v>
      </c>
      <c r="B490" t="str">
        <f>"00075957"</f>
        <v>00075957</v>
      </c>
      <c r="C490" t="s">
        <v>4262</v>
      </c>
      <c r="D490" t="s">
        <v>4456</v>
      </c>
      <c r="E490" t="str">
        <f>"00069581"</f>
        <v>00069581</v>
      </c>
      <c r="F490">
        <v>0</v>
      </c>
      <c r="G490" s="243">
        <v>41133</v>
      </c>
      <c r="H490" t="s">
        <v>182</v>
      </c>
      <c r="I490">
        <v>15</v>
      </c>
      <c r="J490">
        <v>1</v>
      </c>
      <c r="K490">
        <v>1</v>
      </c>
      <c r="L490">
        <v>51539</v>
      </c>
      <c r="M490" t="str">
        <f t="shared" si="69"/>
        <v>13</v>
      </c>
      <c r="N490" t="s">
        <v>3370</v>
      </c>
      <c r="O490" t="str">
        <f t="shared" si="71"/>
        <v>52311</v>
      </c>
      <c r="P490" t="str">
        <f>"2100L"</f>
        <v>2100L</v>
      </c>
      <c r="Q490" t="str">
        <f t="shared" si="70"/>
        <v>0101</v>
      </c>
      <c r="R490">
        <v>2100</v>
      </c>
      <c r="S490" t="str">
        <f t="shared" si="72"/>
        <v>5230</v>
      </c>
      <c r="T490" t="s">
        <v>3399</v>
      </c>
      <c r="U490" t="s">
        <v>22</v>
      </c>
    </row>
    <row r="491" spans="1:21" ht="15" customHeight="1" x14ac:dyDescent="0.3">
      <c r="A491" t="s">
        <v>179</v>
      </c>
      <c r="B491" t="str">
        <f>"00075958"</f>
        <v>00075958</v>
      </c>
      <c r="C491" t="s">
        <v>4271</v>
      </c>
      <c r="D491" t="s">
        <v>4457</v>
      </c>
      <c r="E491" t="str">
        <f>"00012042"</f>
        <v>00012042</v>
      </c>
      <c r="F491">
        <v>1</v>
      </c>
      <c r="G491" s="243">
        <v>34630</v>
      </c>
      <c r="H491" t="s">
        <v>182</v>
      </c>
      <c r="I491">
        <v>15</v>
      </c>
      <c r="J491">
        <v>16</v>
      </c>
      <c r="K491">
        <v>1</v>
      </c>
      <c r="L491">
        <v>106540</v>
      </c>
      <c r="M491" t="str">
        <f t="shared" si="69"/>
        <v>13</v>
      </c>
      <c r="N491" t="s">
        <v>3323</v>
      </c>
      <c r="O491" t="str">
        <f t="shared" si="71"/>
        <v>52311</v>
      </c>
      <c r="P491" t="str">
        <f>"2100L"</f>
        <v>2100L</v>
      </c>
      <c r="Q491" t="str">
        <f t="shared" si="70"/>
        <v>0101</v>
      </c>
      <c r="R491">
        <v>2100</v>
      </c>
      <c r="S491" t="str">
        <f t="shared" si="72"/>
        <v>5230</v>
      </c>
      <c r="T491" t="s">
        <v>3399</v>
      </c>
      <c r="U491" t="s">
        <v>22</v>
      </c>
    </row>
    <row r="492" spans="1:21" ht="15" customHeight="1" x14ac:dyDescent="0.3">
      <c r="A492" t="s">
        <v>179</v>
      </c>
      <c r="B492" t="str">
        <f>"00076490"</f>
        <v>00076490</v>
      </c>
      <c r="C492" t="s">
        <v>4262</v>
      </c>
      <c r="H492" t="s">
        <v>170</v>
      </c>
      <c r="I492">
        <v>15</v>
      </c>
      <c r="J492">
        <v>0</v>
      </c>
      <c r="K492">
        <v>1</v>
      </c>
      <c r="L492">
        <v>51539</v>
      </c>
      <c r="M492" t="str">
        <f t="shared" si="69"/>
        <v>13</v>
      </c>
      <c r="N492" t="s">
        <v>3370</v>
      </c>
      <c r="O492" t="str">
        <f t="shared" si="71"/>
        <v>52311</v>
      </c>
      <c r="P492" t="str">
        <f>"2300L"</f>
        <v>2300L</v>
      </c>
      <c r="Q492" t="str">
        <f t="shared" si="70"/>
        <v>0101</v>
      </c>
      <c r="R492">
        <v>2300</v>
      </c>
      <c r="S492" t="str">
        <f t="shared" si="72"/>
        <v>5230</v>
      </c>
      <c r="T492" t="s">
        <v>3399</v>
      </c>
      <c r="U492" t="s">
        <v>22</v>
      </c>
    </row>
    <row r="493" spans="1:21" ht="15" customHeight="1" x14ac:dyDescent="0.3">
      <c r="A493" t="s">
        <v>179</v>
      </c>
      <c r="B493" t="str">
        <f>"00076504"</f>
        <v>00076504</v>
      </c>
      <c r="C493" t="s">
        <v>4290</v>
      </c>
      <c r="D493" t="s">
        <v>4458</v>
      </c>
      <c r="E493" t="str">
        <f>"00064847"</f>
        <v>00064847</v>
      </c>
      <c r="F493">
        <v>0</v>
      </c>
      <c r="G493" s="243">
        <v>41133</v>
      </c>
      <c r="H493" t="s">
        <v>182</v>
      </c>
      <c r="I493">
        <v>4</v>
      </c>
      <c r="J493">
        <v>7</v>
      </c>
      <c r="K493">
        <v>0.71</v>
      </c>
      <c r="L493">
        <v>26633.25</v>
      </c>
      <c r="M493" t="str">
        <f t="shared" si="69"/>
        <v>13</v>
      </c>
      <c r="N493" t="s">
        <v>3370</v>
      </c>
      <c r="O493" t="str">
        <f t="shared" si="71"/>
        <v>52311</v>
      </c>
      <c r="P493" t="str">
        <f>"3030L"</f>
        <v>3030L</v>
      </c>
      <c r="Q493" t="str">
        <f t="shared" si="70"/>
        <v>0101</v>
      </c>
      <c r="R493">
        <v>3030</v>
      </c>
      <c r="S493" t="str">
        <f t="shared" si="72"/>
        <v>5230</v>
      </c>
      <c r="T493" t="s">
        <v>3399</v>
      </c>
      <c r="U493" t="s">
        <v>22</v>
      </c>
    </row>
    <row r="494" spans="1:21" x14ac:dyDescent="0.3">
      <c r="A494" t="s">
        <v>206</v>
      </c>
      <c r="B494" t="str">
        <f>"00077404"</f>
        <v>00077404</v>
      </c>
      <c r="C494" t="s">
        <v>4262</v>
      </c>
      <c r="H494" t="s">
        <v>170</v>
      </c>
      <c r="I494">
        <v>15</v>
      </c>
      <c r="J494">
        <v>0</v>
      </c>
      <c r="K494">
        <v>1</v>
      </c>
      <c r="L494">
        <v>51539</v>
      </c>
      <c r="M494" t="str">
        <f t="shared" si="69"/>
        <v>13</v>
      </c>
      <c r="N494" t="s">
        <v>3370</v>
      </c>
      <c r="O494" t="str">
        <f t="shared" si="71"/>
        <v>52311</v>
      </c>
      <c r="P494" t="str">
        <f t="shared" ref="P494:P501" si="73">"2100L"</f>
        <v>2100L</v>
      </c>
      <c r="Q494" t="str">
        <f t="shared" si="70"/>
        <v>0101</v>
      </c>
      <c r="R494">
        <v>2100</v>
      </c>
      <c r="S494" t="str">
        <f t="shared" si="72"/>
        <v>5230</v>
      </c>
      <c r="T494" t="s">
        <v>3399</v>
      </c>
      <c r="U494" t="s">
        <v>22</v>
      </c>
    </row>
    <row r="495" spans="1:21" x14ac:dyDescent="0.3">
      <c r="A495" t="s">
        <v>206</v>
      </c>
      <c r="B495" t="str">
        <f>"00077405"</f>
        <v>00077405</v>
      </c>
      <c r="C495" t="s">
        <v>4262</v>
      </c>
      <c r="H495" t="s">
        <v>170</v>
      </c>
      <c r="I495">
        <v>15</v>
      </c>
      <c r="J495">
        <v>0</v>
      </c>
      <c r="K495">
        <v>1</v>
      </c>
      <c r="L495">
        <v>54975</v>
      </c>
      <c r="M495" t="str">
        <f t="shared" si="69"/>
        <v>13</v>
      </c>
      <c r="N495" t="s">
        <v>3370</v>
      </c>
      <c r="O495" t="str">
        <f t="shared" si="71"/>
        <v>52311</v>
      </c>
      <c r="P495" t="str">
        <f t="shared" si="73"/>
        <v>2100L</v>
      </c>
      <c r="Q495" t="str">
        <f t="shared" si="70"/>
        <v>0101</v>
      </c>
      <c r="R495">
        <v>2100</v>
      </c>
      <c r="S495" t="str">
        <f t="shared" si="72"/>
        <v>5230</v>
      </c>
      <c r="T495" t="s">
        <v>3399</v>
      </c>
      <c r="U495" t="s">
        <v>22</v>
      </c>
    </row>
    <row r="496" spans="1:21" x14ac:dyDescent="0.3">
      <c r="A496" t="s">
        <v>179</v>
      </c>
      <c r="B496" t="str">
        <f>"00052061"</f>
        <v>00052061</v>
      </c>
      <c r="C496" t="s">
        <v>4262</v>
      </c>
      <c r="H496" t="s">
        <v>170</v>
      </c>
      <c r="I496">
        <v>15</v>
      </c>
      <c r="J496">
        <v>1</v>
      </c>
      <c r="K496">
        <v>1</v>
      </c>
      <c r="L496">
        <v>56693</v>
      </c>
      <c r="M496" t="str">
        <f t="shared" si="69"/>
        <v>13</v>
      </c>
      <c r="N496" t="s">
        <v>3370</v>
      </c>
      <c r="O496" t="str">
        <f t="shared" ref="O496:O524" si="74">"52511"</f>
        <v>52511</v>
      </c>
      <c r="P496" t="str">
        <f t="shared" si="73"/>
        <v>2100L</v>
      </c>
      <c r="Q496" t="str">
        <f t="shared" si="70"/>
        <v>0101</v>
      </c>
      <c r="R496">
        <v>2100</v>
      </c>
      <c r="S496" t="str">
        <f t="shared" ref="S496:S524" si="75">"5250"</f>
        <v>5250</v>
      </c>
      <c r="T496" t="s">
        <v>3412</v>
      </c>
      <c r="U496" t="s">
        <v>606</v>
      </c>
    </row>
    <row r="497" spans="1:21" x14ac:dyDescent="0.3">
      <c r="A497" t="s">
        <v>179</v>
      </c>
      <c r="B497" t="str">
        <f>"00052089"</f>
        <v>00052089</v>
      </c>
      <c r="C497" t="s">
        <v>4262</v>
      </c>
      <c r="D497" t="s">
        <v>607</v>
      </c>
      <c r="E497" t="str">
        <f>"00047243"</f>
        <v>00047243</v>
      </c>
      <c r="F497">
        <v>0</v>
      </c>
      <c r="G497" s="243">
        <v>32387</v>
      </c>
      <c r="H497" t="s">
        <v>182</v>
      </c>
      <c r="I497">
        <v>15</v>
      </c>
      <c r="J497">
        <v>16</v>
      </c>
      <c r="K497">
        <v>1</v>
      </c>
      <c r="L497">
        <v>100839</v>
      </c>
      <c r="M497" t="str">
        <f t="shared" si="69"/>
        <v>13</v>
      </c>
      <c r="N497" t="s">
        <v>3323</v>
      </c>
      <c r="O497" t="str">
        <f t="shared" si="74"/>
        <v>52511</v>
      </c>
      <c r="P497" t="str">
        <f t="shared" si="73"/>
        <v>2100L</v>
      </c>
      <c r="Q497" t="str">
        <f t="shared" si="70"/>
        <v>0101</v>
      </c>
      <c r="R497">
        <v>2100</v>
      </c>
      <c r="S497" t="str">
        <f t="shared" si="75"/>
        <v>5250</v>
      </c>
      <c r="T497" t="s">
        <v>3412</v>
      </c>
      <c r="U497" t="s">
        <v>606</v>
      </c>
    </row>
    <row r="498" spans="1:21" x14ac:dyDescent="0.3">
      <c r="A498" t="s">
        <v>179</v>
      </c>
      <c r="B498" t="str">
        <f>"00052196"</f>
        <v>00052196</v>
      </c>
      <c r="C498" t="s">
        <v>4290</v>
      </c>
      <c r="D498" t="s">
        <v>4459</v>
      </c>
      <c r="E498" t="str">
        <f>"00063557"</f>
        <v>00063557</v>
      </c>
      <c r="F498">
        <v>0</v>
      </c>
      <c r="G498" s="243">
        <v>40455</v>
      </c>
      <c r="H498" t="s">
        <v>182</v>
      </c>
      <c r="I498">
        <v>4</v>
      </c>
      <c r="J498">
        <v>4</v>
      </c>
      <c r="K498">
        <v>0.875</v>
      </c>
      <c r="L498">
        <v>24543.75</v>
      </c>
      <c r="M498" t="str">
        <f t="shared" si="69"/>
        <v>13</v>
      </c>
      <c r="N498" t="s">
        <v>3323</v>
      </c>
      <c r="O498" t="str">
        <f t="shared" si="74"/>
        <v>52511</v>
      </c>
      <c r="P498" t="str">
        <f t="shared" si="73"/>
        <v>2100L</v>
      </c>
      <c r="Q498" t="str">
        <f t="shared" si="70"/>
        <v>0101</v>
      </c>
      <c r="R498">
        <v>2100</v>
      </c>
      <c r="S498" t="str">
        <f t="shared" si="75"/>
        <v>5250</v>
      </c>
      <c r="T498" t="s">
        <v>3412</v>
      </c>
      <c r="U498" t="s">
        <v>606</v>
      </c>
    </row>
    <row r="499" spans="1:21" x14ac:dyDescent="0.3">
      <c r="A499" t="s">
        <v>179</v>
      </c>
      <c r="B499" t="str">
        <f>"00052266"</f>
        <v>00052266</v>
      </c>
      <c r="C499" t="s">
        <v>4262</v>
      </c>
      <c r="D499" t="s">
        <v>608</v>
      </c>
      <c r="E499" t="str">
        <f>"00047864"</f>
        <v>00047864</v>
      </c>
      <c r="F499">
        <v>0</v>
      </c>
      <c r="G499" s="243">
        <v>34220</v>
      </c>
      <c r="H499" t="s">
        <v>182</v>
      </c>
      <c r="I499">
        <v>15</v>
      </c>
      <c r="J499">
        <v>16</v>
      </c>
      <c r="K499">
        <v>1</v>
      </c>
      <c r="L499">
        <v>106540</v>
      </c>
      <c r="M499" t="str">
        <f t="shared" si="69"/>
        <v>13</v>
      </c>
      <c r="N499" t="s">
        <v>3323</v>
      </c>
      <c r="O499" t="str">
        <f t="shared" si="74"/>
        <v>52511</v>
      </c>
      <c r="P499" t="str">
        <f t="shared" si="73"/>
        <v>2100L</v>
      </c>
      <c r="Q499" t="str">
        <f t="shared" si="70"/>
        <v>0101</v>
      </c>
      <c r="R499">
        <v>2100</v>
      </c>
      <c r="S499" t="str">
        <f t="shared" si="75"/>
        <v>5250</v>
      </c>
      <c r="T499" t="s">
        <v>3412</v>
      </c>
      <c r="U499" t="s">
        <v>606</v>
      </c>
    </row>
    <row r="500" spans="1:21" x14ac:dyDescent="0.3">
      <c r="A500" t="s">
        <v>179</v>
      </c>
      <c r="B500" t="str">
        <f>"00052370"</f>
        <v>00052370</v>
      </c>
      <c r="C500" t="s">
        <v>4252</v>
      </c>
      <c r="D500" t="s">
        <v>609</v>
      </c>
      <c r="E500" t="str">
        <f>"00048118"</f>
        <v>00048118</v>
      </c>
      <c r="F500">
        <v>0</v>
      </c>
      <c r="G500" s="243">
        <v>32021</v>
      </c>
      <c r="H500" t="s">
        <v>182</v>
      </c>
      <c r="I500">
        <v>15</v>
      </c>
      <c r="J500">
        <v>16</v>
      </c>
      <c r="K500">
        <v>1</v>
      </c>
      <c r="L500">
        <v>100839</v>
      </c>
      <c r="M500" t="str">
        <f t="shared" si="69"/>
        <v>13</v>
      </c>
      <c r="N500" t="s">
        <v>3323</v>
      </c>
      <c r="O500" t="str">
        <f t="shared" si="74"/>
        <v>52511</v>
      </c>
      <c r="P500" t="str">
        <f t="shared" si="73"/>
        <v>2100L</v>
      </c>
      <c r="Q500" t="str">
        <f t="shared" si="70"/>
        <v>0101</v>
      </c>
      <c r="R500">
        <v>2100</v>
      </c>
      <c r="S500" t="str">
        <f t="shared" si="75"/>
        <v>5250</v>
      </c>
      <c r="T500" t="s">
        <v>3412</v>
      </c>
      <c r="U500" t="s">
        <v>606</v>
      </c>
    </row>
    <row r="501" spans="1:21" x14ac:dyDescent="0.3">
      <c r="A501" t="s">
        <v>179</v>
      </c>
      <c r="B501" t="str">
        <f>"00052441"</f>
        <v>00052441</v>
      </c>
      <c r="C501" t="s">
        <v>4259</v>
      </c>
      <c r="D501" t="s">
        <v>610</v>
      </c>
      <c r="E501" t="str">
        <f>"00048273"</f>
        <v>00048273</v>
      </c>
      <c r="F501">
        <v>0</v>
      </c>
      <c r="G501" s="243">
        <v>32050</v>
      </c>
      <c r="H501" t="s">
        <v>182</v>
      </c>
      <c r="I501">
        <v>15</v>
      </c>
      <c r="J501">
        <v>16</v>
      </c>
      <c r="K501">
        <v>1</v>
      </c>
      <c r="L501">
        <v>103347</v>
      </c>
      <c r="M501" t="str">
        <f t="shared" si="69"/>
        <v>13</v>
      </c>
      <c r="N501" t="s">
        <v>3323</v>
      </c>
      <c r="O501" t="str">
        <f t="shared" si="74"/>
        <v>52511</v>
      </c>
      <c r="P501" t="str">
        <f t="shared" si="73"/>
        <v>2100L</v>
      </c>
      <c r="Q501" t="str">
        <f t="shared" si="70"/>
        <v>0101</v>
      </c>
      <c r="R501">
        <v>2100</v>
      </c>
      <c r="S501" t="str">
        <f t="shared" si="75"/>
        <v>5250</v>
      </c>
      <c r="T501" t="s">
        <v>3412</v>
      </c>
      <c r="U501" t="s">
        <v>606</v>
      </c>
    </row>
    <row r="502" spans="1:21" x14ac:dyDescent="0.3">
      <c r="A502" t="s">
        <v>179</v>
      </c>
      <c r="B502" t="str">
        <f>"00052531"</f>
        <v>00052531</v>
      </c>
      <c r="C502" t="s">
        <v>3798</v>
      </c>
      <c r="D502" t="s">
        <v>611</v>
      </c>
      <c r="E502" t="str">
        <f>"00056654"</f>
        <v>00056654</v>
      </c>
      <c r="F502">
        <v>0</v>
      </c>
      <c r="G502" s="243">
        <v>40000</v>
      </c>
      <c r="H502" t="s">
        <v>182</v>
      </c>
      <c r="I502">
        <v>62</v>
      </c>
      <c r="J502">
        <v>3</v>
      </c>
      <c r="K502">
        <v>1</v>
      </c>
      <c r="L502">
        <v>113000</v>
      </c>
      <c r="M502" t="str">
        <f t="shared" si="69"/>
        <v>13</v>
      </c>
      <c r="N502" t="s">
        <v>3323</v>
      </c>
      <c r="O502" t="str">
        <f t="shared" si="74"/>
        <v>52511</v>
      </c>
      <c r="P502" t="str">
        <f>"1501L"</f>
        <v>1501L</v>
      </c>
      <c r="Q502" t="str">
        <f t="shared" si="70"/>
        <v>0101</v>
      </c>
      <c r="R502">
        <v>1501</v>
      </c>
      <c r="S502" t="str">
        <f t="shared" si="75"/>
        <v>5250</v>
      </c>
      <c r="T502" t="s">
        <v>3412</v>
      </c>
      <c r="U502" t="s">
        <v>606</v>
      </c>
    </row>
    <row r="503" spans="1:21" x14ac:dyDescent="0.3">
      <c r="A503" t="s">
        <v>179</v>
      </c>
      <c r="B503" t="str">
        <f>"00053282"</f>
        <v>00053282</v>
      </c>
      <c r="C503" t="s">
        <v>4262</v>
      </c>
      <c r="D503" t="s">
        <v>4460</v>
      </c>
      <c r="E503" t="str">
        <f>"00053712"</f>
        <v>00053712</v>
      </c>
      <c r="F503">
        <v>0</v>
      </c>
      <c r="G503" s="243">
        <v>36761</v>
      </c>
      <c r="H503" t="s">
        <v>182</v>
      </c>
      <c r="I503">
        <v>15</v>
      </c>
      <c r="J503">
        <v>14</v>
      </c>
      <c r="K503">
        <v>1</v>
      </c>
      <c r="L503">
        <v>96460</v>
      </c>
      <c r="M503" t="str">
        <f t="shared" si="69"/>
        <v>13</v>
      </c>
      <c r="N503" t="s">
        <v>3323</v>
      </c>
      <c r="O503" t="str">
        <f t="shared" si="74"/>
        <v>52511</v>
      </c>
      <c r="P503" t="str">
        <f>"2100L"</f>
        <v>2100L</v>
      </c>
      <c r="Q503" t="str">
        <f t="shared" si="70"/>
        <v>0101</v>
      </c>
      <c r="R503">
        <v>2100</v>
      </c>
      <c r="S503" t="str">
        <f t="shared" si="75"/>
        <v>5250</v>
      </c>
      <c r="T503" t="s">
        <v>3412</v>
      </c>
      <c r="U503" t="s">
        <v>606</v>
      </c>
    </row>
    <row r="504" spans="1:21" x14ac:dyDescent="0.3">
      <c r="A504" t="s">
        <v>179</v>
      </c>
      <c r="B504" t="str">
        <f>"00053442"</f>
        <v>00053442</v>
      </c>
      <c r="C504" t="s">
        <v>4262</v>
      </c>
      <c r="D504" t="s">
        <v>3417</v>
      </c>
      <c r="E504" t="str">
        <f>"00065667"</f>
        <v>00065667</v>
      </c>
      <c r="F504">
        <v>0</v>
      </c>
      <c r="G504" s="243">
        <v>40755</v>
      </c>
      <c r="H504" t="s">
        <v>182</v>
      </c>
      <c r="I504">
        <v>15</v>
      </c>
      <c r="J504">
        <v>2</v>
      </c>
      <c r="K504">
        <v>1</v>
      </c>
      <c r="L504">
        <v>51716</v>
      </c>
      <c r="M504" t="str">
        <f t="shared" si="69"/>
        <v>13</v>
      </c>
      <c r="N504" t="s">
        <v>3323</v>
      </c>
      <c r="O504" t="str">
        <f t="shared" si="74"/>
        <v>52511</v>
      </c>
      <c r="P504" t="str">
        <f>"2100L"</f>
        <v>2100L</v>
      </c>
      <c r="Q504" t="str">
        <f t="shared" si="70"/>
        <v>0101</v>
      </c>
      <c r="R504">
        <v>2100</v>
      </c>
      <c r="S504" t="str">
        <f t="shared" si="75"/>
        <v>5250</v>
      </c>
      <c r="T504" t="s">
        <v>3412</v>
      </c>
      <c r="U504" t="s">
        <v>606</v>
      </c>
    </row>
    <row r="505" spans="1:21" x14ac:dyDescent="0.3">
      <c r="A505" t="s">
        <v>179</v>
      </c>
      <c r="B505" t="str">
        <f>"00053483"</f>
        <v>00053483</v>
      </c>
      <c r="C505" t="s">
        <v>4253</v>
      </c>
      <c r="D505" t="s">
        <v>612</v>
      </c>
      <c r="E505" t="str">
        <f>"00051580"</f>
        <v>00051580</v>
      </c>
      <c r="F505">
        <v>0</v>
      </c>
      <c r="G505" s="243">
        <v>31026</v>
      </c>
      <c r="H505" t="s">
        <v>182</v>
      </c>
      <c r="I505">
        <v>15</v>
      </c>
      <c r="J505">
        <v>16</v>
      </c>
      <c r="K505">
        <v>1</v>
      </c>
      <c r="L505">
        <v>103347</v>
      </c>
      <c r="M505" t="str">
        <f t="shared" si="69"/>
        <v>13</v>
      </c>
      <c r="N505" t="s">
        <v>3323</v>
      </c>
      <c r="O505" t="str">
        <f t="shared" si="74"/>
        <v>52511</v>
      </c>
      <c r="P505" t="str">
        <f>"2100L"</f>
        <v>2100L</v>
      </c>
      <c r="Q505" t="str">
        <f t="shared" si="70"/>
        <v>0101</v>
      </c>
      <c r="R505">
        <v>2100</v>
      </c>
      <c r="S505" t="str">
        <f t="shared" si="75"/>
        <v>5250</v>
      </c>
      <c r="T505" t="s">
        <v>3412</v>
      </c>
      <c r="U505" t="s">
        <v>606</v>
      </c>
    </row>
    <row r="506" spans="1:21" x14ac:dyDescent="0.3">
      <c r="A506" t="s">
        <v>179</v>
      </c>
      <c r="B506" t="str">
        <f>"00053877"</f>
        <v>00053877</v>
      </c>
      <c r="C506" t="s">
        <v>4262</v>
      </c>
      <c r="D506" t="s">
        <v>613</v>
      </c>
      <c r="E506" t="str">
        <f>"00052683"</f>
        <v>00052683</v>
      </c>
      <c r="F506">
        <v>0</v>
      </c>
      <c r="G506" s="243">
        <v>27820</v>
      </c>
      <c r="H506" t="s">
        <v>182</v>
      </c>
      <c r="I506">
        <v>15</v>
      </c>
      <c r="J506">
        <v>16</v>
      </c>
      <c r="K506">
        <v>1</v>
      </c>
      <c r="L506">
        <v>100839</v>
      </c>
      <c r="M506" t="str">
        <f t="shared" si="69"/>
        <v>13</v>
      </c>
      <c r="N506" t="s">
        <v>3323</v>
      </c>
      <c r="O506" t="str">
        <f t="shared" si="74"/>
        <v>52511</v>
      </c>
      <c r="P506" t="str">
        <f>"2100L"</f>
        <v>2100L</v>
      </c>
      <c r="Q506" t="str">
        <f t="shared" si="70"/>
        <v>0101</v>
      </c>
      <c r="R506">
        <v>2100</v>
      </c>
      <c r="S506" t="str">
        <f t="shared" si="75"/>
        <v>5250</v>
      </c>
      <c r="T506" t="s">
        <v>3412</v>
      </c>
      <c r="U506" t="s">
        <v>606</v>
      </c>
    </row>
    <row r="507" spans="1:21" x14ac:dyDescent="0.3">
      <c r="A507" t="s">
        <v>179</v>
      </c>
      <c r="B507" t="str">
        <f>"00054268"</f>
        <v>00054268</v>
      </c>
      <c r="C507" t="s">
        <v>4272</v>
      </c>
      <c r="D507" t="s">
        <v>614</v>
      </c>
      <c r="E507" t="str">
        <f>"00053402"</f>
        <v>00053402</v>
      </c>
      <c r="F507">
        <v>0</v>
      </c>
      <c r="G507" s="243">
        <v>33147</v>
      </c>
      <c r="H507" t="s">
        <v>182</v>
      </c>
      <c r="I507">
        <v>15</v>
      </c>
      <c r="J507">
        <v>16</v>
      </c>
      <c r="K507">
        <v>1</v>
      </c>
      <c r="L507">
        <v>106540</v>
      </c>
      <c r="M507" t="str">
        <f t="shared" si="69"/>
        <v>13</v>
      </c>
      <c r="N507" t="s">
        <v>3323</v>
      </c>
      <c r="O507" t="str">
        <f t="shared" si="74"/>
        <v>52511</v>
      </c>
      <c r="P507" t="str">
        <f>"2200L"</f>
        <v>2200L</v>
      </c>
      <c r="Q507" t="str">
        <f t="shared" si="70"/>
        <v>0101</v>
      </c>
      <c r="R507">
        <v>2200</v>
      </c>
      <c r="S507" t="str">
        <f t="shared" si="75"/>
        <v>5250</v>
      </c>
      <c r="T507" t="s">
        <v>3412</v>
      </c>
      <c r="U507" t="s">
        <v>606</v>
      </c>
    </row>
    <row r="508" spans="1:21" x14ac:dyDescent="0.3">
      <c r="A508" t="s">
        <v>179</v>
      </c>
      <c r="B508" t="str">
        <f>"00054717"</f>
        <v>00054717</v>
      </c>
      <c r="C508" t="s">
        <v>4260</v>
      </c>
      <c r="D508" t="s">
        <v>615</v>
      </c>
      <c r="E508" t="str">
        <f>"00054470"</f>
        <v>00054470</v>
      </c>
      <c r="F508">
        <v>0</v>
      </c>
      <c r="G508" s="243">
        <v>29851</v>
      </c>
      <c r="H508" t="s">
        <v>182</v>
      </c>
      <c r="I508">
        <v>15</v>
      </c>
      <c r="J508">
        <v>16</v>
      </c>
      <c r="K508">
        <v>1</v>
      </c>
      <c r="L508">
        <v>106540</v>
      </c>
      <c r="M508" t="str">
        <f t="shared" si="69"/>
        <v>13</v>
      </c>
      <c r="N508" t="s">
        <v>3323</v>
      </c>
      <c r="O508" t="str">
        <f t="shared" si="74"/>
        <v>52511</v>
      </c>
      <c r="P508" t="str">
        <f>"3030L"</f>
        <v>3030L</v>
      </c>
      <c r="Q508" t="str">
        <f t="shared" si="70"/>
        <v>0101</v>
      </c>
      <c r="R508">
        <v>3030</v>
      </c>
      <c r="S508" t="str">
        <f t="shared" si="75"/>
        <v>5250</v>
      </c>
      <c r="T508" t="s">
        <v>3412</v>
      </c>
      <c r="U508" t="s">
        <v>606</v>
      </c>
    </row>
    <row r="509" spans="1:21" x14ac:dyDescent="0.3">
      <c r="A509" t="s">
        <v>179</v>
      </c>
      <c r="B509" t="str">
        <f>"00054739"</f>
        <v>00054739</v>
      </c>
      <c r="C509" t="s">
        <v>4274</v>
      </c>
      <c r="D509" t="s">
        <v>4461</v>
      </c>
      <c r="E509" t="str">
        <f>"00054520"</f>
        <v>00054520</v>
      </c>
      <c r="F509">
        <v>0</v>
      </c>
      <c r="G509" s="243">
        <v>33147</v>
      </c>
      <c r="H509" t="s">
        <v>182</v>
      </c>
      <c r="I509">
        <v>4</v>
      </c>
      <c r="J509">
        <v>10</v>
      </c>
      <c r="K509">
        <v>0.875</v>
      </c>
      <c r="L509">
        <v>28721</v>
      </c>
      <c r="M509" t="str">
        <f t="shared" si="69"/>
        <v>13</v>
      </c>
      <c r="N509" t="s">
        <v>3323</v>
      </c>
      <c r="O509" t="str">
        <f t="shared" si="74"/>
        <v>52511</v>
      </c>
      <c r="P509" t="str">
        <f t="shared" ref="P509:P514" si="76">"2100L"</f>
        <v>2100L</v>
      </c>
      <c r="Q509" t="str">
        <f t="shared" si="70"/>
        <v>0101</v>
      </c>
      <c r="R509">
        <v>2100</v>
      </c>
      <c r="S509" t="str">
        <f t="shared" si="75"/>
        <v>5250</v>
      </c>
      <c r="T509" t="s">
        <v>3412</v>
      </c>
      <c r="U509" t="s">
        <v>606</v>
      </c>
    </row>
    <row r="510" spans="1:21" x14ac:dyDescent="0.3">
      <c r="A510" t="s">
        <v>179</v>
      </c>
      <c r="B510" t="str">
        <f>"00057468"</f>
        <v>00057468</v>
      </c>
      <c r="C510" t="s">
        <v>4272</v>
      </c>
      <c r="H510" t="s">
        <v>170</v>
      </c>
      <c r="I510">
        <v>15</v>
      </c>
      <c r="J510">
        <v>1</v>
      </c>
      <c r="K510">
        <v>1</v>
      </c>
      <c r="L510">
        <v>54975</v>
      </c>
      <c r="M510" t="str">
        <f t="shared" si="69"/>
        <v>13</v>
      </c>
      <c r="N510" t="s">
        <v>3323</v>
      </c>
      <c r="O510" t="str">
        <f t="shared" si="74"/>
        <v>52511</v>
      </c>
      <c r="P510" t="str">
        <f t="shared" si="76"/>
        <v>2100L</v>
      </c>
      <c r="Q510" t="str">
        <f t="shared" si="70"/>
        <v>0101</v>
      </c>
      <c r="R510">
        <v>2100</v>
      </c>
      <c r="S510" t="str">
        <f t="shared" si="75"/>
        <v>5250</v>
      </c>
      <c r="T510" t="s">
        <v>3412</v>
      </c>
      <c r="U510" t="s">
        <v>606</v>
      </c>
    </row>
    <row r="511" spans="1:21" x14ac:dyDescent="0.3">
      <c r="A511" t="s">
        <v>179</v>
      </c>
      <c r="B511" t="str">
        <f>"00058049"</f>
        <v>00058049</v>
      </c>
      <c r="C511" t="s">
        <v>4262</v>
      </c>
      <c r="D511" t="s">
        <v>617</v>
      </c>
      <c r="E511" t="str">
        <f>"00053281"</f>
        <v>00053281</v>
      </c>
      <c r="F511">
        <v>0</v>
      </c>
      <c r="G511" s="243">
        <v>37124</v>
      </c>
      <c r="H511" t="s">
        <v>182</v>
      </c>
      <c r="I511">
        <v>15</v>
      </c>
      <c r="J511">
        <v>11</v>
      </c>
      <c r="K511">
        <v>1</v>
      </c>
      <c r="L511">
        <v>81335</v>
      </c>
      <c r="M511" t="str">
        <f t="shared" si="69"/>
        <v>13</v>
      </c>
      <c r="N511" t="s">
        <v>3323</v>
      </c>
      <c r="O511" t="str">
        <f t="shared" si="74"/>
        <v>52511</v>
      </c>
      <c r="P511" t="str">
        <f t="shared" si="76"/>
        <v>2100L</v>
      </c>
      <c r="Q511" t="str">
        <f t="shared" si="70"/>
        <v>0101</v>
      </c>
      <c r="R511">
        <v>2100</v>
      </c>
      <c r="S511" t="str">
        <f t="shared" si="75"/>
        <v>5250</v>
      </c>
      <c r="T511" t="s">
        <v>3412</v>
      </c>
      <c r="U511" t="s">
        <v>606</v>
      </c>
    </row>
    <row r="512" spans="1:21" x14ac:dyDescent="0.3">
      <c r="A512" t="s">
        <v>179</v>
      </c>
      <c r="B512" t="str">
        <f>"00058618"</f>
        <v>00058618</v>
      </c>
      <c r="C512" t="s">
        <v>4262</v>
      </c>
      <c r="D512" t="s">
        <v>619</v>
      </c>
      <c r="E512" t="str">
        <f>"00062962"</f>
        <v>00062962</v>
      </c>
      <c r="F512">
        <v>0</v>
      </c>
      <c r="G512" s="243">
        <v>40406</v>
      </c>
      <c r="H512" t="s">
        <v>182</v>
      </c>
      <c r="I512">
        <v>15</v>
      </c>
      <c r="J512">
        <v>12</v>
      </c>
      <c r="K512">
        <v>1</v>
      </c>
      <c r="L512">
        <v>87431</v>
      </c>
      <c r="M512" t="str">
        <f t="shared" si="69"/>
        <v>13</v>
      </c>
      <c r="N512" t="s">
        <v>3323</v>
      </c>
      <c r="O512" t="str">
        <f t="shared" si="74"/>
        <v>52511</v>
      </c>
      <c r="P512" t="str">
        <f t="shared" si="76"/>
        <v>2100L</v>
      </c>
      <c r="Q512" t="str">
        <f t="shared" si="70"/>
        <v>0101</v>
      </c>
      <c r="R512">
        <v>2100</v>
      </c>
      <c r="S512" t="str">
        <f t="shared" si="75"/>
        <v>5250</v>
      </c>
      <c r="T512" t="s">
        <v>3412</v>
      </c>
      <c r="U512" t="s">
        <v>606</v>
      </c>
    </row>
    <row r="513" spans="1:21" x14ac:dyDescent="0.3">
      <c r="A513" t="s">
        <v>179</v>
      </c>
      <c r="B513" t="str">
        <f>"00058999"</f>
        <v>00058999</v>
      </c>
      <c r="C513" t="s">
        <v>4272</v>
      </c>
      <c r="D513" t="s">
        <v>621</v>
      </c>
      <c r="E513" t="str">
        <f>"00050342"</f>
        <v>00050342</v>
      </c>
      <c r="F513">
        <v>0</v>
      </c>
      <c r="G513" s="243">
        <v>37493</v>
      </c>
      <c r="H513" t="s">
        <v>182</v>
      </c>
      <c r="I513">
        <v>15</v>
      </c>
      <c r="J513">
        <v>11</v>
      </c>
      <c r="K513">
        <v>1</v>
      </c>
      <c r="L513">
        <v>83774</v>
      </c>
      <c r="M513" t="str">
        <f t="shared" si="69"/>
        <v>13</v>
      </c>
      <c r="N513" t="s">
        <v>3323</v>
      </c>
      <c r="O513" t="str">
        <f t="shared" si="74"/>
        <v>52511</v>
      </c>
      <c r="P513" t="str">
        <f t="shared" si="76"/>
        <v>2100L</v>
      </c>
      <c r="Q513" t="str">
        <f t="shared" si="70"/>
        <v>0101</v>
      </c>
      <c r="R513">
        <v>2100</v>
      </c>
      <c r="S513" t="str">
        <f t="shared" si="75"/>
        <v>5250</v>
      </c>
      <c r="T513" t="s">
        <v>3412</v>
      </c>
      <c r="U513" t="s">
        <v>606</v>
      </c>
    </row>
    <row r="514" spans="1:21" x14ac:dyDescent="0.3">
      <c r="A514" t="s">
        <v>179</v>
      </c>
      <c r="B514" t="str">
        <f>"00059019"</f>
        <v>00059019</v>
      </c>
      <c r="C514" t="s">
        <v>4262</v>
      </c>
      <c r="D514" t="s">
        <v>622</v>
      </c>
      <c r="E514" t="str">
        <f>"00014993"</f>
        <v>00014993</v>
      </c>
      <c r="F514">
        <v>1</v>
      </c>
      <c r="G514" s="243">
        <v>36097</v>
      </c>
      <c r="H514" t="s">
        <v>182</v>
      </c>
      <c r="I514">
        <v>15</v>
      </c>
      <c r="J514">
        <v>14</v>
      </c>
      <c r="K514">
        <v>1</v>
      </c>
      <c r="L514">
        <v>98967</v>
      </c>
      <c r="M514" t="str">
        <f t="shared" si="69"/>
        <v>13</v>
      </c>
      <c r="N514" t="s">
        <v>3323</v>
      </c>
      <c r="O514" t="str">
        <f t="shared" si="74"/>
        <v>52511</v>
      </c>
      <c r="P514" t="str">
        <f t="shared" si="76"/>
        <v>2100L</v>
      </c>
      <c r="Q514" t="str">
        <f t="shared" si="70"/>
        <v>0101</v>
      </c>
      <c r="R514">
        <v>2100</v>
      </c>
      <c r="S514" t="str">
        <f t="shared" si="75"/>
        <v>5250</v>
      </c>
      <c r="T514" t="s">
        <v>3412</v>
      </c>
      <c r="U514" t="s">
        <v>606</v>
      </c>
    </row>
    <row r="515" spans="1:21" x14ac:dyDescent="0.3">
      <c r="A515" t="s">
        <v>179</v>
      </c>
      <c r="B515" t="str">
        <f>"00059147"</f>
        <v>00059147</v>
      </c>
      <c r="C515" t="s">
        <v>4260</v>
      </c>
      <c r="D515" t="s">
        <v>623</v>
      </c>
      <c r="E515" t="str">
        <f>"00050192"</f>
        <v>00050192</v>
      </c>
      <c r="F515">
        <v>0</v>
      </c>
      <c r="G515" s="243">
        <v>37662</v>
      </c>
      <c r="H515" t="s">
        <v>182</v>
      </c>
      <c r="I515">
        <v>15</v>
      </c>
      <c r="J515">
        <v>15</v>
      </c>
      <c r="K515">
        <v>1</v>
      </c>
      <c r="L515">
        <v>100792</v>
      </c>
      <c r="M515" t="str">
        <f t="shared" si="69"/>
        <v>13</v>
      </c>
      <c r="N515" t="s">
        <v>3323</v>
      </c>
      <c r="O515" t="str">
        <f t="shared" si="74"/>
        <v>52511</v>
      </c>
      <c r="P515" t="str">
        <f>"3030L"</f>
        <v>3030L</v>
      </c>
      <c r="Q515" t="str">
        <f t="shared" si="70"/>
        <v>0101</v>
      </c>
      <c r="R515">
        <v>3030</v>
      </c>
      <c r="S515" t="str">
        <f t="shared" si="75"/>
        <v>5250</v>
      </c>
      <c r="T515" t="s">
        <v>3412</v>
      </c>
      <c r="U515" t="s">
        <v>606</v>
      </c>
    </row>
    <row r="516" spans="1:21" x14ac:dyDescent="0.3">
      <c r="A516" t="s">
        <v>179</v>
      </c>
      <c r="B516" t="str">
        <f>"00059336"</f>
        <v>00059336</v>
      </c>
      <c r="C516" t="s">
        <v>4272</v>
      </c>
      <c r="D516" t="s">
        <v>624</v>
      </c>
      <c r="E516" t="str">
        <f>"00045863"</f>
        <v>00045863</v>
      </c>
      <c r="F516">
        <v>0</v>
      </c>
      <c r="G516" s="243">
        <v>37861</v>
      </c>
      <c r="H516" t="s">
        <v>182</v>
      </c>
      <c r="I516">
        <v>15</v>
      </c>
      <c r="J516">
        <v>13</v>
      </c>
      <c r="K516">
        <v>1</v>
      </c>
      <c r="L516">
        <v>86613</v>
      </c>
      <c r="M516" t="str">
        <f t="shared" si="69"/>
        <v>13</v>
      </c>
      <c r="N516" t="s">
        <v>3323</v>
      </c>
      <c r="O516" t="str">
        <f t="shared" si="74"/>
        <v>52511</v>
      </c>
      <c r="P516" t="str">
        <f>"2200L"</f>
        <v>2200L</v>
      </c>
      <c r="Q516" t="str">
        <f t="shared" si="70"/>
        <v>0101</v>
      </c>
      <c r="R516">
        <v>2200</v>
      </c>
      <c r="S516" t="str">
        <f t="shared" si="75"/>
        <v>5250</v>
      </c>
      <c r="T516" t="s">
        <v>3412</v>
      </c>
      <c r="U516" t="s">
        <v>606</v>
      </c>
    </row>
    <row r="517" spans="1:21" x14ac:dyDescent="0.3">
      <c r="A517" t="s">
        <v>179</v>
      </c>
      <c r="B517" t="str">
        <f>"00059939"</f>
        <v>00059939</v>
      </c>
      <c r="C517" t="s">
        <v>4290</v>
      </c>
      <c r="D517" t="s">
        <v>4462</v>
      </c>
      <c r="E517" t="str">
        <f>"00045312"</f>
        <v>00045312</v>
      </c>
      <c r="F517">
        <v>0</v>
      </c>
      <c r="G517" s="243">
        <v>38250</v>
      </c>
      <c r="H517" t="s">
        <v>182</v>
      </c>
      <c r="I517">
        <v>4</v>
      </c>
      <c r="J517">
        <v>7</v>
      </c>
      <c r="K517">
        <v>0.875</v>
      </c>
      <c r="L517">
        <v>26633.25</v>
      </c>
      <c r="M517" t="str">
        <f t="shared" si="69"/>
        <v>13</v>
      </c>
      <c r="N517" t="s">
        <v>3323</v>
      </c>
      <c r="O517" t="str">
        <f t="shared" si="74"/>
        <v>52511</v>
      </c>
      <c r="P517" t="str">
        <f>"2100L"</f>
        <v>2100L</v>
      </c>
      <c r="Q517" t="str">
        <f t="shared" si="70"/>
        <v>0101</v>
      </c>
      <c r="R517">
        <v>2100</v>
      </c>
      <c r="S517" t="str">
        <f t="shared" si="75"/>
        <v>5250</v>
      </c>
      <c r="T517" t="s">
        <v>3412</v>
      </c>
      <c r="U517" t="s">
        <v>606</v>
      </c>
    </row>
    <row r="518" spans="1:21" x14ac:dyDescent="0.3">
      <c r="A518" t="s">
        <v>179</v>
      </c>
      <c r="B518" t="str">
        <f>"00060285"</f>
        <v>00060285</v>
      </c>
      <c r="C518" t="s">
        <v>4260</v>
      </c>
      <c r="D518" t="s">
        <v>625</v>
      </c>
      <c r="E518" t="str">
        <f>"00049889"</f>
        <v>00049889</v>
      </c>
      <c r="F518">
        <v>0</v>
      </c>
      <c r="G518" s="243">
        <v>38587</v>
      </c>
      <c r="H518" t="s">
        <v>182</v>
      </c>
      <c r="I518">
        <v>15</v>
      </c>
      <c r="J518">
        <v>16</v>
      </c>
      <c r="K518">
        <v>1</v>
      </c>
      <c r="L518">
        <v>103347</v>
      </c>
      <c r="M518" t="str">
        <f t="shared" si="69"/>
        <v>13</v>
      </c>
      <c r="N518" t="s">
        <v>3323</v>
      </c>
      <c r="O518" t="str">
        <f t="shared" si="74"/>
        <v>52511</v>
      </c>
      <c r="P518" t="str">
        <f>"3030L"</f>
        <v>3030L</v>
      </c>
      <c r="Q518" t="str">
        <f t="shared" si="70"/>
        <v>0101</v>
      </c>
      <c r="R518">
        <v>3030</v>
      </c>
      <c r="S518" t="str">
        <f t="shared" si="75"/>
        <v>5250</v>
      </c>
      <c r="T518" t="s">
        <v>3412</v>
      </c>
      <c r="U518" t="s">
        <v>606</v>
      </c>
    </row>
    <row r="519" spans="1:21" x14ac:dyDescent="0.3">
      <c r="A519" t="s">
        <v>179</v>
      </c>
      <c r="B519" t="str">
        <f>"00060310"</f>
        <v>00060310</v>
      </c>
      <c r="C519" t="s">
        <v>4272</v>
      </c>
      <c r="D519" t="s">
        <v>626</v>
      </c>
      <c r="E519" t="str">
        <f>"00052141"</f>
        <v>00052141</v>
      </c>
      <c r="F519">
        <v>0</v>
      </c>
      <c r="G519" s="243">
        <v>36900</v>
      </c>
      <c r="H519" t="s">
        <v>182</v>
      </c>
      <c r="I519">
        <v>15</v>
      </c>
      <c r="J519">
        <v>12</v>
      </c>
      <c r="K519">
        <v>1</v>
      </c>
      <c r="L519">
        <v>87431</v>
      </c>
      <c r="M519" t="str">
        <f t="shared" si="69"/>
        <v>13</v>
      </c>
      <c r="N519" t="s">
        <v>3323</v>
      </c>
      <c r="O519" t="str">
        <f t="shared" si="74"/>
        <v>52511</v>
      </c>
      <c r="P519" t="str">
        <f>"2200L"</f>
        <v>2200L</v>
      </c>
      <c r="Q519" t="str">
        <f t="shared" si="70"/>
        <v>0101</v>
      </c>
      <c r="R519">
        <v>2200</v>
      </c>
      <c r="S519" t="str">
        <f t="shared" si="75"/>
        <v>5250</v>
      </c>
      <c r="T519" t="s">
        <v>3412</v>
      </c>
      <c r="U519" t="s">
        <v>606</v>
      </c>
    </row>
    <row r="520" spans="1:21" x14ac:dyDescent="0.3">
      <c r="A520" t="s">
        <v>179</v>
      </c>
      <c r="B520" t="str">
        <f>"00060339"</f>
        <v>00060339</v>
      </c>
      <c r="C520" t="s">
        <v>4253</v>
      </c>
      <c r="D520" t="s">
        <v>627</v>
      </c>
      <c r="E520" t="str">
        <f>"00049314"</f>
        <v>00049314</v>
      </c>
      <c r="F520">
        <v>0</v>
      </c>
      <c r="G520" s="243">
        <v>40045</v>
      </c>
      <c r="H520" t="s">
        <v>182</v>
      </c>
      <c r="I520">
        <v>15</v>
      </c>
      <c r="J520">
        <v>13</v>
      </c>
      <c r="K520">
        <v>1</v>
      </c>
      <c r="L520">
        <v>95366</v>
      </c>
      <c r="M520" t="str">
        <f t="shared" si="69"/>
        <v>13</v>
      </c>
      <c r="N520" t="s">
        <v>3323</v>
      </c>
      <c r="O520" t="str">
        <f t="shared" si="74"/>
        <v>52511</v>
      </c>
      <c r="P520" t="str">
        <f>"2100L"</f>
        <v>2100L</v>
      </c>
      <c r="Q520" t="str">
        <f t="shared" si="70"/>
        <v>0101</v>
      </c>
      <c r="R520">
        <v>2100</v>
      </c>
      <c r="S520" t="str">
        <f t="shared" si="75"/>
        <v>5250</v>
      </c>
      <c r="T520" t="s">
        <v>3412</v>
      </c>
      <c r="U520" t="s">
        <v>606</v>
      </c>
    </row>
    <row r="521" spans="1:21" x14ac:dyDescent="0.3">
      <c r="A521" t="s">
        <v>179</v>
      </c>
      <c r="B521" t="str">
        <f>"00062291"</f>
        <v>00062291</v>
      </c>
      <c r="C521" t="s">
        <v>4254</v>
      </c>
      <c r="H521" t="s">
        <v>170</v>
      </c>
      <c r="I521">
        <v>15</v>
      </c>
      <c r="J521">
        <v>1</v>
      </c>
      <c r="K521">
        <v>1</v>
      </c>
      <c r="L521">
        <v>51539</v>
      </c>
      <c r="M521" t="str">
        <f t="shared" si="69"/>
        <v>13</v>
      </c>
      <c r="N521" t="s">
        <v>3323</v>
      </c>
      <c r="O521" t="str">
        <f t="shared" si="74"/>
        <v>52511</v>
      </c>
      <c r="P521" t="str">
        <f>"2100L"</f>
        <v>2100L</v>
      </c>
      <c r="Q521" t="str">
        <f t="shared" si="70"/>
        <v>0101</v>
      </c>
      <c r="R521">
        <v>2100</v>
      </c>
      <c r="S521" t="str">
        <f t="shared" si="75"/>
        <v>5250</v>
      </c>
      <c r="T521" t="s">
        <v>3412</v>
      </c>
      <c r="U521" t="s">
        <v>606</v>
      </c>
    </row>
    <row r="522" spans="1:21" x14ac:dyDescent="0.3">
      <c r="A522" t="s">
        <v>179</v>
      </c>
      <c r="B522" t="str">
        <f>"00062669"</f>
        <v>00062669</v>
      </c>
      <c r="C522" t="s">
        <v>4274</v>
      </c>
      <c r="D522" t="s">
        <v>4463</v>
      </c>
      <c r="E522" t="str">
        <f>"00050519"</f>
        <v>00050519</v>
      </c>
      <c r="F522">
        <v>0</v>
      </c>
      <c r="G522" s="243">
        <v>39776</v>
      </c>
      <c r="H522" t="s">
        <v>182</v>
      </c>
      <c r="I522">
        <v>4</v>
      </c>
      <c r="J522">
        <v>6</v>
      </c>
      <c r="K522">
        <v>1</v>
      </c>
      <c r="L522">
        <v>25935.88</v>
      </c>
      <c r="M522" t="str">
        <f t="shared" si="69"/>
        <v>13</v>
      </c>
      <c r="N522" t="s">
        <v>3323</v>
      </c>
      <c r="O522" t="str">
        <f t="shared" si="74"/>
        <v>52511</v>
      </c>
      <c r="P522" t="str">
        <f>"2200L"</f>
        <v>2200L</v>
      </c>
      <c r="Q522" t="str">
        <f t="shared" si="70"/>
        <v>0101</v>
      </c>
      <c r="R522">
        <v>2200</v>
      </c>
      <c r="S522" t="str">
        <f t="shared" si="75"/>
        <v>5250</v>
      </c>
      <c r="T522" t="s">
        <v>3412</v>
      </c>
      <c r="U522" t="s">
        <v>606</v>
      </c>
    </row>
    <row r="523" spans="1:21" x14ac:dyDescent="0.3">
      <c r="A523" t="s">
        <v>179</v>
      </c>
      <c r="B523" t="str">
        <f>"00062736"</f>
        <v>00062736</v>
      </c>
      <c r="C523" t="s">
        <v>4258</v>
      </c>
      <c r="H523" t="s">
        <v>170</v>
      </c>
      <c r="I523">
        <v>15</v>
      </c>
      <c r="J523">
        <v>1</v>
      </c>
      <c r="K523">
        <v>1</v>
      </c>
      <c r="L523">
        <v>54975</v>
      </c>
      <c r="M523" t="str">
        <f t="shared" si="69"/>
        <v>13</v>
      </c>
      <c r="N523" t="s">
        <v>3323</v>
      </c>
      <c r="O523" t="str">
        <f t="shared" si="74"/>
        <v>52511</v>
      </c>
      <c r="P523" t="str">
        <f>"2100L"</f>
        <v>2100L</v>
      </c>
      <c r="Q523" t="str">
        <f t="shared" si="70"/>
        <v>0101</v>
      </c>
      <c r="R523">
        <v>2100</v>
      </c>
      <c r="S523" t="str">
        <f t="shared" si="75"/>
        <v>5250</v>
      </c>
      <c r="T523" t="s">
        <v>3412</v>
      </c>
      <c r="U523" t="s">
        <v>606</v>
      </c>
    </row>
    <row r="524" spans="1:21" x14ac:dyDescent="0.3">
      <c r="A524" t="s">
        <v>179</v>
      </c>
      <c r="B524" t="str">
        <f>"00065761"</f>
        <v>00065761</v>
      </c>
      <c r="C524" t="s">
        <v>4253</v>
      </c>
      <c r="D524" t="s">
        <v>3414</v>
      </c>
      <c r="E524" t="str">
        <f>"00066191"</f>
        <v>00066191</v>
      </c>
      <c r="F524">
        <v>0</v>
      </c>
      <c r="G524" s="243">
        <v>40755</v>
      </c>
      <c r="H524" t="s">
        <v>182</v>
      </c>
      <c r="I524">
        <v>15</v>
      </c>
      <c r="J524">
        <v>7</v>
      </c>
      <c r="K524">
        <v>1</v>
      </c>
      <c r="L524">
        <v>69132</v>
      </c>
      <c r="M524" t="str">
        <f t="shared" si="69"/>
        <v>13</v>
      </c>
      <c r="N524" t="s">
        <v>3323</v>
      </c>
      <c r="O524" t="str">
        <f t="shared" si="74"/>
        <v>52511</v>
      </c>
      <c r="P524" t="str">
        <f>"2100L"</f>
        <v>2100L</v>
      </c>
      <c r="Q524" t="str">
        <f t="shared" si="70"/>
        <v>0101</v>
      </c>
      <c r="R524">
        <v>2100</v>
      </c>
      <c r="S524" t="str">
        <f t="shared" si="75"/>
        <v>5250</v>
      </c>
      <c r="T524" t="s">
        <v>3412</v>
      </c>
      <c r="U524" t="s">
        <v>606</v>
      </c>
    </row>
    <row r="525" spans="1:21" x14ac:dyDescent="0.3">
      <c r="A525" t="s">
        <v>179</v>
      </c>
      <c r="B525" t="str">
        <f>"00065762"</f>
        <v>00065762</v>
      </c>
      <c r="C525" t="s">
        <v>4260</v>
      </c>
      <c r="D525" t="s">
        <v>629</v>
      </c>
      <c r="E525" t="str">
        <f>"00057261"</f>
        <v>00057261</v>
      </c>
      <c r="F525">
        <v>0</v>
      </c>
      <c r="G525" s="243">
        <v>40042</v>
      </c>
      <c r="H525" t="s">
        <v>182</v>
      </c>
      <c r="I525">
        <v>15</v>
      </c>
      <c r="J525">
        <v>4</v>
      </c>
      <c r="K525">
        <v>1</v>
      </c>
      <c r="L525">
        <v>57147</v>
      </c>
      <c r="M525" t="str">
        <f t="shared" si="69"/>
        <v>13</v>
      </c>
      <c r="N525" t="s">
        <v>3323</v>
      </c>
      <c r="O525" t="str">
        <f t="shared" ref="O525:O549" si="77">"52511"</f>
        <v>52511</v>
      </c>
      <c r="P525" t="str">
        <f>"3030L"</f>
        <v>3030L</v>
      </c>
      <c r="Q525" t="str">
        <f t="shared" si="70"/>
        <v>0101</v>
      </c>
      <c r="R525">
        <v>3030</v>
      </c>
      <c r="S525" t="str">
        <f t="shared" ref="S525:S549" si="78">"5250"</f>
        <v>5250</v>
      </c>
      <c r="T525" t="s">
        <v>3412</v>
      </c>
      <c r="U525" t="s">
        <v>606</v>
      </c>
    </row>
    <row r="526" spans="1:21" x14ac:dyDescent="0.3">
      <c r="A526" t="s">
        <v>179</v>
      </c>
      <c r="B526" t="str">
        <f>"00066049"</f>
        <v>00066049</v>
      </c>
      <c r="C526" t="s">
        <v>4290</v>
      </c>
      <c r="D526" t="s">
        <v>4464</v>
      </c>
      <c r="E526" t="str">
        <f>"00057316"</f>
        <v>00057316</v>
      </c>
      <c r="F526">
        <v>0</v>
      </c>
      <c r="G526" s="243">
        <v>40042</v>
      </c>
      <c r="H526" t="s">
        <v>182</v>
      </c>
      <c r="I526">
        <v>4</v>
      </c>
      <c r="J526">
        <v>5</v>
      </c>
      <c r="K526">
        <v>1</v>
      </c>
      <c r="L526">
        <v>25239.37</v>
      </c>
      <c r="M526" t="str">
        <f t="shared" si="69"/>
        <v>13</v>
      </c>
      <c r="N526" t="s">
        <v>3323</v>
      </c>
      <c r="O526" t="str">
        <f t="shared" si="77"/>
        <v>52511</v>
      </c>
      <c r="P526" t="str">
        <f>"2200L"</f>
        <v>2200L</v>
      </c>
      <c r="Q526" t="str">
        <f t="shared" si="70"/>
        <v>0101</v>
      </c>
      <c r="R526">
        <v>2200</v>
      </c>
      <c r="S526" t="str">
        <f t="shared" si="78"/>
        <v>5250</v>
      </c>
      <c r="T526" t="s">
        <v>3412</v>
      </c>
      <c r="U526" t="s">
        <v>606</v>
      </c>
    </row>
    <row r="527" spans="1:21" x14ac:dyDescent="0.3">
      <c r="A527" t="s">
        <v>179</v>
      </c>
      <c r="B527" t="str">
        <f>"00066196"</f>
        <v>00066196</v>
      </c>
      <c r="C527" t="s">
        <v>4290</v>
      </c>
      <c r="D527" t="s">
        <v>4465</v>
      </c>
      <c r="E527" t="str">
        <f>"00063621"</f>
        <v>00063621</v>
      </c>
      <c r="F527">
        <v>0</v>
      </c>
      <c r="G527" s="243">
        <v>40471</v>
      </c>
      <c r="H527" t="s">
        <v>182</v>
      </c>
      <c r="I527">
        <v>4</v>
      </c>
      <c r="J527">
        <v>8</v>
      </c>
      <c r="K527">
        <v>1</v>
      </c>
      <c r="L527">
        <v>27329.75</v>
      </c>
      <c r="M527" t="str">
        <f t="shared" si="69"/>
        <v>13</v>
      </c>
      <c r="N527" t="s">
        <v>3323</v>
      </c>
      <c r="O527" t="str">
        <f t="shared" si="77"/>
        <v>52511</v>
      </c>
      <c r="P527" t="str">
        <f>"2100L"</f>
        <v>2100L</v>
      </c>
      <c r="Q527" t="str">
        <f t="shared" si="70"/>
        <v>0101</v>
      </c>
      <c r="R527">
        <v>2100</v>
      </c>
      <c r="S527" t="str">
        <f t="shared" si="78"/>
        <v>5250</v>
      </c>
      <c r="T527" t="s">
        <v>3412</v>
      </c>
      <c r="U527" t="s">
        <v>606</v>
      </c>
    </row>
    <row r="528" spans="1:21" x14ac:dyDescent="0.3">
      <c r="A528" t="s">
        <v>179</v>
      </c>
      <c r="B528" t="str">
        <f>"00066197"</f>
        <v>00066197</v>
      </c>
      <c r="C528" t="s">
        <v>4288</v>
      </c>
      <c r="D528" t="s">
        <v>4466</v>
      </c>
      <c r="E528" t="str">
        <f>"00056964"</f>
        <v>00056964</v>
      </c>
      <c r="F528">
        <v>0</v>
      </c>
      <c r="G528" s="243">
        <v>40042</v>
      </c>
      <c r="H528" t="s">
        <v>182</v>
      </c>
      <c r="I528">
        <v>4</v>
      </c>
      <c r="J528">
        <v>5</v>
      </c>
      <c r="K528">
        <v>1</v>
      </c>
      <c r="L528">
        <v>25239.37</v>
      </c>
      <c r="M528" t="str">
        <f t="shared" si="69"/>
        <v>13</v>
      </c>
      <c r="N528" t="s">
        <v>3323</v>
      </c>
      <c r="O528" t="str">
        <f t="shared" si="77"/>
        <v>52511</v>
      </c>
      <c r="P528" t="str">
        <f>"2100L"</f>
        <v>2100L</v>
      </c>
      <c r="Q528" t="str">
        <f t="shared" si="70"/>
        <v>0101</v>
      </c>
      <c r="R528">
        <v>2100</v>
      </c>
      <c r="S528" t="str">
        <f t="shared" si="78"/>
        <v>5250</v>
      </c>
      <c r="T528" t="s">
        <v>3412</v>
      </c>
      <c r="U528" t="s">
        <v>606</v>
      </c>
    </row>
    <row r="529" spans="1:21" x14ac:dyDescent="0.3">
      <c r="A529" t="s">
        <v>179</v>
      </c>
      <c r="B529" t="str">
        <f>"00066198"</f>
        <v>00066198</v>
      </c>
      <c r="C529" t="s">
        <v>4290</v>
      </c>
      <c r="D529" t="s">
        <v>4467</v>
      </c>
      <c r="E529" t="str">
        <f>"00057709"</f>
        <v>00057709</v>
      </c>
      <c r="F529">
        <v>0</v>
      </c>
      <c r="G529" s="243">
        <v>40042</v>
      </c>
      <c r="H529" t="s">
        <v>182</v>
      </c>
      <c r="I529">
        <v>4</v>
      </c>
      <c r="J529">
        <v>7</v>
      </c>
      <c r="K529">
        <v>1</v>
      </c>
      <c r="L529">
        <v>26633.25</v>
      </c>
      <c r="M529" t="str">
        <f t="shared" si="69"/>
        <v>13</v>
      </c>
      <c r="N529" t="s">
        <v>3323</v>
      </c>
      <c r="O529" t="str">
        <f t="shared" si="77"/>
        <v>52511</v>
      </c>
      <c r="P529" t="str">
        <f>"3030L"</f>
        <v>3030L</v>
      </c>
      <c r="Q529" t="str">
        <f t="shared" si="70"/>
        <v>0101</v>
      </c>
      <c r="R529">
        <v>3030</v>
      </c>
      <c r="S529" t="str">
        <f t="shared" si="78"/>
        <v>5250</v>
      </c>
      <c r="T529" t="s">
        <v>3412</v>
      </c>
      <c r="U529" t="s">
        <v>606</v>
      </c>
    </row>
    <row r="530" spans="1:21" x14ac:dyDescent="0.3">
      <c r="A530" t="s">
        <v>179</v>
      </c>
      <c r="B530" t="str">
        <f>"00066199"</f>
        <v>00066199</v>
      </c>
      <c r="C530" t="s">
        <v>4290</v>
      </c>
      <c r="D530" t="s">
        <v>628</v>
      </c>
      <c r="E530" t="str">
        <f>"00063068"</f>
        <v>00063068</v>
      </c>
      <c r="F530">
        <v>0</v>
      </c>
      <c r="G530" s="243">
        <v>40414</v>
      </c>
      <c r="H530" t="s">
        <v>182</v>
      </c>
      <c r="I530">
        <v>4</v>
      </c>
      <c r="J530">
        <v>10</v>
      </c>
      <c r="K530">
        <v>1</v>
      </c>
      <c r="L530">
        <v>28721</v>
      </c>
      <c r="M530" t="str">
        <f t="shared" si="69"/>
        <v>13</v>
      </c>
      <c r="N530" t="s">
        <v>3370</v>
      </c>
      <c r="O530" t="str">
        <f t="shared" si="77"/>
        <v>52511</v>
      </c>
      <c r="P530" t="str">
        <f>"3030L"</f>
        <v>3030L</v>
      </c>
      <c r="Q530" t="str">
        <f t="shared" si="70"/>
        <v>0101</v>
      </c>
      <c r="R530">
        <v>3030</v>
      </c>
      <c r="S530" t="str">
        <f t="shared" si="78"/>
        <v>5250</v>
      </c>
      <c r="T530" t="s">
        <v>3412</v>
      </c>
      <c r="U530" t="s">
        <v>606</v>
      </c>
    </row>
    <row r="531" spans="1:21" x14ac:dyDescent="0.3">
      <c r="A531" t="s">
        <v>179</v>
      </c>
      <c r="B531" t="str">
        <f>"00071426"</f>
        <v>00071426</v>
      </c>
      <c r="C531" t="s">
        <v>4387</v>
      </c>
      <c r="D531" t="s">
        <v>630</v>
      </c>
      <c r="E531" t="str">
        <f>"00047156"</f>
        <v>00047156</v>
      </c>
      <c r="F531">
        <v>0</v>
      </c>
      <c r="G531" s="243">
        <v>35704</v>
      </c>
      <c r="H531" t="s">
        <v>182</v>
      </c>
      <c r="I531">
        <v>10</v>
      </c>
      <c r="J531">
        <v>9</v>
      </c>
      <c r="K531">
        <v>1</v>
      </c>
      <c r="L531">
        <v>84226</v>
      </c>
      <c r="M531" t="str">
        <f t="shared" si="69"/>
        <v>13</v>
      </c>
      <c r="N531" t="s">
        <v>3370</v>
      </c>
      <c r="O531" t="str">
        <f t="shared" si="77"/>
        <v>52511</v>
      </c>
      <c r="P531" t="str">
        <f>"1502L"</f>
        <v>1502L</v>
      </c>
      <c r="Q531" t="str">
        <f t="shared" si="70"/>
        <v>0101</v>
      </c>
      <c r="R531">
        <v>1502</v>
      </c>
      <c r="S531" t="str">
        <f t="shared" si="78"/>
        <v>5250</v>
      </c>
      <c r="T531" t="s">
        <v>3412</v>
      </c>
      <c r="U531" t="s">
        <v>606</v>
      </c>
    </row>
    <row r="532" spans="1:21" x14ac:dyDescent="0.3">
      <c r="A532" t="s">
        <v>179</v>
      </c>
      <c r="B532" t="str">
        <f>"00072122"</f>
        <v>00072122</v>
      </c>
      <c r="C532" t="s">
        <v>4274</v>
      </c>
      <c r="D532" t="s">
        <v>4468</v>
      </c>
      <c r="E532" t="str">
        <f>"00046274"</f>
        <v>00046274</v>
      </c>
      <c r="F532">
        <v>0</v>
      </c>
      <c r="G532" s="243">
        <v>39804</v>
      </c>
      <c r="H532" t="s">
        <v>182</v>
      </c>
      <c r="I532">
        <v>4</v>
      </c>
      <c r="J532">
        <v>3</v>
      </c>
      <c r="K532">
        <v>1</v>
      </c>
      <c r="L532">
        <v>23848.12</v>
      </c>
      <c r="M532" t="str">
        <f t="shared" si="69"/>
        <v>13</v>
      </c>
      <c r="N532" t="s">
        <v>3323</v>
      </c>
      <c r="O532" t="str">
        <f t="shared" si="77"/>
        <v>52511</v>
      </c>
      <c r="P532" t="str">
        <f>"2200L"</f>
        <v>2200L</v>
      </c>
      <c r="Q532" t="str">
        <f t="shared" si="70"/>
        <v>0101</v>
      </c>
      <c r="R532">
        <v>2200</v>
      </c>
      <c r="S532" t="str">
        <f t="shared" si="78"/>
        <v>5250</v>
      </c>
      <c r="T532" t="s">
        <v>3412</v>
      </c>
      <c r="U532" t="s">
        <v>606</v>
      </c>
    </row>
    <row r="533" spans="1:21" ht="15" customHeight="1" x14ac:dyDescent="0.3">
      <c r="A533" t="s">
        <v>179</v>
      </c>
      <c r="B533" t="str">
        <f>"00072328"</f>
        <v>00072328</v>
      </c>
      <c r="C533" t="s">
        <v>4260</v>
      </c>
      <c r="D533" t="s">
        <v>618</v>
      </c>
      <c r="E533" t="str">
        <f>"00047687"</f>
        <v>00047687</v>
      </c>
      <c r="F533">
        <v>0</v>
      </c>
      <c r="G533" s="243">
        <v>37124</v>
      </c>
      <c r="H533" t="s">
        <v>182</v>
      </c>
      <c r="I533">
        <v>15</v>
      </c>
      <c r="J533">
        <v>10</v>
      </c>
      <c r="K533">
        <v>1</v>
      </c>
      <c r="L533">
        <v>78273</v>
      </c>
      <c r="M533" t="str">
        <f t="shared" si="69"/>
        <v>13</v>
      </c>
      <c r="N533" t="s">
        <v>3370</v>
      </c>
      <c r="O533" t="str">
        <f t="shared" si="77"/>
        <v>52511</v>
      </c>
      <c r="P533" t="str">
        <f>"2100L"</f>
        <v>2100L</v>
      </c>
      <c r="Q533" t="str">
        <f t="shared" si="70"/>
        <v>0101</v>
      </c>
      <c r="R533">
        <v>2100</v>
      </c>
      <c r="S533" t="str">
        <f t="shared" si="78"/>
        <v>5250</v>
      </c>
      <c r="T533" t="s">
        <v>3412</v>
      </c>
      <c r="U533" t="s">
        <v>606</v>
      </c>
    </row>
    <row r="534" spans="1:21" ht="15" customHeight="1" x14ac:dyDescent="0.3">
      <c r="A534" t="s">
        <v>179</v>
      </c>
      <c r="B534" t="str">
        <f>"00072422"</f>
        <v>00072422</v>
      </c>
      <c r="C534" t="s">
        <v>4360</v>
      </c>
      <c r="D534" t="s">
        <v>4469</v>
      </c>
      <c r="E534" t="str">
        <f>"00062107"</f>
        <v>00062107</v>
      </c>
      <c r="F534">
        <v>0</v>
      </c>
      <c r="G534" s="243">
        <v>40368</v>
      </c>
      <c r="H534" t="s">
        <v>182</v>
      </c>
      <c r="I534">
        <v>7</v>
      </c>
      <c r="J534">
        <v>5</v>
      </c>
      <c r="K534">
        <v>1</v>
      </c>
      <c r="L534">
        <v>39300</v>
      </c>
      <c r="M534" t="str">
        <f t="shared" si="69"/>
        <v>13</v>
      </c>
      <c r="N534" t="s">
        <v>3323</v>
      </c>
      <c r="O534" t="str">
        <f t="shared" si="77"/>
        <v>52511</v>
      </c>
      <c r="P534" t="str">
        <f>"1502L"</f>
        <v>1502L</v>
      </c>
      <c r="Q534" t="str">
        <f t="shared" si="70"/>
        <v>0101</v>
      </c>
      <c r="R534">
        <v>1502</v>
      </c>
      <c r="S534" t="str">
        <f t="shared" si="78"/>
        <v>5250</v>
      </c>
      <c r="T534" t="s">
        <v>3412</v>
      </c>
      <c r="U534" t="s">
        <v>606</v>
      </c>
    </row>
    <row r="535" spans="1:21" ht="15" customHeight="1" x14ac:dyDescent="0.3">
      <c r="A535" t="s">
        <v>179</v>
      </c>
      <c r="B535" t="str">
        <f>"00072527"</f>
        <v>00072527</v>
      </c>
      <c r="C535" t="s">
        <v>203</v>
      </c>
      <c r="H535" t="s">
        <v>170</v>
      </c>
      <c r="I535">
        <v>9</v>
      </c>
      <c r="J535">
        <v>0</v>
      </c>
      <c r="K535">
        <v>1</v>
      </c>
      <c r="L535">
        <v>33163</v>
      </c>
      <c r="M535" t="str">
        <f t="shared" ref="M535:M591" si="79">"13"</f>
        <v>13</v>
      </c>
      <c r="N535" t="s">
        <v>3323</v>
      </c>
      <c r="O535" t="str">
        <f t="shared" si="77"/>
        <v>52511</v>
      </c>
      <c r="P535" t="str">
        <f t="shared" ref="P535:P548" si="80">"2100L"</f>
        <v>2100L</v>
      </c>
      <c r="Q535" t="str">
        <f t="shared" ref="Q535:Q591" si="81">"0101"</f>
        <v>0101</v>
      </c>
      <c r="R535">
        <v>2100</v>
      </c>
      <c r="S535" t="str">
        <f t="shared" si="78"/>
        <v>5250</v>
      </c>
      <c r="T535" t="s">
        <v>3412</v>
      </c>
      <c r="U535" t="s">
        <v>606</v>
      </c>
    </row>
    <row r="536" spans="1:21" ht="15" customHeight="1" x14ac:dyDescent="0.3">
      <c r="A536" t="s">
        <v>179</v>
      </c>
      <c r="B536" t="str">
        <f>"00072724"</f>
        <v>00072724</v>
      </c>
      <c r="C536" t="s">
        <v>4253</v>
      </c>
      <c r="D536" t="s">
        <v>633</v>
      </c>
      <c r="E536" t="str">
        <f>"00056931"</f>
        <v>00056931</v>
      </c>
      <c r="F536">
        <v>0</v>
      </c>
      <c r="G536" s="243">
        <v>40042</v>
      </c>
      <c r="H536" t="s">
        <v>182</v>
      </c>
      <c r="I536">
        <v>15</v>
      </c>
      <c r="J536">
        <v>4</v>
      </c>
      <c r="K536">
        <v>1</v>
      </c>
      <c r="L536">
        <v>54725</v>
      </c>
      <c r="M536" t="str">
        <f t="shared" si="79"/>
        <v>13</v>
      </c>
      <c r="N536" t="s">
        <v>3323</v>
      </c>
      <c r="O536" t="str">
        <f t="shared" si="77"/>
        <v>52511</v>
      </c>
      <c r="P536" t="str">
        <f t="shared" si="80"/>
        <v>2100L</v>
      </c>
      <c r="Q536" t="str">
        <f t="shared" si="81"/>
        <v>0101</v>
      </c>
      <c r="R536">
        <v>2100</v>
      </c>
      <c r="S536" t="str">
        <f t="shared" si="78"/>
        <v>5250</v>
      </c>
      <c r="T536" t="s">
        <v>3412</v>
      </c>
      <c r="U536" t="s">
        <v>606</v>
      </c>
    </row>
    <row r="537" spans="1:21" ht="15" customHeight="1" x14ac:dyDescent="0.3">
      <c r="A537" t="s">
        <v>179</v>
      </c>
      <c r="B537" t="str">
        <f>"00072726"</f>
        <v>00072726</v>
      </c>
      <c r="C537" t="s">
        <v>4260</v>
      </c>
      <c r="D537" t="s">
        <v>4470</v>
      </c>
      <c r="E537" t="str">
        <f>"00065034"</f>
        <v>00065034</v>
      </c>
      <c r="F537">
        <v>0</v>
      </c>
      <c r="G537" s="243">
        <v>41133</v>
      </c>
      <c r="H537" t="s">
        <v>182</v>
      </c>
      <c r="I537">
        <v>15</v>
      </c>
      <c r="J537">
        <v>1</v>
      </c>
      <c r="K537">
        <v>1</v>
      </c>
      <c r="L537">
        <v>54975</v>
      </c>
      <c r="M537" t="str">
        <f t="shared" si="79"/>
        <v>13</v>
      </c>
      <c r="N537" t="s">
        <v>3370</v>
      </c>
      <c r="O537" t="str">
        <f t="shared" si="77"/>
        <v>52511</v>
      </c>
      <c r="P537" t="str">
        <f t="shared" si="80"/>
        <v>2100L</v>
      </c>
      <c r="Q537" t="str">
        <f t="shared" si="81"/>
        <v>0101</v>
      </c>
      <c r="R537">
        <v>2100</v>
      </c>
      <c r="S537" t="str">
        <f t="shared" si="78"/>
        <v>5250</v>
      </c>
      <c r="T537" t="s">
        <v>3412</v>
      </c>
      <c r="U537" t="s">
        <v>606</v>
      </c>
    </row>
    <row r="538" spans="1:21" ht="15" customHeight="1" x14ac:dyDescent="0.3">
      <c r="A538" t="s">
        <v>179</v>
      </c>
      <c r="B538" t="str">
        <f>"00073763"</f>
        <v>00073763</v>
      </c>
      <c r="C538" t="s">
        <v>200</v>
      </c>
      <c r="D538" t="s">
        <v>3413</v>
      </c>
      <c r="E538" t="str">
        <f>"00045439"</f>
        <v>00045439</v>
      </c>
      <c r="F538">
        <v>0</v>
      </c>
      <c r="G538" s="243">
        <v>36689</v>
      </c>
      <c r="H538" t="s">
        <v>182</v>
      </c>
      <c r="I538">
        <v>15</v>
      </c>
      <c r="J538">
        <v>9</v>
      </c>
      <c r="K538">
        <v>0.5</v>
      </c>
      <c r="L538">
        <v>75232</v>
      </c>
      <c r="M538" t="str">
        <f t="shared" si="79"/>
        <v>13</v>
      </c>
      <c r="N538" t="s">
        <v>3323</v>
      </c>
      <c r="O538" t="str">
        <f t="shared" si="77"/>
        <v>52511</v>
      </c>
      <c r="P538" t="str">
        <f t="shared" si="80"/>
        <v>2100L</v>
      </c>
      <c r="Q538" t="str">
        <f t="shared" si="81"/>
        <v>0101</v>
      </c>
      <c r="R538">
        <v>2100</v>
      </c>
      <c r="S538" t="str">
        <f t="shared" si="78"/>
        <v>5250</v>
      </c>
      <c r="T538" t="s">
        <v>3412</v>
      </c>
      <c r="U538" t="s">
        <v>606</v>
      </c>
    </row>
    <row r="539" spans="1:21" ht="15" customHeight="1" x14ac:dyDescent="0.3">
      <c r="A539" t="s">
        <v>179</v>
      </c>
      <c r="B539" t="str">
        <f>"00073822"</f>
        <v>00073822</v>
      </c>
      <c r="C539" t="s">
        <v>4260</v>
      </c>
      <c r="D539" t="s">
        <v>3415</v>
      </c>
      <c r="E539" t="str">
        <f>"00066180"</f>
        <v>00066180</v>
      </c>
      <c r="F539">
        <v>0</v>
      </c>
      <c r="G539" s="243">
        <v>40755</v>
      </c>
      <c r="H539" t="s">
        <v>182</v>
      </c>
      <c r="I539">
        <v>15</v>
      </c>
      <c r="J539">
        <v>4</v>
      </c>
      <c r="K539">
        <v>1</v>
      </c>
      <c r="L539">
        <v>54725</v>
      </c>
      <c r="M539" t="str">
        <f t="shared" si="79"/>
        <v>13</v>
      </c>
      <c r="N539" t="s">
        <v>3323</v>
      </c>
      <c r="O539" t="str">
        <f t="shared" si="77"/>
        <v>52511</v>
      </c>
      <c r="P539" t="str">
        <f t="shared" si="80"/>
        <v>2100L</v>
      </c>
      <c r="Q539" t="str">
        <f t="shared" si="81"/>
        <v>0101</v>
      </c>
      <c r="R539">
        <v>2100</v>
      </c>
      <c r="S539" t="str">
        <f t="shared" si="78"/>
        <v>5250</v>
      </c>
      <c r="T539" t="s">
        <v>3412</v>
      </c>
      <c r="U539" t="s">
        <v>606</v>
      </c>
    </row>
    <row r="540" spans="1:21" ht="15" customHeight="1" x14ac:dyDescent="0.3">
      <c r="A540" t="s">
        <v>179</v>
      </c>
      <c r="B540" t="str">
        <f>"00073823"</f>
        <v>00073823</v>
      </c>
      <c r="C540" t="s">
        <v>4257</v>
      </c>
      <c r="H540" t="s">
        <v>170</v>
      </c>
      <c r="I540">
        <v>15</v>
      </c>
      <c r="J540">
        <v>1</v>
      </c>
      <c r="K540">
        <v>1</v>
      </c>
      <c r="L540">
        <v>51539</v>
      </c>
      <c r="M540" t="str">
        <f t="shared" si="79"/>
        <v>13</v>
      </c>
      <c r="N540" t="s">
        <v>3323</v>
      </c>
      <c r="O540" t="str">
        <f t="shared" si="77"/>
        <v>52511</v>
      </c>
      <c r="P540" t="str">
        <f t="shared" si="80"/>
        <v>2100L</v>
      </c>
      <c r="Q540" t="str">
        <f t="shared" si="81"/>
        <v>0101</v>
      </c>
      <c r="R540">
        <v>2100</v>
      </c>
      <c r="S540" t="str">
        <f t="shared" si="78"/>
        <v>5250</v>
      </c>
      <c r="T540" t="s">
        <v>3412</v>
      </c>
      <c r="U540" t="s">
        <v>606</v>
      </c>
    </row>
    <row r="541" spans="1:21" ht="15" customHeight="1" x14ac:dyDescent="0.3">
      <c r="A541" t="s">
        <v>179</v>
      </c>
      <c r="B541" t="str">
        <f>"00075959"</f>
        <v>00075959</v>
      </c>
      <c r="C541" t="s">
        <v>4438</v>
      </c>
      <c r="H541" t="s">
        <v>170</v>
      </c>
      <c r="I541">
        <v>11</v>
      </c>
      <c r="J541">
        <v>0</v>
      </c>
      <c r="K541">
        <v>0.5</v>
      </c>
      <c r="L541">
        <v>60779</v>
      </c>
      <c r="M541" t="str">
        <f t="shared" si="79"/>
        <v>13</v>
      </c>
      <c r="N541" t="s">
        <v>3323</v>
      </c>
      <c r="O541" t="str">
        <f t="shared" si="77"/>
        <v>52511</v>
      </c>
      <c r="P541" t="str">
        <f t="shared" si="80"/>
        <v>2100L</v>
      </c>
      <c r="Q541" t="str">
        <f t="shared" si="81"/>
        <v>0101</v>
      </c>
      <c r="R541">
        <v>2100</v>
      </c>
      <c r="S541" t="str">
        <f t="shared" si="78"/>
        <v>5250</v>
      </c>
      <c r="T541" t="s">
        <v>3412</v>
      </c>
      <c r="U541" t="s">
        <v>606</v>
      </c>
    </row>
    <row r="542" spans="1:21" ht="15" customHeight="1" x14ac:dyDescent="0.3">
      <c r="A542" t="s">
        <v>179</v>
      </c>
      <c r="B542" t="str">
        <f>"00075960"</f>
        <v>00075960</v>
      </c>
      <c r="C542" t="s">
        <v>4262</v>
      </c>
      <c r="D542" t="s">
        <v>4471</v>
      </c>
      <c r="E542" t="str">
        <f>"00069559"</f>
        <v>00069559</v>
      </c>
      <c r="F542">
        <v>0</v>
      </c>
      <c r="G542" s="243">
        <v>41133</v>
      </c>
      <c r="H542" t="s">
        <v>182</v>
      </c>
      <c r="I542">
        <v>15</v>
      </c>
      <c r="J542">
        <v>10</v>
      </c>
      <c r="K542">
        <v>1</v>
      </c>
      <c r="L542">
        <v>80729</v>
      </c>
      <c r="M542" t="str">
        <f t="shared" si="79"/>
        <v>13</v>
      </c>
      <c r="N542" t="s">
        <v>3370</v>
      </c>
      <c r="O542" t="str">
        <f t="shared" si="77"/>
        <v>52511</v>
      </c>
      <c r="P542" t="str">
        <f t="shared" si="80"/>
        <v>2100L</v>
      </c>
      <c r="Q542" t="str">
        <f t="shared" si="81"/>
        <v>0101</v>
      </c>
      <c r="R542">
        <v>2100</v>
      </c>
      <c r="S542" t="str">
        <f t="shared" si="78"/>
        <v>5250</v>
      </c>
      <c r="T542" t="s">
        <v>3412</v>
      </c>
      <c r="U542" t="s">
        <v>606</v>
      </c>
    </row>
    <row r="543" spans="1:21" ht="15" customHeight="1" x14ac:dyDescent="0.3">
      <c r="A543" t="s">
        <v>179</v>
      </c>
      <c r="B543" t="str">
        <f>"00075961"</f>
        <v>00075961</v>
      </c>
      <c r="C543" t="s">
        <v>4270</v>
      </c>
      <c r="H543" t="s">
        <v>170</v>
      </c>
      <c r="I543">
        <v>15</v>
      </c>
      <c r="J543">
        <v>0</v>
      </c>
      <c r="K543">
        <v>0.5</v>
      </c>
      <c r="L543">
        <v>51539</v>
      </c>
      <c r="M543" t="str">
        <f t="shared" si="79"/>
        <v>13</v>
      </c>
      <c r="N543" t="s">
        <v>3370</v>
      </c>
      <c r="O543" t="str">
        <f t="shared" si="77"/>
        <v>52511</v>
      </c>
      <c r="P543" t="str">
        <f t="shared" si="80"/>
        <v>2100L</v>
      </c>
      <c r="Q543" t="str">
        <f t="shared" si="81"/>
        <v>0101</v>
      </c>
      <c r="R543">
        <v>2100</v>
      </c>
      <c r="S543" t="str">
        <f t="shared" si="78"/>
        <v>5250</v>
      </c>
      <c r="T543" t="s">
        <v>3412</v>
      </c>
      <c r="U543" t="s">
        <v>606</v>
      </c>
    </row>
    <row r="544" spans="1:21" ht="15" customHeight="1" x14ac:dyDescent="0.3">
      <c r="A544" t="s">
        <v>179</v>
      </c>
      <c r="B544" t="str">
        <f>"00075962"</f>
        <v>00075962</v>
      </c>
      <c r="C544" t="s">
        <v>4262</v>
      </c>
      <c r="H544" t="s">
        <v>170</v>
      </c>
      <c r="I544">
        <v>15</v>
      </c>
      <c r="J544">
        <v>0</v>
      </c>
      <c r="K544">
        <v>1</v>
      </c>
      <c r="L544">
        <v>51539</v>
      </c>
      <c r="M544" t="str">
        <f t="shared" si="79"/>
        <v>13</v>
      </c>
      <c r="N544" t="s">
        <v>3370</v>
      </c>
      <c r="O544" t="str">
        <f t="shared" si="77"/>
        <v>52511</v>
      </c>
      <c r="P544" t="str">
        <f t="shared" si="80"/>
        <v>2100L</v>
      </c>
      <c r="Q544" t="str">
        <f t="shared" si="81"/>
        <v>0101</v>
      </c>
      <c r="R544">
        <v>2100</v>
      </c>
      <c r="S544" t="str">
        <f t="shared" si="78"/>
        <v>5250</v>
      </c>
      <c r="T544" t="s">
        <v>3412</v>
      </c>
      <c r="U544" t="s">
        <v>606</v>
      </c>
    </row>
    <row r="545" spans="1:21" ht="15" customHeight="1" x14ac:dyDescent="0.3">
      <c r="A545" t="s">
        <v>179</v>
      </c>
      <c r="B545" t="str">
        <f>"00075964"</f>
        <v>00075964</v>
      </c>
      <c r="C545" t="s">
        <v>4270</v>
      </c>
      <c r="D545" t="s">
        <v>620</v>
      </c>
      <c r="E545" t="str">
        <f>"00053721"</f>
        <v>00053721</v>
      </c>
      <c r="F545">
        <v>0</v>
      </c>
      <c r="G545" s="243">
        <v>37493</v>
      </c>
      <c r="H545" t="s">
        <v>182</v>
      </c>
      <c r="I545">
        <v>15</v>
      </c>
      <c r="J545">
        <v>11</v>
      </c>
      <c r="K545">
        <v>0.5</v>
      </c>
      <c r="L545">
        <v>81335</v>
      </c>
      <c r="M545" t="str">
        <f t="shared" si="79"/>
        <v>13</v>
      </c>
      <c r="N545" t="s">
        <v>3370</v>
      </c>
      <c r="O545" t="str">
        <f t="shared" si="77"/>
        <v>52511</v>
      </c>
      <c r="P545" t="str">
        <f t="shared" si="80"/>
        <v>2100L</v>
      </c>
      <c r="Q545" t="str">
        <f t="shared" si="81"/>
        <v>0101</v>
      </c>
      <c r="R545">
        <v>2100</v>
      </c>
      <c r="S545" t="str">
        <f t="shared" si="78"/>
        <v>5250</v>
      </c>
      <c r="T545" t="s">
        <v>3412</v>
      </c>
      <c r="U545" t="s">
        <v>606</v>
      </c>
    </row>
    <row r="546" spans="1:21" ht="15" customHeight="1" x14ac:dyDescent="0.3">
      <c r="A546" t="s">
        <v>179</v>
      </c>
      <c r="B546" t="str">
        <f>"00075965"</f>
        <v>00075965</v>
      </c>
      <c r="C546" t="s">
        <v>4256</v>
      </c>
      <c r="D546" t="s">
        <v>543</v>
      </c>
      <c r="E546" t="str">
        <f>"00048872"</f>
        <v>00048872</v>
      </c>
      <c r="F546">
        <v>0</v>
      </c>
      <c r="G546" s="243">
        <v>39679</v>
      </c>
      <c r="H546" t="s">
        <v>182</v>
      </c>
      <c r="I546">
        <v>15</v>
      </c>
      <c r="J546">
        <v>12</v>
      </c>
      <c r="K546">
        <v>0.5</v>
      </c>
      <c r="L546">
        <v>44943.5</v>
      </c>
      <c r="M546" t="str">
        <f t="shared" si="79"/>
        <v>13</v>
      </c>
      <c r="N546" t="s">
        <v>3370</v>
      </c>
      <c r="O546" t="str">
        <f t="shared" si="77"/>
        <v>52511</v>
      </c>
      <c r="P546" t="str">
        <f t="shared" si="80"/>
        <v>2100L</v>
      </c>
      <c r="Q546" t="str">
        <f t="shared" si="81"/>
        <v>0101</v>
      </c>
      <c r="R546">
        <v>2100</v>
      </c>
      <c r="S546" t="str">
        <f t="shared" si="78"/>
        <v>5250</v>
      </c>
      <c r="T546" t="s">
        <v>3412</v>
      </c>
      <c r="U546" t="s">
        <v>606</v>
      </c>
    </row>
    <row r="547" spans="1:21" ht="15" customHeight="1" x14ac:dyDescent="0.3">
      <c r="A547" t="s">
        <v>179</v>
      </c>
      <c r="B547" t="str">
        <f>"00075966"</f>
        <v>00075966</v>
      </c>
      <c r="C547" t="s">
        <v>4270</v>
      </c>
      <c r="H547" t="s">
        <v>170</v>
      </c>
      <c r="I547">
        <v>15</v>
      </c>
      <c r="J547">
        <v>0</v>
      </c>
      <c r="K547">
        <v>1</v>
      </c>
      <c r="L547">
        <v>51539</v>
      </c>
      <c r="M547" t="str">
        <f t="shared" si="79"/>
        <v>13</v>
      </c>
      <c r="N547" t="s">
        <v>3370</v>
      </c>
      <c r="O547" t="str">
        <f t="shared" si="77"/>
        <v>52511</v>
      </c>
      <c r="P547" t="str">
        <f t="shared" si="80"/>
        <v>2100L</v>
      </c>
      <c r="Q547" t="str">
        <f t="shared" si="81"/>
        <v>0101</v>
      </c>
      <c r="R547">
        <v>2100</v>
      </c>
      <c r="S547" t="str">
        <f t="shared" si="78"/>
        <v>5250</v>
      </c>
      <c r="T547" t="s">
        <v>3412</v>
      </c>
      <c r="U547" t="s">
        <v>606</v>
      </c>
    </row>
    <row r="548" spans="1:21" ht="15" customHeight="1" x14ac:dyDescent="0.3">
      <c r="A548" t="s">
        <v>179</v>
      </c>
      <c r="B548" t="str">
        <f>"00075968"</f>
        <v>00075968</v>
      </c>
      <c r="C548" t="s">
        <v>4270</v>
      </c>
      <c r="D548" t="s">
        <v>3416</v>
      </c>
      <c r="E548" t="str">
        <f>"00062062"</f>
        <v>00062062</v>
      </c>
      <c r="F548">
        <v>0</v>
      </c>
      <c r="G548" s="243">
        <v>40699</v>
      </c>
      <c r="H548" t="s">
        <v>182</v>
      </c>
      <c r="I548">
        <v>15</v>
      </c>
      <c r="J548">
        <v>1</v>
      </c>
      <c r="K548">
        <v>0.5</v>
      </c>
      <c r="L548">
        <v>25769.5</v>
      </c>
      <c r="M548" t="str">
        <f t="shared" si="79"/>
        <v>13</v>
      </c>
      <c r="N548" t="s">
        <v>3370</v>
      </c>
      <c r="O548" t="str">
        <f t="shared" si="77"/>
        <v>52511</v>
      </c>
      <c r="P548" t="str">
        <f t="shared" si="80"/>
        <v>2100L</v>
      </c>
      <c r="Q548" t="str">
        <f t="shared" si="81"/>
        <v>0101</v>
      </c>
      <c r="R548">
        <v>2100</v>
      </c>
      <c r="S548" t="str">
        <f t="shared" si="78"/>
        <v>5250</v>
      </c>
      <c r="T548" t="s">
        <v>3412</v>
      </c>
      <c r="U548" t="s">
        <v>606</v>
      </c>
    </row>
    <row r="549" spans="1:21" ht="15" customHeight="1" x14ac:dyDescent="0.3">
      <c r="A549" t="s">
        <v>179</v>
      </c>
      <c r="B549" t="str">
        <f>"00076446"</f>
        <v>00076446</v>
      </c>
      <c r="C549" t="s">
        <v>4288</v>
      </c>
      <c r="D549" t="s">
        <v>4472</v>
      </c>
      <c r="E549" t="str">
        <f>"00070077"</f>
        <v>00070077</v>
      </c>
      <c r="F549">
        <v>0</v>
      </c>
      <c r="G549" s="243">
        <v>41148</v>
      </c>
      <c r="H549" t="s">
        <v>182</v>
      </c>
      <c r="I549">
        <v>4</v>
      </c>
      <c r="J549">
        <v>7</v>
      </c>
      <c r="K549">
        <v>0.71</v>
      </c>
      <c r="L549">
        <v>26633.25</v>
      </c>
      <c r="M549" t="str">
        <f t="shared" si="79"/>
        <v>13</v>
      </c>
      <c r="N549" t="s">
        <v>3370</v>
      </c>
      <c r="O549" t="str">
        <f t="shared" si="77"/>
        <v>52511</v>
      </c>
      <c r="P549" t="str">
        <f>"2200L"</f>
        <v>2200L</v>
      </c>
      <c r="Q549" t="str">
        <f t="shared" si="81"/>
        <v>0101</v>
      </c>
      <c r="R549">
        <v>2200</v>
      </c>
      <c r="S549" t="str">
        <f t="shared" si="78"/>
        <v>5250</v>
      </c>
      <c r="T549" t="s">
        <v>3412</v>
      </c>
      <c r="U549" t="s">
        <v>606</v>
      </c>
    </row>
    <row r="550" spans="1:21" ht="15" customHeight="1" x14ac:dyDescent="0.3">
      <c r="A550" t="s">
        <v>179</v>
      </c>
      <c r="B550" t="str">
        <f>"00051796"</f>
        <v>00051796</v>
      </c>
      <c r="C550" t="s">
        <v>4272</v>
      </c>
      <c r="D550" t="s">
        <v>634</v>
      </c>
      <c r="E550" t="str">
        <f>"00045953"</f>
        <v>00045953</v>
      </c>
      <c r="F550">
        <v>0</v>
      </c>
      <c r="G550" s="243">
        <v>34941</v>
      </c>
      <c r="H550" t="s">
        <v>182</v>
      </c>
      <c r="I550">
        <v>15</v>
      </c>
      <c r="J550">
        <v>13</v>
      </c>
      <c r="K550">
        <v>1</v>
      </c>
      <c r="L550">
        <v>86613</v>
      </c>
      <c r="M550" t="str">
        <f t="shared" si="79"/>
        <v>13</v>
      </c>
      <c r="N550" t="s">
        <v>3323</v>
      </c>
      <c r="O550" t="str">
        <f t="shared" ref="O550:O578" si="82">"52611"</f>
        <v>52611</v>
      </c>
      <c r="P550" t="str">
        <f>"2100L"</f>
        <v>2100L</v>
      </c>
      <c r="Q550" t="str">
        <f t="shared" si="81"/>
        <v>0101</v>
      </c>
      <c r="R550">
        <v>2100</v>
      </c>
      <c r="S550" t="str">
        <f t="shared" ref="S550:S578" si="83">"5260"</f>
        <v>5260</v>
      </c>
      <c r="T550" t="s">
        <v>3418</v>
      </c>
      <c r="U550" t="s">
        <v>24</v>
      </c>
    </row>
    <row r="551" spans="1:21" ht="15" customHeight="1" x14ac:dyDescent="0.3">
      <c r="A551" t="s">
        <v>179</v>
      </c>
      <c r="B551" t="str">
        <f>"00051806"</f>
        <v>00051806</v>
      </c>
      <c r="C551" t="s">
        <v>4252</v>
      </c>
      <c r="H551" t="s">
        <v>170</v>
      </c>
      <c r="I551">
        <v>15</v>
      </c>
      <c r="J551">
        <v>1</v>
      </c>
      <c r="K551">
        <v>1</v>
      </c>
      <c r="L551">
        <v>54975</v>
      </c>
      <c r="M551" t="str">
        <f t="shared" si="79"/>
        <v>13</v>
      </c>
      <c r="N551" t="s">
        <v>3323</v>
      </c>
      <c r="O551" t="str">
        <f t="shared" si="82"/>
        <v>52611</v>
      </c>
      <c r="P551" t="str">
        <f>"2100L"</f>
        <v>2100L</v>
      </c>
      <c r="Q551" t="str">
        <f t="shared" si="81"/>
        <v>0101</v>
      </c>
      <c r="R551">
        <v>2100</v>
      </c>
      <c r="S551" t="str">
        <f t="shared" si="83"/>
        <v>5260</v>
      </c>
      <c r="T551" t="s">
        <v>3418</v>
      </c>
      <c r="U551" t="s">
        <v>24</v>
      </c>
    </row>
    <row r="552" spans="1:21" ht="15" customHeight="1" x14ac:dyDescent="0.3">
      <c r="A552" t="s">
        <v>179</v>
      </c>
      <c r="B552" t="str">
        <f>"00052197"</f>
        <v>00052197</v>
      </c>
      <c r="C552" t="s">
        <v>4259</v>
      </c>
      <c r="D552" t="s">
        <v>1722</v>
      </c>
      <c r="E552" t="str">
        <f>"00048512"</f>
        <v>00048512</v>
      </c>
      <c r="F552">
        <v>0</v>
      </c>
      <c r="G552" s="243">
        <v>36823</v>
      </c>
      <c r="H552" t="s">
        <v>182</v>
      </c>
      <c r="I552">
        <v>15</v>
      </c>
      <c r="J552">
        <v>14</v>
      </c>
      <c r="K552">
        <v>1</v>
      </c>
      <c r="L552">
        <v>96460</v>
      </c>
      <c r="M552" t="str">
        <f t="shared" si="79"/>
        <v>13</v>
      </c>
      <c r="N552" t="s">
        <v>3370</v>
      </c>
      <c r="O552" t="str">
        <f t="shared" si="82"/>
        <v>52611</v>
      </c>
      <c r="P552" t="str">
        <f>"2100L"</f>
        <v>2100L</v>
      </c>
      <c r="Q552" t="str">
        <f t="shared" si="81"/>
        <v>0101</v>
      </c>
      <c r="R552">
        <v>2100</v>
      </c>
      <c r="S552" t="str">
        <f t="shared" si="83"/>
        <v>5260</v>
      </c>
      <c r="T552" t="s">
        <v>3418</v>
      </c>
      <c r="U552" t="s">
        <v>24</v>
      </c>
    </row>
    <row r="553" spans="1:21" ht="15" customHeight="1" x14ac:dyDescent="0.3">
      <c r="A553" t="s">
        <v>179</v>
      </c>
      <c r="B553" t="str">
        <f>"00052693"</f>
        <v>00052693</v>
      </c>
      <c r="C553" t="s">
        <v>4262</v>
      </c>
      <c r="D553" t="s">
        <v>4473</v>
      </c>
      <c r="E553" t="str">
        <f>"00067145"</f>
        <v>00067145</v>
      </c>
      <c r="F553">
        <v>0</v>
      </c>
      <c r="G553" s="243">
        <v>41133</v>
      </c>
      <c r="H553" t="s">
        <v>182</v>
      </c>
      <c r="I553">
        <v>15</v>
      </c>
      <c r="J553">
        <v>1</v>
      </c>
      <c r="K553">
        <v>1</v>
      </c>
      <c r="L553">
        <v>51539</v>
      </c>
      <c r="M553" t="str">
        <f t="shared" si="79"/>
        <v>13</v>
      </c>
      <c r="N553" t="s">
        <v>3370</v>
      </c>
      <c r="O553" t="str">
        <f t="shared" si="82"/>
        <v>52611</v>
      </c>
      <c r="P553" t="str">
        <f>"2100L"</f>
        <v>2100L</v>
      </c>
      <c r="Q553" t="str">
        <f t="shared" si="81"/>
        <v>0101</v>
      </c>
      <c r="R553">
        <v>2100</v>
      </c>
      <c r="S553" t="str">
        <f t="shared" si="83"/>
        <v>5260</v>
      </c>
      <c r="T553" t="s">
        <v>3418</v>
      </c>
      <c r="U553" t="s">
        <v>24</v>
      </c>
    </row>
    <row r="554" spans="1:21" ht="15" customHeight="1" x14ac:dyDescent="0.3">
      <c r="A554" t="s">
        <v>179</v>
      </c>
      <c r="B554" t="str">
        <f>"00052925"</f>
        <v>00052925</v>
      </c>
      <c r="C554" t="s">
        <v>4260</v>
      </c>
      <c r="D554" t="s">
        <v>636</v>
      </c>
      <c r="E554" t="str">
        <f>"00050193"</f>
        <v>00050193</v>
      </c>
      <c r="F554">
        <v>0</v>
      </c>
      <c r="G554" s="243">
        <v>36034</v>
      </c>
      <c r="H554" t="s">
        <v>182</v>
      </c>
      <c r="I554">
        <v>15</v>
      </c>
      <c r="J554">
        <v>16</v>
      </c>
      <c r="K554">
        <v>1</v>
      </c>
      <c r="L554">
        <v>100839</v>
      </c>
      <c r="M554" t="str">
        <f t="shared" si="79"/>
        <v>13</v>
      </c>
      <c r="N554" t="s">
        <v>3323</v>
      </c>
      <c r="O554" t="str">
        <f t="shared" si="82"/>
        <v>52611</v>
      </c>
      <c r="P554" t="str">
        <f>"3030L"</f>
        <v>3030L</v>
      </c>
      <c r="Q554" t="str">
        <f t="shared" si="81"/>
        <v>0101</v>
      </c>
      <c r="R554">
        <v>3030</v>
      </c>
      <c r="S554" t="str">
        <f t="shared" si="83"/>
        <v>5260</v>
      </c>
      <c r="T554" t="s">
        <v>3418</v>
      </c>
      <c r="U554" t="s">
        <v>24</v>
      </c>
    </row>
    <row r="555" spans="1:21" ht="15" customHeight="1" x14ac:dyDescent="0.3">
      <c r="A555" t="s">
        <v>179</v>
      </c>
      <c r="B555" t="str">
        <f>"00053348"</f>
        <v>00053348</v>
      </c>
      <c r="C555" t="s">
        <v>637</v>
      </c>
      <c r="D555" t="s">
        <v>638</v>
      </c>
      <c r="E555" t="str">
        <f>"00051344"</f>
        <v>00051344</v>
      </c>
      <c r="F555">
        <v>0</v>
      </c>
      <c r="G555" s="243">
        <v>34213</v>
      </c>
      <c r="H555" t="s">
        <v>182</v>
      </c>
      <c r="I555">
        <v>9</v>
      </c>
      <c r="J555">
        <v>4</v>
      </c>
      <c r="K555">
        <v>1</v>
      </c>
      <c r="L555">
        <v>36352</v>
      </c>
      <c r="M555" t="str">
        <f t="shared" si="79"/>
        <v>13</v>
      </c>
      <c r="N555" t="s">
        <v>3323</v>
      </c>
      <c r="O555" t="str">
        <f t="shared" si="82"/>
        <v>52611</v>
      </c>
      <c r="P555" t="str">
        <f t="shared" ref="P555:P565" si="84">"2100L"</f>
        <v>2100L</v>
      </c>
      <c r="Q555" t="str">
        <f t="shared" si="81"/>
        <v>0101</v>
      </c>
      <c r="R555">
        <v>2100</v>
      </c>
      <c r="S555" t="str">
        <f t="shared" si="83"/>
        <v>5260</v>
      </c>
      <c r="T555" t="s">
        <v>3418</v>
      </c>
      <c r="U555" t="s">
        <v>24</v>
      </c>
    </row>
    <row r="556" spans="1:21" ht="15" customHeight="1" x14ac:dyDescent="0.3">
      <c r="A556" t="s">
        <v>179</v>
      </c>
      <c r="B556" t="str">
        <f>"00053476"</f>
        <v>00053476</v>
      </c>
      <c r="C556" t="s">
        <v>4262</v>
      </c>
      <c r="D556" t="s">
        <v>639</v>
      </c>
      <c r="E556" t="str">
        <f>"00051570"</f>
        <v>00051570</v>
      </c>
      <c r="F556">
        <v>0</v>
      </c>
      <c r="G556" s="243">
        <v>34941</v>
      </c>
      <c r="H556" t="s">
        <v>182</v>
      </c>
      <c r="I556">
        <v>15</v>
      </c>
      <c r="J556">
        <v>14</v>
      </c>
      <c r="K556">
        <v>1</v>
      </c>
      <c r="L556">
        <v>96460</v>
      </c>
      <c r="M556" t="str">
        <f t="shared" si="79"/>
        <v>13</v>
      </c>
      <c r="N556" t="s">
        <v>3323</v>
      </c>
      <c r="O556" t="str">
        <f t="shared" si="82"/>
        <v>52611</v>
      </c>
      <c r="P556" t="str">
        <f t="shared" si="84"/>
        <v>2100L</v>
      </c>
      <c r="Q556" t="str">
        <f t="shared" si="81"/>
        <v>0101</v>
      </c>
      <c r="R556">
        <v>2100</v>
      </c>
      <c r="S556" t="str">
        <f t="shared" si="83"/>
        <v>5260</v>
      </c>
      <c r="T556" t="s">
        <v>3418</v>
      </c>
      <c r="U556" t="s">
        <v>24</v>
      </c>
    </row>
    <row r="557" spans="1:21" ht="15" customHeight="1" x14ac:dyDescent="0.3">
      <c r="A557" t="s">
        <v>179</v>
      </c>
      <c r="B557" t="str">
        <f>"00053651"</f>
        <v>00053651</v>
      </c>
      <c r="C557" t="s">
        <v>4288</v>
      </c>
      <c r="D557" t="s">
        <v>4474</v>
      </c>
      <c r="E557" t="str">
        <f>"00052054"</f>
        <v>00052054</v>
      </c>
      <c r="F557">
        <v>0</v>
      </c>
      <c r="G557" s="243">
        <v>35942</v>
      </c>
      <c r="H557" t="s">
        <v>182</v>
      </c>
      <c r="I557">
        <v>4</v>
      </c>
      <c r="J557">
        <v>9</v>
      </c>
      <c r="K557">
        <v>0.75</v>
      </c>
      <c r="L557">
        <v>24021.75</v>
      </c>
      <c r="M557" t="str">
        <f t="shared" si="79"/>
        <v>13</v>
      </c>
      <c r="N557" t="s">
        <v>3323</v>
      </c>
      <c r="O557" t="str">
        <f t="shared" si="82"/>
        <v>52611</v>
      </c>
      <c r="P557" t="str">
        <f t="shared" si="84"/>
        <v>2100L</v>
      </c>
      <c r="Q557" t="str">
        <f t="shared" si="81"/>
        <v>0101</v>
      </c>
      <c r="R557">
        <v>2100</v>
      </c>
      <c r="S557" t="str">
        <f t="shared" si="83"/>
        <v>5260</v>
      </c>
      <c r="T557" t="s">
        <v>3418</v>
      </c>
      <c r="U557" t="s">
        <v>24</v>
      </c>
    </row>
    <row r="558" spans="1:21" ht="15" customHeight="1" x14ac:dyDescent="0.3">
      <c r="A558" t="s">
        <v>179</v>
      </c>
      <c r="B558" t="str">
        <f>"00054305"</f>
        <v>00054305</v>
      </c>
      <c r="C558" t="s">
        <v>4272</v>
      </c>
      <c r="D558" t="s">
        <v>640</v>
      </c>
      <c r="E558" t="str">
        <f>"00053518"</f>
        <v>00053518</v>
      </c>
      <c r="F558">
        <v>0</v>
      </c>
      <c r="G558" s="243">
        <v>33848</v>
      </c>
      <c r="H558" t="s">
        <v>182</v>
      </c>
      <c r="I558">
        <v>15</v>
      </c>
      <c r="J558">
        <v>16</v>
      </c>
      <c r="K558">
        <v>1</v>
      </c>
      <c r="L558">
        <v>100839</v>
      </c>
      <c r="M558" t="str">
        <f t="shared" si="79"/>
        <v>13</v>
      </c>
      <c r="N558" t="s">
        <v>3323</v>
      </c>
      <c r="O558" t="str">
        <f t="shared" si="82"/>
        <v>52611</v>
      </c>
      <c r="P558" t="str">
        <f t="shared" si="84"/>
        <v>2100L</v>
      </c>
      <c r="Q558" t="str">
        <f t="shared" si="81"/>
        <v>0101</v>
      </c>
      <c r="R558">
        <v>2100</v>
      </c>
      <c r="S558" t="str">
        <f t="shared" si="83"/>
        <v>5260</v>
      </c>
      <c r="T558" t="s">
        <v>3418</v>
      </c>
      <c r="U558" t="s">
        <v>24</v>
      </c>
    </row>
    <row r="559" spans="1:21" ht="15" customHeight="1" x14ac:dyDescent="0.3">
      <c r="A559" t="s">
        <v>179</v>
      </c>
      <c r="B559" t="str">
        <f>"00054309"</f>
        <v>00054309</v>
      </c>
      <c r="C559" t="s">
        <v>4262</v>
      </c>
      <c r="D559" t="s">
        <v>641</v>
      </c>
      <c r="E559" t="str">
        <f>"00053557"</f>
        <v>00053557</v>
      </c>
      <c r="F559">
        <v>0</v>
      </c>
      <c r="G559" s="243">
        <v>35758</v>
      </c>
      <c r="H559" t="s">
        <v>182</v>
      </c>
      <c r="I559">
        <v>15</v>
      </c>
      <c r="J559">
        <v>14</v>
      </c>
      <c r="K559">
        <v>1</v>
      </c>
      <c r="L559">
        <v>64197</v>
      </c>
      <c r="M559" t="str">
        <f t="shared" si="79"/>
        <v>13</v>
      </c>
      <c r="N559" t="s">
        <v>3323</v>
      </c>
      <c r="O559" t="str">
        <f t="shared" si="82"/>
        <v>52611</v>
      </c>
      <c r="P559" t="str">
        <f t="shared" si="84"/>
        <v>2100L</v>
      </c>
      <c r="Q559" t="str">
        <f t="shared" si="81"/>
        <v>0101</v>
      </c>
      <c r="R559">
        <v>2100</v>
      </c>
      <c r="S559" t="str">
        <f t="shared" si="83"/>
        <v>5260</v>
      </c>
      <c r="T559" t="s">
        <v>3418</v>
      </c>
      <c r="U559" t="s">
        <v>24</v>
      </c>
    </row>
    <row r="560" spans="1:21" ht="15" customHeight="1" x14ac:dyDescent="0.3">
      <c r="A560" t="s">
        <v>179</v>
      </c>
      <c r="B560" t="str">
        <f>"00054555"</f>
        <v>00054555</v>
      </c>
      <c r="C560" t="s">
        <v>4272</v>
      </c>
      <c r="D560" t="s">
        <v>4475</v>
      </c>
      <c r="E560" t="str">
        <f>"00069746"</f>
        <v>00069746</v>
      </c>
      <c r="F560">
        <v>0</v>
      </c>
      <c r="G560" s="243">
        <v>41133</v>
      </c>
      <c r="H560" t="s">
        <v>182</v>
      </c>
      <c r="I560">
        <v>15</v>
      </c>
      <c r="J560">
        <v>8</v>
      </c>
      <c r="K560">
        <v>1</v>
      </c>
      <c r="L560">
        <v>72171</v>
      </c>
      <c r="M560" t="str">
        <f t="shared" si="79"/>
        <v>13</v>
      </c>
      <c r="N560" t="s">
        <v>3370</v>
      </c>
      <c r="O560" t="str">
        <f t="shared" si="82"/>
        <v>52611</v>
      </c>
      <c r="P560" t="str">
        <f t="shared" si="84"/>
        <v>2100L</v>
      </c>
      <c r="Q560" t="str">
        <f t="shared" si="81"/>
        <v>0101</v>
      </c>
      <c r="R560">
        <v>2100</v>
      </c>
      <c r="S560" t="str">
        <f t="shared" si="83"/>
        <v>5260</v>
      </c>
      <c r="T560" t="s">
        <v>3418</v>
      </c>
      <c r="U560" t="s">
        <v>24</v>
      </c>
    </row>
    <row r="561" spans="1:21" ht="15" customHeight="1" x14ac:dyDescent="0.3">
      <c r="A561" t="s">
        <v>179</v>
      </c>
      <c r="B561" t="str">
        <f>"00054636"</f>
        <v>00054636</v>
      </c>
      <c r="C561" t="s">
        <v>4272</v>
      </c>
      <c r="D561" t="s">
        <v>642</v>
      </c>
      <c r="E561" t="str">
        <f>"00054325"</f>
        <v>00054325</v>
      </c>
      <c r="F561">
        <v>0</v>
      </c>
      <c r="G561" s="243">
        <v>34881</v>
      </c>
      <c r="H561" t="s">
        <v>182</v>
      </c>
      <c r="I561">
        <v>15</v>
      </c>
      <c r="J561">
        <v>12</v>
      </c>
      <c r="K561">
        <v>1</v>
      </c>
      <c r="L561">
        <v>75816</v>
      </c>
      <c r="M561" t="str">
        <f t="shared" si="79"/>
        <v>13</v>
      </c>
      <c r="N561" t="s">
        <v>3323</v>
      </c>
      <c r="O561" t="str">
        <f t="shared" si="82"/>
        <v>52611</v>
      </c>
      <c r="P561" t="str">
        <f t="shared" si="84"/>
        <v>2100L</v>
      </c>
      <c r="Q561" t="str">
        <f t="shared" si="81"/>
        <v>0101</v>
      </c>
      <c r="R561">
        <v>2100</v>
      </c>
      <c r="S561" t="str">
        <f t="shared" si="83"/>
        <v>5260</v>
      </c>
      <c r="T561" t="s">
        <v>3418</v>
      </c>
      <c r="U561" t="s">
        <v>24</v>
      </c>
    </row>
    <row r="562" spans="1:21" ht="15" customHeight="1" x14ac:dyDescent="0.3">
      <c r="A562" t="s">
        <v>179</v>
      </c>
      <c r="B562" t="str">
        <f>"00054648"</f>
        <v>00054648</v>
      </c>
      <c r="C562" t="s">
        <v>4262</v>
      </c>
      <c r="H562" t="s">
        <v>170</v>
      </c>
      <c r="I562">
        <v>15</v>
      </c>
      <c r="J562">
        <v>1</v>
      </c>
      <c r="K562">
        <v>1</v>
      </c>
      <c r="L562">
        <v>54975</v>
      </c>
      <c r="M562" t="str">
        <f t="shared" si="79"/>
        <v>13</v>
      </c>
      <c r="N562" t="s">
        <v>3323</v>
      </c>
      <c r="O562" t="str">
        <f t="shared" si="82"/>
        <v>52611</v>
      </c>
      <c r="P562" t="str">
        <f t="shared" si="84"/>
        <v>2100L</v>
      </c>
      <c r="Q562" t="str">
        <f t="shared" si="81"/>
        <v>0101</v>
      </c>
      <c r="R562">
        <v>2100</v>
      </c>
      <c r="S562" t="str">
        <f t="shared" si="83"/>
        <v>5260</v>
      </c>
      <c r="T562" t="s">
        <v>3418</v>
      </c>
      <c r="U562" t="s">
        <v>24</v>
      </c>
    </row>
    <row r="563" spans="1:21" ht="15" customHeight="1" x14ac:dyDescent="0.3">
      <c r="A563" t="s">
        <v>179</v>
      </c>
      <c r="B563" t="str">
        <f>"00054651"</f>
        <v>00054651</v>
      </c>
      <c r="C563" t="s">
        <v>4272</v>
      </c>
      <c r="D563" t="s">
        <v>4476</v>
      </c>
      <c r="E563" t="str">
        <f>"00069710"</f>
        <v>00069710</v>
      </c>
      <c r="F563">
        <v>0</v>
      </c>
      <c r="G563" s="243">
        <v>41133</v>
      </c>
      <c r="H563" t="s">
        <v>182</v>
      </c>
      <c r="I563">
        <v>15</v>
      </c>
      <c r="J563">
        <v>5</v>
      </c>
      <c r="K563">
        <v>1</v>
      </c>
      <c r="L563">
        <v>56655</v>
      </c>
      <c r="M563" t="str">
        <f t="shared" si="79"/>
        <v>13</v>
      </c>
      <c r="N563" t="s">
        <v>3370</v>
      </c>
      <c r="O563" t="str">
        <f t="shared" si="82"/>
        <v>52611</v>
      </c>
      <c r="P563" t="str">
        <f t="shared" si="84"/>
        <v>2100L</v>
      </c>
      <c r="Q563" t="str">
        <f t="shared" si="81"/>
        <v>0101</v>
      </c>
      <c r="R563">
        <v>2100</v>
      </c>
      <c r="S563" t="str">
        <f t="shared" si="83"/>
        <v>5260</v>
      </c>
      <c r="T563" t="s">
        <v>3418</v>
      </c>
      <c r="U563" t="s">
        <v>24</v>
      </c>
    </row>
    <row r="564" spans="1:21" ht="15" customHeight="1" x14ac:dyDescent="0.3">
      <c r="A564" t="s">
        <v>179</v>
      </c>
      <c r="B564" t="str">
        <f>"00054879"</f>
        <v>00054879</v>
      </c>
      <c r="C564" t="s">
        <v>4262</v>
      </c>
      <c r="D564" t="s">
        <v>643</v>
      </c>
      <c r="E564" t="str">
        <f>"00054851"</f>
        <v>00054851</v>
      </c>
      <c r="F564">
        <v>0</v>
      </c>
      <c r="G564" s="243">
        <v>32387</v>
      </c>
      <c r="H564" t="s">
        <v>182</v>
      </c>
      <c r="I564">
        <v>15</v>
      </c>
      <c r="J564">
        <v>13</v>
      </c>
      <c r="K564">
        <v>1</v>
      </c>
      <c r="L564">
        <v>86613</v>
      </c>
      <c r="M564" t="str">
        <f t="shared" si="79"/>
        <v>13</v>
      </c>
      <c r="N564" t="s">
        <v>3323</v>
      </c>
      <c r="O564" t="str">
        <f t="shared" si="82"/>
        <v>52611</v>
      </c>
      <c r="P564" t="str">
        <f t="shared" si="84"/>
        <v>2100L</v>
      </c>
      <c r="Q564" t="str">
        <f t="shared" si="81"/>
        <v>0101</v>
      </c>
      <c r="R564">
        <v>2100</v>
      </c>
      <c r="S564" t="str">
        <f t="shared" si="83"/>
        <v>5260</v>
      </c>
      <c r="T564" t="s">
        <v>3418</v>
      </c>
      <c r="U564" t="s">
        <v>24</v>
      </c>
    </row>
    <row r="565" spans="1:21" ht="15" customHeight="1" x14ac:dyDescent="0.3">
      <c r="A565" t="s">
        <v>179</v>
      </c>
      <c r="B565" t="str">
        <f>"00055323"</f>
        <v>00055323</v>
      </c>
      <c r="C565" t="s">
        <v>4254</v>
      </c>
      <c r="D565" t="s">
        <v>644</v>
      </c>
      <c r="E565" t="str">
        <f>"00054517"</f>
        <v>00054517</v>
      </c>
      <c r="F565">
        <v>0</v>
      </c>
      <c r="G565" s="243">
        <v>36130</v>
      </c>
      <c r="H565" t="s">
        <v>182</v>
      </c>
      <c r="I565">
        <v>15</v>
      </c>
      <c r="J565">
        <v>12</v>
      </c>
      <c r="K565">
        <v>1</v>
      </c>
      <c r="L565">
        <v>87431</v>
      </c>
      <c r="M565" t="str">
        <f t="shared" si="79"/>
        <v>13</v>
      </c>
      <c r="N565" t="s">
        <v>3323</v>
      </c>
      <c r="O565" t="str">
        <f t="shared" si="82"/>
        <v>52611</v>
      </c>
      <c r="P565" t="str">
        <f t="shared" si="84"/>
        <v>2100L</v>
      </c>
      <c r="Q565" t="str">
        <f t="shared" si="81"/>
        <v>0101</v>
      </c>
      <c r="R565">
        <v>2100</v>
      </c>
      <c r="S565" t="str">
        <f t="shared" si="83"/>
        <v>5260</v>
      </c>
      <c r="T565" t="s">
        <v>3418</v>
      </c>
      <c r="U565" t="s">
        <v>24</v>
      </c>
    </row>
    <row r="566" spans="1:21" ht="15" customHeight="1" x14ac:dyDescent="0.3">
      <c r="A566" t="s">
        <v>179</v>
      </c>
      <c r="B566" t="str">
        <f>"00056932"</f>
        <v>00056932</v>
      </c>
      <c r="C566" t="s">
        <v>4288</v>
      </c>
      <c r="D566" t="s">
        <v>4477</v>
      </c>
      <c r="E566" t="str">
        <f>"00046899"</f>
        <v>00046899</v>
      </c>
      <c r="F566">
        <v>0</v>
      </c>
      <c r="G566" s="243">
        <v>39861</v>
      </c>
      <c r="H566" t="s">
        <v>182</v>
      </c>
      <c r="I566">
        <v>4</v>
      </c>
      <c r="J566">
        <v>5</v>
      </c>
      <c r="K566">
        <v>0.875</v>
      </c>
      <c r="L566">
        <v>25239.37</v>
      </c>
      <c r="M566" t="str">
        <f t="shared" si="79"/>
        <v>13</v>
      </c>
      <c r="N566" t="s">
        <v>3323</v>
      </c>
      <c r="O566" t="str">
        <f t="shared" si="82"/>
        <v>52611</v>
      </c>
      <c r="P566" t="str">
        <f>"2200L"</f>
        <v>2200L</v>
      </c>
      <c r="Q566" t="str">
        <f t="shared" si="81"/>
        <v>0101</v>
      </c>
      <c r="R566">
        <v>2200</v>
      </c>
      <c r="S566" t="str">
        <f t="shared" si="83"/>
        <v>5260</v>
      </c>
      <c r="T566" t="s">
        <v>3418</v>
      </c>
      <c r="U566" t="s">
        <v>24</v>
      </c>
    </row>
    <row r="567" spans="1:21" ht="15" customHeight="1" x14ac:dyDescent="0.3">
      <c r="A567" t="s">
        <v>179</v>
      </c>
      <c r="B567" t="str">
        <f>"00057134"</f>
        <v>00057134</v>
      </c>
      <c r="C567" t="s">
        <v>4272</v>
      </c>
      <c r="D567" t="s">
        <v>645</v>
      </c>
      <c r="E567" t="str">
        <f>"00047176"</f>
        <v>00047176</v>
      </c>
      <c r="F567">
        <v>0</v>
      </c>
      <c r="G567" s="243">
        <v>37124</v>
      </c>
      <c r="H567" t="s">
        <v>182</v>
      </c>
      <c r="I567">
        <v>15</v>
      </c>
      <c r="J567">
        <v>12</v>
      </c>
      <c r="K567">
        <v>1</v>
      </c>
      <c r="L567">
        <v>87431</v>
      </c>
      <c r="M567" t="str">
        <f t="shared" si="79"/>
        <v>13</v>
      </c>
      <c r="N567" t="s">
        <v>3323</v>
      </c>
      <c r="O567" t="str">
        <f t="shared" si="82"/>
        <v>52611</v>
      </c>
      <c r="P567" t="str">
        <f>"2100L"</f>
        <v>2100L</v>
      </c>
      <c r="Q567" t="str">
        <f t="shared" si="81"/>
        <v>0101</v>
      </c>
      <c r="R567">
        <v>2100</v>
      </c>
      <c r="S567" t="str">
        <f t="shared" si="83"/>
        <v>5260</v>
      </c>
      <c r="T567" t="s">
        <v>3418</v>
      </c>
      <c r="U567" t="s">
        <v>24</v>
      </c>
    </row>
    <row r="568" spans="1:21" ht="15" customHeight="1" x14ac:dyDescent="0.3">
      <c r="A568" t="s">
        <v>179</v>
      </c>
      <c r="B568" t="str">
        <f>"00057338"</f>
        <v>00057338</v>
      </c>
      <c r="C568" t="s">
        <v>4262</v>
      </c>
      <c r="D568" t="s">
        <v>222</v>
      </c>
      <c r="E568" t="str">
        <f>"00046221"</f>
        <v>00046221</v>
      </c>
      <c r="F568">
        <v>0</v>
      </c>
      <c r="G568" s="243">
        <v>40041</v>
      </c>
      <c r="H568" t="s">
        <v>182</v>
      </c>
      <c r="I568">
        <v>15</v>
      </c>
      <c r="J568">
        <v>16</v>
      </c>
      <c r="K568">
        <v>1</v>
      </c>
      <c r="L568">
        <v>100839</v>
      </c>
      <c r="M568" t="str">
        <f t="shared" si="79"/>
        <v>13</v>
      </c>
      <c r="N568" t="s">
        <v>3370</v>
      </c>
      <c r="O568" t="str">
        <f t="shared" si="82"/>
        <v>52611</v>
      </c>
      <c r="P568" t="str">
        <f>"2100L"</f>
        <v>2100L</v>
      </c>
      <c r="Q568" t="str">
        <f t="shared" si="81"/>
        <v>0101</v>
      </c>
      <c r="R568">
        <v>2100</v>
      </c>
      <c r="S568" t="str">
        <f t="shared" si="83"/>
        <v>5260</v>
      </c>
      <c r="T568" t="s">
        <v>3418</v>
      </c>
      <c r="U568" t="s">
        <v>24</v>
      </c>
    </row>
    <row r="569" spans="1:21" ht="15" customHeight="1" x14ac:dyDescent="0.3">
      <c r="A569" t="s">
        <v>179</v>
      </c>
      <c r="B569" t="str">
        <f>"00057573"</f>
        <v>00057573</v>
      </c>
      <c r="C569" t="s">
        <v>4288</v>
      </c>
      <c r="D569" t="s">
        <v>4478</v>
      </c>
      <c r="E569" t="str">
        <f>"00051668"</f>
        <v>00051668</v>
      </c>
      <c r="F569">
        <v>0</v>
      </c>
      <c r="G569" s="243">
        <v>36397</v>
      </c>
      <c r="H569" t="s">
        <v>182</v>
      </c>
      <c r="I569">
        <v>4</v>
      </c>
      <c r="J569">
        <v>8</v>
      </c>
      <c r="K569">
        <v>0.875</v>
      </c>
      <c r="L569">
        <v>27329.75</v>
      </c>
      <c r="M569" t="str">
        <f t="shared" si="79"/>
        <v>13</v>
      </c>
      <c r="N569" t="s">
        <v>3323</v>
      </c>
      <c r="O569" t="str">
        <f t="shared" si="82"/>
        <v>52611</v>
      </c>
      <c r="P569" t="str">
        <f>"2100L"</f>
        <v>2100L</v>
      </c>
      <c r="Q569" t="str">
        <f t="shared" si="81"/>
        <v>0101</v>
      </c>
      <c r="R569">
        <v>2100</v>
      </c>
      <c r="S569" t="str">
        <f t="shared" si="83"/>
        <v>5260</v>
      </c>
      <c r="T569" t="s">
        <v>3418</v>
      </c>
      <c r="U569" t="s">
        <v>24</v>
      </c>
    </row>
    <row r="570" spans="1:21" ht="15" customHeight="1" x14ac:dyDescent="0.3">
      <c r="A570" t="s">
        <v>179</v>
      </c>
      <c r="B570" t="str">
        <f>"00058268"</f>
        <v>00058268</v>
      </c>
      <c r="C570" t="s">
        <v>3798</v>
      </c>
      <c r="D570" t="s">
        <v>1647</v>
      </c>
      <c r="E570" t="str">
        <f>"00057692"</f>
        <v>00057692</v>
      </c>
      <c r="F570">
        <v>0</v>
      </c>
      <c r="G570" s="243">
        <v>40042</v>
      </c>
      <c r="H570" t="s">
        <v>182</v>
      </c>
      <c r="I570">
        <v>61</v>
      </c>
      <c r="J570">
        <v>1</v>
      </c>
      <c r="K570">
        <v>1</v>
      </c>
      <c r="L570">
        <v>100000</v>
      </c>
      <c r="M570" t="str">
        <f t="shared" si="79"/>
        <v>13</v>
      </c>
      <c r="N570" t="s">
        <v>3323</v>
      </c>
      <c r="O570" t="str">
        <f t="shared" si="82"/>
        <v>52611</v>
      </c>
      <c r="P570" t="str">
        <f>"1501L"</f>
        <v>1501L</v>
      </c>
      <c r="Q570" t="str">
        <f t="shared" si="81"/>
        <v>0101</v>
      </c>
      <c r="R570">
        <v>1501</v>
      </c>
      <c r="S570" t="str">
        <f t="shared" si="83"/>
        <v>5260</v>
      </c>
      <c r="T570" t="s">
        <v>3418</v>
      </c>
      <c r="U570" t="s">
        <v>24</v>
      </c>
    </row>
    <row r="571" spans="1:21" ht="15" customHeight="1" x14ac:dyDescent="0.3">
      <c r="A571" t="s">
        <v>179</v>
      </c>
      <c r="B571" t="str">
        <f>"00058466"</f>
        <v>00058466</v>
      </c>
      <c r="C571" t="s">
        <v>4257</v>
      </c>
      <c r="H571" t="s">
        <v>170</v>
      </c>
      <c r="I571">
        <v>15</v>
      </c>
      <c r="J571">
        <v>1</v>
      </c>
      <c r="K571">
        <v>1</v>
      </c>
      <c r="L571">
        <v>54975</v>
      </c>
      <c r="M571" t="str">
        <f t="shared" si="79"/>
        <v>13</v>
      </c>
      <c r="N571" t="s">
        <v>3323</v>
      </c>
      <c r="O571" t="str">
        <f t="shared" si="82"/>
        <v>52611</v>
      </c>
      <c r="P571" t="str">
        <f>"2100L"</f>
        <v>2100L</v>
      </c>
      <c r="Q571" t="str">
        <f t="shared" si="81"/>
        <v>0101</v>
      </c>
      <c r="R571">
        <v>2100</v>
      </c>
      <c r="S571" t="str">
        <f t="shared" si="83"/>
        <v>5260</v>
      </c>
      <c r="T571" t="s">
        <v>3418</v>
      </c>
      <c r="U571" t="s">
        <v>24</v>
      </c>
    </row>
    <row r="572" spans="1:21" ht="15" customHeight="1" x14ac:dyDescent="0.3">
      <c r="A572" t="s">
        <v>179</v>
      </c>
      <c r="B572" t="str">
        <f>"00058534"</f>
        <v>00058534</v>
      </c>
      <c r="C572" t="s">
        <v>4299</v>
      </c>
      <c r="H572" t="s">
        <v>170</v>
      </c>
      <c r="I572">
        <v>7</v>
      </c>
      <c r="J572">
        <v>1</v>
      </c>
      <c r="K572">
        <v>1</v>
      </c>
      <c r="L572">
        <v>35976</v>
      </c>
      <c r="M572" t="str">
        <f t="shared" si="79"/>
        <v>13</v>
      </c>
      <c r="N572" t="s">
        <v>3323</v>
      </c>
      <c r="O572" t="str">
        <f t="shared" si="82"/>
        <v>52611</v>
      </c>
      <c r="P572" t="str">
        <f>"1502L"</f>
        <v>1502L</v>
      </c>
      <c r="Q572" t="str">
        <f t="shared" si="81"/>
        <v>0101</v>
      </c>
      <c r="R572">
        <v>1502</v>
      </c>
      <c r="S572" t="str">
        <f t="shared" si="83"/>
        <v>5260</v>
      </c>
      <c r="T572" t="s">
        <v>3418</v>
      </c>
      <c r="U572" t="s">
        <v>24</v>
      </c>
    </row>
    <row r="573" spans="1:21" ht="15" customHeight="1" x14ac:dyDescent="0.3">
      <c r="A573" t="s">
        <v>179</v>
      </c>
      <c r="B573" t="str">
        <f>"00058732"</f>
        <v>00058732</v>
      </c>
      <c r="C573" t="s">
        <v>4341</v>
      </c>
      <c r="D573" t="s">
        <v>825</v>
      </c>
      <c r="E573" t="str">
        <f>"00047772"</f>
        <v>00047772</v>
      </c>
      <c r="F573">
        <v>0</v>
      </c>
      <c r="G573" s="243">
        <v>37872</v>
      </c>
      <c r="H573" t="s">
        <v>182</v>
      </c>
      <c r="I573">
        <v>10</v>
      </c>
      <c r="J573">
        <v>9</v>
      </c>
      <c r="K573">
        <v>1</v>
      </c>
      <c r="L573">
        <v>84226</v>
      </c>
      <c r="M573" t="str">
        <f t="shared" si="79"/>
        <v>13</v>
      </c>
      <c r="N573" t="s">
        <v>3323</v>
      </c>
      <c r="O573" t="str">
        <f t="shared" si="82"/>
        <v>52611</v>
      </c>
      <c r="P573" t="str">
        <f>"3030L"</f>
        <v>3030L</v>
      </c>
      <c r="Q573" t="str">
        <f t="shared" si="81"/>
        <v>0101</v>
      </c>
      <c r="R573">
        <v>3030</v>
      </c>
      <c r="S573" t="str">
        <f t="shared" si="83"/>
        <v>5260</v>
      </c>
      <c r="T573" t="s">
        <v>3418</v>
      </c>
      <c r="U573" t="s">
        <v>24</v>
      </c>
    </row>
    <row r="574" spans="1:21" ht="15" customHeight="1" x14ac:dyDescent="0.3">
      <c r="A574" t="s">
        <v>179</v>
      </c>
      <c r="B574" t="str">
        <f>"00058974"</f>
        <v>00058974</v>
      </c>
      <c r="C574" t="s">
        <v>4274</v>
      </c>
      <c r="D574" t="s">
        <v>649</v>
      </c>
      <c r="E574" t="str">
        <f>"00053414"</f>
        <v>00053414</v>
      </c>
      <c r="F574">
        <v>0</v>
      </c>
      <c r="G574" s="243">
        <v>38405</v>
      </c>
      <c r="H574" t="s">
        <v>182</v>
      </c>
      <c r="I574">
        <v>4</v>
      </c>
      <c r="J574">
        <v>6</v>
      </c>
      <c r="K574">
        <v>0.875</v>
      </c>
      <c r="L574">
        <v>25935.88</v>
      </c>
      <c r="M574" t="str">
        <f t="shared" si="79"/>
        <v>13</v>
      </c>
      <c r="N574" t="s">
        <v>3323</v>
      </c>
      <c r="O574" t="str">
        <f t="shared" si="82"/>
        <v>52611</v>
      </c>
      <c r="P574" t="str">
        <f>"2100L"</f>
        <v>2100L</v>
      </c>
      <c r="Q574" t="str">
        <f t="shared" si="81"/>
        <v>0101</v>
      </c>
      <c r="R574">
        <v>2100</v>
      </c>
      <c r="S574" t="str">
        <f t="shared" si="83"/>
        <v>5260</v>
      </c>
      <c r="T574" t="s">
        <v>3418</v>
      </c>
      <c r="U574" t="s">
        <v>24</v>
      </c>
    </row>
    <row r="575" spans="1:21" ht="15" customHeight="1" x14ac:dyDescent="0.3">
      <c r="A575" t="s">
        <v>179</v>
      </c>
      <c r="B575" t="str">
        <f>"00059218"</f>
        <v>00059218</v>
      </c>
      <c r="C575" t="s">
        <v>4256</v>
      </c>
      <c r="H575" t="s">
        <v>170</v>
      </c>
      <c r="I575">
        <v>15</v>
      </c>
      <c r="J575">
        <v>1</v>
      </c>
      <c r="K575">
        <v>1</v>
      </c>
      <c r="L575">
        <v>56693</v>
      </c>
      <c r="M575" t="str">
        <f t="shared" si="79"/>
        <v>13</v>
      </c>
      <c r="N575" t="s">
        <v>3323</v>
      </c>
      <c r="O575" t="str">
        <f t="shared" si="82"/>
        <v>52611</v>
      </c>
      <c r="P575" t="str">
        <f>"3030L"</f>
        <v>3030L</v>
      </c>
      <c r="Q575" t="str">
        <f t="shared" si="81"/>
        <v>0101</v>
      </c>
      <c r="R575">
        <v>3030</v>
      </c>
      <c r="S575" t="str">
        <f t="shared" si="83"/>
        <v>5260</v>
      </c>
      <c r="T575" t="s">
        <v>3418</v>
      </c>
      <c r="U575" t="s">
        <v>24</v>
      </c>
    </row>
    <row r="576" spans="1:21" ht="15" customHeight="1" x14ac:dyDescent="0.3">
      <c r="A576" t="s">
        <v>179</v>
      </c>
      <c r="B576" t="str">
        <f>"00059384"</f>
        <v>00059384</v>
      </c>
      <c r="C576" t="s">
        <v>4262</v>
      </c>
      <c r="D576" t="s">
        <v>4479</v>
      </c>
      <c r="E576" t="str">
        <f>"00070051"</f>
        <v>00070051</v>
      </c>
      <c r="F576">
        <v>0</v>
      </c>
      <c r="G576" s="243">
        <v>41133</v>
      </c>
      <c r="H576" t="s">
        <v>182</v>
      </c>
      <c r="I576">
        <v>15</v>
      </c>
      <c r="J576">
        <v>9</v>
      </c>
      <c r="K576">
        <v>1</v>
      </c>
      <c r="L576">
        <v>75232</v>
      </c>
      <c r="M576" t="str">
        <f t="shared" si="79"/>
        <v>13</v>
      </c>
      <c r="N576" t="s">
        <v>3323</v>
      </c>
      <c r="O576" t="str">
        <f t="shared" si="82"/>
        <v>52611</v>
      </c>
      <c r="P576" t="str">
        <f>"2100L"</f>
        <v>2100L</v>
      </c>
      <c r="Q576" t="str">
        <f t="shared" si="81"/>
        <v>0101</v>
      </c>
      <c r="R576">
        <v>2100</v>
      </c>
      <c r="S576" t="str">
        <f t="shared" si="83"/>
        <v>5260</v>
      </c>
      <c r="T576" t="s">
        <v>3418</v>
      </c>
      <c r="U576" t="s">
        <v>24</v>
      </c>
    </row>
    <row r="577" spans="1:21" ht="15" customHeight="1" x14ac:dyDescent="0.3">
      <c r="A577" t="s">
        <v>179</v>
      </c>
      <c r="B577" t="str">
        <f>"00059700"</f>
        <v>00059700</v>
      </c>
      <c r="C577" t="s">
        <v>4272</v>
      </c>
      <c r="D577" t="s">
        <v>4480</v>
      </c>
      <c r="E577" t="str">
        <f>"00069793"</f>
        <v>00069793</v>
      </c>
      <c r="F577">
        <v>0</v>
      </c>
      <c r="G577" s="243">
        <v>41133</v>
      </c>
      <c r="H577" t="s">
        <v>182</v>
      </c>
      <c r="I577">
        <v>15</v>
      </c>
      <c r="J577">
        <v>8</v>
      </c>
      <c r="K577">
        <v>1</v>
      </c>
      <c r="L577">
        <v>72171</v>
      </c>
      <c r="M577" t="str">
        <f t="shared" si="79"/>
        <v>13</v>
      </c>
      <c r="N577" t="s">
        <v>3323</v>
      </c>
      <c r="O577" t="str">
        <f t="shared" si="82"/>
        <v>52611</v>
      </c>
      <c r="P577" t="str">
        <f>"3030L"</f>
        <v>3030L</v>
      </c>
      <c r="Q577" t="str">
        <f t="shared" si="81"/>
        <v>0101</v>
      </c>
      <c r="R577">
        <v>3030</v>
      </c>
      <c r="S577" t="str">
        <f t="shared" si="83"/>
        <v>5260</v>
      </c>
      <c r="T577" t="s">
        <v>3418</v>
      </c>
      <c r="U577" t="s">
        <v>24</v>
      </c>
    </row>
    <row r="578" spans="1:21" ht="15" customHeight="1" x14ac:dyDescent="0.3">
      <c r="A578" t="s">
        <v>179</v>
      </c>
      <c r="B578" t="str">
        <f>"00060002"</f>
        <v>00060002</v>
      </c>
      <c r="C578" t="s">
        <v>4272</v>
      </c>
      <c r="D578" t="s">
        <v>652</v>
      </c>
      <c r="E578" t="str">
        <f>"00046786"</f>
        <v>00046786</v>
      </c>
      <c r="F578">
        <v>0</v>
      </c>
      <c r="G578" s="243">
        <v>38285</v>
      </c>
      <c r="H578" t="s">
        <v>182</v>
      </c>
      <c r="I578">
        <v>15</v>
      </c>
      <c r="J578">
        <v>12</v>
      </c>
      <c r="K578">
        <v>1</v>
      </c>
      <c r="L578">
        <v>89887</v>
      </c>
      <c r="M578" t="str">
        <f t="shared" si="79"/>
        <v>13</v>
      </c>
      <c r="N578" t="s">
        <v>3323</v>
      </c>
      <c r="O578" t="str">
        <f t="shared" si="82"/>
        <v>52611</v>
      </c>
      <c r="P578" t="str">
        <f>"2100L"</f>
        <v>2100L</v>
      </c>
      <c r="Q578" t="str">
        <f t="shared" si="81"/>
        <v>0101</v>
      </c>
      <c r="R578">
        <v>2100</v>
      </c>
      <c r="S578" t="str">
        <f t="shared" si="83"/>
        <v>5260</v>
      </c>
      <c r="T578" t="s">
        <v>3418</v>
      </c>
      <c r="U578" t="s">
        <v>24</v>
      </c>
    </row>
    <row r="579" spans="1:21" ht="15" customHeight="1" x14ac:dyDescent="0.3">
      <c r="A579" t="s">
        <v>179</v>
      </c>
      <c r="B579" t="str">
        <f>"00060140"</f>
        <v>00060140</v>
      </c>
      <c r="C579" t="s">
        <v>4274</v>
      </c>
      <c r="D579" t="s">
        <v>4481</v>
      </c>
      <c r="E579" t="str">
        <f>"00069197"</f>
        <v>00069197</v>
      </c>
      <c r="F579">
        <v>0</v>
      </c>
      <c r="G579" s="243">
        <v>41050</v>
      </c>
      <c r="H579" t="s">
        <v>182</v>
      </c>
      <c r="I579">
        <v>4</v>
      </c>
      <c r="J579">
        <v>10</v>
      </c>
      <c r="K579">
        <v>0.875</v>
      </c>
      <c r="L579">
        <v>28721</v>
      </c>
      <c r="M579" t="str">
        <f t="shared" si="79"/>
        <v>13</v>
      </c>
      <c r="N579" t="s">
        <v>3323</v>
      </c>
      <c r="O579" t="str">
        <f t="shared" ref="O579:O601" si="85">"52611"</f>
        <v>52611</v>
      </c>
      <c r="P579" t="str">
        <f>"2200L"</f>
        <v>2200L</v>
      </c>
      <c r="Q579" t="str">
        <f t="shared" si="81"/>
        <v>0101</v>
      </c>
      <c r="R579">
        <v>2200</v>
      </c>
      <c r="S579" t="str">
        <f t="shared" ref="S579:S601" si="86">"5260"</f>
        <v>5260</v>
      </c>
      <c r="T579" t="s">
        <v>3418</v>
      </c>
      <c r="U579" t="s">
        <v>24</v>
      </c>
    </row>
    <row r="580" spans="1:21" ht="15" customHeight="1" x14ac:dyDescent="0.3">
      <c r="A580" t="s">
        <v>179</v>
      </c>
      <c r="B580" t="str">
        <f>"00060452"</f>
        <v>00060452</v>
      </c>
      <c r="C580" t="s">
        <v>4333</v>
      </c>
      <c r="D580" t="s">
        <v>4482</v>
      </c>
      <c r="E580" t="str">
        <f>"00063568"</f>
        <v>00063568</v>
      </c>
      <c r="F580">
        <v>0</v>
      </c>
      <c r="G580" s="243">
        <v>40463</v>
      </c>
      <c r="H580" t="s">
        <v>182</v>
      </c>
      <c r="I580">
        <v>12</v>
      </c>
      <c r="J580">
        <v>4</v>
      </c>
      <c r="K580">
        <v>1</v>
      </c>
      <c r="L580">
        <v>65427</v>
      </c>
      <c r="M580" t="str">
        <f t="shared" si="79"/>
        <v>13</v>
      </c>
      <c r="N580" t="s">
        <v>3323</v>
      </c>
      <c r="O580" t="str">
        <f t="shared" si="85"/>
        <v>52611</v>
      </c>
      <c r="P580" t="str">
        <f>"1502L"</f>
        <v>1502L</v>
      </c>
      <c r="Q580" t="str">
        <f t="shared" si="81"/>
        <v>0101</v>
      </c>
      <c r="R580">
        <v>1502</v>
      </c>
      <c r="S580" t="str">
        <f t="shared" si="86"/>
        <v>5260</v>
      </c>
      <c r="T580" t="s">
        <v>3418</v>
      </c>
      <c r="U580" t="s">
        <v>24</v>
      </c>
    </row>
    <row r="581" spans="1:21" ht="15" customHeight="1" x14ac:dyDescent="0.3">
      <c r="A581" t="s">
        <v>179</v>
      </c>
      <c r="B581" t="str">
        <f>"00061393"</f>
        <v>00061393</v>
      </c>
      <c r="C581" t="s">
        <v>4262</v>
      </c>
      <c r="D581" t="s">
        <v>3419</v>
      </c>
      <c r="E581" t="str">
        <f>"00061523"</f>
        <v>00061523</v>
      </c>
      <c r="F581">
        <v>0</v>
      </c>
      <c r="G581" s="243">
        <v>40334</v>
      </c>
      <c r="H581" t="s">
        <v>182</v>
      </c>
      <c r="I581">
        <v>15</v>
      </c>
      <c r="J581">
        <v>11</v>
      </c>
      <c r="K581">
        <v>1</v>
      </c>
      <c r="L581">
        <v>73325</v>
      </c>
      <c r="M581" t="str">
        <f t="shared" si="79"/>
        <v>13</v>
      </c>
      <c r="N581" t="s">
        <v>3323</v>
      </c>
      <c r="O581" t="str">
        <f t="shared" si="85"/>
        <v>52611</v>
      </c>
      <c r="P581" t="str">
        <f>"2200L"</f>
        <v>2200L</v>
      </c>
      <c r="Q581" t="str">
        <f t="shared" si="81"/>
        <v>0101</v>
      </c>
      <c r="R581">
        <v>2200</v>
      </c>
      <c r="S581" t="str">
        <f t="shared" si="86"/>
        <v>5260</v>
      </c>
      <c r="T581" t="s">
        <v>3418</v>
      </c>
      <c r="U581" t="s">
        <v>24</v>
      </c>
    </row>
    <row r="582" spans="1:21" ht="15" customHeight="1" x14ac:dyDescent="0.3">
      <c r="A582" t="s">
        <v>179</v>
      </c>
      <c r="B582" t="str">
        <f>"00065828"</f>
        <v>00065828</v>
      </c>
      <c r="C582" t="s">
        <v>4262</v>
      </c>
      <c r="D582" t="s">
        <v>653</v>
      </c>
      <c r="E582" t="str">
        <f>"00057206"</f>
        <v>00057206</v>
      </c>
      <c r="F582">
        <v>0</v>
      </c>
      <c r="G582" s="243">
        <v>40042</v>
      </c>
      <c r="H582" t="s">
        <v>182</v>
      </c>
      <c r="I582">
        <v>15</v>
      </c>
      <c r="J582">
        <v>4</v>
      </c>
      <c r="K582">
        <v>1</v>
      </c>
      <c r="L582">
        <v>54725</v>
      </c>
      <c r="M582" t="str">
        <f t="shared" si="79"/>
        <v>13</v>
      </c>
      <c r="N582" t="s">
        <v>3323</v>
      </c>
      <c r="O582" t="str">
        <f t="shared" si="85"/>
        <v>52611</v>
      </c>
      <c r="P582" t="str">
        <f>"2100L"</f>
        <v>2100L</v>
      </c>
      <c r="Q582" t="str">
        <f t="shared" si="81"/>
        <v>0101</v>
      </c>
      <c r="R582">
        <v>2100</v>
      </c>
      <c r="S582" t="str">
        <f t="shared" si="86"/>
        <v>5260</v>
      </c>
      <c r="T582" t="s">
        <v>3418</v>
      </c>
      <c r="U582" t="s">
        <v>24</v>
      </c>
    </row>
    <row r="583" spans="1:21" ht="15" customHeight="1" x14ac:dyDescent="0.3">
      <c r="A583" t="s">
        <v>179</v>
      </c>
      <c r="B583" t="str">
        <f>"00066209"</f>
        <v>00066209</v>
      </c>
      <c r="C583" t="s">
        <v>4274</v>
      </c>
      <c r="D583" t="s">
        <v>4483</v>
      </c>
      <c r="E583" t="str">
        <f>"00070167"</f>
        <v>00070167</v>
      </c>
      <c r="F583">
        <v>0</v>
      </c>
      <c r="G583" s="243">
        <v>41141</v>
      </c>
      <c r="H583" t="s">
        <v>182</v>
      </c>
      <c r="I583">
        <v>4</v>
      </c>
      <c r="J583">
        <v>1</v>
      </c>
      <c r="K583">
        <v>1</v>
      </c>
      <c r="L583">
        <v>22454.25</v>
      </c>
      <c r="M583" t="str">
        <f t="shared" si="79"/>
        <v>13</v>
      </c>
      <c r="N583" t="s">
        <v>3370</v>
      </c>
      <c r="O583" t="str">
        <f t="shared" si="85"/>
        <v>52611</v>
      </c>
      <c r="P583" t="str">
        <f>"2100L"</f>
        <v>2100L</v>
      </c>
      <c r="Q583" t="str">
        <f t="shared" si="81"/>
        <v>0101</v>
      </c>
      <c r="R583">
        <v>2100</v>
      </c>
      <c r="S583" t="str">
        <f t="shared" si="86"/>
        <v>5260</v>
      </c>
      <c r="T583" t="s">
        <v>3418</v>
      </c>
      <c r="U583" t="s">
        <v>24</v>
      </c>
    </row>
    <row r="584" spans="1:21" ht="15" customHeight="1" x14ac:dyDescent="0.3">
      <c r="A584" t="s">
        <v>179</v>
      </c>
      <c r="B584" t="str">
        <f>"00068270"</f>
        <v>00068270</v>
      </c>
      <c r="C584" t="s">
        <v>4262</v>
      </c>
      <c r="D584" t="s">
        <v>820</v>
      </c>
      <c r="E584" t="str">
        <f>"00050257"</f>
        <v>00050257</v>
      </c>
      <c r="F584">
        <v>0</v>
      </c>
      <c r="G584" s="243">
        <v>36761</v>
      </c>
      <c r="H584" t="s">
        <v>182</v>
      </c>
      <c r="I584">
        <v>15</v>
      </c>
      <c r="J584">
        <v>12</v>
      </c>
      <c r="K584">
        <v>1</v>
      </c>
      <c r="L584">
        <v>92613</v>
      </c>
      <c r="M584" t="str">
        <f t="shared" si="79"/>
        <v>13</v>
      </c>
      <c r="N584" t="s">
        <v>3370</v>
      </c>
      <c r="O584" t="str">
        <f t="shared" si="85"/>
        <v>52611</v>
      </c>
      <c r="P584" t="str">
        <f>"2100L"</f>
        <v>2100L</v>
      </c>
      <c r="Q584" t="str">
        <f t="shared" si="81"/>
        <v>0101</v>
      </c>
      <c r="R584">
        <v>2100</v>
      </c>
      <c r="S584" t="str">
        <f t="shared" si="86"/>
        <v>5260</v>
      </c>
      <c r="T584" t="s">
        <v>3418</v>
      </c>
      <c r="U584" t="s">
        <v>24</v>
      </c>
    </row>
    <row r="585" spans="1:21" ht="15" customHeight="1" x14ac:dyDescent="0.3">
      <c r="A585" t="s">
        <v>179</v>
      </c>
      <c r="B585" t="str">
        <f>"00072447"</f>
        <v>00072447</v>
      </c>
      <c r="C585" t="s">
        <v>4274</v>
      </c>
      <c r="H585" t="s">
        <v>170</v>
      </c>
      <c r="I585">
        <v>4</v>
      </c>
      <c r="J585">
        <v>1</v>
      </c>
      <c r="K585">
        <v>0.71</v>
      </c>
      <c r="L585">
        <v>25662</v>
      </c>
      <c r="M585" t="str">
        <f t="shared" si="79"/>
        <v>13</v>
      </c>
      <c r="N585" t="s">
        <v>3323</v>
      </c>
      <c r="O585" t="str">
        <f t="shared" si="85"/>
        <v>52611</v>
      </c>
      <c r="P585" t="str">
        <f>"2100L"</f>
        <v>2100L</v>
      </c>
      <c r="Q585" t="str">
        <f t="shared" si="81"/>
        <v>0101</v>
      </c>
      <c r="R585">
        <v>2100</v>
      </c>
      <c r="S585" t="str">
        <f t="shared" si="86"/>
        <v>5260</v>
      </c>
      <c r="T585" t="s">
        <v>3418</v>
      </c>
      <c r="U585" t="s">
        <v>24</v>
      </c>
    </row>
    <row r="586" spans="1:21" ht="15" customHeight="1" x14ac:dyDescent="0.3">
      <c r="A586" t="s">
        <v>179</v>
      </c>
      <c r="B586" t="str">
        <f>"00072679"</f>
        <v>00072679</v>
      </c>
      <c r="C586" t="s">
        <v>4258</v>
      </c>
      <c r="H586" t="s">
        <v>170</v>
      </c>
      <c r="I586">
        <v>15</v>
      </c>
      <c r="J586">
        <v>1</v>
      </c>
      <c r="K586">
        <v>1</v>
      </c>
      <c r="L586">
        <v>54975</v>
      </c>
      <c r="M586" t="str">
        <f t="shared" si="79"/>
        <v>13</v>
      </c>
      <c r="N586" t="s">
        <v>3323</v>
      </c>
      <c r="O586" t="str">
        <f t="shared" si="85"/>
        <v>52611</v>
      </c>
      <c r="P586" t="str">
        <f>"2100L"</f>
        <v>2100L</v>
      </c>
      <c r="Q586" t="str">
        <f t="shared" si="81"/>
        <v>0101</v>
      </c>
      <c r="R586">
        <v>2100</v>
      </c>
      <c r="S586" t="str">
        <f t="shared" si="86"/>
        <v>5260</v>
      </c>
      <c r="T586" t="s">
        <v>3418</v>
      </c>
      <c r="U586" t="s">
        <v>24</v>
      </c>
    </row>
    <row r="587" spans="1:21" ht="15" customHeight="1" x14ac:dyDescent="0.3">
      <c r="A587" t="s">
        <v>179</v>
      </c>
      <c r="B587" t="str">
        <f>"00074173"</f>
        <v>00074173</v>
      </c>
      <c r="C587" t="s">
        <v>4260</v>
      </c>
      <c r="D587" t="s">
        <v>3420</v>
      </c>
      <c r="E587" t="str">
        <f>"00066045"</f>
        <v>00066045</v>
      </c>
      <c r="F587">
        <v>0</v>
      </c>
      <c r="G587" s="243">
        <v>40755</v>
      </c>
      <c r="H587" t="s">
        <v>182</v>
      </c>
      <c r="I587">
        <v>15</v>
      </c>
      <c r="J587">
        <v>9</v>
      </c>
      <c r="K587">
        <v>1</v>
      </c>
      <c r="L587">
        <v>75232</v>
      </c>
      <c r="M587" t="str">
        <f t="shared" si="79"/>
        <v>13</v>
      </c>
      <c r="N587" t="s">
        <v>3323</v>
      </c>
      <c r="O587" t="str">
        <f t="shared" si="85"/>
        <v>52611</v>
      </c>
      <c r="P587" t="str">
        <f t="shared" ref="P587:P594" si="87">"2100L"</f>
        <v>2100L</v>
      </c>
      <c r="Q587" t="str">
        <f t="shared" si="81"/>
        <v>0101</v>
      </c>
      <c r="R587">
        <v>2100</v>
      </c>
      <c r="S587" t="str">
        <f t="shared" si="86"/>
        <v>5260</v>
      </c>
      <c r="T587" t="s">
        <v>3418</v>
      </c>
      <c r="U587" t="s">
        <v>24</v>
      </c>
    </row>
    <row r="588" spans="1:21" ht="15" customHeight="1" x14ac:dyDescent="0.3">
      <c r="A588" t="s">
        <v>179</v>
      </c>
      <c r="B588" t="str">
        <f>"00074174"</f>
        <v>00074174</v>
      </c>
      <c r="C588" t="s">
        <v>4274</v>
      </c>
      <c r="D588" t="s">
        <v>4484</v>
      </c>
      <c r="E588" t="str">
        <f>"00050449"</f>
        <v>00050449</v>
      </c>
      <c r="F588">
        <v>0</v>
      </c>
      <c r="G588" s="243">
        <v>39679</v>
      </c>
      <c r="H588" t="s">
        <v>182</v>
      </c>
      <c r="I588">
        <v>4</v>
      </c>
      <c r="J588">
        <v>9</v>
      </c>
      <c r="K588">
        <v>0.71</v>
      </c>
      <c r="L588">
        <v>28025.38</v>
      </c>
      <c r="M588" t="str">
        <f t="shared" si="79"/>
        <v>13</v>
      </c>
      <c r="N588" t="s">
        <v>3323</v>
      </c>
      <c r="O588" t="str">
        <f t="shared" si="85"/>
        <v>52611</v>
      </c>
      <c r="P588" t="str">
        <f t="shared" si="87"/>
        <v>2100L</v>
      </c>
      <c r="Q588" t="str">
        <f t="shared" si="81"/>
        <v>0101</v>
      </c>
      <c r="R588">
        <v>2100</v>
      </c>
      <c r="S588" t="str">
        <f t="shared" si="86"/>
        <v>5260</v>
      </c>
      <c r="T588" t="s">
        <v>3418</v>
      </c>
      <c r="U588" t="s">
        <v>24</v>
      </c>
    </row>
    <row r="589" spans="1:21" ht="15" customHeight="1" x14ac:dyDescent="0.3">
      <c r="A589" t="s">
        <v>179</v>
      </c>
      <c r="B589" t="str">
        <f>"00074317"</f>
        <v>00074317</v>
      </c>
      <c r="C589" t="s">
        <v>4260</v>
      </c>
      <c r="D589" t="s">
        <v>3421</v>
      </c>
      <c r="E589" t="str">
        <f>"00057715"</f>
        <v>00057715</v>
      </c>
      <c r="F589">
        <v>0</v>
      </c>
      <c r="G589" s="243">
        <v>40755</v>
      </c>
      <c r="H589" t="s">
        <v>182</v>
      </c>
      <c r="I589">
        <v>15</v>
      </c>
      <c r="J589">
        <v>3</v>
      </c>
      <c r="K589">
        <v>1</v>
      </c>
      <c r="L589">
        <v>55210</v>
      </c>
      <c r="M589" t="str">
        <f t="shared" si="79"/>
        <v>13</v>
      </c>
      <c r="N589" t="s">
        <v>3323</v>
      </c>
      <c r="O589" t="str">
        <f t="shared" si="85"/>
        <v>52611</v>
      </c>
      <c r="P589" t="str">
        <f t="shared" si="87"/>
        <v>2100L</v>
      </c>
      <c r="Q589" t="str">
        <f t="shared" si="81"/>
        <v>0101</v>
      </c>
      <c r="R589">
        <v>2100</v>
      </c>
      <c r="S589" t="str">
        <f t="shared" si="86"/>
        <v>5260</v>
      </c>
      <c r="T589" t="s">
        <v>3418</v>
      </c>
      <c r="U589" t="s">
        <v>24</v>
      </c>
    </row>
    <row r="590" spans="1:21" ht="15" customHeight="1" x14ac:dyDescent="0.3">
      <c r="A590" t="s">
        <v>179</v>
      </c>
      <c r="B590" t="str">
        <f>"00074539"</f>
        <v>00074539</v>
      </c>
      <c r="C590" t="s">
        <v>4265</v>
      </c>
      <c r="D590" t="s">
        <v>4485</v>
      </c>
      <c r="E590" t="str">
        <f>"00051502"</f>
        <v>00051502</v>
      </c>
      <c r="F590">
        <v>0</v>
      </c>
      <c r="G590" s="243">
        <v>31556</v>
      </c>
      <c r="H590" t="s">
        <v>182</v>
      </c>
      <c r="I590">
        <v>15</v>
      </c>
      <c r="J590">
        <v>16</v>
      </c>
      <c r="K590">
        <v>0.5</v>
      </c>
      <c r="L590">
        <v>100839</v>
      </c>
      <c r="M590" t="str">
        <f t="shared" si="79"/>
        <v>13</v>
      </c>
      <c r="N590" t="s">
        <v>3323</v>
      </c>
      <c r="O590" t="str">
        <f t="shared" si="85"/>
        <v>52611</v>
      </c>
      <c r="P590" t="str">
        <f t="shared" si="87"/>
        <v>2100L</v>
      </c>
      <c r="Q590" t="str">
        <f t="shared" si="81"/>
        <v>0101</v>
      </c>
      <c r="R590">
        <v>2100</v>
      </c>
      <c r="S590" t="str">
        <f t="shared" si="86"/>
        <v>5260</v>
      </c>
      <c r="T590" t="s">
        <v>3418</v>
      </c>
      <c r="U590" t="s">
        <v>24</v>
      </c>
    </row>
    <row r="591" spans="1:21" ht="15" customHeight="1" x14ac:dyDescent="0.3">
      <c r="A591" t="s">
        <v>179</v>
      </c>
      <c r="B591" t="str">
        <f>"00075425"</f>
        <v>00075425</v>
      </c>
      <c r="C591" t="s">
        <v>4486</v>
      </c>
      <c r="H591" t="s">
        <v>170</v>
      </c>
      <c r="I591">
        <v>6</v>
      </c>
      <c r="J591">
        <v>0</v>
      </c>
      <c r="K591">
        <v>0.1</v>
      </c>
      <c r="L591">
        <v>24772.799999999999</v>
      </c>
      <c r="M591" t="str">
        <f t="shared" si="79"/>
        <v>13</v>
      </c>
      <c r="N591" t="s">
        <v>3323</v>
      </c>
      <c r="O591" t="str">
        <f t="shared" si="85"/>
        <v>52611</v>
      </c>
      <c r="P591" t="str">
        <f t="shared" si="87"/>
        <v>2100L</v>
      </c>
      <c r="Q591" t="str">
        <f t="shared" si="81"/>
        <v>0101</v>
      </c>
      <c r="R591">
        <v>2100</v>
      </c>
      <c r="S591" t="str">
        <f t="shared" si="86"/>
        <v>5260</v>
      </c>
      <c r="T591" t="s">
        <v>3418</v>
      </c>
      <c r="U591" t="s">
        <v>24</v>
      </c>
    </row>
    <row r="592" spans="1:21" ht="15" customHeight="1" x14ac:dyDescent="0.3">
      <c r="A592" t="s">
        <v>179</v>
      </c>
      <c r="B592" t="str">
        <f>"00075426"</f>
        <v>00075426</v>
      </c>
      <c r="C592" t="s">
        <v>4486</v>
      </c>
      <c r="H592" t="s">
        <v>170</v>
      </c>
      <c r="I592">
        <v>6</v>
      </c>
      <c r="J592">
        <v>0</v>
      </c>
      <c r="K592">
        <v>0.1</v>
      </c>
      <c r="L592">
        <v>24772.799999999999</v>
      </c>
      <c r="M592" t="str">
        <f t="shared" ref="M592:M646" si="88">"13"</f>
        <v>13</v>
      </c>
      <c r="N592" t="s">
        <v>3323</v>
      </c>
      <c r="O592" t="str">
        <f t="shared" si="85"/>
        <v>52611</v>
      </c>
      <c r="P592" t="str">
        <f t="shared" si="87"/>
        <v>2100L</v>
      </c>
      <c r="Q592" t="str">
        <f t="shared" ref="Q592:Q646" si="89">"0101"</f>
        <v>0101</v>
      </c>
      <c r="R592">
        <v>2100</v>
      </c>
      <c r="S592" t="str">
        <f t="shared" si="86"/>
        <v>5260</v>
      </c>
      <c r="T592" t="s">
        <v>3418</v>
      </c>
      <c r="U592" t="s">
        <v>24</v>
      </c>
    </row>
    <row r="593" spans="1:21" ht="15" customHeight="1" x14ac:dyDescent="0.3">
      <c r="A593" t="s">
        <v>179</v>
      </c>
      <c r="B593" t="str">
        <f>"00075427"</f>
        <v>00075427</v>
      </c>
      <c r="C593" t="s">
        <v>4292</v>
      </c>
      <c r="H593" t="s">
        <v>170</v>
      </c>
      <c r="I593">
        <v>4</v>
      </c>
      <c r="J593">
        <v>0</v>
      </c>
      <c r="K593">
        <v>1</v>
      </c>
      <c r="L593">
        <v>20134.400000000001</v>
      </c>
      <c r="M593" t="str">
        <f t="shared" si="88"/>
        <v>13</v>
      </c>
      <c r="N593" t="s">
        <v>3323</v>
      </c>
      <c r="O593" t="str">
        <f t="shared" si="85"/>
        <v>52611</v>
      </c>
      <c r="P593" t="str">
        <f t="shared" si="87"/>
        <v>2100L</v>
      </c>
      <c r="Q593" t="str">
        <f t="shared" si="89"/>
        <v>0101</v>
      </c>
      <c r="R593">
        <v>2100</v>
      </c>
      <c r="S593" t="str">
        <f t="shared" si="86"/>
        <v>5260</v>
      </c>
      <c r="T593" t="s">
        <v>3418</v>
      </c>
      <c r="U593" t="s">
        <v>24</v>
      </c>
    </row>
    <row r="594" spans="1:21" ht="15" customHeight="1" x14ac:dyDescent="0.3">
      <c r="A594" t="s">
        <v>179</v>
      </c>
      <c r="B594" t="str">
        <f>"00075428"</f>
        <v>00075428</v>
      </c>
      <c r="C594" t="s">
        <v>4292</v>
      </c>
      <c r="H594" t="s">
        <v>170</v>
      </c>
      <c r="I594">
        <v>4</v>
      </c>
      <c r="J594">
        <v>0</v>
      </c>
      <c r="K594">
        <v>0.1</v>
      </c>
      <c r="L594">
        <v>20134.400000000001</v>
      </c>
      <c r="M594" t="str">
        <f t="shared" si="88"/>
        <v>13</v>
      </c>
      <c r="N594" t="s">
        <v>3323</v>
      </c>
      <c r="O594" t="str">
        <f t="shared" si="85"/>
        <v>52611</v>
      </c>
      <c r="P594" t="str">
        <f t="shared" si="87"/>
        <v>2100L</v>
      </c>
      <c r="Q594" t="str">
        <f t="shared" si="89"/>
        <v>0101</v>
      </c>
      <c r="R594">
        <v>2100</v>
      </c>
      <c r="S594" t="str">
        <f t="shared" si="86"/>
        <v>5260</v>
      </c>
      <c r="T594" t="s">
        <v>3418</v>
      </c>
      <c r="U594" t="s">
        <v>24</v>
      </c>
    </row>
    <row r="595" spans="1:21" ht="15" customHeight="1" x14ac:dyDescent="0.3">
      <c r="A595" t="s">
        <v>179</v>
      </c>
      <c r="B595" t="str">
        <f>"00075969"</f>
        <v>00075969</v>
      </c>
      <c r="C595" t="s">
        <v>4410</v>
      </c>
      <c r="D595" t="s">
        <v>4487</v>
      </c>
      <c r="E595" t="str">
        <f>"00035730"</f>
        <v>00035730</v>
      </c>
      <c r="F595">
        <v>1</v>
      </c>
      <c r="G595" s="243">
        <v>39621</v>
      </c>
      <c r="H595" t="s">
        <v>182</v>
      </c>
      <c r="I595">
        <v>5</v>
      </c>
      <c r="J595">
        <v>5</v>
      </c>
      <c r="K595">
        <v>1</v>
      </c>
      <c r="L595">
        <v>32070</v>
      </c>
      <c r="M595" t="str">
        <f t="shared" si="88"/>
        <v>13</v>
      </c>
      <c r="N595" t="s">
        <v>3323</v>
      </c>
      <c r="O595" t="str">
        <f t="shared" si="85"/>
        <v>52611</v>
      </c>
      <c r="P595" t="str">
        <f t="shared" ref="P595:P601" si="90">"2100L"</f>
        <v>2100L</v>
      </c>
      <c r="Q595" t="str">
        <f t="shared" si="89"/>
        <v>0101</v>
      </c>
      <c r="R595">
        <v>2100</v>
      </c>
      <c r="S595" t="str">
        <f t="shared" si="86"/>
        <v>5260</v>
      </c>
      <c r="T595" t="s">
        <v>3418</v>
      </c>
      <c r="U595" t="s">
        <v>24</v>
      </c>
    </row>
    <row r="596" spans="1:21" ht="15" customHeight="1" x14ac:dyDescent="0.3">
      <c r="A596" t="s">
        <v>179</v>
      </c>
      <c r="B596" t="str">
        <f>"00075970"</f>
        <v>00075970</v>
      </c>
      <c r="C596" t="s">
        <v>4372</v>
      </c>
      <c r="H596" t="s">
        <v>170</v>
      </c>
      <c r="I596">
        <v>4</v>
      </c>
      <c r="J596">
        <v>0</v>
      </c>
      <c r="K596">
        <v>1</v>
      </c>
      <c r="L596">
        <v>25662</v>
      </c>
      <c r="M596" t="str">
        <f t="shared" si="88"/>
        <v>13</v>
      </c>
      <c r="N596" t="s">
        <v>3323</v>
      </c>
      <c r="O596" t="str">
        <f t="shared" si="85"/>
        <v>52611</v>
      </c>
      <c r="P596" t="str">
        <f t="shared" si="90"/>
        <v>2100L</v>
      </c>
      <c r="Q596" t="str">
        <f t="shared" si="89"/>
        <v>0101</v>
      </c>
      <c r="R596">
        <v>2100</v>
      </c>
      <c r="S596" t="str">
        <f t="shared" si="86"/>
        <v>5260</v>
      </c>
      <c r="T596" t="s">
        <v>3418</v>
      </c>
      <c r="U596" t="s">
        <v>24</v>
      </c>
    </row>
    <row r="597" spans="1:21" ht="15" customHeight="1" x14ac:dyDescent="0.3">
      <c r="A597" t="s">
        <v>179</v>
      </c>
      <c r="B597" t="str">
        <f>"00075971"</f>
        <v>00075971</v>
      </c>
      <c r="C597" t="s">
        <v>4292</v>
      </c>
      <c r="D597" t="s">
        <v>4488</v>
      </c>
      <c r="E597" t="str">
        <f>"00057281"</f>
        <v>00057281</v>
      </c>
      <c r="F597">
        <v>0</v>
      </c>
      <c r="G597" s="243">
        <v>40042</v>
      </c>
      <c r="H597" t="s">
        <v>182</v>
      </c>
      <c r="I597">
        <v>4</v>
      </c>
      <c r="J597">
        <v>5</v>
      </c>
      <c r="K597">
        <v>0.71</v>
      </c>
      <c r="L597">
        <v>25239.37</v>
      </c>
      <c r="M597" t="str">
        <f t="shared" si="88"/>
        <v>13</v>
      </c>
      <c r="N597" t="s">
        <v>3370</v>
      </c>
      <c r="O597" t="str">
        <f t="shared" si="85"/>
        <v>52611</v>
      </c>
      <c r="P597" t="str">
        <f t="shared" si="90"/>
        <v>2100L</v>
      </c>
      <c r="Q597" t="str">
        <f t="shared" si="89"/>
        <v>0101</v>
      </c>
      <c r="R597">
        <v>2100</v>
      </c>
      <c r="S597" t="str">
        <f t="shared" si="86"/>
        <v>5260</v>
      </c>
      <c r="T597" t="s">
        <v>3418</v>
      </c>
      <c r="U597" t="s">
        <v>24</v>
      </c>
    </row>
    <row r="598" spans="1:21" ht="15" customHeight="1" x14ac:dyDescent="0.3">
      <c r="A598" t="s">
        <v>179</v>
      </c>
      <c r="B598" t="str">
        <f>"00075972"</f>
        <v>00075972</v>
      </c>
      <c r="C598" t="s">
        <v>4271</v>
      </c>
      <c r="D598" t="s">
        <v>3672</v>
      </c>
      <c r="E598" t="str">
        <f>"00049249"</f>
        <v>00049249</v>
      </c>
      <c r="F598">
        <v>0</v>
      </c>
      <c r="G598" s="243">
        <v>36733</v>
      </c>
      <c r="H598" t="s">
        <v>182</v>
      </c>
      <c r="I598">
        <v>15</v>
      </c>
      <c r="J598">
        <v>12</v>
      </c>
      <c r="K598">
        <v>0.5</v>
      </c>
      <c r="L598">
        <v>92613</v>
      </c>
      <c r="M598" t="str">
        <f t="shared" si="88"/>
        <v>13</v>
      </c>
      <c r="N598" t="s">
        <v>3370</v>
      </c>
      <c r="O598" t="str">
        <f t="shared" si="85"/>
        <v>52611</v>
      </c>
      <c r="P598" t="str">
        <f t="shared" si="90"/>
        <v>2100L</v>
      </c>
      <c r="Q598" t="str">
        <f t="shared" si="89"/>
        <v>0101</v>
      </c>
      <c r="R598">
        <v>2100</v>
      </c>
      <c r="S598" t="str">
        <f t="shared" si="86"/>
        <v>5260</v>
      </c>
      <c r="T598" t="s">
        <v>3418</v>
      </c>
      <c r="U598" t="s">
        <v>24</v>
      </c>
    </row>
    <row r="599" spans="1:21" ht="15" customHeight="1" x14ac:dyDescent="0.3">
      <c r="A599" t="s">
        <v>179</v>
      </c>
      <c r="B599" t="str">
        <f>"00075973"</f>
        <v>00075973</v>
      </c>
      <c r="C599" t="s">
        <v>200</v>
      </c>
      <c r="H599" t="s">
        <v>170</v>
      </c>
      <c r="I599">
        <v>15</v>
      </c>
      <c r="J599">
        <v>0</v>
      </c>
      <c r="K599">
        <v>1</v>
      </c>
      <c r="L599">
        <v>54975</v>
      </c>
      <c r="M599" t="str">
        <f t="shared" si="88"/>
        <v>13</v>
      </c>
      <c r="N599" t="s">
        <v>3370</v>
      </c>
      <c r="O599" t="str">
        <f t="shared" si="85"/>
        <v>52611</v>
      </c>
      <c r="P599" t="str">
        <f t="shared" si="90"/>
        <v>2100L</v>
      </c>
      <c r="Q599" t="str">
        <f t="shared" si="89"/>
        <v>0101</v>
      </c>
      <c r="R599">
        <v>2100</v>
      </c>
      <c r="S599" t="str">
        <f t="shared" si="86"/>
        <v>5260</v>
      </c>
      <c r="T599" t="s">
        <v>3418</v>
      </c>
      <c r="U599" t="s">
        <v>24</v>
      </c>
    </row>
    <row r="600" spans="1:21" ht="15" customHeight="1" x14ac:dyDescent="0.3">
      <c r="A600" t="s">
        <v>179</v>
      </c>
      <c r="B600" t="str">
        <f>"00075974"</f>
        <v>00075974</v>
      </c>
      <c r="C600" t="s">
        <v>4395</v>
      </c>
      <c r="D600" t="s">
        <v>3615</v>
      </c>
      <c r="E600" t="str">
        <f>"00014942"</f>
        <v>00014942</v>
      </c>
      <c r="F600">
        <v>1</v>
      </c>
      <c r="H600" t="s">
        <v>182</v>
      </c>
      <c r="J600">
        <v>4</v>
      </c>
      <c r="K600">
        <v>1</v>
      </c>
      <c r="L600">
        <v>69119</v>
      </c>
      <c r="M600" t="str">
        <f t="shared" si="88"/>
        <v>13</v>
      </c>
      <c r="N600" t="s">
        <v>3323</v>
      </c>
      <c r="O600" t="str">
        <f t="shared" si="85"/>
        <v>52611</v>
      </c>
      <c r="P600" t="str">
        <f t="shared" si="90"/>
        <v>2100L</v>
      </c>
      <c r="Q600" t="str">
        <f t="shared" si="89"/>
        <v>0101</v>
      </c>
      <c r="R600">
        <v>2100</v>
      </c>
      <c r="S600" t="str">
        <f t="shared" si="86"/>
        <v>5260</v>
      </c>
      <c r="T600" t="s">
        <v>3418</v>
      </c>
      <c r="U600" t="s">
        <v>24</v>
      </c>
    </row>
    <row r="601" spans="1:21" ht="15" customHeight="1" x14ac:dyDescent="0.3">
      <c r="A601" t="s">
        <v>179</v>
      </c>
      <c r="B601" t="str">
        <f>"00075975"</f>
        <v>00075975</v>
      </c>
      <c r="C601" t="s">
        <v>4262</v>
      </c>
      <c r="D601" t="s">
        <v>3478</v>
      </c>
      <c r="E601" t="str">
        <f>"00053587"</f>
        <v>00053587</v>
      </c>
      <c r="F601">
        <v>0</v>
      </c>
      <c r="G601" s="243">
        <v>33848</v>
      </c>
      <c r="H601" t="s">
        <v>182</v>
      </c>
      <c r="I601">
        <v>15</v>
      </c>
      <c r="J601">
        <v>15</v>
      </c>
      <c r="K601">
        <v>1</v>
      </c>
      <c r="L601">
        <v>100792</v>
      </c>
      <c r="M601" t="str">
        <f t="shared" si="88"/>
        <v>13</v>
      </c>
      <c r="N601" t="s">
        <v>3370</v>
      </c>
      <c r="O601" t="str">
        <f t="shared" si="85"/>
        <v>52611</v>
      </c>
      <c r="P601" t="str">
        <f t="shared" si="90"/>
        <v>2100L</v>
      </c>
      <c r="Q601" t="str">
        <f t="shared" si="89"/>
        <v>0101</v>
      </c>
      <c r="R601">
        <v>2100</v>
      </c>
      <c r="S601" t="str">
        <f t="shared" si="86"/>
        <v>5260</v>
      </c>
      <c r="T601" t="s">
        <v>3418</v>
      </c>
      <c r="U601" t="s">
        <v>24</v>
      </c>
    </row>
    <row r="602" spans="1:21" ht="15" customHeight="1" x14ac:dyDescent="0.3">
      <c r="A602" t="s">
        <v>179</v>
      </c>
      <c r="B602" t="str">
        <f>"00051710"</f>
        <v>00051710</v>
      </c>
      <c r="C602" t="s">
        <v>4290</v>
      </c>
      <c r="H602" t="s">
        <v>170</v>
      </c>
      <c r="I602">
        <v>4</v>
      </c>
      <c r="J602">
        <v>1</v>
      </c>
      <c r="K602">
        <v>0.875</v>
      </c>
      <c r="L602">
        <v>25662</v>
      </c>
      <c r="M602" t="str">
        <f t="shared" si="88"/>
        <v>13</v>
      </c>
      <c r="N602" t="s">
        <v>3370</v>
      </c>
      <c r="O602" t="str">
        <f t="shared" ref="O602:O644" si="91">"52811"</f>
        <v>52811</v>
      </c>
      <c r="P602" t="str">
        <f>"2200L"</f>
        <v>2200L</v>
      </c>
      <c r="Q602" t="str">
        <f t="shared" si="89"/>
        <v>0101</v>
      </c>
      <c r="R602">
        <v>2200</v>
      </c>
      <c r="S602" t="str">
        <f t="shared" ref="S602:S644" si="92">"5280"</f>
        <v>5280</v>
      </c>
      <c r="T602" t="s">
        <v>3422</v>
      </c>
      <c r="U602" t="s">
        <v>25</v>
      </c>
    </row>
    <row r="603" spans="1:21" ht="15" customHeight="1" x14ac:dyDescent="0.3">
      <c r="A603" t="s">
        <v>179</v>
      </c>
      <c r="B603" t="str">
        <f>"00051741"</f>
        <v>00051741</v>
      </c>
      <c r="C603" t="s">
        <v>4262</v>
      </c>
      <c r="D603" t="s">
        <v>718</v>
      </c>
      <c r="E603" t="str">
        <f>"00045717"</f>
        <v>00045717</v>
      </c>
      <c r="F603">
        <v>0</v>
      </c>
      <c r="G603" s="243">
        <v>35362</v>
      </c>
      <c r="H603" t="s">
        <v>182</v>
      </c>
      <c r="I603">
        <v>15</v>
      </c>
      <c r="J603">
        <v>15</v>
      </c>
      <c r="K603">
        <v>1</v>
      </c>
      <c r="L603">
        <v>100792</v>
      </c>
      <c r="M603" t="str">
        <f t="shared" si="88"/>
        <v>13</v>
      </c>
      <c r="N603" t="s">
        <v>3323</v>
      </c>
      <c r="O603" t="str">
        <f t="shared" si="91"/>
        <v>52811</v>
      </c>
      <c r="P603" t="str">
        <f>"2100L"</f>
        <v>2100L</v>
      </c>
      <c r="Q603" t="str">
        <f t="shared" si="89"/>
        <v>0101</v>
      </c>
      <c r="R603">
        <v>2100</v>
      </c>
      <c r="S603" t="str">
        <f t="shared" si="92"/>
        <v>5280</v>
      </c>
      <c r="T603" t="s">
        <v>3422</v>
      </c>
      <c r="U603" t="s">
        <v>25</v>
      </c>
    </row>
    <row r="604" spans="1:21" ht="15" customHeight="1" x14ac:dyDescent="0.3">
      <c r="A604" t="s">
        <v>179</v>
      </c>
      <c r="B604" t="str">
        <f>"00051919"</f>
        <v>00051919</v>
      </c>
      <c r="C604" t="s">
        <v>4257</v>
      </c>
      <c r="D604" t="s">
        <v>3423</v>
      </c>
      <c r="E604" t="str">
        <f>"00065644"</f>
        <v>00065644</v>
      </c>
      <c r="F604">
        <v>0</v>
      </c>
      <c r="G604" s="243">
        <v>40755</v>
      </c>
      <c r="H604" t="s">
        <v>182</v>
      </c>
      <c r="I604">
        <v>15</v>
      </c>
      <c r="J604">
        <v>2</v>
      </c>
      <c r="K604">
        <v>1</v>
      </c>
      <c r="L604">
        <v>51716</v>
      </c>
      <c r="M604" t="str">
        <f t="shared" si="88"/>
        <v>13</v>
      </c>
      <c r="N604" t="s">
        <v>3323</v>
      </c>
      <c r="O604" t="str">
        <f t="shared" si="91"/>
        <v>52811</v>
      </c>
      <c r="P604" t="str">
        <f>"2100L"</f>
        <v>2100L</v>
      </c>
      <c r="Q604" t="str">
        <f t="shared" si="89"/>
        <v>0101</v>
      </c>
      <c r="R604">
        <v>2100</v>
      </c>
      <c r="S604" t="str">
        <f t="shared" si="92"/>
        <v>5280</v>
      </c>
      <c r="T604" t="s">
        <v>3422</v>
      </c>
      <c r="U604" t="s">
        <v>25</v>
      </c>
    </row>
    <row r="605" spans="1:21" ht="15" customHeight="1" x14ac:dyDescent="0.3">
      <c r="A605" t="s">
        <v>179</v>
      </c>
      <c r="B605" t="str">
        <f>"00051977"</f>
        <v>00051977</v>
      </c>
      <c r="C605" t="s">
        <v>4259</v>
      </c>
      <c r="D605" t="s">
        <v>527</v>
      </c>
      <c r="E605" t="str">
        <f>"00049097"</f>
        <v>00049097</v>
      </c>
      <c r="F605">
        <v>0</v>
      </c>
      <c r="G605" s="243">
        <v>33168</v>
      </c>
      <c r="H605" t="s">
        <v>182</v>
      </c>
      <c r="I605">
        <v>15</v>
      </c>
      <c r="J605">
        <v>16</v>
      </c>
      <c r="K605">
        <v>1</v>
      </c>
      <c r="L605">
        <v>103347</v>
      </c>
      <c r="M605" t="str">
        <f t="shared" si="88"/>
        <v>13</v>
      </c>
      <c r="N605" t="s">
        <v>3323</v>
      </c>
      <c r="O605" t="str">
        <f t="shared" si="91"/>
        <v>52811</v>
      </c>
      <c r="P605" t="str">
        <f>"2100L"</f>
        <v>2100L</v>
      </c>
      <c r="Q605" t="str">
        <f t="shared" si="89"/>
        <v>0101</v>
      </c>
      <c r="R605">
        <v>2100</v>
      </c>
      <c r="S605" t="str">
        <f t="shared" si="92"/>
        <v>5280</v>
      </c>
      <c r="T605" t="s">
        <v>3422</v>
      </c>
      <c r="U605" t="s">
        <v>25</v>
      </c>
    </row>
    <row r="606" spans="1:21" ht="15" customHeight="1" x14ac:dyDescent="0.3">
      <c r="A606" t="s">
        <v>179</v>
      </c>
      <c r="B606" t="str">
        <f>"00052220"</f>
        <v>00052220</v>
      </c>
      <c r="C606" t="s">
        <v>4262</v>
      </c>
      <c r="D606" t="s">
        <v>720</v>
      </c>
      <c r="E606" t="str">
        <f>"00047680"</f>
        <v>00047680</v>
      </c>
      <c r="F606">
        <v>0</v>
      </c>
      <c r="G606" s="243">
        <v>34578</v>
      </c>
      <c r="H606" t="s">
        <v>182</v>
      </c>
      <c r="I606">
        <v>15</v>
      </c>
      <c r="J606">
        <v>14</v>
      </c>
      <c r="K606">
        <v>1</v>
      </c>
      <c r="L606">
        <v>96460</v>
      </c>
      <c r="M606" t="str">
        <f t="shared" si="88"/>
        <v>13</v>
      </c>
      <c r="N606" t="s">
        <v>3323</v>
      </c>
      <c r="O606" t="str">
        <f t="shared" si="91"/>
        <v>52811</v>
      </c>
      <c r="P606" t="str">
        <f>"2100L"</f>
        <v>2100L</v>
      </c>
      <c r="Q606" t="str">
        <f t="shared" si="89"/>
        <v>0101</v>
      </c>
      <c r="R606">
        <v>2100</v>
      </c>
      <c r="S606" t="str">
        <f t="shared" si="92"/>
        <v>5280</v>
      </c>
      <c r="T606" t="s">
        <v>3422</v>
      </c>
      <c r="U606" t="s">
        <v>25</v>
      </c>
    </row>
    <row r="607" spans="1:21" ht="15" customHeight="1" x14ac:dyDescent="0.3">
      <c r="A607" t="s">
        <v>179</v>
      </c>
      <c r="B607" t="str">
        <f>"00052265"</f>
        <v>00052265</v>
      </c>
      <c r="C607" t="s">
        <v>4272</v>
      </c>
      <c r="D607" t="s">
        <v>721</v>
      </c>
      <c r="E607" t="str">
        <f>"00047859"</f>
        <v>00047859</v>
      </c>
      <c r="F607">
        <v>0</v>
      </c>
      <c r="G607" s="243">
        <v>34316</v>
      </c>
      <c r="H607" t="s">
        <v>182</v>
      </c>
      <c r="I607">
        <v>15</v>
      </c>
      <c r="J607">
        <v>16</v>
      </c>
      <c r="K607">
        <v>1</v>
      </c>
      <c r="L607">
        <v>100839</v>
      </c>
      <c r="M607" t="str">
        <f t="shared" si="88"/>
        <v>13</v>
      </c>
      <c r="N607" t="s">
        <v>3323</v>
      </c>
      <c r="O607" t="str">
        <f t="shared" si="91"/>
        <v>52811</v>
      </c>
      <c r="P607" t="str">
        <f>"2100L"</f>
        <v>2100L</v>
      </c>
      <c r="Q607" t="str">
        <f t="shared" si="89"/>
        <v>0101</v>
      </c>
      <c r="R607">
        <v>2100</v>
      </c>
      <c r="S607" t="str">
        <f t="shared" si="92"/>
        <v>5280</v>
      </c>
      <c r="T607" t="s">
        <v>3422</v>
      </c>
      <c r="U607" t="s">
        <v>25</v>
      </c>
    </row>
    <row r="608" spans="1:21" ht="15" customHeight="1" x14ac:dyDescent="0.3">
      <c r="A608" t="s">
        <v>179</v>
      </c>
      <c r="B608" t="str">
        <f>"00053120"</f>
        <v>00053120</v>
      </c>
      <c r="C608" t="s">
        <v>3798</v>
      </c>
      <c r="D608" t="s">
        <v>722</v>
      </c>
      <c r="E608" t="str">
        <f>"00050981"</f>
        <v>00050981</v>
      </c>
      <c r="F608">
        <v>0</v>
      </c>
      <c r="G608" s="243">
        <v>26028</v>
      </c>
      <c r="H608" t="s">
        <v>182</v>
      </c>
      <c r="I608">
        <v>61</v>
      </c>
      <c r="J608">
        <v>9</v>
      </c>
      <c r="K608">
        <v>1</v>
      </c>
      <c r="L608">
        <v>134000</v>
      </c>
      <c r="M608" t="str">
        <f t="shared" si="88"/>
        <v>13</v>
      </c>
      <c r="N608" t="s">
        <v>3323</v>
      </c>
      <c r="O608" t="str">
        <f t="shared" si="91"/>
        <v>52811</v>
      </c>
      <c r="P608" t="str">
        <f>"1501L"</f>
        <v>1501L</v>
      </c>
      <c r="Q608" t="str">
        <f t="shared" si="89"/>
        <v>0101</v>
      </c>
      <c r="R608">
        <v>1501</v>
      </c>
      <c r="S608" t="str">
        <f t="shared" si="92"/>
        <v>5280</v>
      </c>
      <c r="T608" t="s">
        <v>3422</v>
      </c>
      <c r="U608" t="s">
        <v>25</v>
      </c>
    </row>
    <row r="609" spans="1:21" ht="15" customHeight="1" x14ac:dyDescent="0.3">
      <c r="A609" t="s">
        <v>179</v>
      </c>
      <c r="B609" t="str">
        <f>"00053606"</f>
        <v>00053606</v>
      </c>
      <c r="C609" t="s">
        <v>4288</v>
      </c>
      <c r="D609" t="s">
        <v>4489</v>
      </c>
      <c r="E609" t="str">
        <f>"00051893"</f>
        <v>00051893</v>
      </c>
      <c r="F609">
        <v>0</v>
      </c>
      <c r="G609" s="243">
        <v>36088</v>
      </c>
      <c r="H609" t="s">
        <v>182</v>
      </c>
      <c r="I609">
        <v>4</v>
      </c>
      <c r="J609">
        <v>9</v>
      </c>
      <c r="K609">
        <v>0.875</v>
      </c>
      <c r="L609">
        <v>28025.38</v>
      </c>
      <c r="M609" t="str">
        <f t="shared" si="88"/>
        <v>13</v>
      </c>
      <c r="N609" t="s">
        <v>3323</v>
      </c>
      <c r="O609" t="str">
        <f t="shared" si="91"/>
        <v>52811</v>
      </c>
      <c r="P609" t="str">
        <f>"2200L"</f>
        <v>2200L</v>
      </c>
      <c r="Q609" t="str">
        <f t="shared" si="89"/>
        <v>0101</v>
      </c>
      <c r="R609">
        <v>2200</v>
      </c>
      <c r="S609" t="str">
        <f t="shared" si="92"/>
        <v>5280</v>
      </c>
      <c r="T609" t="s">
        <v>3422</v>
      </c>
      <c r="U609" t="s">
        <v>25</v>
      </c>
    </row>
    <row r="610" spans="1:21" ht="15" customHeight="1" x14ac:dyDescent="0.3">
      <c r="A610" t="s">
        <v>179</v>
      </c>
      <c r="B610" t="str">
        <f>"00053615"</f>
        <v>00053615</v>
      </c>
      <c r="C610" t="s">
        <v>4288</v>
      </c>
      <c r="D610" t="s">
        <v>4490</v>
      </c>
      <c r="E610" t="str">
        <f>"00051911"</f>
        <v>00051911</v>
      </c>
      <c r="F610">
        <v>0</v>
      </c>
      <c r="G610" s="243">
        <v>36087</v>
      </c>
      <c r="H610" t="s">
        <v>182</v>
      </c>
      <c r="I610">
        <v>4</v>
      </c>
      <c r="J610">
        <v>9</v>
      </c>
      <c r="K610">
        <v>0.875</v>
      </c>
      <c r="L610">
        <v>28025.38</v>
      </c>
      <c r="M610" t="str">
        <f t="shared" si="88"/>
        <v>13</v>
      </c>
      <c r="N610" t="s">
        <v>3323</v>
      </c>
      <c r="O610" t="str">
        <f t="shared" si="91"/>
        <v>52811</v>
      </c>
      <c r="P610" t="str">
        <f>"2200L"</f>
        <v>2200L</v>
      </c>
      <c r="Q610" t="str">
        <f t="shared" si="89"/>
        <v>0101</v>
      </c>
      <c r="R610">
        <v>2200</v>
      </c>
      <c r="S610" t="str">
        <f t="shared" si="92"/>
        <v>5280</v>
      </c>
      <c r="T610" t="s">
        <v>3422</v>
      </c>
      <c r="U610" t="s">
        <v>25</v>
      </c>
    </row>
    <row r="611" spans="1:21" ht="15" customHeight="1" x14ac:dyDescent="0.3">
      <c r="A611" t="s">
        <v>179</v>
      </c>
      <c r="B611" t="str">
        <f>"00053909"</f>
        <v>00053909</v>
      </c>
      <c r="C611" t="s">
        <v>4253</v>
      </c>
      <c r="D611" t="s">
        <v>723</v>
      </c>
      <c r="E611" t="str">
        <f>"00052728"</f>
        <v>00052728</v>
      </c>
      <c r="F611">
        <v>0</v>
      </c>
      <c r="G611" s="243">
        <v>28768</v>
      </c>
      <c r="H611" t="s">
        <v>182</v>
      </c>
      <c r="I611">
        <v>15</v>
      </c>
      <c r="J611">
        <v>16</v>
      </c>
      <c r="K611">
        <v>1</v>
      </c>
      <c r="L611">
        <v>100839</v>
      </c>
      <c r="M611" t="str">
        <f t="shared" si="88"/>
        <v>13</v>
      </c>
      <c r="N611" t="s">
        <v>3323</v>
      </c>
      <c r="O611" t="str">
        <f t="shared" si="91"/>
        <v>52811</v>
      </c>
      <c r="P611" t="str">
        <f>"2100L"</f>
        <v>2100L</v>
      </c>
      <c r="Q611" t="str">
        <f t="shared" si="89"/>
        <v>0101</v>
      </c>
      <c r="R611">
        <v>2100</v>
      </c>
      <c r="S611" t="str">
        <f t="shared" si="92"/>
        <v>5280</v>
      </c>
      <c r="T611" t="s">
        <v>3422</v>
      </c>
      <c r="U611" t="s">
        <v>25</v>
      </c>
    </row>
    <row r="612" spans="1:21" ht="15" customHeight="1" x14ac:dyDescent="0.3">
      <c r="A612" t="s">
        <v>179</v>
      </c>
      <c r="B612" t="str">
        <f>"00054022"</f>
        <v>00054022</v>
      </c>
      <c r="C612" t="s">
        <v>4272</v>
      </c>
      <c r="D612" t="s">
        <v>724</v>
      </c>
      <c r="E612" t="str">
        <f>"00052892"</f>
        <v>00052892</v>
      </c>
      <c r="F612">
        <v>0</v>
      </c>
      <c r="G612" s="243">
        <v>31284</v>
      </c>
      <c r="H612" t="s">
        <v>182</v>
      </c>
      <c r="I612">
        <v>15</v>
      </c>
      <c r="J612">
        <v>16</v>
      </c>
      <c r="K612">
        <v>1</v>
      </c>
      <c r="L612">
        <v>100839</v>
      </c>
      <c r="M612" t="str">
        <f t="shared" si="88"/>
        <v>13</v>
      </c>
      <c r="N612" t="s">
        <v>3323</v>
      </c>
      <c r="O612" t="str">
        <f t="shared" si="91"/>
        <v>52811</v>
      </c>
      <c r="P612" t="str">
        <f>"2100L"</f>
        <v>2100L</v>
      </c>
      <c r="Q612" t="str">
        <f t="shared" si="89"/>
        <v>0101</v>
      </c>
      <c r="R612">
        <v>2100</v>
      </c>
      <c r="S612" t="str">
        <f t="shared" si="92"/>
        <v>5280</v>
      </c>
      <c r="T612" t="s">
        <v>3422</v>
      </c>
      <c r="U612" t="s">
        <v>25</v>
      </c>
    </row>
    <row r="613" spans="1:21" ht="15" customHeight="1" x14ac:dyDescent="0.3">
      <c r="A613" t="s">
        <v>179</v>
      </c>
      <c r="B613" t="str">
        <f>"00054062"</f>
        <v>00054062</v>
      </c>
      <c r="C613" t="s">
        <v>4274</v>
      </c>
      <c r="D613" t="s">
        <v>4491</v>
      </c>
      <c r="E613" t="str">
        <f>"00053707"</f>
        <v>00053707</v>
      </c>
      <c r="F613">
        <v>0</v>
      </c>
      <c r="G613" s="243">
        <v>36631</v>
      </c>
      <c r="H613" t="s">
        <v>182</v>
      </c>
      <c r="I613">
        <v>4</v>
      </c>
      <c r="J613">
        <v>10</v>
      </c>
      <c r="K613">
        <v>1</v>
      </c>
      <c r="L613">
        <v>28721</v>
      </c>
      <c r="M613" t="str">
        <f t="shared" si="88"/>
        <v>13</v>
      </c>
      <c r="N613" t="s">
        <v>3323</v>
      </c>
      <c r="O613" t="str">
        <f t="shared" si="91"/>
        <v>52811</v>
      </c>
      <c r="P613" t="str">
        <f>"2200L"</f>
        <v>2200L</v>
      </c>
      <c r="Q613" t="str">
        <f t="shared" si="89"/>
        <v>0101</v>
      </c>
      <c r="R613">
        <v>2200</v>
      </c>
      <c r="S613" t="str">
        <f t="shared" si="92"/>
        <v>5280</v>
      </c>
      <c r="T613" t="s">
        <v>3422</v>
      </c>
      <c r="U613" t="s">
        <v>25</v>
      </c>
    </row>
    <row r="614" spans="1:21" ht="15" customHeight="1" x14ac:dyDescent="0.3">
      <c r="A614" t="s">
        <v>179</v>
      </c>
      <c r="B614" t="str">
        <f>"00054316"</f>
        <v>00054316</v>
      </c>
      <c r="C614" t="s">
        <v>4262</v>
      </c>
      <c r="D614" t="s">
        <v>725</v>
      </c>
      <c r="E614" t="str">
        <f>"00053577"</f>
        <v>00053577</v>
      </c>
      <c r="F614">
        <v>0</v>
      </c>
      <c r="G614" s="243">
        <v>34372</v>
      </c>
      <c r="H614" t="s">
        <v>182</v>
      </c>
      <c r="I614">
        <v>15</v>
      </c>
      <c r="J614">
        <v>16</v>
      </c>
      <c r="K614">
        <v>1</v>
      </c>
      <c r="L614">
        <v>100839</v>
      </c>
      <c r="M614" t="str">
        <f t="shared" si="88"/>
        <v>13</v>
      </c>
      <c r="N614" t="s">
        <v>3323</v>
      </c>
      <c r="O614" t="str">
        <f t="shared" si="91"/>
        <v>52811</v>
      </c>
      <c r="P614" t="str">
        <f>"2100L"</f>
        <v>2100L</v>
      </c>
      <c r="Q614" t="str">
        <f t="shared" si="89"/>
        <v>0101</v>
      </c>
      <c r="R614">
        <v>2100</v>
      </c>
      <c r="S614" t="str">
        <f t="shared" si="92"/>
        <v>5280</v>
      </c>
      <c r="T614" t="s">
        <v>3422</v>
      </c>
      <c r="U614" t="s">
        <v>25</v>
      </c>
    </row>
    <row r="615" spans="1:21" ht="15" customHeight="1" x14ac:dyDescent="0.3">
      <c r="A615" t="s">
        <v>179</v>
      </c>
      <c r="B615" t="str">
        <f>"00054318"</f>
        <v>00054318</v>
      </c>
      <c r="C615" t="s">
        <v>4266</v>
      </c>
      <c r="D615" t="s">
        <v>726</v>
      </c>
      <c r="E615" t="str">
        <f>"00053591"</f>
        <v>00053591</v>
      </c>
      <c r="F615">
        <v>0</v>
      </c>
      <c r="G615" s="243">
        <v>34578</v>
      </c>
      <c r="H615" t="s">
        <v>182</v>
      </c>
      <c r="I615">
        <v>15</v>
      </c>
      <c r="J615">
        <v>16</v>
      </c>
      <c r="K615">
        <v>1</v>
      </c>
      <c r="L615">
        <v>106540</v>
      </c>
      <c r="M615" t="str">
        <f t="shared" si="88"/>
        <v>13</v>
      </c>
      <c r="N615" t="s">
        <v>3323</v>
      </c>
      <c r="O615" t="str">
        <f t="shared" si="91"/>
        <v>52811</v>
      </c>
      <c r="P615" t="str">
        <f>"2300L"</f>
        <v>2300L</v>
      </c>
      <c r="Q615" t="str">
        <f t="shared" si="89"/>
        <v>0101</v>
      </c>
      <c r="R615">
        <v>2300</v>
      </c>
      <c r="S615" t="str">
        <f t="shared" si="92"/>
        <v>5280</v>
      </c>
      <c r="T615" t="s">
        <v>3422</v>
      </c>
      <c r="U615" t="s">
        <v>25</v>
      </c>
    </row>
    <row r="616" spans="1:21" ht="15" customHeight="1" x14ac:dyDescent="0.3">
      <c r="A616" t="s">
        <v>179</v>
      </c>
      <c r="B616" t="str">
        <f>"00054484"</f>
        <v>00054484</v>
      </c>
      <c r="C616" t="s">
        <v>4259</v>
      </c>
      <c r="D616" t="s">
        <v>727</v>
      </c>
      <c r="E616" t="str">
        <f>"00054092"</f>
        <v>00054092</v>
      </c>
      <c r="F616">
        <v>0</v>
      </c>
      <c r="G616" s="243">
        <v>32050</v>
      </c>
      <c r="H616" t="s">
        <v>182</v>
      </c>
      <c r="I616">
        <v>15</v>
      </c>
      <c r="J616">
        <v>16</v>
      </c>
      <c r="K616">
        <v>1</v>
      </c>
      <c r="L616">
        <v>106540</v>
      </c>
      <c r="M616" t="str">
        <f t="shared" si="88"/>
        <v>13</v>
      </c>
      <c r="N616" t="s">
        <v>3323</v>
      </c>
      <c r="O616" t="str">
        <f t="shared" si="91"/>
        <v>52811</v>
      </c>
      <c r="P616" t="str">
        <f>"2100L"</f>
        <v>2100L</v>
      </c>
      <c r="Q616" t="str">
        <f t="shared" si="89"/>
        <v>0101</v>
      </c>
      <c r="R616">
        <v>2100</v>
      </c>
      <c r="S616" t="str">
        <f t="shared" si="92"/>
        <v>5280</v>
      </c>
      <c r="T616" t="s">
        <v>3422</v>
      </c>
      <c r="U616" t="s">
        <v>25</v>
      </c>
    </row>
    <row r="617" spans="1:21" ht="15" customHeight="1" x14ac:dyDescent="0.3">
      <c r="A617" t="s">
        <v>179</v>
      </c>
      <c r="B617" t="str">
        <f>"00054765"</f>
        <v>00054765</v>
      </c>
      <c r="C617" t="s">
        <v>4274</v>
      </c>
      <c r="D617" t="s">
        <v>4492</v>
      </c>
      <c r="E617" t="str">
        <f>"00054590"</f>
        <v>00054590</v>
      </c>
      <c r="F617">
        <v>0</v>
      </c>
      <c r="G617" s="243">
        <v>34626</v>
      </c>
      <c r="H617" t="s">
        <v>182</v>
      </c>
      <c r="I617">
        <v>4</v>
      </c>
      <c r="J617">
        <v>10</v>
      </c>
      <c r="K617">
        <v>0.875</v>
      </c>
      <c r="L617">
        <v>28721</v>
      </c>
      <c r="M617" t="str">
        <f t="shared" si="88"/>
        <v>13</v>
      </c>
      <c r="N617" t="s">
        <v>3323</v>
      </c>
      <c r="O617" t="str">
        <f t="shared" si="91"/>
        <v>52811</v>
      </c>
      <c r="P617" t="str">
        <f>"2200L"</f>
        <v>2200L</v>
      </c>
      <c r="Q617" t="str">
        <f t="shared" si="89"/>
        <v>0101</v>
      </c>
      <c r="R617">
        <v>2200</v>
      </c>
      <c r="S617" t="str">
        <f t="shared" si="92"/>
        <v>5280</v>
      </c>
      <c r="T617" t="s">
        <v>3422</v>
      </c>
      <c r="U617" t="s">
        <v>25</v>
      </c>
    </row>
    <row r="618" spans="1:21" ht="15" customHeight="1" x14ac:dyDescent="0.3">
      <c r="A618" t="s">
        <v>179</v>
      </c>
      <c r="B618" t="str">
        <f>"00054866"</f>
        <v>00054866</v>
      </c>
      <c r="C618" t="s">
        <v>4262</v>
      </c>
      <c r="D618" t="s">
        <v>3431</v>
      </c>
      <c r="E618" t="str">
        <f>"00057688"</f>
        <v>00057688</v>
      </c>
      <c r="F618">
        <v>0</v>
      </c>
      <c r="G618" s="243">
        <v>40755</v>
      </c>
      <c r="H618" t="s">
        <v>182</v>
      </c>
      <c r="I618">
        <v>15</v>
      </c>
      <c r="J618">
        <v>11</v>
      </c>
      <c r="K618">
        <v>1</v>
      </c>
      <c r="L618">
        <v>73325</v>
      </c>
      <c r="M618" t="str">
        <f t="shared" si="88"/>
        <v>13</v>
      </c>
      <c r="N618" t="s">
        <v>3323</v>
      </c>
      <c r="O618" t="str">
        <f t="shared" si="91"/>
        <v>52811</v>
      </c>
      <c r="P618" t="str">
        <f>"2100L"</f>
        <v>2100L</v>
      </c>
      <c r="Q618" t="str">
        <f t="shared" si="89"/>
        <v>0101</v>
      </c>
      <c r="R618">
        <v>2100</v>
      </c>
      <c r="S618" t="str">
        <f t="shared" si="92"/>
        <v>5280</v>
      </c>
      <c r="T618" t="s">
        <v>3422</v>
      </c>
      <c r="U618" t="s">
        <v>25</v>
      </c>
    </row>
    <row r="619" spans="1:21" ht="15" customHeight="1" x14ac:dyDescent="0.3">
      <c r="A619" t="s">
        <v>179</v>
      </c>
      <c r="B619" t="str">
        <f>"00054908"</f>
        <v>00054908</v>
      </c>
      <c r="C619" t="s">
        <v>4262</v>
      </c>
      <c r="D619" t="s">
        <v>729</v>
      </c>
      <c r="E619" t="str">
        <f>"00054960"</f>
        <v>00054960</v>
      </c>
      <c r="F619">
        <v>0</v>
      </c>
      <c r="G619" s="243">
        <v>31651</v>
      </c>
      <c r="H619" t="s">
        <v>182</v>
      </c>
      <c r="I619">
        <v>15</v>
      </c>
      <c r="J619">
        <v>16</v>
      </c>
      <c r="K619">
        <v>1</v>
      </c>
      <c r="L619">
        <v>103347</v>
      </c>
      <c r="M619" t="str">
        <f t="shared" si="88"/>
        <v>13</v>
      </c>
      <c r="N619" t="s">
        <v>3323</v>
      </c>
      <c r="O619" t="str">
        <f t="shared" si="91"/>
        <v>52811</v>
      </c>
      <c r="P619" t="str">
        <f>"2100L"</f>
        <v>2100L</v>
      </c>
      <c r="Q619" t="str">
        <f t="shared" si="89"/>
        <v>0101</v>
      </c>
      <c r="R619">
        <v>2100</v>
      </c>
      <c r="S619" t="str">
        <f t="shared" si="92"/>
        <v>5280</v>
      </c>
      <c r="T619" t="s">
        <v>3422</v>
      </c>
      <c r="U619" t="s">
        <v>25</v>
      </c>
    </row>
    <row r="620" spans="1:21" ht="15" customHeight="1" x14ac:dyDescent="0.3">
      <c r="A620" t="s">
        <v>179</v>
      </c>
      <c r="B620" t="str">
        <f>"00055017"</f>
        <v>00055017</v>
      </c>
      <c r="C620" t="s">
        <v>200</v>
      </c>
      <c r="D620" t="s">
        <v>3424</v>
      </c>
      <c r="E620" t="str">
        <f>"00048311"</f>
        <v>00048311</v>
      </c>
      <c r="F620">
        <v>0</v>
      </c>
      <c r="G620" s="243">
        <v>33878</v>
      </c>
      <c r="H620" t="s">
        <v>182</v>
      </c>
      <c r="I620">
        <v>15</v>
      </c>
      <c r="J620">
        <v>16</v>
      </c>
      <c r="K620">
        <v>1</v>
      </c>
      <c r="L620">
        <v>106540</v>
      </c>
      <c r="M620" t="str">
        <f t="shared" si="88"/>
        <v>13</v>
      </c>
      <c r="N620" t="s">
        <v>3323</v>
      </c>
      <c r="O620" t="str">
        <f t="shared" si="91"/>
        <v>52811</v>
      </c>
      <c r="P620" t="str">
        <f>"3030L"</f>
        <v>3030L</v>
      </c>
      <c r="Q620" t="str">
        <f t="shared" si="89"/>
        <v>0101</v>
      </c>
      <c r="R620">
        <v>3030</v>
      </c>
      <c r="S620" t="str">
        <f t="shared" si="92"/>
        <v>5280</v>
      </c>
      <c r="T620" t="s">
        <v>3422</v>
      </c>
      <c r="U620" t="s">
        <v>25</v>
      </c>
    </row>
    <row r="621" spans="1:21" ht="15" customHeight="1" x14ac:dyDescent="0.3">
      <c r="A621" t="s">
        <v>179</v>
      </c>
      <c r="B621" t="str">
        <f>"00055044"</f>
        <v>00055044</v>
      </c>
      <c r="C621" t="s">
        <v>4260</v>
      </c>
      <c r="D621" t="s">
        <v>730</v>
      </c>
      <c r="E621" t="str">
        <f>"00049201"</f>
        <v>00049201</v>
      </c>
      <c r="F621">
        <v>0</v>
      </c>
      <c r="G621" s="243">
        <v>39315</v>
      </c>
      <c r="H621" t="s">
        <v>182</v>
      </c>
      <c r="I621">
        <v>15</v>
      </c>
      <c r="J621">
        <v>6</v>
      </c>
      <c r="K621">
        <v>1</v>
      </c>
      <c r="L621">
        <v>66078</v>
      </c>
      <c r="M621" t="str">
        <f t="shared" si="88"/>
        <v>13</v>
      </c>
      <c r="N621" t="s">
        <v>3323</v>
      </c>
      <c r="O621" t="str">
        <f t="shared" si="91"/>
        <v>52811</v>
      </c>
      <c r="P621" t="str">
        <f t="shared" ref="P621:P628" si="93">"2100L"</f>
        <v>2100L</v>
      </c>
      <c r="Q621" t="str">
        <f t="shared" si="89"/>
        <v>0101</v>
      </c>
      <c r="R621">
        <v>2100</v>
      </c>
      <c r="S621" t="str">
        <f t="shared" si="92"/>
        <v>5280</v>
      </c>
      <c r="T621" t="s">
        <v>3422</v>
      </c>
      <c r="U621" t="s">
        <v>25</v>
      </c>
    </row>
    <row r="622" spans="1:21" ht="15" customHeight="1" x14ac:dyDescent="0.3">
      <c r="A622" t="s">
        <v>179</v>
      </c>
      <c r="B622" t="str">
        <f>"00056888"</f>
        <v>00056888</v>
      </c>
      <c r="C622" t="s">
        <v>4262</v>
      </c>
      <c r="D622" t="s">
        <v>731</v>
      </c>
      <c r="E622" t="str">
        <f>"00044496"</f>
        <v>00044496</v>
      </c>
      <c r="F622">
        <v>0</v>
      </c>
      <c r="G622" s="243">
        <v>33484</v>
      </c>
      <c r="H622" t="s">
        <v>182</v>
      </c>
      <c r="I622">
        <v>15</v>
      </c>
      <c r="J622">
        <v>13</v>
      </c>
      <c r="K622">
        <v>1</v>
      </c>
      <c r="L622">
        <v>86613</v>
      </c>
      <c r="M622" t="str">
        <f t="shared" si="88"/>
        <v>13</v>
      </c>
      <c r="N622" t="s">
        <v>3323</v>
      </c>
      <c r="O622" t="str">
        <f t="shared" si="91"/>
        <v>52811</v>
      </c>
      <c r="P622" t="str">
        <f t="shared" si="93"/>
        <v>2100L</v>
      </c>
      <c r="Q622" t="str">
        <f t="shared" si="89"/>
        <v>0101</v>
      </c>
      <c r="R622">
        <v>2100</v>
      </c>
      <c r="S622" t="str">
        <f t="shared" si="92"/>
        <v>5280</v>
      </c>
      <c r="T622" t="s">
        <v>3422</v>
      </c>
      <c r="U622" t="s">
        <v>25</v>
      </c>
    </row>
    <row r="623" spans="1:21" ht="15" customHeight="1" x14ac:dyDescent="0.3">
      <c r="A623" t="s">
        <v>179</v>
      </c>
      <c r="B623" t="str">
        <f>"00057611"</f>
        <v>00057611</v>
      </c>
      <c r="C623" t="s">
        <v>4262</v>
      </c>
      <c r="D623" t="s">
        <v>732</v>
      </c>
      <c r="E623" t="str">
        <f>"00047517"</f>
        <v>00047517</v>
      </c>
      <c r="F623">
        <v>0</v>
      </c>
      <c r="G623" s="243">
        <v>38587</v>
      </c>
      <c r="H623" t="s">
        <v>182</v>
      </c>
      <c r="I623">
        <v>15</v>
      </c>
      <c r="J623">
        <v>8</v>
      </c>
      <c r="K623">
        <v>1</v>
      </c>
      <c r="L623">
        <v>72171</v>
      </c>
      <c r="M623" t="str">
        <f t="shared" si="88"/>
        <v>13</v>
      </c>
      <c r="N623" t="s">
        <v>3323</v>
      </c>
      <c r="O623" t="str">
        <f t="shared" si="91"/>
        <v>52811</v>
      </c>
      <c r="P623" t="str">
        <f t="shared" si="93"/>
        <v>2100L</v>
      </c>
      <c r="Q623" t="str">
        <f t="shared" si="89"/>
        <v>0101</v>
      </c>
      <c r="R623">
        <v>2100</v>
      </c>
      <c r="S623" t="str">
        <f t="shared" si="92"/>
        <v>5280</v>
      </c>
      <c r="T623" t="s">
        <v>3422</v>
      </c>
      <c r="U623" t="s">
        <v>25</v>
      </c>
    </row>
    <row r="624" spans="1:21" ht="15" customHeight="1" x14ac:dyDescent="0.3">
      <c r="A624" t="s">
        <v>179</v>
      </c>
      <c r="B624" t="str">
        <f>"00057989"</f>
        <v>00057989</v>
      </c>
      <c r="C624" t="s">
        <v>4272</v>
      </c>
      <c r="D624" t="s">
        <v>733</v>
      </c>
      <c r="E624" t="str">
        <f>"00053769"</f>
        <v>00053769</v>
      </c>
      <c r="F624">
        <v>0</v>
      </c>
      <c r="G624" s="243">
        <v>33365</v>
      </c>
      <c r="H624" t="s">
        <v>182</v>
      </c>
      <c r="I624">
        <v>15</v>
      </c>
      <c r="J624">
        <v>12</v>
      </c>
      <c r="K624">
        <v>1</v>
      </c>
      <c r="L624">
        <v>87431</v>
      </c>
      <c r="M624" t="str">
        <f t="shared" si="88"/>
        <v>13</v>
      </c>
      <c r="N624" t="s">
        <v>3323</v>
      </c>
      <c r="O624" t="str">
        <f t="shared" si="91"/>
        <v>52811</v>
      </c>
      <c r="P624" t="str">
        <f t="shared" si="93"/>
        <v>2100L</v>
      </c>
      <c r="Q624" t="str">
        <f t="shared" si="89"/>
        <v>0101</v>
      </c>
      <c r="R624">
        <v>2100</v>
      </c>
      <c r="S624" t="str">
        <f t="shared" si="92"/>
        <v>5280</v>
      </c>
      <c r="T624" t="s">
        <v>3422</v>
      </c>
      <c r="U624" t="s">
        <v>25</v>
      </c>
    </row>
    <row r="625" spans="1:21" ht="15" customHeight="1" x14ac:dyDescent="0.3">
      <c r="A625" t="s">
        <v>179</v>
      </c>
      <c r="B625" t="str">
        <f>"00059368"</f>
        <v>00059368</v>
      </c>
      <c r="C625" t="s">
        <v>4262</v>
      </c>
      <c r="D625" t="s">
        <v>734</v>
      </c>
      <c r="E625" t="str">
        <f>"00051855"</f>
        <v>00051855</v>
      </c>
      <c r="F625">
        <v>0</v>
      </c>
      <c r="G625" s="243">
        <v>35675</v>
      </c>
      <c r="H625" t="s">
        <v>182</v>
      </c>
      <c r="I625">
        <v>15</v>
      </c>
      <c r="J625">
        <v>13</v>
      </c>
      <c r="K625">
        <v>1</v>
      </c>
      <c r="L625">
        <v>81724</v>
      </c>
      <c r="M625" t="str">
        <f t="shared" si="88"/>
        <v>13</v>
      </c>
      <c r="N625" t="s">
        <v>3323</v>
      </c>
      <c r="O625" t="str">
        <f t="shared" si="91"/>
        <v>52811</v>
      </c>
      <c r="P625" t="str">
        <f t="shared" si="93"/>
        <v>2100L</v>
      </c>
      <c r="Q625" t="str">
        <f t="shared" si="89"/>
        <v>0101</v>
      </c>
      <c r="R625">
        <v>2100</v>
      </c>
      <c r="S625" t="str">
        <f t="shared" si="92"/>
        <v>5280</v>
      </c>
      <c r="T625" t="s">
        <v>3422</v>
      </c>
      <c r="U625" t="s">
        <v>25</v>
      </c>
    </row>
    <row r="626" spans="1:21" ht="15" customHeight="1" x14ac:dyDescent="0.3">
      <c r="A626" t="s">
        <v>179</v>
      </c>
      <c r="B626" t="str">
        <f>"00059497"</f>
        <v>00059497</v>
      </c>
      <c r="C626" t="s">
        <v>4258</v>
      </c>
      <c r="D626" t="s">
        <v>1313</v>
      </c>
      <c r="E626" t="str">
        <f>"00051555"</f>
        <v>00051555</v>
      </c>
      <c r="F626">
        <v>0</v>
      </c>
      <c r="G626" s="243">
        <v>32050</v>
      </c>
      <c r="H626" t="s">
        <v>182</v>
      </c>
      <c r="I626">
        <v>15</v>
      </c>
      <c r="J626">
        <v>16</v>
      </c>
      <c r="K626">
        <v>1</v>
      </c>
      <c r="L626">
        <v>100839</v>
      </c>
      <c r="M626" t="str">
        <f t="shared" si="88"/>
        <v>13</v>
      </c>
      <c r="N626" t="s">
        <v>3323</v>
      </c>
      <c r="O626" t="str">
        <f t="shared" si="91"/>
        <v>52811</v>
      </c>
      <c r="P626" t="str">
        <f t="shared" si="93"/>
        <v>2100L</v>
      </c>
      <c r="Q626" t="str">
        <f t="shared" si="89"/>
        <v>0101</v>
      </c>
      <c r="R626">
        <v>2100</v>
      </c>
      <c r="S626" t="str">
        <f t="shared" si="92"/>
        <v>5280</v>
      </c>
      <c r="T626" t="s">
        <v>3422</v>
      </c>
      <c r="U626" t="s">
        <v>25</v>
      </c>
    </row>
    <row r="627" spans="1:21" ht="15" customHeight="1" x14ac:dyDescent="0.3">
      <c r="A627" t="s">
        <v>179</v>
      </c>
      <c r="B627" t="str">
        <f>"00059605"</f>
        <v>00059605</v>
      </c>
      <c r="C627" t="s">
        <v>4256</v>
      </c>
      <c r="H627" t="s">
        <v>170</v>
      </c>
      <c r="I627">
        <v>15</v>
      </c>
      <c r="J627">
        <v>1</v>
      </c>
      <c r="K627">
        <v>1</v>
      </c>
      <c r="L627">
        <v>54975</v>
      </c>
      <c r="M627" t="str">
        <f t="shared" si="88"/>
        <v>13</v>
      </c>
      <c r="N627" t="s">
        <v>3323</v>
      </c>
      <c r="O627" t="str">
        <f t="shared" si="91"/>
        <v>52811</v>
      </c>
      <c r="P627" t="str">
        <f t="shared" si="93"/>
        <v>2100L</v>
      </c>
      <c r="Q627" t="str">
        <f t="shared" si="89"/>
        <v>0101</v>
      </c>
      <c r="R627">
        <v>2100</v>
      </c>
      <c r="S627" t="str">
        <f t="shared" si="92"/>
        <v>5280</v>
      </c>
      <c r="T627" t="s">
        <v>3422</v>
      </c>
      <c r="U627" t="s">
        <v>25</v>
      </c>
    </row>
    <row r="628" spans="1:21" ht="15" customHeight="1" x14ac:dyDescent="0.3">
      <c r="A628" t="s">
        <v>179</v>
      </c>
      <c r="B628" t="str">
        <f>"00060035"</f>
        <v>00060035</v>
      </c>
      <c r="C628" t="s">
        <v>4266</v>
      </c>
      <c r="D628" t="s">
        <v>2195</v>
      </c>
      <c r="E628" t="str">
        <f>"00046527"</f>
        <v>00046527</v>
      </c>
      <c r="F628">
        <v>0</v>
      </c>
      <c r="G628" s="243">
        <v>36397</v>
      </c>
      <c r="H628" t="s">
        <v>182</v>
      </c>
      <c r="I628">
        <v>15</v>
      </c>
      <c r="J628">
        <v>13</v>
      </c>
      <c r="K628">
        <v>1</v>
      </c>
      <c r="L628">
        <v>86613</v>
      </c>
      <c r="M628" t="str">
        <f t="shared" si="88"/>
        <v>13</v>
      </c>
      <c r="N628" t="s">
        <v>3370</v>
      </c>
      <c r="O628" t="str">
        <f t="shared" si="91"/>
        <v>52811</v>
      </c>
      <c r="P628" t="str">
        <f t="shared" si="93"/>
        <v>2100L</v>
      </c>
      <c r="Q628" t="str">
        <f t="shared" si="89"/>
        <v>0101</v>
      </c>
      <c r="R628">
        <v>2100</v>
      </c>
      <c r="S628" t="str">
        <f t="shared" si="92"/>
        <v>5280</v>
      </c>
      <c r="T628" t="s">
        <v>3422</v>
      </c>
      <c r="U628" t="s">
        <v>25</v>
      </c>
    </row>
    <row r="629" spans="1:21" ht="15" customHeight="1" x14ac:dyDescent="0.3">
      <c r="A629" t="s">
        <v>179</v>
      </c>
      <c r="B629" t="str">
        <f>"00061566"</f>
        <v>00061566</v>
      </c>
      <c r="C629" t="s">
        <v>4274</v>
      </c>
      <c r="D629" t="s">
        <v>4493</v>
      </c>
      <c r="E629" t="str">
        <f>"00051223"</f>
        <v>00051223</v>
      </c>
      <c r="F629">
        <v>0</v>
      </c>
      <c r="G629" s="243">
        <v>39506</v>
      </c>
      <c r="H629" t="s">
        <v>182</v>
      </c>
      <c r="I629">
        <v>4</v>
      </c>
      <c r="J629">
        <v>7</v>
      </c>
      <c r="K629">
        <v>0.875</v>
      </c>
      <c r="L629">
        <v>26633.25</v>
      </c>
      <c r="M629" t="str">
        <f t="shared" si="88"/>
        <v>13</v>
      </c>
      <c r="N629" t="s">
        <v>3323</v>
      </c>
      <c r="O629" t="str">
        <f t="shared" si="91"/>
        <v>52811</v>
      </c>
      <c r="P629" t="str">
        <f>"2200L"</f>
        <v>2200L</v>
      </c>
      <c r="Q629" t="str">
        <f t="shared" si="89"/>
        <v>0101</v>
      </c>
      <c r="R629">
        <v>2200</v>
      </c>
      <c r="S629" t="str">
        <f t="shared" si="92"/>
        <v>5280</v>
      </c>
      <c r="T629" t="s">
        <v>3422</v>
      </c>
      <c r="U629" t="s">
        <v>25</v>
      </c>
    </row>
    <row r="630" spans="1:21" ht="15" customHeight="1" x14ac:dyDescent="0.3">
      <c r="A630" t="s">
        <v>179</v>
      </c>
      <c r="B630" t="str">
        <f>"00061931"</f>
        <v>00061931</v>
      </c>
      <c r="C630" t="s">
        <v>4254</v>
      </c>
      <c r="D630" t="s">
        <v>737</v>
      </c>
      <c r="E630" t="str">
        <f>"00047323"</f>
        <v>00047323</v>
      </c>
      <c r="F630">
        <v>0</v>
      </c>
      <c r="G630" s="243">
        <v>40406</v>
      </c>
      <c r="H630" t="s">
        <v>182</v>
      </c>
      <c r="I630">
        <v>15</v>
      </c>
      <c r="J630">
        <v>13</v>
      </c>
      <c r="K630">
        <v>1</v>
      </c>
      <c r="L630">
        <v>81724</v>
      </c>
      <c r="M630" t="str">
        <f t="shared" si="88"/>
        <v>13</v>
      </c>
      <c r="N630" t="s">
        <v>3323</v>
      </c>
      <c r="O630" t="str">
        <f t="shared" si="91"/>
        <v>52811</v>
      </c>
      <c r="P630" t="str">
        <f>"2100L"</f>
        <v>2100L</v>
      </c>
      <c r="Q630" t="str">
        <f t="shared" si="89"/>
        <v>0101</v>
      </c>
      <c r="R630">
        <v>2100</v>
      </c>
      <c r="S630" t="str">
        <f t="shared" si="92"/>
        <v>5280</v>
      </c>
      <c r="T630" t="s">
        <v>3422</v>
      </c>
      <c r="U630" t="s">
        <v>25</v>
      </c>
    </row>
    <row r="631" spans="1:21" ht="15" customHeight="1" x14ac:dyDescent="0.3">
      <c r="A631" t="s">
        <v>179</v>
      </c>
      <c r="B631" t="str">
        <f>"00066486"</f>
        <v>00066486</v>
      </c>
      <c r="C631" t="s">
        <v>4262</v>
      </c>
      <c r="D631" t="s">
        <v>738</v>
      </c>
      <c r="E631" t="str">
        <f>"00057339"</f>
        <v>00057339</v>
      </c>
      <c r="F631">
        <v>0</v>
      </c>
      <c r="G631" s="243">
        <v>40042</v>
      </c>
      <c r="H631" t="s">
        <v>182</v>
      </c>
      <c r="I631">
        <v>15</v>
      </c>
      <c r="J631">
        <v>13</v>
      </c>
      <c r="K631">
        <v>1</v>
      </c>
      <c r="L631">
        <v>95366</v>
      </c>
      <c r="M631" t="str">
        <f t="shared" si="88"/>
        <v>13</v>
      </c>
      <c r="N631" t="s">
        <v>3323</v>
      </c>
      <c r="O631" t="str">
        <f t="shared" si="91"/>
        <v>52811</v>
      </c>
      <c r="P631" t="str">
        <f>"2100L"</f>
        <v>2100L</v>
      </c>
      <c r="Q631" t="str">
        <f t="shared" si="89"/>
        <v>0101</v>
      </c>
      <c r="R631">
        <v>2100</v>
      </c>
      <c r="S631" t="str">
        <f t="shared" si="92"/>
        <v>5280</v>
      </c>
      <c r="T631" t="s">
        <v>3422</v>
      </c>
      <c r="U631" t="s">
        <v>25</v>
      </c>
    </row>
    <row r="632" spans="1:21" ht="15" customHeight="1" x14ac:dyDescent="0.3">
      <c r="A632" t="s">
        <v>179</v>
      </c>
      <c r="B632" t="str">
        <f>"00066488"</f>
        <v>00066488</v>
      </c>
      <c r="C632" t="s">
        <v>4266</v>
      </c>
      <c r="D632" t="s">
        <v>739</v>
      </c>
      <c r="E632" t="str">
        <f>"00057756"</f>
        <v>00057756</v>
      </c>
      <c r="F632">
        <v>0</v>
      </c>
      <c r="G632" s="243">
        <v>40042</v>
      </c>
      <c r="H632" t="s">
        <v>182</v>
      </c>
      <c r="I632">
        <v>15</v>
      </c>
      <c r="J632">
        <v>10</v>
      </c>
      <c r="K632">
        <v>1</v>
      </c>
      <c r="L632">
        <v>78273</v>
      </c>
      <c r="M632" t="str">
        <f t="shared" si="88"/>
        <v>13</v>
      </c>
      <c r="N632" t="s">
        <v>3323</v>
      </c>
      <c r="O632" t="str">
        <f t="shared" si="91"/>
        <v>52811</v>
      </c>
      <c r="P632" t="str">
        <f>"2300L"</f>
        <v>2300L</v>
      </c>
      <c r="Q632" t="str">
        <f t="shared" si="89"/>
        <v>0101</v>
      </c>
      <c r="R632">
        <v>2300</v>
      </c>
      <c r="S632" t="str">
        <f t="shared" si="92"/>
        <v>5280</v>
      </c>
      <c r="T632" t="s">
        <v>3422</v>
      </c>
      <c r="U632" t="s">
        <v>25</v>
      </c>
    </row>
    <row r="633" spans="1:21" ht="15" customHeight="1" x14ac:dyDescent="0.3">
      <c r="A633" t="s">
        <v>179</v>
      </c>
      <c r="B633" t="str">
        <f>"00066489"</f>
        <v>00066489</v>
      </c>
      <c r="C633" t="s">
        <v>4272</v>
      </c>
      <c r="H633" t="s">
        <v>170</v>
      </c>
      <c r="I633">
        <v>15</v>
      </c>
      <c r="J633">
        <v>1</v>
      </c>
      <c r="K633">
        <v>1</v>
      </c>
      <c r="L633">
        <v>53256</v>
      </c>
      <c r="M633" t="str">
        <f t="shared" si="88"/>
        <v>13</v>
      </c>
      <c r="N633" t="s">
        <v>3323</v>
      </c>
      <c r="O633" t="str">
        <f t="shared" si="91"/>
        <v>52811</v>
      </c>
      <c r="P633" t="str">
        <f>"2300L"</f>
        <v>2300L</v>
      </c>
      <c r="Q633" t="str">
        <f t="shared" si="89"/>
        <v>0101</v>
      </c>
      <c r="R633">
        <v>2300</v>
      </c>
      <c r="S633" t="str">
        <f t="shared" si="92"/>
        <v>5280</v>
      </c>
      <c r="T633" t="s">
        <v>3422</v>
      </c>
      <c r="U633" t="s">
        <v>25</v>
      </c>
    </row>
    <row r="634" spans="1:21" ht="15" customHeight="1" x14ac:dyDescent="0.3">
      <c r="A634" t="s">
        <v>179</v>
      </c>
      <c r="B634" t="str">
        <f>"00067064"</f>
        <v>00067064</v>
      </c>
      <c r="C634" t="s">
        <v>3670</v>
      </c>
      <c r="D634" t="s">
        <v>740</v>
      </c>
      <c r="E634" t="str">
        <f>"00047927"</f>
        <v>00047927</v>
      </c>
      <c r="F634">
        <v>0</v>
      </c>
      <c r="G634" s="243">
        <v>37270</v>
      </c>
      <c r="H634" t="s">
        <v>182</v>
      </c>
      <c r="I634">
        <v>8</v>
      </c>
      <c r="J634">
        <v>3</v>
      </c>
      <c r="K634">
        <v>1</v>
      </c>
      <c r="L634">
        <v>87160</v>
      </c>
      <c r="M634" t="str">
        <f t="shared" si="88"/>
        <v>13</v>
      </c>
      <c r="N634" t="s">
        <v>3323</v>
      </c>
      <c r="O634" t="str">
        <f t="shared" si="91"/>
        <v>52811</v>
      </c>
      <c r="P634" t="str">
        <f>"1501L"</f>
        <v>1501L</v>
      </c>
      <c r="Q634" t="str">
        <f t="shared" si="89"/>
        <v>0101</v>
      </c>
      <c r="R634">
        <v>1501</v>
      </c>
      <c r="S634" t="str">
        <f t="shared" si="92"/>
        <v>5280</v>
      </c>
      <c r="T634" t="s">
        <v>3422</v>
      </c>
      <c r="U634" t="s">
        <v>25</v>
      </c>
    </row>
    <row r="635" spans="1:21" ht="15" customHeight="1" x14ac:dyDescent="0.3">
      <c r="A635" t="s">
        <v>179</v>
      </c>
      <c r="B635" t="str">
        <f>"00072449"</f>
        <v>00072449</v>
      </c>
      <c r="C635" t="s">
        <v>4274</v>
      </c>
      <c r="D635" t="s">
        <v>4494</v>
      </c>
      <c r="E635" t="str">
        <f>"00066186"</f>
        <v>00066186</v>
      </c>
      <c r="F635">
        <v>0</v>
      </c>
      <c r="G635" s="243">
        <v>40770</v>
      </c>
      <c r="H635" t="s">
        <v>182</v>
      </c>
      <c r="I635">
        <v>4</v>
      </c>
      <c r="J635">
        <v>1</v>
      </c>
      <c r="K635">
        <v>0.71</v>
      </c>
      <c r="L635">
        <v>22454.25</v>
      </c>
      <c r="M635" t="str">
        <f t="shared" si="88"/>
        <v>13</v>
      </c>
      <c r="N635" t="s">
        <v>3323</v>
      </c>
      <c r="O635" t="str">
        <f t="shared" si="91"/>
        <v>52811</v>
      </c>
      <c r="P635" t="str">
        <f>"2100L"</f>
        <v>2100L</v>
      </c>
      <c r="Q635" t="str">
        <f t="shared" si="89"/>
        <v>0101</v>
      </c>
      <c r="R635">
        <v>2100</v>
      </c>
      <c r="S635" t="str">
        <f t="shared" si="92"/>
        <v>5280</v>
      </c>
      <c r="T635" t="s">
        <v>3422</v>
      </c>
      <c r="U635" t="s">
        <v>25</v>
      </c>
    </row>
    <row r="636" spans="1:21" ht="15" customHeight="1" x14ac:dyDescent="0.3">
      <c r="A636" t="s">
        <v>179</v>
      </c>
      <c r="B636" t="str">
        <f>"00072593"</f>
        <v>00072593</v>
      </c>
      <c r="C636" t="s">
        <v>4290</v>
      </c>
      <c r="D636" t="s">
        <v>4495</v>
      </c>
      <c r="E636" t="str">
        <f>"00058721"</f>
        <v>00058721</v>
      </c>
      <c r="F636">
        <v>0</v>
      </c>
      <c r="G636" s="243">
        <v>40087</v>
      </c>
      <c r="H636" t="s">
        <v>182</v>
      </c>
      <c r="I636">
        <v>4</v>
      </c>
      <c r="J636">
        <v>5</v>
      </c>
      <c r="K636">
        <v>0.71</v>
      </c>
      <c r="L636">
        <v>25239.37</v>
      </c>
      <c r="M636" t="str">
        <f t="shared" si="88"/>
        <v>13</v>
      </c>
      <c r="N636" t="s">
        <v>3323</v>
      </c>
      <c r="O636" t="str">
        <f t="shared" si="91"/>
        <v>52811</v>
      </c>
      <c r="P636" t="str">
        <f>"2100L"</f>
        <v>2100L</v>
      </c>
      <c r="Q636" t="str">
        <f t="shared" si="89"/>
        <v>0101</v>
      </c>
      <c r="R636">
        <v>2100</v>
      </c>
      <c r="S636" t="str">
        <f t="shared" si="92"/>
        <v>5280</v>
      </c>
      <c r="T636" t="s">
        <v>3422</v>
      </c>
      <c r="U636" t="s">
        <v>25</v>
      </c>
    </row>
    <row r="637" spans="1:21" ht="15" customHeight="1" x14ac:dyDescent="0.3">
      <c r="A637" t="s">
        <v>179</v>
      </c>
      <c r="B637" t="str">
        <f>"00072680"</f>
        <v>00072680</v>
      </c>
      <c r="C637" t="s">
        <v>4260</v>
      </c>
      <c r="D637" t="s">
        <v>742</v>
      </c>
      <c r="E637" t="str">
        <f>"00050009"</f>
        <v>00050009</v>
      </c>
      <c r="F637">
        <v>0</v>
      </c>
      <c r="G637" s="243">
        <v>36034</v>
      </c>
      <c r="H637" t="s">
        <v>182</v>
      </c>
      <c r="I637">
        <v>15</v>
      </c>
      <c r="J637">
        <v>12</v>
      </c>
      <c r="K637">
        <v>1</v>
      </c>
      <c r="L637">
        <v>87431</v>
      </c>
      <c r="M637" t="str">
        <f t="shared" si="88"/>
        <v>13</v>
      </c>
      <c r="N637" t="s">
        <v>3323</v>
      </c>
      <c r="O637" t="str">
        <f t="shared" si="91"/>
        <v>52811</v>
      </c>
      <c r="P637" t="str">
        <f>"2100L"</f>
        <v>2100L</v>
      </c>
      <c r="Q637" t="str">
        <f t="shared" si="89"/>
        <v>0101</v>
      </c>
      <c r="R637">
        <v>2100</v>
      </c>
      <c r="S637" t="str">
        <f t="shared" si="92"/>
        <v>5280</v>
      </c>
      <c r="T637" t="s">
        <v>3422</v>
      </c>
      <c r="U637" t="s">
        <v>25</v>
      </c>
    </row>
    <row r="638" spans="1:21" ht="15" customHeight="1" x14ac:dyDescent="0.3">
      <c r="A638" t="s">
        <v>179</v>
      </c>
      <c r="B638" t="str">
        <f>"00073827"</f>
        <v>00073827</v>
      </c>
      <c r="C638" t="s">
        <v>4360</v>
      </c>
      <c r="D638" t="s">
        <v>4496</v>
      </c>
      <c r="E638" t="str">
        <f>"00051209"</f>
        <v>00051209</v>
      </c>
      <c r="F638">
        <v>0</v>
      </c>
      <c r="G638" s="243">
        <v>26241</v>
      </c>
      <c r="H638" t="s">
        <v>182</v>
      </c>
      <c r="I638">
        <v>7</v>
      </c>
      <c r="J638">
        <v>10</v>
      </c>
      <c r="K638">
        <v>1</v>
      </c>
      <c r="L638">
        <v>44837</v>
      </c>
      <c r="M638" t="str">
        <f t="shared" si="88"/>
        <v>13</v>
      </c>
      <c r="N638" t="s">
        <v>3323</v>
      </c>
      <c r="O638" t="str">
        <f t="shared" si="91"/>
        <v>52811</v>
      </c>
      <c r="P638" t="str">
        <f>"1502L"</f>
        <v>1502L</v>
      </c>
      <c r="Q638" t="str">
        <f t="shared" si="89"/>
        <v>0101</v>
      </c>
      <c r="R638">
        <v>1502</v>
      </c>
      <c r="S638" t="str">
        <f t="shared" si="92"/>
        <v>5280</v>
      </c>
      <c r="T638" t="s">
        <v>3422</v>
      </c>
      <c r="U638" t="s">
        <v>25</v>
      </c>
    </row>
    <row r="639" spans="1:21" ht="15" customHeight="1" x14ac:dyDescent="0.3">
      <c r="A639" t="s">
        <v>179</v>
      </c>
      <c r="B639" t="str">
        <f>"00074105"</f>
        <v>00074105</v>
      </c>
      <c r="C639" t="s">
        <v>4260</v>
      </c>
      <c r="D639" t="s">
        <v>198</v>
      </c>
      <c r="E639" t="str">
        <f>"00046057"</f>
        <v>00046057</v>
      </c>
      <c r="F639">
        <v>0</v>
      </c>
      <c r="G639" s="243">
        <v>38226</v>
      </c>
      <c r="H639" t="s">
        <v>182</v>
      </c>
      <c r="I639">
        <v>15</v>
      </c>
      <c r="J639">
        <v>9</v>
      </c>
      <c r="K639">
        <v>1</v>
      </c>
      <c r="L639">
        <v>80147</v>
      </c>
      <c r="M639" t="str">
        <f t="shared" si="88"/>
        <v>13</v>
      </c>
      <c r="N639" t="s">
        <v>3323</v>
      </c>
      <c r="O639" t="str">
        <f t="shared" si="91"/>
        <v>52811</v>
      </c>
      <c r="P639" t="str">
        <f>"2100L"</f>
        <v>2100L</v>
      </c>
      <c r="Q639" t="str">
        <f t="shared" si="89"/>
        <v>0101</v>
      </c>
      <c r="R639">
        <v>2100</v>
      </c>
      <c r="S639" t="str">
        <f t="shared" si="92"/>
        <v>5280</v>
      </c>
      <c r="T639" t="s">
        <v>3422</v>
      </c>
      <c r="U639" t="s">
        <v>25</v>
      </c>
    </row>
    <row r="640" spans="1:21" ht="15" customHeight="1" x14ac:dyDescent="0.3">
      <c r="A640" t="s">
        <v>179</v>
      </c>
      <c r="B640" t="str">
        <f>"00074175"</f>
        <v>00074175</v>
      </c>
      <c r="C640" t="s">
        <v>4326</v>
      </c>
      <c r="D640" t="s">
        <v>4497</v>
      </c>
      <c r="E640" t="str">
        <f>"00066714"</f>
        <v>00066714</v>
      </c>
      <c r="F640">
        <v>0</v>
      </c>
      <c r="G640" s="243">
        <v>40812</v>
      </c>
      <c r="H640" t="s">
        <v>182</v>
      </c>
      <c r="I640">
        <v>4</v>
      </c>
      <c r="J640">
        <v>4</v>
      </c>
      <c r="K640">
        <v>0.71</v>
      </c>
      <c r="L640">
        <v>24543.75</v>
      </c>
      <c r="M640" t="str">
        <f t="shared" si="88"/>
        <v>13</v>
      </c>
      <c r="N640" t="s">
        <v>3323</v>
      </c>
      <c r="O640" t="str">
        <f t="shared" si="91"/>
        <v>52811</v>
      </c>
      <c r="P640" t="str">
        <f>"2300L"</f>
        <v>2300L</v>
      </c>
      <c r="Q640" t="str">
        <f t="shared" si="89"/>
        <v>0101</v>
      </c>
      <c r="R640">
        <v>2300</v>
      </c>
      <c r="S640" t="str">
        <f t="shared" si="92"/>
        <v>5280</v>
      </c>
      <c r="T640" t="s">
        <v>3422</v>
      </c>
      <c r="U640" t="s">
        <v>25</v>
      </c>
    </row>
    <row r="641" spans="1:21" ht="15" customHeight="1" x14ac:dyDescent="0.3">
      <c r="A641" t="s">
        <v>179</v>
      </c>
      <c r="B641" t="str">
        <f>"00074540"</f>
        <v>00074540</v>
      </c>
      <c r="C641" t="s">
        <v>4395</v>
      </c>
      <c r="D641" t="s">
        <v>4498</v>
      </c>
      <c r="E641" t="str">
        <f>"00059821"</f>
        <v>00059821</v>
      </c>
      <c r="F641">
        <v>0</v>
      </c>
      <c r="G641" s="243">
        <v>41156</v>
      </c>
      <c r="H641" t="s">
        <v>182</v>
      </c>
      <c r="I641">
        <v>10</v>
      </c>
      <c r="J641">
        <v>5</v>
      </c>
      <c r="K641">
        <v>1</v>
      </c>
      <c r="L641">
        <v>72387</v>
      </c>
      <c r="M641" t="str">
        <f t="shared" si="88"/>
        <v>13</v>
      </c>
      <c r="N641" t="s">
        <v>3323</v>
      </c>
      <c r="O641" t="str">
        <f t="shared" si="91"/>
        <v>52811</v>
      </c>
      <c r="P641" t="str">
        <f>"1502L"</f>
        <v>1502L</v>
      </c>
      <c r="Q641" t="str">
        <f t="shared" si="89"/>
        <v>0101</v>
      </c>
      <c r="R641">
        <v>1502</v>
      </c>
      <c r="S641" t="str">
        <f t="shared" si="92"/>
        <v>5280</v>
      </c>
      <c r="T641" t="s">
        <v>3422</v>
      </c>
      <c r="U641" t="s">
        <v>25</v>
      </c>
    </row>
    <row r="642" spans="1:21" ht="15" customHeight="1" x14ac:dyDescent="0.3">
      <c r="A642" t="s">
        <v>179</v>
      </c>
      <c r="B642" t="str">
        <f>"00074637"</f>
        <v>00074637</v>
      </c>
      <c r="C642" t="s">
        <v>4272</v>
      </c>
      <c r="D642" t="s">
        <v>741</v>
      </c>
      <c r="E642" t="str">
        <f>"00056457"</f>
        <v>00056457</v>
      </c>
      <c r="F642">
        <v>0</v>
      </c>
      <c r="G642" s="243">
        <v>40406</v>
      </c>
      <c r="H642" t="s">
        <v>182</v>
      </c>
      <c r="I642">
        <v>15</v>
      </c>
      <c r="J642">
        <v>2</v>
      </c>
      <c r="K642">
        <v>1</v>
      </c>
      <c r="L642">
        <v>54099</v>
      </c>
      <c r="M642" t="str">
        <f t="shared" si="88"/>
        <v>13</v>
      </c>
      <c r="N642" t="s">
        <v>3323</v>
      </c>
      <c r="O642" t="str">
        <f t="shared" si="91"/>
        <v>52811</v>
      </c>
      <c r="P642" t="str">
        <f>"2100L"</f>
        <v>2100L</v>
      </c>
      <c r="Q642" t="str">
        <f t="shared" si="89"/>
        <v>0101</v>
      </c>
      <c r="R642">
        <v>2100</v>
      </c>
      <c r="S642" t="str">
        <f t="shared" si="92"/>
        <v>5280</v>
      </c>
      <c r="T642" t="s">
        <v>3422</v>
      </c>
      <c r="U642" t="s">
        <v>25</v>
      </c>
    </row>
    <row r="643" spans="1:21" ht="15" customHeight="1" x14ac:dyDescent="0.3">
      <c r="A643" t="s">
        <v>179</v>
      </c>
      <c r="B643" t="str">
        <f>"00075986"</f>
        <v>00075986</v>
      </c>
      <c r="C643" t="s">
        <v>4256</v>
      </c>
      <c r="D643" t="s">
        <v>970</v>
      </c>
      <c r="E643" t="str">
        <f>"00051275"</f>
        <v>00051275</v>
      </c>
      <c r="F643">
        <v>0</v>
      </c>
      <c r="G643" s="243">
        <v>31383</v>
      </c>
      <c r="H643" t="s">
        <v>182</v>
      </c>
      <c r="I643">
        <v>15</v>
      </c>
      <c r="J643">
        <v>16</v>
      </c>
      <c r="K643">
        <v>0.5</v>
      </c>
      <c r="L643">
        <v>51673.5</v>
      </c>
      <c r="M643" t="str">
        <f t="shared" si="88"/>
        <v>13</v>
      </c>
      <c r="N643" t="s">
        <v>3323</v>
      </c>
      <c r="O643" t="str">
        <f t="shared" si="91"/>
        <v>52811</v>
      </c>
      <c r="P643" t="str">
        <f>"2100L"</f>
        <v>2100L</v>
      </c>
      <c r="Q643" t="str">
        <f t="shared" si="89"/>
        <v>0101</v>
      </c>
      <c r="R643">
        <v>2100</v>
      </c>
      <c r="S643" t="str">
        <f t="shared" si="92"/>
        <v>5280</v>
      </c>
      <c r="T643" t="s">
        <v>3422</v>
      </c>
      <c r="U643" t="s">
        <v>25</v>
      </c>
    </row>
    <row r="644" spans="1:21" ht="15" customHeight="1" x14ac:dyDescent="0.3">
      <c r="A644" t="s">
        <v>179</v>
      </c>
      <c r="B644" t="str">
        <f>"00076703"</f>
        <v>00076703</v>
      </c>
      <c r="C644" t="s">
        <v>4499</v>
      </c>
      <c r="H644" t="s">
        <v>170</v>
      </c>
      <c r="I644">
        <v>10</v>
      </c>
      <c r="J644">
        <v>0</v>
      </c>
      <c r="K644">
        <v>1</v>
      </c>
      <c r="L644">
        <v>62794</v>
      </c>
      <c r="M644" t="str">
        <f t="shared" si="88"/>
        <v>13</v>
      </c>
      <c r="N644" t="s">
        <v>3370</v>
      </c>
      <c r="O644" t="str">
        <f t="shared" si="91"/>
        <v>52811</v>
      </c>
      <c r="P644" t="str">
        <f>"3030L"</f>
        <v>3030L</v>
      </c>
      <c r="Q644" t="str">
        <f t="shared" si="89"/>
        <v>0101</v>
      </c>
      <c r="R644">
        <v>3030</v>
      </c>
      <c r="S644" t="str">
        <f t="shared" si="92"/>
        <v>5280</v>
      </c>
      <c r="T644" t="s">
        <v>3422</v>
      </c>
      <c r="U644" t="s">
        <v>25</v>
      </c>
    </row>
    <row r="645" spans="1:21" ht="15" customHeight="1" x14ac:dyDescent="0.3">
      <c r="A645" t="s">
        <v>179</v>
      </c>
      <c r="B645" t="str">
        <f>"00051588"</f>
        <v>00051588</v>
      </c>
      <c r="C645" t="s">
        <v>4262</v>
      </c>
      <c r="D645" t="s">
        <v>4500</v>
      </c>
      <c r="E645" t="str">
        <f>"00069802"</f>
        <v>00069802</v>
      </c>
      <c r="F645">
        <v>0</v>
      </c>
      <c r="G645" s="243">
        <v>41133</v>
      </c>
      <c r="H645" t="s">
        <v>182</v>
      </c>
      <c r="I645">
        <v>15</v>
      </c>
      <c r="J645">
        <v>1</v>
      </c>
      <c r="K645">
        <v>1</v>
      </c>
      <c r="L645">
        <v>51539</v>
      </c>
      <c r="M645" t="str">
        <f t="shared" si="88"/>
        <v>13</v>
      </c>
      <c r="N645" t="s">
        <v>3370</v>
      </c>
      <c r="O645" t="str">
        <f t="shared" ref="O645:O671" si="94">"53011"</f>
        <v>53011</v>
      </c>
      <c r="P645" t="str">
        <f>"2100L"</f>
        <v>2100L</v>
      </c>
      <c r="Q645" t="str">
        <f t="shared" si="89"/>
        <v>0101</v>
      </c>
      <c r="R645">
        <v>2100</v>
      </c>
      <c r="S645" t="str">
        <f t="shared" ref="S645:S671" si="95">"5300"</f>
        <v>5300</v>
      </c>
      <c r="T645" t="s">
        <v>3425</v>
      </c>
      <c r="U645" t="s">
        <v>816</v>
      </c>
    </row>
    <row r="646" spans="1:21" ht="15" customHeight="1" x14ac:dyDescent="0.3">
      <c r="A646" t="s">
        <v>179</v>
      </c>
      <c r="B646" t="str">
        <f>"00053654"</f>
        <v>00053654</v>
      </c>
      <c r="C646" t="s">
        <v>4274</v>
      </c>
      <c r="D646" t="s">
        <v>4501</v>
      </c>
      <c r="E646" t="str">
        <f>"00052065"</f>
        <v>00052065</v>
      </c>
      <c r="F646">
        <v>0</v>
      </c>
      <c r="G646" s="243">
        <v>31686</v>
      </c>
      <c r="H646" t="s">
        <v>182</v>
      </c>
      <c r="I646">
        <v>4</v>
      </c>
      <c r="J646">
        <v>10</v>
      </c>
      <c r="K646">
        <v>1</v>
      </c>
      <c r="L646">
        <v>32824</v>
      </c>
      <c r="M646" t="str">
        <f t="shared" si="88"/>
        <v>13</v>
      </c>
      <c r="N646" t="s">
        <v>3323</v>
      </c>
      <c r="O646" t="str">
        <f t="shared" si="94"/>
        <v>53011</v>
      </c>
      <c r="P646" t="str">
        <f>"2200L"</f>
        <v>2200L</v>
      </c>
      <c r="Q646" t="str">
        <f t="shared" si="89"/>
        <v>0101</v>
      </c>
      <c r="R646">
        <v>2200</v>
      </c>
      <c r="S646" t="str">
        <f t="shared" si="95"/>
        <v>5300</v>
      </c>
      <c r="T646" t="s">
        <v>3425</v>
      </c>
      <c r="U646" t="s">
        <v>816</v>
      </c>
    </row>
    <row r="647" spans="1:21" ht="15" customHeight="1" x14ac:dyDescent="0.3">
      <c r="A647" t="s">
        <v>179</v>
      </c>
      <c r="B647" t="str">
        <f>"00054929"</f>
        <v>00054929</v>
      </c>
      <c r="C647" t="s">
        <v>4272</v>
      </c>
      <c r="D647" t="s">
        <v>4502</v>
      </c>
      <c r="E647" t="str">
        <f>"00069724"</f>
        <v>00069724</v>
      </c>
      <c r="F647">
        <v>0</v>
      </c>
      <c r="G647" s="243">
        <v>41133</v>
      </c>
      <c r="H647" t="s">
        <v>182</v>
      </c>
      <c r="I647">
        <v>15</v>
      </c>
      <c r="J647">
        <v>3</v>
      </c>
      <c r="K647">
        <v>1</v>
      </c>
      <c r="L647">
        <v>58699</v>
      </c>
      <c r="M647" t="str">
        <f t="shared" ref="M647:M705" si="96">"13"</f>
        <v>13</v>
      </c>
      <c r="N647" t="s">
        <v>3370</v>
      </c>
      <c r="O647" t="str">
        <f t="shared" si="94"/>
        <v>53011</v>
      </c>
      <c r="P647" t="str">
        <f>"2100L"</f>
        <v>2100L</v>
      </c>
      <c r="Q647" t="str">
        <f t="shared" ref="Q647:Q705" si="97">"0101"</f>
        <v>0101</v>
      </c>
      <c r="R647">
        <v>2100</v>
      </c>
      <c r="S647" t="str">
        <f t="shared" si="95"/>
        <v>5300</v>
      </c>
      <c r="T647" t="s">
        <v>3425</v>
      </c>
      <c r="U647" t="s">
        <v>816</v>
      </c>
    </row>
    <row r="648" spans="1:21" ht="15" customHeight="1" x14ac:dyDescent="0.3">
      <c r="A648" t="s">
        <v>179</v>
      </c>
      <c r="B648" t="str">
        <f>"00056571"</f>
        <v>00056571</v>
      </c>
      <c r="C648" t="s">
        <v>4262</v>
      </c>
      <c r="D648" t="s">
        <v>4503</v>
      </c>
      <c r="E648" t="str">
        <f>"00068278"</f>
        <v>00068278</v>
      </c>
      <c r="F648">
        <v>0</v>
      </c>
      <c r="G648" s="243">
        <v>41022</v>
      </c>
      <c r="H648" t="s">
        <v>182</v>
      </c>
      <c r="I648">
        <v>15</v>
      </c>
      <c r="J648">
        <v>1</v>
      </c>
      <c r="K648">
        <v>1</v>
      </c>
      <c r="L648">
        <v>54975</v>
      </c>
      <c r="M648" t="str">
        <f t="shared" si="96"/>
        <v>13</v>
      </c>
      <c r="N648" t="s">
        <v>3323</v>
      </c>
      <c r="O648" t="str">
        <f t="shared" si="94"/>
        <v>53011</v>
      </c>
      <c r="P648" t="str">
        <f>"2100L"</f>
        <v>2100L</v>
      </c>
      <c r="Q648" t="str">
        <f t="shared" si="97"/>
        <v>0101</v>
      </c>
      <c r="R648">
        <v>2100</v>
      </c>
      <c r="S648" t="str">
        <f t="shared" si="95"/>
        <v>5300</v>
      </c>
      <c r="T648" t="s">
        <v>3425</v>
      </c>
      <c r="U648" t="s">
        <v>816</v>
      </c>
    </row>
    <row r="649" spans="1:21" ht="15" customHeight="1" x14ac:dyDescent="0.3">
      <c r="A649" t="s">
        <v>179</v>
      </c>
      <c r="B649" t="str">
        <f>"00056905"</f>
        <v>00056905</v>
      </c>
      <c r="C649" t="s">
        <v>180</v>
      </c>
      <c r="D649" t="s">
        <v>4504</v>
      </c>
      <c r="E649" t="str">
        <f>"00068171"</f>
        <v>00068171</v>
      </c>
      <c r="F649">
        <v>0</v>
      </c>
      <c r="G649" s="243">
        <v>41029</v>
      </c>
      <c r="H649" t="s">
        <v>182</v>
      </c>
      <c r="I649">
        <v>15</v>
      </c>
      <c r="J649">
        <v>3</v>
      </c>
      <c r="K649">
        <v>1</v>
      </c>
      <c r="L649">
        <v>58699</v>
      </c>
      <c r="M649" t="str">
        <f t="shared" si="96"/>
        <v>13</v>
      </c>
      <c r="N649" t="s">
        <v>3323</v>
      </c>
      <c r="O649" t="str">
        <f t="shared" si="94"/>
        <v>53011</v>
      </c>
      <c r="P649" t="str">
        <f>"2300L"</f>
        <v>2300L</v>
      </c>
      <c r="Q649" t="str">
        <f t="shared" si="97"/>
        <v>0101</v>
      </c>
      <c r="R649">
        <v>2300</v>
      </c>
      <c r="S649" t="str">
        <f t="shared" si="95"/>
        <v>5300</v>
      </c>
      <c r="T649" t="s">
        <v>3425</v>
      </c>
      <c r="U649" t="s">
        <v>816</v>
      </c>
    </row>
    <row r="650" spans="1:21" ht="15" customHeight="1" x14ac:dyDescent="0.3">
      <c r="A650" t="s">
        <v>179</v>
      </c>
      <c r="B650" t="str">
        <f>"00057374"</f>
        <v>00057374</v>
      </c>
      <c r="C650" t="s">
        <v>4272</v>
      </c>
      <c r="D650" t="s">
        <v>819</v>
      </c>
      <c r="E650" t="str">
        <f>"00045352"</f>
        <v>00045352</v>
      </c>
      <c r="F650">
        <v>0</v>
      </c>
      <c r="G650" s="243">
        <v>36761</v>
      </c>
      <c r="H650" t="s">
        <v>182</v>
      </c>
      <c r="I650">
        <v>15</v>
      </c>
      <c r="J650">
        <v>12</v>
      </c>
      <c r="K650">
        <v>1</v>
      </c>
      <c r="L650">
        <v>87431</v>
      </c>
      <c r="M650" t="str">
        <f t="shared" si="96"/>
        <v>13</v>
      </c>
      <c r="N650" t="s">
        <v>3323</v>
      </c>
      <c r="O650" t="str">
        <f t="shared" si="94"/>
        <v>53011</v>
      </c>
      <c r="P650" t="str">
        <f>"2200L"</f>
        <v>2200L</v>
      </c>
      <c r="Q650" t="str">
        <f t="shared" si="97"/>
        <v>0101</v>
      </c>
      <c r="R650">
        <v>2200</v>
      </c>
      <c r="S650" t="str">
        <f t="shared" si="95"/>
        <v>5300</v>
      </c>
      <c r="T650" t="s">
        <v>3425</v>
      </c>
      <c r="U650" t="s">
        <v>816</v>
      </c>
    </row>
    <row r="651" spans="1:21" ht="15" customHeight="1" x14ac:dyDescent="0.3">
      <c r="A651" t="s">
        <v>179</v>
      </c>
      <c r="B651" t="str">
        <f>"00057466"</f>
        <v>00057466</v>
      </c>
      <c r="C651" t="s">
        <v>4262</v>
      </c>
      <c r="D651" t="s">
        <v>1725</v>
      </c>
      <c r="E651" t="str">
        <f>"00050323"</f>
        <v>00050323</v>
      </c>
      <c r="F651">
        <v>0</v>
      </c>
      <c r="G651" s="243">
        <v>38226</v>
      </c>
      <c r="H651" t="s">
        <v>182</v>
      </c>
      <c r="I651">
        <v>15</v>
      </c>
      <c r="J651">
        <v>11</v>
      </c>
      <c r="K651">
        <v>1</v>
      </c>
      <c r="L651">
        <v>81335</v>
      </c>
      <c r="M651" t="str">
        <f t="shared" si="96"/>
        <v>13</v>
      </c>
      <c r="N651" t="s">
        <v>3323</v>
      </c>
      <c r="O651" t="str">
        <f t="shared" si="94"/>
        <v>53011</v>
      </c>
      <c r="P651" t="str">
        <f>"2100L"</f>
        <v>2100L</v>
      </c>
      <c r="Q651" t="str">
        <f t="shared" si="97"/>
        <v>0101</v>
      </c>
      <c r="R651">
        <v>2100</v>
      </c>
      <c r="S651" t="str">
        <f t="shared" si="95"/>
        <v>5300</v>
      </c>
      <c r="T651" t="s">
        <v>3425</v>
      </c>
      <c r="U651" t="s">
        <v>816</v>
      </c>
    </row>
    <row r="652" spans="1:21" ht="15" customHeight="1" x14ac:dyDescent="0.3">
      <c r="A652" t="s">
        <v>179</v>
      </c>
      <c r="B652" t="str">
        <f>"00058060"</f>
        <v>00058060</v>
      </c>
      <c r="C652" t="s">
        <v>4266</v>
      </c>
      <c r="D652" t="s">
        <v>2616</v>
      </c>
      <c r="E652" t="str">
        <f>"00057262"</f>
        <v>00057262</v>
      </c>
      <c r="F652">
        <v>0</v>
      </c>
      <c r="G652" s="243">
        <v>40042</v>
      </c>
      <c r="H652" t="s">
        <v>182</v>
      </c>
      <c r="I652">
        <v>15</v>
      </c>
      <c r="J652">
        <v>12</v>
      </c>
      <c r="K652">
        <v>1</v>
      </c>
      <c r="L652">
        <v>87431</v>
      </c>
      <c r="M652" t="str">
        <f t="shared" si="96"/>
        <v>13</v>
      </c>
      <c r="N652" t="s">
        <v>3323</v>
      </c>
      <c r="O652" t="str">
        <f t="shared" si="94"/>
        <v>53011</v>
      </c>
      <c r="P652" t="str">
        <f>"2300L"</f>
        <v>2300L</v>
      </c>
      <c r="Q652" t="str">
        <f t="shared" si="97"/>
        <v>0101</v>
      </c>
      <c r="R652">
        <v>2300</v>
      </c>
      <c r="S652" t="str">
        <f t="shared" si="95"/>
        <v>5300</v>
      </c>
      <c r="T652" t="s">
        <v>3425</v>
      </c>
      <c r="U652" t="s">
        <v>816</v>
      </c>
    </row>
    <row r="653" spans="1:21" ht="15" customHeight="1" x14ac:dyDescent="0.3">
      <c r="A653" t="s">
        <v>179</v>
      </c>
      <c r="B653" t="str">
        <f>"00058106"</f>
        <v>00058106</v>
      </c>
      <c r="C653" t="s">
        <v>4266</v>
      </c>
      <c r="D653" t="s">
        <v>822</v>
      </c>
      <c r="E653" t="str">
        <f>"00045229"</f>
        <v>00045229</v>
      </c>
      <c r="F653">
        <v>0</v>
      </c>
      <c r="G653" s="243">
        <v>37124</v>
      </c>
      <c r="H653" t="s">
        <v>182</v>
      </c>
      <c r="I653">
        <v>15</v>
      </c>
      <c r="J653">
        <v>11</v>
      </c>
      <c r="K653">
        <v>1</v>
      </c>
      <c r="L653">
        <v>83774</v>
      </c>
      <c r="M653" t="str">
        <f t="shared" si="96"/>
        <v>13</v>
      </c>
      <c r="N653" t="s">
        <v>3323</v>
      </c>
      <c r="O653" t="str">
        <f t="shared" si="94"/>
        <v>53011</v>
      </c>
      <c r="P653" t="str">
        <f>"2300L"</f>
        <v>2300L</v>
      </c>
      <c r="Q653" t="str">
        <f t="shared" si="97"/>
        <v>0101</v>
      </c>
      <c r="R653">
        <v>2300</v>
      </c>
      <c r="S653" t="str">
        <f t="shared" si="95"/>
        <v>5300</v>
      </c>
      <c r="T653" t="s">
        <v>3425</v>
      </c>
      <c r="U653" t="s">
        <v>816</v>
      </c>
    </row>
    <row r="654" spans="1:21" ht="15" customHeight="1" x14ac:dyDescent="0.3">
      <c r="A654" t="s">
        <v>179</v>
      </c>
      <c r="B654" t="str">
        <f>"00058262"</f>
        <v>00058262</v>
      </c>
      <c r="C654" t="s">
        <v>4274</v>
      </c>
      <c r="D654" t="s">
        <v>4505</v>
      </c>
      <c r="E654" t="str">
        <f>"00050590"</f>
        <v>00050590</v>
      </c>
      <c r="F654">
        <v>0</v>
      </c>
      <c r="G654" s="243">
        <v>37132</v>
      </c>
      <c r="H654" t="s">
        <v>182</v>
      </c>
      <c r="I654">
        <v>4</v>
      </c>
      <c r="J654">
        <v>8</v>
      </c>
      <c r="K654">
        <v>0.875</v>
      </c>
      <c r="L654">
        <v>27329.75</v>
      </c>
      <c r="M654" t="str">
        <f t="shared" si="96"/>
        <v>13</v>
      </c>
      <c r="N654" t="s">
        <v>3323</v>
      </c>
      <c r="O654" t="str">
        <f t="shared" si="94"/>
        <v>53011</v>
      </c>
      <c r="P654" t="str">
        <f>"2200L"</f>
        <v>2200L</v>
      </c>
      <c r="Q654" t="str">
        <f t="shared" si="97"/>
        <v>0101</v>
      </c>
      <c r="R654">
        <v>2200</v>
      </c>
      <c r="S654" t="str">
        <f t="shared" si="95"/>
        <v>5300</v>
      </c>
      <c r="T654" t="s">
        <v>3425</v>
      </c>
      <c r="U654" t="s">
        <v>816</v>
      </c>
    </row>
    <row r="655" spans="1:21" ht="15" customHeight="1" x14ac:dyDescent="0.3">
      <c r="A655" t="s">
        <v>179</v>
      </c>
      <c r="B655" t="str">
        <f>"00058316"</f>
        <v>00058316</v>
      </c>
      <c r="C655" t="s">
        <v>4262</v>
      </c>
      <c r="D655" t="s">
        <v>3434</v>
      </c>
      <c r="E655" t="str">
        <f>"00064457"</f>
        <v>00064457</v>
      </c>
      <c r="F655">
        <v>0</v>
      </c>
      <c r="G655" s="243">
        <v>40548</v>
      </c>
      <c r="H655" t="s">
        <v>182</v>
      </c>
      <c r="I655">
        <v>15</v>
      </c>
      <c r="J655">
        <v>2</v>
      </c>
      <c r="K655">
        <v>1</v>
      </c>
      <c r="L655">
        <v>51716</v>
      </c>
      <c r="M655" t="str">
        <f t="shared" si="96"/>
        <v>13</v>
      </c>
      <c r="N655" t="s">
        <v>3323</v>
      </c>
      <c r="O655" t="str">
        <f t="shared" si="94"/>
        <v>53011</v>
      </c>
      <c r="P655" t="str">
        <f>"2100L"</f>
        <v>2100L</v>
      </c>
      <c r="Q655" t="str">
        <f t="shared" si="97"/>
        <v>0101</v>
      </c>
      <c r="R655">
        <v>2100</v>
      </c>
      <c r="S655" t="str">
        <f t="shared" si="95"/>
        <v>5300</v>
      </c>
      <c r="T655" t="s">
        <v>3425</v>
      </c>
      <c r="U655" t="s">
        <v>816</v>
      </c>
    </row>
    <row r="656" spans="1:21" ht="15" customHeight="1" x14ac:dyDescent="0.3">
      <c r="A656" t="s">
        <v>179</v>
      </c>
      <c r="B656" t="str">
        <f>"00058540"</f>
        <v>00058540</v>
      </c>
      <c r="C656" t="s">
        <v>4266</v>
      </c>
      <c r="D656" t="s">
        <v>4506</v>
      </c>
      <c r="E656" t="str">
        <f>"00066120"</f>
        <v>00066120</v>
      </c>
      <c r="F656">
        <v>0</v>
      </c>
      <c r="G656" s="243">
        <v>40755</v>
      </c>
      <c r="H656" t="s">
        <v>182</v>
      </c>
      <c r="I656">
        <v>15</v>
      </c>
      <c r="J656">
        <v>2</v>
      </c>
      <c r="K656">
        <v>1</v>
      </c>
      <c r="L656">
        <v>56242</v>
      </c>
      <c r="M656" t="str">
        <f t="shared" si="96"/>
        <v>13</v>
      </c>
      <c r="N656" t="s">
        <v>3323</v>
      </c>
      <c r="O656" t="str">
        <f t="shared" si="94"/>
        <v>53011</v>
      </c>
      <c r="P656" t="str">
        <f>"2300L"</f>
        <v>2300L</v>
      </c>
      <c r="Q656" t="str">
        <f t="shared" si="97"/>
        <v>0101</v>
      </c>
      <c r="R656">
        <v>2300</v>
      </c>
      <c r="S656" t="str">
        <f t="shared" si="95"/>
        <v>5300</v>
      </c>
      <c r="T656" t="s">
        <v>3425</v>
      </c>
      <c r="U656" t="s">
        <v>816</v>
      </c>
    </row>
    <row r="657" spans="1:21" ht="15" customHeight="1" x14ac:dyDescent="0.3">
      <c r="A657" t="s">
        <v>179</v>
      </c>
      <c r="B657" t="str">
        <f>"00058702"</f>
        <v>00058702</v>
      </c>
      <c r="C657" t="s">
        <v>4343</v>
      </c>
      <c r="D657" t="s">
        <v>498</v>
      </c>
      <c r="E657" t="str">
        <f>"00053532"</f>
        <v>00053532</v>
      </c>
      <c r="F657">
        <v>0</v>
      </c>
      <c r="G657" s="243">
        <v>36390</v>
      </c>
      <c r="H657" t="s">
        <v>182</v>
      </c>
      <c r="I657">
        <v>15</v>
      </c>
      <c r="J657">
        <v>12</v>
      </c>
      <c r="K657">
        <v>1</v>
      </c>
      <c r="L657">
        <v>89887</v>
      </c>
      <c r="M657" t="str">
        <f t="shared" si="96"/>
        <v>13</v>
      </c>
      <c r="N657" t="s">
        <v>3370</v>
      </c>
      <c r="O657" t="str">
        <f t="shared" si="94"/>
        <v>53011</v>
      </c>
      <c r="P657" t="str">
        <f>"2300L"</f>
        <v>2300L</v>
      </c>
      <c r="Q657" t="str">
        <f t="shared" si="97"/>
        <v>0101</v>
      </c>
      <c r="R657">
        <v>2300</v>
      </c>
      <c r="S657" t="str">
        <f t="shared" si="95"/>
        <v>5300</v>
      </c>
      <c r="T657" t="s">
        <v>3425</v>
      </c>
      <c r="U657" t="s">
        <v>816</v>
      </c>
    </row>
    <row r="658" spans="1:21" ht="15" customHeight="1" x14ac:dyDescent="0.3">
      <c r="A658" t="s">
        <v>179</v>
      </c>
      <c r="B658" t="str">
        <f>"00059453"</f>
        <v>00059453</v>
      </c>
      <c r="C658" t="s">
        <v>4341</v>
      </c>
      <c r="H658" t="s">
        <v>170</v>
      </c>
      <c r="I658">
        <v>10</v>
      </c>
      <c r="J658">
        <v>1</v>
      </c>
      <c r="K658">
        <v>1</v>
      </c>
      <c r="L658">
        <v>62794</v>
      </c>
      <c r="M658" t="str">
        <f t="shared" si="96"/>
        <v>13</v>
      </c>
      <c r="N658" t="s">
        <v>3323</v>
      </c>
      <c r="O658" t="str">
        <f t="shared" si="94"/>
        <v>53011</v>
      </c>
      <c r="P658" t="str">
        <f>"3030L"</f>
        <v>3030L</v>
      </c>
      <c r="Q658" t="str">
        <f t="shared" si="97"/>
        <v>0101</v>
      </c>
      <c r="R658">
        <v>3030</v>
      </c>
      <c r="S658" t="str">
        <f t="shared" si="95"/>
        <v>5300</v>
      </c>
      <c r="T658" t="s">
        <v>3425</v>
      </c>
      <c r="U658" t="s">
        <v>816</v>
      </c>
    </row>
    <row r="659" spans="1:21" ht="15" customHeight="1" x14ac:dyDescent="0.3">
      <c r="A659" t="s">
        <v>179</v>
      </c>
      <c r="B659" t="str">
        <f>"00060256"</f>
        <v>00060256</v>
      </c>
      <c r="C659" t="s">
        <v>4262</v>
      </c>
      <c r="D659" t="s">
        <v>4507</v>
      </c>
      <c r="E659" t="str">
        <f>"00070033"</f>
        <v>00070033</v>
      </c>
      <c r="F659">
        <v>0</v>
      </c>
      <c r="G659" s="243">
        <v>41133</v>
      </c>
      <c r="H659" t="s">
        <v>182</v>
      </c>
      <c r="I659">
        <v>15</v>
      </c>
      <c r="J659">
        <v>1</v>
      </c>
      <c r="K659">
        <v>1</v>
      </c>
      <c r="L659">
        <v>51539</v>
      </c>
      <c r="M659" t="str">
        <f t="shared" si="96"/>
        <v>13</v>
      </c>
      <c r="N659" t="s">
        <v>3370</v>
      </c>
      <c r="O659" t="str">
        <f t="shared" si="94"/>
        <v>53011</v>
      </c>
      <c r="P659" t="str">
        <f>"2100L"</f>
        <v>2100L</v>
      </c>
      <c r="Q659" t="str">
        <f t="shared" si="97"/>
        <v>0101</v>
      </c>
      <c r="R659">
        <v>2100</v>
      </c>
      <c r="S659" t="str">
        <f t="shared" si="95"/>
        <v>5300</v>
      </c>
      <c r="T659" t="s">
        <v>3425</v>
      </c>
      <c r="U659" t="s">
        <v>816</v>
      </c>
    </row>
    <row r="660" spans="1:21" ht="15" customHeight="1" x14ac:dyDescent="0.3">
      <c r="A660" t="s">
        <v>179</v>
      </c>
      <c r="B660" t="str">
        <f>"00060336"</f>
        <v>00060336</v>
      </c>
      <c r="C660" t="s">
        <v>4262</v>
      </c>
      <c r="D660" t="s">
        <v>3427</v>
      </c>
      <c r="E660" t="str">
        <f>"00064443"</f>
        <v>00064443</v>
      </c>
      <c r="F660">
        <v>0</v>
      </c>
      <c r="G660" s="243">
        <v>40548</v>
      </c>
      <c r="H660" t="s">
        <v>182</v>
      </c>
      <c r="I660">
        <v>15</v>
      </c>
      <c r="J660">
        <v>2</v>
      </c>
      <c r="K660">
        <v>1</v>
      </c>
      <c r="L660">
        <v>51716</v>
      </c>
      <c r="M660" t="str">
        <f t="shared" si="96"/>
        <v>13</v>
      </c>
      <c r="N660" t="s">
        <v>3323</v>
      </c>
      <c r="O660" t="str">
        <f t="shared" si="94"/>
        <v>53011</v>
      </c>
      <c r="P660" t="str">
        <f>"3030L"</f>
        <v>3030L</v>
      </c>
      <c r="Q660" t="str">
        <f t="shared" si="97"/>
        <v>0101</v>
      </c>
      <c r="R660">
        <v>3030</v>
      </c>
      <c r="S660" t="str">
        <f t="shared" si="95"/>
        <v>5300</v>
      </c>
      <c r="T660" t="s">
        <v>3425</v>
      </c>
      <c r="U660" t="s">
        <v>816</v>
      </c>
    </row>
    <row r="661" spans="1:21" ht="15" customHeight="1" x14ac:dyDescent="0.3">
      <c r="A661" t="s">
        <v>179</v>
      </c>
      <c r="B661" t="str">
        <f>"00060376"</f>
        <v>00060376</v>
      </c>
      <c r="C661" t="s">
        <v>4262</v>
      </c>
      <c r="D661" t="s">
        <v>827</v>
      </c>
      <c r="E661" t="str">
        <f>"00046153"</f>
        <v>00046153</v>
      </c>
      <c r="F661">
        <v>0</v>
      </c>
      <c r="G661" s="243">
        <v>38587</v>
      </c>
      <c r="H661" t="s">
        <v>182</v>
      </c>
      <c r="I661">
        <v>15</v>
      </c>
      <c r="J661">
        <v>8</v>
      </c>
      <c r="K661">
        <v>1</v>
      </c>
      <c r="L661">
        <v>63517</v>
      </c>
      <c r="M661" t="str">
        <f t="shared" si="96"/>
        <v>13</v>
      </c>
      <c r="N661" t="s">
        <v>3323</v>
      </c>
      <c r="O661" t="str">
        <f t="shared" si="94"/>
        <v>53011</v>
      </c>
      <c r="P661" t="str">
        <f>"2100L"</f>
        <v>2100L</v>
      </c>
      <c r="Q661" t="str">
        <f t="shared" si="97"/>
        <v>0101</v>
      </c>
      <c r="R661">
        <v>2100</v>
      </c>
      <c r="S661" t="str">
        <f t="shared" si="95"/>
        <v>5300</v>
      </c>
      <c r="T661" t="s">
        <v>3425</v>
      </c>
      <c r="U661" t="s">
        <v>816</v>
      </c>
    </row>
    <row r="662" spans="1:21" ht="15" customHeight="1" x14ac:dyDescent="0.3">
      <c r="A662" t="s">
        <v>179</v>
      </c>
      <c r="B662" t="str">
        <f>"00060853"</f>
        <v>00060853</v>
      </c>
      <c r="C662" t="s">
        <v>3798</v>
      </c>
      <c r="D662" t="s">
        <v>828</v>
      </c>
      <c r="E662" t="str">
        <f>"00044772"</f>
        <v>00044772</v>
      </c>
      <c r="F662">
        <v>0</v>
      </c>
      <c r="G662" s="243">
        <v>37493</v>
      </c>
      <c r="H662" t="s">
        <v>182</v>
      </c>
      <c r="I662">
        <v>61</v>
      </c>
      <c r="J662">
        <v>4</v>
      </c>
      <c r="K662">
        <v>1</v>
      </c>
      <c r="L662">
        <v>115000</v>
      </c>
      <c r="M662" t="str">
        <f t="shared" si="96"/>
        <v>13</v>
      </c>
      <c r="N662" t="s">
        <v>3323</v>
      </c>
      <c r="O662" t="str">
        <f t="shared" si="94"/>
        <v>53011</v>
      </c>
      <c r="P662" t="str">
        <f>"1501L"</f>
        <v>1501L</v>
      </c>
      <c r="Q662" t="str">
        <f t="shared" si="97"/>
        <v>0101</v>
      </c>
      <c r="R662">
        <v>1501</v>
      </c>
      <c r="S662" t="str">
        <f t="shared" si="95"/>
        <v>5300</v>
      </c>
      <c r="T662" t="s">
        <v>3425</v>
      </c>
      <c r="U662" t="s">
        <v>816</v>
      </c>
    </row>
    <row r="663" spans="1:21" ht="15" customHeight="1" x14ac:dyDescent="0.3">
      <c r="A663" t="s">
        <v>179</v>
      </c>
      <c r="B663" t="str">
        <f>"00061121"</f>
        <v>00061121</v>
      </c>
      <c r="C663" t="s">
        <v>4272</v>
      </c>
      <c r="D663" t="s">
        <v>1382</v>
      </c>
      <c r="E663" t="str">
        <f>"00063292"</f>
        <v>00063292</v>
      </c>
      <c r="F663">
        <v>0</v>
      </c>
      <c r="G663" s="243">
        <v>40406</v>
      </c>
      <c r="H663" t="s">
        <v>182</v>
      </c>
      <c r="I663">
        <v>15</v>
      </c>
      <c r="J663">
        <v>3</v>
      </c>
      <c r="K663">
        <v>1</v>
      </c>
      <c r="L663">
        <v>52777</v>
      </c>
      <c r="M663" t="str">
        <f t="shared" si="96"/>
        <v>13</v>
      </c>
      <c r="N663" t="s">
        <v>3323</v>
      </c>
      <c r="O663" t="str">
        <f t="shared" si="94"/>
        <v>53011</v>
      </c>
      <c r="P663" t="str">
        <f>"2100L"</f>
        <v>2100L</v>
      </c>
      <c r="Q663" t="str">
        <f t="shared" si="97"/>
        <v>0101</v>
      </c>
      <c r="R663">
        <v>2100</v>
      </c>
      <c r="S663" t="str">
        <f t="shared" si="95"/>
        <v>5300</v>
      </c>
      <c r="T663" t="s">
        <v>3425</v>
      </c>
      <c r="U663" t="s">
        <v>816</v>
      </c>
    </row>
    <row r="664" spans="1:21" ht="15" customHeight="1" x14ac:dyDescent="0.3">
      <c r="A664" t="s">
        <v>179</v>
      </c>
      <c r="B664" t="str">
        <f>"00061295"</f>
        <v>00061295</v>
      </c>
      <c r="C664" t="s">
        <v>4272</v>
      </c>
      <c r="D664" t="s">
        <v>829</v>
      </c>
      <c r="E664" t="str">
        <f>"00057842"</f>
        <v>00057842</v>
      </c>
      <c r="F664">
        <v>0</v>
      </c>
      <c r="G664" s="243">
        <v>40042</v>
      </c>
      <c r="H664" t="s">
        <v>182</v>
      </c>
      <c r="I664">
        <v>15</v>
      </c>
      <c r="J664">
        <v>4</v>
      </c>
      <c r="K664">
        <v>1</v>
      </c>
      <c r="L664">
        <v>61158</v>
      </c>
      <c r="M664" t="str">
        <f t="shared" si="96"/>
        <v>13</v>
      </c>
      <c r="N664" t="s">
        <v>3323</v>
      </c>
      <c r="O664" t="str">
        <f t="shared" si="94"/>
        <v>53011</v>
      </c>
      <c r="P664" t="str">
        <f>"2200L"</f>
        <v>2200L</v>
      </c>
      <c r="Q664" t="str">
        <f t="shared" si="97"/>
        <v>0101</v>
      </c>
      <c r="R664">
        <v>2200</v>
      </c>
      <c r="S664" t="str">
        <f t="shared" si="95"/>
        <v>5300</v>
      </c>
      <c r="T664" t="s">
        <v>3425</v>
      </c>
      <c r="U664" t="s">
        <v>816</v>
      </c>
    </row>
    <row r="665" spans="1:21" ht="15" customHeight="1" x14ac:dyDescent="0.3">
      <c r="A665" t="s">
        <v>179</v>
      </c>
      <c r="B665" t="str">
        <f>"00061365"</f>
        <v>00061365</v>
      </c>
      <c r="C665" t="s">
        <v>4274</v>
      </c>
      <c r="D665" t="s">
        <v>4508</v>
      </c>
      <c r="E665" t="str">
        <f>"00052300"</f>
        <v>00052300</v>
      </c>
      <c r="F665">
        <v>0</v>
      </c>
      <c r="G665" s="243">
        <v>39315</v>
      </c>
      <c r="H665" t="s">
        <v>182</v>
      </c>
      <c r="I665">
        <v>4</v>
      </c>
      <c r="J665">
        <v>10</v>
      </c>
      <c r="K665">
        <v>0.875</v>
      </c>
      <c r="L665">
        <v>28721</v>
      </c>
      <c r="M665" t="str">
        <f t="shared" si="96"/>
        <v>13</v>
      </c>
      <c r="N665" t="s">
        <v>3323</v>
      </c>
      <c r="O665" t="str">
        <f t="shared" si="94"/>
        <v>53011</v>
      </c>
      <c r="P665" t="str">
        <f>"2200L"</f>
        <v>2200L</v>
      </c>
      <c r="Q665" t="str">
        <f t="shared" si="97"/>
        <v>0101</v>
      </c>
      <c r="R665">
        <v>2200</v>
      </c>
      <c r="S665" t="str">
        <f t="shared" si="95"/>
        <v>5300</v>
      </c>
      <c r="T665" t="s">
        <v>3425</v>
      </c>
      <c r="U665" t="s">
        <v>816</v>
      </c>
    </row>
    <row r="666" spans="1:21" ht="15" customHeight="1" x14ac:dyDescent="0.3">
      <c r="A666" t="s">
        <v>179</v>
      </c>
      <c r="B666" t="str">
        <f>"00061391"</f>
        <v>00061391</v>
      </c>
      <c r="C666" t="s">
        <v>4262</v>
      </c>
      <c r="D666" t="s">
        <v>4509</v>
      </c>
      <c r="E666" t="str">
        <f>"00062773"</f>
        <v>00062773</v>
      </c>
      <c r="F666">
        <v>0</v>
      </c>
      <c r="G666" s="243">
        <v>40406</v>
      </c>
      <c r="H666" t="s">
        <v>182</v>
      </c>
      <c r="I666">
        <v>15</v>
      </c>
      <c r="J666">
        <v>8</v>
      </c>
      <c r="K666">
        <v>1</v>
      </c>
      <c r="L666">
        <v>72171</v>
      </c>
      <c r="M666" t="str">
        <f t="shared" si="96"/>
        <v>13</v>
      </c>
      <c r="N666" t="s">
        <v>3323</v>
      </c>
      <c r="O666" t="str">
        <f t="shared" si="94"/>
        <v>53011</v>
      </c>
      <c r="P666" t="str">
        <f>"2100L"</f>
        <v>2100L</v>
      </c>
      <c r="Q666" t="str">
        <f t="shared" si="97"/>
        <v>0101</v>
      </c>
      <c r="R666">
        <v>2100</v>
      </c>
      <c r="S666" t="str">
        <f t="shared" si="95"/>
        <v>5300</v>
      </c>
      <c r="T666" t="s">
        <v>3425</v>
      </c>
      <c r="U666" t="s">
        <v>816</v>
      </c>
    </row>
    <row r="667" spans="1:21" ht="15" customHeight="1" x14ac:dyDescent="0.3">
      <c r="A667" t="s">
        <v>179</v>
      </c>
      <c r="B667" t="str">
        <f>"00061992"</f>
        <v>00061992</v>
      </c>
      <c r="C667" t="s">
        <v>4254</v>
      </c>
      <c r="D667" t="s">
        <v>830</v>
      </c>
      <c r="E667" t="str">
        <f>"00046841"</f>
        <v>00046841</v>
      </c>
      <c r="F667">
        <v>0</v>
      </c>
      <c r="G667" s="243">
        <v>39679</v>
      </c>
      <c r="H667" t="s">
        <v>182</v>
      </c>
      <c r="I667">
        <v>15</v>
      </c>
      <c r="J667">
        <v>12</v>
      </c>
      <c r="K667">
        <v>1</v>
      </c>
      <c r="L667">
        <v>87431</v>
      </c>
      <c r="M667" t="str">
        <f t="shared" si="96"/>
        <v>13</v>
      </c>
      <c r="N667" t="s">
        <v>3323</v>
      </c>
      <c r="O667" t="str">
        <f t="shared" si="94"/>
        <v>53011</v>
      </c>
      <c r="P667" t="str">
        <f>"2100L"</f>
        <v>2100L</v>
      </c>
      <c r="Q667" t="str">
        <f t="shared" si="97"/>
        <v>0101</v>
      </c>
      <c r="R667">
        <v>2100</v>
      </c>
      <c r="S667" t="str">
        <f t="shared" si="95"/>
        <v>5300</v>
      </c>
      <c r="T667" t="s">
        <v>3425</v>
      </c>
      <c r="U667" t="s">
        <v>816</v>
      </c>
    </row>
    <row r="668" spans="1:21" ht="15" customHeight="1" x14ac:dyDescent="0.3">
      <c r="A668" t="s">
        <v>179</v>
      </c>
      <c r="B668" t="str">
        <f>"00061995"</f>
        <v>00061995</v>
      </c>
      <c r="C668" t="s">
        <v>4260</v>
      </c>
      <c r="D668" t="s">
        <v>831</v>
      </c>
      <c r="E668" t="str">
        <f>"00063033"</f>
        <v>00063033</v>
      </c>
      <c r="F668">
        <v>0</v>
      </c>
      <c r="G668" s="243">
        <v>40406</v>
      </c>
      <c r="H668" t="s">
        <v>182</v>
      </c>
      <c r="I668">
        <v>15</v>
      </c>
      <c r="J668">
        <v>3</v>
      </c>
      <c r="K668">
        <v>1</v>
      </c>
      <c r="L668">
        <v>52777</v>
      </c>
      <c r="M668" t="str">
        <f t="shared" si="96"/>
        <v>13</v>
      </c>
      <c r="N668" t="s">
        <v>3323</v>
      </c>
      <c r="O668" t="str">
        <f t="shared" si="94"/>
        <v>53011</v>
      </c>
      <c r="P668" t="str">
        <f>"3030L"</f>
        <v>3030L</v>
      </c>
      <c r="Q668" t="str">
        <f t="shared" si="97"/>
        <v>0101</v>
      </c>
      <c r="R668">
        <v>3030</v>
      </c>
      <c r="S668" t="str">
        <f t="shared" si="95"/>
        <v>5300</v>
      </c>
      <c r="T668" t="s">
        <v>3425</v>
      </c>
      <c r="U668" t="s">
        <v>816</v>
      </c>
    </row>
    <row r="669" spans="1:21" ht="15" customHeight="1" x14ac:dyDescent="0.3">
      <c r="A669" t="s">
        <v>179</v>
      </c>
      <c r="B669" t="str">
        <f>"00062071"</f>
        <v>00062071</v>
      </c>
      <c r="C669" t="s">
        <v>4257</v>
      </c>
      <c r="D669" t="s">
        <v>832</v>
      </c>
      <c r="E669" t="str">
        <f>"00063039"</f>
        <v>00063039</v>
      </c>
      <c r="F669">
        <v>0</v>
      </c>
      <c r="G669" s="243">
        <v>40406</v>
      </c>
      <c r="H669" t="s">
        <v>182</v>
      </c>
      <c r="I669">
        <v>15</v>
      </c>
      <c r="J669">
        <v>12</v>
      </c>
      <c r="K669">
        <v>1</v>
      </c>
      <c r="L669">
        <v>87431</v>
      </c>
      <c r="M669" t="str">
        <f t="shared" si="96"/>
        <v>13</v>
      </c>
      <c r="N669" t="s">
        <v>3323</v>
      </c>
      <c r="O669" t="str">
        <f t="shared" si="94"/>
        <v>53011</v>
      </c>
      <c r="P669" t="str">
        <f>"2100L"</f>
        <v>2100L</v>
      </c>
      <c r="Q669" t="str">
        <f t="shared" si="97"/>
        <v>0101</v>
      </c>
      <c r="R669">
        <v>2100</v>
      </c>
      <c r="S669" t="str">
        <f t="shared" si="95"/>
        <v>5300</v>
      </c>
      <c r="T669" t="s">
        <v>3425</v>
      </c>
      <c r="U669" t="s">
        <v>816</v>
      </c>
    </row>
    <row r="670" spans="1:21" ht="15" customHeight="1" x14ac:dyDescent="0.3">
      <c r="A670" t="s">
        <v>179</v>
      </c>
      <c r="B670" t="str">
        <f>"00062072"</f>
        <v>00062072</v>
      </c>
      <c r="C670" t="s">
        <v>4256</v>
      </c>
      <c r="D670" t="s">
        <v>833</v>
      </c>
      <c r="E670" t="str">
        <f>"00055031"</f>
        <v>00055031</v>
      </c>
      <c r="F670">
        <v>0</v>
      </c>
      <c r="G670" s="243">
        <v>39557</v>
      </c>
      <c r="H670" t="s">
        <v>182</v>
      </c>
      <c r="I670">
        <v>15</v>
      </c>
      <c r="J670">
        <v>12</v>
      </c>
      <c r="K670">
        <v>1</v>
      </c>
      <c r="L670">
        <v>87431</v>
      </c>
      <c r="M670" t="str">
        <f t="shared" si="96"/>
        <v>13</v>
      </c>
      <c r="N670" t="s">
        <v>3323</v>
      </c>
      <c r="O670" t="str">
        <f t="shared" si="94"/>
        <v>53011</v>
      </c>
      <c r="P670" t="str">
        <f>"2100L"</f>
        <v>2100L</v>
      </c>
      <c r="Q670" t="str">
        <f t="shared" si="97"/>
        <v>0101</v>
      </c>
      <c r="R670">
        <v>2100</v>
      </c>
      <c r="S670" t="str">
        <f t="shared" si="95"/>
        <v>5300</v>
      </c>
      <c r="T670" t="s">
        <v>3425</v>
      </c>
      <c r="U670" t="s">
        <v>816</v>
      </c>
    </row>
    <row r="671" spans="1:21" ht="15" customHeight="1" x14ac:dyDescent="0.3">
      <c r="A671" t="s">
        <v>179</v>
      </c>
      <c r="B671" t="str">
        <f>"00062212"</f>
        <v>00062212</v>
      </c>
      <c r="C671" t="s">
        <v>200</v>
      </c>
      <c r="D671" t="s">
        <v>834</v>
      </c>
      <c r="E671" t="str">
        <f>"00014134"</f>
        <v>00014134</v>
      </c>
      <c r="F671">
        <v>1</v>
      </c>
      <c r="G671" s="243">
        <v>39679</v>
      </c>
      <c r="H671" t="s">
        <v>182</v>
      </c>
      <c r="I671">
        <v>15</v>
      </c>
      <c r="J671">
        <v>12</v>
      </c>
      <c r="K671">
        <v>1</v>
      </c>
      <c r="L671">
        <v>89887</v>
      </c>
      <c r="M671" t="str">
        <f t="shared" si="96"/>
        <v>13</v>
      </c>
      <c r="N671" t="s">
        <v>3323</v>
      </c>
      <c r="O671" t="str">
        <f t="shared" si="94"/>
        <v>53011</v>
      </c>
      <c r="P671" t="str">
        <f>"2100L"</f>
        <v>2100L</v>
      </c>
      <c r="Q671" t="str">
        <f t="shared" si="97"/>
        <v>0101</v>
      </c>
      <c r="R671">
        <v>2100</v>
      </c>
      <c r="S671" t="str">
        <f t="shared" si="95"/>
        <v>5300</v>
      </c>
      <c r="T671" t="s">
        <v>3425</v>
      </c>
      <c r="U671" t="s">
        <v>816</v>
      </c>
    </row>
    <row r="672" spans="1:21" ht="15" customHeight="1" x14ac:dyDescent="0.3">
      <c r="A672" t="s">
        <v>179</v>
      </c>
      <c r="B672" t="str">
        <f>"00062473"</f>
        <v>00062473</v>
      </c>
      <c r="C672" t="s">
        <v>4258</v>
      </c>
      <c r="D672" t="s">
        <v>3432</v>
      </c>
      <c r="E672" t="str">
        <f>"00064398"</f>
        <v>00064398</v>
      </c>
      <c r="F672">
        <v>0</v>
      </c>
      <c r="G672" s="243">
        <v>40561</v>
      </c>
      <c r="H672" t="s">
        <v>182</v>
      </c>
      <c r="I672">
        <v>15</v>
      </c>
      <c r="J672">
        <v>2</v>
      </c>
      <c r="K672">
        <v>1</v>
      </c>
      <c r="L672">
        <v>56242</v>
      </c>
      <c r="M672" t="str">
        <f t="shared" si="96"/>
        <v>13</v>
      </c>
      <c r="N672" t="s">
        <v>3323</v>
      </c>
      <c r="O672" t="str">
        <f t="shared" ref="O672:O702" si="98">"53011"</f>
        <v>53011</v>
      </c>
      <c r="P672" t="str">
        <f>"2100L"</f>
        <v>2100L</v>
      </c>
      <c r="Q672" t="str">
        <f t="shared" si="97"/>
        <v>0101</v>
      </c>
      <c r="R672">
        <v>2100</v>
      </c>
      <c r="S672" t="str">
        <f t="shared" ref="S672:S702" si="99">"5300"</f>
        <v>5300</v>
      </c>
      <c r="T672" t="s">
        <v>3425</v>
      </c>
      <c r="U672" t="s">
        <v>816</v>
      </c>
    </row>
    <row r="673" spans="1:21" ht="15" customHeight="1" x14ac:dyDescent="0.3">
      <c r="A673" t="s">
        <v>179</v>
      </c>
      <c r="B673" t="str">
        <f>"00062571"</f>
        <v>00062571</v>
      </c>
      <c r="C673" t="s">
        <v>4292</v>
      </c>
      <c r="H673" t="s">
        <v>170</v>
      </c>
      <c r="I673">
        <v>4</v>
      </c>
      <c r="J673">
        <v>1</v>
      </c>
      <c r="K673">
        <v>0.875</v>
      </c>
      <c r="L673">
        <v>25662</v>
      </c>
      <c r="M673" t="str">
        <f t="shared" si="96"/>
        <v>13</v>
      </c>
      <c r="N673" t="s">
        <v>3370</v>
      </c>
      <c r="O673" t="str">
        <f t="shared" si="98"/>
        <v>53011</v>
      </c>
      <c r="P673" t="str">
        <f>"2200L"</f>
        <v>2200L</v>
      </c>
      <c r="Q673" t="str">
        <f t="shared" si="97"/>
        <v>0101</v>
      </c>
      <c r="R673">
        <v>2200</v>
      </c>
      <c r="S673" t="str">
        <f t="shared" si="99"/>
        <v>5300</v>
      </c>
      <c r="T673" t="s">
        <v>3425</v>
      </c>
      <c r="U673" t="s">
        <v>816</v>
      </c>
    </row>
    <row r="674" spans="1:21" ht="15" customHeight="1" x14ac:dyDescent="0.3">
      <c r="A674" t="s">
        <v>179</v>
      </c>
      <c r="B674" t="str">
        <f>"00065786"</f>
        <v>00065786</v>
      </c>
      <c r="C674" t="s">
        <v>4288</v>
      </c>
      <c r="D674" t="s">
        <v>4510</v>
      </c>
      <c r="E674" t="str">
        <f>"00070113"</f>
        <v>00070113</v>
      </c>
      <c r="F674">
        <v>0</v>
      </c>
      <c r="G674" s="243">
        <v>41133</v>
      </c>
      <c r="H674" t="s">
        <v>182</v>
      </c>
      <c r="I674">
        <v>4</v>
      </c>
      <c r="J674">
        <v>4</v>
      </c>
      <c r="K674">
        <v>1</v>
      </c>
      <c r="L674">
        <v>24543.75</v>
      </c>
      <c r="M674" t="str">
        <f t="shared" si="96"/>
        <v>13</v>
      </c>
      <c r="N674" t="s">
        <v>3370</v>
      </c>
      <c r="O674" t="str">
        <f t="shared" si="98"/>
        <v>53011</v>
      </c>
      <c r="P674" t="str">
        <f>"2200L"</f>
        <v>2200L</v>
      </c>
      <c r="Q674" t="str">
        <f t="shared" si="97"/>
        <v>0101</v>
      </c>
      <c r="R674">
        <v>2200</v>
      </c>
      <c r="S674" t="str">
        <f t="shared" si="99"/>
        <v>5300</v>
      </c>
      <c r="T674" t="s">
        <v>3425</v>
      </c>
      <c r="U674" t="s">
        <v>816</v>
      </c>
    </row>
    <row r="675" spans="1:21" ht="15" customHeight="1" x14ac:dyDescent="0.3">
      <c r="A675" t="s">
        <v>179</v>
      </c>
      <c r="B675" t="str">
        <f>"00065796"</f>
        <v>00065796</v>
      </c>
      <c r="C675" t="s">
        <v>4274</v>
      </c>
      <c r="D675" t="s">
        <v>4511</v>
      </c>
      <c r="E675" t="str">
        <f>"00066974"</f>
        <v>00066974</v>
      </c>
      <c r="F675">
        <v>0</v>
      </c>
      <c r="G675" s="243">
        <v>40840</v>
      </c>
      <c r="H675" t="s">
        <v>182</v>
      </c>
      <c r="I675">
        <v>4</v>
      </c>
      <c r="J675">
        <v>4</v>
      </c>
      <c r="K675">
        <v>1</v>
      </c>
      <c r="L675">
        <v>24543.75</v>
      </c>
      <c r="M675" t="str">
        <f t="shared" si="96"/>
        <v>13</v>
      </c>
      <c r="N675" t="s">
        <v>3370</v>
      </c>
      <c r="O675" t="str">
        <f t="shared" si="98"/>
        <v>53011</v>
      </c>
      <c r="P675" t="str">
        <f>"2200L"</f>
        <v>2200L</v>
      </c>
      <c r="Q675" t="str">
        <f t="shared" si="97"/>
        <v>0101</v>
      </c>
      <c r="R675">
        <v>2200</v>
      </c>
      <c r="S675" t="str">
        <f t="shared" si="99"/>
        <v>5300</v>
      </c>
      <c r="T675" t="s">
        <v>3425</v>
      </c>
      <c r="U675" t="s">
        <v>816</v>
      </c>
    </row>
    <row r="676" spans="1:21" ht="15" customHeight="1" x14ac:dyDescent="0.3">
      <c r="A676" t="s">
        <v>179</v>
      </c>
      <c r="B676" t="str">
        <f>"00065805"</f>
        <v>00065805</v>
      </c>
      <c r="C676" t="s">
        <v>4274</v>
      </c>
      <c r="D676" t="s">
        <v>4512</v>
      </c>
      <c r="E676" t="str">
        <f>"00058284"</f>
        <v>00058284</v>
      </c>
      <c r="F676">
        <v>0</v>
      </c>
      <c r="G676" s="243">
        <v>40042</v>
      </c>
      <c r="H676" t="s">
        <v>182</v>
      </c>
      <c r="I676">
        <v>4</v>
      </c>
      <c r="J676">
        <v>9</v>
      </c>
      <c r="K676">
        <v>1</v>
      </c>
      <c r="L676">
        <v>28025.38</v>
      </c>
      <c r="M676" t="str">
        <f t="shared" si="96"/>
        <v>13</v>
      </c>
      <c r="N676" t="s">
        <v>3323</v>
      </c>
      <c r="O676" t="str">
        <f t="shared" si="98"/>
        <v>53011</v>
      </c>
      <c r="P676" t="str">
        <f>"2200L"</f>
        <v>2200L</v>
      </c>
      <c r="Q676" t="str">
        <f t="shared" si="97"/>
        <v>0101</v>
      </c>
      <c r="R676">
        <v>2200</v>
      </c>
      <c r="S676" t="str">
        <f t="shared" si="99"/>
        <v>5300</v>
      </c>
      <c r="T676" t="s">
        <v>3425</v>
      </c>
      <c r="U676" t="s">
        <v>816</v>
      </c>
    </row>
    <row r="677" spans="1:21" ht="15" customHeight="1" x14ac:dyDescent="0.3">
      <c r="A677" t="s">
        <v>179</v>
      </c>
      <c r="B677" t="str">
        <f>"00066584"</f>
        <v>00066584</v>
      </c>
      <c r="C677" t="s">
        <v>4253</v>
      </c>
      <c r="H677" t="s">
        <v>170</v>
      </c>
      <c r="I677">
        <v>15</v>
      </c>
      <c r="J677">
        <v>1</v>
      </c>
      <c r="K677">
        <v>1</v>
      </c>
      <c r="L677">
        <v>54975</v>
      </c>
      <c r="M677" t="str">
        <f t="shared" si="96"/>
        <v>13</v>
      </c>
      <c r="N677" t="s">
        <v>3323</v>
      </c>
      <c r="O677" t="str">
        <f t="shared" si="98"/>
        <v>53011</v>
      </c>
      <c r="P677" t="str">
        <f>"2100L"</f>
        <v>2100L</v>
      </c>
      <c r="Q677" t="str">
        <f t="shared" si="97"/>
        <v>0101</v>
      </c>
      <c r="R677">
        <v>2100</v>
      </c>
      <c r="S677" t="str">
        <f t="shared" si="99"/>
        <v>5300</v>
      </c>
      <c r="T677" t="s">
        <v>3425</v>
      </c>
      <c r="U677" t="s">
        <v>816</v>
      </c>
    </row>
    <row r="678" spans="1:21" ht="15" customHeight="1" x14ac:dyDescent="0.3">
      <c r="A678" t="s">
        <v>179</v>
      </c>
      <c r="B678" t="str">
        <f>"00066585"</f>
        <v>00066585</v>
      </c>
      <c r="C678" t="s">
        <v>4260</v>
      </c>
      <c r="D678" t="s">
        <v>3428</v>
      </c>
      <c r="E678" t="str">
        <f>"00064392"</f>
        <v>00064392</v>
      </c>
      <c r="F678">
        <v>0</v>
      </c>
      <c r="G678" s="243">
        <v>40546</v>
      </c>
      <c r="H678" t="s">
        <v>182</v>
      </c>
      <c r="I678">
        <v>15</v>
      </c>
      <c r="J678">
        <v>2</v>
      </c>
      <c r="K678">
        <v>1</v>
      </c>
      <c r="L678">
        <v>51716</v>
      </c>
      <c r="M678" t="str">
        <f t="shared" si="96"/>
        <v>13</v>
      </c>
      <c r="N678" t="s">
        <v>3323</v>
      </c>
      <c r="O678" t="str">
        <f t="shared" si="98"/>
        <v>53011</v>
      </c>
      <c r="P678" t="str">
        <f>"3030L"</f>
        <v>3030L</v>
      </c>
      <c r="Q678" t="str">
        <f t="shared" si="97"/>
        <v>0101</v>
      </c>
      <c r="R678">
        <v>3030</v>
      </c>
      <c r="S678" t="str">
        <f t="shared" si="99"/>
        <v>5300</v>
      </c>
      <c r="T678" t="s">
        <v>3425</v>
      </c>
      <c r="U678" t="s">
        <v>816</v>
      </c>
    </row>
    <row r="679" spans="1:21" ht="15" customHeight="1" x14ac:dyDescent="0.3">
      <c r="A679" t="s">
        <v>179</v>
      </c>
      <c r="B679" t="str">
        <f>"00066586"</f>
        <v>00066586</v>
      </c>
      <c r="C679" t="s">
        <v>4272</v>
      </c>
      <c r="D679" t="s">
        <v>835</v>
      </c>
      <c r="E679" t="str">
        <f>"00050654"</f>
        <v>00050654</v>
      </c>
      <c r="F679">
        <v>0</v>
      </c>
      <c r="G679" s="243">
        <v>40042</v>
      </c>
      <c r="H679" t="s">
        <v>182</v>
      </c>
      <c r="I679">
        <v>15</v>
      </c>
      <c r="J679">
        <v>10</v>
      </c>
      <c r="K679">
        <v>1</v>
      </c>
      <c r="L679">
        <v>78273</v>
      </c>
      <c r="M679" t="str">
        <f t="shared" si="96"/>
        <v>13</v>
      </c>
      <c r="N679" t="s">
        <v>3323</v>
      </c>
      <c r="O679" t="str">
        <f t="shared" si="98"/>
        <v>53011</v>
      </c>
      <c r="P679" t="str">
        <f>"2200L"</f>
        <v>2200L</v>
      </c>
      <c r="Q679" t="str">
        <f t="shared" si="97"/>
        <v>0101</v>
      </c>
      <c r="R679">
        <v>2200</v>
      </c>
      <c r="S679" t="str">
        <f t="shared" si="99"/>
        <v>5300</v>
      </c>
      <c r="T679" t="s">
        <v>3425</v>
      </c>
      <c r="U679" t="s">
        <v>816</v>
      </c>
    </row>
    <row r="680" spans="1:21" ht="15" customHeight="1" x14ac:dyDescent="0.3">
      <c r="A680" t="s">
        <v>179</v>
      </c>
      <c r="B680" t="str">
        <f>"00066588"</f>
        <v>00066588</v>
      </c>
      <c r="C680" t="s">
        <v>4272</v>
      </c>
      <c r="D680" t="s">
        <v>4513</v>
      </c>
      <c r="E680" t="str">
        <f>"00069725"</f>
        <v>00069725</v>
      </c>
      <c r="F680">
        <v>0</v>
      </c>
      <c r="G680" s="243">
        <v>41133</v>
      </c>
      <c r="H680" t="s">
        <v>182</v>
      </c>
      <c r="I680">
        <v>15</v>
      </c>
      <c r="J680">
        <v>1</v>
      </c>
      <c r="K680">
        <v>1</v>
      </c>
      <c r="L680">
        <v>51539</v>
      </c>
      <c r="M680" t="str">
        <f t="shared" si="96"/>
        <v>13</v>
      </c>
      <c r="N680" t="s">
        <v>3370</v>
      </c>
      <c r="O680" t="str">
        <f t="shared" si="98"/>
        <v>53011</v>
      </c>
      <c r="P680" t="str">
        <f>"2200L"</f>
        <v>2200L</v>
      </c>
      <c r="Q680" t="str">
        <f t="shared" si="97"/>
        <v>0101</v>
      </c>
      <c r="R680">
        <v>2200</v>
      </c>
      <c r="S680" t="str">
        <f t="shared" si="99"/>
        <v>5300</v>
      </c>
      <c r="T680" t="s">
        <v>3425</v>
      </c>
      <c r="U680" t="s">
        <v>816</v>
      </c>
    </row>
    <row r="681" spans="1:21" ht="15" customHeight="1" x14ac:dyDescent="0.3">
      <c r="A681" t="s">
        <v>179</v>
      </c>
      <c r="B681" t="str">
        <f>"00066589"</f>
        <v>00066589</v>
      </c>
      <c r="C681" t="s">
        <v>4272</v>
      </c>
      <c r="D681" t="s">
        <v>836</v>
      </c>
      <c r="E681" t="str">
        <f>"00057500"</f>
        <v>00057500</v>
      </c>
      <c r="F681">
        <v>0</v>
      </c>
      <c r="G681" s="243">
        <v>40042</v>
      </c>
      <c r="H681" t="s">
        <v>182</v>
      </c>
      <c r="I681">
        <v>15</v>
      </c>
      <c r="J681">
        <v>11</v>
      </c>
      <c r="K681">
        <v>1</v>
      </c>
      <c r="L681">
        <v>73325</v>
      </c>
      <c r="M681" t="str">
        <f t="shared" si="96"/>
        <v>13</v>
      </c>
      <c r="N681" t="s">
        <v>3323</v>
      </c>
      <c r="O681" t="str">
        <f t="shared" si="98"/>
        <v>53011</v>
      </c>
      <c r="P681" t="str">
        <f>"2200L"</f>
        <v>2200L</v>
      </c>
      <c r="Q681" t="str">
        <f t="shared" si="97"/>
        <v>0101</v>
      </c>
      <c r="R681">
        <v>2200</v>
      </c>
      <c r="S681" t="str">
        <f t="shared" si="99"/>
        <v>5300</v>
      </c>
      <c r="T681" t="s">
        <v>3425</v>
      </c>
      <c r="U681" t="s">
        <v>816</v>
      </c>
    </row>
    <row r="682" spans="1:21" ht="15" customHeight="1" x14ac:dyDescent="0.3">
      <c r="A682" t="s">
        <v>179</v>
      </c>
      <c r="B682" t="str">
        <f>"00067498"</f>
        <v>00067498</v>
      </c>
      <c r="C682" t="s">
        <v>4262</v>
      </c>
      <c r="D682" t="s">
        <v>3429</v>
      </c>
      <c r="E682" t="str">
        <f>"00065635"</f>
        <v>00065635</v>
      </c>
      <c r="F682">
        <v>0</v>
      </c>
      <c r="G682" s="243">
        <v>40755</v>
      </c>
      <c r="H682" t="s">
        <v>182</v>
      </c>
      <c r="I682">
        <v>15</v>
      </c>
      <c r="J682">
        <v>8</v>
      </c>
      <c r="K682">
        <v>1</v>
      </c>
      <c r="L682">
        <v>72171</v>
      </c>
      <c r="M682" t="str">
        <f t="shared" si="96"/>
        <v>13</v>
      </c>
      <c r="N682" t="s">
        <v>3323</v>
      </c>
      <c r="O682" t="str">
        <f t="shared" si="98"/>
        <v>53011</v>
      </c>
      <c r="P682" t="str">
        <f>"2100L"</f>
        <v>2100L</v>
      </c>
      <c r="Q682" t="str">
        <f t="shared" si="97"/>
        <v>0101</v>
      </c>
      <c r="R682">
        <v>2100</v>
      </c>
      <c r="S682" t="str">
        <f t="shared" si="99"/>
        <v>5300</v>
      </c>
      <c r="T682" t="s">
        <v>3425</v>
      </c>
      <c r="U682" t="s">
        <v>816</v>
      </c>
    </row>
    <row r="683" spans="1:21" ht="15" customHeight="1" x14ac:dyDescent="0.3">
      <c r="A683" t="s">
        <v>179</v>
      </c>
      <c r="B683" t="str">
        <f>"00068371"</f>
        <v>00068371</v>
      </c>
      <c r="C683" t="s">
        <v>4288</v>
      </c>
      <c r="D683" t="s">
        <v>4514</v>
      </c>
      <c r="E683" t="str">
        <f>"00055040"</f>
        <v>00055040</v>
      </c>
      <c r="F683">
        <v>0</v>
      </c>
      <c r="G683" s="243">
        <v>40041</v>
      </c>
      <c r="H683" t="s">
        <v>182</v>
      </c>
      <c r="I683">
        <v>4</v>
      </c>
      <c r="J683">
        <v>10</v>
      </c>
      <c r="K683">
        <v>1</v>
      </c>
      <c r="L683">
        <v>28721</v>
      </c>
      <c r="M683" t="str">
        <f t="shared" si="96"/>
        <v>13</v>
      </c>
      <c r="N683" t="s">
        <v>3323</v>
      </c>
      <c r="O683" t="str">
        <f t="shared" si="98"/>
        <v>53011</v>
      </c>
      <c r="P683" t="str">
        <f>"2200L"</f>
        <v>2200L</v>
      </c>
      <c r="Q683" t="str">
        <f t="shared" si="97"/>
        <v>0101</v>
      </c>
      <c r="R683">
        <v>2200</v>
      </c>
      <c r="S683" t="str">
        <f t="shared" si="99"/>
        <v>5300</v>
      </c>
      <c r="T683" t="s">
        <v>3425</v>
      </c>
      <c r="U683" t="s">
        <v>816</v>
      </c>
    </row>
    <row r="684" spans="1:21" ht="15" customHeight="1" x14ac:dyDescent="0.3">
      <c r="A684" t="s">
        <v>179</v>
      </c>
      <c r="B684" t="str">
        <f>"00070138"</f>
        <v>00070138</v>
      </c>
      <c r="C684" t="s">
        <v>4274</v>
      </c>
      <c r="D684" t="s">
        <v>4515</v>
      </c>
      <c r="E684" t="str">
        <f>"00067848"</f>
        <v>00067848</v>
      </c>
      <c r="F684">
        <v>0</v>
      </c>
      <c r="G684" s="243">
        <v>40966</v>
      </c>
      <c r="H684" t="s">
        <v>182</v>
      </c>
      <c r="I684">
        <v>4</v>
      </c>
      <c r="J684">
        <v>5</v>
      </c>
      <c r="K684">
        <v>1</v>
      </c>
      <c r="L684">
        <v>25239.37</v>
      </c>
      <c r="M684" t="str">
        <f t="shared" si="96"/>
        <v>13</v>
      </c>
      <c r="N684" t="s">
        <v>3323</v>
      </c>
      <c r="O684" t="str">
        <f t="shared" si="98"/>
        <v>53011</v>
      </c>
      <c r="P684" t="str">
        <f>"2200L"</f>
        <v>2200L</v>
      </c>
      <c r="Q684" t="str">
        <f t="shared" si="97"/>
        <v>0101</v>
      </c>
      <c r="R684">
        <v>2200</v>
      </c>
      <c r="S684" t="str">
        <f t="shared" si="99"/>
        <v>5300</v>
      </c>
      <c r="T684" t="s">
        <v>3425</v>
      </c>
      <c r="U684" t="s">
        <v>816</v>
      </c>
    </row>
    <row r="685" spans="1:21" ht="15" customHeight="1" x14ac:dyDescent="0.3">
      <c r="A685" t="s">
        <v>179</v>
      </c>
      <c r="B685" t="str">
        <f>"00072266"</f>
        <v>00072266</v>
      </c>
      <c r="C685" t="s">
        <v>4262</v>
      </c>
      <c r="D685" t="s">
        <v>837</v>
      </c>
      <c r="E685" t="str">
        <f>"00062563"</f>
        <v>00062563</v>
      </c>
      <c r="F685">
        <v>0</v>
      </c>
      <c r="G685" s="243">
        <v>40406</v>
      </c>
      <c r="H685" t="s">
        <v>182</v>
      </c>
      <c r="I685">
        <v>15</v>
      </c>
      <c r="J685">
        <v>3</v>
      </c>
      <c r="K685">
        <v>1</v>
      </c>
      <c r="L685">
        <v>52777</v>
      </c>
      <c r="M685" t="str">
        <f t="shared" si="96"/>
        <v>13</v>
      </c>
      <c r="N685" t="s">
        <v>3323</v>
      </c>
      <c r="O685" t="str">
        <f t="shared" si="98"/>
        <v>53011</v>
      </c>
      <c r="P685" t="str">
        <f t="shared" ref="P685:P690" si="100">"2100L"</f>
        <v>2100L</v>
      </c>
      <c r="Q685" t="str">
        <f t="shared" si="97"/>
        <v>0101</v>
      </c>
      <c r="R685">
        <v>2100</v>
      </c>
      <c r="S685" t="str">
        <f t="shared" si="99"/>
        <v>5300</v>
      </c>
      <c r="T685" t="s">
        <v>3425</v>
      </c>
      <c r="U685" t="s">
        <v>816</v>
      </c>
    </row>
    <row r="686" spans="1:21" ht="15" customHeight="1" x14ac:dyDescent="0.3">
      <c r="A686" t="s">
        <v>179</v>
      </c>
      <c r="B686" t="str">
        <f>"00072299"</f>
        <v>00072299</v>
      </c>
      <c r="C686" t="s">
        <v>4262</v>
      </c>
      <c r="D686" t="s">
        <v>4516</v>
      </c>
      <c r="E686" t="str">
        <f>"00069524"</f>
        <v>00069524</v>
      </c>
      <c r="F686">
        <v>0</v>
      </c>
      <c r="G686" s="243">
        <v>41133</v>
      </c>
      <c r="H686" t="s">
        <v>182</v>
      </c>
      <c r="I686">
        <v>15</v>
      </c>
      <c r="J686">
        <v>7</v>
      </c>
      <c r="K686">
        <v>1</v>
      </c>
      <c r="L686">
        <v>69132</v>
      </c>
      <c r="M686" t="str">
        <f t="shared" si="96"/>
        <v>13</v>
      </c>
      <c r="N686" t="s">
        <v>3370</v>
      </c>
      <c r="O686" t="str">
        <f t="shared" si="98"/>
        <v>53011</v>
      </c>
      <c r="P686" t="str">
        <f t="shared" si="100"/>
        <v>2100L</v>
      </c>
      <c r="Q686" t="str">
        <f t="shared" si="97"/>
        <v>0101</v>
      </c>
      <c r="R686">
        <v>2100</v>
      </c>
      <c r="S686" t="str">
        <f t="shared" si="99"/>
        <v>5300</v>
      </c>
      <c r="T686" t="s">
        <v>3425</v>
      </c>
      <c r="U686" t="s">
        <v>816</v>
      </c>
    </row>
    <row r="687" spans="1:21" ht="15" customHeight="1" x14ac:dyDescent="0.3">
      <c r="A687" t="s">
        <v>179</v>
      </c>
      <c r="B687" t="str">
        <f>"00072594"</f>
        <v>00072594</v>
      </c>
      <c r="C687" t="s">
        <v>4292</v>
      </c>
      <c r="D687" t="s">
        <v>4517</v>
      </c>
      <c r="E687" t="str">
        <f>"00056218"</f>
        <v>00056218</v>
      </c>
      <c r="F687">
        <v>0</v>
      </c>
      <c r="G687" s="243">
        <v>40429</v>
      </c>
      <c r="H687" t="s">
        <v>182</v>
      </c>
      <c r="I687">
        <v>4</v>
      </c>
      <c r="J687">
        <v>9</v>
      </c>
      <c r="K687">
        <v>0.71</v>
      </c>
      <c r="L687">
        <v>28025.38</v>
      </c>
      <c r="M687" t="str">
        <f t="shared" si="96"/>
        <v>13</v>
      </c>
      <c r="N687" t="s">
        <v>3323</v>
      </c>
      <c r="O687" t="str">
        <f t="shared" si="98"/>
        <v>53011</v>
      </c>
      <c r="P687" t="str">
        <f t="shared" si="100"/>
        <v>2100L</v>
      </c>
      <c r="Q687" t="str">
        <f t="shared" si="97"/>
        <v>0101</v>
      </c>
      <c r="R687">
        <v>2100</v>
      </c>
      <c r="S687" t="str">
        <f t="shared" si="99"/>
        <v>5300</v>
      </c>
      <c r="T687" t="s">
        <v>3425</v>
      </c>
      <c r="U687" t="s">
        <v>816</v>
      </c>
    </row>
    <row r="688" spans="1:21" ht="15" customHeight="1" x14ac:dyDescent="0.3">
      <c r="A688" t="s">
        <v>179</v>
      </c>
      <c r="B688" t="str">
        <f>"00072682"</f>
        <v>00072682</v>
      </c>
      <c r="C688" t="s">
        <v>4266</v>
      </c>
      <c r="D688" t="s">
        <v>838</v>
      </c>
      <c r="E688" t="str">
        <f>"00062955"</f>
        <v>00062955</v>
      </c>
      <c r="F688">
        <v>0</v>
      </c>
      <c r="G688" s="243">
        <v>40406</v>
      </c>
      <c r="H688" t="s">
        <v>182</v>
      </c>
      <c r="I688">
        <v>15</v>
      </c>
      <c r="J688">
        <v>3</v>
      </c>
      <c r="K688">
        <v>1</v>
      </c>
      <c r="L688">
        <v>52777</v>
      </c>
      <c r="M688" t="str">
        <f t="shared" si="96"/>
        <v>13</v>
      </c>
      <c r="N688" t="s">
        <v>3323</v>
      </c>
      <c r="O688" t="str">
        <f t="shared" si="98"/>
        <v>53011</v>
      </c>
      <c r="P688" t="str">
        <f t="shared" si="100"/>
        <v>2100L</v>
      </c>
      <c r="Q688" t="str">
        <f t="shared" si="97"/>
        <v>0101</v>
      </c>
      <c r="R688">
        <v>2100</v>
      </c>
      <c r="S688" t="str">
        <f t="shared" si="99"/>
        <v>5300</v>
      </c>
      <c r="T688" t="s">
        <v>3425</v>
      </c>
      <c r="U688" t="s">
        <v>816</v>
      </c>
    </row>
    <row r="689" spans="1:21" ht="15" customHeight="1" x14ac:dyDescent="0.3">
      <c r="A689" t="s">
        <v>179</v>
      </c>
      <c r="B689" t="str">
        <f>"00072747"</f>
        <v>00072747</v>
      </c>
      <c r="C689" t="s">
        <v>4518</v>
      </c>
      <c r="D689" t="s">
        <v>3426</v>
      </c>
      <c r="E689" t="str">
        <f>"00049975"</f>
        <v>00049975</v>
      </c>
      <c r="F689">
        <v>0</v>
      </c>
      <c r="G689" s="243">
        <v>39314</v>
      </c>
      <c r="H689" t="s">
        <v>182</v>
      </c>
      <c r="I689">
        <v>10</v>
      </c>
      <c r="J689">
        <v>2</v>
      </c>
      <c r="K689">
        <v>1</v>
      </c>
      <c r="L689">
        <v>64671</v>
      </c>
      <c r="M689" t="str">
        <f t="shared" si="96"/>
        <v>13</v>
      </c>
      <c r="N689" t="s">
        <v>3323</v>
      </c>
      <c r="O689" t="str">
        <f t="shared" si="98"/>
        <v>53011</v>
      </c>
      <c r="P689" t="str">
        <f t="shared" si="100"/>
        <v>2100L</v>
      </c>
      <c r="Q689" t="str">
        <f t="shared" si="97"/>
        <v>0101</v>
      </c>
      <c r="R689">
        <v>2100</v>
      </c>
      <c r="S689" t="str">
        <f t="shared" si="99"/>
        <v>5300</v>
      </c>
      <c r="T689" t="s">
        <v>3425</v>
      </c>
      <c r="U689" t="s">
        <v>816</v>
      </c>
    </row>
    <row r="690" spans="1:21" ht="15" customHeight="1" x14ac:dyDescent="0.3">
      <c r="A690" t="s">
        <v>179</v>
      </c>
      <c r="B690" t="str">
        <f>"00072923"</f>
        <v>00072923</v>
      </c>
      <c r="C690" t="s">
        <v>4262</v>
      </c>
      <c r="D690" t="s">
        <v>839</v>
      </c>
      <c r="E690" t="str">
        <f>"00062863"</f>
        <v>00062863</v>
      </c>
      <c r="F690">
        <v>0</v>
      </c>
      <c r="G690" s="243">
        <v>40406</v>
      </c>
      <c r="H690" t="s">
        <v>182</v>
      </c>
      <c r="I690">
        <v>15</v>
      </c>
      <c r="J690">
        <v>3</v>
      </c>
      <c r="K690">
        <v>1</v>
      </c>
      <c r="L690">
        <v>52777</v>
      </c>
      <c r="M690" t="str">
        <f t="shared" si="96"/>
        <v>13</v>
      </c>
      <c r="N690" t="s">
        <v>3323</v>
      </c>
      <c r="O690" t="str">
        <f t="shared" si="98"/>
        <v>53011</v>
      </c>
      <c r="P690" t="str">
        <f t="shared" si="100"/>
        <v>2100L</v>
      </c>
      <c r="Q690" t="str">
        <f t="shared" si="97"/>
        <v>0101</v>
      </c>
      <c r="R690">
        <v>2100</v>
      </c>
      <c r="S690" t="str">
        <f t="shared" si="99"/>
        <v>5300</v>
      </c>
      <c r="T690" t="s">
        <v>3425</v>
      </c>
      <c r="U690" t="s">
        <v>816</v>
      </c>
    </row>
    <row r="691" spans="1:21" ht="15" customHeight="1" x14ac:dyDescent="0.3">
      <c r="A691" t="s">
        <v>179</v>
      </c>
      <c r="B691" t="str">
        <f>"00074176"</f>
        <v>00074176</v>
      </c>
      <c r="C691" t="s">
        <v>3670</v>
      </c>
      <c r="H691" t="s">
        <v>170</v>
      </c>
      <c r="I691">
        <v>8</v>
      </c>
      <c r="J691">
        <v>1</v>
      </c>
      <c r="K691">
        <v>1</v>
      </c>
      <c r="L691">
        <v>82397</v>
      </c>
      <c r="M691" t="str">
        <f t="shared" si="96"/>
        <v>13</v>
      </c>
      <c r="N691" t="s">
        <v>3323</v>
      </c>
      <c r="O691" t="str">
        <f t="shared" si="98"/>
        <v>53011</v>
      </c>
      <c r="P691" t="str">
        <f>"1501L"</f>
        <v>1501L</v>
      </c>
      <c r="Q691" t="str">
        <f t="shared" si="97"/>
        <v>0101</v>
      </c>
      <c r="R691">
        <v>1501</v>
      </c>
      <c r="S691" t="str">
        <f t="shared" si="99"/>
        <v>5300</v>
      </c>
      <c r="T691" t="s">
        <v>3425</v>
      </c>
      <c r="U691" t="s">
        <v>816</v>
      </c>
    </row>
    <row r="692" spans="1:21" ht="15" customHeight="1" x14ac:dyDescent="0.3">
      <c r="A692" t="s">
        <v>179</v>
      </c>
      <c r="B692" t="str">
        <f>"00074177"</f>
        <v>00074177</v>
      </c>
      <c r="C692" t="s">
        <v>4260</v>
      </c>
      <c r="D692" t="s">
        <v>1828</v>
      </c>
      <c r="E692" t="str">
        <f>"00063650"</f>
        <v>00063650</v>
      </c>
      <c r="F692">
        <v>0</v>
      </c>
      <c r="G692" s="243">
        <v>40469</v>
      </c>
      <c r="H692" t="s">
        <v>182</v>
      </c>
      <c r="I692">
        <v>15</v>
      </c>
      <c r="J692">
        <v>2</v>
      </c>
      <c r="K692">
        <v>1</v>
      </c>
      <c r="L692">
        <v>54099</v>
      </c>
      <c r="M692" t="str">
        <f t="shared" si="96"/>
        <v>13</v>
      </c>
      <c r="N692" t="s">
        <v>3323</v>
      </c>
      <c r="O692" t="str">
        <f t="shared" si="98"/>
        <v>53011</v>
      </c>
      <c r="P692" t="str">
        <f>"2300L"</f>
        <v>2300L</v>
      </c>
      <c r="Q692" t="str">
        <f t="shared" si="97"/>
        <v>0101</v>
      </c>
      <c r="R692">
        <v>2300</v>
      </c>
      <c r="S692" t="str">
        <f t="shared" si="99"/>
        <v>5300</v>
      </c>
      <c r="T692" t="s">
        <v>3425</v>
      </c>
      <c r="U692" t="s">
        <v>816</v>
      </c>
    </row>
    <row r="693" spans="1:21" ht="15" customHeight="1" x14ac:dyDescent="0.3">
      <c r="A693" t="s">
        <v>179</v>
      </c>
      <c r="B693" t="str">
        <f>"00074178"</f>
        <v>00074178</v>
      </c>
      <c r="C693" t="s">
        <v>4266</v>
      </c>
      <c r="H693" t="s">
        <v>170</v>
      </c>
      <c r="I693">
        <v>15</v>
      </c>
      <c r="J693">
        <v>1</v>
      </c>
      <c r="K693">
        <v>1</v>
      </c>
      <c r="L693">
        <v>54975</v>
      </c>
      <c r="M693" t="str">
        <f t="shared" si="96"/>
        <v>13</v>
      </c>
      <c r="N693" t="s">
        <v>3323</v>
      </c>
      <c r="O693" t="str">
        <f t="shared" si="98"/>
        <v>53011</v>
      </c>
      <c r="P693" t="str">
        <f>"2300L"</f>
        <v>2300L</v>
      </c>
      <c r="Q693" t="str">
        <f t="shared" si="97"/>
        <v>0101</v>
      </c>
      <c r="R693">
        <v>2300</v>
      </c>
      <c r="S693" t="str">
        <f t="shared" si="99"/>
        <v>5300</v>
      </c>
      <c r="T693" t="s">
        <v>3425</v>
      </c>
      <c r="U693" t="s">
        <v>816</v>
      </c>
    </row>
    <row r="694" spans="1:21" ht="15" customHeight="1" x14ac:dyDescent="0.3">
      <c r="A694" t="s">
        <v>179</v>
      </c>
      <c r="B694" t="str">
        <f>"00074179"</f>
        <v>00074179</v>
      </c>
      <c r="C694" t="s">
        <v>4266</v>
      </c>
      <c r="D694" t="s">
        <v>3430</v>
      </c>
      <c r="E694" t="str">
        <f>"00065642"</f>
        <v>00065642</v>
      </c>
      <c r="F694">
        <v>0</v>
      </c>
      <c r="G694" s="243">
        <v>40755</v>
      </c>
      <c r="H694" t="s">
        <v>182</v>
      </c>
      <c r="I694">
        <v>15</v>
      </c>
      <c r="J694">
        <v>7</v>
      </c>
      <c r="K694">
        <v>1</v>
      </c>
      <c r="L694">
        <v>69132</v>
      </c>
      <c r="M694" t="str">
        <f t="shared" si="96"/>
        <v>13</v>
      </c>
      <c r="N694" t="s">
        <v>3323</v>
      </c>
      <c r="O694" t="str">
        <f t="shared" si="98"/>
        <v>53011</v>
      </c>
      <c r="P694" t="str">
        <f>"2300L"</f>
        <v>2300L</v>
      </c>
      <c r="Q694" t="str">
        <f t="shared" si="97"/>
        <v>0101</v>
      </c>
      <c r="R694">
        <v>2300</v>
      </c>
      <c r="S694" t="str">
        <f t="shared" si="99"/>
        <v>5300</v>
      </c>
      <c r="T694" t="s">
        <v>3425</v>
      </c>
      <c r="U694" t="s">
        <v>816</v>
      </c>
    </row>
    <row r="695" spans="1:21" ht="15" customHeight="1" x14ac:dyDescent="0.3">
      <c r="A695" t="s">
        <v>179</v>
      </c>
      <c r="B695" t="str">
        <f>"00074180"</f>
        <v>00074180</v>
      </c>
      <c r="C695" t="s">
        <v>4266</v>
      </c>
      <c r="D695" t="s">
        <v>4519</v>
      </c>
      <c r="E695" t="str">
        <f>"00069963"</f>
        <v>00069963</v>
      </c>
      <c r="F695">
        <v>0</v>
      </c>
      <c r="G695" s="243">
        <v>41133</v>
      </c>
      <c r="H695" t="s">
        <v>182</v>
      </c>
      <c r="I695">
        <v>15</v>
      </c>
      <c r="J695">
        <v>5</v>
      </c>
      <c r="K695">
        <v>1</v>
      </c>
      <c r="L695">
        <v>63611</v>
      </c>
      <c r="M695" t="str">
        <f t="shared" si="96"/>
        <v>13</v>
      </c>
      <c r="N695" t="s">
        <v>3370</v>
      </c>
      <c r="O695" t="str">
        <f t="shared" si="98"/>
        <v>53011</v>
      </c>
      <c r="P695" t="str">
        <f>"2300L"</f>
        <v>2300L</v>
      </c>
      <c r="Q695" t="str">
        <f t="shared" si="97"/>
        <v>0101</v>
      </c>
      <c r="R695">
        <v>2300</v>
      </c>
      <c r="S695" t="str">
        <f t="shared" si="99"/>
        <v>5300</v>
      </c>
      <c r="T695" t="s">
        <v>3425</v>
      </c>
      <c r="U695" t="s">
        <v>816</v>
      </c>
    </row>
    <row r="696" spans="1:21" ht="15" customHeight="1" x14ac:dyDescent="0.3">
      <c r="A696" t="s">
        <v>179</v>
      </c>
      <c r="B696" t="str">
        <f>"00074181"</f>
        <v>00074181</v>
      </c>
      <c r="C696" t="s">
        <v>4290</v>
      </c>
      <c r="H696" t="s">
        <v>170</v>
      </c>
      <c r="I696">
        <v>4</v>
      </c>
      <c r="J696">
        <v>1</v>
      </c>
      <c r="K696">
        <v>0.71</v>
      </c>
      <c r="L696">
        <v>25662</v>
      </c>
      <c r="M696" t="str">
        <f t="shared" si="96"/>
        <v>13</v>
      </c>
      <c r="N696" t="s">
        <v>3370</v>
      </c>
      <c r="O696" t="str">
        <f t="shared" si="98"/>
        <v>53011</v>
      </c>
      <c r="P696" t="str">
        <f>"3030L"</f>
        <v>3030L</v>
      </c>
      <c r="Q696" t="str">
        <f t="shared" si="97"/>
        <v>0101</v>
      </c>
      <c r="R696">
        <v>3030</v>
      </c>
      <c r="S696" t="str">
        <f t="shared" si="99"/>
        <v>5300</v>
      </c>
      <c r="T696" t="s">
        <v>3425</v>
      </c>
      <c r="U696" t="s">
        <v>816</v>
      </c>
    </row>
    <row r="697" spans="1:21" ht="15" customHeight="1" x14ac:dyDescent="0.3">
      <c r="A697" t="s">
        <v>179</v>
      </c>
      <c r="B697" t="str">
        <f>"00074541"</f>
        <v>00074541</v>
      </c>
      <c r="C697" t="s">
        <v>4381</v>
      </c>
      <c r="D697" t="s">
        <v>818</v>
      </c>
      <c r="E697" t="str">
        <f>"00048034"</f>
        <v>00048034</v>
      </c>
      <c r="F697">
        <v>0</v>
      </c>
      <c r="G697" s="243">
        <v>36745</v>
      </c>
      <c r="H697" t="s">
        <v>182</v>
      </c>
      <c r="I697">
        <v>9</v>
      </c>
      <c r="J697">
        <v>10</v>
      </c>
      <c r="K697">
        <v>1</v>
      </c>
      <c r="L697">
        <v>42730</v>
      </c>
      <c r="M697" t="str">
        <f t="shared" si="96"/>
        <v>13</v>
      </c>
      <c r="N697" t="s">
        <v>3323</v>
      </c>
      <c r="O697" t="str">
        <f t="shared" si="98"/>
        <v>53011</v>
      </c>
      <c r="P697" t="str">
        <f t="shared" ref="P697:P704" si="101">"2100L"</f>
        <v>2100L</v>
      </c>
      <c r="Q697" t="str">
        <f t="shared" si="97"/>
        <v>0101</v>
      </c>
      <c r="R697">
        <v>2100</v>
      </c>
      <c r="S697" t="str">
        <f t="shared" si="99"/>
        <v>5300</v>
      </c>
      <c r="T697" t="s">
        <v>3425</v>
      </c>
      <c r="U697" t="s">
        <v>816</v>
      </c>
    </row>
    <row r="698" spans="1:21" ht="15" customHeight="1" x14ac:dyDescent="0.3">
      <c r="A698" t="s">
        <v>179</v>
      </c>
      <c r="B698" t="str">
        <f>"00076058"</f>
        <v>00076058</v>
      </c>
      <c r="C698" t="s">
        <v>4520</v>
      </c>
      <c r="D698" t="s">
        <v>4521</v>
      </c>
      <c r="E698" t="str">
        <f>"00056966"</f>
        <v>00056966</v>
      </c>
      <c r="F698">
        <v>0</v>
      </c>
      <c r="G698" s="243">
        <v>40042</v>
      </c>
      <c r="H698" t="s">
        <v>182</v>
      </c>
      <c r="I698">
        <v>4</v>
      </c>
      <c r="J698">
        <v>10</v>
      </c>
      <c r="K698">
        <v>1</v>
      </c>
      <c r="L698">
        <v>32824</v>
      </c>
      <c r="M698" t="str">
        <f t="shared" si="96"/>
        <v>13</v>
      </c>
      <c r="N698" t="s">
        <v>3323</v>
      </c>
      <c r="O698" t="str">
        <f t="shared" si="98"/>
        <v>53011</v>
      </c>
      <c r="P698" t="str">
        <f t="shared" si="101"/>
        <v>2100L</v>
      </c>
      <c r="Q698" t="str">
        <f t="shared" si="97"/>
        <v>0101</v>
      </c>
      <c r="R698">
        <v>2100</v>
      </c>
      <c r="S698" t="str">
        <f t="shared" si="99"/>
        <v>5300</v>
      </c>
      <c r="T698" t="s">
        <v>3425</v>
      </c>
      <c r="U698" t="s">
        <v>816</v>
      </c>
    </row>
    <row r="699" spans="1:21" ht="15" customHeight="1" x14ac:dyDescent="0.3">
      <c r="A699" t="s">
        <v>179</v>
      </c>
      <c r="B699" t="str">
        <f>"00076059"</f>
        <v>00076059</v>
      </c>
      <c r="C699" t="s">
        <v>4372</v>
      </c>
      <c r="H699" t="s">
        <v>170</v>
      </c>
      <c r="I699">
        <v>4</v>
      </c>
      <c r="J699">
        <v>0</v>
      </c>
      <c r="K699">
        <v>1</v>
      </c>
      <c r="L699">
        <v>25662</v>
      </c>
      <c r="M699" t="str">
        <f t="shared" si="96"/>
        <v>13</v>
      </c>
      <c r="N699" t="s">
        <v>3323</v>
      </c>
      <c r="O699" t="str">
        <f t="shared" si="98"/>
        <v>53011</v>
      </c>
      <c r="P699" t="str">
        <f t="shared" si="101"/>
        <v>2100L</v>
      </c>
      <c r="Q699" t="str">
        <f t="shared" si="97"/>
        <v>0101</v>
      </c>
      <c r="R699">
        <v>2100</v>
      </c>
      <c r="S699" t="str">
        <f t="shared" si="99"/>
        <v>5300</v>
      </c>
      <c r="T699" t="s">
        <v>3425</v>
      </c>
      <c r="U699" t="s">
        <v>816</v>
      </c>
    </row>
    <row r="700" spans="1:21" ht="15" customHeight="1" x14ac:dyDescent="0.3">
      <c r="A700" t="s">
        <v>179</v>
      </c>
      <c r="B700" t="str">
        <f>"00076060"</f>
        <v>00076060</v>
      </c>
      <c r="C700" t="s">
        <v>4262</v>
      </c>
      <c r="D700" t="s">
        <v>1310</v>
      </c>
      <c r="E700" t="str">
        <f>"00049737"</f>
        <v>00049737</v>
      </c>
      <c r="F700">
        <v>0</v>
      </c>
      <c r="G700" s="243">
        <v>39679</v>
      </c>
      <c r="H700" t="s">
        <v>182</v>
      </c>
      <c r="I700">
        <v>15</v>
      </c>
      <c r="J700">
        <v>12</v>
      </c>
      <c r="K700">
        <v>1</v>
      </c>
      <c r="L700">
        <v>92613</v>
      </c>
      <c r="M700" t="str">
        <f t="shared" si="96"/>
        <v>13</v>
      </c>
      <c r="N700" t="s">
        <v>3370</v>
      </c>
      <c r="O700" t="str">
        <f t="shared" si="98"/>
        <v>53011</v>
      </c>
      <c r="P700" t="str">
        <f t="shared" si="101"/>
        <v>2100L</v>
      </c>
      <c r="Q700" t="str">
        <f t="shared" si="97"/>
        <v>0101</v>
      </c>
      <c r="R700">
        <v>2100</v>
      </c>
      <c r="S700" t="str">
        <f t="shared" si="99"/>
        <v>5300</v>
      </c>
      <c r="T700" t="s">
        <v>3425</v>
      </c>
      <c r="U700" t="s">
        <v>816</v>
      </c>
    </row>
    <row r="701" spans="1:21" ht="15" customHeight="1" x14ac:dyDescent="0.3">
      <c r="A701" t="s">
        <v>179</v>
      </c>
      <c r="B701" t="str">
        <f>"00076061"</f>
        <v>00076061</v>
      </c>
      <c r="C701" t="s">
        <v>4262</v>
      </c>
      <c r="D701" t="s">
        <v>4522</v>
      </c>
      <c r="E701" t="str">
        <f>"00069650"</f>
        <v>00069650</v>
      </c>
      <c r="F701">
        <v>0</v>
      </c>
      <c r="G701" s="243">
        <v>41133</v>
      </c>
      <c r="H701" t="s">
        <v>182</v>
      </c>
      <c r="I701">
        <v>15</v>
      </c>
      <c r="J701">
        <v>1</v>
      </c>
      <c r="K701">
        <v>1</v>
      </c>
      <c r="L701">
        <v>54975</v>
      </c>
      <c r="M701" t="str">
        <f t="shared" si="96"/>
        <v>13</v>
      </c>
      <c r="N701" t="s">
        <v>3370</v>
      </c>
      <c r="O701" t="str">
        <f t="shared" si="98"/>
        <v>53011</v>
      </c>
      <c r="P701" t="str">
        <f t="shared" si="101"/>
        <v>2100L</v>
      </c>
      <c r="Q701" t="str">
        <f t="shared" si="97"/>
        <v>0101</v>
      </c>
      <c r="R701">
        <v>2100</v>
      </c>
      <c r="S701" t="str">
        <f t="shared" si="99"/>
        <v>5300</v>
      </c>
      <c r="T701" t="s">
        <v>3425</v>
      </c>
      <c r="U701" t="s">
        <v>816</v>
      </c>
    </row>
    <row r="702" spans="1:21" ht="15" customHeight="1" x14ac:dyDescent="0.3">
      <c r="A702" t="s">
        <v>179</v>
      </c>
      <c r="B702" t="str">
        <f>"00076062"</f>
        <v>00076062</v>
      </c>
      <c r="C702" t="s">
        <v>4271</v>
      </c>
      <c r="D702" t="s">
        <v>2083</v>
      </c>
      <c r="E702" t="str">
        <f>"00044515"</f>
        <v>00044515</v>
      </c>
      <c r="F702">
        <v>0</v>
      </c>
      <c r="G702" s="243">
        <v>39679</v>
      </c>
      <c r="H702" t="s">
        <v>182</v>
      </c>
      <c r="I702">
        <v>15</v>
      </c>
      <c r="J702">
        <v>5</v>
      </c>
      <c r="K702">
        <v>1</v>
      </c>
      <c r="L702">
        <v>66078</v>
      </c>
      <c r="M702" t="str">
        <f t="shared" si="96"/>
        <v>13</v>
      </c>
      <c r="N702" t="s">
        <v>3370</v>
      </c>
      <c r="O702" t="str">
        <f t="shared" si="98"/>
        <v>53011</v>
      </c>
      <c r="P702" t="str">
        <f t="shared" si="101"/>
        <v>2100L</v>
      </c>
      <c r="Q702" t="str">
        <f t="shared" si="97"/>
        <v>0101</v>
      </c>
      <c r="R702">
        <v>2100</v>
      </c>
      <c r="S702" t="str">
        <f t="shared" si="99"/>
        <v>5300</v>
      </c>
      <c r="T702" t="s">
        <v>3425</v>
      </c>
      <c r="U702" t="s">
        <v>816</v>
      </c>
    </row>
    <row r="703" spans="1:21" ht="15" customHeight="1" x14ac:dyDescent="0.3">
      <c r="A703" t="s">
        <v>179</v>
      </c>
      <c r="B703" t="str">
        <f>"00051545"</f>
        <v>00051545</v>
      </c>
      <c r="C703" t="s">
        <v>4272</v>
      </c>
      <c r="D703" t="s">
        <v>866</v>
      </c>
      <c r="E703" t="str">
        <f>"00044791"</f>
        <v>00044791</v>
      </c>
      <c r="F703">
        <v>0</v>
      </c>
      <c r="G703" s="243">
        <v>27288</v>
      </c>
      <c r="H703" t="s">
        <v>182</v>
      </c>
      <c r="I703">
        <v>15</v>
      </c>
      <c r="J703">
        <v>16</v>
      </c>
      <c r="K703">
        <v>1</v>
      </c>
      <c r="L703">
        <v>103347</v>
      </c>
      <c r="M703" t="str">
        <f t="shared" si="96"/>
        <v>13</v>
      </c>
      <c r="N703" t="s">
        <v>3323</v>
      </c>
      <c r="O703" t="str">
        <f t="shared" ref="O703:O732" si="102">"53111"</f>
        <v>53111</v>
      </c>
      <c r="P703" t="str">
        <f t="shared" si="101"/>
        <v>2100L</v>
      </c>
      <c r="Q703" t="str">
        <f t="shared" si="97"/>
        <v>0101</v>
      </c>
      <c r="R703">
        <v>2100</v>
      </c>
      <c r="S703" t="str">
        <f t="shared" ref="S703:S732" si="103">"5310"</f>
        <v>5310</v>
      </c>
      <c r="T703" t="s">
        <v>3435</v>
      </c>
      <c r="U703" t="s">
        <v>27</v>
      </c>
    </row>
    <row r="704" spans="1:21" ht="15" customHeight="1" x14ac:dyDescent="0.3">
      <c r="A704" t="s">
        <v>179</v>
      </c>
      <c r="B704" t="str">
        <f>"00052795"</f>
        <v>00052795</v>
      </c>
      <c r="C704" t="s">
        <v>4272</v>
      </c>
      <c r="D704" t="s">
        <v>4523</v>
      </c>
      <c r="E704" t="str">
        <f>"00069918"</f>
        <v>00069918</v>
      </c>
      <c r="F704">
        <v>0</v>
      </c>
      <c r="G704" s="243">
        <v>41133</v>
      </c>
      <c r="H704" t="s">
        <v>182</v>
      </c>
      <c r="I704">
        <v>15</v>
      </c>
      <c r="J704">
        <v>1</v>
      </c>
      <c r="K704">
        <v>1</v>
      </c>
      <c r="L704">
        <v>51539</v>
      </c>
      <c r="M704" t="str">
        <f t="shared" si="96"/>
        <v>13</v>
      </c>
      <c r="N704" t="s">
        <v>3323</v>
      </c>
      <c r="O704" t="str">
        <f t="shared" si="102"/>
        <v>53111</v>
      </c>
      <c r="P704" t="str">
        <f t="shared" si="101"/>
        <v>2100L</v>
      </c>
      <c r="Q704" t="str">
        <f t="shared" si="97"/>
        <v>0101</v>
      </c>
      <c r="R704">
        <v>2100</v>
      </c>
      <c r="S704" t="str">
        <f t="shared" si="103"/>
        <v>5310</v>
      </c>
      <c r="T704" t="s">
        <v>3435</v>
      </c>
      <c r="U704" t="s">
        <v>27</v>
      </c>
    </row>
    <row r="705" spans="1:21" ht="15" customHeight="1" x14ac:dyDescent="0.3">
      <c r="A705" t="s">
        <v>179</v>
      </c>
      <c r="B705" t="str">
        <f>"00052882"</f>
        <v>00052882</v>
      </c>
      <c r="C705" t="s">
        <v>3798</v>
      </c>
      <c r="D705" t="s">
        <v>868</v>
      </c>
      <c r="E705" t="str">
        <f>"00056708"</f>
        <v>00056708</v>
      </c>
      <c r="F705">
        <v>0</v>
      </c>
      <c r="G705" s="243">
        <v>40000</v>
      </c>
      <c r="H705" t="s">
        <v>182</v>
      </c>
      <c r="I705">
        <v>61</v>
      </c>
      <c r="J705">
        <v>3</v>
      </c>
      <c r="K705">
        <v>1</v>
      </c>
      <c r="L705">
        <v>110000</v>
      </c>
      <c r="M705" t="str">
        <f t="shared" si="96"/>
        <v>13</v>
      </c>
      <c r="N705" t="s">
        <v>3323</v>
      </c>
      <c r="O705" t="str">
        <f t="shared" si="102"/>
        <v>53111</v>
      </c>
      <c r="P705" t="str">
        <f>"1501L"</f>
        <v>1501L</v>
      </c>
      <c r="Q705" t="str">
        <f t="shared" si="97"/>
        <v>0101</v>
      </c>
      <c r="R705">
        <v>1501</v>
      </c>
      <c r="S705" t="str">
        <f t="shared" si="103"/>
        <v>5310</v>
      </c>
      <c r="T705" t="s">
        <v>3435</v>
      </c>
      <c r="U705" t="s">
        <v>27</v>
      </c>
    </row>
    <row r="706" spans="1:21" ht="15" customHeight="1" x14ac:dyDescent="0.3">
      <c r="A706" t="s">
        <v>179</v>
      </c>
      <c r="B706" t="str">
        <f>"00053320"</f>
        <v>00053320</v>
      </c>
      <c r="C706" t="s">
        <v>4360</v>
      </c>
      <c r="D706" t="s">
        <v>4524</v>
      </c>
      <c r="E706" t="str">
        <f>"00051296"</f>
        <v>00051296</v>
      </c>
      <c r="F706">
        <v>0</v>
      </c>
      <c r="G706" s="243">
        <v>32814</v>
      </c>
      <c r="H706" t="s">
        <v>182</v>
      </c>
      <c r="I706">
        <v>7</v>
      </c>
      <c r="J706">
        <v>9</v>
      </c>
      <c r="K706">
        <v>1</v>
      </c>
      <c r="L706">
        <v>43728</v>
      </c>
      <c r="M706" t="str">
        <f t="shared" ref="M706:M761" si="104">"13"</f>
        <v>13</v>
      </c>
      <c r="N706" t="s">
        <v>3323</v>
      </c>
      <c r="O706" t="str">
        <f t="shared" si="102"/>
        <v>53111</v>
      </c>
      <c r="P706" t="str">
        <f>"1502L"</f>
        <v>1502L</v>
      </c>
      <c r="Q706" t="str">
        <f t="shared" ref="Q706:Q761" si="105">"0101"</f>
        <v>0101</v>
      </c>
      <c r="R706">
        <v>1502</v>
      </c>
      <c r="S706" t="str">
        <f t="shared" si="103"/>
        <v>5310</v>
      </c>
      <c r="T706" t="s">
        <v>3435</v>
      </c>
      <c r="U706" t="s">
        <v>27</v>
      </c>
    </row>
    <row r="707" spans="1:21" ht="15" customHeight="1" x14ac:dyDescent="0.3">
      <c r="A707" t="s">
        <v>179</v>
      </c>
      <c r="B707" t="str">
        <f>"00057971"</f>
        <v>00057971</v>
      </c>
      <c r="C707" t="s">
        <v>4272</v>
      </c>
      <c r="D707" t="s">
        <v>870</v>
      </c>
      <c r="E707" t="str">
        <f>"00045754"</f>
        <v>00045754</v>
      </c>
      <c r="F707">
        <v>0</v>
      </c>
      <c r="G707" s="243">
        <v>37124</v>
      </c>
      <c r="H707" t="s">
        <v>182</v>
      </c>
      <c r="I707">
        <v>15</v>
      </c>
      <c r="J707">
        <v>12</v>
      </c>
      <c r="K707">
        <v>1</v>
      </c>
      <c r="L707">
        <v>87431</v>
      </c>
      <c r="M707" t="str">
        <f t="shared" si="104"/>
        <v>13</v>
      </c>
      <c r="N707" t="s">
        <v>3323</v>
      </c>
      <c r="O707" t="str">
        <f t="shared" si="102"/>
        <v>53111</v>
      </c>
      <c r="P707" t="str">
        <f>"2100L"</f>
        <v>2100L</v>
      </c>
      <c r="Q707" t="str">
        <f t="shared" si="105"/>
        <v>0101</v>
      </c>
      <c r="R707">
        <v>2100</v>
      </c>
      <c r="S707" t="str">
        <f t="shared" si="103"/>
        <v>5310</v>
      </c>
      <c r="T707" t="s">
        <v>3435</v>
      </c>
      <c r="U707" t="s">
        <v>27</v>
      </c>
    </row>
    <row r="708" spans="1:21" ht="15" customHeight="1" x14ac:dyDescent="0.3">
      <c r="A708" t="s">
        <v>179</v>
      </c>
      <c r="B708" t="str">
        <f>"00058639"</f>
        <v>00058639</v>
      </c>
      <c r="C708" t="s">
        <v>4260</v>
      </c>
      <c r="D708" t="s">
        <v>871</v>
      </c>
      <c r="E708" t="str">
        <f>"00047350"</f>
        <v>00047350</v>
      </c>
      <c r="F708">
        <v>0</v>
      </c>
      <c r="G708" s="243">
        <v>38949</v>
      </c>
      <c r="H708" t="s">
        <v>182</v>
      </c>
      <c r="I708">
        <v>15</v>
      </c>
      <c r="J708">
        <v>12</v>
      </c>
      <c r="K708">
        <v>1</v>
      </c>
      <c r="L708">
        <v>87431</v>
      </c>
      <c r="M708" t="str">
        <f t="shared" si="104"/>
        <v>13</v>
      </c>
      <c r="N708" t="s">
        <v>3323</v>
      </c>
      <c r="O708" t="str">
        <f t="shared" si="102"/>
        <v>53111</v>
      </c>
      <c r="P708" t="str">
        <f>"2100L"</f>
        <v>2100L</v>
      </c>
      <c r="Q708" t="str">
        <f t="shared" si="105"/>
        <v>0101</v>
      </c>
      <c r="R708">
        <v>2100</v>
      </c>
      <c r="S708" t="str">
        <f t="shared" si="103"/>
        <v>5310</v>
      </c>
      <c r="T708" t="s">
        <v>3435</v>
      </c>
      <c r="U708" t="s">
        <v>27</v>
      </c>
    </row>
    <row r="709" spans="1:21" ht="15" customHeight="1" x14ac:dyDescent="0.3">
      <c r="A709" t="s">
        <v>179</v>
      </c>
      <c r="B709" t="str">
        <f>"00059466"</f>
        <v>00059466</v>
      </c>
      <c r="C709" t="s">
        <v>4290</v>
      </c>
      <c r="D709" t="s">
        <v>4525</v>
      </c>
      <c r="E709" t="str">
        <f>"00053430"</f>
        <v>00053430</v>
      </c>
      <c r="F709">
        <v>0</v>
      </c>
      <c r="G709" s="243">
        <v>39832</v>
      </c>
      <c r="H709" t="s">
        <v>182</v>
      </c>
      <c r="I709">
        <v>4</v>
      </c>
      <c r="J709">
        <v>6</v>
      </c>
      <c r="K709">
        <v>1</v>
      </c>
      <c r="L709">
        <v>25935.88</v>
      </c>
      <c r="M709" t="str">
        <f t="shared" si="104"/>
        <v>13</v>
      </c>
      <c r="N709" t="s">
        <v>3323</v>
      </c>
      <c r="O709" t="str">
        <f t="shared" si="102"/>
        <v>53111</v>
      </c>
      <c r="P709" t="str">
        <f>"2200L"</f>
        <v>2200L</v>
      </c>
      <c r="Q709" t="str">
        <f t="shared" si="105"/>
        <v>0101</v>
      </c>
      <c r="R709">
        <v>2200</v>
      </c>
      <c r="S709" t="str">
        <f t="shared" si="103"/>
        <v>5310</v>
      </c>
      <c r="T709" t="s">
        <v>3435</v>
      </c>
      <c r="U709" t="s">
        <v>27</v>
      </c>
    </row>
    <row r="710" spans="1:21" ht="15" customHeight="1" x14ac:dyDescent="0.3">
      <c r="A710" t="s">
        <v>179</v>
      </c>
      <c r="B710" t="str">
        <f>"00060948"</f>
        <v>00060948</v>
      </c>
      <c r="C710" t="s">
        <v>4262</v>
      </c>
      <c r="H710" t="s">
        <v>170</v>
      </c>
      <c r="I710">
        <v>15</v>
      </c>
      <c r="J710">
        <v>1</v>
      </c>
      <c r="K710">
        <v>1</v>
      </c>
      <c r="L710">
        <v>54975</v>
      </c>
      <c r="M710" t="str">
        <f t="shared" si="104"/>
        <v>13</v>
      </c>
      <c r="N710" t="s">
        <v>3323</v>
      </c>
      <c r="O710" t="str">
        <f t="shared" si="102"/>
        <v>53111</v>
      </c>
      <c r="P710" t="str">
        <f>"2100L"</f>
        <v>2100L</v>
      </c>
      <c r="Q710" t="str">
        <f t="shared" si="105"/>
        <v>0101</v>
      </c>
      <c r="R710">
        <v>2100</v>
      </c>
      <c r="S710" t="str">
        <f t="shared" si="103"/>
        <v>5310</v>
      </c>
      <c r="T710" t="s">
        <v>3435</v>
      </c>
      <c r="U710" t="s">
        <v>27</v>
      </c>
    </row>
    <row r="711" spans="1:21" ht="15" customHeight="1" x14ac:dyDescent="0.3">
      <c r="A711" t="s">
        <v>179</v>
      </c>
      <c r="B711" t="str">
        <f>"00067259"</f>
        <v>00067259</v>
      </c>
      <c r="C711" t="s">
        <v>4274</v>
      </c>
      <c r="D711" t="s">
        <v>4526</v>
      </c>
      <c r="E711" t="str">
        <f>"00058689"</f>
        <v>00058689</v>
      </c>
      <c r="F711">
        <v>0</v>
      </c>
      <c r="G711" s="243">
        <v>41133</v>
      </c>
      <c r="H711" t="s">
        <v>182</v>
      </c>
      <c r="I711">
        <v>4</v>
      </c>
      <c r="J711">
        <v>10</v>
      </c>
      <c r="K711">
        <v>1</v>
      </c>
      <c r="L711">
        <v>28721</v>
      </c>
      <c r="M711" t="str">
        <f t="shared" si="104"/>
        <v>13</v>
      </c>
      <c r="N711" t="s">
        <v>3370</v>
      </c>
      <c r="O711" t="str">
        <f t="shared" si="102"/>
        <v>53111</v>
      </c>
      <c r="P711" t="str">
        <f>"2100L"</f>
        <v>2100L</v>
      </c>
      <c r="Q711" t="str">
        <f t="shared" si="105"/>
        <v>0101</v>
      </c>
      <c r="R711">
        <v>2100</v>
      </c>
      <c r="S711" t="str">
        <f t="shared" si="103"/>
        <v>5310</v>
      </c>
      <c r="T711" t="s">
        <v>3435</v>
      </c>
      <c r="U711" t="s">
        <v>27</v>
      </c>
    </row>
    <row r="712" spans="1:21" ht="15" customHeight="1" x14ac:dyDescent="0.3">
      <c r="A712" t="s">
        <v>179</v>
      </c>
      <c r="B712" t="str">
        <f>"00072117"</f>
        <v>00072117</v>
      </c>
      <c r="C712" t="s">
        <v>4274</v>
      </c>
      <c r="D712" t="s">
        <v>4527</v>
      </c>
      <c r="E712" t="str">
        <f>"00023090"</f>
        <v>00023090</v>
      </c>
      <c r="F712">
        <v>1</v>
      </c>
      <c r="G712" s="243">
        <v>38977</v>
      </c>
      <c r="H712" t="s">
        <v>182</v>
      </c>
      <c r="I712">
        <v>4</v>
      </c>
      <c r="J712">
        <v>7</v>
      </c>
      <c r="K712">
        <v>1</v>
      </c>
      <c r="L712">
        <v>26633.25</v>
      </c>
      <c r="M712" t="str">
        <f t="shared" si="104"/>
        <v>13</v>
      </c>
      <c r="N712" t="s">
        <v>3323</v>
      </c>
      <c r="O712" t="str">
        <f t="shared" si="102"/>
        <v>53111</v>
      </c>
      <c r="P712" t="str">
        <f>"2200L"</f>
        <v>2200L</v>
      </c>
      <c r="Q712" t="str">
        <f t="shared" si="105"/>
        <v>0101</v>
      </c>
      <c r="R712">
        <v>2200</v>
      </c>
      <c r="S712" t="str">
        <f t="shared" si="103"/>
        <v>5310</v>
      </c>
      <c r="T712" t="s">
        <v>3435</v>
      </c>
      <c r="U712" t="s">
        <v>27</v>
      </c>
    </row>
    <row r="713" spans="1:21" ht="15" customHeight="1" x14ac:dyDescent="0.3">
      <c r="A713" t="s">
        <v>179</v>
      </c>
      <c r="B713" t="str">
        <f>"00072205"</f>
        <v>00072205</v>
      </c>
      <c r="C713" t="s">
        <v>4262</v>
      </c>
      <c r="D713" t="s">
        <v>3437</v>
      </c>
      <c r="E713" t="str">
        <f>"00065683"</f>
        <v>00065683</v>
      </c>
      <c r="F713">
        <v>0</v>
      </c>
      <c r="G713" s="243">
        <v>40755</v>
      </c>
      <c r="H713" t="s">
        <v>182</v>
      </c>
      <c r="I713">
        <v>15</v>
      </c>
      <c r="J713">
        <v>5</v>
      </c>
      <c r="K713">
        <v>1</v>
      </c>
      <c r="L713">
        <v>56655</v>
      </c>
      <c r="M713" t="str">
        <f t="shared" si="104"/>
        <v>13</v>
      </c>
      <c r="N713" t="s">
        <v>3323</v>
      </c>
      <c r="O713" t="str">
        <f t="shared" si="102"/>
        <v>53111</v>
      </c>
      <c r="P713" t="str">
        <f t="shared" ref="P713:P723" si="106">"2100L"</f>
        <v>2100L</v>
      </c>
      <c r="Q713" t="str">
        <f t="shared" si="105"/>
        <v>0101</v>
      </c>
      <c r="R713">
        <v>2100</v>
      </c>
      <c r="S713" t="str">
        <f t="shared" si="103"/>
        <v>5310</v>
      </c>
      <c r="T713" t="s">
        <v>3435</v>
      </c>
      <c r="U713" t="s">
        <v>27</v>
      </c>
    </row>
    <row r="714" spans="1:21" ht="15" customHeight="1" x14ac:dyDescent="0.3">
      <c r="A714" t="s">
        <v>179</v>
      </c>
      <c r="B714" t="str">
        <f>"00072206"</f>
        <v>00072206</v>
      </c>
      <c r="C714" t="s">
        <v>4262</v>
      </c>
      <c r="D714" t="s">
        <v>4528</v>
      </c>
      <c r="E714" t="str">
        <f>"00069881"</f>
        <v>00069881</v>
      </c>
      <c r="F714">
        <v>0</v>
      </c>
      <c r="G714" s="243">
        <v>41133</v>
      </c>
      <c r="H714" t="s">
        <v>182</v>
      </c>
      <c r="I714">
        <v>15</v>
      </c>
      <c r="J714">
        <v>1</v>
      </c>
      <c r="K714">
        <v>1</v>
      </c>
      <c r="L714">
        <v>51539</v>
      </c>
      <c r="M714" t="str">
        <f t="shared" si="104"/>
        <v>13</v>
      </c>
      <c r="N714" t="s">
        <v>3370</v>
      </c>
      <c r="O714" t="str">
        <f t="shared" si="102"/>
        <v>53111</v>
      </c>
      <c r="P714" t="str">
        <f t="shared" si="106"/>
        <v>2100L</v>
      </c>
      <c r="Q714" t="str">
        <f t="shared" si="105"/>
        <v>0101</v>
      </c>
      <c r="R714">
        <v>2100</v>
      </c>
      <c r="S714" t="str">
        <f t="shared" si="103"/>
        <v>5310</v>
      </c>
      <c r="T714" t="s">
        <v>3435</v>
      </c>
      <c r="U714" t="s">
        <v>27</v>
      </c>
    </row>
    <row r="715" spans="1:21" ht="15" customHeight="1" x14ac:dyDescent="0.3">
      <c r="A715" t="s">
        <v>179</v>
      </c>
      <c r="B715" t="str">
        <f>"00072207"</f>
        <v>00072207</v>
      </c>
      <c r="C715" t="s">
        <v>4262</v>
      </c>
      <c r="D715" t="s">
        <v>3438</v>
      </c>
      <c r="E715" t="str">
        <f>"00065996"</f>
        <v>00065996</v>
      </c>
      <c r="F715">
        <v>0</v>
      </c>
      <c r="G715" s="243">
        <v>40755</v>
      </c>
      <c r="H715" t="s">
        <v>182</v>
      </c>
      <c r="I715">
        <v>15</v>
      </c>
      <c r="J715">
        <v>1</v>
      </c>
      <c r="K715">
        <v>1</v>
      </c>
      <c r="L715">
        <v>54975</v>
      </c>
      <c r="M715" t="str">
        <f t="shared" si="104"/>
        <v>13</v>
      </c>
      <c r="N715" t="s">
        <v>3323</v>
      </c>
      <c r="O715" t="str">
        <f t="shared" si="102"/>
        <v>53111</v>
      </c>
      <c r="P715" t="str">
        <f t="shared" si="106"/>
        <v>2100L</v>
      </c>
      <c r="Q715" t="str">
        <f t="shared" si="105"/>
        <v>0101</v>
      </c>
      <c r="R715">
        <v>2100</v>
      </c>
      <c r="S715" t="str">
        <f t="shared" si="103"/>
        <v>5310</v>
      </c>
      <c r="T715" t="s">
        <v>3435</v>
      </c>
      <c r="U715" t="s">
        <v>27</v>
      </c>
    </row>
    <row r="716" spans="1:21" ht="15" customHeight="1" x14ac:dyDescent="0.3">
      <c r="A716" t="s">
        <v>179</v>
      </c>
      <c r="B716" t="str">
        <f>"00072208"</f>
        <v>00072208</v>
      </c>
      <c r="C716" t="s">
        <v>4260</v>
      </c>
      <c r="H716" t="s">
        <v>170</v>
      </c>
      <c r="I716">
        <v>15</v>
      </c>
      <c r="J716">
        <v>1</v>
      </c>
      <c r="K716">
        <v>1</v>
      </c>
      <c r="L716">
        <v>51539</v>
      </c>
      <c r="M716" t="str">
        <f t="shared" si="104"/>
        <v>13</v>
      </c>
      <c r="N716" t="s">
        <v>3323</v>
      </c>
      <c r="O716" t="str">
        <f t="shared" si="102"/>
        <v>53111</v>
      </c>
      <c r="P716" t="str">
        <f t="shared" si="106"/>
        <v>2100L</v>
      </c>
      <c r="Q716" t="str">
        <f t="shared" si="105"/>
        <v>0101</v>
      </c>
      <c r="R716">
        <v>2100</v>
      </c>
      <c r="S716" t="str">
        <f t="shared" si="103"/>
        <v>5310</v>
      </c>
      <c r="T716" t="s">
        <v>3435</v>
      </c>
      <c r="U716" t="s">
        <v>27</v>
      </c>
    </row>
    <row r="717" spans="1:21" ht="15" customHeight="1" x14ac:dyDescent="0.3">
      <c r="A717" t="s">
        <v>179</v>
      </c>
      <c r="B717" t="str">
        <f>"00072283"</f>
        <v>00072283</v>
      </c>
      <c r="C717" t="s">
        <v>4260</v>
      </c>
      <c r="D717" t="s">
        <v>872</v>
      </c>
      <c r="E717" t="str">
        <f>"00058288"</f>
        <v>00058288</v>
      </c>
      <c r="F717">
        <v>0</v>
      </c>
      <c r="G717" s="243">
        <v>40056</v>
      </c>
      <c r="H717" t="s">
        <v>182</v>
      </c>
      <c r="I717">
        <v>15</v>
      </c>
      <c r="J717">
        <v>3</v>
      </c>
      <c r="K717">
        <v>0.5</v>
      </c>
      <c r="L717">
        <v>26388.5</v>
      </c>
      <c r="M717" t="str">
        <f t="shared" si="104"/>
        <v>13</v>
      </c>
      <c r="N717" t="s">
        <v>3323</v>
      </c>
      <c r="O717" t="str">
        <f t="shared" si="102"/>
        <v>53111</v>
      </c>
      <c r="P717" t="str">
        <f t="shared" si="106"/>
        <v>2100L</v>
      </c>
      <c r="Q717" t="str">
        <f t="shared" si="105"/>
        <v>0101</v>
      </c>
      <c r="R717">
        <v>2100</v>
      </c>
      <c r="S717" t="str">
        <f t="shared" si="103"/>
        <v>5310</v>
      </c>
      <c r="T717" t="s">
        <v>3435</v>
      </c>
      <c r="U717" t="s">
        <v>27</v>
      </c>
    </row>
    <row r="718" spans="1:21" ht="15" customHeight="1" x14ac:dyDescent="0.3">
      <c r="A718" t="s">
        <v>179</v>
      </c>
      <c r="B718" t="str">
        <f>"00072304"</f>
        <v>00072304</v>
      </c>
      <c r="C718" t="s">
        <v>4262</v>
      </c>
      <c r="D718" t="s">
        <v>647</v>
      </c>
      <c r="E718" t="str">
        <f>"00049704"</f>
        <v>00049704</v>
      </c>
      <c r="F718">
        <v>0</v>
      </c>
      <c r="G718" s="243">
        <v>40822</v>
      </c>
      <c r="H718" t="s">
        <v>182</v>
      </c>
      <c r="I718">
        <v>15</v>
      </c>
      <c r="J718">
        <v>13</v>
      </c>
      <c r="K718">
        <v>1</v>
      </c>
      <c r="L718">
        <v>95366</v>
      </c>
      <c r="M718" t="str">
        <f t="shared" si="104"/>
        <v>13</v>
      </c>
      <c r="N718" t="s">
        <v>3323</v>
      </c>
      <c r="O718" t="str">
        <f t="shared" si="102"/>
        <v>53111</v>
      </c>
      <c r="P718" t="str">
        <f t="shared" si="106"/>
        <v>2100L</v>
      </c>
      <c r="Q718" t="str">
        <f t="shared" si="105"/>
        <v>0101</v>
      </c>
      <c r="R718">
        <v>2100</v>
      </c>
      <c r="S718" t="str">
        <f t="shared" si="103"/>
        <v>5310</v>
      </c>
      <c r="T718" t="s">
        <v>3435</v>
      </c>
      <c r="U718" t="s">
        <v>27</v>
      </c>
    </row>
    <row r="719" spans="1:21" ht="15" customHeight="1" x14ac:dyDescent="0.3">
      <c r="A719" t="s">
        <v>179</v>
      </c>
      <c r="B719" t="str">
        <f>"00072305"</f>
        <v>00072305</v>
      </c>
      <c r="C719" t="s">
        <v>4260</v>
      </c>
      <c r="D719" t="s">
        <v>873</v>
      </c>
      <c r="E719" t="str">
        <f>"00062649"</f>
        <v>00062649</v>
      </c>
      <c r="F719">
        <v>0</v>
      </c>
      <c r="G719" s="243">
        <v>40406</v>
      </c>
      <c r="H719" t="s">
        <v>182</v>
      </c>
      <c r="I719">
        <v>15</v>
      </c>
      <c r="J719">
        <v>7</v>
      </c>
      <c r="K719">
        <v>1</v>
      </c>
      <c r="L719">
        <v>69132</v>
      </c>
      <c r="M719" t="str">
        <f t="shared" si="104"/>
        <v>13</v>
      </c>
      <c r="N719" t="s">
        <v>3323</v>
      </c>
      <c r="O719" t="str">
        <f t="shared" si="102"/>
        <v>53111</v>
      </c>
      <c r="P719" t="str">
        <f t="shared" si="106"/>
        <v>2100L</v>
      </c>
      <c r="Q719" t="str">
        <f t="shared" si="105"/>
        <v>0101</v>
      </c>
      <c r="R719">
        <v>2100</v>
      </c>
      <c r="S719" t="str">
        <f t="shared" si="103"/>
        <v>5310</v>
      </c>
      <c r="T719" t="s">
        <v>3435</v>
      </c>
      <c r="U719" t="s">
        <v>27</v>
      </c>
    </row>
    <row r="720" spans="1:21" ht="15" customHeight="1" x14ac:dyDescent="0.3">
      <c r="A720" t="s">
        <v>179</v>
      </c>
      <c r="B720" t="str">
        <f>"00072596"</f>
        <v>00072596</v>
      </c>
      <c r="C720" t="s">
        <v>4288</v>
      </c>
      <c r="D720" t="s">
        <v>4529</v>
      </c>
      <c r="E720" t="str">
        <f>"00060575"</f>
        <v>00060575</v>
      </c>
      <c r="F720">
        <v>0</v>
      </c>
      <c r="G720" s="243">
        <v>40245</v>
      </c>
      <c r="H720" t="s">
        <v>182</v>
      </c>
      <c r="I720">
        <v>4</v>
      </c>
      <c r="J720">
        <v>2</v>
      </c>
      <c r="K720">
        <v>0.71</v>
      </c>
      <c r="L720">
        <v>23151.63</v>
      </c>
      <c r="M720" t="str">
        <f t="shared" si="104"/>
        <v>13</v>
      </c>
      <c r="N720" t="s">
        <v>3323</v>
      </c>
      <c r="O720" t="str">
        <f t="shared" si="102"/>
        <v>53111</v>
      </c>
      <c r="P720" t="str">
        <f t="shared" si="106"/>
        <v>2100L</v>
      </c>
      <c r="Q720" t="str">
        <f t="shared" si="105"/>
        <v>0101</v>
      </c>
      <c r="R720">
        <v>2100</v>
      </c>
      <c r="S720" t="str">
        <f t="shared" si="103"/>
        <v>5310</v>
      </c>
      <c r="T720" t="s">
        <v>3435</v>
      </c>
      <c r="U720" t="s">
        <v>27</v>
      </c>
    </row>
    <row r="721" spans="1:21" ht="15" customHeight="1" x14ac:dyDescent="0.3">
      <c r="A721" t="s">
        <v>179</v>
      </c>
      <c r="B721" t="str">
        <f>"00073830"</f>
        <v>00073830</v>
      </c>
      <c r="C721" t="s">
        <v>4260</v>
      </c>
      <c r="D721" t="s">
        <v>3439</v>
      </c>
      <c r="E721" t="str">
        <f>"00065583"</f>
        <v>00065583</v>
      </c>
      <c r="F721">
        <v>0</v>
      </c>
      <c r="G721" s="243">
        <v>40755</v>
      </c>
      <c r="H721" t="s">
        <v>182</v>
      </c>
      <c r="I721">
        <v>15</v>
      </c>
      <c r="J721">
        <v>2</v>
      </c>
      <c r="K721">
        <v>1</v>
      </c>
      <c r="L721">
        <v>51716</v>
      </c>
      <c r="M721" t="str">
        <f t="shared" si="104"/>
        <v>13</v>
      </c>
      <c r="N721" t="s">
        <v>3323</v>
      </c>
      <c r="O721" t="str">
        <f t="shared" si="102"/>
        <v>53111</v>
      </c>
      <c r="P721" t="str">
        <f t="shared" si="106"/>
        <v>2100L</v>
      </c>
      <c r="Q721" t="str">
        <f t="shared" si="105"/>
        <v>0101</v>
      </c>
      <c r="R721">
        <v>2100</v>
      </c>
      <c r="S721" t="str">
        <f t="shared" si="103"/>
        <v>5310</v>
      </c>
      <c r="T721" t="s">
        <v>3435</v>
      </c>
      <c r="U721" t="s">
        <v>27</v>
      </c>
    </row>
    <row r="722" spans="1:21" ht="15" customHeight="1" x14ac:dyDescent="0.3">
      <c r="A722" t="s">
        <v>179</v>
      </c>
      <c r="B722" t="str">
        <f>"00073831"</f>
        <v>00073831</v>
      </c>
      <c r="C722" t="s">
        <v>4257</v>
      </c>
      <c r="D722" t="s">
        <v>1084</v>
      </c>
      <c r="E722" t="str">
        <f>"00063206"</f>
        <v>00063206</v>
      </c>
      <c r="F722">
        <v>0</v>
      </c>
      <c r="G722" s="243">
        <v>40406</v>
      </c>
      <c r="H722" t="s">
        <v>182</v>
      </c>
      <c r="I722">
        <v>15</v>
      </c>
      <c r="J722">
        <v>4</v>
      </c>
      <c r="K722">
        <v>1</v>
      </c>
      <c r="L722">
        <v>61158</v>
      </c>
      <c r="M722" t="str">
        <f t="shared" si="104"/>
        <v>13</v>
      </c>
      <c r="N722" t="s">
        <v>3323</v>
      </c>
      <c r="O722" t="str">
        <f t="shared" si="102"/>
        <v>53111</v>
      </c>
      <c r="P722" t="str">
        <f t="shared" si="106"/>
        <v>2100L</v>
      </c>
      <c r="Q722" t="str">
        <f t="shared" si="105"/>
        <v>0101</v>
      </c>
      <c r="R722">
        <v>2100</v>
      </c>
      <c r="S722" t="str">
        <f t="shared" si="103"/>
        <v>5310</v>
      </c>
      <c r="T722" t="s">
        <v>3435</v>
      </c>
      <c r="U722" t="s">
        <v>27</v>
      </c>
    </row>
    <row r="723" spans="1:21" ht="15" customHeight="1" x14ac:dyDescent="0.3">
      <c r="A723" t="s">
        <v>179</v>
      </c>
      <c r="B723" t="str">
        <f>"00073832"</f>
        <v>00073832</v>
      </c>
      <c r="C723" t="s">
        <v>4372</v>
      </c>
      <c r="D723" t="s">
        <v>4530</v>
      </c>
      <c r="E723" t="str">
        <f>"00046120"</f>
        <v>00046120</v>
      </c>
      <c r="F723">
        <v>0</v>
      </c>
      <c r="G723" s="243">
        <v>37914</v>
      </c>
      <c r="H723" t="s">
        <v>182</v>
      </c>
      <c r="I723">
        <v>4</v>
      </c>
      <c r="J723">
        <v>10</v>
      </c>
      <c r="K723">
        <v>1</v>
      </c>
      <c r="L723">
        <v>32824</v>
      </c>
      <c r="M723" t="str">
        <f t="shared" si="104"/>
        <v>13</v>
      </c>
      <c r="N723" t="s">
        <v>3323</v>
      </c>
      <c r="O723" t="str">
        <f t="shared" si="102"/>
        <v>53111</v>
      </c>
      <c r="P723" t="str">
        <f t="shared" si="106"/>
        <v>2100L</v>
      </c>
      <c r="Q723" t="str">
        <f t="shared" si="105"/>
        <v>0101</v>
      </c>
      <c r="R723">
        <v>2100</v>
      </c>
      <c r="S723" t="str">
        <f t="shared" si="103"/>
        <v>5310</v>
      </c>
      <c r="T723" t="s">
        <v>3435</v>
      </c>
      <c r="U723" t="s">
        <v>27</v>
      </c>
    </row>
    <row r="724" spans="1:21" ht="15" customHeight="1" x14ac:dyDescent="0.3">
      <c r="A724" t="s">
        <v>179</v>
      </c>
      <c r="B724" t="str">
        <f>"00073834"</f>
        <v>00073834</v>
      </c>
      <c r="C724" t="s">
        <v>4337</v>
      </c>
      <c r="D724" t="s">
        <v>4531</v>
      </c>
      <c r="E724" t="str">
        <f>"00069894"</f>
        <v>00069894</v>
      </c>
      <c r="F724">
        <v>0</v>
      </c>
      <c r="G724" s="243">
        <v>41133</v>
      </c>
      <c r="H724" t="s">
        <v>182</v>
      </c>
      <c r="I724">
        <v>15</v>
      </c>
      <c r="J724">
        <v>3</v>
      </c>
      <c r="K724">
        <v>0.5</v>
      </c>
      <c r="L724">
        <v>26388.5</v>
      </c>
      <c r="M724" t="str">
        <f t="shared" si="104"/>
        <v>13</v>
      </c>
      <c r="N724" t="s">
        <v>3370</v>
      </c>
      <c r="O724" t="str">
        <f t="shared" si="102"/>
        <v>53111</v>
      </c>
      <c r="P724" t="str">
        <f>"2100L"</f>
        <v>2100L</v>
      </c>
      <c r="Q724" t="str">
        <f t="shared" si="105"/>
        <v>0101</v>
      </c>
      <c r="R724">
        <v>2100</v>
      </c>
      <c r="S724" t="str">
        <f t="shared" si="103"/>
        <v>5310</v>
      </c>
      <c r="T724" t="s">
        <v>3435</v>
      </c>
      <c r="U724" t="s">
        <v>27</v>
      </c>
    </row>
    <row r="725" spans="1:21" ht="15" customHeight="1" x14ac:dyDescent="0.3">
      <c r="A725" t="s">
        <v>179</v>
      </c>
      <c r="B725" t="str">
        <f>"00074006"</f>
        <v>00074006</v>
      </c>
      <c r="C725" t="s">
        <v>200</v>
      </c>
      <c r="D725" t="s">
        <v>3436</v>
      </c>
      <c r="E725" t="str">
        <f>"00047766"</f>
        <v>00047766</v>
      </c>
      <c r="F725">
        <v>0</v>
      </c>
      <c r="G725" s="243">
        <v>30844</v>
      </c>
      <c r="H725" t="s">
        <v>182</v>
      </c>
      <c r="J725">
        <v>0</v>
      </c>
      <c r="K725">
        <v>0.5</v>
      </c>
      <c r="L725">
        <v>103347</v>
      </c>
      <c r="M725" t="str">
        <f t="shared" si="104"/>
        <v>13</v>
      </c>
      <c r="N725" t="s">
        <v>3323</v>
      </c>
      <c r="O725" t="str">
        <f t="shared" si="102"/>
        <v>53111</v>
      </c>
      <c r="P725" t="str">
        <f>"2100L"</f>
        <v>2100L</v>
      </c>
      <c r="Q725" t="str">
        <f t="shared" si="105"/>
        <v>0101</v>
      </c>
      <c r="R725">
        <v>2100</v>
      </c>
      <c r="S725" t="str">
        <f t="shared" si="103"/>
        <v>5310</v>
      </c>
      <c r="T725" t="s">
        <v>3435</v>
      </c>
      <c r="U725" t="s">
        <v>27</v>
      </c>
    </row>
    <row r="726" spans="1:21" ht="15" customHeight="1" x14ac:dyDescent="0.3">
      <c r="A726" t="s">
        <v>179</v>
      </c>
      <c r="B726" t="str">
        <f>"00074184"</f>
        <v>00074184</v>
      </c>
      <c r="C726" t="s">
        <v>4262</v>
      </c>
      <c r="D726" t="s">
        <v>3440</v>
      </c>
      <c r="E726" t="str">
        <f>"00067255"</f>
        <v>00067255</v>
      </c>
      <c r="F726">
        <v>0</v>
      </c>
      <c r="G726" s="243">
        <v>40854</v>
      </c>
      <c r="H726" t="s">
        <v>182</v>
      </c>
      <c r="I726">
        <v>15</v>
      </c>
      <c r="J726">
        <v>11</v>
      </c>
      <c r="K726">
        <v>1</v>
      </c>
      <c r="L726">
        <v>81335</v>
      </c>
      <c r="M726" t="str">
        <f t="shared" si="104"/>
        <v>13</v>
      </c>
      <c r="N726" t="s">
        <v>3323</v>
      </c>
      <c r="O726" t="str">
        <f t="shared" si="102"/>
        <v>53111</v>
      </c>
      <c r="P726" t="str">
        <f>"2100L"</f>
        <v>2100L</v>
      </c>
      <c r="Q726" t="str">
        <f t="shared" si="105"/>
        <v>0101</v>
      </c>
      <c r="R726">
        <v>2100</v>
      </c>
      <c r="S726" t="str">
        <f t="shared" si="103"/>
        <v>5310</v>
      </c>
      <c r="T726" t="s">
        <v>3435</v>
      </c>
      <c r="U726" t="s">
        <v>27</v>
      </c>
    </row>
    <row r="727" spans="1:21" ht="15" customHeight="1" x14ac:dyDescent="0.3">
      <c r="A727" t="s">
        <v>179</v>
      </c>
      <c r="B727" t="str">
        <f>"00075569"</f>
        <v>00075569</v>
      </c>
      <c r="C727" t="s">
        <v>3670</v>
      </c>
      <c r="D727" t="s">
        <v>4532</v>
      </c>
      <c r="E727" t="str">
        <f>"00044774"</f>
        <v>00044774</v>
      </c>
      <c r="F727">
        <v>0</v>
      </c>
      <c r="G727" s="243">
        <v>36761</v>
      </c>
      <c r="H727" t="s">
        <v>182</v>
      </c>
      <c r="I727">
        <v>8</v>
      </c>
      <c r="J727">
        <v>6</v>
      </c>
      <c r="K727">
        <v>1</v>
      </c>
      <c r="L727">
        <v>96453</v>
      </c>
      <c r="M727" t="str">
        <f t="shared" si="104"/>
        <v>13</v>
      </c>
      <c r="N727" t="s">
        <v>3370</v>
      </c>
      <c r="O727" t="str">
        <f t="shared" si="102"/>
        <v>53111</v>
      </c>
      <c r="P727" t="str">
        <f>"1501L"</f>
        <v>1501L</v>
      </c>
      <c r="Q727" t="str">
        <f t="shared" si="105"/>
        <v>0101</v>
      </c>
      <c r="R727">
        <v>1501</v>
      </c>
      <c r="S727" t="str">
        <f t="shared" si="103"/>
        <v>5310</v>
      </c>
      <c r="T727" t="s">
        <v>3435</v>
      </c>
      <c r="U727" t="s">
        <v>27</v>
      </c>
    </row>
    <row r="728" spans="1:21" ht="15" customHeight="1" x14ac:dyDescent="0.3">
      <c r="A728" t="s">
        <v>179</v>
      </c>
      <c r="B728" t="str">
        <f>"00075630"</f>
        <v>00075630</v>
      </c>
      <c r="C728" t="s">
        <v>200</v>
      </c>
      <c r="H728" t="s">
        <v>170</v>
      </c>
      <c r="I728">
        <v>15</v>
      </c>
      <c r="J728">
        <v>0</v>
      </c>
      <c r="K728">
        <v>0.25</v>
      </c>
      <c r="L728">
        <v>54975</v>
      </c>
      <c r="M728" t="str">
        <f t="shared" si="104"/>
        <v>13</v>
      </c>
      <c r="N728" t="s">
        <v>3323</v>
      </c>
      <c r="O728" t="str">
        <f t="shared" si="102"/>
        <v>53111</v>
      </c>
      <c r="P728" t="str">
        <f>"3030L"</f>
        <v>3030L</v>
      </c>
      <c r="Q728" t="str">
        <f t="shared" si="105"/>
        <v>0101</v>
      </c>
      <c r="R728">
        <v>3030</v>
      </c>
      <c r="S728" t="str">
        <f t="shared" si="103"/>
        <v>5310</v>
      </c>
      <c r="T728" t="s">
        <v>3435</v>
      </c>
      <c r="U728" t="s">
        <v>27</v>
      </c>
    </row>
    <row r="729" spans="1:21" ht="15" customHeight="1" x14ac:dyDescent="0.3">
      <c r="A729" t="s">
        <v>179</v>
      </c>
      <c r="B729" t="str">
        <f>"00075995"</f>
        <v>00075995</v>
      </c>
      <c r="C729" t="s">
        <v>4271</v>
      </c>
      <c r="H729" t="s">
        <v>170</v>
      </c>
      <c r="I729">
        <v>15</v>
      </c>
      <c r="J729">
        <v>0</v>
      </c>
      <c r="K729">
        <v>0.5</v>
      </c>
      <c r="L729">
        <v>56693</v>
      </c>
      <c r="M729" t="str">
        <f t="shared" si="104"/>
        <v>13</v>
      </c>
      <c r="N729" t="s">
        <v>3370</v>
      </c>
      <c r="O729" t="str">
        <f t="shared" si="102"/>
        <v>53111</v>
      </c>
      <c r="P729" t="str">
        <f>"2100L"</f>
        <v>2100L</v>
      </c>
      <c r="Q729" t="str">
        <f t="shared" si="105"/>
        <v>0101</v>
      </c>
      <c r="R729">
        <v>2100</v>
      </c>
      <c r="S729" t="str">
        <f t="shared" si="103"/>
        <v>5310</v>
      </c>
      <c r="T729" t="s">
        <v>3435</v>
      </c>
      <c r="U729" t="s">
        <v>27</v>
      </c>
    </row>
    <row r="730" spans="1:21" ht="15" customHeight="1" x14ac:dyDescent="0.3">
      <c r="A730" t="s">
        <v>179</v>
      </c>
      <c r="B730" t="str">
        <f>"00076508"</f>
        <v>00076508</v>
      </c>
      <c r="C730" t="s">
        <v>4290</v>
      </c>
      <c r="D730" t="s">
        <v>4533</v>
      </c>
      <c r="E730" t="str">
        <f>"00069930"</f>
        <v>00069930</v>
      </c>
      <c r="F730">
        <v>0</v>
      </c>
      <c r="G730" s="243">
        <v>41133</v>
      </c>
      <c r="H730" t="s">
        <v>182</v>
      </c>
      <c r="I730">
        <v>4</v>
      </c>
      <c r="J730">
        <v>7</v>
      </c>
      <c r="K730">
        <v>0.71</v>
      </c>
      <c r="L730">
        <v>26633.25</v>
      </c>
      <c r="M730" t="str">
        <f t="shared" si="104"/>
        <v>13</v>
      </c>
      <c r="N730" t="s">
        <v>3323</v>
      </c>
      <c r="O730" t="str">
        <f t="shared" si="102"/>
        <v>53111</v>
      </c>
      <c r="P730" t="str">
        <f>"3030L"</f>
        <v>3030L</v>
      </c>
      <c r="Q730" t="str">
        <f t="shared" si="105"/>
        <v>0101</v>
      </c>
      <c r="R730">
        <v>3030</v>
      </c>
      <c r="S730" t="str">
        <f t="shared" si="103"/>
        <v>5310</v>
      </c>
      <c r="T730" t="s">
        <v>3435</v>
      </c>
      <c r="U730" t="s">
        <v>27</v>
      </c>
    </row>
    <row r="731" spans="1:21" ht="15" customHeight="1" x14ac:dyDescent="0.3">
      <c r="A731" t="s">
        <v>179</v>
      </c>
      <c r="B731" t="str">
        <f>"00076510"</f>
        <v>00076510</v>
      </c>
      <c r="C731" t="s">
        <v>4290</v>
      </c>
      <c r="D731" t="s">
        <v>4534</v>
      </c>
      <c r="E731" t="str">
        <f>"00045656"</f>
        <v>00045656</v>
      </c>
      <c r="F731">
        <v>0</v>
      </c>
      <c r="G731" s="243">
        <v>36425</v>
      </c>
      <c r="H731" t="s">
        <v>182</v>
      </c>
      <c r="I731">
        <v>4</v>
      </c>
      <c r="J731">
        <v>9</v>
      </c>
      <c r="K731">
        <v>0.71</v>
      </c>
      <c r="L731">
        <v>28025.38</v>
      </c>
      <c r="M731" t="str">
        <f t="shared" si="104"/>
        <v>13</v>
      </c>
      <c r="N731" t="s">
        <v>3370</v>
      </c>
      <c r="O731" t="str">
        <f t="shared" si="102"/>
        <v>53111</v>
      </c>
      <c r="P731" t="str">
        <f>"3030L"</f>
        <v>3030L</v>
      </c>
      <c r="Q731" t="str">
        <f t="shared" si="105"/>
        <v>0101</v>
      </c>
      <c r="R731">
        <v>3030</v>
      </c>
      <c r="S731" t="str">
        <f t="shared" si="103"/>
        <v>5310</v>
      </c>
      <c r="T731" t="s">
        <v>3435</v>
      </c>
      <c r="U731" t="s">
        <v>27</v>
      </c>
    </row>
    <row r="732" spans="1:21" ht="15" customHeight="1" x14ac:dyDescent="0.3">
      <c r="A732" t="s">
        <v>179</v>
      </c>
      <c r="B732" t="str">
        <f>"00076511"</f>
        <v>00076511</v>
      </c>
      <c r="C732" t="s">
        <v>4290</v>
      </c>
      <c r="D732" t="s">
        <v>4535</v>
      </c>
      <c r="E732" t="str">
        <f>"00068238"</f>
        <v>00068238</v>
      </c>
      <c r="F732">
        <v>0</v>
      </c>
      <c r="G732" s="243">
        <v>41016</v>
      </c>
      <c r="H732" t="s">
        <v>182</v>
      </c>
      <c r="I732">
        <v>4</v>
      </c>
      <c r="J732">
        <v>1</v>
      </c>
      <c r="K732">
        <v>0.71</v>
      </c>
      <c r="L732">
        <v>22454.25</v>
      </c>
      <c r="M732" t="str">
        <f t="shared" si="104"/>
        <v>13</v>
      </c>
      <c r="N732" t="s">
        <v>3370</v>
      </c>
      <c r="O732" t="str">
        <f t="shared" si="102"/>
        <v>53111</v>
      </c>
      <c r="P732" t="str">
        <f>"3030L"</f>
        <v>3030L</v>
      </c>
      <c r="Q732" t="str">
        <f t="shared" si="105"/>
        <v>0101</v>
      </c>
      <c r="R732">
        <v>3030</v>
      </c>
      <c r="S732" t="str">
        <f t="shared" si="103"/>
        <v>5310</v>
      </c>
      <c r="T732" t="s">
        <v>3435</v>
      </c>
      <c r="U732" t="s">
        <v>27</v>
      </c>
    </row>
    <row r="733" spans="1:21" ht="15" customHeight="1" x14ac:dyDescent="0.3">
      <c r="A733" t="s">
        <v>179</v>
      </c>
      <c r="B733" t="str">
        <f>"00052329"</f>
        <v>00052329</v>
      </c>
      <c r="C733" t="s">
        <v>4263</v>
      </c>
      <c r="D733" t="s">
        <v>921</v>
      </c>
      <c r="E733" t="str">
        <f>"00048020"</f>
        <v>00048020</v>
      </c>
      <c r="F733">
        <v>0</v>
      </c>
      <c r="G733" s="243">
        <v>32080</v>
      </c>
      <c r="H733" t="s">
        <v>182</v>
      </c>
      <c r="I733">
        <v>15</v>
      </c>
      <c r="J733">
        <v>16</v>
      </c>
      <c r="K733">
        <v>1</v>
      </c>
      <c r="L733">
        <v>100839</v>
      </c>
      <c r="M733" t="str">
        <f t="shared" si="104"/>
        <v>13</v>
      </c>
      <c r="N733" t="s">
        <v>3323</v>
      </c>
      <c r="O733" t="str">
        <f t="shared" ref="O733:O763" si="107">"53311"</f>
        <v>53311</v>
      </c>
      <c r="P733" t="str">
        <f>"2100L"</f>
        <v>2100L</v>
      </c>
      <c r="Q733" t="str">
        <f t="shared" si="105"/>
        <v>0101</v>
      </c>
      <c r="R733">
        <v>2100</v>
      </c>
      <c r="S733" t="str">
        <f t="shared" ref="S733:S763" si="108">"5330"</f>
        <v>5330</v>
      </c>
      <c r="T733" t="s">
        <v>3441</v>
      </c>
      <c r="U733" t="s">
        <v>28</v>
      </c>
    </row>
    <row r="734" spans="1:21" ht="15" customHeight="1" x14ac:dyDescent="0.3">
      <c r="A734" t="s">
        <v>179</v>
      </c>
      <c r="B734" t="str">
        <f>"00053095"</f>
        <v>00053095</v>
      </c>
      <c r="C734" t="s">
        <v>4260</v>
      </c>
      <c r="D734" t="s">
        <v>922</v>
      </c>
      <c r="E734" t="str">
        <f>"00050946"</f>
        <v>00050946</v>
      </c>
      <c r="F734">
        <v>0</v>
      </c>
      <c r="G734" s="243">
        <v>26392</v>
      </c>
      <c r="H734" t="s">
        <v>182</v>
      </c>
      <c r="I734">
        <v>15</v>
      </c>
      <c r="J734">
        <v>14</v>
      </c>
      <c r="K734">
        <v>1</v>
      </c>
      <c r="L734">
        <v>96460</v>
      </c>
      <c r="M734" t="str">
        <f t="shared" si="104"/>
        <v>13</v>
      </c>
      <c r="N734" t="s">
        <v>3323</v>
      </c>
      <c r="O734" t="str">
        <f t="shared" si="107"/>
        <v>53311</v>
      </c>
      <c r="P734" t="str">
        <f>"2100L"</f>
        <v>2100L</v>
      </c>
      <c r="Q734" t="str">
        <f t="shared" si="105"/>
        <v>0101</v>
      </c>
      <c r="R734">
        <v>2100</v>
      </c>
      <c r="S734" t="str">
        <f t="shared" si="108"/>
        <v>5330</v>
      </c>
      <c r="T734" t="s">
        <v>3441</v>
      </c>
      <c r="U734" t="s">
        <v>28</v>
      </c>
    </row>
    <row r="735" spans="1:21" ht="15" customHeight="1" x14ac:dyDescent="0.3">
      <c r="A735" t="s">
        <v>179</v>
      </c>
      <c r="B735" t="str">
        <f>"00053155"</f>
        <v>00053155</v>
      </c>
      <c r="C735" t="s">
        <v>4272</v>
      </c>
      <c r="D735" t="s">
        <v>678</v>
      </c>
      <c r="E735" t="str">
        <f>"00049467"</f>
        <v>00049467</v>
      </c>
      <c r="F735">
        <v>0</v>
      </c>
      <c r="G735" s="243">
        <v>38492</v>
      </c>
      <c r="H735" t="s">
        <v>182</v>
      </c>
      <c r="I735">
        <v>15</v>
      </c>
      <c r="J735">
        <v>10</v>
      </c>
      <c r="K735">
        <v>1</v>
      </c>
      <c r="L735">
        <v>78273</v>
      </c>
      <c r="M735" t="str">
        <f t="shared" si="104"/>
        <v>13</v>
      </c>
      <c r="N735" t="s">
        <v>3370</v>
      </c>
      <c r="O735" t="str">
        <f t="shared" si="107"/>
        <v>53311</v>
      </c>
      <c r="P735" t="str">
        <f>"2100L"</f>
        <v>2100L</v>
      </c>
      <c r="Q735" t="str">
        <f t="shared" si="105"/>
        <v>0101</v>
      </c>
      <c r="R735">
        <v>2100</v>
      </c>
      <c r="S735" t="str">
        <f t="shared" si="108"/>
        <v>5330</v>
      </c>
      <c r="T735" t="s">
        <v>3441</v>
      </c>
      <c r="U735" t="s">
        <v>28</v>
      </c>
    </row>
    <row r="736" spans="1:21" ht="15" customHeight="1" x14ac:dyDescent="0.3">
      <c r="A736" t="s">
        <v>179</v>
      </c>
      <c r="B736" t="str">
        <f>"00053353"</f>
        <v>00053353</v>
      </c>
      <c r="C736" t="s">
        <v>4262</v>
      </c>
      <c r="D736" t="s">
        <v>4536</v>
      </c>
      <c r="E736" t="str">
        <f>"00046409"</f>
        <v>00046409</v>
      </c>
      <c r="F736">
        <v>0</v>
      </c>
      <c r="G736" s="243">
        <v>41133</v>
      </c>
      <c r="H736" t="s">
        <v>182</v>
      </c>
      <c r="I736">
        <v>15</v>
      </c>
      <c r="J736">
        <v>1</v>
      </c>
      <c r="K736">
        <v>1</v>
      </c>
      <c r="L736">
        <v>51539</v>
      </c>
      <c r="M736" t="str">
        <f t="shared" si="104"/>
        <v>13</v>
      </c>
      <c r="N736" t="s">
        <v>3323</v>
      </c>
      <c r="O736" t="str">
        <f t="shared" si="107"/>
        <v>53311</v>
      </c>
      <c r="P736" t="str">
        <f>"2100L"</f>
        <v>2100L</v>
      </c>
      <c r="Q736" t="str">
        <f t="shared" si="105"/>
        <v>0101</v>
      </c>
      <c r="R736">
        <v>2100</v>
      </c>
      <c r="S736" t="str">
        <f t="shared" si="108"/>
        <v>5330</v>
      </c>
      <c r="T736" t="s">
        <v>3441</v>
      </c>
      <c r="U736" t="s">
        <v>28</v>
      </c>
    </row>
    <row r="737" spans="1:21" ht="15" customHeight="1" x14ac:dyDescent="0.3">
      <c r="A737" t="s">
        <v>179</v>
      </c>
      <c r="B737" t="str">
        <f>"00053667"</f>
        <v>00053667</v>
      </c>
      <c r="C737" t="s">
        <v>4260</v>
      </c>
      <c r="D737" t="s">
        <v>923</v>
      </c>
      <c r="E737" t="str">
        <f>"00052162"</f>
        <v>00052162</v>
      </c>
      <c r="F737">
        <v>0</v>
      </c>
      <c r="G737" s="243">
        <v>34243</v>
      </c>
      <c r="H737" t="s">
        <v>182</v>
      </c>
      <c r="I737">
        <v>15</v>
      </c>
      <c r="J737">
        <v>14</v>
      </c>
      <c r="K737">
        <v>1</v>
      </c>
      <c r="L737">
        <v>96460</v>
      </c>
      <c r="M737" t="str">
        <f t="shared" si="104"/>
        <v>13</v>
      </c>
      <c r="N737" t="s">
        <v>3323</v>
      </c>
      <c r="O737" t="str">
        <f t="shared" si="107"/>
        <v>53311</v>
      </c>
      <c r="P737" t="str">
        <f>"3030L"</f>
        <v>3030L</v>
      </c>
      <c r="Q737" t="str">
        <f t="shared" si="105"/>
        <v>0101</v>
      </c>
      <c r="R737">
        <v>3030</v>
      </c>
      <c r="S737" t="str">
        <f t="shared" si="108"/>
        <v>5330</v>
      </c>
      <c r="T737" t="s">
        <v>3441</v>
      </c>
      <c r="U737" t="s">
        <v>28</v>
      </c>
    </row>
    <row r="738" spans="1:21" ht="15" customHeight="1" x14ac:dyDescent="0.3">
      <c r="A738" t="s">
        <v>179</v>
      </c>
      <c r="B738" t="str">
        <f>"00054256"</f>
        <v>00054256</v>
      </c>
      <c r="C738" t="s">
        <v>4262</v>
      </c>
      <c r="D738" t="s">
        <v>3446</v>
      </c>
      <c r="E738" t="str">
        <f>"00065958"</f>
        <v>00065958</v>
      </c>
      <c r="F738">
        <v>0</v>
      </c>
      <c r="G738" s="243">
        <v>40755</v>
      </c>
      <c r="H738" t="s">
        <v>182</v>
      </c>
      <c r="I738">
        <v>15</v>
      </c>
      <c r="J738">
        <v>3</v>
      </c>
      <c r="K738">
        <v>1</v>
      </c>
      <c r="L738">
        <v>58699</v>
      </c>
      <c r="M738" t="str">
        <f t="shared" si="104"/>
        <v>13</v>
      </c>
      <c r="N738" t="s">
        <v>3323</v>
      </c>
      <c r="O738" t="str">
        <f t="shared" si="107"/>
        <v>53311</v>
      </c>
      <c r="P738" t="str">
        <f>"2100L"</f>
        <v>2100L</v>
      </c>
      <c r="Q738" t="str">
        <f t="shared" si="105"/>
        <v>0101</v>
      </c>
      <c r="R738">
        <v>2100</v>
      </c>
      <c r="S738" t="str">
        <f t="shared" si="108"/>
        <v>5330</v>
      </c>
      <c r="T738" t="s">
        <v>3441</v>
      </c>
      <c r="U738" t="s">
        <v>28</v>
      </c>
    </row>
    <row r="739" spans="1:21" ht="15" customHeight="1" x14ac:dyDescent="0.3">
      <c r="A739" t="s">
        <v>179</v>
      </c>
      <c r="B739" t="str">
        <f>"00057223"</f>
        <v>00057223</v>
      </c>
      <c r="C739" t="s">
        <v>4288</v>
      </c>
      <c r="D739" t="s">
        <v>4537</v>
      </c>
      <c r="E739" t="str">
        <f>"00045874"</f>
        <v>00045874</v>
      </c>
      <c r="F739">
        <v>0</v>
      </c>
      <c r="G739" s="243">
        <v>36608</v>
      </c>
      <c r="H739" t="s">
        <v>182</v>
      </c>
      <c r="I739">
        <v>4</v>
      </c>
      <c r="J739">
        <v>8</v>
      </c>
      <c r="K739">
        <v>0.875</v>
      </c>
      <c r="L739">
        <v>27329.75</v>
      </c>
      <c r="M739" t="str">
        <f t="shared" si="104"/>
        <v>13</v>
      </c>
      <c r="N739" t="s">
        <v>3323</v>
      </c>
      <c r="O739" t="str">
        <f t="shared" si="107"/>
        <v>53311</v>
      </c>
      <c r="P739" t="str">
        <f>"2200L"</f>
        <v>2200L</v>
      </c>
      <c r="Q739" t="str">
        <f t="shared" si="105"/>
        <v>0101</v>
      </c>
      <c r="R739">
        <v>2200</v>
      </c>
      <c r="S739" t="str">
        <f t="shared" si="108"/>
        <v>5330</v>
      </c>
      <c r="T739" t="s">
        <v>3441</v>
      </c>
      <c r="U739" t="s">
        <v>28</v>
      </c>
    </row>
    <row r="740" spans="1:21" ht="15" customHeight="1" x14ac:dyDescent="0.3">
      <c r="A740" t="s">
        <v>179</v>
      </c>
      <c r="B740" t="str">
        <f>"00057524"</f>
        <v>00057524</v>
      </c>
      <c r="C740" t="s">
        <v>4274</v>
      </c>
      <c r="D740" t="s">
        <v>4538</v>
      </c>
      <c r="E740" t="str">
        <f>"00046319"</f>
        <v>00046319</v>
      </c>
      <c r="F740">
        <v>0</v>
      </c>
      <c r="G740" s="243">
        <v>36775</v>
      </c>
      <c r="H740" t="s">
        <v>182</v>
      </c>
      <c r="I740">
        <v>4</v>
      </c>
      <c r="J740">
        <v>8</v>
      </c>
      <c r="K740">
        <v>0.875</v>
      </c>
      <c r="L740">
        <v>27329.75</v>
      </c>
      <c r="M740" t="str">
        <f t="shared" si="104"/>
        <v>13</v>
      </c>
      <c r="N740" t="s">
        <v>3323</v>
      </c>
      <c r="O740" t="str">
        <f t="shared" si="107"/>
        <v>53311</v>
      </c>
      <c r="P740" t="str">
        <f>"2100L"</f>
        <v>2100L</v>
      </c>
      <c r="Q740" t="str">
        <f t="shared" si="105"/>
        <v>0101</v>
      </c>
      <c r="R740">
        <v>2100</v>
      </c>
      <c r="S740" t="str">
        <f t="shared" si="108"/>
        <v>5330</v>
      </c>
      <c r="T740" t="s">
        <v>3441</v>
      </c>
      <c r="U740" t="s">
        <v>28</v>
      </c>
    </row>
    <row r="741" spans="1:21" ht="15" customHeight="1" x14ac:dyDescent="0.3">
      <c r="A741" t="s">
        <v>179</v>
      </c>
      <c r="B741" t="str">
        <f>"00059266"</f>
        <v>00059266</v>
      </c>
      <c r="C741" t="s">
        <v>4290</v>
      </c>
      <c r="D741" t="s">
        <v>4539</v>
      </c>
      <c r="E741" t="str">
        <f>"00053731"</f>
        <v>00053731</v>
      </c>
      <c r="F741">
        <v>0</v>
      </c>
      <c r="G741" s="243">
        <v>38726</v>
      </c>
      <c r="H741" t="s">
        <v>182</v>
      </c>
      <c r="I741">
        <v>4</v>
      </c>
      <c r="J741">
        <v>5</v>
      </c>
      <c r="K741">
        <v>0.875</v>
      </c>
      <c r="L741">
        <v>25239.37</v>
      </c>
      <c r="M741" t="str">
        <f t="shared" si="104"/>
        <v>13</v>
      </c>
      <c r="N741" t="s">
        <v>3323</v>
      </c>
      <c r="O741" t="str">
        <f t="shared" si="107"/>
        <v>53311</v>
      </c>
      <c r="P741" t="str">
        <f>"2200L"</f>
        <v>2200L</v>
      </c>
      <c r="Q741" t="str">
        <f t="shared" si="105"/>
        <v>0101</v>
      </c>
      <c r="R741">
        <v>2200</v>
      </c>
      <c r="S741" t="str">
        <f t="shared" si="108"/>
        <v>5330</v>
      </c>
      <c r="T741" t="s">
        <v>3441</v>
      </c>
      <c r="U741" t="s">
        <v>28</v>
      </c>
    </row>
    <row r="742" spans="1:21" ht="15" customHeight="1" x14ac:dyDescent="0.3">
      <c r="A742" t="s">
        <v>179</v>
      </c>
      <c r="B742" t="str">
        <f>"00059478"</f>
        <v>00059478</v>
      </c>
      <c r="C742" t="s">
        <v>4260</v>
      </c>
      <c r="D742" t="s">
        <v>3444</v>
      </c>
      <c r="E742" t="str">
        <f>"00065807"</f>
        <v>00065807</v>
      </c>
      <c r="F742">
        <v>0</v>
      </c>
      <c r="G742" s="243">
        <v>40755</v>
      </c>
      <c r="H742" t="s">
        <v>182</v>
      </c>
      <c r="I742">
        <v>15</v>
      </c>
      <c r="J742">
        <v>2</v>
      </c>
      <c r="K742">
        <v>1</v>
      </c>
      <c r="L742">
        <v>51716</v>
      </c>
      <c r="M742" t="str">
        <f t="shared" si="104"/>
        <v>13</v>
      </c>
      <c r="N742" t="s">
        <v>3323</v>
      </c>
      <c r="O742" t="str">
        <f t="shared" si="107"/>
        <v>53311</v>
      </c>
      <c r="P742" t="str">
        <f>"3030L"</f>
        <v>3030L</v>
      </c>
      <c r="Q742" t="str">
        <f t="shared" si="105"/>
        <v>0101</v>
      </c>
      <c r="R742">
        <v>3030</v>
      </c>
      <c r="S742" t="str">
        <f t="shared" si="108"/>
        <v>5330</v>
      </c>
      <c r="T742" t="s">
        <v>3441</v>
      </c>
      <c r="U742" t="s">
        <v>28</v>
      </c>
    </row>
    <row r="743" spans="1:21" ht="15" customHeight="1" x14ac:dyDescent="0.3">
      <c r="A743" t="s">
        <v>179</v>
      </c>
      <c r="B743" t="str">
        <f>"00059735"</f>
        <v>00059735</v>
      </c>
      <c r="C743" t="s">
        <v>4260</v>
      </c>
      <c r="D743" t="s">
        <v>3445</v>
      </c>
      <c r="E743" t="str">
        <f>"00066078"</f>
        <v>00066078</v>
      </c>
      <c r="F743">
        <v>0</v>
      </c>
      <c r="G743" s="243">
        <v>40755</v>
      </c>
      <c r="H743" t="s">
        <v>182</v>
      </c>
      <c r="I743">
        <v>15</v>
      </c>
      <c r="J743">
        <v>1</v>
      </c>
      <c r="K743">
        <v>1</v>
      </c>
      <c r="L743">
        <v>51539</v>
      </c>
      <c r="M743" t="str">
        <f t="shared" si="104"/>
        <v>13</v>
      </c>
      <c r="N743" t="s">
        <v>3323</v>
      </c>
      <c r="O743" t="str">
        <f t="shared" si="107"/>
        <v>53311</v>
      </c>
      <c r="P743" t="str">
        <f>"2100L"</f>
        <v>2100L</v>
      </c>
      <c r="Q743" t="str">
        <f t="shared" si="105"/>
        <v>0101</v>
      </c>
      <c r="R743">
        <v>2100</v>
      </c>
      <c r="S743" t="str">
        <f t="shared" si="108"/>
        <v>5330</v>
      </c>
      <c r="T743" t="s">
        <v>3441</v>
      </c>
      <c r="U743" t="s">
        <v>28</v>
      </c>
    </row>
    <row r="744" spans="1:21" ht="15" customHeight="1" x14ac:dyDescent="0.3">
      <c r="A744" t="s">
        <v>179</v>
      </c>
      <c r="B744" t="str">
        <f>"00060248"</f>
        <v>00060248</v>
      </c>
      <c r="C744" t="s">
        <v>3798</v>
      </c>
      <c r="D744" t="s">
        <v>925</v>
      </c>
      <c r="E744" t="str">
        <f>"00046335"</f>
        <v>00046335</v>
      </c>
      <c r="F744">
        <v>0</v>
      </c>
      <c r="G744" s="243">
        <v>38534</v>
      </c>
      <c r="H744" t="s">
        <v>182</v>
      </c>
      <c r="I744">
        <v>61</v>
      </c>
      <c r="J744">
        <v>6</v>
      </c>
      <c r="K744">
        <v>1</v>
      </c>
      <c r="L744">
        <v>125000</v>
      </c>
      <c r="M744" t="str">
        <f t="shared" si="104"/>
        <v>13</v>
      </c>
      <c r="N744" t="s">
        <v>3323</v>
      </c>
      <c r="O744" t="str">
        <f t="shared" si="107"/>
        <v>53311</v>
      </c>
      <c r="P744" t="str">
        <f>"1501L"</f>
        <v>1501L</v>
      </c>
      <c r="Q744" t="str">
        <f t="shared" si="105"/>
        <v>0101</v>
      </c>
      <c r="R744">
        <v>1501</v>
      </c>
      <c r="S744" t="str">
        <f t="shared" si="108"/>
        <v>5330</v>
      </c>
      <c r="T744" t="s">
        <v>3441</v>
      </c>
      <c r="U744" t="s">
        <v>28</v>
      </c>
    </row>
    <row r="745" spans="1:21" ht="15" customHeight="1" x14ac:dyDescent="0.3">
      <c r="A745" t="s">
        <v>179</v>
      </c>
      <c r="B745" t="str">
        <f>"00060740"</f>
        <v>00060740</v>
      </c>
      <c r="C745" t="s">
        <v>4274</v>
      </c>
      <c r="H745" t="s">
        <v>170</v>
      </c>
      <c r="I745">
        <v>4</v>
      </c>
      <c r="J745">
        <v>1</v>
      </c>
      <c r="K745">
        <v>0.875</v>
      </c>
      <c r="L745">
        <v>25662</v>
      </c>
      <c r="M745" t="str">
        <f t="shared" si="104"/>
        <v>13</v>
      </c>
      <c r="N745" t="s">
        <v>3323</v>
      </c>
      <c r="O745" t="str">
        <f t="shared" si="107"/>
        <v>53311</v>
      </c>
      <c r="P745" t="str">
        <f>"2100L"</f>
        <v>2100L</v>
      </c>
      <c r="Q745" t="str">
        <f t="shared" si="105"/>
        <v>0101</v>
      </c>
      <c r="R745">
        <v>2100</v>
      </c>
      <c r="S745" t="str">
        <f t="shared" si="108"/>
        <v>5330</v>
      </c>
      <c r="T745" t="s">
        <v>3441</v>
      </c>
      <c r="U745" t="s">
        <v>28</v>
      </c>
    </row>
    <row r="746" spans="1:21" ht="15" customHeight="1" x14ac:dyDescent="0.3">
      <c r="A746" t="s">
        <v>179</v>
      </c>
      <c r="B746" t="str">
        <f>"00062198"</f>
        <v>00062198</v>
      </c>
      <c r="C746" t="s">
        <v>4290</v>
      </c>
      <c r="D746" t="s">
        <v>4540</v>
      </c>
      <c r="E746" t="str">
        <f>"00050406"</f>
        <v>00050406</v>
      </c>
      <c r="F746">
        <v>0</v>
      </c>
      <c r="G746" s="243">
        <v>39679</v>
      </c>
      <c r="H746" t="s">
        <v>182</v>
      </c>
      <c r="I746">
        <v>4</v>
      </c>
      <c r="J746">
        <v>4</v>
      </c>
      <c r="K746">
        <v>0.875</v>
      </c>
      <c r="L746">
        <v>24543.75</v>
      </c>
      <c r="M746" t="str">
        <f t="shared" si="104"/>
        <v>13</v>
      </c>
      <c r="N746" t="s">
        <v>3323</v>
      </c>
      <c r="O746" t="str">
        <f t="shared" si="107"/>
        <v>53311</v>
      </c>
      <c r="P746" t="str">
        <f>"2100L"</f>
        <v>2100L</v>
      </c>
      <c r="Q746" t="str">
        <f t="shared" si="105"/>
        <v>0101</v>
      </c>
      <c r="R746">
        <v>2100</v>
      </c>
      <c r="S746" t="str">
        <f t="shared" si="108"/>
        <v>5330</v>
      </c>
      <c r="T746" t="s">
        <v>3441</v>
      </c>
      <c r="U746" t="s">
        <v>28</v>
      </c>
    </row>
    <row r="747" spans="1:21" ht="15" customHeight="1" x14ac:dyDescent="0.3">
      <c r="A747" t="s">
        <v>179</v>
      </c>
      <c r="B747" t="str">
        <f>"00062200"</f>
        <v>00062200</v>
      </c>
      <c r="C747" t="s">
        <v>4290</v>
      </c>
      <c r="D747" t="s">
        <v>4541</v>
      </c>
      <c r="E747" t="str">
        <f>"00058498"</f>
        <v>00058498</v>
      </c>
      <c r="F747">
        <v>0</v>
      </c>
      <c r="G747" s="243">
        <v>40659</v>
      </c>
      <c r="H747" t="s">
        <v>182</v>
      </c>
      <c r="I747">
        <v>4</v>
      </c>
      <c r="J747">
        <v>5</v>
      </c>
      <c r="K747">
        <v>0.875</v>
      </c>
      <c r="L747">
        <v>25239.37</v>
      </c>
      <c r="M747" t="str">
        <f t="shared" si="104"/>
        <v>13</v>
      </c>
      <c r="N747" t="s">
        <v>3323</v>
      </c>
      <c r="O747" t="str">
        <f t="shared" si="107"/>
        <v>53311</v>
      </c>
      <c r="P747" t="str">
        <f>"2200L"</f>
        <v>2200L</v>
      </c>
      <c r="Q747" t="str">
        <f t="shared" si="105"/>
        <v>0101</v>
      </c>
      <c r="R747">
        <v>2200</v>
      </c>
      <c r="S747" t="str">
        <f t="shared" si="108"/>
        <v>5330</v>
      </c>
      <c r="T747" t="s">
        <v>3441</v>
      </c>
      <c r="U747" t="s">
        <v>28</v>
      </c>
    </row>
    <row r="748" spans="1:21" ht="15" customHeight="1" x14ac:dyDescent="0.3">
      <c r="A748" t="s">
        <v>179</v>
      </c>
      <c r="B748" t="str">
        <f>"00062647"</f>
        <v>00062647</v>
      </c>
      <c r="C748" t="s">
        <v>4272</v>
      </c>
      <c r="D748" t="s">
        <v>554</v>
      </c>
      <c r="E748" t="str">
        <f>"00048743"</f>
        <v>00048743</v>
      </c>
      <c r="F748">
        <v>0</v>
      </c>
      <c r="G748" s="243">
        <v>33128</v>
      </c>
      <c r="H748" t="s">
        <v>182</v>
      </c>
      <c r="I748">
        <v>15</v>
      </c>
      <c r="J748">
        <v>13</v>
      </c>
      <c r="K748">
        <v>1</v>
      </c>
      <c r="L748">
        <v>81724</v>
      </c>
      <c r="M748" t="str">
        <f t="shared" si="104"/>
        <v>13</v>
      </c>
      <c r="N748" t="s">
        <v>3323</v>
      </c>
      <c r="O748" t="str">
        <f t="shared" si="107"/>
        <v>53311</v>
      </c>
      <c r="P748" t="str">
        <f t="shared" ref="P748:P756" si="109">"2100L"</f>
        <v>2100L</v>
      </c>
      <c r="Q748" t="str">
        <f t="shared" si="105"/>
        <v>0101</v>
      </c>
      <c r="R748">
        <v>2100</v>
      </c>
      <c r="S748" t="str">
        <f t="shared" si="108"/>
        <v>5330</v>
      </c>
      <c r="T748" t="s">
        <v>3441</v>
      </c>
      <c r="U748" t="s">
        <v>28</v>
      </c>
    </row>
    <row r="749" spans="1:21" ht="15" customHeight="1" x14ac:dyDescent="0.3">
      <c r="A749" t="s">
        <v>179</v>
      </c>
      <c r="B749" t="str">
        <f>"00065657"</f>
        <v>00065657</v>
      </c>
      <c r="C749" t="s">
        <v>4272</v>
      </c>
      <c r="D749" t="s">
        <v>3442</v>
      </c>
      <c r="E749" t="str">
        <f>"00066206"</f>
        <v>00066206</v>
      </c>
      <c r="F749">
        <v>0</v>
      </c>
      <c r="G749" s="243">
        <v>40755</v>
      </c>
      <c r="H749" t="s">
        <v>182</v>
      </c>
      <c r="I749">
        <v>15</v>
      </c>
      <c r="J749">
        <v>2</v>
      </c>
      <c r="K749">
        <v>1</v>
      </c>
      <c r="L749">
        <v>51716</v>
      </c>
      <c r="M749" t="str">
        <f t="shared" si="104"/>
        <v>13</v>
      </c>
      <c r="N749" t="s">
        <v>3323</v>
      </c>
      <c r="O749" t="str">
        <f t="shared" si="107"/>
        <v>53311</v>
      </c>
      <c r="P749" t="str">
        <f t="shared" si="109"/>
        <v>2100L</v>
      </c>
      <c r="Q749" t="str">
        <f t="shared" si="105"/>
        <v>0101</v>
      </c>
      <c r="R749">
        <v>2100</v>
      </c>
      <c r="S749" t="str">
        <f t="shared" si="108"/>
        <v>5330</v>
      </c>
      <c r="T749" t="s">
        <v>3441</v>
      </c>
      <c r="U749" t="s">
        <v>28</v>
      </c>
    </row>
    <row r="750" spans="1:21" ht="15" customHeight="1" x14ac:dyDescent="0.3">
      <c r="A750" t="s">
        <v>179</v>
      </c>
      <c r="B750" t="str">
        <f>"00066368"</f>
        <v>00066368</v>
      </c>
      <c r="C750" t="s">
        <v>4293</v>
      </c>
      <c r="D750" t="s">
        <v>1586</v>
      </c>
      <c r="E750" t="str">
        <f>"00051184"</f>
        <v>00051184</v>
      </c>
      <c r="F750">
        <v>0</v>
      </c>
      <c r="G750" s="243">
        <v>31340</v>
      </c>
      <c r="H750" t="s">
        <v>182</v>
      </c>
      <c r="I750">
        <v>15</v>
      </c>
      <c r="J750">
        <v>16</v>
      </c>
      <c r="K750">
        <v>0.5</v>
      </c>
      <c r="L750">
        <v>100839</v>
      </c>
      <c r="M750" t="str">
        <f t="shared" si="104"/>
        <v>13</v>
      </c>
      <c r="N750" t="s">
        <v>3370</v>
      </c>
      <c r="O750" t="str">
        <f t="shared" si="107"/>
        <v>53311</v>
      </c>
      <c r="P750" t="str">
        <f t="shared" si="109"/>
        <v>2100L</v>
      </c>
      <c r="Q750" t="str">
        <f t="shared" si="105"/>
        <v>0101</v>
      </c>
      <c r="R750">
        <v>2100</v>
      </c>
      <c r="S750" t="str">
        <f t="shared" si="108"/>
        <v>5330</v>
      </c>
      <c r="T750" t="s">
        <v>3443</v>
      </c>
      <c r="U750" t="s">
        <v>38</v>
      </c>
    </row>
    <row r="751" spans="1:21" ht="15" customHeight="1" x14ac:dyDescent="0.3">
      <c r="A751" t="s">
        <v>179</v>
      </c>
      <c r="B751" t="str">
        <f>"00072210"</f>
        <v>00072210</v>
      </c>
      <c r="C751" t="s">
        <v>4272</v>
      </c>
      <c r="D751" t="s">
        <v>928</v>
      </c>
      <c r="E751" t="str">
        <f>"00058049"</f>
        <v>00058049</v>
      </c>
      <c r="F751">
        <v>0</v>
      </c>
      <c r="G751" s="243">
        <v>40042</v>
      </c>
      <c r="H751" t="s">
        <v>182</v>
      </c>
      <c r="I751">
        <v>15</v>
      </c>
      <c r="J751">
        <v>2</v>
      </c>
      <c r="K751">
        <v>1</v>
      </c>
      <c r="L751">
        <v>54099</v>
      </c>
      <c r="M751" t="str">
        <f t="shared" si="104"/>
        <v>13</v>
      </c>
      <c r="N751" t="s">
        <v>3323</v>
      </c>
      <c r="O751" t="str">
        <f t="shared" si="107"/>
        <v>53311</v>
      </c>
      <c r="P751" t="str">
        <f t="shared" si="109"/>
        <v>2100L</v>
      </c>
      <c r="Q751" t="str">
        <f t="shared" si="105"/>
        <v>0101</v>
      </c>
      <c r="R751">
        <v>2100</v>
      </c>
      <c r="S751" t="str">
        <f t="shared" si="108"/>
        <v>5330</v>
      </c>
      <c r="T751" t="s">
        <v>3441</v>
      </c>
      <c r="U751" t="s">
        <v>28</v>
      </c>
    </row>
    <row r="752" spans="1:21" ht="15" customHeight="1" x14ac:dyDescent="0.3">
      <c r="A752" t="s">
        <v>179</v>
      </c>
      <c r="B752" t="str">
        <f>"00072690"</f>
        <v>00072690</v>
      </c>
      <c r="C752" t="s">
        <v>4291</v>
      </c>
      <c r="H752" t="s">
        <v>170</v>
      </c>
      <c r="I752">
        <v>15</v>
      </c>
      <c r="J752">
        <v>1</v>
      </c>
      <c r="K752">
        <v>0.5</v>
      </c>
      <c r="L752">
        <v>51539</v>
      </c>
      <c r="M752" t="str">
        <f t="shared" si="104"/>
        <v>13</v>
      </c>
      <c r="N752" t="s">
        <v>3323</v>
      </c>
      <c r="O752" t="str">
        <f t="shared" si="107"/>
        <v>53311</v>
      </c>
      <c r="P752" t="str">
        <f t="shared" si="109"/>
        <v>2100L</v>
      </c>
      <c r="Q752" t="str">
        <f t="shared" si="105"/>
        <v>0101</v>
      </c>
      <c r="R752">
        <v>2100</v>
      </c>
      <c r="S752" t="str">
        <f t="shared" si="108"/>
        <v>5330</v>
      </c>
      <c r="T752" t="s">
        <v>3441</v>
      </c>
      <c r="U752" t="s">
        <v>28</v>
      </c>
    </row>
    <row r="753" spans="1:21" ht="15" customHeight="1" x14ac:dyDescent="0.3">
      <c r="A753" t="s">
        <v>179</v>
      </c>
      <c r="B753" t="str">
        <f>"00072693"</f>
        <v>00072693</v>
      </c>
      <c r="C753" t="s">
        <v>4262</v>
      </c>
      <c r="D753" t="s">
        <v>1935</v>
      </c>
      <c r="E753" t="str">
        <f>"00047872"</f>
        <v>00047872</v>
      </c>
      <c r="F753">
        <v>0</v>
      </c>
      <c r="G753" s="243">
        <v>32387</v>
      </c>
      <c r="H753" t="s">
        <v>182</v>
      </c>
      <c r="I753">
        <v>15</v>
      </c>
      <c r="J753">
        <v>16</v>
      </c>
      <c r="K753">
        <v>1</v>
      </c>
      <c r="L753">
        <v>103347</v>
      </c>
      <c r="M753" t="str">
        <f t="shared" si="104"/>
        <v>13</v>
      </c>
      <c r="N753" t="s">
        <v>3370</v>
      </c>
      <c r="O753" t="str">
        <f t="shared" si="107"/>
        <v>53311</v>
      </c>
      <c r="P753" t="str">
        <f t="shared" si="109"/>
        <v>2100L</v>
      </c>
      <c r="Q753" t="str">
        <f t="shared" si="105"/>
        <v>0101</v>
      </c>
      <c r="R753">
        <v>2100</v>
      </c>
      <c r="S753" t="str">
        <f t="shared" si="108"/>
        <v>5330</v>
      </c>
      <c r="T753" t="s">
        <v>3441</v>
      </c>
      <c r="U753" t="s">
        <v>28</v>
      </c>
    </row>
    <row r="754" spans="1:21" ht="15" customHeight="1" x14ac:dyDescent="0.3">
      <c r="A754" t="s">
        <v>179</v>
      </c>
      <c r="B754" t="str">
        <f>"00073838"</f>
        <v>00073838</v>
      </c>
      <c r="C754" t="s">
        <v>4256</v>
      </c>
      <c r="H754" t="s">
        <v>170</v>
      </c>
      <c r="I754">
        <v>15</v>
      </c>
      <c r="J754">
        <v>1</v>
      </c>
      <c r="K754">
        <v>0.5</v>
      </c>
      <c r="L754">
        <v>56693</v>
      </c>
      <c r="M754" t="str">
        <f t="shared" si="104"/>
        <v>13</v>
      </c>
      <c r="N754" t="s">
        <v>3323</v>
      </c>
      <c r="O754" t="str">
        <f t="shared" si="107"/>
        <v>53311</v>
      </c>
      <c r="P754" t="str">
        <f t="shared" si="109"/>
        <v>2100L</v>
      </c>
      <c r="Q754" t="str">
        <f t="shared" si="105"/>
        <v>0101</v>
      </c>
      <c r="R754">
        <v>2100</v>
      </c>
      <c r="S754" t="str">
        <f t="shared" si="108"/>
        <v>5330</v>
      </c>
      <c r="T754" t="s">
        <v>3441</v>
      </c>
      <c r="U754" t="s">
        <v>28</v>
      </c>
    </row>
    <row r="755" spans="1:21" ht="15" customHeight="1" x14ac:dyDescent="0.3">
      <c r="A755" t="s">
        <v>179</v>
      </c>
      <c r="B755" t="str">
        <f>"00073839"</f>
        <v>00073839</v>
      </c>
      <c r="C755" t="s">
        <v>4262</v>
      </c>
      <c r="D755" t="s">
        <v>927</v>
      </c>
      <c r="E755" t="str">
        <f>"00045594"</f>
        <v>00045594</v>
      </c>
      <c r="F755">
        <v>0</v>
      </c>
      <c r="G755" s="243">
        <v>32756</v>
      </c>
      <c r="H755" t="s">
        <v>182</v>
      </c>
      <c r="I755">
        <v>15</v>
      </c>
      <c r="J755">
        <v>16</v>
      </c>
      <c r="K755">
        <v>1</v>
      </c>
      <c r="L755">
        <v>100839</v>
      </c>
      <c r="M755" t="str">
        <f t="shared" si="104"/>
        <v>13</v>
      </c>
      <c r="N755" t="s">
        <v>3323</v>
      </c>
      <c r="O755" t="str">
        <f t="shared" si="107"/>
        <v>53311</v>
      </c>
      <c r="P755" t="str">
        <f t="shared" si="109"/>
        <v>2100L</v>
      </c>
      <c r="Q755" t="str">
        <f t="shared" si="105"/>
        <v>0101</v>
      </c>
      <c r="R755">
        <v>2100</v>
      </c>
      <c r="S755" t="str">
        <f t="shared" si="108"/>
        <v>5330</v>
      </c>
      <c r="T755" t="s">
        <v>3441</v>
      </c>
      <c r="U755" t="s">
        <v>28</v>
      </c>
    </row>
    <row r="756" spans="1:21" ht="15" customHeight="1" x14ac:dyDescent="0.3">
      <c r="A756" t="s">
        <v>179</v>
      </c>
      <c r="B756" t="str">
        <f>"00074185"</f>
        <v>00074185</v>
      </c>
      <c r="C756" t="s">
        <v>4265</v>
      </c>
      <c r="D756" t="s">
        <v>3813</v>
      </c>
      <c r="E756" t="str">
        <f>"00051480"</f>
        <v>00051480</v>
      </c>
      <c r="F756">
        <v>0</v>
      </c>
      <c r="G756" s="243">
        <v>29738</v>
      </c>
      <c r="H756" t="s">
        <v>182</v>
      </c>
      <c r="I756">
        <v>15</v>
      </c>
      <c r="J756">
        <v>16</v>
      </c>
      <c r="K756">
        <v>0.5</v>
      </c>
      <c r="L756">
        <v>50419.5</v>
      </c>
      <c r="M756" t="str">
        <f t="shared" si="104"/>
        <v>13</v>
      </c>
      <c r="N756" t="s">
        <v>3370</v>
      </c>
      <c r="O756" t="str">
        <f t="shared" si="107"/>
        <v>53311</v>
      </c>
      <c r="P756" t="str">
        <f t="shared" si="109"/>
        <v>2100L</v>
      </c>
      <c r="Q756" t="str">
        <f t="shared" si="105"/>
        <v>0101</v>
      </c>
      <c r="R756">
        <v>2100</v>
      </c>
      <c r="S756" t="str">
        <f t="shared" si="108"/>
        <v>5330</v>
      </c>
      <c r="T756" t="s">
        <v>3441</v>
      </c>
      <c r="U756" t="s">
        <v>28</v>
      </c>
    </row>
    <row r="757" spans="1:21" ht="15" customHeight="1" x14ac:dyDescent="0.3">
      <c r="A757" t="s">
        <v>179</v>
      </c>
      <c r="B757" t="str">
        <f>"00075557"</f>
        <v>00075557</v>
      </c>
      <c r="C757" t="s">
        <v>3670</v>
      </c>
      <c r="D757" t="s">
        <v>3481</v>
      </c>
      <c r="E757" t="str">
        <f>"00065220"</f>
        <v>00065220</v>
      </c>
      <c r="F757">
        <v>0</v>
      </c>
      <c r="G757" s="243">
        <v>40729</v>
      </c>
      <c r="H757" t="s">
        <v>182</v>
      </c>
      <c r="I757">
        <v>8</v>
      </c>
      <c r="J757">
        <v>3</v>
      </c>
      <c r="K757">
        <v>1</v>
      </c>
      <c r="L757">
        <v>87160</v>
      </c>
      <c r="M757" t="str">
        <f t="shared" si="104"/>
        <v>13</v>
      </c>
      <c r="N757" t="s">
        <v>3370</v>
      </c>
      <c r="O757" t="str">
        <f t="shared" si="107"/>
        <v>53311</v>
      </c>
      <c r="P757" t="str">
        <f>"1501L"</f>
        <v>1501L</v>
      </c>
      <c r="Q757" t="str">
        <f t="shared" si="105"/>
        <v>0101</v>
      </c>
      <c r="R757">
        <v>1501</v>
      </c>
      <c r="S757" t="str">
        <f t="shared" si="108"/>
        <v>5330</v>
      </c>
      <c r="T757" t="s">
        <v>3441</v>
      </c>
      <c r="U757" t="s">
        <v>28</v>
      </c>
    </row>
    <row r="758" spans="1:21" ht="15" customHeight="1" x14ac:dyDescent="0.3">
      <c r="A758" t="s">
        <v>179</v>
      </c>
      <c r="B758" t="str">
        <f>"00076012"</f>
        <v>00076012</v>
      </c>
      <c r="C758" t="s">
        <v>4271</v>
      </c>
      <c r="H758" t="s">
        <v>170</v>
      </c>
      <c r="I758">
        <v>15</v>
      </c>
      <c r="J758">
        <v>0</v>
      </c>
      <c r="K758">
        <v>0.5</v>
      </c>
      <c r="L758">
        <v>51539</v>
      </c>
      <c r="M758" t="str">
        <f t="shared" si="104"/>
        <v>13</v>
      </c>
      <c r="N758" t="s">
        <v>3370</v>
      </c>
      <c r="O758" t="str">
        <f t="shared" si="107"/>
        <v>53311</v>
      </c>
      <c r="P758" t="str">
        <f>"2100L"</f>
        <v>2100L</v>
      </c>
      <c r="Q758" t="str">
        <f t="shared" si="105"/>
        <v>0101</v>
      </c>
      <c r="R758">
        <v>2100</v>
      </c>
      <c r="S758" t="str">
        <f t="shared" si="108"/>
        <v>5330</v>
      </c>
      <c r="T758" t="s">
        <v>3441</v>
      </c>
      <c r="U758" t="s">
        <v>28</v>
      </c>
    </row>
    <row r="759" spans="1:21" ht="15" customHeight="1" x14ac:dyDescent="0.3">
      <c r="A759" t="s">
        <v>179</v>
      </c>
      <c r="B759" t="str">
        <f>"00076447"</f>
        <v>00076447</v>
      </c>
      <c r="C759" t="s">
        <v>4274</v>
      </c>
      <c r="D759" t="s">
        <v>4542</v>
      </c>
      <c r="E759" t="str">
        <f>"00069982"</f>
        <v>00069982</v>
      </c>
      <c r="F759">
        <v>0</v>
      </c>
      <c r="G759" s="243">
        <v>41133</v>
      </c>
      <c r="H759" t="s">
        <v>182</v>
      </c>
      <c r="I759">
        <v>4</v>
      </c>
      <c r="J759">
        <v>2</v>
      </c>
      <c r="K759">
        <v>0.71</v>
      </c>
      <c r="L759">
        <v>23151.63</v>
      </c>
      <c r="M759" t="str">
        <f t="shared" si="104"/>
        <v>13</v>
      </c>
      <c r="N759" t="s">
        <v>3370</v>
      </c>
      <c r="O759" t="str">
        <f t="shared" si="107"/>
        <v>53311</v>
      </c>
      <c r="P759" t="str">
        <f>"2200L"</f>
        <v>2200L</v>
      </c>
      <c r="Q759" t="str">
        <f t="shared" si="105"/>
        <v>0101</v>
      </c>
      <c r="R759">
        <v>2200</v>
      </c>
      <c r="S759" t="str">
        <f t="shared" si="108"/>
        <v>5330</v>
      </c>
      <c r="T759" t="s">
        <v>3441</v>
      </c>
      <c r="U759" t="s">
        <v>28</v>
      </c>
    </row>
    <row r="760" spans="1:21" ht="15" customHeight="1" x14ac:dyDescent="0.3">
      <c r="A760" t="s">
        <v>179</v>
      </c>
      <c r="B760" t="str">
        <f>"00076512"</f>
        <v>00076512</v>
      </c>
      <c r="C760" t="s">
        <v>4290</v>
      </c>
      <c r="D760" t="s">
        <v>4543</v>
      </c>
      <c r="E760" t="str">
        <f>"00069938"</f>
        <v>00069938</v>
      </c>
      <c r="F760">
        <v>0</v>
      </c>
      <c r="G760" s="243">
        <v>41133</v>
      </c>
      <c r="H760" t="s">
        <v>182</v>
      </c>
      <c r="I760">
        <v>4</v>
      </c>
      <c r="J760">
        <v>9</v>
      </c>
      <c r="K760">
        <v>0.71</v>
      </c>
      <c r="L760">
        <v>28025.38</v>
      </c>
      <c r="M760" t="str">
        <f t="shared" si="104"/>
        <v>13</v>
      </c>
      <c r="N760" t="s">
        <v>3370</v>
      </c>
      <c r="O760" t="str">
        <f t="shared" si="107"/>
        <v>53311</v>
      </c>
      <c r="P760" t="str">
        <f>"3030L"</f>
        <v>3030L</v>
      </c>
      <c r="Q760" t="str">
        <f t="shared" si="105"/>
        <v>0101</v>
      </c>
      <c r="R760">
        <v>3030</v>
      </c>
      <c r="S760" t="str">
        <f t="shared" si="108"/>
        <v>5330</v>
      </c>
      <c r="T760" t="s">
        <v>3441</v>
      </c>
      <c r="U760" t="s">
        <v>28</v>
      </c>
    </row>
    <row r="761" spans="1:21" ht="15" customHeight="1" x14ac:dyDescent="0.3">
      <c r="A761" t="s">
        <v>179</v>
      </c>
      <c r="B761" t="str">
        <f>"00076513"</f>
        <v>00076513</v>
      </c>
      <c r="C761" t="s">
        <v>4290</v>
      </c>
      <c r="H761" t="s">
        <v>170</v>
      </c>
      <c r="I761">
        <v>4</v>
      </c>
      <c r="J761">
        <v>0</v>
      </c>
      <c r="K761">
        <v>0.71</v>
      </c>
      <c r="L761">
        <v>25662</v>
      </c>
      <c r="M761" t="str">
        <f t="shared" si="104"/>
        <v>13</v>
      </c>
      <c r="N761" t="s">
        <v>3370</v>
      </c>
      <c r="O761" t="str">
        <f t="shared" si="107"/>
        <v>53311</v>
      </c>
      <c r="P761" t="str">
        <f>"3030L"</f>
        <v>3030L</v>
      </c>
      <c r="Q761" t="str">
        <f t="shared" si="105"/>
        <v>0101</v>
      </c>
      <c r="R761">
        <v>3030</v>
      </c>
      <c r="S761" t="str">
        <f t="shared" si="108"/>
        <v>5330</v>
      </c>
      <c r="T761" t="s">
        <v>3441</v>
      </c>
      <c r="U761" t="s">
        <v>28</v>
      </c>
    </row>
    <row r="762" spans="1:21" ht="15" customHeight="1" x14ac:dyDescent="0.3">
      <c r="A762" t="s">
        <v>179</v>
      </c>
      <c r="B762" t="str">
        <f>"00076514"</f>
        <v>00076514</v>
      </c>
      <c r="C762" t="s">
        <v>4290</v>
      </c>
      <c r="H762" t="s">
        <v>170</v>
      </c>
      <c r="I762">
        <v>4</v>
      </c>
      <c r="J762">
        <v>0</v>
      </c>
      <c r="K762">
        <v>0.71</v>
      </c>
      <c r="L762">
        <v>25662</v>
      </c>
      <c r="M762" t="str">
        <f t="shared" ref="M762:M819" si="110">"13"</f>
        <v>13</v>
      </c>
      <c r="N762" t="s">
        <v>3370</v>
      </c>
      <c r="O762" t="str">
        <f t="shared" si="107"/>
        <v>53311</v>
      </c>
      <c r="P762" t="str">
        <f>"3030L"</f>
        <v>3030L</v>
      </c>
      <c r="Q762" t="str">
        <f t="shared" ref="Q762:Q819" si="111">"0101"</f>
        <v>0101</v>
      </c>
      <c r="R762">
        <v>3030</v>
      </c>
      <c r="S762" t="str">
        <f t="shared" si="108"/>
        <v>5330</v>
      </c>
      <c r="T762" t="s">
        <v>3441</v>
      </c>
      <c r="U762" t="s">
        <v>28</v>
      </c>
    </row>
    <row r="763" spans="1:21" ht="15" customHeight="1" x14ac:dyDescent="0.3">
      <c r="A763" t="s">
        <v>179</v>
      </c>
      <c r="B763" t="str">
        <f>"00076807"</f>
        <v>00076807</v>
      </c>
      <c r="C763" t="s">
        <v>3670</v>
      </c>
      <c r="H763" t="s">
        <v>170</v>
      </c>
      <c r="I763">
        <v>8</v>
      </c>
      <c r="J763">
        <v>0</v>
      </c>
      <c r="K763">
        <v>1</v>
      </c>
      <c r="L763">
        <v>82397</v>
      </c>
      <c r="M763" t="str">
        <f t="shared" si="110"/>
        <v>13</v>
      </c>
      <c r="N763" t="s">
        <v>3370</v>
      </c>
      <c r="O763" t="str">
        <f t="shared" si="107"/>
        <v>53311</v>
      </c>
      <c r="P763" t="str">
        <f>"1501L"</f>
        <v>1501L</v>
      </c>
      <c r="Q763" t="str">
        <f t="shared" si="111"/>
        <v>0101</v>
      </c>
      <c r="R763">
        <v>1501</v>
      </c>
      <c r="S763" t="str">
        <f t="shared" si="108"/>
        <v>5330</v>
      </c>
      <c r="T763" t="s">
        <v>3441</v>
      </c>
      <c r="U763" t="s">
        <v>28</v>
      </c>
    </row>
    <row r="764" spans="1:21" ht="15" customHeight="1" x14ac:dyDescent="0.3">
      <c r="A764" t="s">
        <v>179</v>
      </c>
      <c r="B764" t="str">
        <f>"00051633"</f>
        <v>00051633</v>
      </c>
      <c r="C764" t="s">
        <v>4266</v>
      </c>
      <c r="D764" t="s">
        <v>976</v>
      </c>
      <c r="E764" t="str">
        <f>"00045184"</f>
        <v>00045184</v>
      </c>
      <c r="F764">
        <v>0</v>
      </c>
      <c r="G764" s="243">
        <v>33484</v>
      </c>
      <c r="H764" t="s">
        <v>182</v>
      </c>
      <c r="I764">
        <v>15</v>
      </c>
      <c r="J764">
        <v>16</v>
      </c>
      <c r="K764">
        <v>1</v>
      </c>
      <c r="L764">
        <v>103347</v>
      </c>
      <c r="M764" t="str">
        <f t="shared" si="110"/>
        <v>13</v>
      </c>
      <c r="N764" t="s">
        <v>3323</v>
      </c>
      <c r="O764" t="str">
        <f t="shared" ref="O764:O791" si="112">"53411"</f>
        <v>53411</v>
      </c>
      <c r="P764" t="str">
        <f>"2300L"</f>
        <v>2300L</v>
      </c>
      <c r="Q764" t="str">
        <f t="shared" si="111"/>
        <v>0101</v>
      </c>
      <c r="R764">
        <v>2300</v>
      </c>
      <c r="S764" t="str">
        <f t="shared" ref="S764:S791" si="113">"5340"</f>
        <v>5340</v>
      </c>
      <c r="T764" t="s">
        <v>3447</v>
      </c>
      <c r="U764" t="s">
        <v>118</v>
      </c>
    </row>
    <row r="765" spans="1:21" ht="15" customHeight="1" x14ac:dyDescent="0.3">
      <c r="A765" t="s">
        <v>179</v>
      </c>
      <c r="B765" t="str">
        <f>"00051653"</f>
        <v>00051653</v>
      </c>
      <c r="C765" t="s">
        <v>4259</v>
      </c>
      <c r="D765" t="s">
        <v>977</v>
      </c>
      <c r="E765" t="str">
        <f>"00045314"</f>
        <v>00045314</v>
      </c>
      <c r="F765">
        <v>0</v>
      </c>
      <c r="G765" s="243">
        <v>36033</v>
      </c>
      <c r="H765" t="s">
        <v>182</v>
      </c>
      <c r="I765">
        <v>15</v>
      </c>
      <c r="J765">
        <v>14</v>
      </c>
      <c r="K765">
        <v>1</v>
      </c>
      <c r="L765">
        <v>98967</v>
      </c>
      <c r="M765" t="str">
        <f t="shared" si="110"/>
        <v>13</v>
      </c>
      <c r="N765" t="s">
        <v>3323</v>
      </c>
      <c r="O765" t="str">
        <f t="shared" si="112"/>
        <v>53411</v>
      </c>
      <c r="P765" t="str">
        <f>"2100L"</f>
        <v>2100L</v>
      </c>
      <c r="Q765" t="str">
        <f t="shared" si="111"/>
        <v>0101</v>
      </c>
      <c r="R765">
        <v>2100</v>
      </c>
      <c r="S765" t="str">
        <f t="shared" si="113"/>
        <v>5340</v>
      </c>
      <c r="T765" t="s">
        <v>3447</v>
      </c>
      <c r="U765" t="s">
        <v>118</v>
      </c>
    </row>
    <row r="766" spans="1:21" ht="15" customHeight="1" x14ac:dyDescent="0.3">
      <c r="A766" t="s">
        <v>179</v>
      </c>
      <c r="B766" t="str">
        <f>"00051671"</f>
        <v>00051671</v>
      </c>
      <c r="C766" t="s">
        <v>4262</v>
      </c>
      <c r="D766" t="s">
        <v>978</v>
      </c>
      <c r="E766" t="str">
        <f>"00045415"</f>
        <v>00045415</v>
      </c>
      <c r="F766">
        <v>0</v>
      </c>
      <c r="G766" s="243">
        <v>31353</v>
      </c>
      <c r="H766" t="s">
        <v>182</v>
      </c>
      <c r="I766">
        <v>15</v>
      </c>
      <c r="J766">
        <v>16</v>
      </c>
      <c r="K766">
        <v>1</v>
      </c>
      <c r="L766">
        <v>106540</v>
      </c>
      <c r="M766" t="str">
        <f t="shared" si="110"/>
        <v>13</v>
      </c>
      <c r="N766" t="s">
        <v>3323</v>
      </c>
      <c r="O766" t="str">
        <f t="shared" si="112"/>
        <v>53411</v>
      </c>
      <c r="P766" t="str">
        <f>"2100L"</f>
        <v>2100L</v>
      </c>
      <c r="Q766" t="str">
        <f t="shared" si="111"/>
        <v>0101</v>
      </c>
      <c r="R766">
        <v>2100</v>
      </c>
      <c r="S766" t="str">
        <f t="shared" si="113"/>
        <v>5340</v>
      </c>
      <c r="T766" t="s">
        <v>3447</v>
      </c>
      <c r="U766" t="s">
        <v>118</v>
      </c>
    </row>
    <row r="767" spans="1:21" ht="15" customHeight="1" x14ac:dyDescent="0.3">
      <c r="A767" t="s">
        <v>179</v>
      </c>
      <c r="B767" t="str">
        <f>"00051799"</f>
        <v>00051799</v>
      </c>
      <c r="C767" t="s">
        <v>4262</v>
      </c>
      <c r="D767" t="s">
        <v>3454</v>
      </c>
      <c r="E767" t="str">
        <f>"00066016"</f>
        <v>00066016</v>
      </c>
      <c r="F767">
        <v>0</v>
      </c>
      <c r="G767" s="243">
        <v>40755</v>
      </c>
      <c r="H767" t="s">
        <v>182</v>
      </c>
      <c r="I767">
        <v>15</v>
      </c>
      <c r="J767">
        <v>2</v>
      </c>
      <c r="K767">
        <v>1</v>
      </c>
      <c r="L767">
        <v>51716</v>
      </c>
      <c r="M767" t="str">
        <f t="shared" si="110"/>
        <v>13</v>
      </c>
      <c r="N767" t="s">
        <v>3323</v>
      </c>
      <c r="O767" t="str">
        <f t="shared" si="112"/>
        <v>53411</v>
      </c>
      <c r="P767" t="str">
        <f>"2300L"</f>
        <v>2300L</v>
      </c>
      <c r="Q767" t="str">
        <f t="shared" si="111"/>
        <v>0101</v>
      </c>
      <c r="R767">
        <v>2300</v>
      </c>
      <c r="S767" t="str">
        <f t="shared" si="113"/>
        <v>5340</v>
      </c>
      <c r="T767" t="s">
        <v>3447</v>
      </c>
      <c r="U767" t="s">
        <v>118</v>
      </c>
    </row>
    <row r="768" spans="1:21" ht="15" customHeight="1" x14ac:dyDescent="0.3">
      <c r="A768" t="s">
        <v>179</v>
      </c>
      <c r="B768" t="str">
        <f>"00051837"</f>
        <v>00051837</v>
      </c>
      <c r="C768" t="s">
        <v>4262</v>
      </c>
      <c r="H768" t="s">
        <v>170</v>
      </c>
      <c r="I768">
        <v>15</v>
      </c>
      <c r="J768">
        <v>1</v>
      </c>
      <c r="K768">
        <v>1</v>
      </c>
      <c r="L768">
        <v>51539</v>
      </c>
      <c r="M768" t="str">
        <f t="shared" si="110"/>
        <v>13</v>
      </c>
      <c r="N768" t="s">
        <v>3323</v>
      </c>
      <c r="O768" t="str">
        <f t="shared" si="112"/>
        <v>53411</v>
      </c>
      <c r="P768" t="str">
        <f>"2100L"</f>
        <v>2100L</v>
      </c>
      <c r="Q768" t="str">
        <f t="shared" si="111"/>
        <v>0101</v>
      </c>
      <c r="R768">
        <v>2100</v>
      </c>
      <c r="S768" t="str">
        <f t="shared" si="113"/>
        <v>5340</v>
      </c>
      <c r="T768" t="s">
        <v>3447</v>
      </c>
      <c r="U768" t="s">
        <v>118</v>
      </c>
    </row>
    <row r="769" spans="1:21" ht="15" customHeight="1" x14ac:dyDescent="0.3">
      <c r="A769" t="s">
        <v>179</v>
      </c>
      <c r="B769" t="str">
        <f>"00051911"</f>
        <v>00051911</v>
      </c>
      <c r="C769" t="s">
        <v>4274</v>
      </c>
      <c r="D769" t="s">
        <v>4544</v>
      </c>
      <c r="E769" t="str">
        <f>"00046544"</f>
        <v>00046544</v>
      </c>
      <c r="F769">
        <v>0</v>
      </c>
      <c r="G769" s="243">
        <v>35347</v>
      </c>
      <c r="H769" t="s">
        <v>182</v>
      </c>
      <c r="I769">
        <v>4</v>
      </c>
      <c r="J769">
        <v>10</v>
      </c>
      <c r="K769">
        <v>0.875</v>
      </c>
      <c r="L769">
        <v>28721</v>
      </c>
      <c r="M769" t="str">
        <f t="shared" si="110"/>
        <v>13</v>
      </c>
      <c r="N769" t="s">
        <v>3323</v>
      </c>
      <c r="O769" t="str">
        <f t="shared" si="112"/>
        <v>53411</v>
      </c>
      <c r="P769" t="str">
        <f>"2300L"</f>
        <v>2300L</v>
      </c>
      <c r="Q769" t="str">
        <f t="shared" si="111"/>
        <v>0101</v>
      </c>
      <c r="R769">
        <v>2300</v>
      </c>
      <c r="S769" t="str">
        <f t="shared" si="113"/>
        <v>5340</v>
      </c>
      <c r="T769" t="s">
        <v>3447</v>
      </c>
      <c r="U769" t="s">
        <v>118</v>
      </c>
    </row>
    <row r="770" spans="1:21" ht="15" customHeight="1" x14ac:dyDescent="0.3">
      <c r="A770" t="s">
        <v>179</v>
      </c>
      <c r="B770" t="str">
        <f>"00052045"</f>
        <v>00052045</v>
      </c>
      <c r="C770" t="s">
        <v>4272</v>
      </c>
      <c r="D770" t="s">
        <v>979</v>
      </c>
      <c r="E770" t="str">
        <f>"00047098"</f>
        <v>00047098</v>
      </c>
      <c r="F770">
        <v>0</v>
      </c>
      <c r="G770" s="243">
        <v>36034</v>
      </c>
      <c r="H770" t="s">
        <v>182</v>
      </c>
      <c r="I770">
        <v>15</v>
      </c>
      <c r="J770">
        <v>14</v>
      </c>
      <c r="K770">
        <v>1</v>
      </c>
      <c r="L770">
        <v>96460</v>
      </c>
      <c r="M770" t="str">
        <f t="shared" si="110"/>
        <v>13</v>
      </c>
      <c r="N770" t="s">
        <v>3323</v>
      </c>
      <c r="O770" t="str">
        <f t="shared" si="112"/>
        <v>53411</v>
      </c>
      <c r="P770" t="str">
        <f>"2100L"</f>
        <v>2100L</v>
      </c>
      <c r="Q770" t="str">
        <f t="shared" si="111"/>
        <v>0101</v>
      </c>
      <c r="R770">
        <v>2100</v>
      </c>
      <c r="S770" t="str">
        <f t="shared" si="113"/>
        <v>5340</v>
      </c>
      <c r="T770" t="s">
        <v>3447</v>
      </c>
      <c r="U770" t="s">
        <v>118</v>
      </c>
    </row>
    <row r="771" spans="1:21" ht="15" customHeight="1" x14ac:dyDescent="0.3">
      <c r="A771" t="s">
        <v>179</v>
      </c>
      <c r="B771" t="str">
        <f>"00052108"</f>
        <v>00052108</v>
      </c>
      <c r="C771" t="s">
        <v>4262</v>
      </c>
      <c r="D771" t="s">
        <v>980</v>
      </c>
      <c r="E771" t="str">
        <f>"00062457"</f>
        <v>00062457</v>
      </c>
      <c r="F771">
        <v>0</v>
      </c>
      <c r="G771" s="243">
        <v>40406</v>
      </c>
      <c r="H771" t="s">
        <v>182</v>
      </c>
      <c r="I771">
        <v>15</v>
      </c>
      <c r="J771">
        <v>3</v>
      </c>
      <c r="K771">
        <v>1</v>
      </c>
      <c r="L771">
        <v>52777</v>
      </c>
      <c r="M771" t="str">
        <f t="shared" si="110"/>
        <v>13</v>
      </c>
      <c r="N771" t="s">
        <v>3323</v>
      </c>
      <c r="O771" t="str">
        <f t="shared" si="112"/>
        <v>53411</v>
      </c>
      <c r="P771" t="str">
        <f>"2100L"</f>
        <v>2100L</v>
      </c>
      <c r="Q771" t="str">
        <f t="shared" si="111"/>
        <v>0101</v>
      </c>
      <c r="R771">
        <v>2100</v>
      </c>
      <c r="S771" t="str">
        <f t="shared" si="113"/>
        <v>5340</v>
      </c>
      <c r="T771" t="s">
        <v>3447</v>
      </c>
      <c r="U771" t="s">
        <v>118</v>
      </c>
    </row>
    <row r="772" spans="1:21" ht="15" customHeight="1" x14ac:dyDescent="0.3">
      <c r="A772" t="s">
        <v>179</v>
      </c>
      <c r="B772" t="str">
        <f>"00052163"</f>
        <v>00052163</v>
      </c>
      <c r="C772" t="s">
        <v>4272</v>
      </c>
      <c r="D772" t="s">
        <v>981</v>
      </c>
      <c r="E772" t="str">
        <f>"00047478"</f>
        <v>00047478</v>
      </c>
      <c r="F772">
        <v>0</v>
      </c>
      <c r="G772" s="243">
        <v>35675</v>
      </c>
      <c r="H772" t="s">
        <v>182</v>
      </c>
      <c r="I772">
        <v>15</v>
      </c>
      <c r="J772">
        <v>15</v>
      </c>
      <c r="K772">
        <v>1</v>
      </c>
      <c r="L772">
        <v>98285</v>
      </c>
      <c r="M772" t="str">
        <f t="shared" si="110"/>
        <v>13</v>
      </c>
      <c r="N772" t="s">
        <v>3323</v>
      </c>
      <c r="O772" t="str">
        <f t="shared" si="112"/>
        <v>53411</v>
      </c>
      <c r="P772" t="str">
        <f>"2100L"</f>
        <v>2100L</v>
      </c>
      <c r="Q772" t="str">
        <f t="shared" si="111"/>
        <v>0101</v>
      </c>
      <c r="R772">
        <v>2100</v>
      </c>
      <c r="S772" t="str">
        <f t="shared" si="113"/>
        <v>5340</v>
      </c>
      <c r="T772" t="s">
        <v>3447</v>
      </c>
      <c r="U772" t="s">
        <v>118</v>
      </c>
    </row>
    <row r="773" spans="1:21" ht="15" customHeight="1" x14ac:dyDescent="0.3">
      <c r="A773" t="s">
        <v>179</v>
      </c>
      <c r="B773" t="str">
        <f>"00052533"</f>
        <v>00052533</v>
      </c>
      <c r="C773" t="s">
        <v>4272</v>
      </c>
      <c r="D773" t="s">
        <v>982</v>
      </c>
      <c r="E773" t="str">
        <f>"00010624"</f>
        <v>00010624</v>
      </c>
      <c r="F773">
        <v>2</v>
      </c>
      <c r="G773" s="243">
        <v>30368</v>
      </c>
      <c r="H773" t="s">
        <v>182</v>
      </c>
      <c r="I773">
        <v>15</v>
      </c>
      <c r="J773">
        <v>15</v>
      </c>
      <c r="K773">
        <v>1</v>
      </c>
      <c r="L773">
        <v>98285</v>
      </c>
      <c r="M773" t="str">
        <f t="shared" si="110"/>
        <v>13</v>
      </c>
      <c r="N773" t="s">
        <v>3323</v>
      </c>
      <c r="O773" t="str">
        <f t="shared" si="112"/>
        <v>53411</v>
      </c>
      <c r="P773" t="str">
        <f>"2200L"</f>
        <v>2200L</v>
      </c>
      <c r="Q773" t="str">
        <f t="shared" si="111"/>
        <v>0101</v>
      </c>
      <c r="R773">
        <v>2200</v>
      </c>
      <c r="S773" t="str">
        <f t="shared" si="113"/>
        <v>5340</v>
      </c>
      <c r="T773" t="s">
        <v>3447</v>
      </c>
      <c r="U773" t="s">
        <v>118</v>
      </c>
    </row>
    <row r="774" spans="1:21" ht="15" customHeight="1" x14ac:dyDescent="0.3">
      <c r="A774" t="s">
        <v>179</v>
      </c>
      <c r="B774" t="str">
        <f>"00052556"</f>
        <v>00052556</v>
      </c>
      <c r="C774" t="s">
        <v>4291</v>
      </c>
      <c r="D774" t="s">
        <v>983</v>
      </c>
      <c r="E774" t="str">
        <f>"00048544"</f>
        <v>00048544</v>
      </c>
      <c r="F774">
        <v>0</v>
      </c>
      <c r="G774" s="243">
        <v>33619</v>
      </c>
      <c r="H774" t="s">
        <v>182</v>
      </c>
      <c r="I774">
        <v>15</v>
      </c>
      <c r="J774">
        <v>16</v>
      </c>
      <c r="K774">
        <v>0.5</v>
      </c>
      <c r="L774">
        <v>100839</v>
      </c>
      <c r="M774" t="str">
        <f t="shared" si="110"/>
        <v>13</v>
      </c>
      <c r="N774" t="s">
        <v>3323</v>
      </c>
      <c r="O774" t="str">
        <f t="shared" si="112"/>
        <v>53411</v>
      </c>
      <c r="P774" t="str">
        <f>"2100L"</f>
        <v>2100L</v>
      </c>
      <c r="Q774" t="str">
        <f t="shared" si="111"/>
        <v>0101</v>
      </c>
      <c r="R774">
        <v>2100</v>
      </c>
      <c r="S774" t="str">
        <f t="shared" si="113"/>
        <v>5340</v>
      </c>
      <c r="T774" t="s">
        <v>3447</v>
      </c>
      <c r="U774" t="s">
        <v>118</v>
      </c>
    </row>
    <row r="775" spans="1:21" ht="15" customHeight="1" x14ac:dyDescent="0.3">
      <c r="A775" t="s">
        <v>179</v>
      </c>
      <c r="B775" t="str">
        <f>"00052687"</f>
        <v>00052687</v>
      </c>
      <c r="C775" t="s">
        <v>4256</v>
      </c>
      <c r="D775" t="s">
        <v>984</v>
      </c>
      <c r="E775" t="str">
        <f>"00048943"</f>
        <v>00048943</v>
      </c>
      <c r="F775">
        <v>0</v>
      </c>
      <c r="G775" s="243">
        <v>35675</v>
      </c>
      <c r="H775" t="s">
        <v>182</v>
      </c>
      <c r="I775">
        <v>15</v>
      </c>
      <c r="J775">
        <v>16</v>
      </c>
      <c r="K775">
        <v>1</v>
      </c>
      <c r="L775">
        <v>103347</v>
      </c>
      <c r="M775" t="str">
        <f t="shared" si="110"/>
        <v>13</v>
      </c>
      <c r="N775" t="s">
        <v>3323</v>
      </c>
      <c r="O775" t="str">
        <f t="shared" si="112"/>
        <v>53411</v>
      </c>
      <c r="P775" t="str">
        <f>"2100L"</f>
        <v>2100L</v>
      </c>
      <c r="Q775" t="str">
        <f t="shared" si="111"/>
        <v>0101</v>
      </c>
      <c r="R775">
        <v>2100</v>
      </c>
      <c r="S775" t="str">
        <f t="shared" si="113"/>
        <v>5340</v>
      </c>
      <c r="T775" t="s">
        <v>3447</v>
      </c>
      <c r="U775" t="s">
        <v>118</v>
      </c>
    </row>
    <row r="776" spans="1:21" ht="15" customHeight="1" x14ac:dyDescent="0.3">
      <c r="A776" t="s">
        <v>179</v>
      </c>
      <c r="B776" t="str">
        <f>"00053152"</f>
        <v>00053152</v>
      </c>
      <c r="C776" t="s">
        <v>4260</v>
      </c>
      <c r="D776" t="s">
        <v>985</v>
      </c>
      <c r="E776" t="str">
        <f>"00050007"</f>
        <v>00050007</v>
      </c>
      <c r="F776">
        <v>0</v>
      </c>
      <c r="G776" s="243">
        <v>38226</v>
      </c>
      <c r="H776" t="s">
        <v>182</v>
      </c>
      <c r="I776">
        <v>15</v>
      </c>
      <c r="J776">
        <v>12</v>
      </c>
      <c r="K776">
        <v>1</v>
      </c>
      <c r="L776">
        <v>92613</v>
      </c>
      <c r="M776" t="str">
        <f t="shared" si="110"/>
        <v>13</v>
      </c>
      <c r="N776" t="s">
        <v>3323</v>
      </c>
      <c r="O776" t="str">
        <f t="shared" si="112"/>
        <v>53411</v>
      </c>
      <c r="P776" t="str">
        <f>"3030L"</f>
        <v>3030L</v>
      </c>
      <c r="Q776" t="str">
        <f t="shared" si="111"/>
        <v>0101</v>
      </c>
      <c r="R776">
        <v>3030</v>
      </c>
      <c r="S776" t="str">
        <f t="shared" si="113"/>
        <v>5340</v>
      </c>
      <c r="T776" t="s">
        <v>3447</v>
      </c>
      <c r="U776" t="s">
        <v>118</v>
      </c>
    </row>
    <row r="777" spans="1:21" ht="15" customHeight="1" x14ac:dyDescent="0.3">
      <c r="A777" t="s">
        <v>179</v>
      </c>
      <c r="B777" t="str">
        <f>"00053791"</f>
        <v>00053791</v>
      </c>
      <c r="C777" t="s">
        <v>4254</v>
      </c>
      <c r="D777" t="s">
        <v>4545</v>
      </c>
      <c r="E777" t="str">
        <f>"00069562"</f>
        <v>00069562</v>
      </c>
      <c r="F777">
        <v>0</v>
      </c>
      <c r="G777" s="243">
        <v>41133</v>
      </c>
      <c r="H777" t="s">
        <v>182</v>
      </c>
      <c r="I777">
        <v>15</v>
      </c>
      <c r="J777">
        <v>1</v>
      </c>
      <c r="K777">
        <v>1</v>
      </c>
      <c r="L777">
        <v>51539</v>
      </c>
      <c r="M777" t="str">
        <f t="shared" si="110"/>
        <v>13</v>
      </c>
      <c r="N777" t="s">
        <v>3323</v>
      </c>
      <c r="O777" t="str">
        <f t="shared" si="112"/>
        <v>53411</v>
      </c>
      <c r="P777" t="str">
        <f>"2100L"</f>
        <v>2100L</v>
      </c>
      <c r="Q777" t="str">
        <f t="shared" si="111"/>
        <v>0101</v>
      </c>
      <c r="R777">
        <v>2100</v>
      </c>
      <c r="S777" t="str">
        <f t="shared" si="113"/>
        <v>5340</v>
      </c>
      <c r="T777" t="s">
        <v>3447</v>
      </c>
      <c r="U777" t="s">
        <v>118</v>
      </c>
    </row>
    <row r="778" spans="1:21" ht="15" customHeight="1" x14ac:dyDescent="0.3">
      <c r="A778" t="s">
        <v>179</v>
      </c>
      <c r="B778" t="str">
        <f>"00053895"</f>
        <v>00053895</v>
      </c>
      <c r="C778" t="s">
        <v>3798</v>
      </c>
      <c r="D778" t="s">
        <v>3449</v>
      </c>
      <c r="E778" t="str">
        <f>"00065424"</f>
        <v>00065424</v>
      </c>
      <c r="F778">
        <v>0</v>
      </c>
      <c r="G778" s="243">
        <v>40728</v>
      </c>
      <c r="H778" t="s">
        <v>182</v>
      </c>
      <c r="I778">
        <v>61</v>
      </c>
      <c r="J778">
        <v>6</v>
      </c>
      <c r="K778">
        <v>1</v>
      </c>
      <c r="L778">
        <v>125000</v>
      </c>
      <c r="M778" t="str">
        <f t="shared" si="110"/>
        <v>13</v>
      </c>
      <c r="N778" t="s">
        <v>3323</v>
      </c>
      <c r="O778" t="str">
        <f t="shared" si="112"/>
        <v>53411</v>
      </c>
      <c r="P778" t="str">
        <f>"1501L"</f>
        <v>1501L</v>
      </c>
      <c r="Q778" t="str">
        <f t="shared" si="111"/>
        <v>0101</v>
      </c>
      <c r="R778">
        <v>1501</v>
      </c>
      <c r="S778" t="str">
        <f t="shared" si="113"/>
        <v>5340</v>
      </c>
      <c r="T778" t="s">
        <v>3447</v>
      </c>
      <c r="U778" t="s">
        <v>118</v>
      </c>
    </row>
    <row r="779" spans="1:21" ht="15" customHeight="1" x14ac:dyDescent="0.3">
      <c r="A779" t="s">
        <v>179</v>
      </c>
      <c r="B779" t="str">
        <f>"00054146"</f>
        <v>00054146</v>
      </c>
      <c r="C779" t="s">
        <v>4274</v>
      </c>
      <c r="D779" t="s">
        <v>4546</v>
      </c>
      <c r="E779" t="str">
        <f>"00053113"</f>
        <v>00053113</v>
      </c>
      <c r="F779">
        <v>0</v>
      </c>
      <c r="G779" s="243">
        <v>33855</v>
      </c>
      <c r="H779" t="s">
        <v>182</v>
      </c>
      <c r="I779">
        <v>4</v>
      </c>
      <c r="J779">
        <v>10</v>
      </c>
      <c r="K779">
        <v>0.875</v>
      </c>
      <c r="L779">
        <v>28721</v>
      </c>
      <c r="M779" t="str">
        <f t="shared" si="110"/>
        <v>13</v>
      </c>
      <c r="N779" t="s">
        <v>3323</v>
      </c>
      <c r="O779" t="str">
        <f t="shared" si="112"/>
        <v>53411</v>
      </c>
      <c r="P779" t="str">
        <f>"2300L"</f>
        <v>2300L</v>
      </c>
      <c r="Q779" t="str">
        <f t="shared" si="111"/>
        <v>0101</v>
      </c>
      <c r="R779">
        <v>2300</v>
      </c>
      <c r="S779" t="str">
        <f t="shared" si="113"/>
        <v>5340</v>
      </c>
      <c r="T779" t="s">
        <v>3447</v>
      </c>
      <c r="U779" t="s">
        <v>118</v>
      </c>
    </row>
    <row r="780" spans="1:21" ht="15" customHeight="1" x14ac:dyDescent="0.3">
      <c r="A780" t="s">
        <v>179</v>
      </c>
      <c r="B780" t="str">
        <f>"00055155"</f>
        <v>00055155</v>
      </c>
      <c r="C780" t="s">
        <v>4262</v>
      </c>
      <c r="D780" t="s">
        <v>3455</v>
      </c>
      <c r="E780" t="str">
        <f>"00067389"</f>
        <v>00067389</v>
      </c>
      <c r="F780">
        <v>0</v>
      </c>
      <c r="G780" s="243">
        <v>40911</v>
      </c>
      <c r="H780" t="s">
        <v>182</v>
      </c>
      <c r="I780">
        <v>15</v>
      </c>
      <c r="J780">
        <v>1</v>
      </c>
      <c r="K780">
        <v>1</v>
      </c>
      <c r="L780">
        <v>51539</v>
      </c>
      <c r="M780" t="str">
        <f t="shared" si="110"/>
        <v>13</v>
      </c>
      <c r="N780" t="s">
        <v>3323</v>
      </c>
      <c r="O780" t="str">
        <f t="shared" si="112"/>
        <v>53411</v>
      </c>
      <c r="P780" t="str">
        <f>"2100L"</f>
        <v>2100L</v>
      </c>
      <c r="Q780" t="str">
        <f t="shared" si="111"/>
        <v>0101</v>
      </c>
      <c r="R780">
        <v>2100</v>
      </c>
      <c r="S780" t="str">
        <f t="shared" si="113"/>
        <v>5340</v>
      </c>
      <c r="T780" t="s">
        <v>3447</v>
      </c>
      <c r="U780" t="s">
        <v>118</v>
      </c>
    </row>
    <row r="781" spans="1:21" ht="15" customHeight="1" x14ac:dyDescent="0.3">
      <c r="A781" t="s">
        <v>179</v>
      </c>
      <c r="B781" t="str">
        <f>"00055232"</f>
        <v>00055232</v>
      </c>
      <c r="C781" t="s">
        <v>4262</v>
      </c>
      <c r="D781" t="s">
        <v>986</v>
      </c>
      <c r="E781" t="str">
        <f>"00047786"</f>
        <v>00047786</v>
      </c>
      <c r="F781">
        <v>0</v>
      </c>
      <c r="G781" s="243">
        <v>36390</v>
      </c>
      <c r="H781" t="s">
        <v>182</v>
      </c>
      <c r="I781">
        <v>15</v>
      </c>
      <c r="J781">
        <v>15</v>
      </c>
      <c r="K781">
        <v>1</v>
      </c>
      <c r="L781">
        <v>100792</v>
      </c>
      <c r="M781" t="str">
        <f t="shared" si="110"/>
        <v>13</v>
      </c>
      <c r="N781" t="s">
        <v>3323</v>
      </c>
      <c r="O781" t="str">
        <f t="shared" si="112"/>
        <v>53411</v>
      </c>
      <c r="P781" t="str">
        <f>"2100L"</f>
        <v>2100L</v>
      </c>
      <c r="Q781" t="str">
        <f t="shared" si="111"/>
        <v>0101</v>
      </c>
      <c r="R781">
        <v>2100</v>
      </c>
      <c r="S781" t="str">
        <f t="shared" si="113"/>
        <v>5340</v>
      </c>
      <c r="T781" t="s">
        <v>3447</v>
      </c>
      <c r="U781" t="s">
        <v>118</v>
      </c>
    </row>
    <row r="782" spans="1:21" ht="15" customHeight="1" x14ac:dyDescent="0.3">
      <c r="A782" t="s">
        <v>179</v>
      </c>
      <c r="B782" t="str">
        <f>"00056882"</f>
        <v>00056882</v>
      </c>
      <c r="C782" t="s">
        <v>4262</v>
      </c>
      <c r="D782" t="s">
        <v>2793</v>
      </c>
      <c r="E782" t="str">
        <f>"00063700"</f>
        <v>00063700</v>
      </c>
      <c r="F782">
        <v>0</v>
      </c>
      <c r="G782" s="243">
        <v>40793</v>
      </c>
      <c r="H782" t="s">
        <v>182</v>
      </c>
      <c r="I782">
        <v>15</v>
      </c>
      <c r="J782">
        <v>12</v>
      </c>
      <c r="K782">
        <v>1</v>
      </c>
      <c r="L782">
        <v>87431</v>
      </c>
      <c r="M782" t="str">
        <f t="shared" si="110"/>
        <v>13</v>
      </c>
      <c r="N782" t="s">
        <v>3370</v>
      </c>
      <c r="O782" t="str">
        <f t="shared" si="112"/>
        <v>53411</v>
      </c>
      <c r="P782" t="str">
        <f>"2100L"</f>
        <v>2100L</v>
      </c>
      <c r="Q782" t="str">
        <f t="shared" si="111"/>
        <v>0101</v>
      </c>
      <c r="R782">
        <v>2100</v>
      </c>
      <c r="S782" t="str">
        <f t="shared" si="113"/>
        <v>5340</v>
      </c>
      <c r="T782" t="s">
        <v>3447</v>
      </c>
      <c r="U782" t="s">
        <v>118</v>
      </c>
    </row>
    <row r="783" spans="1:21" ht="15" customHeight="1" x14ac:dyDescent="0.3">
      <c r="A783" t="s">
        <v>179</v>
      </c>
      <c r="B783" t="str">
        <f>"00057382"</f>
        <v>00057382</v>
      </c>
      <c r="C783" t="s">
        <v>4262</v>
      </c>
      <c r="D783" t="s">
        <v>987</v>
      </c>
      <c r="E783" t="str">
        <f>"00048967"</f>
        <v>00048967</v>
      </c>
      <c r="F783">
        <v>0</v>
      </c>
      <c r="G783" s="243">
        <v>33151</v>
      </c>
      <c r="H783" t="s">
        <v>182</v>
      </c>
      <c r="I783">
        <v>15</v>
      </c>
      <c r="J783">
        <v>16</v>
      </c>
      <c r="K783">
        <v>1</v>
      </c>
      <c r="L783">
        <v>100839</v>
      </c>
      <c r="M783" t="str">
        <f t="shared" si="110"/>
        <v>13</v>
      </c>
      <c r="N783" t="s">
        <v>3323</v>
      </c>
      <c r="O783" t="str">
        <f t="shared" si="112"/>
        <v>53411</v>
      </c>
      <c r="P783" t="str">
        <f>"2100L"</f>
        <v>2100L</v>
      </c>
      <c r="Q783" t="str">
        <f t="shared" si="111"/>
        <v>0101</v>
      </c>
      <c r="R783">
        <v>2100</v>
      </c>
      <c r="S783" t="str">
        <f t="shared" si="113"/>
        <v>5340</v>
      </c>
      <c r="T783" t="s">
        <v>3447</v>
      </c>
      <c r="U783" t="s">
        <v>118</v>
      </c>
    </row>
    <row r="784" spans="1:21" ht="15" customHeight="1" x14ac:dyDescent="0.3">
      <c r="A784" t="s">
        <v>179</v>
      </c>
      <c r="B784" t="str">
        <f>"00057460"</f>
        <v>00057460</v>
      </c>
      <c r="C784" t="s">
        <v>4260</v>
      </c>
      <c r="D784" t="s">
        <v>616</v>
      </c>
      <c r="E784" t="str">
        <f>"00045092"</f>
        <v>00045092</v>
      </c>
      <c r="F784">
        <v>0</v>
      </c>
      <c r="G784" s="243">
        <v>39179</v>
      </c>
      <c r="H784" t="s">
        <v>182</v>
      </c>
      <c r="I784">
        <v>15</v>
      </c>
      <c r="J784">
        <v>13</v>
      </c>
      <c r="K784">
        <v>1</v>
      </c>
      <c r="L784">
        <v>101066</v>
      </c>
      <c r="M784" t="str">
        <f t="shared" si="110"/>
        <v>13</v>
      </c>
      <c r="N784" t="s">
        <v>3323</v>
      </c>
      <c r="O784" t="str">
        <f t="shared" si="112"/>
        <v>53411</v>
      </c>
      <c r="P784" t="str">
        <f>"3030L"</f>
        <v>3030L</v>
      </c>
      <c r="Q784" t="str">
        <f t="shared" si="111"/>
        <v>0101</v>
      </c>
      <c r="R784">
        <v>3030</v>
      </c>
      <c r="S784" t="str">
        <f t="shared" si="113"/>
        <v>5340</v>
      </c>
      <c r="T784" t="s">
        <v>3447</v>
      </c>
      <c r="U784" t="s">
        <v>118</v>
      </c>
    </row>
    <row r="785" spans="1:21" ht="15" customHeight="1" x14ac:dyDescent="0.3">
      <c r="A785" t="s">
        <v>179</v>
      </c>
      <c r="B785" t="str">
        <f>"00058475"</f>
        <v>00058475</v>
      </c>
      <c r="C785" t="s">
        <v>4274</v>
      </c>
      <c r="D785" t="s">
        <v>4547</v>
      </c>
      <c r="E785" t="str">
        <f>"00043190"</f>
        <v>00043190</v>
      </c>
      <c r="F785">
        <v>1</v>
      </c>
      <c r="G785" s="243">
        <v>40042</v>
      </c>
      <c r="H785" t="s">
        <v>182</v>
      </c>
      <c r="I785">
        <v>4</v>
      </c>
      <c r="J785">
        <v>5</v>
      </c>
      <c r="K785">
        <v>0.875</v>
      </c>
      <c r="L785">
        <v>25239.37</v>
      </c>
      <c r="M785" t="str">
        <f t="shared" si="110"/>
        <v>13</v>
      </c>
      <c r="N785" t="s">
        <v>3323</v>
      </c>
      <c r="O785" t="str">
        <f t="shared" si="112"/>
        <v>53411</v>
      </c>
      <c r="P785" t="str">
        <f>"2300L"</f>
        <v>2300L</v>
      </c>
      <c r="Q785" t="str">
        <f t="shared" si="111"/>
        <v>0101</v>
      </c>
      <c r="R785">
        <v>2300</v>
      </c>
      <c r="S785" t="str">
        <f t="shared" si="113"/>
        <v>5340</v>
      </c>
      <c r="T785" t="s">
        <v>3447</v>
      </c>
      <c r="U785" t="s">
        <v>118</v>
      </c>
    </row>
    <row r="786" spans="1:21" ht="15" customHeight="1" x14ac:dyDescent="0.3">
      <c r="A786" t="s">
        <v>179</v>
      </c>
      <c r="B786" t="str">
        <f>"00058624"</f>
        <v>00058624</v>
      </c>
      <c r="C786" t="s">
        <v>4255</v>
      </c>
      <c r="D786" t="s">
        <v>988</v>
      </c>
      <c r="E786" t="str">
        <f>"00044502"</f>
        <v>00044502</v>
      </c>
      <c r="F786">
        <v>0</v>
      </c>
      <c r="G786" s="243">
        <v>32462</v>
      </c>
      <c r="H786" t="s">
        <v>182</v>
      </c>
      <c r="I786">
        <v>15</v>
      </c>
      <c r="J786">
        <v>16</v>
      </c>
      <c r="K786">
        <v>1</v>
      </c>
      <c r="L786">
        <v>103347</v>
      </c>
      <c r="M786" t="str">
        <f t="shared" si="110"/>
        <v>13</v>
      </c>
      <c r="N786" t="s">
        <v>3323</v>
      </c>
      <c r="O786" t="str">
        <f t="shared" si="112"/>
        <v>53411</v>
      </c>
      <c r="P786" t="str">
        <f>"2100L"</f>
        <v>2100L</v>
      </c>
      <c r="Q786" t="str">
        <f t="shared" si="111"/>
        <v>0101</v>
      </c>
      <c r="R786">
        <v>2100</v>
      </c>
      <c r="S786" t="str">
        <f t="shared" si="113"/>
        <v>5340</v>
      </c>
      <c r="T786" t="s">
        <v>3447</v>
      </c>
      <c r="U786" t="s">
        <v>118</v>
      </c>
    </row>
    <row r="787" spans="1:21" ht="15" customHeight="1" x14ac:dyDescent="0.3">
      <c r="A787" t="s">
        <v>179</v>
      </c>
      <c r="B787" t="str">
        <f>"00059339"</f>
        <v>00059339</v>
      </c>
      <c r="C787" t="s">
        <v>4262</v>
      </c>
      <c r="D787" t="s">
        <v>3450</v>
      </c>
      <c r="E787" t="str">
        <f>"00065670"</f>
        <v>00065670</v>
      </c>
      <c r="F787">
        <v>0</v>
      </c>
      <c r="G787" s="243">
        <v>40755</v>
      </c>
      <c r="H787" t="s">
        <v>182</v>
      </c>
      <c r="I787">
        <v>15</v>
      </c>
      <c r="J787">
        <v>11</v>
      </c>
      <c r="K787">
        <v>1</v>
      </c>
      <c r="L787">
        <v>81335</v>
      </c>
      <c r="M787" t="str">
        <f t="shared" si="110"/>
        <v>13</v>
      </c>
      <c r="N787" t="s">
        <v>3323</v>
      </c>
      <c r="O787" t="str">
        <f t="shared" si="112"/>
        <v>53411</v>
      </c>
      <c r="P787" t="str">
        <f>"2100L"</f>
        <v>2100L</v>
      </c>
      <c r="Q787" t="str">
        <f t="shared" si="111"/>
        <v>0101</v>
      </c>
      <c r="R787">
        <v>2100</v>
      </c>
      <c r="S787" t="str">
        <f t="shared" si="113"/>
        <v>5340</v>
      </c>
      <c r="T787" t="s">
        <v>3447</v>
      </c>
      <c r="U787" t="s">
        <v>118</v>
      </c>
    </row>
    <row r="788" spans="1:21" ht="15" customHeight="1" x14ac:dyDescent="0.3">
      <c r="A788" t="s">
        <v>179</v>
      </c>
      <c r="B788" t="str">
        <f>"00059809"</f>
        <v>00059809</v>
      </c>
      <c r="C788" t="s">
        <v>4262</v>
      </c>
      <c r="D788" t="s">
        <v>989</v>
      </c>
      <c r="E788" t="str">
        <f>"00047155"</f>
        <v>00047155</v>
      </c>
      <c r="F788">
        <v>0</v>
      </c>
      <c r="G788" s="243">
        <v>38226</v>
      </c>
      <c r="H788" t="s">
        <v>182</v>
      </c>
      <c r="I788">
        <v>15</v>
      </c>
      <c r="J788">
        <v>9</v>
      </c>
      <c r="K788">
        <v>1</v>
      </c>
      <c r="L788">
        <v>75232</v>
      </c>
      <c r="M788" t="str">
        <f t="shared" si="110"/>
        <v>13</v>
      </c>
      <c r="N788" t="s">
        <v>3323</v>
      </c>
      <c r="O788" t="str">
        <f t="shared" si="112"/>
        <v>53411</v>
      </c>
      <c r="P788" t="str">
        <f>"2100L"</f>
        <v>2100L</v>
      </c>
      <c r="Q788" t="str">
        <f t="shared" si="111"/>
        <v>0101</v>
      </c>
      <c r="R788">
        <v>2100</v>
      </c>
      <c r="S788" t="str">
        <f t="shared" si="113"/>
        <v>5340</v>
      </c>
      <c r="T788" t="s">
        <v>3447</v>
      </c>
      <c r="U788" t="s">
        <v>118</v>
      </c>
    </row>
    <row r="789" spans="1:21" ht="15" customHeight="1" x14ac:dyDescent="0.3">
      <c r="A789" t="s">
        <v>179</v>
      </c>
      <c r="B789" t="str">
        <f>"00060905"</f>
        <v>00060905</v>
      </c>
      <c r="C789" t="s">
        <v>4266</v>
      </c>
      <c r="D789" t="s">
        <v>990</v>
      </c>
      <c r="E789" t="str">
        <f>"00049916"</f>
        <v>00049916</v>
      </c>
      <c r="F789">
        <v>0</v>
      </c>
      <c r="G789" s="243">
        <v>39314</v>
      </c>
      <c r="H789" t="s">
        <v>182</v>
      </c>
      <c r="I789">
        <v>15</v>
      </c>
      <c r="J789">
        <v>9</v>
      </c>
      <c r="K789">
        <v>1</v>
      </c>
      <c r="L789">
        <v>75232</v>
      </c>
      <c r="M789" t="str">
        <f t="shared" si="110"/>
        <v>13</v>
      </c>
      <c r="N789" t="s">
        <v>3323</v>
      </c>
      <c r="O789" t="str">
        <f t="shared" si="112"/>
        <v>53411</v>
      </c>
      <c r="P789" t="str">
        <f>"2300L"</f>
        <v>2300L</v>
      </c>
      <c r="Q789" t="str">
        <f t="shared" si="111"/>
        <v>0101</v>
      </c>
      <c r="R789">
        <v>2300</v>
      </c>
      <c r="S789" t="str">
        <f t="shared" si="113"/>
        <v>5340</v>
      </c>
      <c r="T789" t="s">
        <v>3447</v>
      </c>
      <c r="U789" t="s">
        <v>118</v>
      </c>
    </row>
    <row r="790" spans="1:21" ht="15" customHeight="1" x14ac:dyDescent="0.3">
      <c r="A790" t="s">
        <v>179</v>
      </c>
      <c r="B790" t="str">
        <f>"00060955"</f>
        <v>00060955</v>
      </c>
      <c r="C790" t="s">
        <v>4262</v>
      </c>
      <c r="D790" t="s">
        <v>991</v>
      </c>
      <c r="E790" t="str">
        <f>"00062816"</f>
        <v>00062816</v>
      </c>
      <c r="F790">
        <v>0</v>
      </c>
      <c r="G790" s="243">
        <v>40406</v>
      </c>
      <c r="H790" t="s">
        <v>182</v>
      </c>
      <c r="I790">
        <v>15</v>
      </c>
      <c r="J790">
        <v>3</v>
      </c>
      <c r="K790">
        <v>1</v>
      </c>
      <c r="L790">
        <v>52777</v>
      </c>
      <c r="M790" t="str">
        <f t="shared" si="110"/>
        <v>13</v>
      </c>
      <c r="N790" t="s">
        <v>3323</v>
      </c>
      <c r="O790" t="str">
        <f t="shared" si="112"/>
        <v>53411</v>
      </c>
      <c r="P790" t="str">
        <f>"2100L"</f>
        <v>2100L</v>
      </c>
      <c r="Q790" t="str">
        <f t="shared" si="111"/>
        <v>0101</v>
      </c>
      <c r="R790">
        <v>2100</v>
      </c>
      <c r="S790" t="str">
        <f t="shared" si="113"/>
        <v>5340</v>
      </c>
      <c r="T790" t="s">
        <v>3447</v>
      </c>
      <c r="U790" t="s">
        <v>118</v>
      </c>
    </row>
    <row r="791" spans="1:21" ht="15" customHeight="1" x14ac:dyDescent="0.3">
      <c r="A791" t="s">
        <v>179</v>
      </c>
      <c r="B791" t="str">
        <f>"00061487"</f>
        <v>00061487</v>
      </c>
      <c r="C791" t="s">
        <v>4272</v>
      </c>
      <c r="D791" t="s">
        <v>3448</v>
      </c>
      <c r="E791" t="str">
        <f>"00066020"</f>
        <v>00066020</v>
      </c>
      <c r="F791">
        <v>0</v>
      </c>
      <c r="G791" s="243">
        <v>40755</v>
      </c>
      <c r="H791" t="s">
        <v>182</v>
      </c>
      <c r="I791">
        <v>15</v>
      </c>
      <c r="J791">
        <v>2</v>
      </c>
      <c r="K791">
        <v>1</v>
      </c>
      <c r="L791">
        <v>56242</v>
      </c>
      <c r="M791" t="str">
        <f t="shared" si="110"/>
        <v>13</v>
      </c>
      <c r="N791" t="s">
        <v>3323</v>
      </c>
      <c r="O791" t="str">
        <f t="shared" si="112"/>
        <v>53411</v>
      </c>
      <c r="P791" t="str">
        <f>"2100L"</f>
        <v>2100L</v>
      </c>
      <c r="Q791" t="str">
        <f t="shared" si="111"/>
        <v>0101</v>
      </c>
      <c r="R791">
        <v>2100</v>
      </c>
      <c r="S791" t="str">
        <f t="shared" si="113"/>
        <v>5340</v>
      </c>
      <c r="T791" t="s">
        <v>3447</v>
      </c>
      <c r="U791" t="s">
        <v>118</v>
      </c>
    </row>
    <row r="792" spans="1:21" ht="15" customHeight="1" x14ac:dyDescent="0.3">
      <c r="A792" t="s">
        <v>179</v>
      </c>
      <c r="B792" t="str">
        <f>"00061491"</f>
        <v>00061491</v>
      </c>
      <c r="C792" t="s">
        <v>4262</v>
      </c>
      <c r="D792" t="s">
        <v>4548</v>
      </c>
      <c r="E792" t="str">
        <f>"00046807"</f>
        <v>00046807</v>
      </c>
      <c r="F792">
        <v>0</v>
      </c>
      <c r="G792" s="243">
        <v>39324</v>
      </c>
      <c r="H792" t="s">
        <v>182</v>
      </c>
      <c r="I792">
        <v>15</v>
      </c>
      <c r="J792">
        <v>10</v>
      </c>
      <c r="K792">
        <v>1</v>
      </c>
      <c r="L792">
        <v>78273</v>
      </c>
      <c r="M792" t="str">
        <f t="shared" si="110"/>
        <v>13</v>
      </c>
      <c r="N792" t="s">
        <v>3323</v>
      </c>
      <c r="O792" t="str">
        <f t="shared" ref="O792:O813" si="114">"53411"</f>
        <v>53411</v>
      </c>
      <c r="P792" t="str">
        <f>"2100L"</f>
        <v>2100L</v>
      </c>
      <c r="Q792" t="str">
        <f t="shared" si="111"/>
        <v>0101</v>
      </c>
      <c r="R792">
        <v>2100</v>
      </c>
      <c r="S792" t="str">
        <f t="shared" ref="S792:S813" si="115">"5340"</f>
        <v>5340</v>
      </c>
      <c r="T792" t="s">
        <v>3447</v>
      </c>
      <c r="U792" t="s">
        <v>118</v>
      </c>
    </row>
    <row r="793" spans="1:21" ht="15" customHeight="1" x14ac:dyDescent="0.3">
      <c r="A793" t="s">
        <v>179</v>
      </c>
      <c r="B793" t="str">
        <f>"00062535"</f>
        <v>00062535</v>
      </c>
      <c r="C793" t="s">
        <v>4274</v>
      </c>
      <c r="D793" t="s">
        <v>4549</v>
      </c>
      <c r="E793" t="str">
        <f>"00070071"</f>
        <v>00070071</v>
      </c>
      <c r="F793">
        <v>0</v>
      </c>
      <c r="G793" s="243">
        <v>41133</v>
      </c>
      <c r="H793" t="s">
        <v>182</v>
      </c>
      <c r="I793">
        <v>4</v>
      </c>
      <c r="J793">
        <v>5</v>
      </c>
      <c r="K793">
        <v>0.875</v>
      </c>
      <c r="L793">
        <v>25239.37</v>
      </c>
      <c r="M793" t="str">
        <f t="shared" si="110"/>
        <v>13</v>
      </c>
      <c r="N793" t="s">
        <v>3370</v>
      </c>
      <c r="O793" t="str">
        <f t="shared" si="114"/>
        <v>53411</v>
      </c>
      <c r="P793" t="str">
        <f>"2300L"</f>
        <v>2300L</v>
      </c>
      <c r="Q793" t="str">
        <f t="shared" si="111"/>
        <v>0101</v>
      </c>
      <c r="R793">
        <v>2300</v>
      </c>
      <c r="S793" t="str">
        <f t="shared" si="115"/>
        <v>5340</v>
      </c>
      <c r="T793" t="s">
        <v>3447</v>
      </c>
      <c r="U793" t="s">
        <v>118</v>
      </c>
    </row>
    <row r="794" spans="1:21" ht="15" customHeight="1" x14ac:dyDescent="0.3">
      <c r="A794" t="s">
        <v>179</v>
      </c>
      <c r="B794" t="str">
        <f>"00062981"</f>
        <v>00062981</v>
      </c>
      <c r="C794" t="s">
        <v>4262</v>
      </c>
      <c r="D794" t="s">
        <v>3451</v>
      </c>
      <c r="E794" t="str">
        <f>"00066455"</f>
        <v>00066455</v>
      </c>
      <c r="F794">
        <v>0</v>
      </c>
      <c r="G794" s="243">
        <v>40755</v>
      </c>
      <c r="H794" t="s">
        <v>182</v>
      </c>
      <c r="I794">
        <v>15</v>
      </c>
      <c r="J794">
        <v>4</v>
      </c>
      <c r="K794">
        <v>1</v>
      </c>
      <c r="L794">
        <v>61158</v>
      </c>
      <c r="M794" t="str">
        <f t="shared" si="110"/>
        <v>13</v>
      </c>
      <c r="N794" t="s">
        <v>3323</v>
      </c>
      <c r="O794" t="str">
        <f t="shared" si="114"/>
        <v>53411</v>
      </c>
      <c r="P794" t="str">
        <f>"2100L"</f>
        <v>2100L</v>
      </c>
      <c r="Q794" t="str">
        <f t="shared" si="111"/>
        <v>0101</v>
      </c>
      <c r="R794">
        <v>2100</v>
      </c>
      <c r="S794" t="str">
        <f t="shared" si="115"/>
        <v>5340</v>
      </c>
      <c r="T794" t="s">
        <v>3447</v>
      </c>
      <c r="U794" t="s">
        <v>118</v>
      </c>
    </row>
    <row r="795" spans="1:21" ht="15" customHeight="1" x14ac:dyDescent="0.3">
      <c r="A795" t="s">
        <v>179</v>
      </c>
      <c r="B795" t="str">
        <f>"00065711"</f>
        <v>00065711</v>
      </c>
      <c r="C795" t="s">
        <v>4274</v>
      </c>
      <c r="D795" t="s">
        <v>4550</v>
      </c>
      <c r="E795" t="str">
        <f>"00038956"</f>
        <v>00038956</v>
      </c>
      <c r="F795">
        <v>0</v>
      </c>
      <c r="G795" s="243">
        <v>40042</v>
      </c>
      <c r="H795" t="s">
        <v>182</v>
      </c>
      <c r="I795">
        <v>4</v>
      </c>
      <c r="J795">
        <v>6</v>
      </c>
      <c r="K795">
        <v>1</v>
      </c>
      <c r="L795">
        <v>25935.88</v>
      </c>
      <c r="M795" t="str">
        <f t="shared" si="110"/>
        <v>13</v>
      </c>
      <c r="N795" t="s">
        <v>3323</v>
      </c>
      <c r="O795" t="str">
        <f t="shared" si="114"/>
        <v>53411</v>
      </c>
      <c r="P795" t="str">
        <f>"2300L"</f>
        <v>2300L</v>
      </c>
      <c r="Q795" t="str">
        <f t="shared" si="111"/>
        <v>0101</v>
      </c>
      <c r="R795">
        <v>2300</v>
      </c>
      <c r="S795" t="str">
        <f t="shared" si="115"/>
        <v>5340</v>
      </c>
      <c r="T795" t="s">
        <v>3447</v>
      </c>
      <c r="U795" t="s">
        <v>118</v>
      </c>
    </row>
    <row r="796" spans="1:21" ht="15" customHeight="1" x14ac:dyDescent="0.3">
      <c r="A796" t="s">
        <v>179</v>
      </c>
      <c r="B796" t="str">
        <f>"00065718"</f>
        <v>00065718</v>
      </c>
      <c r="C796" t="s">
        <v>4274</v>
      </c>
      <c r="D796" t="s">
        <v>4551</v>
      </c>
      <c r="E796" t="str">
        <f>"00056894"</f>
        <v>00056894</v>
      </c>
      <c r="F796">
        <v>0</v>
      </c>
      <c r="G796" s="243">
        <v>40042</v>
      </c>
      <c r="H796" t="s">
        <v>182</v>
      </c>
      <c r="I796">
        <v>4</v>
      </c>
      <c r="J796">
        <v>6</v>
      </c>
      <c r="K796">
        <v>1</v>
      </c>
      <c r="L796">
        <v>25935.88</v>
      </c>
      <c r="M796" t="str">
        <f t="shared" si="110"/>
        <v>13</v>
      </c>
      <c r="N796" t="s">
        <v>3323</v>
      </c>
      <c r="O796" t="str">
        <f t="shared" si="114"/>
        <v>53411</v>
      </c>
      <c r="P796" t="str">
        <f>"2300L"</f>
        <v>2300L</v>
      </c>
      <c r="Q796" t="str">
        <f t="shared" si="111"/>
        <v>0101</v>
      </c>
      <c r="R796">
        <v>2300</v>
      </c>
      <c r="S796" t="str">
        <f t="shared" si="115"/>
        <v>5340</v>
      </c>
      <c r="T796" t="s">
        <v>3447</v>
      </c>
      <c r="U796" t="s">
        <v>118</v>
      </c>
    </row>
    <row r="797" spans="1:21" ht="15" customHeight="1" x14ac:dyDescent="0.3">
      <c r="A797" t="s">
        <v>179</v>
      </c>
      <c r="B797" t="str">
        <f>"00066516"</f>
        <v>00066516</v>
      </c>
      <c r="C797" t="s">
        <v>4272</v>
      </c>
      <c r="D797" t="s">
        <v>992</v>
      </c>
      <c r="E797" t="str">
        <f>"00050094"</f>
        <v>00050094</v>
      </c>
      <c r="F797">
        <v>0</v>
      </c>
      <c r="G797" s="243">
        <v>40042</v>
      </c>
      <c r="H797" t="s">
        <v>182</v>
      </c>
      <c r="I797">
        <v>15</v>
      </c>
      <c r="J797">
        <v>4</v>
      </c>
      <c r="K797">
        <v>1</v>
      </c>
      <c r="L797">
        <v>54725</v>
      </c>
      <c r="M797" t="str">
        <f t="shared" si="110"/>
        <v>13</v>
      </c>
      <c r="N797" t="s">
        <v>3323</v>
      </c>
      <c r="O797" t="str">
        <f t="shared" si="114"/>
        <v>53411</v>
      </c>
      <c r="P797" t="str">
        <f>"2100L"</f>
        <v>2100L</v>
      </c>
      <c r="Q797" t="str">
        <f t="shared" si="111"/>
        <v>0101</v>
      </c>
      <c r="R797">
        <v>2100</v>
      </c>
      <c r="S797" t="str">
        <f t="shared" si="115"/>
        <v>5340</v>
      </c>
      <c r="T797" t="s">
        <v>3447</v>
      </c>
      <c r="U797" t="s">
        <v>118</v>
      </c>
    </row>
    <row r="798" spans="1:21" ht="15" customHeight="1" x14ac:dyDescent="0.3">
      <c r="A798" t="s">
        <v>179</v>
      </c>
      <c r="B798" t="str">
        <f>"00066517"</f>
        <v>00066517</v>
      </c>
      <c r="C798" t="s">
        <v>4262</v>
      </c>
      <c r="D798" t="s">
        <v>2608</v>
      </c>
      <c r="E798" t="str">
        <f>"00045977"</f>
        <v>00045977</v>
      </c>
      <c r="F798">
        <v>0</v>
      </c>
      <c r="G798" s="243">
        <v>41133</v>
      </c>
      <c r="H798" t="s">
        <v>182</v>
      </c>
      <c r="I798">
        <v>15</v>
      </c>
      <c r="J798">
        <v>5</v>
      </c>
      <c r="K798">
        <v>1</v>
      </c>
      <c r="L798">
        <v>63611</v>
      </c>
      <c r="M798" t="str">
        <f t="shared" si="110"/>
        <v>13</v>
      </c>
      <c r="N798" t="s">
        <v>3370</v>
      </c>
      <c r="O798" t="str">
        <f t="shared" si="114"/>
        <v>53411</v>
      </c>
      <c r="P798" t="str">
        <f>"2100L"</f>
        <v>2100L</v>
      </c>
      <c r="Q798" t="str">
        <f t="shared" si="111"/>
        <v>0101</v>
      </c>
      <c r="R798">
        <v>2100</v>
      </c>
      <c r="S798" t="str">
        <f t="shared" si="115"/>
        <v>5340</v>
      </c>
      <c r="T798" t="s">
        <v>3447</v>
      </c>
      <c r="U798" t="s">
        <v>118</v>
      </c>
    </row>
    <row r="799" spans="1:21" ht="15" customHeight="1" x14ac:dyDescent="0.3">
      <c r="A799" t="s">
        <v>179</v>
      </c>
      <c r="B799" t="str">
        <f>"00066518"</f>
        <v>00066518</v>
      </c>
      <c r="C799" t="s">
        <v>4263</v>
      </c>
      <c r="D799" t="s">
        <v>993</v>
      </c>
      <c r="E799" t="str">
        <f>"00062378"</f>
        <v>00062378</v>
      </c>
      <c r="F799">
        <v>0</v>
      </c>
      <c r="G799" s="243">
        <v>40406</v>
      </c>
      <c r="H799" t="s">
        <v>182</v>
      </c>
      <c r="I799">
        <v>15</v>
      </c>
      <c r="J799">
        <v>12</v>
      </c>
      <c r="K799">
        <v>1</v>
      </c>
      <c r="L799">
        <v>87431</v>
      </c>
      <c r="M799" t="str">
        <f t="shared" si="110"/>
        <v>13</v>
      </c>
      <c r="N799" t="s">
        <v>3323</v>
      </c>
      <c r="O799" t="str">
        <f t="shared" si="114"/>
        <v>53411</v>
      </c>
      <c r="P799" t="str">
        <f>"2100L"</f>
        <v>2100L</v>
      </c>
      <c r="Q799" t="str">
        <f t="shared" si="111"/>
        <v>0101</v>
      </c>
      <c r="R799">
        <v>2100</v>
      </c>
      <c r="S799" t="str">
        <f t="shared" si="115"/>
        <v>5340</v>
      </c>
      <c r="T799" t="s">
        <v>3447</v>
      </c>
      <c r="U799" t="s">
        <v>118</v>
      </c>
    </row>
    <row r="800" spans="1:21" ht="15" customHeight="1" x14ac:dyDescent="0.3">
      <c r="A800" t="s">
        <v>179</v>
      </c>
      <c r="B800" t="str">
        <f>"00066520"</f>
        <v>00066520</v>
      </c>
      <c r="C800" t="s">
        <v>4260</v>
      </c>
      <c r="D800" t="s">
        <v>4552</v>
      </c>
      <c r="E800" t="str">
        <f>"00069519"</f>
        <v>00069519</v>
      </c>
      <c r="F800">
        <v>0</v>
      </c>
      <c r="G800" s="243">
        <v>41133</v>
      </c>
      <c r="H800" t="s">
        <v>182</v>
      </c>
      <c r="I800">
        <v>15</v>
      </c>
      <c r="J800">
        <v>6</v>
      </c>
      <c r="K800">
        <v>1</v>
      </c>
      <c r="L800">
        <v>68537</v>
      </c>
      <c r="M800" t="str">
        <f t="shared" si="110"/>
        <v>13</v>
      </c>
      <c r="N800" t="s">
        <v>3370</v>
      </c>
      <c r="O800" t="str">
        <f t="shared" si="114"/>
        <v>53411</v>
      </c>
      <c r="P800" t="str">
        <f>"3030L"</f>
        <v>3030L</v>
      </c>
      <c r="Q800" t="str">
        <f t="shared" si="111"/>
        <v>0101</v>
      </c>
      <c r="R800">
        <v>3030</v>
      </c>
      <c r="S800" t="str">
        <f t="shared" si="115"/>
        <v>5340</v>
      </c>
      <c r="T800" t="s">
        <v>3447</v>
      </c>
      <c r="U800" t="s">
        <v>118</v>
      </c>
    </row>
    <row r="801" spans="1:21" ht="15" customHeight="1" x14ac:dyDescent="0.3">
      <c r="A801" t="s">
        <v>179</v>
      </c>
      <c r="B801" t="str">
        <f>"00067482"</f>
        <v>00067482</v>
      </c>
      <c r="C801" t="s">
        <v>4272</v>
      </c>
      <c r="D801" t="s">
        <v>3456</v>
      </c>
      <c r="E801" t="str">
        <f>"00065681"</f>
        <v>00065681</v>
      </c>
      <c r="F801">
        <v>0</v>
      </c>
      <c r="G801" s="243">
        <v>40755</v>
      </c>
      <c r="H801" t="s">
        <v>182</v>
      </c>
      <c r="I801">
        <v>15</v>
      </c>
      <c r="J801">
        <v>11</v>
      </c>
      <c r="K801">
        <v>1</v>
      </c>
      <c r="L801">
        <v>81335</v>
      </c>
      <c r="M801" t="str">
        <f t="shared" si="110"/>
        <v>13</v>
      </c>
      <c r="N801" t="s">
        <v>3370</v>
      </c>
      <c r="O801" t="str">
        <f t="shared" si="114"/>
        <v>53411</v>
      </c>
      <c r="P801" t="str">
        <f>"2200L"</f>
        <v>2200L</v>
      </c>
      <c r="Q801" t="str">
        <f t="shared" si="111"/>
        <v>0101</v>
      </c>
      <c r="R801">
        <v>2200</v>
      </c>
      <c r="S801" t="str">
        <f t="shared" si="115"/>
        <v>5340</v>
      </c>
      <c r="T801" t="s">
        <v>3447</v>
      </c>
      <c r="U801" t="s">
        <v>118</v>
      </c>
    </row>
    <row r="802" spans="1:21" ht="15" customHeight="1" x14ac:dyDescent="0.3">
      <c r="A802" t="s">
        <v>179</v>
      </c>
      <c r="B802" t="str">
        <f>"00067643"</f>
        <v>00067643</v>
      </c>
      <c r="C802" t="s">
        <v>4262</v>
      </c>
      <c r="D802" t="s">
        <v>994</v>
      </c>
      <c r="E802" t="str">
        <f>"00057504"</f>
        <v>00057504</v>
      </c>
      <c r="F802">
        <v>0</v>
      </c>
      <c r="G802" s="243">
        <v>40042</v>
      </c>
      <c r="H802" t="s">
        <v>182</v>
      </c>
      <c r="I802">
        <v>15</v>
      </c>
      <c r="J802">
        <v>4</v>
      </c>
      <c r="K802">
        <v>1</v>
      </c>
      <c r="L802">
        <v>61158</v>
      </c>
      <c r="M802" t="str">
        <f t="shared" si="110"/>
        <v>13</v>
      </c>
      <c r="N802" t="s">
        <v>3323</v>
      </c>
      <c r="O802" t="str">
        <f t="shared" si="114"/>
        <v>53411</v>
      </c>
      <c r="P802" t="str">
        <f>"2100L"</f>
        <v>2100L</v>
      </c>
      <c r="Q802" t="str">
        <f t="shared" si="111"/>
        <v>0101</v>
      </c>
      <c r="R802">
        <v>2100</v>
      </c>
      <c r="S802" t="str">
        <f t="shared" si="115"/>
        <v>5340</v>
      </c>
      <c r="T802" t="s">
        <v>3447</v>
      </c>
      <c r="U802" t="s">
        <v>118</v>
      </c>
    </row>
    <row r="803" spans="1:21" ht="15" customHeight="1" x14ac:dyDescent="0.3">
      <c r="A803" t="s">
        <v>179</v>
      </c>
      <c r="B803" t="str">
        <f>"00071425"</f>
        <v>00071425</v>
      </c>
      <c r="C803" t="s">
        <v>4387</v>
      </c>
      <c r="D803" t="s">
        <v>995</v>
      </c>
      <c r="E803" t="str">
        <f>"00059934"</f>
        <v>00059934</v>
      </c>
      <c r="F803">
        <v>0</v>
      </c>
      <c r="G803" s="243">
        <v>40140</v>
      </c>
      <c r="H803" t="s">
        <v>182</v>
      </c>
      <c r="I803">
        <v>10</v>
      </c>
      <c r="J803">
        <v>4</v>
      </c>
      <c r="K803">
        <v>1</v>
      </c>
      <c r="L803">
        <v>69119</v>
      </c>
      <c r="M803" t="str">
        <f t="shared" si="110"/>
        <v>13</v>
      </c>
      <c r="N803" t="s">
        <v>3370</v>
      </c>
      <c r="O803" t="str">
        <f t="shared" si="114"/>
        <v>53411</v>
      </c>
      <c r="P803" t="str">
        <f>"2100L"</f>
        <v>2100L</v>
      </c>
      <c r="Q803" t="str">
        <f t="shared" si="111"/>
        <v>0101</v>
      </c>
      <c r="R803">
        <v>2100</v>
      </c>
      <c r="S803" t="str">
        <f t="shared" si="115"/>
        <v>5340</v>
      </c>
      <c r="T803" t="s">
        <v>3447</v>
      </c>
      <c r="U803" t="s">
        <v>118</v>
      </c>
    </row>
    <row r="804" spans="1:21" ht="15" customHeight="1" x14ac:dyDescent="0.3">
      <c r="A804" t="s">
        <v>179</v>
      </c>
      <c r="B804" t="str">
        <f>"00073030"</f>
        <v>00073030</v>
      </c>
      <c r="C804" t="s">
        <v>4260</v>
      </c>
      <c r="D804" t="s">
        <v>996</v>
      </c>
      <c r="E804" t="str">
        <f>"00062741"</f>
        <v>00062741</v>
      </c>
      <c r="F804">
        <v>0</v>
      </c>
      <c r="G804" s="243">
        <v>40406</v>
      </c>
      <c r="H804" t="s">
        <v>182</v>
      </c>
      <c r="I804">
        <v>15</v>
      </c>
      <c r="J804">
        <v>6</v>
      </c>
      <c r="K804">
        <v>1</v>
      </c>
      <c r="L804">
        <v>66078</v>
      </c>
      <c r="M804" t="str">
        <f t="shared" si="110"/>
        <v>13</v>
      </c>
      <c r="N804" t="s">
        <v>3323</v>
      </c>
      <c r="O804" t="str">
        <f t="shared" si="114"/>
        <v>53411</v>
      </c>
      <c r="P804" t="str">
        <f>"3030L"</f>
        <v>3030L</v>
      </c>
      <c r="Q804" t="str">
        <f t="shared" si="111"/>
        <v>0101</v>
      </c>
      <c r="R804">
        <v>3030</v>
      </c>
      <c r="S804" t="str">
        <f t="shared" si="115"/>
        <v>5340</v>
      </c>
      <c r="T804" t="s">
        <v>3447</v>
      </c>
      <c r="U804" t="s">
        <v>118</v>
      </c>
    </row>
    <row r="805" spans="1:21" ht="15" customHeight="1" x14ac:dyDescent="0.3">
      <c r="A805" t="s">
        <v>179</v>
      </c>
      <c r="B805" t="str">
        <f>"00073063"</f>
        <v>00073063</v>
      </c>
      <c r="C805" t="s">
        <v>4274</v>
      </c>
      <c r="D805" t="s">
        <v>4553</v>
      </c>
      <c r="E805" t="str">
        <f>"00066536"</f>
        <v>00066536</v>
      </c>
      <c r="F805">
        <v>0</v>
      </c>
      <c r="G805" s="243">
        <v>40770</v>
      </c>
      <c r="H805" t="s">
        <v>182</v>
      </c>
      <c r="I805">
        <v>4</v>
      </c>
      <c r="J805">
        <v>1</v>
      </c>
      <c r="K805">
        <v>1</v>
      </c>
      <c r="L805">
        <v>22454.25</v>
      </c>
      <c r="M805" t="str">
        <f t="shared" si="110"/>
        <v>13</v>
      </c>
      <c r="N805" t="s">
        <v>3323</v>
      </c>
      <c r="O805" t="str">
        <f t="shared" si="114"/>
        <v>53411</v>
      </c>
      <c r="P805" t="str">
        <f>"2200L"</f>
        <v>2200L</v>
      </c>
      <c r="Q805" t="str">
        <f t="shared" si="111"/>
        <v>0101</v>
      </c>
      <c r="R805">
        <v>2200</v>
      </c>
      <c r="S805" t="str">
        <f t="shared" si="115"/>
        <v>5340</v>
      </c>
      <c r="T805" t="s">
        <v>3447</v>
      </c>
      <c r="U805" t="s">
        <v>118</v>
      </c>
    </row>
    <row r="806" spans="1:21" ht="15" customHeight="1" x14ac:dyDescent="0.3">
      <c r="A806" t="s">
        <v>179</v>
      </c>
      <c r="B806" t="str">
        <f>"00074187"</f>
        <v>00074187</v>
      </c>
      <c r="C806" t="s">
        <v>4290</v>
      </c>
      <c r="D806" t="s">
        <v>4554</v>
      </c>
      <c r="E806" t="str">
        <f>"00056462"</f>
        <v>00056462</v>
      </c>
      <c r="F806">
        <v>0</v>
      </c>
      <c r="G806" s="243">
        <v>40042</v>
      </c>
      <c r="H806" t="s">
        <v>182</v>
      </c>
      <c r="I806">
        <v>4</v>
      </c>
      <c r="J806">
        <v>10</v>
      </c>
      <c r="K806">
        <v>0.71</v>
      </c>
      <c r="L806">
        <v>28721</v>
      </c>
      <c r="M806" t="str">
        <f t="shared" si="110"/>
        <v>13</v>
      </c>
      <c r="N806" t="s">
        <v>3323</v>
      </c>
      <c r="O806" t="str">
        <f t="shared" si="114"/>
        <v>53411</v>
      </c>
      <c r="P806" t="str">
        <f>"3030L"</f>
        <v>3030L</v>
      </c>
      <c r="Q806" t="str">
        <f t="shared" si="111"/>
        <v>0101</v>
      </c>
      <c r="R806">
        <v>3030</v>
      </c>
      <c r="S806" t="str">
        <f t="shared" si="115"/>
        <v>5340</v>
      </c>
      <c r="T806" t="s">
        <v>3447</v>
      </c>
      <c r="U806" t="s">
        <v>118</v>
      </c>
    </row>
    <row r="807" spans="1:21" ht="15" customHeight="1" x14ac:dyDescent="0.3">
      <c r="A807" t="s">
        <v>179</v>
      </c>
      <c r="B807" t="str">
        <f>"00074188"</f>
        <v>00074188</v>
      </c>
      <c r="C807" t="s">
        <v>4290</v>
      </c>
      <c r="D807" t="s">
        <v>4555</v>
      </c>
      <c r="E807" t="str">
        <f>"00069810"</f>
        <v>00069810</v>
      </c>
      <c r="F807">
        <v>0</v>
      </c>
      <c r="G807" s="243">
        <v>41133</v>
      </c>
      <c r="H807" t="s">
        <v>182</v>
      </c>
      <c r="I807">
        <v>4</v>
      </c>
      <c r="J807">
        <v>2</v>
      </c>
      <c r="K807">
        <v>0.71</v>
      </c>
      <c r="L807">
        <v>23151.63</v>
      </c>
      <c r="M807" t="str">
        <f t="shared" si="110"/>
        <v>13</v>
      </c>
      <c r="N807" t="s">
        <v>3370</v>
      </c>
      <c r="O807" t="str">
        <f t="shared" si="114"/>
        <v>53411</v>
      </c>
      <c r="P807" t="str">
        <f>"3030L"</f>
        <v>3030L</v>
      </c>
      <c r="Q807" t="str">
        <f t="shared" si="111"/>
        <v>0101</v>
      </c>
      <c r="R807">
        <v>3030</v>
      </c>
      <c r="S807" t="str">
        <f t="shared" si="115"/>
        <v>5340</v>
      </c>
      <c r="T807" t="s">
        <v>3447</v>
      </c>
      <c r="U807" t="s">
        <v>118</v>
      </c>
    </row>
    <row r="808" spans="1:21" ht="15" customHeight="1" x14ac:dyDescent="0.3">
      <c r="A808" t="s">
        <v>179</v>
      </c>
      <c r="B808" t="str">
        <f>"00074537"</f>
        <v>00074537</v>
      </c>
      <c r="C808" t="s">
        <v>4266</v>
      </c>
      <c r="H808" t="s">
        <v>170</v>
      </c>
      <c r="I808">
        <v>15</v>
      </c>
      <c r="J808">
        <v>1</v>
      </c>
      <c r="K808">
        <v>1</v>
      </c>
      <c r="L808">
        <v>54975</v>
      </c>
      <c r="M808" t="str">
        <f t="shared" si="110"/>
        <v>13</v>
      </c>
      <c r="N808" t="s">
        <v>3323</v>
      </c>
      <c r="O808" t="str">
        <f t="shared" si="114"/>
        <v>53411</v>
      </c>
      <c r="P808" t="str">
        <f>"2100L"</f>
        <v>2100L</v>
      </c>
      <c r="Q808" t="str">
        <f t="shared" si="111"/>
        <v>0101</v>
      </c>
      <c r="R808">
        <v>2100</v>
      </c>
      <c r="S808" t="str">
        <f t="shared" si="115"/>
        <v>5340</v>
      </c>
      <c r="T808" t="s">
        <v>3447</v>
      </c>
      <c r="U808" t="s">
        <v>118</v>
      </c>
    </row>
    <row r="809" spans="1:21" ht="15" customHeight="1" x14ac:dyDescent="0.3">
      <c r="A809" t="s">
        <v>179</v>
      </c>
      <c r="B809" t="str">
        <f>"00074544"</f>
        <v>00074544</v>
      </c>
      <c r="C809" t="s">
        <v>3670</v>
      </c>
      <c r="D809" t="s">
        <v>2805</v>
      </c>
      <c r="E809" t="str">
        <f>"00053408"</f>
        <v>00053408</v>
      </c>
      <c r="F809">
        <v>0</v>
      </c>
      <c r="G809" s="243">
        <v>33484</v>
      </c>
      <c r="H809" t="s">
        <v>182</v>
      </c>
      <c r="I809">
        <v>8</v>
      </c>
      <c r="J809">
        <v>6</v>
      </c>
      <c r="K809">
        <v>1</v>
      </c>
      <c r="L809">
        <v>94825</v>
      </c>
      <c r="M809" t="str">
        <f t="shared" si="110"/>
        <v>13</v>
      </c>
      <c r="N809" t="s">
        <v>3323</v>
      </c>
      <c r="O809" t="str">
        <f t="shared" si="114"/>
        <v>53411</v>
      </c>
      <c r="P809" t="str">
        <f>"1501L"</f>
        <v>1501L</v>
      </c>
      <c r="Q809" t="str">
        <f t="shared" si="111"/>
        <v>0101</v>
      </c>
      <c r="R809">
        <v>1501</v>
      </c>
      <c r="S809" t="str">
        <f t="shared" si="115"/>
        <v>5340</v>
      </c>
      <c r="T809" t="s">
        <v>3447</v>
      </c>
      <c r="U809" t="s">
        <v>118</v>
      </c>
    </row>
    <row r="810" spans="1:21" ht="15" customHeight="1" x14ac:dyDescent="0.3">
      <c r="A810" t="s">
        <v>179</v>
      </c>
      <c r="B810" t="str">
        <f>"00074545"</f>
        <v>00074545</v>
      </c>
      <c r="C810" t="s">
        <v>4253</v>
      </c>
      <c r="D810" t="s">
        <v>3452</v>
      </c>
      <c r="E810" t="str">
        <f>"00065669"</f>
        <v>00065669</v>
      </c>
      <c r="F810">
        <v>0</v>
      </c>
      <c r="G810" s="243">
        <v>40755</v>
      </c>
      <c r="H810" t="s">
        <v>182</v>
      </c>
      <c r="I810">
        <v>15</v>
      </c>
      <c r="J810">
        <v>11</v>
      </c>
      <c r="K810">
        <v>1</v>
      </c>
      <c r="L810">
        <v>73325</v>
      </c>
      <c r="M810" t="str">
        <f t="shared" si="110"/>
        <v>13</v>
      </c>
      <c r="N810" t="s">
        <v>3323</v>
      </c>
      <c r="O810" t="str">
        <f t="shared" si="114"/>
        <v>53411</v>
      </c>
      <c r="P810" t="str">
        <f>"2100L"</f>
        <v>2100L</v>
      </c>
      <c r="Q810" t="str">
        <f t="shared" si="111"/>
        <v>0101</v>
      </c>
      <c r="R810">
        <v>2100</v>
      </c>
      <c r="S810" t="str">
        <f t="shared" si="115"/>
        <v>5340</v>
      </c>
      <c r="T810" t="s">
        <v>3447</v>
      </c>
      <c r="U810" t="s">
        <v>118</v>
      </c>
    </row>
    <row r="811" spans="1:21" ht="15" customHeight="1" x14ac:dyDescent="0.3">
      <c r="A811" t="s">
        <v>179</v>
      </c>
      <c r="B811" t="str">
        <f>"00074732"</f>
        <v>00074732</v>
      </c>
      <c r="C811" t="s">
        <v>4253</v>
      </c>
      <c r="D811" t="s">
        <v>3453</v>
      </c>
      <c r="E811" t="str">
        <f>"00066210"</f>
        <v>00066210</v>
      </c>
      <c r="F811">
        <v>0</v>
      </c>
      <c r="G811" s="243">
        <v>40755</v>
      </c>
      <c r="H811" t="s">
        <v>182</v>
      </c>
      <c r="I811">
        <v>15</v>
      </c>
      <c r="J811">
        <v>2</v>
      </c>
      <c r="K811">
        <v>1</v>
      </c>
      <c r="L811">
        <v>51716</v>
      </c>
      <c r="M811" t="str">
        <f t="shared" si="110"/>
        <v>13</v>
      </c>
      <c r="N811" t="s">
        <v>3323</v>
      </c>
      <c r="O811" t="str">
        <f t="shared" si="114"/>
        <v>53411</v>
      </c>
      <c r="P811" t="str">
        <f>"2100L"</f>
        <v>2100L</v>
      </c>
      <c r="Q811" t="str">
        <f t="shared" si="111"/>
        <v>0101</v>
      </c>
      <c r="R811">
        <v>2100</v>
      </c>
      <c r="S811" t="str">
        <f t="shared" si="115"/>
        <v>5340</v>
      </c>
      <c r="T811" t="s">
        <v>3447</v>
      </c>
      <c r="U811" t="s">
        <v>118</v>
      </c>
    </row>
    <row r="812" spans="1:21" ht="15" customHeight="1" x14ac:dyDescent="0.3">
      <c r="A812" t="s">
        <v>179</v>
      </c>
      <c r="B812" t="str">
        <f>"00076040"</f>
        <v>00076040</v>
      </c>
      <c r="C812" t="s">
        <v>4270</v>
      </c>
      <c r="D812" t="s">
        <v>4556</v>
      </c>
      <c r="E812" t="str">
        <f>"00069529"</f>
        <v>00069529</v>
      </c>
      <c r="F812">
        <v>0</v>
      </c>
      <c r="G812" s="243">
        <v>41133</v>
      </c>
      <c r="H812" t="s">
        <v>182</v>
      </c>
      <c r="I812">
        <v>15</v>
      </c>
      <c r="J812">
        <v>1</v>
      </c>
      <c r="K812">
        <v>0.5</v>
      </c>
      <c r="L812">
        <v>51539</v>
      </c>
      <c r="M812" t="str">
        <f t="shared" si="110"/>
        <v>13</v>
      </c>
      <c r="N812" t="s">
        <v>3323</v>
      </c>
      <c r="O812" t="str">
        <f t="shared" si="114"/>
        <v>53411</v>
      </c>
      <c r="P812" t="str">
        <f>"2300L"</f>
        <v>2300L</v>
      </c>
      <c r="Q812" t="str">
        <f t="shared" si="111"/>
        <v>0101</v>
      </c>
      <c r="R812">
        <v>2300</v>
      </c>
      <c r="S812" t="str">
        <f t="shared" si="115"/>
        <v>5340</v>
      </c>
      <c r="T812" t="s">
        <v>3730</v>
      </c>
      <c r="U812" t="s">
        <v>130</v>
      </c>
    </row>
    <row r="813" spans="1:21" ht="15" customHeight="1" x14ac:dyDescent="0.3">
      <c r="A813" t="s">
        <v>179</v>
      </c>
      <c r="B813" t="str">
        <f>"00076041"</f>
        <v>00076041</v>
      </c>
      <c r="C813" t="s">
        <v>4271</v>
      </c>
      <c r="H813" t="s">
        <v>170</v>
      </c>
      <c r="I813">
        <v>15</v>
      </c>
      <c r="J813">
        <v>0</v>
      </c>
      <c r="K813">
        <v>0.5</v>
      </c>
      <c r="L813">
        <v>54975</v>
      </c>
      <c r="M813" t="str">
        <f t="shared" si="110"/>
        <v>13</v>
      </c>
      <c r="N813" t="s">
        <v>3323</v>
      </c>
      <c r="O813" t="str">
        <f t="shared" si="114"/>
        <v>53411</v>
      </c>
      <c r="P813" t="str">
        <f>"2100L"</f>
        <v>2100L</v>
      </c>
      <c r="Q813" t="str">
        <f t="shared" si="111"/>
        <v>0101</v>
      </c>
      <c r="R813">
        <v>2100</v>
      </c>
      <c r="S813" t="str">
        <f t="shared" si="115"/>
        <v>5340</v>
      </c>
      <c r="T813" t="s">
        <v>3447</v>
      </c>
      <c r="U813" t="s">
        <v>118</v>
      </c>
    </row>
    <row r="814" spans="1:21" ht="15" customHeight="1" x14ac:dyDescent="0.3">
      <c r="A814" t="s">
        <v>179</v>
      </c>
      <c r="B814" t="str">
        <f>"00051574"</f>
        <v>00051574</v>
      </c>
      <c r="C814" t="s">
        <v>4262</v>
      </c>
      <c r="D814" t="s">
        <v>4557</v>
      </c>
      <c r="E814" t="str">
        <f>"00069890"</f>
        <v>00069890</v>
      </c>
      <c r="F814">
        <v>0</v>
      </c>
      <c r="G814" s="243">
        <v>41133</v>
      </c>
      <c r="H814" t="s">
        <v>182</v>
      </c>
      <c r="I814">
        <v>15</v>
      </c>
      <c r="J814">
        <v>1</v>
      </c>
      <c r="K814">
        <v>1</v>
      </c>
      <c r="L814">
        <v>51539</v>
      </c>
      <c r="M814" t="str">
        <f t="shared" si="110"/>
        <v>13</v>
      </c>
      <c r="N814" t="s">
        <v>3370</v>
      </c>
      <c r="O814" t="str">
        <f t="shared" ref="O814:O843" si="116">"53511"</f>
        <v>53511</v>
      </c>
      <c r="P814" t="str">
        <f>"2100L"</f>
        <v>2100L</v>
      </c>
      <c r="Q814" t="str">
        <f t="shared" si="111"/>
        <v>0101</v>
      </c>
      <c r="R814">
        <v>2100</v>
      </c>
      <c r="S814" t="str">
        <f t="shared" ref="S814:S843" si="117">"5350"</f>
        <v>5350</v>
      </c>
      <c r="T814" t="s">
        <v>3457</v>
      </c>
      <c r="U814" t="s">
        <v>29</v>
      </c>
    </row>
    <row r="815" spans="1:21" ht="15" customHeight="1" x14ac:dyDescent="0.3">
      <c r="A815" t="s">
        <v>179</v>
      </c>
      <c r="B815" t="str">
        <f>"00051724"</f>
        <v>00051724</v>
      </c>
      <c r="C815" t="s">
        <v>4259</v>
      </c>
      <c r="D815" t="s">
        <v>4558</v>
      </c>
      <c r="E815" t="str">
        <f>"00044928"</f>
        <v>00044928</v>
      </c>
      <c r="F815">
        <v>0</v>
      </c>
      <c r="G815" s="243">
        <v>39839</v>
      </c>
      <c r="H815" t="s">
        <v>182</v>
      </c>
      <c r="I815">
        <v>15</v>
      </c>
      <c r="J815">
        <v>8</v>
      </c>
      <c r="K815">
        <v>1</v>
      </c>
      <c r="L815">
        <v>72171</v>
      </c>
      <c r="M815" t="str">
        <f t="shared" si="110"/>
        <v>13</v>
      </c>
      <c r="N815" t="s">
        <v>3323</v>
      </c>
      <c r="O815" t="str">
        <f t="shared" si="116"/>
        <v>53511</v>
      </c>
      <c r="P815" t="str">
        <f>"2100L"</f>
        <v>2100L</v>
      </c>
      <c r="Q815" t="str">
        <f t="shared" si="111"/>
        <v>0101</v>
      </c>
      <c r="R815">
        <v>2100</v>
      </c>
      <c r="S815" t="str">
        <f t="shared" si="117"/>
        <v>5350</v>
      </c>
      <c r="T815" t="s">
        <v>3457</v>
      </c>
      <c r="U815" t="s">
        <v>29</v>
      </c>
    </row>
    <row r="816" spans="1:21" ht="15" customHeight="1" x14ac:dyDescent="0.3">
      <c r="A816" t="s">
        <v>179</v>
      </c>
      <c r="B816" t="str">
        <f>"00051750"</f>
        <v>00051750</v>
      </c>
      <c r="C816" t="s">
        <v>4272</v>
      </c>
      <c r="D816" t="s">
        <v>1018</v>
      </c>
      <c r="E816" t="str">
        <f>"00033376"</f>
        <v>00033376</v>
      </c>
      <c r="F816">
        <v>1</v>
      </c>
      <c r="G816" s="243">
        <v>38951</v>
      </c>
      <c r="H816" t="s">
        <v>182</v>
      </c>
      <c r="I816">
        <v>15</v>
      </c>
      <c r="J816">
        <v>12</v>
      </c>
      <c r="K816">
        <v>1</v>
      </c>
      <c r="L816">
        <v>87431</v>
      </c>
      <c r="M816" t="str">
        <f t="shared" si="110"/>
        <v>13</v>
      </c>
      <c r="N816" t="s">
        <v>3323</v>
      </c>
      <c r="O816" t="str">
        <f t="shared" si="116"/>
        <v>53511</v>
      </c>
      <c r="P816" t="str">
        <f>"2200L"</f>
        <v>2200L</v>
      </c>
      <c r="Q816" t="str">
        <f t="shared" si="111"/>
        <v>0101</v>
      </c>
      <c r="R816">
        <v>2200</v>
      </c>
      <c r="S816" t="str">
        <f t="shared" si="117"/>
        <v>5350</v>
      </c>
      <c r="T816" t="s">
        <v>3457</v>
      </c>
      <c r="U816" t="s">
        <v>29</v>
      </c>
    </row>
    <row r="817" spans="1:21" ht="15" customHeight="1" x14ac:dyDescent="0.3">
      <c r="A817" t="s">
        <v>179</v>
      </c>
      <c r="B817" t="str">
        <f>"00051870"</f>
        <v>00051870</v>
      </c>
      <c r="C817" t="s">
        <v>4253</v>
      </c>
      <c r="D817" t="s">
        <v>3459</v>
      </c>
      <c r="E817" t="str">
        <f>"00065205"</f>
        <v>00065205</v>
      </c>
      <c r="F817">
        <v>0</v>
      </c>
      <c r="G817" s="243">
        <v>40705</v>
      </c>
      <c r="H817" t="s">
        <v>182</v>
      </c>
      <c r="I817">
        <v>15</v>
      </c>
      <c r="J817">
        <v>8</v>
      </c>
      <c r="K817">
        <v>1</v>
      </c>
      <c r="L817">
        <v>65957</v>
      </c>
      <c r="M817" t="str">
        <f t="shared" si="110"/>
        <v>13</v>
      </c>
      <c r="N817" t="s">
        <v>3323</v>
      </c>
      <c r="O817" t="str">
        <f t="shared" si="116"/>
        <v>53511</v>
      </c>
      <c r="P817" t="str">
        <f>"2100L"</f>
        <v>2100L</v>
      </c>
      <c r="Q817" t="str">
        <f t="shared" si="111"/>
        <v>0101</v>
      </c>
      <c r="R817">
        <v>2100</v>
      </c>
      <c r="S817" t="str">
        <f t="shared" si="117"/>
        <v>5350</v>
      </c>
      <c r="T817" t="s">
        <v>3457</v>
      </c>
      <c r="U817" t="s">
        <v>29</v>
      </c>
    </row>
    <row r="818" spans="1:21" ht="15" customHeight="1" x14ac:dyDescent="0.3">
      <c r="A818" t="s">
        <v>179</v>
      </c>
      <c r="B818" t="str">
        <f>"00052182"</f>
        <v>00052182</v>
      </c>
      <c r="C818" t="s">
        <v>4306</v>
      </c>
      <c r="D818" t="s">
        <v>4559</v>
      </c>
      <c r="E818" t="str">
        <f>"00047546"</f>
        <v>00047546</v>
      </c>
      <c r="F818">
        <v>0</v>
      </c>
      <c r="G818" s="243">
        <v>32171</v>
      </c>
      <c r="H818" t="s">
        <v>182</v>
      </c>
      <c r="I818">
        <v>9</v>
      </c>
      <c r="J818">
        <v>6</v>
      </c>
      <c r="K818">
        <v>1</v>
      </c>
      <c r="L818">
        <v>38478</v>
      </c>
      <c r="M818" t="str">
        <f t="shared" si="110"/>
        <v>13</v>
      </c>
      <c r="N818" t="s">
        <v>3323</v>
      </c>
      <c r="O818" t="str">
        <f t="shared" si="116"/>
        <v>53511</v>
      </c>
      <c r="P818" t="str">
        <f>"1502L"</f>
        <v>1502L</v>
      </c>
      <c r="Q818" t="str">
        <f t="shared" si="111"/>
        <v>0101</v>
      </c>
      <c r="R818">
        <v>1502</v>
      </c>
      <c r="S818" t="str">
        <f t="shared" si="117"/>
        <v>5350</v>
      </c>
      <c r="T818" t="s">
        <v>3457</v>
      </c>
      <c r="U818" t="s">
        <v>29</v>
      </c>
    </row>
    <row r="819" spans="1:21" ht="15" customHeight="1" x14ac:dyDescent="0.3">
      <c r="A819" t="s">
        <v>179</v>
      </c>
      <c r="B819" t="str">
        <f>"00052243"</f>
        <v>00052243</v>
      </c>
      <c r="C819" t="s">
        <v>4262</v>
      </c>
      <c r="H819" t="s">
        <v>170</v>
      </c>
      <c r="I819">
        <v>15</v>
      </c>
      <c r="J819">
        <v>1</v>
      </c>
      <c r="K819">
        <v>1</v>
      </c>
      <c r="L819">
        <v>54975</v>
      </c>
      <c r="M819" t="str">
        <f t="shared" si="110"/>
        <v>13</v>
      </c>
      <c r="N819" t="s">
        <v>3323</v>
      </c>
      <c r="O819" t="str">
        <f t="shared" si="116"/>
        <v>53511</v>
      </c>
      <c r="P819" t="str">
        <f>"2100L"</f>
        <v>2100L</v>
      </c>
      <c r="Q819" t="str">
        <f t="shared" si="111"/>
        <v>0101</v>
      </c>
      <c r="R819">
        <v>2100</v>
      </c>
      <c r="S819" t="str">
        <f t="shared" si="117"/>
        <v>5350</v>
      </c>
      <c r="T819" t="s">
        <v>3457</v>
      </c>
      <c r="U819" t="s">
        <v>29</v>
      </c>
    </row>
    <row r="820" spans="1:21" ht="15" customHeight="1" x14ac:dyDescent="0.3">
      <c r="A820" t="s">
        <v>179</v>
      </c>
      <c r="B820" t="str">
        <f>"00052856"</f>
        <v>00052856</v>
      </c>
      <c r="C820" t="s">
        <v>4257</v>
      </c>
      <c r="H820" t="s">
        <v>170</v>
      </c>
      <c r="I820">
        <v>15</v>
      </c>
      <c r="J820">
        <v>1</v>
      </c>
      <c r="K820">
        <v>1</v>
      </c>
      <c r="L820">
        <v>54975</v>
      </c>
      <c r="M820" t="str">
        <f t="shared" ref="M820:M874" si="118">"13"</f>
        <v>13</v>
      </c>
      <c r="N820" t="s">
        <v>3323</v>
      </c>
      <c r="O820" t="str">
        <f t="shared" si="116"/>
        <v>53511</v>
      </c>
      <c r="P820" t="str">
        <f>"2100L"</f>
        <v>2100L</v>
      </c>
      <c r="Q820" t="str">
        <f t="shared" ref="Q820:Q874" si="119">"0101"</f>
        <v>0101</v>
      </c>
      <c r="R820">
        <v>2100</v>
      </c>
      <c r="S820" t="str">
        <f t="shared" si="117"/>
        <v>5350</v>
      </c>
      <c r="T820" t="s">
        <v>3457</v>
      </c>
      <c r="U820" t="s">
        <v>29</v>
      </c>
    </row>
    <row r="821" spans="1:21" ht="15" customHeight="1" x14ac:dyDescent="0.3">
      <c r="A821" t="s">
        <v>179</v>
      </c>
      <c r="B821" t="str">
        <f>"00052887"</f>
        <v>00052887</v>
      </c>
      <c r="C821" t="s">
        <v>4260</v>
      </c>
      <c r="D821" t="s">
        <v>1020</v>
      </c>
      <c r="E821" t="str">
        <f>"00057592"</f>
        <v>00057592</v>
      </c>
      <c r="F821">
        <v>0</v>
      </c>
      <c r="G821" s="243">
        <v>40042</v>
      </c>
      <c r="H821" t="s">
        <v>182</v>
      </c>
      <c r="I821">
        <v>15</v>
      </c>
      <c r="J821">
        <v>9</v>
      </c>
      <c r="K821">
        <v>1</v>
      </c>
      <c r="L821">
        <v>75232</v>
      </c>
      <c r="M821" t="str">
        <f t="shared" si="118"/>
        <v>13</v>
      </c>
      <c r="N821" t="s">
        <v>3323</v>
      </c>
      <c r="O821" t="str">
        <f t="shared" si="116"/>
        <v>53511</v>
      </c>
      <c r="P821" t="str">
        <f>"2100L"</f>
        <v>2100L</v>
      </c>
      <c r="Q821" t="str">
        <f t="shared" si="119"/>
        <v>0101</v>
      </c>
      <c r="R821">
        <v>2100</v>
      </c>
      <c r="S821" t="str">
        <f t="shared" si="117"/>
        <v>5350</v>
      </c>
      <c r="T821" t="s">
        <v>3457</v>
      </c>
      <c r="U821" t="s">
        <v>29</v>
      </c>
    </row>
    <row r="822" spans="1:21" ht="15" customHeight="1" x14ac:dyDescent="0.3">
      <c r="A822" t="s">
        <v>179</v>
      </c>
      <c r="B822" t="str">
        <f>"00052955"</f>
        <v>00052955</v>
      </c>
      <c r="C822" t="s">
        <v>4272</v>
      </c>
      <c r="D822" t="s">
        <v>1021</v>
      </c>
      <c r="E822" t="str">
        <f>"00050383"</f>
        <v>00050383</v>
      </c>
      <c r="F822">
        <v>0</v>
      </c>
      <c r="G822" s="243">
        <v>34357</v>
      </c>
      <c r="H822" t="s">
        <v>182</v>
      </c>
      <c r="I822">
        <v>15</v>
      </c>
      <c r="J822">
        <v>15</v>
      </c>
      <c r="K822">
        <v>1</v>
      </c>
      <c r="L822">
        <v>98285</v>
      </c>
      <c r="M822" t="str">
        <f t="shared" si="118"/>
        <v>13</v>
      </c>
      <c r="N822" t="s">
        <v>3323</v>
      </c>
      <c r="O822" t="str">
        <f t="shared" si="116"/>
        <v>53511</v>
      </c>
      <c r="P822" t="str">
        <f>"2200L"</f>
        <v>2200L</v>
      </c>
      <c r="Q822" t="str">
        <f t="shared" si="119"/>
        <v>0101</v>
      </c>
      <c r="R822">
        <v>2200</v>
      </c>
      <c r="S822" t="str">
        <f t="shared" si="117"/>
        <v>5350</v>
      </c>
      <c r="T822" t="s">
        <v>3457</v>
      </c>
      <c r="U822" t="s">
        <v>29</v>
      </c>
    </row>
    <row r="823" spans="1:21" ht="15" customHeight="1" x14ac:dyDescent="0.3">
      <c r="A823" t="s">
        <v>179</v>
      </c>
      <c r="B823" t="str">
        <f>"00053641"</f>
        <v>00053641</v>
      </c>
      <c r="C823" t="s">
        <v>4274</v>
      </c>
      <c r="D823" t="s">
        <v>4560</v>
      </c>
      <c r="E823" t="str">
        <f>"00052011"</f>
        <v>00052011</v>
      </c>
      <c r="F823">
        <v>0</v>
      </c>
      <c r="G823" s="243">
        <v>35311</v>
      </c>
      <c r="H823" t="s">
        <v>182</v>
      </c>
      <c r="I823">
        <v>4</v>
      </c>
      <c r="J823">
        <v>10</v>
      </c>
      <c r="K823">
        <v>0.875</v>
      </c>
      <c r="L823">
        <v>28721</v>
      </c>
      <c r="M823" t="str">
        <f t="shared" si="118"/>
        <v>13</v>
      </c>
      <c r="N823" t="s">
        <v>3323</v>
      </c>
      <c r="O823" t="str">
        <f t="shared" si="116"/>
        <v>53511</v>
      </c>
      <c r="P823" t="str">
        <f>"2200L"</f>
        <v>2200L</v>
      </c>
      <c r="Q823" t="str">
        <f t="shared" si="119"/>
        <v>0101</v>
      </c>
      <c r="R823">
        <v>2200</v>
      </c>
      <c r="S823" t="str">
        <f t="shared" si="117"/>
        <v>5350</v>
      </c>
      <c r="T823" t="s">
        <v>3457</v>
      </c>
      <c r="U823" t="s">
        <v>29</v>
      </c>
    </row>
    <row r="824" spans="1:21" ht="15" customHeight="1" x14ac:dyDescent="0.3">
      <c r="A824" t="s">
        <v>179</v>
      </c>
      <c r="B824" t="str">
        <f>"00054030"</f>
        <v>00054030</v>
      </c>
      <c r="C824" t="s">
        <v>4257</v>
      </c>
      <c r="H824" t="s">
        <v>170</v>
      </c>
      <c r="I824">
        <v>15</v>
      </c>
      <c r="J824">
        <v>1</v>
      </c>
      <c r="K824">
        <v>1</v>
      </c>
      <c r="L824">
        <v>54975</v>
      </c>
      <c r="M824" t="str">
        <f t="shared" si="118"/>
        <v>13</v>
      </c>
      <c r="N824" t="s">
        <v>3323</v>
      </c>
      <c r="O824" t="str">
        <f t="shared" si="116"/>
        <v>53511</v>
      </c>
      <c r="P824" t="str">
        <f>"2100L"</f>
        <v>2100L</v>
      </c>
      <c r="Q824" t="str">
        <f t="shared" si="119"/>
        <v>0101</v>
      </c>
      <c r="R824">
        <v>2100</v>
      </c>
      <c r="S824" t="str">
        <f t="shared" si="117"/>
        <v>5350</v>
      </c>
      <c r="T824" t="s">
        <v>3457</v>
      </c>
      <c r="U824" t="s">
        <v>29</v>
      </c>
    </row>
    <row r="825" spans="1:21" ht="15" customHeight="1" x14ac:dyDescent="0.3">
      <c r="A825" t="s">
        <v>179</v>
      </c>
      <c r="B825" t="str">
        <f>"00054293"</f>
        <v>00054293</v>
      </c>
      <c r="C825" t="s">
        <v>4262</v>
      </c>
      <c r="H825" t="s">
        <v>170</v>
      </c>
      <c r="I825">
        <v>15</v>
      </c>
      <c r="J825">
        <v>1</v>
      </c>
      <c r="K825">
        <v>1</v>
      </c>
      <c r="L825">
        <v>56693</v>
      </c>
      <c r="M825" t="str">
        <f t="shared" si="118"/>
        <v>13</v>
      </c>
      <c r="N825" t="s">
        <v>3323</v>
      </c>
      <c r="O825" t="str">
        <f t="shared" si="116"/>
        <v>53511</v>
      </c>
      <c r="P825" t="str">
        <f>"2100L"</f>
        <v>2100L</v>
      </c>
      <c r="Q825" t="str">
        <f t="shared" si="119"/>
        <v>0101</v>
      </c>
      <c r="R825">
        <v>2100</v>
      </c>
      <c r="S825" t="str">
        <f t="shared" si="117"/>
        <v>5350</v>
      </c>
      <c r="T825" t="s">
        <v>3457</v>
      </c>
      <c r="U825" t="s">
        <v>29</v>
      </c>
    </row>
    <row r="826" spans="1:21" ht="15" customHeight="1" x14ac:dyDescent="0.3">
      <c r="A826" t="s">
        <v>179</v>
      </c>
      <c r="B826" t="str">
        <f>"00054475"</f>
        <v>00054475</v>
      </c>
      <c r="C826" t="s">
        <v>4262</v>
      </c>
      <c r="D826" t="s">
        <v>605</v>
      </c>
      <c r="E826" t="str">
        <f>"00062407"</f>
        <v>00062407</v>
      </c>
      <c r="F826">
        <v>0</v>
      </c>
      <c r="G826" s="243">
        <v>40406</v>
      </c>
      <c r="H826" t="s">
        <v>182</v>
      </c>
      <c r="I826">
        <v>15</v>
      </c>
      <c r="J826">
        <v>10</v>
      </c>
      <c r="K826">
        <v>1</v>
      </c>
      <c r="L826">
        <v>80729</v>
      </c>
      <c r="M826" t="str">
        <f t="shared" si="118"/>
        <v>13</v>
      </c>
      <c r="N826" t="s">
        <v>3370</v>
      </c>
      <c r="O826" t="str">
        <f t="shared" si="116"/>
        <v>53511</v>
      </c>
      <c r="P826" t="str">
        <f>"2100L"</f>
        <v>2100L</v>
      </c>
      <c r="Q826" t="str">
        <f t="shared" si="119"/>
        <v>0101</v>
      </c>
      <c r="R826">
        <v>2100</v>
      </c>
      <c r="S826" t="str">
        <f t="shared" si="117"/>
        <v>5350</v>
      </c>
      <c r="T826" t="s">
        <v>3457</v>
      </c>
      <c r="U826" t="s">
        <v>29</v>
      </c>
    </row>
    <row r="827" spans="1:21" ht="15" customHeight="1" x14ac:dyDescent="0.3">
      <c r="A827" t="s">
        <v>179</v>
      </c>
      <c r="B827" t="str">
        <f>"00054729"</f>
        <v>00054729</v>
      </c>
      <c r="C827" t="s">
        <v>4260</v>
      </c>
      <c r="D827" t="s">
        <v>1023</v>
      </c>
      <c r="E827" t="str">
        <f>"00025930"</f>
        <v>00025930</v>
      </c>
      <c r="F827">
        <v>1</v>
      </c>
      <c r="G827" s="243">
        <v>36046</v>
      </c>
      <c r="H827" t="s">
        <v>182</v>
      </c>
      <c r="I827">
        <v>15</v>
      </c>
      <c r="J827">
        <v>16</v>
      </c>
      <c r="K827">
        <v>1</v>
      </c>
      <c r="L827">
        <v>100839</v>
      </c>
      <c r="M827" t="str">
        <f t="shared" si="118"/>
        <v>13</v>
      </c>
      <c r="N827" t="s">
        <v>3323</v>
      </c>
      <c r="O827" t="str">
        <f t="shared" si="116"/>
        <v>53511</v>
      </c>
      <c r="P827" t="str">
        <f>"2100L"</f>
        <v>2100L</v>
      </c>
      <c r="Q827" t="str">
        <f t="shared" si="119"/>
        <v>0101</v>
      </c>
      <c r="R827">
        <v>2100</v>
      </c>
      <c r="S827" t="str">
        <f t="shared" si="117"/>
        <v>5350</v>
      </c>
      <c r="T827" t="s">
        <v>3457</v>
      </c>
      <c r="U827" t="s">
        <v>29</v>
      </c>
    </row>
    <row r="828" spans="1:21" ht="15" customHeight="1" x14ac:dyDescent="0.3">
      <c r="A828" t="s">
        <v>179</v>
      </c>
      <c r="B828" t="str">
        <f>"00054864"</f>
        <v>00054864</v>
      </c>
      <c r="C828" t="s">
        <v>4288</v>
      </c>
      <c r="D828" t="s">
        <v>4561</v>
      </c>
      <c r="E828" t="str">
        <f>"00054806"</f>
        <v>00054806</v>
      </c>
      <c r="F828">
        <v>0</v>
      </c>
      <c r="G828" s="243">
        <v>35362</v>
      </c>
      <c r="H828" t="s">
        <v>182</v>
      </c>
      <c r="I828">
        <v>4</v>
      </c>
      <c r="J828">
        <v>10</v>
      </c>
      <c r="K828">
        <v>0.875</v>
      </c>
      <c r="L828">
        <v>28721</v>
      </c>
      <c r="M828" t="str">
        <f t="shared" si="118"/>
        <v>13</v>
      </c>
      <c r="N828" t="s">
        <v>3323</v>
      </c>
      <c r="O828" t="str">
        <f t="shared" si="116"/>
        <v>53511</v>
      </c>
      <c r="P828" t="str">
        <f>"2200L"</f>
        <v>2200L</v>
      </c>
      <c r="Q828" t="str">
        <f t="shared" si="119"/>
        <v>0101</v>
      </c>
      <c r="R828">
        <v>2200</v>
      </c>
      <c r="S828" t="str">
        <f t="shared" si="117"/>
        <v>5350</v>
      </c>
      <c r="T828" t="s">
        <v>3457</v>
      </c>
      <c r="U828" t="s">
        <v>29</v>
      </c>
    </row>
    <row r="829" spans="1:21" ht="15" customHeight="1" x14ac:dyDescent="0.3">
      <c r="A829" t="s">
        <v>179</v>
      </c>
      <c r="B829" t="str">
        <f>"00055055"</f>
        <v>00055055</v>
      </c>
      <c r="C829" t="s">
        <v>200</v>
      </c>
      <c r="D829" t="s">
        <v>1024</v>
      </c>
      <c r="E829" t="str">
        <f>"00054669"</f>
        <v>00054669</v>
      </c>
      <c r="F829">
        <v>0</v>
      </c>
      <c r="G829" s="243">
        <v>36390</v>
      </c>
      <c r="H829" t="s">
        <v>182</v>
      </c>
      <c r="I829">
        <v>15</v>
      </c>
      <c r="J829">
        <v>15</v>
      </c>
      <c r="K829">
        <v>1</v>
      </c>
      <c r="L829">
        <v>98285</v>
      </c>
      <c r="M829" t="str">
        <f t="shared" si="118"/>
        <v>13</v>
      </c>
      <c r="N829" t="s">
        <v>3323</v>
      </c>
      <c r="O829" t="str">
        <f t="shared" si="116"/>
        <v>53511</v>
      </c>
      <c r="P829" t="str">
        <f>"3030L"</f>
        <v>3030L</v>
      </c>
      <c r="Q829" t="str">
        <f t="shared" si="119"/>
        <v>0101</v>
      </c>
      <c r="R829">
        <v>3030</v>
      </c>
      <c r="S829" t="str">
        <f t="shared" si="117"/>
        <v>5350</v>
      </c>
      <c r="T829" t="s">
        <v>3457</v>
      </c>
      <c r="U829" t="s">
        <v>29</v>
      </c>
    </row>
    <row r="830" spans="1:21" ht="15" customHeight="1" x14ac:dyDescent="0.3">
      <c r="A830" t="s">
        <v>179</v>
      </c>
      <c r="B830" t="str">
        <f>"00056574"</f>
        <v>00056574</v>
      </c>
      <c r="C830" t="s">
        <v>4274</v>
      </c>
      <c r="D830" t="s">
        <v>4562</v>
      </c>
      <c r="E830" t="str">
        <f>"00049066"</f>
        <v>00049066</v>
      </c>
      <c r="F830">
        <v>0</v>
      </c>
      <c r="G830" s="243">
        <v>36397</v>
      </c>
      <c r="H830" t="s">
        <v>182</v>
      </c>
      <c r="I830">
        <v>4</v>
      </c>
      <c r="J830">
        <v>9</v>
      </c>
      <c r="K830">
        <v>0.875</v>
      </c>
      <c r="L830">
        <v>28025.38</v>
      </c>
      <c r="M830" t="str">
        <f t="shared" si="118"/>
        <v>13</v>
      </c>
      <c r="N830" t="s">
        <v>3323</v>
      </c>
      <c r="O830" t="str">
        <f t="shared" si="116"/>
        <v>53511</v>
      </c>
      <c r="P830" t="str">
        <f>"3030L"</f>
        <v>3030L</v>
      </c>
      <c r="Q830" t="str">
        <f t="shared" si="119"/>
        <v>0101</v>
      </c>
      <c r="R830">
        <v>3030</v>
      </c>
      <c r="S830" t="str">
        <f t="shared" si="117"/>
        <v>5350</v>
      </c>
      <c r="T830" t="s">
        <v>3457</v>
      </c>
      <c r="U830" t="s">
        <v>29</v>
      </c>
    </row>
    <row r="831" spans="1:21" ht="15" customHeight="1" x14ac:dyDescent="0.3">
      <c r="A831" t="s">
        <v>179</v>
      </c>
      <c r="B831" t="str">
        <f>"00057463"</f>
        <v>00057463</v>
      </c>
      <c r="C831" t="s">
        <v>4410</v>
      </c>
      <c r="H831" t="s">
        <v>170</v>
      </c>
      <c r="I831">
        <v>5</v>
      </c>
      <c r="J831">
        <v>1</v>
      </c>
      <c r="K831">
        <v>1</v>
      </c>
      <c r="L831">
        <v>28486</v>
      </c>
      <c r="M831" t="str">
        <f t="shared" si="118"/>
        <v>13</v>
      </c>
      <c r="N831" t="s">
        <v>3323</v>
      </c>
      <c r="O831" t="str">
        <f t="shared" si="116"/>
        <v>53511</v>
      </c>
      <c r="P831" t="str">
        <f>"2100L"</f>
        <v>2100L</v>
      </c>
      <c r="Q831" t="str">
        <f t="shared" si="119"/>
        <v>0101</v>
      </c>
      <c r="R831">
        <v>2100</v>
      </c>
      <c r="S831" t="str">
        <f t="shared" si="117"/>
        <v>5350</v>
      </c>
      <c r="T831" t="s">
        <v>3457</v>
      </c>
      <c r="U831" t="s">
        <v>29</v>
      </c>
    </row>
    <row r="832" spans="1:21" ht="15" customHeight="1" x14ac:dyDescent="0.3">
      <c r="A832" t="s">
        <v>179</v>
      </c>
      <c r="B832" t="str">
        <f>"00057745"</f>
        <v>00057745</v>
      </c>
      <c r="C832" t="s">
        <v>4262</v>
      </c>
      <c r="D832" t="s">
        <v>1025</v>
      </c>
      <c r="E832" t="str">
        <f>"00053744"</f>
        <v>00053744</v>
      </c>
      <c r="F832">
        <v>0</v>
      </c>
      <c r="G832" s="243">
        <v>37132</v>
      </c>
      <c r="H832" t="s">
        <v>182</v>
      </c>
      <c r="I832">
        <v>15</v>
      </c>
      <c r="J832">
        <v>12</v>
      </c>
      <c r="K832">
        <v>1</v>
      </c>
      <c r="L832">
        <v>75816</v>
      </c>
      <c r="M832" t="str">
        <f t="shared" si="118"/>
        <v>13</v>
      </c>
      <c r="N832" t="s">
        <v>3323</v>
      </c>
      <c r="O832" t="str">
        <f t="shared" si="116"/>
        <v>53511</v>
      </c>
      <c r="P832" t="str">
        <f>"2100L"</f>
        <v>2100L</v>
      </c>
      <c r="Q832" t="str">
        <f t="shared" si="119"/>
        <v>0101</v>
      </c>
      <c r="R832">
        <v>2100</v>
      </c>
      <c r="S832" t="str">
        <f t="shared" si="117"/>
        <v>5350</v>
      </c>
      <c r="T832" t="s">
        <v>3457</v>
      </c>
      <c r="U832" t="s">
        <v>29</v>
      </c>
    </row>
    <row r="833" spans="1:21" ht="15" customHeight="1" x14ac:dyDescent="0.3">
      <c r="A833" t="s">
        <v>179</v>
      </c>
      <c r="B833" t="str">
        <f>"00057999"</f>
        <v>00057999</v>
      </c>
      <c r="C833" t="s">
        <v>4260</v>
      </c>
      <c r="D833" t="s">
        <v>1026</v>
      </c>
      <c r="E833" t="str">
        <f>"00051412"</f>
        <v>00051412</v>
      </c>
      <c r="F833">
        <v>0</v>
      </c>
      <c r="G833" s="243">
        <v>37124</v>
      </c>
      <c r="H833" t="s">
        <v>182</v>
      </c>
      <c r="I833">
        <v>15</v>
      </c>
      <c r="J833">
        <v>15</v>
      </c>
      <c r="K833">
        <v>1</v>
      </c>
      <c r="L833">
        <v>98285</v>
      </c>
      <c r="M833" t="str">
        <f t="shared" si="118"/>
        <v>13</v>
      </c>
      <c r="N833" t="s">
        <v>3323</v>
      </c>
      <c r="O833" t="str">
        <f t="shared" si="116"/>
        <v>53511</v>
      </c>
      <c r="P833" t="str">
        <f>"2100L"</f>
        <v>2100L</v>
      </c>
      <c r="Q833" t="str">
        <f t="shared" si="119"/>
        <v>0101</v>
      </c>
      <c r="R833">
        <v>2100</v>
      </c>
      <c r="S833" t="str">
        <f t="shared" si="117"/>
        <v>5350</v>
      </c>
      <c r="T833" t="s">
        <v>3457</v>
      </c>
      <c r="U833" t="s">
        <v>29</v>
      </c>
    </row>
    <row r="834" spans="1:21" ht="15" customHeight="1" x14ac:dyDescent="0.3">
      <c r="A834" t="s">
        <v>179</v>
      </c>
      <c r="B834" t="str">
        <f>"00058012"</f>
        <v>00058012</v>
      </c>
      <c r="C834" t="s">
        <v>3798</v>
      </c>
      <c r="D834" t="s">
        <v>4563</v>
      </c>
      <c r="E834" t="str">
        <f>"00057600"</f>
        <v>00057600</v>
      </c>
      <c r="F834">
        <v>0</v>
      </c>
      <c r="G834" s="243">
        <v>40042</v>
      </c>
      <c r="H834" t="s">
        <v>182</v>
      </c>
      <c r="I834">
        <v>62</v>
      </c>
      <c r="J834">
        <v>5</v>
      </c>
      <c r="K834">
        <v>1</v>
      </c>
      <c r="L834">
        <v>123000</v>
      </c>
      <c r="M834" t="str">
        <f t="shared" si="118"/>
        <v>13</v>
      </c>
      <c r="N834" t="s">
        <v>3323</v>
      </c>
      <c r="O834" t="str">
        <f t="shared" si="116"/>
        <v>53511</v>
      </c>
      <c r="P834" t="str">
        <f>"1501L"</f>
        <v>1501L</v>
      </c>
      <c r="Q834" t="str">
        <f t="shared" si="119"/>
        <v>0101</v>
      </c>
      <c r="R834">
        <v>1501</v>
      </c>
      <c r="S834" t="str">
        <f t="shared" si="117"/>
        <v>5350</v>
      </c>
      <c r="T834" t="s">
        <v>3457</v>
      </c>
      <c r="U834" t="s">
        <v>29</v>
      </c>
    </row>
    <row r="835" spans="1:21" ht="15" customHeight="1" x14ac:dyDescent="0.3">
      <c r="A835" t="s">
        <v>179</v>
      </c>
      <c r="B835" t="str">
        <f>"00058705"</f>
        <v>00058705</v>
      </c>
      <c r="C835" t="s">
        <v>4260</v>
      </c>
      <c r="D835" t="s">
        <v>1027</v>
      </c>
      <c r="E835" t="str">
        <f>"00046329"</f>
        <v>00046329</v>
      </c>
      <c r="F835">
        <v>0</v>
      </c>
      <c r="G835" s="243">
        <v>37326</v>
      </c>
      <c r="H835" t="s">
        <v>182</v>
      </c>
      <c r="I835">
        <v>15</v>
      </c>
      <c r="J835">
        <v>13</v>
      </c>
      <c r="K835">
        <v>1</v>
      </c>
      <c r="L835">
        <v>81724</v>
      </c>
      <c r="M835" t="str">
        <f t="shared" si="118"/>
        <v>13</v>
      </c>
      <c r="N835" t="s">
        <v>3323</v>
      </c>
      <c r="O835" t="str">
        <f t="shared" si="116"/>
        <v>53511</v>
      </c>
      <c r="P835" t="str">
        <f t="shared" ref="P835:P841" si="120">"2100L"</f>
        <v>2100L</v>
      </c>
      <c r="Q835" t="str">
        <f t="shared" si="119"/>
        <v>0101</v>
      </c>
      <c r="R835">
        <v>2100</v>
      </c>
      <c r="S835" t="str">
        <f t="shared" si="117"/>
        <v>5350</v>
      </c>
      <c r="T835" t="s">
        <v>3457</v>
      </c>
      <c r="U835" t="s">
        <v>29</v>
      </c>
    </row>
    <row r="836" spans="1:21" ht="15" customHeight="1" x14ac:dyDescent="0.3">
      <c r="A836" t="s">
        <v>179</v>
      </c>
      <c r="B836" t="str">
        <f>"00059402"</f>
        <v>00059402</v>
      </c>
      <c r="C836" t="s">
        <v>4253</v>
      </c>
      <c r="D836" t="s">
        <v>1029</v>
      </c>
      <c r="E836" t="str">
        <f>"00049970"</f>
        <v>00049970</v>
      </c>
      <c r="F836">
        <v>0</v>
      </c>
      <c r="G836" s="243">
        <v>36212</v>
      </c>
      <c r="H836" t="s">
        <v>182</v>
      </c>
      <c r="I836">
        <v>15</v>
      </c>
      <c r="J836">
        <v>16</v>
      </c>
      <c r="K836">
        <v>1</v>
      </c>
      <c r="L836">
        <v>100839</v>
      </c>
      <c r="M836" t="str">
        <f t="shared" si="118"/>
        <v>13</v>
      </c>
      <c r="N836" t="s">
        <v>3323</v>
      </c>
      <c r="O836" t="str">
        <f t="shared" si="116"/>
        <v>53511</v>
      </c>
      <c r="P836" t="str">
        <f t="shared" si="120"/>
        <v>2100L</v>
      </c>
      <c r="Q836" t="str">
        <f t="shared" si="119"/>
        <v>0101</v>
      </c>
      <c r="R836">
        <v>2100</v>
      </c>
      <c r="S836" t="str">
        <f t="shared" si="117"/>
        <v>5350</v>
      </c>
      <c r="T836" t="s">
        <v>3457</v>
      </c>
      <c r="U836" t="s">
        <v>29</v>
      </c>
    </row>
    <row r="837" spans="1:21" ht="15" customHeight="1" x14ac:dyDescent="0.3">
      <c r="A837" t="s">
        <v>179</v>
      </c>
      <c r="B837" t="str">
        <f>"00059429"</f>
        <v>00059429</v>
      </c>
      <c r="C837" t="s">
        <v>4262</v>
      </c>
      <c r="D837" t="s">
        <v>1030</v>
      </c>
      <c r="E837" t="str">
        <f>"00046727"</f>
        <v>00046727</v>
      </c>
      <c r="F837">
        <v>0</v>
      </c>
      <c r="G837" s="243">
        <v>36465</v>
      </c>
      <c r="H837" t="s">
        <v>182</v>
      </c>
      <c r="I837">
        <v>15</v>
      </c>
      <c r="J837">
        <v>12</v>
      </c>
      <c r="K837">
        <v>1</v>
      </c>
      <c r="L837">
        <v>89887</v>
      </c>
      <c r="M837" t="str">
        <f t="shared" si="118"/>
        <v>13</v>
      </c>
      <c r="N837" t="s">
        <v>3323</v>
      </c>
      <c r="O837" t="str">
        <f t="shared" si="116"/>
        <v>53511</v>
      </c>
      <c r="P837" t="str">
        <f t="shared" si="120"/>
        <v>2100L</v>
      </c>
      <c r="Q837" t="str">
        <f t="shared" si="119"/>
        <v>0101</v>
      </c>
      <c r="R837">
        <v>2100</v>
      </c>
      <c r="S837" t="str">
        <f t="shared" si="117"/>
        <v>5350</v>
      </c>
      <c r="T837" t="s">
        <v>3457</v>
      </c>
      <c r="U837" t="s">
        <v>29</v>
      </c>
    </row>
    <row r="838" spans="1:21" ht="15" customHeight="1" x14ac:dyDescent="0.3">
      <c r="A838" t="s">
        <v>179</v>
      </c>
      <c r="B838" t="str">
        <f>"00059555"</f>
        <v>00059555</v>
      </c>
      <c r="C838" t="s">
        <v>4272</v>
      </c>
      <c r="D838" t="s">
        <v>1031</v>
      </c>
      <c r="E838" t="str">
        <f>"00055271"</f>
        <v>00055271</v>
      </c>
      <c r="F838">
        <v>0</v>
      </c>
      <c r="G838" s="243">
        <v>37916</v>
      </c>
      <c r="H838" t="s">
        <v>182</v>
      </c>
      <c r="I838">
        <v>15</v>
      </c>
      <c r="J838">
        <v>13</v>
      </c>
      <c r="K838">
        <v>1</v>
      </c>
      <c r="L838">
        <v>86613</v>
      </c>
      <c r="M838" t="str">
        <f t="shared" si="118"/>
        <v>13</v>
      </c>
      <c r="N838" t="s">
        <v>3323</v>
      </c>
      <c r="O838" t="str">
        <f t="shared" si="116"/>
        <v>53511</v>
      </c>
      <c r="P838" t="str">
        <f t="shared" si="120"/>
        <v>2100L</v>
      </c>
      <c r="Q838" t="str">
        <f t="shared" si="119"/>
        <v>0101</v>
      </c>
      <c r="R838">
        <v>2100</v>
      </c>
      <c r="S838" t="str">
        <f t="shared" si="117"/>
        <v>5350</v>
      </c>
      <c r="T838" t="s">
        <v>3457</v>
      </c>
      <c r="U838" t="s">
        <v>29</v>
      </c>
    </row>
    <row r="839" spans="1:21" ht="15" customHeight="1" x14ac:dyDescent="0.3">
      <c r="A839" t="s">
        <v>179</v>
      </c>
      <c r="B839" t="str">
        <f>"00059800"</f>
        <v>00059800</v>
      </c>
      <c r="C839" t="s">
        <v>4262</v>
      </c>
      <c r="D839" t="s">
        <v>1032</v>
      </c>
      <c r="E839" t="str">
        <f>"00046620"</f>
        <v>00046620</v>
      </c>
      <c r="F839">
        <v>0</v>
      </c>
      <c r="G839" s="243">
        <v>37843</v>
      </c>
      <c r="H839" t="s">
        <v>182</v>
      </c>
      <c r="I839">
        <v>15</v>
      </c>
      <c r="J839">
        <v>14</v>
      </c>
      <c r="K839">
        <v>1</v>
      </c>
      <c r="L839">
        <v>96460</v>
      </c>
      <c r="M839" t="str">
        <f t="shared" si="118"/>
        <v>13</v>
      </c>
      <c r="N839" t="s">
        <v>3323</v>
      </c>
      <c r="O839" t="str">
        <f t="shared" si="116"/>
        <v>53511</v>
      </c>
      <c r="P839" t="str">
        <f t="shared" si="120"/>
        <v>2100L</v>
      </c>
      <c r="Q839" t="str">
        <f t="shared" si="119"/>
        <v>0101</v>
      </c>
      <c r="R839">
        <v>2100</v>
      </c>
      <c r="S839" t="str">
        <f t="shared" si="117"/>
        <v>5350</v>
      </c>
      <c r="T839" t="s">
        <v>3457</v>
      </c>
      <c r="U839" t="s">
        <v>29</v>
      </c>
    </row>
    <row r="840" spans="1:21" ht="15" customHeight="1" x14ac:dyDescent="0.3">
      <c r="A840" t="s">
        <v>179</v>
      </c>
      <c r="B840" t="str">
        <f>"00060729"</f>
        <v>00060729</v>
      </c>
      <c r="C840" t="s">
        <v>4253</v>
      </c>
      <c r="D840" t="s">
        <v>2308</v>
      </c>
      <c r="E840" t="str">
        <f>"00057006"</f>
        <v>00057006</v>
      </c>
      <c r="F840">
        <v>0</v>
      </c>
      <c r="G840" s="243">
        <v>40042</v>
      </c>
      <c r="H840" t="s">
        <v>182</v>
      </c>
      <c r="I840">
        <v>15</v>
      </c>
      <c r="J840">
        <v>11</v>
      </c>
      <c r="K840">
        <v>1</v>
      </c>
      <c r="L840">
        <v>81335</v>
      </c>
      <c r="M840" t="str">
        <f t="shared" si="118"/>
        <v>13</v>
      </c>
      <c r="N840" t="s">
        <v>3323</v>
      </c>
      <c r="O840" t="str">
        <f t="shared" si="116"/>
        <v>53511</v>
      </c>
      <c r="P840" t="str">
        <f t="shared" si="120"/>
        <v>2100L</v>
      </c>
      <c r="Q840" t="str">
        <f t="shared" si="119"/>
        <v>0101</v>
      </c>
      <c r="R840">
        <v>2100</v>
      </c>
      <c r="S840" t="str">
        <f t="shared" si="117"/>
        <v>5350</v>
      </c>
      <c r="T840" t="s">
        <v>3457</v>
      </c>
      <c r="U840" t="s">
        <v>29</v>
      </c>
    </row>
    <row r="841" spans="1:21" ht="15" customHeight="1" x14ac:dyDescent="0.3">
      <c r="A841" t="s">
        <v>179</v>
      </c>
      <c r="B841" t="str">
        <f>"00061253"</f>
        <v>00061253</v>
      </c>
      <c r="C841" t="s">
        <v>4258</v>
      </c>
      <c r="D841" t="s">
        <v>2307</v>
      </c>
      <c r="E841" t="str">
        <f>"00047510"</f>
        <v>00047510</v>
      </c>
      <c r="F841">
        <v>0</v>
      </c>
      <c r="G841" s="243">
        <v>39679</v>
      </c>
      <c r="H841" t="s">
        <v>182</v>
      </c>
      <c r="I841">
        <v>15</v>
      </c>
      <c r="J841">
        <v>7</v>
      </c>
      <c r="K841">
        <v>0.5</v>
      </c>
      <c r="L841">
        <v>34566</v>
      </c>
      <c r="M841" t="str">
        <f t="shared" si="118"/>
        <v>13</v>
      </c>
      <c r="N841" t="s">
        <v>3323</v>
      </c>
      <c r="O841" t="str">
        <f t="shared" si="116"/>
        <v>53511</v>
      </c>
      <c r="P841" t="str">
        <f t="shared" si="120"/>
        <v>2100L</v>
      </c>
      <c r="Q841" t="str">
        <f t="shared" si="119"/>
        <v>0101</v>
      </c>
      <c r="R841">
        <v>2100</v>
      </c>
      <c r="S841" t="str">
        <f t="shared" si="117"/>
        <v>5350</v>
      </c>
      <c r="T841" t="s">
        <v>3457</v>
      </c>
      <c r="U841" t="s">
        <v>29</v>
      </c>
    </row>
    <row r="842" spans="1:21" ht="15" customHeight="1" x14ac:dyDescent="0.3">
      <c r="A842" t="s">
        <v>179</v>
      </c>
      <c r="B842" t="str">
        <f>"00061832"</f>
        <v>00061832</v>
      </c>
      <c r="C842" t="s">
        <v>3670</v>
      </c>
      <c r="D842" t="s">
        <v>1037</v>
      </c>
      <c r="E842" t="str">
        <f>"00057250"</f>
        <v>00057250</v>
      </c>
      <c r="F842">
        <v>0</v>
      </c>
      <c r="G842" s="243">
        <v>41119</v>
      </c>
      <c r="H842" t="s">
        <v>182</v>
      </c>
      <c r="I842">
        <v>8</v>
      </c>
      <c r="J842">
        <v>1</v>
      </c>
      <c r="K842">
        <v>1</v>
      </c>
      <c r="L842">
        <v>83809</v>
      </c>
      <c r="M842" t="str">
        <f t="shared" si="118"/>
        <v>13</v>
      </c>
      <c r="N842" t="s">
        <v>3323</v>
      </c>
      <c r="O842" t="str">
        <f t="shared" si="116"/>
        <v>53511</v>
      </c>
      <c r="P842" t="str">
        <f>"1501L"</f>
        <v>1501L</v>
      </c>
      <c r="Q842" t="str">
        <f t="shared" si="119"/>
        <v>0101</v>
      </c>
      <c r="R842">
        <v>1501</v>
      </c>
      <c r="S842" t="str">
        <f t="shared" si="117"/>
        <v>5350</v>
      </c>
      <c r="T842" t="s">
        <v>3457</v>
      </c>
      <c r="U842" t="s">
        <v>29</v>
      </c>
    </row>
    <row r="843" spans="1:21" ht="15" customHeight="1" x14ac:dyDescent="0.3">
      <c r="A843" t="s">
        <v>179</v>
      </c>
      <c r="B843" t="str">
        <f>"00062237"</f>
        <v>00062237</v>
      </c>
      <c r="C843" t="s">
        <v>4256</v>
      </c>
      <c r="H843" t="s">
        <v>170</v>
      </c>
      <c r="I843">
        <v>15</v>
      </c>
      <c r="J843">
        <v>1</v>
      </c>
      <c r="K843">
        <v>0.5</v>
      </c>
      <c r="L843">
        <v>54975</v>
      </c>
      <c r="M843" t="str">
        <f t="shared" si="118"/>
        <v>13</v>
      </c>
      <c r="N843" t="s">
        <v>3323</v>
      </c>
      <c r="O843" t="str">
        <f t="shared" si="116"/>
        <v>53511</v>
      </c>
      <c r="P843" t="str">
        <f t="shared" ref="P843:P849" si="121">"2100L"</f>
        <v>2100L</v>
      </c>
      <c r="Q843" t="str">
        <f t="shared" si="119"/>
        <v>0101</v>
      </c>
      <c r="R843">
        <v>2100</v>
      </c>
      <c r="S843" t="str">
        <f t="shared" si="117"/>
        <v>5350</v>
      </c>
      <c r="T843" t="s">
        <v>3457</v>
      </c>
      <c r="U843" t="s">
        <v>29</v>
      </c>
    </row>
    <row r="844" spans="1:21" ht="15" customHeight="1" x14ac:dyDescent="0.3">
      <c r="A844" t="s">
        <v>179</v>
      </c>
      <c r="B844" t="str">
        <f>"00062947"</f>
        <v>00062947</v>
      </c>
      <c r="C844" t="s">
        <v>4260</v>
      </c>
      <c r="D844" t="s">
        <v>1035</v>
      </c>
      <c r="E844" t="str">
        <f>"00049872"</f>
        <v>00049872</v>
      </c>
      <c r="F844">
        <v>0</v>
      </c>
      <c r="G844" s="243">
        <v>32050</v>
      </c>
      <c r="H844" t="s">
        <v>182</v>
      </c>
      <c r="I844">
        <v>15</v>
      </c>
      <c r="J844">
        <v>16</v>
      </c>
      <c r="K844">
        <v>1</v>
      </c>
      <c r="L844">
        <v>106540</v>
      </c>
      <c r="M844" t="str">
        <f t="shared" si="118"/>
        <v>13</v>
      </c>
      <c r="N844" t="s">
        <v>3323</v>
      </c>
      <c r="O844" t="str">
        <f t="shared" ref="O844:O872" si="122">"53511"</f>
        <v>53511</v>
      </c>
      <c r="P844" t="str">
        <f t="shared" si="121"/>
        <v>2100L</v>
      </c>
      <c r="Q844" t="str">
        <f t="shared" si="119"/>
        <v>0101</v>
      </c>
      <c r="R844">
        <v>2100</v>
      </c>
      <c r="S844" t="str">
        <f t="shared" ref="S844:S872" si="123">"5350"</f>
        <v>5350</v>
      </c>
      <c r="T844" t="s">
        <v>3457</v>
      </c>
      <c r="U844" t="s">
        <v>29</v>
      </c>
    </row>
    <row r="845" spans="1:21" ht="15" customHeight="1" x14ac:dyDescent="0.3">
      <c r="A845" t="s">
        <v>179</v>
      </c>
      <c r="B845" t="str">
        <f>"00062979"</f>
        <v>00062979</v>
      </c>
      <c r="C845" t="s">
        <v>4253</v>
      </c>
      <c r="D845" t="s">
        <v>961</v>
      </c>
      <c r="E845" t="str">
        <f>"00057496"</f>
        <v>00057496</v>
      </c>
      <c r="F845">
        <v>0</v>
      </c>
      <c r="G845" s="243">
        <v>40042</v>
      </c>
      <c r="H845" t="s">
        <v>182</v>
      </c>
      <c r="I845">
        <v>15</v>
      </c>
      <c r="J845">
        <v>12</v>
      </c>
      <c r="K845">
        <v>1</v>
      </c>
      <c r="L845">
        <v>87431</v>
      </c>
      <c r="M845" t="str">
        <f t="shared" si="118"/>
        <v>13</v>
      </c>
      <c r="N845" t="s">
        <v>3323</v>
      </c>
      <c r="O845" t="str">
        <f t="shared" si="122"/>
        <v>53511</v>
      </c>
      <c r="P845" t="str">
        <f t="shared" si="121"/>
        <v>2100L</v>
      </c>
      <c r="Q845" t="str">
        <f t="shared" si="119"/>
        <v>0101</v>
      </c>
      <c r="R845">
        <v>2100</v>
      </c>
      <c r="S845" t="str">
        <f t="shared" si="123"/>
        <v>5350</v>
      </c>
      <c r="T845" t="s">
        <v>3457</v>
      </c>
      <c r="U845" t="s">
        <v>29</v>
      </c>
    </row>
    <row r="846" spans="1:21" ht="15" customHeight="1" x14ac:dyDescent="0.3">
      <c r="A846" t="s">
        <v>179</v>
      </c>
      <c r="B846" t="str">
        <f>"00065763"</f>
        <v>00065763</v>
      </c>
      <c r="C846" t="s">
        <v>4253</v>
      </c>
      <c r="D846" t="s">
        <v>4564</v>
      </c>
      <c r="E846" t="str">
        <f>"00065919"</f>
        <v>00065919</v>
      </c>
      <c r="F846">
        <v>0</v>
      </c>
      <c r="G846" s="243">
        <v>41133</v>
      </c>
      <c r="H846" t="s">
        <v>182</v>
      </c>
      <c r="I846">
        <v>15</v>
      </c>
      <c r="J846">
        <v>1</v>
      </c>
      <c r="K846">
        <v>1</v>
      </c>
      <c r="L846">
        <v>51539</v>
      </c>
      <c r="M846" t="str">
        <f t="shared" si="118"/>
        <v>13</v>
      </c>
      <c r="N846" t="s">
        <v>3323</v>
      </c>
      <c r="O846" t="str">
        <f t="shared" si="122"/>
        <v>53511</v>
      </c>
      <c r="P846" t="str">
        <f t="shared" si="121"/>
        <v>2100L</v>
      </c>
      <c r="Q846" t="str">
        <f t="shared" si="119"/>
        <v>0101</v>
      </c>
      <c r="R846">
        <v>2100</v>
      </c>
      <c r="S846" t="str">
        <f t="shared" si="123"/>
        <v>5350</v>
      </c>
      <c r="T846" t="s">
        <v>3457</v>
      </c>
      <c r="U846" t="s">
        <v>29</v>
      </c>
    </row>
    <row r="847" spans="1:21" ht="15" customHeight="1" x14ac:dyDescent="0.3">
      <c r="A847" t="s">
        <v>179</v>
      </c>
      <c r="B847" t="str">
        <f>"00065764"</f>
        <v>00065764</v>
      </c>
      <c r="C847" t="s">
        <v>4253</v>
      </c>
      <c r="D847" t="s">
        <v>3460</v>
      </c>
      <c r="E847" t="str">
        <f>"00063357"</f>
        <v>00063357</v>
      </c>
      <c r="F847">
        <v>0</v>
      </c>
      <c r="G847" s="243">
        <v>40755</v>
      </c>
      <c r="H847" t="s">
        <v>182</v>
      </c>
      <c r="I847">
        <v>15</v>
      </c>
      <c r="J847">
        <v>3</v>
      </c>
      <c r="K847">
        <v>1</v>
      </c>
      <c r="L847">
        <v>52777</v>
      </c>
      <c r="M847" t="str">
        <f t="shared" si="118"/>
        <v>13</v>
      </c>
      <c r="N847" t="s">
        <v>3323</v>
      </c>
      <c r="O847" t="str">
        <f t="shared" si="122"/>
        <v>53511</v>
      </c>
      <c r="P847" t="str">
        <f t="shared" si="121"/>
        <v>2100L</v>
      </c>
      <c r="Q847" t="str">
        <f t="shared" si="119"/>
        <v>0101</v>
      </c>
      <c r="R847">
        <v>2100</v>
      </c>
      <c r="S847" t="str">
        <f t="shared" si="123"/>
        <v>5350</v>
      </c>
      <c r="T847" t="s">
        <v>3457</v>
      </c>
      <c r="U847" t="s">
        <v>29</v>
      </c>
    </row>
    <row r="848" spans="1:21" ht="15" customHeight="1" x14ac:dyDescent="0.3">
      <c r="A848" t="s">
        <v>179</v>
      </c>
      <c r="B848" t="str">
        <f>"00065766"</f>
        <v>00065766</v>
      </c>
      <c r="C848" t="s">
        <v>4260</v>
      </c>
      <c r="H848" t="s">
        <v>170</v>
      </c>
      <c r="I848">
        <v>15</v>
      </c>
      <c r="J848">
        <v>1</v>
      </c>
      <c r="K848">
        <v>1</v>
      </c>
      <c r="L848">
        <v>54975</v>
      </c>
      <c r="M848" t="str">
        <f t="shared" si="118"/>
        <v>13</v>
      </c>
      <c r="N848" t="s">
        <v>3323</v>
      </c>
      <c r="O848" t="str">
        <f t="shared" si="122"/>
        <v>53511</v>
      </c>
      <c r="P848" t="str">
        <f t="shared" si="121"/>
        <v>2100L</v>
      </c>
      <c r="Q848" t="str">
        <f t="shared" si="119"/>
        <v>0101</v>
      </c>
      <c r="R848">
        <v>2100</v>
      </c>
      <c r="S848" t="str">
        <f t="shared" si="123"/>
        <v>5350</v>
      </c>
      <c r="T848" t="s">
        <v>3457</v>
      </c>
      <c r="U848" t="s">
        <v>29</v>
      </c>
    </row>
    <row r="849" spans="1:21" ht="15" customHeight="1" x14ac:dyDescent="0.3">
      <c r="A849" t="s">
        <v>179</v>
      </c>
      <c r="B849" t="str">
        <f>"00065770"</f>
        <v>00065770</v>
      </c>
      <c r="C849" t="s">
        <v>4254</v>
      </c>
      <c r="D849" t="s">
        <v>842</v>
      </c>
      <c r="E849" t="str">
        <f>"00051598"</f>
        <v>00051598</v>
      </c>
      <c r="F849">
        <v>0</v>
      </c>
      <c r="G849" s="243">
        <v>41133</v>
      </c>
      <c r="H849" t="s">
        <v>182</v>
      </c>
      <c r="I849">
        <v>15</v>
      </c>
      <c r="J849">
        <v>13</v>
      </c>
      <c r="K849">
        <v>1</v>
      </c>
      <c r="L849">
        <v>86613</v>
      </c>
      <c r="M849" t="str">
        <f t="shared" si="118"/>
        <v>13</v>
      </c>
      <c r="N849" t="s">
        <v>3323</v>
      </c>
      <c r="O849" t="str">
        <f t="shared" si="122"/>
        <v>53511</v>
      </c>
      <c r="P849" t="str">
        <f t="shared" si="121"/>
        <v>2100L</v>
      </c>
      <c r="Q849" t="str">
        <f t="shared" si="119"/>
        <v>0101</v>
      </c>
      <c r="R849">
        <v>2100</v>
      </c>
      <c r="S849" t="str">
        <f t="shared" si="123"/>
        <v>5350</v>
      </c>
      <c r="T849" t="s">
        <v>3457</v>
      </c>
      <c r="U849" t="s">
        <v>29</v>
      </c>
    </row>
    <row r="850" spans="1:21" ht="15" customHeight="1" x14ac:dyDescent="0.3">
      <c r="A850" t="s">
        <v>179</v>
      </c>
      <c r="B850" t="str">
        <f>"00066050"</f>
        <v>00066050</v>
      </c>
      <c r="C850" t="s">
        <v>4288</v>
      </c>
      <c r="D850" t="s">
        <v>4565</v>
      </c>
      <c r="E850" t="str">
        <f>"00057685"</f>
        <v>00057685</v>
      </c>
      <c r="F850">
        <v>0</v>
      </c>
      <c r="G850" s="243">
        <v>40042</v>
      </c>
      <c r="H850" t="s">
        <v>182</v>
      </c>
      <c r="I850">
        <v>4</v>
      </c>
      <c r="J850">
        <v>5</v>
      </c>
      <c r="K850">
        <v>1</v>
      </c>
      <c r="L850">
        <v>25239.37</v>
      </c>
      <c r="M850" t="str">
        <f t="shared" si="118"/>
        <v>13</v>
      </c>
      <c r="N850" t="s">
        <v>3323</v>
      </c>
      <c r="O850" t="str">
        <f t="shared" si="122"/>
        <v>53511</v>
      </c>
      <c r="P850" t="str">
        <f>"2200L"</f>
        <v>2200L</v>
      </c>
      <c r="Q850" t="str">
        <f t="shared" si="119"/>
        <v>0101</v>
      </c>
      <c r="R850">
        <v>2200</v>
      </c>
      <c r="S850" t="str">
        <f t="shared" si="123"/>
        <v>5350</v>
      </c>
      <c r="T850" t="s">
        <v>3457</v>
      </c>
      <c r="U850" t="s">
        <v>29</v>
      </c>
    </row>
    <row r="851" spans="1:21" ht="15" customHeight="1" x14ac:dyDescent="0.3">
      <c r="A851" t="s">
        <v>179</v>
      </c>
      <c r="B851" t="str">
        <f>"00066202"</f>
        <v>00066202</v>
      </c>
      <c r="C851" t="s">
        <v>4290</v>
      </c>
      <c r="D851" t="s">
        <v>4566</v>
      </c>
      <c r="E851" t="str">
        <f>"00056395"</f>
        <v>00056395</v>
      </c>
      <c r="F851">
        <v>0</v>
      </c>
      <c r="G851" s="243">
        <v>40042</v>
      </c>
      <c r="H851" t="s">
        <v>182</v>
      </c>
      <c r="I851">
        <v>4</v>
      </c>
      <c r="J851">
        <v>4</v>
      </c>
      <c r="K851">
        <v>1</v>
      </c>
      <c r="L851">
        <v>24543.75</v>
      </c>
      <c r="M851" t="str">
        <f t="shared" si="118"/>
        <v>13</v>
      </c>
      <c r="N851" t="s">
        <v>3323</v>
      </c>
      <c r="O851" t="str">
        <f t="shared" si="122"/>
        <v>53511</v>
      </c>
      <c r="P851" t="str">
        <f>"3030L"</f>
        <v>3030L</v>
      </c>
      <c r="Q851" t="str">
        <f t="shared" si="119"/>
        <v>0101</v>
      </c>
      <c r="R851">
        <v>3030</v>
      </c>
      <c r="S851" t="str">
        <f t="shared" si="123"/>
        <v>5350</v>
      </c>
      <c r="T851" t="s">
        <v>3457</v>
      </c>
      <c r="U851" t="s">
        <v>29</v>
      </c>
    </row>
    <row r="852" spans="1:21" ht="15" customHeight="1" x14ac:dyDescent="0.3">
      <c r="A852" t="s">
        <v>179</v>
      </c>
      <c r="B852" t="str">
        <f>"00066871"</f>
        <v>00066871</v>
      </c>
      <c r="C852" t="s">
        <v>4253</v>
      </c>
      <c r="D852" t="s">
        <v>4567</v>
      </c>
      <c r="E852" t="str">
        <f>"00069714"</f>
        <v>00069714</v>
      </c>
      <c r="F852">
        <v>0</v>
      </c>
      <c r="G852" s="243">
        <v>41133</v>
      </c>
      <c r="H852" t="s">
        <v>182</v>
      </c>
      <c r="I852">
        <v>15</v>
      </c>
      <c r="J852">
        <v>1</v>
      </c>
      <c r="K852">
        <v>1</v>
      </c>
      <c r="L852">
        <v>51539</v>
      </c>
      <c r="M852" t="str">
        <f t="shared" si="118"/>
        <v>13</v>
      </c>
      <c r="N852" t="s">
        <v>3370</v>
      </c>
      <c r="O852" t="str">
        <f t="shared" si="122"/>
        <v>53511</v>
      </c>
      <c r="P852" t="str">
        <f>"2100L"</f>
        <v>2100L</v>
      </c>
      <c r="Q852" t="str">
        <f t="shared" si="119"/>
        <v>0101</v>
      </c>
      <c r="R852">
        <v>2100</v>
      </c>
      <c r="S852" t="str">
        <f t="shared" si="123"/>
        <v>5350</v>
      </c>
      <c r="T852" t="s">
        <v>3457</v>
      </c>
      <c r="U852" t="s">
        <v>29</v>
      </c>
    </row>
    <row r="853" spans="1:21" ht="15" customHeight="1" x14ac:dyDescent="0.3">
      <c r="A853" t="s">
        <v>179</v>
      </c>
      <c r="B853" t="str">
        <f>"00066872"</f>
        <v>00066872</v>
      </c>
      <c r="C853" t="s">
        <v>4260</v>
      </c>
      <c r="D853" t="s">
        <v>4568</v>
      </c>
      <c r="E853" t="str">
        <f>"00068141"</f>
        <v>00068141</v>
      </c>
      <c r="F853">
        <v>0</v>
      </c>
      <c r="G853" s="243">
        <v>41016</v>
      </c>
      <c r="H853" t="s">
        <v>182</v>
      </c>
      <c r="I853">
        <v>15</v>
      </c>
      <c r="J853">
        <v>8</v>
      </c>
      <c r="K853">
        <v>1</v>
      </c>
      <c r="L853">
        <v>72171</v>
      </c>
      <c r="M853" t="str">
        <f t="shared" si="118"/>
        <v>13</v>
      </c>
      <c r="N853" t="s">
        <v>3323</v>
      </c>
      <c r="O853" t="str">
        <f t="shared" si="122"/>
        <v>53511</v>
      </c>
      <c r="P853" t="str">
        <f>"2100L"</f>
        <v>2100L</v>
      </c>
      <c r="Q853" t="str">
        <f t="shared" si="119"/>
        <v>0101</v>
      </c>
      <c r="R853">
        <v>2100</v>
      </c>
      <c r="S853" t="str">
        <f t="shared" si="123"/>
        <v>5350</v>
      </c>
      <c r="T853" t="s">
        <v>3457</v>
      </c>
      <c r="U853" t="s">
        <v>29</v>
      </c>
    </row>
    <row r="854" spans="1:21" ht="15" customHeight="1" x14ac:dyDescent="0.3">
      <c r="A854" t="s">
        <v>179</v>
      </c>
      <c r="B854" t="str">
        <f>"00067350"</f>
        <v>00067350</v>
      </c>
      <c r="C854" t="s">
        <v>4274</v>
      </c>
      <c r="D854" t="s">
        <v>4569</v>
      </c>
      <c r="E854" t="str">
        <f>"00060186"</f>
        <v>00060186</v>
      </c>
      <c r="F854">
        <v>0</v>
      </c>
      <c r="G854" s="243">
        <v>40184</v>
      </c>
      <c r="H854" t="s">
        <v>182</v>
      </c>
      <c r="I854">
        <v>4</v>
      </c>
      <c r="J854">
        <v>5</v>
      </c>
      <c r="K854">
        <v>1</v>
      </c>
      <c r="L854">
        <v>25239.37</v>
      </c>
      <c r="M854" t="str">
        <f t="shared" si="118"/>
        <v>13</v>
      </c>
      <c r="N854" t="s">
        <v>3323</v>
      </c>
      <c r="O854" t="str">
        <f t="shared" si="122"/>
        <v>53511</v>
      </c>
      <c r="P854" t="str">
        <f>"3030L"</f>
        <v>3030L</v>
      </c>
      <c r="Q854" t="str">
        <f t="shared" si="119"/>
        <v>0101</v>
      </c>
      <c r="R854">
        <v>3030</v>
      </c>
      <c r="S854" t="str">
        <f t="shared" si="123"/>
        <v>5350</v>
      </c>
      <c r="T854" t="s">
        <v>3457</v>
      </c>
      <c r="U854" t="s">
        <v>29</v>
      </c>
    </row>
    <row r="855" spans="1:21" ht="15" customHeight="1" x14ac:dyDescent="0.3">
      <c r="A855" t="s">
        <v>179</v>
      </c>
      <c r="B855" t="str">
        <f>"00070039"</f>
        <v>00070039</v>
      </c>
      <c r="C855" t="s">
        <v>4290</v>
      </c>
      <c r="D855" t="s">
        <v>4570</v>
      </c>
      <c r="E855" t="str">
        <f>"00056428"</f>
        <v>00056428</v>
      </c>
      <c r="F855">
        <v>0</v>
      </c>
      <c r="G855" s="243">
        <v>40086</v>
      </c>
      <c r="H855" t="s">
        <v>182</v>
      </c>
      <c r="I855">
        <v>4</v>
      </c>
      <c r="J855">
        <v>6</v>
      </c>
      <c r="K855">
        <v>1</v>
      </c>
      <c r="L855">
        <v>25935.88</v>
      </c>
      <c r="M855" t="str">
        <f t="shared" si="118"/>
        <v>13</v>
      </c>
      <c r="N855" t="s">
        <v>3323</v>
      </c>
      <c r="O855" t="str">
        <f t="shared" si="122"/>
        <v>53511</v>
      </c>
      <c r="P855" t="str">
        <f>"3030L"</f>
        <v>3030L</v>
      </c>
      <c r="Q855" t="str">
        <f t="shared" si="119"/>
        <v>0101</v>
      </c>
      <c r="R855">
        <v>3030</v>
      </c>
      <c r="S855" t="str">
        <f t="shared" si="123"/>
        <v>5350</v>
      </c>
      <c r="T855" t="s">
        <v>3457</v>
      </c>
      <c r="U855" t="s">
        <v>29</v>
      </c>
    </row>
    <row r="856" spans="1:21" ht="15" customHeight="1" x14ac:dyDescent="0.3">
      <c r="A856" t="s">
        <v>179</v>
      </c>
      <c r="B856" t="str">
        <f>"00071427"</f>
        <v>00071427</v>
      </c>
      <c r="C856" t="s">
        <v>4387</v>
      </c>
      <c r="D856" t="s">
        <v>3458</v>
      </c>
      <c r="E856" t="str">
        <f>"00066385"</f>
        <v>00066385</v>
      </c>
      <c r="F856">
        <v>0</v>
      </c>
      <c r="G856" s="243">
        <v>40749</v>
      </c>
      <c r="H856" t="s">
        <v>182</v>
      </c>
      <c r="I856">
        <v>10</v>
      </c>
      <c r="J856">
        <v>7</v>
      </c>
      <c r="K856">
        <v>1</v>
      </c>
      <c r="L856">
        <v>81541</v>
      </c>
      <c r="M856" t="str">
        <f t="shared" si="118"/>
        <v>13</v>
      </c>
      <c r="N856" t="s">
        <v>3370</v>
      </c>
      <c r="O856" t="str">
        <f t="shared" si="122"/>
        <v>53511</v>
      </c>
      <c r="P856" t="str">
        <f t="shared" ref="P856:P861" si="124">"2100L"</f>
        <v>2100L</v>
      </c>
      <c r="Q856" t="str">
        <f t="shared" si="119"/>
        <v>0101</v>
      </c>
      <c r="R856">
        <v>2100</v>
      </c>
      <c r="S856" t="str">
        <f t="shared" si="123"/>
        <v>5350</v>
      </c>
      <c r="T856" t="s">
        <v>3457</v>
      </c>
      <c r="U856" t="s">
        <v>29</v>
      </c>
    </row>
    <row r="857" spans="1:21" ht="15" customHeight="1" x14ac:dyDescent="0.3">
      <c r="A857" t="s">
        <v>179</v>
      </c>
      <c r="B857" t="str">
        <f>"00072450"</f>
        <v>00072450</v>
      </c>
      <c r="C857" t="s">
        <v>4274</v>
      </c>
      <c r="D857" t="s">
        <v>4571</v>
      </c>
      <c r="E857" t="str">
        <f>"00058255"</f>
        <v>00058255</v>
      </c>
      <c r="F857">
        <v>0</v>
      </c>
      <c r="G857" s="243">
        <v>40064</v>
      </c>
      <c r="H857" t="s">
        <v>182</v>
      </c>
      <c r="I857">
        <v>4</v>
      </c>
      <c r="J857">
        <v>7</v>
      </c>
      <c r="K857">
        <v>0.71</v>
      </c>
      <c r="L857">
        <v>26633.25</v>
      </c>
      <c r="M857" t="str">
        <f t="shared" si="118"/>
        <v>13</v>
      </c>
      <c r="N857" t="s">
        <v>3323</v>
      </c>
      <c r="O857" t="str">
        <f t="shared" si="122"/>
        <v>53511</v>
      </c>
      <c r="P857" t="str">
        <f t="shared" si="124"/>
        <v>2100L</v>
      </c>
      <c r="Q857" t="str">
        <f t="shared" si="119"/>
        <v>0101</v>
      </c>
      <c r="R857">
        <v>2100</v>
      </c>
      <c r="S857" t="str">
        <f t="shared" si="123"/>
        <v>5350</v>
      </c>
      <c r="T857" t="s">
        <v>3457</v>
      </c>
      <c r="U857" t="s">
        <v>29</v>
      </c>
    </row>
    <row r="858" spans="1:21" ht="15" customHeight="1" x14ac:dyDescent="0.3">
      <c r="A858" t="s">
        <v>179</v>
      </c>
      <c r="B858" t="str">
        <f>"00072698"</f>
        <v>00072698</v>
      </c>
      <c r="C858" t="s">
        <v>4437</v>
      </c>
      <c r="H858" t="s">
        <v>170</v>
      </c>
      <c r="I858">
        <v>15</v>
      </c>
      <c r="J858">
        <v>1</v>
      </c>
      <c r="K858">
        <v>0.5</v>
      </c>
      <c r="L858">
        <v>54975</v>
      </c>
      <c r="M858" t="str">
        <f t="shared" si="118"/>
        <v>13</v>
      </c>
      <c r="N858" t="s">
        <v>3370</v>
      </c>
      <c r="O858" t="str">
        <f t="shared" si="122"/>
        <v>53511</v>
      </c>
      <c r="P858" t="str">
        <f t="shared" si="124"/>
        <v>2100L</v>
      </c>
      <c r="Q858" t="str">
        <f t="shared" si="119"/>
        <v>0101</v>
      </c>
      <c r="R858">
        <v>2100</v>
      </c>
      <c r="S858" t="str">
        <f t="shared" si="123"/>
        <v>5350</v>
      </c>
      <c r="T858" t="s">
        <v>3457</v>
      </c>
      <c r="U858" t="s">
        <v>29</v>
      </c>
    </row>
    <row r="859" spans="1:21" ht="15" customHeight="1" x14ac:dyDescent="0.3">
      <c r="A859" t="s">
        <v>179</v>
      </c>
      <c r="B859" t="str">
        <f>"00072699"</f>
        <v>00072699</v>
      </c>
      <c r="C859" t="s">
        <v>4272</v>
      </c>
      <c r="D859" t="s">
        <v>2303</v>
      </c>
      <c r="E859" t="str">
        <f>"00052904"</f>
        <v>00052904</v>
      </c>
      <c r="F859">
        <v>0</v>
      </c>
      <c r="G859" s="243">
        <v>32479</v>
      </c>
      <c r="H859" t="s">
        <v>182</v>
      </c>
      <c r="I859">
        <v>15</v>
      </c>
      <c r="J859">
        <v>16</v>
      </c>
      <c r="K859">
        <v>0.5</v>
      </c>
      <c r="L859">
        <v>50419.5</v>
      </c>
      <c r="M859" t="str">
        <f t="shared" si="118"/>
        <v>13</v>
      </c>
      <c r="N859" t="s">
        <v>3323</v>
      </c>
      <c r="O859" t="str">
        <f t="shared" si="122"/>
        <v>53511</v>
      </c>
      <c r="P859" t="str">
        <f t="shared" si="124"/>
        <v>2100L</v>
      </c>
      <c r="Q859" t="str">
        <f t="shared" si="119"/>
        <v>0101</v>
      </c>
      <c r="R859">
        <v>2100</v>
      </c>
      <c r="S859" t="str">
        <f t="shared" si="123"/>
        <v>5350</v>
      </c>
      <c r="T859" t="s">
        <v>3457</v>
      </c>
      <c r="U859" t="s">
        <v>29</v>
      </c>
    </row>
    <row r="860" spans="1:21" ht="15" customHeight="1" x14ac:dyDescent="0.3">
      <c r="A860" t="s">
        <v>179</v>
      </c>
      <c r="B860" t="str">
        <f>"00072700"</f>
        <v>00072700</v>
      </c>
      <c r="C860" t="s">
        <v>4253</v>
      </c>
      <c r="D860" t="s">
        <v>4572</v>
      </c>
      <c r="E860" t="str">
        <f>"00060674"</f>
        <v>00060674</v>
      </c>
      <c r="F860">
        <v>0</v>
      </c>
      <c r="G860" s="243">
        <v>41133</v>
      </c>
      <c r="H860" t="s">
        <v>182</v>
      </c>
      <c r="I860">
        <v>15</v>
      </c>
      <c r="J860">
        <v>10</v>
      </c>
      <c r="K860">
        <v>1</v>
      </c>
      <c r="L860">
        <v>70879</v>
      </c>
      <c r="M860" t="str">
        <f t="shared" si="118"/>
        <v>13</v>
      </c>
      <c r="N860" t="s">
        <v>3323</v>
      </c>
      <c r="O860" t="str">
        <f t="shared" si="122"/>
        <v>53511</v>
      </c>
      <c r="P860" t="str">
        <f t="shared" si="124"/>
        <v>2100L</v>
      </c>
      <c r="Q860" t="str">
        <f t="shared" si="119"/>
        <v>0101</v>
      </c>
      <c r="R860">
        <v>2100</v>
      </c>
      <c r="S860" t="str">
        <f t="shared" si="123"/>
        <v>5350</v>
      </c>
      <c r="T860" t="s">
        <v>3457</v>
      </c>
      <c r="U860" t="s">
        <v>29</v>
      </c>
    </row>
    <row r="861" spans="1:21" ht="15" customHeight="1" x14ac:dyDescent="0.3">
      <c r="A861" t="s">
        <v>179</v>
      </c>
      <c r="B861" t="str">
        <f>"00073742"</f>
        <v>00073742</v>
      </c>
      <c r="C861" t="s">
        <v>4272</v>
      </c>
      <c r="D861" t="s">
        <v>2304</v>
      </c>
      <c r="E861" t="str">
        <f>"00053672"</f>
        <v>00053672</v>
      </c>
      <c r="F861">
        <v>0</v>
      </c>
      <c r="G861" s="243">
        <v>33875</v>
      </c>
      <c r="H861" t="s">
        <v>182</v>
      </c>
      <c r="I861">
        <v>15</v>
      </c>
      <c r="J861">
        <v>16</v>
      </c>
      <c r="K861">
        <v>1</v>
      </c>
      <c r="L861">
        <v>100839</v>
      </c>
      <c r="M861" t="str">
        <f t="shared" si="118"/>
        <v>13</v>
      </c>
      <c r="N861" t="s">
        <v>3323</v>
      </c>
      <c r="O861" t="str">
        <f t="shared" si="122"/>
        <v>53511</v>
      </c>
      <c r="P861" t="str">
        <f t="shared" si="124"/>
        <v>2100L</v>
      </c>
      <c r="Q861" t="str">
        <f t="shared" si="119"/>
        <v>0101</v>
      </c>
      <c r="R861">
        <v>2100</v>
      </c>
      <c r="S861" t="str">
        <f t="shared" si="123"/>
        <v>5350</v>
      </c>
      <c r="T861" t="s">
        <v>3457</v>
      </c>
      <c r="U861" t="s">
        <v>29</v>
      </c>
    </row>
    <row r="862" spans="1:21" ht="15" customHeight="1" x14ac:dyDescent="0.3">
      <c r="A862" t="s">
        <v>179</v>
      </c>
      <c r="B862" t="str">
        <f>"00073841"</f>
        <v>00073841</v>
      </c>
      <c r="C862" t="s">
        <v>4395</v>
      </c>
      <c r="D862" t="s">
        <v>1033</v>
      </c>
      <c r="E862" t="str">
        <f>"00047019"</f>
        <v>00047019</v>
      </c>
      <c r="F862">
        <v>0</v>
      </c>
      <c r="G862" s="243">
        <v>37549</v>
      </c>
      <c r="H862" t="s">
        <v>182</v>
      </c>
      <c r="I862">
        <v>10</v>
      </c>
      <c r="J862">
        <v>8</v>
      </c>
      <c r="K862">
        <v>1</v>
      </c>
      <c r="L862">
        <v>80981</v>
      </c>
      <c r="M862" t="str">
        <f t="shared" si="118"/>
        <v>13</v>
      </c>
      <c r="N862" t="s">
        <v>3323</v>
      </c>
      <c r="O862" t="str">
        <f t="shared" si="122"/>
        <v>53511</v>
      </c>
      <c r="P862" t="str">
        <f>"1502L"</f>
        <v>1502L</v>
      </c>
      <c r="Q862" t="str">
        <f t="shared" si="119"/>
        <v>0101</v>
      </c>
      <c r="R862">
        <v>1502</v>
      </c>
      <c r="S862" t="str">
        <f t="shared" si="123"/>
        <v>5350</v>
      </c>
      <c r="T862" t="s">
        <v>3457</v>
      </c>
      <c r="U862" t="s">
        <v>29</v>
      </c>
    </row>
    <row r="863" spans="1:21" ht="15" customHeight="1" x14ac:dyDescent="0.3">
      <c r="A863" t="s">
        <v>179</v>
      </c>
      <c r="B863" t="str">
        <f>"00073844"</f>
        <v>00073844</v>
      </c>
      <c r="C863" t="s">
        <v>4290</v>
      </c>
      <c r="D863" t="s">
        <v>4573</v>
      </c>
      <c r="E863" t="str">
        <f>"00054778"</f>
        <v>00054778</v>
      </c>
      <c r="F863">
        <v>0</v>
      </c>
      <c r="G863" s="243">
        <v>37921</v>
      </c>
      <c r="H863" t="s">
        <v>182</v>
      </c>
      <c r="I863">
        <v>4</v>
      </c>
      <c r="J863">
        <v>6</v>
      </c>
      <c r="K863">
        <v>0.71</v>
      </c>
      <c r="L863">
        <v>25935.88</v>
      </c>
      <c r="M863" t="str">
        <f t="shared" si="118"/>
        <v>13</v>
      </c>
      <c r="N863" t="s">
        <v>3323</v>
      </c>
      <c r="O863" t="str">
        <f t="shared" si="122"/>
        <v>53511</v>
      </c>
      <c r="P863" t="str">
        <f>"3030L"</f>
        <v>3030L</v>
      </c>
      <c r="Q863" t="str">
        <f t="shared" si="119"/>
        <v>0101</v>
      </c>
      <c r="R863">
        <v>3030</v>
      </c>
      <c r="S863" t="str">
        <f t="shared" si="123"/>
        <v>5350</v>
      </c>
      <c r="T863" t="s">
        <v>3457</v>
      </c>
      <c r="U863" t="s">
        <v>29</v>
      </c>
    </row>
    <row r="864" spans="1:21" ht="15" customHeight="1" x14ac:dyDescent="0.3">
      <c r="A864" t="s">
        <v>179</v>
      </c>
      <c r="B864" t="str">
        <f>"00073846"</f>
        <v>00073846</v>
      </c>
      <c r="C864" t="s">
        <v>4574</v>
      </c>
      <c r="H864" t="s">
        <v>170</v>
      </c>
      <c r="I864">
        <v>15</v>
      </c>
      <c r="J864">
        <v>1</v>
      </c>
      <c r="K864">
        <v>0.5</v>
      </c>
      <c r="L864">
        <v>51539</v>
      </c>
      <c r="M864" t="str">
        <f t="shared" si="118"/>
        <v>13</v>
      </c>
      <c r="N864" t="s">
        <v>3323</v>
      </c>
      <c r="O864" t="str">
        <f t="shared" si="122"/>
        <v>53511</v>
      </c>
      <c r="P864" t="str">
        <f>"2100L"</f>
        <v>2100L</v>
      </c>
      <c r="Q864" t="str">
        <f t="shared" si="119"/>
        <v>0101</v>
      </c>
      <c r="R864">
        <v>2100</v>
      </c>
      <c r="S864" t="str">
        <f t="shared" si="123"/>
        <v>5350</v>
      </c>
      <c r="T864" t="s">
        <v>3457</v>
      </c>
      <c r="U864" t="s">
        <v>29</v>
      </c>
    </row>
    <row r="865" spans="1:21" ht="15" customHeight="1" x14ac:dyDescent="0.3">
      <c r="A865" t="s">
        <v>179</v>
      </c>
      <c r="B865" t="str">
        <f>"00073851"</f>
        <v>00073851</v>
      </c>
      <c r="C865" t="s">
        <v>4272</v>
      </c>
      <c r="D865" t="s">
        <v>2301</v>
      </c>
      <c r="E865" t="str">
        <f>"00044875"</f>
        <v>00044875</v>
      </c>
      <c r="F865">
        <v>0</v>
      </c>
      <c r="G865" s="243">
        <v>31694</v>
      </c>
      <c r="H865" t="s">
        <v>182</v>
      </c>
      <c r="I865">
        <v>15</v>
      </c>
      <c r="J865">
        <v>13</v>
      </c>
      <c r="K865">
        <v>1</v>
      </c>
      <c r="L865">
        <v>81724</v>
      </c>
      <c r="M865" t="str">
        <f t="shared" si="118"/>
        <v>13</v>
      </c>
      <c r="N865" t="s">
        <v>3323</v>
      </c>
      <c r="O865" t="str">
        <f t="shared" si="122"/>
        <v>53511</v>
      </c>
      <c r="P865" t="str">
        <f>"2100L"</f>
        <v>2100L</v>
      </c>
      <c r="Q865" t="str">
        <f t="shared" si="119"/>
        <v>0101</v>
      </c>
      <c r="R865">
        <v>2100</v>
      </c>
      <c r="S865" t="str">
        <f t="shared" si="123"/>
        <v>5350</v>
      </c>
      <c r="T865" t="s">
        <v>3457</v>
      </c>
      <c r="U865" t="s">
        <v>29</v>
      </c>
    </row>
    <row r="866" spans="1:21" ht="15" customHeight="1" x14ac:dyDescent="0.3">
      <c r="A866" t="s">
        <v>179</v>
      </c>
      <c r="B866" t="str">
        <f>"00074189"</f>
        <v>00074189</v>
      </c>
      <c r="C866" t="s">
        <v>4262</v>
      </c>
      <c r="D866" t="s">
        <v>3463</v>
      </c>
      <c r="E866" t="str">
        <f>"00066402"</f>
        <v>00066402</v>
      </c>
      <c r="F866">
        <v>0</v>
      </c>
      <c r="G866" s="243">
        <v>40770</v>
      </c>
      <c r="H866" t="s">
        <v>182</v>
      </c>
      <c r="I866">
        <v>15</v>
      </c>
      <c r="J866">
        <v>7</v>
      </c>
      <c r="K866">
        <v>1</v>
      </c>
      <c r="L866">
        <v>61068</v>
      </c>
      <c r="M866" t="str">
        <f t="shared" si="118"/>
        <v>13</v>
      </c>
      <c r="N866" t="s">
        <v>3323</v>
      </c>
      <c r="O866" t="str">
        <f t="shared" si="122"/>
        <v>53511</v>
      </c>
      <c r="P866" t="str">
        <f>"2100L"</f>
        <v>2100L</v>
      </c>
      <c r="Q866" t="str">
        <f t="shared" si="119"/>
        <v>0101</v>
      </c>
      <c r="R866">
        <v>2100</v>
      </c>
      <c r="S866" t="str">
        <f t="shared" si="123"/>
        <v>5350</v>
      </c>
      <c r="T866" t="s">
        <v>3457</v>
      </c>
      <c r="U866" t="s">
        <v>29</v>
      </c>
    </row>
    <row r="867" spans="1:21" ht="15" customHeight="1" x14ac:dyDescent="0.3">
      <c r="A867" t="s">
        <v>179</v>
      </c>
      <c r="B867" t="str">
        <f>"00074190"</f>
        <v>00074190</v>
      </c>
      <c r="C867" t="s">
        <v>4292</v>
      </c>
      <c r="H867" t="s">
        <v>170</v>
      </c>
      <c r="I867">
        <v>4</v>
      </c>
      <c r="J867">
        <v>1</v>
      </c>
      <c r="K867">
        <v>0.71</v>
      </c>
      <c r="L867">
        <v>25662</v>
      </c>
      <c r="M867" t="str">
        <f t="shared" si="118"/>
        <v>13</v>
      </c>
      <c r="N867" t="s">
        <v>3323</v>
      </c>
      <c r="O867" t="str">
        <f t="shared" si="122"/>
        <v>53511</v>
      </c>
      <c r="P867" t="str">
        <f>"2100L"</f>
        <v>2100L</v>
      </c>
      <c r="Q867" t="str">
        <f t="shared" si="119"/>
        <v>0101</v>
      </c>
      <c r="R867">
        <v>2100</v>
      </c>
      <c r="S867" t="str">
        <f t="shared" si="123"/>
        <v>5350</v>
      </c>
      <c r="T867" t="s">
        <v>3457</v>
      </c>
      <c r="U867" t="s">
        <v>29</v>
      </c>
    </row>
    <row r="868" spans="1:21" ht="15" customHeight="1" x14ac:dyDescent="0.3">
      <c r="A868" t="s">
        <v>179</v>
      </c>
      <c r="B868" t="str">
        <f>"00074192"</f>
        <v>00074192</v>
      </c>
      <c r="C868" t="s">
        <v>4288</v>
      </c>
      <c r="D868" t="s">
        <v>4575</v>
      </c>
      <c r="E868" t="str">
        <f>"00032873"</f>
        <v>00032873</v>
      </c>
      <c r="F868">
        <v>1</v>
      </c>
      <c r="G868" s="243">
        <v>40770</v>
      </c>
      <c r="H868" t="s">
        <v>182</v>
      </c>
      <c r="I868">
        <v>4</v>
      </c>
      <c r="J868">
        <v>4</v>
      </c>
      <c r="K868">
        <v>0.71</v>
      </c>
      <c r="L868">
        <v>24543.75</v>
      </c>
      <c r="M868" t="str">
        <f t="shared" si="118"/>
        <v>13</v>
      </c>
      <c r="N868" t="s">
        <v>3323</v>
      </c>
      <c r="O868" t="str">
        <f t="shared" si="122"/>
        <v>53511</v>
      </c>
      <c r="P868" t="str">
        <f>"2200L"</f>
        <v>2200L</v>
      </c>
      <c r="Q868" t="str">
        <f t="shared" si="119"/>
        <v>0101</v>
      </c>
      <c r="R868">
        <v>2200</v>
      </c>
      <c r="S868" t="str">
        <f t="shared" si="123"/>
        <v>5350</v>
      </c>
      <c r="T868" t="s">
        <v>3457</v>
      </c>
      <c r="U868" t="s">
        <v>29</v>
      </c>
    </row>
    <row r="869" spans="1:21" ht="15" customHeight="1" x14ac:dyDescent="0.3">
      <c r="A869" t="s">
        <v>179</v>
      </c>
      <c r="B869" t="str">
        <f>"00074694"</f>
        <v>00074694</v>
      </c>
      <c r="C869" t="s">
        <v>4264</v>
      </c>
      <c r="H869" t="s">
        <v>170</v>
      </c>
      <c r="I869">
        <v>15</v>
      </c>
      <c r="J869">
        <v>1</v>
      </c>
      <c r="K869">
        <v>1</v>
      </c>
      <c r="L869">
        <v>60128</v>
      </c>
      <c r="M869" t="str">
        <f t="shared" si="118"/>
        <v>13</v>
      </c>
      <c r="N869" t="s">
        <v>3323</v>
      </c>
      <c r="O869" t="str">
        <f t="shared" si="122"/>
        <v>53511</v>
      </c>
      <c r="P869" t="str">
        <f>"3030L"</f>
        <v>3030L</v>
      </c>
      <c r="Q869" t="str">
        <f t="shared" si="119"/>
        <v>0101</v>
      </c>
      <c r="R869">
        <v>3030</v>
      </c>
      <c r="S869" t="str">
        <f t="shared" si="123"/>
        <v>5350</v>
      </c>
      <c r="T869" t="s">
        <v>3457</v>
      </c>
      <c r="U869" t="s">
        <v>29</v>
      </c>
    </row>
    <row r="870" spans="1:21" ht="15" customHeight="1" x14ac:dyDescent="0.3">
      <c r="A870" t="s">
        <v>179</v>
      </c>
      <c r="B870" t="str">
        <f>"00076152"</f>
        <v>00076152</v>
      </c>
      <c r="C870" t="s">
        <v>4270</v>
      </c>
      <c r="H870" t="s">
        <v>170</v>
      </c>
      <c r="I870">
        <v>15</v>
      </c>
      <c r="J870">
        <v>0</v>
      </c>
      <c r="K870">
        <v>0.5</v>
      </c>
      <c r="L870">
        <v>51539</v>
      </c>
      <c r="M870" t="str">
        <f t="shared" si="118"/>
        <v>13</v>
      </c>
      <c r="N870" t="s">
        <v>3323</v>
      </c>
      <c r="O870" t="str">
        <f t="shared" si="122"/>
        <v>53511</v>
      </c>
      <c r="P870" t="str">
        <f>"2100L"</f>
        <v>2100L</v>
      </c>
      <c r="Q870" t="str">
        <f t="shared" si="119"/>
        <v>0101</v>
      </c>
      <c r="R870">
        <v>2100</v>
      </c>
      <c r="S870" t="str">
        <f t="shared" si="123"/>
        <v>5350</v>
      </c>
      <c r="T870" t="s">
        <v>3457</v>
      </c>
      <c r="U870" t="s">
        <v>29</v>
      </c>
    </row>
    <row r="871" spans="1:21" ht="15" customHeight="1" x14ac:dyDescent="0.3">
      <c r="A871" t="s">
        <v>179</v>
      </c>
      <c r="B871" t="str">
        <f>"00076153"</f>
        <v>00076153</v>
      </c>
      <c r="C871" t="s">
        <v>4438</v>
      </c>
      <c r="H871" t="s">
        <v>170</v>
      </c>
      <c r="I871">
        <v>11</v>
      </c>
      <c r="J871">
        <v>0</v>
      </c>
      <c r="K871">
        <v>0.5</v>
      </c>
      <c r="L871">
        <v>60779</v>
      </c>
      <c r="M871" t="str">
        <f t="shared" si="118"/>
        <v>13</v>
      </c>
      <c r="N871" t="s">
        <v>3323</v>
      </c>
      <c r="O871" t="str">
        <f t="shared" si="122"/>
        <v>53511</v>
      </c>
      <c r="P871" t="str">
        <f>"2100L"</f>
        <v>2100L</v>
      </c>
      <c r="Q871" t="str">
        <f t="shared" si="119"/>
        <v>0101</v>
      </c>
      <c r="R871">
        <v>2100</v>
      </c>
      <c r="S871" t="str">
        <f t="shared" si="123"/>
        <v>5350</v>
      </c>
      <c r="T871" t="s">
        <v>3457</v>
      </c>
      <c r="U871" t="s">
        <v>29</v>
      </c>
    </row>
    <row r="872" spans="1:21" ht="15" customHeight="1" x14ac:dyDescent="0.3">
      <c r="A872" t="s">
        <v>206</v>
      </c>
      <c r="B872" t="str">
        <f>"00076854"</f>
        <v>00076854</v>
      </c>
      <c r="C872" t="s">
        <v>4271</v>
      </c>
      <c r="H872" t="s">
        <v>170</v>
      </c>
      <c r="I872">
        <v>15</v>
      </c>
      <c r="J872">
        <v>0</v>
      </c>
      <c r="K872">
        <v>0.5</v>
      </c>
      <c r="L872">
        <v>56693</v>
      </c>
      <c r="M872" t="str">
        <f t="shared" si="118"/>
        <v>13</v>
      </c>
      <c r="N872" t="s">
        <v>3370</v>
      </c>
      <c r="O872" t="str">
        <f t="shared" si="122"/>
        <v>53511</v>
      </c>
      <c r="P872" t="str">
        <f>"2100L"</f>
        <v>2100L</v>
      </c>
      <c r="Q872" t="str">
        <f t="shared" si="119"/>
        <v>0101</v>
      </c>
      <c r="R872">
        <v>2100</v>
      </c>
      <c r="S872" t="str">
        <f t="shared" si="123"/>
        <v>5350</v>
      </c>
      <c r="T872" t="s">
        <v>3656</v>
      </c>
      <c r="U872" t="s">
        <v>1950</v>
      </c>
    </row>
    <row r="873" spans="1:21" ht="15" customHeight="1" x14ac:dyDescent="0.3">
      <c r="A873" t="s">
        <v>179</v>
      </c>
      <c r="B873" t="str">
        <f>"00052495"</f>
        <v>00052495</v>
      </c>
      <c r="C873" t="s">
        <v>4262</v>
      </c>
      <c r="D873" t="s">
        <v>1039</v>
      </c>
      <c r="E873" t="str">
        <f>"00048401"</f>
        <v>00048401</v>
      </c>
      <c r="F873">
        <v>0</v>
      </c>
      <c r="G873" s="243">
        <v>32050</v>
      </c>
      <c r="H873" t="s">
        <v>182</v>
      </c>
      <c r="I873">
        <v>15</v>
      </c>
      <c r="J873">
        <v>16</v>
      </c>
      <c r="K873">
        <v>1</v>
      </c>
      <c r="L873">
        <v>100839</v>
      </c>
      <c r="M873" t="str">
        <f t="shared" si="118"/>
        <v>13</v>
      </c>
      <c r="N873" t="s">
        <v>3323</v>
      </c>
      <c r="O873" t="str">
        <f t="shared" ref="O873:O904" si="125">"53611"</f>
        <v>53611</v>
      </c>
      <c r="P873" t="str">
        <f>"2100L"</f>
        <v>2100L</v>
      </c>
      <c r="Q873" t="str">
        <f t="shared" si="119"/>
        <v>0101</v>
      </c>
      <c r="R873">
        <v>2100</v>
      </c>
      <c r="S873" t="str">
        <f t="shared" ref="S873:S904" si="126">"5360"</f>
        <v>5360</v>
      </c>
      <c r="T873" t="s">
        <v>3464</v>
      </c>
      <c r="U873" t="s">
        <v>30</v>
      </c>
    </row>
    <row r="874" spans="1:21" ht="15" customHeight="1" x14ac:dyDescent="0.3">
      <c r="A874" t="s">
        <v>179</v>
      </c>
      <c r="B874" t="str">
        <f>"00053487"</f>
        <v>00053487</v>
      </c>
      <c r="C874" t="s">
        <v>4272</v>
      </c>
      <c r="D874" t="s">
        <v>1040</v>
      </c>
      <c r="E874" t="str">
        <f>"00051587"</f>
        <v>00051587</v>
      </c>
      <c r="F874">
        <v>0</v>
      </c>
      <c r="G874" s="243">
        <v>32050</v>
      </c>
      <c r="H874" t="s">
        <v>182</v>
      </c>
      <c r="I874">
        <v>15</v>
      </c>
      <c r="J874">
        <v>16</v>
      </c>
      <c r="K874">
        <v>1</v>
      </c>
      <c r="L874">
        <v>100839</v>
      </c>
      <c r="M874" t="str">
        <f t="shared" si="118"/>
        <v>13</v>
      </c>
      <c r="N874" t="s">
        <v>3323</v>
      </c>
      <c r="O874" t="str">
        <f t="shared" si="125"/>
        <v>53611</v>
      </c>
      <c r="P874" t="str">
        <f>"2200L"</f>
        <v>2200L</v>
      </c>
      <c r="Q874" t="str">
        <f t="shared" si="119"/>
        <v>0101</v>
      </c>
      <c r="R874">
        <v>2200</v>
      </c>
      <c r="S874" t="str">
        <f t="shared" si="126"/>
        <v>5360</v>
      </c>
      <c r="T874" t="s">
        <v>3464</v>
      </c>
      <c r="U874" t="s">
        <v>30</v>
      </c>
    </row>
    <row r="875" spans="1:21" ht="15" customHeight="1" x14ac:dyDescent="0.3">
      <c r="A875" t="s">
        <v>179</v>
      </c>
      <c r="B875" t="str">
        <f>"00053883"</f>
        <v>00053883</v>
      </c>
      <c r="C875" t="s">
        <v>4262</v>
      </c>
      <c r="D875" t="s">
        <v>1041</v>
      </c>
      <c r="E875" t="str">
        <f>"00052693"</f>
        <v>00052693</v>
      </c>
      <c r="F875">
        <v>0</v>
      </c>
      <c r="G875" s="243">
        <v>32050</v>
      </c>
      <c r="H875" t="s">
        <v>182</v>
      </c>
      <c r="I875">
        <v>15</v>
      </c>
      <c r="J875">
        <v>16</v>
      </c>
      <c r="K875">
        <v>1</v>
      </c>
      <c r="L875">
        <v>103347</v>
      </c>
      <c r="M875" t="str">
        <f t="shared" ref="M875:M927" si="127">"13"</f>
        <v>13</v>
      </c>
      <c r="N875" t="s">
        <v>3323</v>
      </c>
      <c r="O875" t="str">
        <f t="shared" si="125"/>
        <v>53611</v>
      </c>
      <c r="P875" t="str">
        <f>"2100L"</f>
        <v>2100L</v>
      </c>
      <c r="Q875" t="str">
        <f t="shared" ref="Q875:Q927" si="128">"0101"</f>
        <v>0101</v>
      </c>
      <c r="R875">
        <v>2100</v>
      </c>
      <c r="S875" t="str">
        <f t="shared" si="126"/>
        <v>5360</v>
      </c>
      <c r="T875" t="s">
        <v>3464</v>
      </c>
      <c r="U875" t="s">
        <v>30</v>
      </c>
    </row>
    <row r="876" spans="1:21" ht="15" customHeight="1" x14ac:dyDescent="0.3">
      <c r="A876" t="s">
        <v>179</v>
      </c>
      <c r="B876" t="str">
        <f>"00054321"</f>
        <v>00054321</v>
      </c>
      <c r="C876" t="s">
        <v>4288</v>
      </c>
      <c r="D876" t="s">
        <v>4576</v>
      </c>
      <c r="E876" t="str">
        <f>"00053348"</f>
        <v>00053348</v>
      </c>
      <c r="F876">
        <v>0</v>
      </c>
      <c r="G876" s="243">
        <v>37220</v>
      </c>
      <c r="H876" t="s">
        <v>182</v>
      </c>
      <c r="I876">
        <v>4</v>
      </c>
      <c r="J876">
        <v>7</v>
      </c>
      <c r="K876">
        <v>0.875</v>
      </c>
      <c r="L876">
        <v>26633.25</v>
      </c>
      <c r="M876" t="str">
        <f t="shared" si="127"/>
        <v>13</v>
      </c>
      <c r="N876" t="s">
        <v>3323</v>
      </c>
      <c r="O876" t="str">
        <f t="shared" si="125"/>
        <v>53611</v>
      </c>
      <c r="P876" t="str">
        <f>"2200L"</f>
        <v>2200L</v>
      </c>
      <c r="Q876" t="str">
        <f t="shared" si="128"/>
        <v>0101</v>
      </c>
      <c r="R876">
        <v>2200</v>
      </c>
      <c r="S876" t="str">
        <f t="shared" si="126"/>
        <v>5360</v>
      </c>
      <c r="T876" t="s">
        <v>3464</v>
      </c>
      <c r="U876" t="s">
        <v>30</v>
      </c>
    </row>
    <row r="877" spans="1:21" ht="15" customHeight="1" x14ac:dyDescent="0.3">
      <c r="A877" t="s">
        <v>179</v>
      </c>
      <c r="B877" t="str">
        <f>"00054525"</f>
        <v>00054525</v>
      </c>
      <c r="C877" t="s">
        <v>4272</v>
      </c>
      <c r="H877" t="s">
        <v>170</v>
      </c>
      <c r="I877">
        <v>15</v>
      </c>
      <c r="J877">
        <v>1</v>
      </c>
      <c r="K877">
        <v>1</v>
      </c>
      <c r="L877">
        <v>54975</v>
      </c>
      <c r="M877" t="str">
        <f t="shared" si="127"/>
        <v>13</v>
      </c>
      <c r="N877" t="s">
        <v>3323</v>
      </c>
      <c r="O877" t="str">
        <f t="shared" si="125"/>
        <v>53611</v>
      </c>
      <c r="P877" t="str">
        <f>"2100L"</f>
        <v>2100L</v>
      </c>
      <c r="Q877" t="str">
        <f t="shared" si="128"/>
        <v>0101</v>
      </c>
      <c r="R877">
        <v>2100</v>
      </c>
      <c r="S877" t="str">
        <f t="shared" si="126"/>
        <v>5360</v>
      </c>
      <c r="T877" t="s">
        <v>3464</v>
      </c>
      <c r="U877" t="s">
        <v>30</v>
      </c>
    </row>
    <row r="878" spans="1:21" ht="15" customHeight="1" x14ac:dyDescent="0.3">
      <c r="A878" t="s">
        <v>179</v>
      </c>
      <c r="B878" t="str">
        <f>"00054658"</f>
        <v>00054658</v>
      </c>
      <c r="C878" t="s">
        <v>4260</v>
      </c>
      <c r="D878" t="s">
        <v>1055</v>
      </c>
      <c r="E878" t="str">
        <f>"00048116"</f>
        <v>00048116</v>
      </c>
      <c r="F878">
        <v>0</v>
      </c>
      <c r="G878" s="243">
        <v>36768</v>
      </c>
      <c r="H878" t="s">
        <v>182</v>
      </c>
      <c r="I878">
        <v>15</v>
      </c>
      <c r="J878">
        <v>10</v>
      </c>
      <c r="K878">
        <v>1</v>
      </c>
      <c r="L878">
        <v>78273</v>
      </c>
      <c r="M878" t="str">
        <f t="shared" si="127"/>
        <v>13</v>
      </c>
      <c r="N878" t="s">
        <v>3323</v>
      </c>
      <c r="O878" t="str">
        <f t="shared" si="125"/>
        <v>53611</v>
      </c>
      <c r="P878" t="str">
        <f>"3030L"</f>
        <v>3030L</v>
      </c>
      <c r="Q878" t="str">
        <f t="shared" si="128"/>
        <v>0101</v>
      </c>
      <c r="R878">
        <v>3030</v>
      </c>
      <c r="S878" t="str">
        <f t="shared" si="126"/>
        <v>5360</v>
      </c>
      <c r="T878" t="s">
        <v>3464</v>
      </c>
      <c r="U878" t="s">
        <v>30</v>
      </c>
    </row>
    <row r="879" spans="1:21" ht="15" customHeight="1" x14ac:dyDescent="0.3">
      <c r="A879" t="s">
        <v>179</v>
      </c>
      <c r="B879" t="str">
        <f>"00054703"</f>
        <v>00054703</v>
      </c>
      <c r="C879" t="s">
        <v>4262</v>
      </c>
      <c r="H879" t="s">
        <v>170</v>
      </c>
      <c r="I879">
        <v>15</v>
      </c>
      <c r="J879">
        <v>1</v>
      </c>
      <c r="K879">
        <v>1</v>
      </c>
      <c r="L879">
        <v>54975</v>
      </c>
      <c r="M879" t="str">
        <f t="shared" si="127"/>
        <v>13</v>
      </c>
      <c r="N879" t="s">
        <v>3323</v>
      </c>
      <c r="O879" t="str">
        <f t="shared" si="125"/>
        <v>53611</v>
      </c>
      <c r="P879" t="str">
        <f>"2100L"</f>
        <v>2100L</v>
      </c>
      <c r="Q879" t="str">
        <f t="shared" si="128"/>
        <v>0101</v>
      </c>
      <c r="R879">
        <v>2100</v>
      </c>
      <c r="S879" t="str">
        <f t="shared" si="126"/>
        <v>5360</v>
      </c>
      <c r="T879" t="s">
        <v>3464</v>
      </c>
      <c r="U879" t="s">
        <v>30</v>
      </c>
    </row>
    <row r="880" spans="1:21" ht="15" customHeight="1" x14ac:dyDescent="0.3">
      <c r="A880" t="s">
        <v>179</v>
      </c>
      <c r="B880" t="str">
        <f>"00054797"</f>
        <v>00054797</v>
      </c>
      <c r="C880" t="s">
        <v>4260</v>
      </c>
      <c r="D880" t="s">
        <v>1043</v>
      </c>
      <c r="E880" t="str">
        <f>"00054650"</f>
        <v>00054650</v>
      </c>
      <c r="F880">
        <v>0</v>
      </c>
      <c r="G880" s="243">
        <v>32050</v>
      </c>
      <c r="H880" t="s">
        <v>182</v>
      </c>
      <c r="I880">
        <v>15</v>
      </c>
      <c r="J880">
        <v>16</v>
      </c>
      <c r="K880">
        <v>1</v>
      </c>
      <c r="L880">
        <v>100839</v>
      </c>
      <c r="M880" t="str">
        <f t="shared" si="127"/>
        <v>13</v>
      </c>
      <c r="N880" t="s">
        <v>3323</v>
      </c>
      <c r="O880" t="str">
        <f t="shared" si="125"/>
        <v>53611</v>
      </c>
      <c r="P880" t="str">
        <f>"3030L"</f>
        <v>3030L</v>
      </c>
      <c r="Q880" t="str">
        <f t="shared" si="128"/>
        <v>0101</v>
      </c>
      <c r="R880">
        <v>3030</v>
      </c>
      <c r="S880" t="str">
        <f t="shared" si="126"/>
        <v>5360</v>
      </c>
      <c r="T880" t="s">
        <v>3464</v>
      </c>
      <c r="U880" t="s">
        <v>30</v>
      </c>
    </row>
    <row r="881" spans="1:21" ht="15" customHeight="1" x14ac:dyDescent="0.3">
      <c r="A881" t="s">
        <v>179</v>
      </c>
      <c r="B881" t="str">
        <f>"00054936"</f>
        <v>00054936</v>
      </c>
      <c r="C881" t="s">
        <v>4272</v>
      </c>
      <c r="D881" t="s">
        <v>1044</v>
      </c>
      <c r="E881" t="str">
        <f>"00055077"</f>
        <v>00055077</v>
      </c>
      <c r="F881">
        <v>0</v>
      </c>
      <c r="G881" s="243">
        <v>33484</v>
      </c>
      <c r="H881" t="s">
        <v>182</v>
      </c>
      <c r="I881">
        <v>15</v>
      </c>
      <c r="J881">
        <v>16</v>
      </c>
      <c r="K881">
        <v>1</v>
      </c>
      <c r="L881">
        <v>100839</v>
      </c>
      <c r="M881" t="str">
        <f t="shared" si="127"/>
        <v>13</v>
      </c>
      <c r="N881" t="s">
        <v>3323</v>
      </c>
      <c r="O881" t="str">
        <f t="shared" si="125"/>
        <v>53611</v>
      </c>
      <c r="P881" t="str">
        <f>"2200L"</f>
        <v>2200L</v>
      </c>
      <c r="Q881" t="str">
        <f t="shared" si="128"/>
        <v>0101</v>
      </c>
      <c r="R881">
        <v>2200</v>
      </c>
      <c r="S881" t="str">
        <f t="shared" si="126"/>
        <v>5360</v>
      </c>
      <c r="T881" t="s">
        <v>3464</v>
      </c>
      <c r="U881" t="s">
        <v>30</v>
      </c>
    </row>
    <row r="882" spans="1:21" ht="15" customHeight="1" x14ac:dyDescent="0.3">
      <c r="A882" t="s">
        <v>179</v>
      </c>
      <c r="B882" t="str">
        <f>"00055229"</f>
        <v>00055229</v>
      </c>
      <c r="C882" t="s">
        <v>200</v>
      </c>
      <c r="D882" t="s">
        <v>1045</v>
      </c>
      <c r="E882" t="str">
        <f>"00047771"</f>
        <v>00047771</v>
      </c>
      <c r="F882">
        <v>0</v>
      </c>
      <c r="G882" s="243">
        <v>33155</v>
      </c>
      <c r="H882" t="s">
        <v>182</v>
      </c>
      <c r="I882">
        <v>15</v>
      </c>
      <c r="J882">
        <v>16</v>
      </c>
      <c r="K882">
        <v>1</v>
      </c>
      <c r="L882">
        <v>106540</v>
      </c>
      <c r="M882" t="str">
        <f t="shared" si="127"/>
        <v>13</v>
      </c>
      <c r="N882" t="s">
        <v>3323</v>
      </c>
      <c r="O882" t="str">
        <f t="shared" si="125"/>
        <v>53611</v>
      </c>
      <c r="P882" t="str">
        <f>"3030L"</f>
        <v>3030L</v>
      </c>
      <c r="Q882" t="str">
        <f t="shared" si="128"/>
        <v>0101</v>
      </c>
      <c r="R882">
        <v>3030</v>
      </c>
      <c r="S882" t="str">
        <f t="shared" si="126"/>
        <v>5360</v>
      </c>
      <c r="T882" t="s">
        <v>3464</v>
      </c>
      <c r="U882" t="s">
        <v>30</v>
      </c>
    </row>
    <row r="883" spans="1:21" ht="15" customHeight="1" x14ac:dyDescent="0.3">
      <c r="A883" t="s">
        <v>179</v>
      </c>
      <c r="B883" t="str">
        <f>"00059713"</f>
        <v>00059713</v>
      </c>
      <c r="C883" t="s">
        <v>3798</v>
      </c>
      <c r="D883" t="s">
        <v>3465</v>
      </c>
      <c r="E883" t="str">
        <f>"00053448"</f>
        <v>00053448</v>
      </c>
      <c r="F883">
        <v>0</v>
      </c>
      <c r="G883" s="243">
        <v>36605</v>
      </c>
      <c r="H883" t="s">
        <v>182</v>
      </c>
      <c r="I883">
        <v>61</v>
      </c>
      <c r="J883">
        <v>0</v>
      </c>
      <c r="K883">
        <v>1</v>
      </c>
      <c r="L883">
        <v>125000</v>
      </c>
      <c r="M883" t="str">
        <f t="shared" si="127"/>
        <v>13</v>
      </c>
      <c r="N883" t="s">
        <v>3323</v>
      </c>
      <c r="O883" t="str">
        <f t="shared" si="125"/>
        <v>53611</v>
      </c>
      <c r="P883" t="str">
        <f>"1501L"</f>
        <v>1501L</v>
      </c>
      <c r="Q883" t="str">
        <f t="shared" si="128"/>
        <v>0101</v>
      </c>
      <c r="R883">
        <v>1501</v>
      </c>
      <c r="S883" t="str">
        <f t="shared" si="126"/>
        <v>5360</v>
      </c>
      <c r="T883" t="s">
        <v>3464</v>
      </c>
      <c r="U883" t="s">
        <v>30</v>
      </c>
    </row>
    <row r="884" spans="1:21" ht="15" customHeight="1" x14ac:dyDescent="0.3">
      <c r="A884" t="s">
        <v>179</v>
      </c>
      <c r="B884" t="str">
        <f>"00060608"</f>
        <v>00060608</v>
      </c>
      <c r="C884" t="s">
        <v>4274</v>
      </c>
      <c r="D884" t="s">
        <v>4577</v>
      </c>
      <c r="E884" t="str">
        <f>"00046764"</f>
        <v>00046764</v>
      </c>
      <c r="F884">
        <v>0</v>
      </c>
      <c r="G884" s="243">
        <v>39069</v>
      </c>
      <c r="H884" t="s">
        <v>182</v>
      </c>
      <c r="I884">
        <v>4</v>
      </c>
      <c r="J884">
        <v>7</v>
      </c>
      <c r="K884">
        <v>0.875</v>
      </c>
      <c r="L884">
        <v>26633.25</v>
      </c>
      <c r="M884" t="str">
        <f t="shared" si="127"/>
        <v>13</v>
      </c>
      <c r="N884" t="s">
        <v>3323</v>
      </c>
      <c r="O884" t="str">
        <f t="shared" si="125"/>
        <v>53611</v>
      </c>
      <c r="P884" t="str">
        <f>"3030L"</f>
        <v>3030L</v>
      </c>
      <c r="Q884" t="str">
        <f t="shared" si="128"/>
        <v>0101</v>
      </c>
      <c r="R884">
        <v>3030</v>
      </c>
      <c r="S884" t="str">
        <f t="shared" si="126"/>
        <v>5360</v>
      </c>
      <c r="T884" t="s">
        <v>3464</v>
      </c>
      <c r="U884" t="s">
        <v>30</v>
      </c>
    </row>
    <row r="885" spans="1:21" ht="15" customHeight="1" x14ac:dyDescent="0.3">
      <c r="A885" t="s">
        <v>179</v>
      </c>
      <c r="B885" t="str">
        <f>"00061982"</f>
        <v>00061982</v>
      </c>
      <c r="C885" t="s">
        <v>4262</v>
      </c>
      <c r="H885" t="s">
        <v>170</v>
      </c>
      <c r="I885">
        <v>15</v>
      </c>
      <c r="J885">
        <v>1</v>
      </c>
      <c r="K885">
        <v>1</v>
      </c>
      <c r="L885">
        <v>54975</v>
      </c>
      <c r="M885" t="str">
        <f t="shared" si="127"/>
        <v>13</v>
      </c>
      <c r="N885" t="s">
        <v>3370</v>
      </c>
      <c r="O885" t="str">
        <f t="shared" si="125"/>
        <v>53611</v>
      </c>
      <c r="P885" t="str">
        <f>"2100L"</f>
        <v>2100L</v>
      </c>
      <c r="Q885" t="str">
        <f t="shared" si="128"/>
        <v>0101</v>
      </c>
      <c r="R885">
        <v>2100</v>
      </c>
      <c r="S885" t="str">
        <f t="shared" si="126"/>
        <v>5360</v>
      </c>
      <c r="T885" t="s">
        <v>3464</v>
      </c>
      <c r="U885" t="s">
        <v>30</v>
      </c>
    </row>
    <row r="886" spans="1:21" ht="15" customHeight="1" x14ac:dyDescent="0.3">
      <c r="A886" t="s">
        <v>179</v>
      </c>
      <c r="B886" t="str">
        <f>"00062606"</f>
        <v>00062606</v>
      </c>
      <c r="C886" t="s">
        <v>4274</v>
      </c>
      <c r="D886" t="s">
        <v>4578</v>
      </c>
      <c r="E886" t="str">
        <f>"00053620"</f>
        <v>00053620</v>
      </c>
      <c r="F886">
        <v>0</v>
      </c>
      <c r="G886" s="243">
        <v>39706</v>
      </c>
      <c r="H886" t="s">
        <v>182</v>
      </c>
      <c r="I886">
        <v>4</v>
      </c>
      <c r="J886">
        <v>5</v>
      </c>
      <c r="K886">
        <v>0.875</v>
      </c>
      <c r="L886">
        <v>25239.37</v>
      </c>
      <c r="M886" t="str">
        <f t="shared" si="127"/>
        <v>13</v>
      </c>
      <c r="N886" t="s">
        <v>3323</v>
      </c>
      <c r="O886" t="str">
        <f t="shared" si="125"/>
        <v>53611</v>
      </c>
      <c r="P886" t="str">
        <f>"2200L"</f>
        <v>2200L</v>
      </c>
      <c r="Q886" t="str">
        <f t="shared" si="128"/>
        <v>0101</v>
      </c>
      <c r="R886">
        <v>2200</v>
      </c>
      <c r="S886" t="str">
        <f t="shared" si="126"/>
        <v>5360</v>
      </c>
      <c r="T886" t="s">
        <v>3464</v>
      </c>
      <c r="U886" t="s">
        <v>30</v>
      </c>
    </row>
    <row r="887" spans="1:21" ht="15" customHeight="1" x14ac:dyDescent="0.3">
      <c r="A887" t="s">
        <v>179</v>
      </c>
      <c r="B887" t="str">
        <f>"00065880"</f>
        <v>00065880</v>
      </c>
      <c r="C887" t="s">
        <v>4257</v>
      </c>
      <c r="D887" t="s">
        <v>4579</v>
      </c>
      <c r="E887" t="str">
        <f>"00069692"</f>
        <v>00069692</v>
      </c>
      <c r="F887">
        <v>0</v>
      </c>
      <c r="G887" s="243">
        <v>41133</v>
      </c>
      <c r="H887" t="s">
        <v>182</v>
      </c>
      <c r="I887">
        <v>15</v>
      </c>
      <c r="J887">
        <v>7</v>
      </c>
      <c r="K887">
        <v>1</v>
      </c>
      <c r="L887">
        <v>69132</v>
      </c>
      <c r="M887" t="str">
        <f t="shared" si="127"/>
        <v>13</v>
      </c>
      <c r="N887" t="s">
        <v>3370</v>
      </c>
      <c r="O887" t="str">
        <f t="shared" si="125"/>
        <v>53611</v>
      </c>
      <c r="P887" t="str">
        <f t="shared" ref="P887:P894" si="129">"2100L"</f>
        <v>2100L</v>
      </c>
      <c r="Q887" t="str">
        <f t="shared" si="128"/>
        <v>0101</v>
      </c>
      <c r="R887">
        <v>2100</v>
      </c>
      <c r="S887" t="str">
        <f t="shared" si="126"/>
        <v>5360</v>
      </c>
      <c r="T887" t="s">
        <v>3464</v>
      </c>
      <c r="U887" t="s">
        <v>30</v>
      </c>
    </row>
    <row r="888" spans="1:21" ht="15" customHeight="1" x14ac:dyDescent="0.3">
      <c r="A888" t="s">
        <v>179</v>
      </c>
      <c r="B888" t="str">
        <f>"00065881"</f>
        <v>00065881</v>
      </c>
      <c r="C888" t="s">
        <v>4254</v>
      </c>
      <c r="D888" t="s">
        <v>1049</v>
      </c>
      <c r="E888" t="str">
        <f>"00057038"</f>
        <v>00057038</v>
      </c>
      <c r="F888">
        <v>0</v>
      </c>
      <c r="G888" s="243">
        <v>40042</v>
      </c>
      <c r="H888" t="s">
        <v>182</v>
      </c>
      <c r="I888">
        <v>15</v>
      </c>
      <c r="J888">
        <v>12</v>
      </c>
      <c r="K888">
        <v>1</v>
      </c>
      <c r="L888">
        <v>89887</v>
      </c>
      <c r="M888" t="str">
        <f t="shared" si="127"/>
        <v>13</v>
      </c>
      <c r="N888" t="s">
        <v>3323</v>
      </c>
      <c r="O888" t="str">
        <f t="shared" si="125"/>
        <v>53611</v>
      </c>
      <c r="P888" t="str">
        <f t="shared" si="129"/>
        <v>2100L</v>
      </c>
      <c r="Q888" t="str">
        <f t="shared" si="128"/>
        <v>0101</v>
      </c>
      <c r="R888">
        <v>2100</v>
      </c>
      <c r="S888" t="str">
        <f t="shared" si="126"/>
        <v>5360</v>
      </c>
      <c r="T888" t="s">
        <v>3464</v>
      </c>
      <c r="U888" t="s">
        <v>30</v>
      </c>
    </row>
    <row r="889" spans="1:21" ht="15" customHeight="1" x14ac:dyDescent="0.3">
      <c r="A889" t="s">
        <v>179</v>
      </c>
      <c r="B889" t="str">
        <f>"00065882"</f>
        <v>00065882</v>
      </c>
      <c r="C889" t="s">
        <v>4258</v>
      </c>
      <c r="D889" t="s">
        <v>4580</v>
      </c>
      <c r="E889" t="str">
        <f>"00045835"</f>
        <v>00045835</v>
      </c>
      <c r="F889">
        <v>0</v>
      </c>
      <c r="G889" s="243">
        <v>40952</v>
      </c>
      <c r="H889" t="s">
        <v>182</v>
      </c>
      <c r="I889">
        <v>15</v>
      </c>
      <c r="J889">
        <v>3</v>
      </c>
      <c r="K889">
        <v>1</v>
      </c>
      <c r="L889">
        <v>55210</v>
      </c>
      <c r="M889" t="str">
        <f t="shared" si="127"/>
        <v>13</v>
      </c>
      <c r="N889" t="s">
        <v>3323</v>
      </c>
      <c r="O889" t="str">
        <f t="shared" si="125"/>
        <v>53611</v>
      </c>
      <c r="P889" t="str">
        <f t="shared" si="129"/>
        <v>2100L</v>
      </c>
      <c r="Q889" t="str">
        <f t="shared" si="128"/>
        <v>0101</v>
      </c>
      <c r="R889">
        <v>2100</v>
      </c>
      <c r="S889" t="str">
        <f t="shared" si="126"/>
        <v>5360</v>
      </c>
      <c r="T889" t="s">
        <v>3464</v>
      </c>
      <c r="U889" t="s">
        <v>30</v>
      </c>
    </row>
    <row r="890" spans="1:21" ht="15" customHeight="1" x14ac:dyDescent="0.3">
      <c r="A890" t="s">
        <v>179</v>
      </c>
      <c r="B890" t="str">
        <f>"00065883"</f>
        <v>00065883</v>
      </c>
      <c r="C890" t="s">
        <v>4262</v>
      </c>
      <c r="D890" t="s">
        <v>1050</v>
      </c>
      <c r="E890" t="str">
        <f>"00049818"</f>
        <v>00049818</v>
      </c>
      <c r="F890">
        <v>0</v>
      </c>
      <c r="G890" s="243">
        <v>34941</v>
      </c>
      <c r="H890" t="s">
        <v>182</v>
      </c>
      <c r="I890">
        <v>15</v>
      </c>
      <c r="J890">
        <v>13</v>
      </c>
      <c r="K890">
        <v>1</v>
      </c>
      <c r="L890">
        <v>81724</v>
      </c>
      <c r="M890" t="str">
        <f t="shared" si="127"/>
        <v>13</v>
      </c>
      <c r="N890" t="s">
        <v>3323</v>
      </c>
      <c r="O890" t="str">
        <f t="shared" si="125"/>
        <v>53611</v>
      </c>
      <c r="P890" t="str">
        <f t="shared" si="129"/>
        <v>2100L</v>
      </c>
      <c r="Q890" t="str">
        <f t="shared" si="128"/>
        <v>0101</v>
      </c>
      <c r="R890">
        <v>2100</v>
      </c>
      <c r="S890" t="str">
        <f t="shared" si="126"/>
        <v>5360</v>
      </c>
      <c r="T890" t="s">
        <v>3464</v>
      </c>
      <c r="U890" t="s">
        <v>30</v>
      </c>
    </row>
    <row r="891" spans="1:21" ht="15" customHeight="1" x14ac:dyDescent="0.3">
      <c r="A891" t="s">
        <v>179</v>
      </c>
      <c r="B891" t="str">
        <f>"00065884"</f>
        <v>00065884</v>
      </c>
      <c r="C891" t="s">
        <v>4262</v>
      </c>
      <c r="D891" t="s">
        <v>1051</v>
      </c>
      <c r="E891" t="str">
        <f>"00057052"</f>
        <v>00057052</v>
      </c>
      <c r="F891">
        <v>0</v>
      </c>
      <c r="G891" s="243">
        <v>40042</v>
      </c>
      <c r="H891" t="s">
        <v>182</v>
      </c>
      <c r="I891">
        <v>15</v>
      </c>
      <c r="J891">
        <v>3</v>
      </c>
      <c r="K891">
        <v>1</v>
      </c>
      <c r="L891">
        <v>58699</v>
      </c>
      <c r="M891" t="str">
        <f t="shared" si="127"/>
        <v>13</v>
      </c>
      <c r="N891" t="s">
        <v>3323</v>
      </c>
      <c r="O891" t="str">
        <f t="shared" si="125"/>
        <v>53611</v>
      </c>
      <c r="P891" t="str">
        <f t="shared" si="129"/>
        <v>2100L</v>
      </c>
      <c r="Q891" t="str">
        <f t="shared" si="128"/>
        <v>0101</v>
      </c>
      <c r="R891">
        <v>2100</v>
      </c>
      <c r="S891" t="str">
        <f t="shared" si="126"/>
        <v>5360</v>
      </c>
      <c r="T891" t="s">
        <v>3464</v>
      </c>
      <c r="U891" t="s">
        <v>30</v>
      </c>
    </row>
    <row r="892" spans="1:21" ht="15" customHeight="1" x14ac:dyDescent="0.3">
      <c r="A892" t="s">
        <v>179</v>
      </c>
      <c r="B892" t="str">
        <f>"00066902"</f>
        <v>00066902</v>
      </c>
      <c r="C892" t="s">
        <v>4272</v>
      </c>
      <c r="D892" t="s">
        <v>1052</v>
      </c>
      <c r="E892" t="str">
        <f>"00058104"</f>
        <v>00058104</v>
      </c>
      <c r="F892">
        <v>0</v>
      </c>
      <c r="G892" s="243">
        <v>40042</v>
      </c>
      <c r="H892" t="s">
        <v>182</v>
      </c>
      <c r="I892">
        <v>15</v>
      </c>
      <c r="J892">
        <v>4</v>
      </c>
      <c r="K892">
        <v>1</v>
      </c>
      <c r="L892">
        <v>63611</v>
      </c>
      <c r="M892" t="str">
        <f t="shared" si="127"/>
        <v>13</v>
      </c>
      <c r="N892" t="s">
        <v>3323</v>
      </c>
      <c r="O892" t="str">
        <f t="shared" si="125"/>
        <v>53611</v>
      </c>
      <c r="P892" t="str">
        <f t="shared" si="129"/>
        <v>2100L</v>
      </c>
      <c r="Q892" t="str">
        <f t="shared" si="128"/>
        <v>0101</v>
      </c>
      <c r="R892">
        <v>2100</v>
      </c>
      <c r="S892" t="str">
        <f t="shared" si="126"/>
        <v>5360</v>
      </c>
      <c r="T892" t="s">
        <v>3464</v>
      </c>
      <c r="U892" t="s">
        <v>30</v>
      </c>
    </row>
    <row r="893" spans="1:21" ht="15" customHeight="1" x14ac:dyDescent="0.3">
      <c r="A893" t="s">
        <v>179</v>
      </c>
      <c r="B893" t="str">
        <f>"00066903"</f>
        <v>00066903</v>
      </c>
      <c r="C893" t="s">
        <v>4262</v>
      </c>
      <c r="D893" t="s">
        <v>2706</v>
      </c>
      <c r="E893" t="str">
        <f>"00051939"</f>
        <v>00051939</v>
      </c>
      <c r="F893">
        <v>0</v>
      </c>
      <c r="G893" s="243">
        <v>37493</v>
      </c>
      <c r="H893" t="s">
        <v>182</v>
      </c>
      <c r="I893">
        <v>15</v>
      </c>
      <c r="J893">
        <v>11</v>
      </c>
      <c r="K893">
        <v>1</v>
      </c>
      <c r="L893">
        <v>81335</v>
      </c>
      <c r="M893" t="str">
        <f t="shared" si="127"/>
        <v>13</v>
      </c>
      <c r="N893" t="s">
        <v>3323</v>
      </c>
      <c r="O893" t="str">
        <f t="shared" si="125"/>
        <v>53611</v>
      </c>
      <c r="P893" t="str">
        <f t="shared" si="129"/>
        <v>2100L</v>
      </c>
      <c r="Q893" t="str">
        <f t="shared" si="128"/>
        <v>0101</v>
      </c>
      <c r="R893">
        <v>2100</v>
      </c>
      <c r="S893" t="str">
        <f t="shared" si="126"/>
        <v>5360</v>
      </c>
      <c r="T893" t="s">
        <v>3464</v>
      </c>
      <c r="U893" t="s">
        <v>30</v>
      </c>
    </row>
    <row r="894" spans="1:21" ht="15" customHeight="1" x14ac:dyDescent="0.3">
      <c r="A894" t="s">
        <v>179</v>
      </c>
      <c r="B894" t="str">
        <f>"00066906"</f>
        <v>00066906</v>
      </c>
      <c r="C894" t="s">
        <v>4262</v>
      </c>
      <c r="D894" t="s">
        <v>1046</v>
      </c>
      <c r="E894" t="str">
        <f>"00063061"</f>
        <v>00063061</v>
      </c>
      <c r="F894">
        <v>0</v>
      </c>
      <c r="G894" s="243">
        <v>40406</v>
      </c>
      <c r="H894" t="s">
        <v>182</v>
      </c>
      <c r="I894">
        <v>15</v>
      </c>
      <c r="J894">
        <v>2</v>
      </c>
      <c r="K894">
        <v>1</v>
      </c>
      <c r="L894">
        <v>56242</v>
      </c>
      <c r="M894" t="str">
        <f t="shared" si="127"/>
        <v>13</v>
      </c>
      <c r="N894" t="s">
        <v>3323</v>
      </c>
      <c r="O894" t="str">
        <f t="shared" si="125"/>
        <v>53611</v>
      </c>
      <c r="P894" t="str">
        <f t="shared" si="129"/>
        <v>2100L</v>
      </c>
      <c r="Q894" t="str">
        <f t="shared" si="128"/>
        <v>0101</v>
      </c>
      <c r="R894">
        <v>2100</v>
      </c>
      <c r="S894" t="str">
        <f t="shared" si="126"/>
        <v>5360</v>
      </c>
      <c r="T894" t="s">
        <v>3464</v>
      </c>
      <c r="U894" t="s">
        <v>30</v>
      </c>
    </row>
    <row r="895" spans="1:21" ht="15" customHeight="1" x14ac:dyDescent="0.3">
      <c r="A895" t="s">
        <v>179</v>
      </c>
      <c r="B895" t="str">
        <f>"00067375"</f>
        <v>00067375</v>
      </c>
      <c r="C895" t="s">
        <v>4292</v>
      </c>
      <c r="H895" t="s">
        <v>170</v>
      </c>
      <c r="I895">
        <v>4</v>
      </c>
      <c r="J895">
        <v>1</v>
      </c>
      <c r="K895">
        <v>1</v>
      </c>
      <c r="L895">
        <v>25662</v>
      </c>
      <c r="M895" t="str">
        <f t="shared" si="127"/>
        <v>13</v>
      </c>
      <c r="N895" t="s">
        <v>3323</v>
      </c>
      <c r="O895" t="str">
        <f t="shared" si="125"/>
        <v>53611</v>
      </c>
      <c r="P895" t="str">
        <f>"3030L"</f>
        <v>3030L</v>
      </c>
      <c r="Q895" t="str">
        <f t="shared" si="128"/>
        <v>0101</v>
      </c>
      <c r="R895">
        <v>3030</v>
      </c>
      <c r="S895" t="str">
        <f t="shared" si="126"/>
        <v>5360</v>
      </c>
      <c r="T895" t="s">
        <v>3464</v>
      </c>
      <c r="U895" t="s">
        <v>30</v>
      </c>
    </row>
    <row r="896" spans="1:21" ht="15" customHeight="1" x14ac:dyDescent="0.3">
      <c r="A896" t="s">
        <v>179</v>
      </c>
      <c r="B896" t="str">
        <f>"00067432"</f>
        <v>00067432</v>
      </c>
      <c r="C896" t="s">
        <v>4264</v>
      </c>
      <c r="H896" t="s">
        <v>170</v>
      </c>
      <c r="I896">
        <v>15</v>
      </c>
      <c r="J896">
        <v>1</v>
      </c>
      <c r="K896">
        <v>1</v>
      </c>
      <c r="L896">
        <v>54975</v>
      </c>
      <c r="M896" t="str">
        <f t="shared" si="127"/>
        <v>13</v>
      </c>
      <c r="N896" t="s">
        <v>3323</v>
      </c>
      <c r="O896" t="str">
        <f t="shared" si="125"/>
        <v>53611</v>
      </c>
      <c r="P896" t="str">
        <f>"3030L"</f>
        <v>3030L</v>
      </c>
      <c r="Q896" t="str">
        <f t="shared" si="128"/>
        <v>0101</v>
      </c>
      <c r="R896">
        <v>3030</v>
      </c>
      <c r="S896" t="str">
        <f t="shared" si="126"/>
        <v>5360</v>
      </c>
      <c r="T896" t="s">
        <v>3464</v>
      </c>
      <c r="U896" t="s">
        <v>30</v>
      </c>
    </row>
    <row r="897" spans="1:21" ht="15" customHeight="1" x14ac:dyDescent="0.3">
      <c r="A897" t="s">
        <v>179</v>
      </c>
      <c r="B897" t="str">
        <f>"00068382"</f>
        <v>00068382</v>
      </c>
      <c r="C897" t="s">
        <v>4272</v>
      </c>
      <c r="D897" t="s">
        <v>1038</v>
      </c>
      <c r="E897" t="str">
        <f>"00045445"</f>
        <v>00045445</v>
      </c>
      <c r="F897">
        <v>0</v>
      </c>
      <c r="G897" s="243">
        <v>32083</v>
      </c>
      <c r="H897" t="s">
        <v>182</v>
      </c>
      <c r="I897">
        <v>15</v>
      </c>
      <c r="J897">
        <v>16</v>
      </c>
      <c r="K897">
        <v>1</v>
      </c>
      <c r="L897">
        <v>103347</v>
      </c>
      <c r="M897" t="str">
        <f t="shared" si="127"/>
        <v>13</v>
      </c>
      <c r="N897" t="s">
        <v>3323</v>
      </c>
      <c r="O897" t="str">
        <f t="shared" si="125"/>
        <v>53611</v>
      </c>
      <c r="P897" t="str">
        <f>"2200L"</f>
        <v>2200L</v>
      </c>
      <c r="Q897" t="str">
        <f t="shared" si="128"/>
        <v>0101</v>
      </c>
      <c r="R897">
        <v>2200</v>
      </c>
      <c r="S897" t="str">
        <f t="shared" si="126"/>
        <v>5360</v>
      </c>
      <c r="T897" t="s">
        <v>3464</v>
      </c>
      <c r="U897" t="s">
        <v>30</v>
      </c>
    </row>
    <row r="898" spans="1:21" ht="15" customHeight="1" x14ac:dyDescent="0.3">
      <c r="A898" t="s">
        <v>179</v>
      </c>
      <c r="B898" t="str">
        <f>"00070759"</f>
        <v>00070759</v>
      </c>
      <c r="C898" t="s">
        <v>4262</v>
      </c>
      <c r="D898" t="s">
        <v>1053</v>
      </c>
      <c r="E898" t="str">
        <f>"00056179"</f>
        <v>00056179</v>
      </c>
      <c r="F898">
        <v>0</v>
      </c>
      <c r="G898" s="243">
        <v>40042</v>
      </c>
      <c r="H898" t="s">
        <v>182</v>
      </c>
      <c r="I898">
        <v>15</v>
      </c>
      <c r="J898">
        <v>4</v>
      </c>
      <c r="K898">
        <v>1</v>
      </c>
      <c r="L898">
        <v>54725</v>
      </c>
      <c r="M898" t="str">
        <f t="shared" si="127"/>
        <v>13</v>
      </c>
      <c r="N898" t="s">
        <v>3323</v>
      </c>
      <c r="O898" t="str">
        <f t="shared" si="125"/>
        <v>53611</v>
      </c>
      <c r="P898" t="str">
        <f>"2100L"</f>
        <v>2100L</v>
      </c>
      <c r="Q898" t="str">
        <f t="shared" si="128"/>
        <v>0101</v>
      </c>
      <c r="R898">
        <v>2100</v>
      </c>
      <c r="S898" t="str">
        <f t="shared" si="126"/>
        <v>5360</v>
      </c>
      <c r="T898" t="s">
        <v>3464</v>
      </c>
      <c r="U898" t="s">
        <v>30</v>
      </c>
    </row>
    <row r="899" spans="1:21" ht="15" customHeight="1" x14ac:dyDescent="0.3">
      <c r="A899" t="s">
        <v>179</v>
      </c>
      <c r="B899" t="str">
        <f>"00072118"</f>
        <v>00072118</v>
      </c>
      <c r="C899" t="s">
        <v>4274</v>
      </c>
      <c r="D899" t="s">
        <v>4581</v>
      </c>
      <c r="E899" t="str">
        <f>"00070591"</f>
        <v>00070591</v>
      </c>
      <c r="F899">
        <v>0</v>
      </c>
      <c r="G899" s="243">
        <v>41183</v>
      </c>
      <c r="H899" t="s">
        <v>182</v>
      </c>
      <c r="I899">
        <v>4</v>
      </c>
      <c r="J899">
        <v>4</v>
      </c>
      <c r="K899">
        <v>1</v>
      </c>
      <c r="L899">
        <v>24543.75</v>
      </c>
      <c r="M899" t="str">
        <f t="shared" si="127"/>
        <v>13</v>
      </c>
      <c r="N899" t="s">
        <v>3323</v>
      </c>
      <c r="O899" t="str">
        <f t="shared" si="125"/>
        <v>53611</v>
      </c>
      <c r="P899" t="str">
        <f>"2200L"</f>
        <v>2200L</v>
      </c>
      <c r="Q899" t="str">
        <f t="shared" si="128"/>
        <v>0101</v>
      </c>
      <c r="R899">
        <v>2200</v>
      </c>
      <c r="S899" t="str">
        <f t="shared" si="126"/>
        <v>5360</v>
      </c>
      <c r="T899" t="s">
        <v>3464</v>
      </c>
      <c r="U899" t="s">
        <v>30</v>
      </c>
    </row>
    <row r="900" spans="1:21" ht="15" customHeight="1" x14ac:dyDescent="0.3">
      <c r="A900" t="s">
        <v>179</v>
      </c>
      <c r="B900" t="str">
        <f>"00072702"</f>
        <v>00072702</v>
      </c>
      <c r="C900" t="s">
        <v>4256</v>
      </c>
      <c r="D900" t="s">
        <v>1054</v>
      </c>
      <c r="E900" t="str">
        <f>"00050727"</f>
        <v>00050727</v>
      </c>
      <c r="F900">
        <v>0</v>
      </c>
      <c r="G900" s="243">
        <v>36761</v>
      </c>
      <c r="H900" t="s">
        <v>182</v>
      </c>
      <c r="I900">
        <v>15</v>
      </c>
      <c r="J900">
        <v>15</v>
      </c>
      <c r="K900">
        <v>1</v>
      </c>
      <c r="L900">
        <v>100792</v>
      </c>
      <c r="M900" t="str">
        <f t="shared" si="127"/>
        <v>13</v>
      </c>
      <c r="N900" t="s">
        <v>3323</v>
      </c>
      <c r="O900" t="str">
        <f t="shared" si="125"/>
        <v>53611</v>
      </c>
      <c r="P900" t="str">
        <f>"2100L"</f>
        <v>2100L</v>
      </c>
      <c r="Q900" t="str">
        <f t="shared" si="128"/>
        <v>0101</v>
      </c>
      <c r="R900">
        <v>2100</v>
      </c>
      <c r="S900" t="str">
        <f t="shared" si="126"/>
        <v>5360</v>
      </c>
      <c r="T900" t="s">
        <v>3464</v>
      </c>
      <c r="U900" t="s">
        <v>30</v>
      </c>
    </row>
    <row r="901" spans="1:21" ht="15" customHeight="1" x14ac:dyDescent="0.3">
      <c r="A901" t="s">
        <v>179</v>
      </c>
      <c r="B901" t="str">
        <f>"00076048"</f>
        <v>00076048</v>
      </c>
      <c r="C901" t="s">
        <v>200</v>
      </c>
      <c r="D901" t="s">
        <v>4582</v>
      </c>
      <c r="E901" t="str">
        <f>"00002432"</f>
        <v>00002432</v>
      </c>
      <c r="F901">
        <v>0</v>
      </c>
      <c r="G901" s="243">
        <v>41133</v>
      </c>
      <c r="H901" t="s">
        <v>182</v>
      </c>
      <c r="I901">
        <v>15</v>
      </c>
      <c r="J901">
        <v>9</v>
      </c>
      <c r="K901">
        <v>0.5</v>
      </c>
      <c r="L901">
        <v>75232</v>
      </c>
      <c r="M901" t="str">
        <f t="shared" si="127"/>
        <v>13</v>
      </c>
      <c r="N901" t="s">
        <v>3323</v>
      </c>
      <c r="O901" t="str">
        <f t="shared" si="125"/>
        <v>53611</v>
      </c>
      <c r="P901" t="str">
        <f>"2100L"</f>
        <v>2100L</v>
      </c>
      <c r="Q901" t="str">
        <f t="shared" si="128"/>
        <v>0101</v>
      </c>
      <c r="R901">
        <v>2100</v>
      </c>
      <c r="S901" t="str">
        <f t="shared" si="126"/>
        <v>5360</v>
      </c>
      <c r="T901" t="s">
        <v>3464</v>
      </c>
      <c r="U901" t="s">
        <v>30</v>
      </c>
    </row>
    <row r="902" spans="1:21" ht="15" customHeight="1" x14ac:dyDescent="0.3">
      <c r="A902" t="s">
        <v>179</v>
      </c>
      <c r="B902" t="str">
        <f>"00076049"</f>
        <v>00076049</v>
      </c>
      <c r="C902" t="s">
        <v>4271</v>
      </c>
      <c r="D902" t="s">
        <v>2712</v>
      </c>
      <c r="E902" t="str">
        <f>"00049879"</f>
        <v>00049879</v>
      </c>
      <c r="F902">
        <v>0</v>
      </c>
      <c r="G902" s="243">
        <v>39678</v>
      </c>
      <c r="H902" t="s">
        <v>182</v>
      </c>
      <c r="I902">
        <v>15</v>
      </c>
      <c r="J902">
        <v>7</v>
      </c>
      <c r="K902">
        <v>1</v>
      </c>
      <c r="L902">
        <v>71581</v>
      </c>
      <c r="M902" t="str">
        <f t="shared" si="127"/>
        <v>13</v>
      </c>
      <c r="N902" t="s">
        <v>3370</v>
      </c>
      <c r="O902" t="str">
        <f t="shared" si="125"/>
        <v>53611</v>
      </c>
      <c r="P902" t="str">
        <f>"2100L"</f>
        <v>2100L</v>
      </c>
      <c r="Q902" t="str">
        <f t="shared" si="128"/>
        <v>0101</v>
      </c>
      <c r="R902">
        <v>2100</v>
      </c>
      <c r="S902" t="str">
        <f t="shared" si="126"/>
        <v>5360</v>
      </c>
      <c r="T902" t="s">
        <v>3464</v>
      </c>
      <c r="U902" t="s">
        <v>30</v>
      </c>
    </row>
    <row r="903" spans="1:21" ht="15" customHeight="1" x14ac:dyDescent="0.3">
      <c r="A903" t="s">
        <v>179</v>
      </c>
      <c r="B903" t="str">
        <f>"00076050"</f>
        <v>00076050</v>
      </c>
      <c r="C903" t="s">
        <v>4262</v>
      </c>
      <c r="H903" t="s">
        <v>170</v>
      </c>
      <c r="I903">
        <v>15</v>
      </c>
      <c r="J903">
        <v>0</v>
      </c>
      <c r="K903">
        <v>0.5</v>
      </c>
      <c r="L903">
        <v>51539</v>
      </c>
      <c r="M903" t="str">
        <f t="shared" si="127"/>
        <v>13</v>
      </c>
      <c r="N903" t="s">
        <v>3370</v>
      </c>
      <c r="O903" t="str">
        <f t="shared" si="125"/>
        <v>53611</v>
      </c>
      <c r="P903" t="str">
        <f>"2100L"</f>
        <v>2100L</v>
      </c>
      <c r="Q903" t="str">
        <f t="shared" si="128"/>
        <v>0101</v>
      </c>
      <c r="R903">
        <v>2100</v>
      </c>
      <c r="S903" t="str">
        <f t="shared" si="126"/>
        <v>5360</v>
      </c>
      <c r="T903" t="s">
        <v>3464</v>
      </c>
      <c r="U903" t="s">
        <v>30</v>
      </c>
    </row>
    <row r="904" spans="1:21" ht="15" customHeight="1" x14ac:dyDescent="0.3">
      <c r="A904" t="s">
        <v>179</v>
      </c>
      <c r="B904" t="str">
        <f>"00076448"</f>
        <v>00076448</v>
      </c>
      <c r="C904" t="s">
        <v>4274</v>
      </c>
      <c r="D904" t="s">
        <v>4583</v>
      </c>
      <c r="E904" t="str">
        <f>"00057602"</f>
        <v>00057602</v>
      </c>
      <c r="F904">
        <v>0</v>
      </c>
      <c r="G904" s="243">
        <v>40042</v>
      </c>
      <c r="H904" t="s">
        <v>182</v>
      </c>
      <c r="I904">
        <v>4</v>
      </c>
      <c r="J904">
        <v>5</v>
      </c>
      <c r="K904">
        <v>0.71</v>
      </c>
      <c r="L904">
        <v>25239.37</v>
      </c>
      <c r="M904" t="str">
        <f t="shared" si="127"/>
        <v>13</v>
      </c>
      <c r="N904" t="s">
        <v>3370</v>
      </c>
      <c r="O904" t="str">
        <f t="shared" si="125"/>
        <v>53611</v>
      </c>
      <c r="P904" t="str">
        <f>"2200L"</f>
        <v>2200L</v>
      </c>
      <c r="Q904" t="str">
        <f t="shared" si="128"/>
        <v>0101</v>
      </c>
      <c r="R904">
        <v>2200</v>
      </c>
      <c r="S904" t="str">
        <f t="shared" si="126"/>
        <v>5360</v>
      </c>
      <c r="T904" t="s">
        <v>3464</v>
      </c>
      <c r="U904" t="s">
        <v>30</v>
      </c>
    </row>
    <row r="905" spans="1:21" ht="15" customHeight="1" x14ac:dyDescent="0.3">
      <c r="A905" t="s">
        <v>179</v>
      </c>
      <c r="B905" t="str">
        <f>"00051547"</f>
        <v>00051547</v>
      </c>
      <c r="C905" t="s">
        <v>4260</v>
      </c>
      <c r="D905" t="s">
        <v>1076</v>
      </c>
      <c r="E905" t="str">
        <f>"00044797"</f>
        <v>00044797</v>
      </c>
      <c r="F905">
        <v>0</v>
      </c>
      <c r="G905" s="243">
        <v>33786</v>
      </c>
      <c r="H905" t="s">
        <v>182</v>
      </c>
      <c r="I905">
        <v>15</v>
      </c>
      <c r="J905">
        <v>16</v>
      </c>
      <c r="K905">
        <v>1</v>
      </c>
      <c r="L905">
        <v>103347</v>
      </c>
      <c r="M905" t="str">
        <f t="shared" si="127"/>
        <v>13</v>
      </c>
      <c r="N905" t="s">
        <v>3323</v>
      </c>
      <c r="O905" t="str">
        <f t="shared" ref="O905:O936" si="130">"53911"</f>
        <v>53911</v>
      </c>
      <c r="P905" t="str">
        <f>"2100L"</f>
        <v>2100L</v>
      </c>
      <c r="Q905" t="str">
        <f t="shared" si="128"/>
        <v>0101</v>
      </c>
      <c r="R905">
        <v>2100</v>
      </c>
      <c r="S905" t="str">
        <f t="shared" ref="S905:S936" si="131">"5390"</f>
        <v>5390</v>
      </c>
      <c r="T905" t="s">
        <v>3466</v>
      </c>
      <c r="U905" t="s">
        <v>32</v>
      </c>
    </row>
    <row r="906" spans="1:21" ht="15" customHeight="1" x14ac:dyDescent="0.3">
      <c r="A906" t="s">
        <v>179</v>
      </c>
      <c r="B906" t="str">
        <f>"00052154"</f>
        <v>00052154</v>
      </c>
      <c r="C906" t="s">
        <v>4262</v>
      </c>
      <c r="D906" t="s">
        <v>2668</v>
      </c>
      <c r="E906" t="str">
        <f>"00045873"</f>
        <v>00045873</v>
      </c>
      <c r="F906">
        <v>0</v>
      </c>
      <c r="G906" s="243">
        <v>38587</v>
      </c>
      <c r="H906" t="s">
        <v>182</v>
      </c>
      <c r="J906">
        <v>0</v>
      </c>
      <c r="K906">
        <v>1</v>
      </c>
      <c r="L906">
        <v>72171</v>
      </c>
      <c r="M906" t="str">
        <f t="shared" si="127"/>
        <v>13</v>
      </c>
      <c r="N906" t="s">
        <v>3323</v>
      </c>
      <c r="O906" t="str">
        <f t="shared" si="130"/>
        <v>53911</v>
      </c>
      <c r="P906" t="str">
        <f>"2100L"</f>
        <v>2100L</v>
      </c>
      <c r="Q906" t="str">
        <f t="shared" si="128"/>
        <v>0101</v>
      </c>
      <c r="R906">
        <v>2100</v>
      </c>
      <c r="S906" t="str">
        <f t="shared" si="131"/>
        <v>5390</v>
      </c>
      <c r="T906" t="s">
        <v>3466</v>
      </c>
      <c r="U906" t="s">
        <v>32</v>
      </c>
    </row>
    <row r="907" spans="1:21" ht="15" customHeight="1" x14ac:dyDescent="0.3">
      <c r="A907" t="s">
        <v>179</v>
      </c>
      <c r="B907" t="str">
        <f>"00053586"</f>
        <v>00053586</v>
      </c>
      <c r="C907" t="s">
        <v>4337</v>
      </c>
      <c r="D907" t="s">
        <v>924</v>
      </c>
      <c r="E907" t="str">
        <f>"00046829"</f>
        <v>00046829</v>
      </c>
      <c r="F907">
        <v>0</v>
      </c>
      <c r="G907" s="243">
        <v>40042</v>
      </c>
      <c r="H907" t="s">
        <v>182</v>
      </c>
      <c r="I907">
        <v>15</v>
      </c>
      <c r="J907">
        <v>13</v>
      </c>
      <c r="K907">
        <v>1</v>
      </c>
      <c r="L907">
        <v>101066</v>
      </c>
      <c r="M907" t="str">
        <f t="shared" si="127"/>
        <v>13</v>
      </c>
      <c r="N907" t="s">
        <v>3323</v>
      </c>
      <c r="O907" t="str">
        <f t="shared" si="130"/>
        <v>53911</v>
      </c>
      <c r="P907" t="str">
        <f>"2100L"</f>
        <v>2100L</v>
      </c>
      <c r="Q907" t="str">
        <f t="shared" si="128"/>
        <v>0101</v>
      </c>
      <c r="R907">
        <v>2100</v>
      </c>
      <c r="S907" t="str">
        <f t="shared" si="131"/>
        <v>5390</v>
      </c>
      <c r="T907" t="s">
        <v>3466</v>
      </c>
      <c r="U907" t="s">
        <v>32</v>
      </c>
    </row>
    <row r="908" spans="1:21" ht="15" customHeight="1" x14ac:dyDescent="0.3">
      <c r="A908" t="s">
        <v>179</v>
      </c>
      <c r="B908" t="str">
        <f>"00054049"</f>
        <v>00054049</v>
      </c>
      <c r="C908" t="s">
        <v>4262</v>
      </c>
      <c r="D908" t="s">
        <v>1078</v>
      </c>
      <c r="E908" t="str">
        <f>"00052935"</f>
        <v>00052935</v>
      </c>
      <c r="F908">
        <v>0</v>
      </c>
      <c r="G908" s="243">
        <v>32050</v>
      </c>
      <c r="H908" t="s">
        <v>182</v>
      </c>
      <c r="I908">
        <v>15</v>
      </c>
      <c r="J908">
        <v>13</v>
      </c>
      <c r="K908">
        <v>1</v>
      </c>
      <c r="L908">
        <v>81724</v>
      </c>
      <c r="M908" t="str">
        <f t="shared" si="127"/>
        <v>13</v>
      </c>
      <c r="N908" t="s">
        <v>3323</v>
      </c>
      <c r="O908" t="str">
        <f t="shared" si="130"/>
        <v>53911</v>
      </c>
      <c r="P908" t="str">
        <f>"2100L"</f>
        <v>2100L</v>
      </c>
      <c r="Q908" t="str">
        <f t="shared" si="128"/>
        <v>0101</v>
      </c>
      <c r="R908">
        <v>2100</v>
      </c>
      <c r="S908" t="str">
        <f t="shared" si="131"/>
        <v>5390</v>
      </c>
      <c r="T908" t="s">
        <v>3466</v>
      </c>
      <c r="U908" t="s">
        <v>32</v>
      </c>
    </row>
    <row r="909" spans="1:21" ht="15" customHeight="1" x14ac:dyDescent="0.3">
      <c r="A909" t="s">
        <v>179</v>
      </c>
      <c r="B909" t="str">
        <f>"00054107"</f>
        <v>00054107</v>
      </c>
      <c r="C909" t="s">
        <v>4274</v>
      </c>
      <c r="D909" t="s">
        <v>4584</v>
      </c>
      <c r="E909" t="str">
        <f>"00053040"</f>
        <v>00053040</v>
      </c>
      <c r="F909">
        <v>0</v>
      </c>
      <c r="G909" s="243">
        <v>35464</v>
      </c>
      <c r="H909" t="s">
        <v>182</v>
      </c>
      <c r="I909">
        <v>4</v>
      </c>
      <c r="J909">
        <v>9</v>
      </c>
      <c r="K909">
        <v>0.75</v>
      </c>
      <c r="L909">
        <v>24021.75</v>
      </c>
      <c r="M909" t="str">
        <f t="shared" si="127"/>
        <v>13</v>
      </c>
      <c r="N909" t="s">
        <v>3323</v>
      </c>
      <c r="O909" t="str">
        <f t="shared" si="130"/>
        <v>53911</v>
      </c>
      <c r="P909" t="str">
        <f>"2200L"</f>
        <v>2200L</v>
      </c>
      <c r="Q909" t="str">
        <f t="shared" si="128"/>
        <v>0101</v>
      </c>
      <c r="R909">
        <v>2200</v>
      </c>
      <c r="S909" t="str">
        <f t="shared" si="131"/>
        <v>5390</v>
      </c>
      <c r="T909" t="s">
        <v>3466</v>
      </c>
      <c r="U909" t="s">
        <v>32</v>
      </c>
    </row>
    <row r="910" spans="1:21" ht="15" customHeight="1" x14ac:dyDescent="0.3">
      <c r="A910" t="s">
        <v>179</v>
      </c>
      <c r="B910" t="str">
        <f>"00054683"</f>
        <v>00054683</v>
      </c>
      <c r="C910" t="s">
        <v>4274</v>
      </c>
      <c r="D910" t="s">
        <v>4585</v>
      </c>
      <c r="E910" t="str">
        <f>"00054405"</f>
        <v>00054405</v>
      </c>
      <c r="F910">
        <v>0</v>
      </c>
      <c r="G910" s="243">
        <v>34304</v>
      </c>
      <c r="H910" t="s">
        <v>182</v>
      </c>
      <c r="I910">
        <v>4</v>
      </c>
      <c r="J910">
        <v>10</v>
      </c>
      <c r="K910">
        <v>0.875</v>
      </c>
      <c r="L910">
        <v>28721</v>
      </c>
      <c r="M910" t="str">
        <f t="shared" si="127"/>
        <v>13</v>
      </c>
      <c r="N910" t="s">
        <v>3323</v>
      </c>
      <c r="O910" t="str">
        <f t="shared" si="130"/>
        <v>53911</v>
      </c>
      <c r="P910" t="str">
        <f>"2100L"</f>
        <v>2100L</v>
      </c>
      <c r="Q910" t="str">
        <f t="shared" si="128"/>
        <v>0101</v>
      </c>
      <c r="R910">
        <v>2100</v>
      </c>
      <c r="S910" t="str">
        <f t="shared" si="131"/>
        <v>5390</v>
      </c>
      <c r="T910" t="s">
        <v>3466</v>
      </c>
      <c r="U910" t="s">
        <v>32</v>
      </c>
    </row>
    <row r="911" spans="1:21" ht="15" customHeight="1" x14ac:dyDescent="0.3">
      <c r="A911" t="s">
        <v>179</v>
      </c>
      <c r="B911" t="str">
        <f>"00055160"</f>
        <v>00055160</v>
      </c>
      <c r="C911" t="s">
        <v>4272</v>
      </c>
      <c r="D911" t="s">
        <v>1079</v>
      </c>
      <c r="E911" t="str">
        <f>"00053573"</f>
        <v>00053573</v>
      </c>
      <c r="F911">
        <v>0</v>
      </c>
      <c r="G911" s="243">
        <v>36390</v>
      </c>
      <c r="H911" t="s">
        <v>182</v>
      </c>
      <c r="I911">
        <v>15</v>
      </c>
      <c r="J911">
        <v>13</v>
      </c>
      <c r="K911">
        <v>1</v>
      </c>
      <c r="L911">
        <v>81724</v>
      </c>
      <c r="M911" t="str">
        <f t="shared" si="127"/>
        <v>13</v>
      </c>
      <c r="N911" t="s">
        <v>3323</v>
      </c>
      <c r="O911" t="str">
        <f t="shared" si="130"/>
        <v>53911</v>
      </c>
      <c r="P911" t="str">
        <f>"2100L"</f>
        <v>2100L</v>
      </c>
      <c r="Q911" t="str">
        <f t="shared" si="128"/>
        <v>0101</v>
      </c>
      <c r="R911">
        <v>2100</v>
      </c>
      <c r="S911" t="str">
        <f t="shared" si="131"/>
        <v>5390</v>
      </c>
      <c r="T911" t="s">
        <v>3466</v>
      </c>
      <c r="U911" t="s">
        <v>32</v>
      </c>
    </row>
    <row r="912" spans="1:21" ht="15" customHeight="1" x14ac:dyDescent="0.3">
      <c r="A912" t="s">
        <v>179</v>
      </c>
      <c r="B912" t="str">
        <f>"00055207"</f>
        <v>00055207</v>
      </c>
      <c r="C912" t="s">
        <v>3798</v>
      </c>
      <c r="D912" t="s">
        <v>1575</v>
      </c>
      <c r="E912" t="str">
        <f>"00045709"</f>
        <v>00045709</v>
      </c>
      <c r="F912">
        <v>0</v>
      </c>
      <c r="G912" s="243">
        <v>38203</v>
      </c>
      <c r="H912" t="s">
        <v>182</v>
      </c>
      <c r="I912">
        <v>61</v>
      </c>
      <c r="J912">
        <v>1</v>
      </c>
      <c r="K912">
        <v>1</v>
      </c>
      <c r="L912">
        <v>100000</v>
      </c>
      <c r="M912" t="str">
        <f t="shared" si="127"/>
        <v>13</v>
      </c>
      <c r="N912" t="s">
        <v>3323</v>
      </c>
      <c r="O912" t="str">
        <f t="shared" si="130"/>
        <v>53911</v>
      </c>
      <c r="P912" t="str">
        <f>"1501L"</f>
        <v>1501L</v>
      </c>
      <c r="Q912" t="str">
        <f t="shared" si="128"/>
        <v>0101</v>
      </c>
      <c r="R912">
        <v>1501</v>
      </c>
      <c r="S912" t="str">
        <f t="shared" si="131"/>
        <v>5390</v>
      </c>
      <c r="T912" t="s">
        <v>3466</v>
      </c>
      <c r="U912" t="s">
        <v>32</v>
      </c>
    </row>
    <row r="913" spans="1:21" ht="15" customHeight="1" x14ac:dyDescent="0.3">
      <c r="A913" t="s">
        <v>179</v>
      </c>
      <c r="B913" t="str">
        <f>"00065767"</f>
        <v>00065767</v>
      </c>
      <c r="C913" t="s">
        <v>4288</v>
      </c>
      <c r="D913" t="s">
        <v>4586</v>
      </c>
      <c r="E913" t="str">
        <f>"00054916"</f>
        <v>00054916</v>
      </c>
      <c r="F913">
        <v>0</v>
      </c>
      <c r="G913" s="243">
        <v>40434</v>
      </c>
      <c r="H913" t="s">
        <v>182</v>
      </c>
      <c r="I913">
        <v>4</v>
      </c>
      <c r="J913">
        <v>9</v>
      </c>
      <c r="K913">
        <v>1</v>
      </c>
      <c r="L913">
        <v>28025.38</v>
      </c>
      <c r="M913" t="str">
        <f t="shared" si="127"/>
        <v>13</v>
      </c>
      <c r="N913" t="s">
        <v>3323</v>
      </c>
      <c r="O913" t="str">
        <f t="shared" si="130"/>
        <v>53911</v>
      </c>
      <c r="P913" t="str">
        <f>"2200L"</f>
        <v>2200L</v>
      </c>
      <c r="Q913" t="str">
        <f t="shared" si="128"/>
        <v>0101</v>
      </c>
      <c r="R913">
        <v>2200</v>
      </c>
      <c r="S913" t="str">
        <f t="shared" si="131"/>
        <v>5390</v>
      </c>
      <c r="T913" t="s">
        <v>3466</v>
      </c>
      <c r="U913" t="s">
        <v>32</v>
      </c>
    </row>
    <row r="914" spans="1:21" ht="15" customHeight="1" x14ac:dyDescent="0.3">
      <c r="A914" t="s">
        <v>179</v>
      </c>
      <c r="B914" t="str">
        <f>"00066148"</f>
        <v>00066148</v>
      </c>
      <c r="C914" t="s">
        <v>4274</v>
      </c>
      <c r="D914" t="s">
        <v>4587</v>
      </c>
      <c r="E914" t="str">
        <f>"00057794"</f>
        <v>00057794</v>
      </c>
      <c r="F914">
        <v>0</v>
      </c>
      <c r="G914" s="243">
        <v>40042</v>
      </c>
      <c r="H914" t="s">
        <v>182</v>
      </c>
      <c r="I914">
        <v>4</v>
      </c>
      <c r="J914">
        <v>6</v>
      </c>
      <c r="K914">
        <v>1</v>
      </c>
      <c r="L914">
        <v>25935.88</v>
      </c>
      <c r="M914" t="str">
        <f t="shared" si="127"/>
        <v>13</v>
      </c>
      <c r="N914" t="s">
        <v>3323</v>
      </c>
      <c r="O914" t="str">
        <f t="shared" si="130"/>
        <v>53911</v>
      </c>
      <c r="P914" t="str">
        <f>"2100L"</f>
        <v>2100L</v>
      </c>
      <c r="Q914" t="str">
        <f t="shared" si="128"/>
        <v>0101</v>
      </c>
      <c r="R914">
        <v>2100</v>
      </c>
      <c r="S914" t="str">
        <f t="shared" si="131"/>
        <v>5390</v>
      </c>
      <c r="T914" t="s">
        <v>3466</v>
      </c>
      <c r="U914" t="s">
        <v>32</v>
      </c>
    </row>
    <row r="915" spans="1:21" ht="15" customHeight="1" x14ac:dyDescent="0.3">
      <c r="A915" t="s">
        <v>179</v>
      </c>
      <c r="B915" t="str">
        <f>"00070781"</f>
        <v>00070781</v>
      </c>
      <c r="C915" t="s">
        <v>200</v>
      </c>
      <c r="D915" t="s">
        <v>1080</v>
      </c>
      <c r="E915" t="str">
        <f>"00025456"</f>
        <v>00025456</v>
      </c>
      <c r="F915">
        <v>0</v>
      </c>
      <c r="G915" s="243">
        <v>40154</v>
      </c>
      <c r="H915" t="s">
        <v>182</v>
      </c>
      <c r="I915">
        <v>15</v>
      </c>
      <c r="J915">
        <v>13</v>
      </c>
      <c r="K915">
        <v>1</v>
      </c>
      <c r="L915">
        <v>95366</v>
      </c>
      <c r="M915" t="str">
        <f t="shared" si="127"/>
        <v>13</v>
      </c>
      <c r="N915" t="s">
        <v>3323</v>
      </c>
      <c r="O915" t="str">
        <f t="shared" si="130"/>
        <v>53911</v>
      </c>
      <c r="P915" t="str">
        <f>"2100L"</f>
        <v>2100L</v>
      </c>
      <c r="Q915" t="str">
        <f t="shared" si="128"/>
        <v>0101</v>
      </c>
      <c r="R915">
        <v>2100</v>
      </c>
      <c r="S915" t="str">
        <f t="shared" si="131"/>
        <v>5390</v>
      </c>
      <c r="T915" t="s">
        <v>3466</v>
      </c>
      <c r="U915" t="s">
        <v>32</v>
      </c>
    </row>
    <row r="916" spans="1:21" ht="15" customHeight="1" x14ac:dyDescent="0.3">
      <c r="A916" t="s">
        <v>179</v>
      </c>
      <c r="B916" t="str">
        <f>"00072211"</f>
        <v>00072211</v>
      </c>
      <c r="C916" t="s">
        <v>4272</v>
      </c>
      <c r="D916" t="s">
        <v>1081</v>
      </c>
      <c r="E916" t="str">
        <f>"00062900"</f>
        <v>00062900</v>
      </c>
      <c r="F916">
        <v>0</v>
      </c>
      <c r="G916" s="243">
        <v>40406</v>
      </c>
      <c r="H916" t="s">
        <v>182</v>
      </c>
      <c r="I916">
        <v>15</v>
      </c>
      <c r="J916">
        <v>3</v>
      </c>
      <c r="K916">
        <v>1</v>
      </c>
      <c r="L916">
        <v>52777</v>
      </c>
      <c r="M916" t="str">
        <f t="shared" si="127"/>
        <v>13</v>
      </c>
      <c r="N916" t="s">
        <v>3323</v>
      </c>
      <c r="O916" t="str">
        <f t="shared" si="130"/>
        <v>53911</v>
      </c>
      <c r="P916" t="str">
        <f>"2100L"</f>
        <v>2100L</v>
      </c>
      <c r="Q916" t="str">
        <f t="shared" si="128"/>
        <v>0101</v>
      </c>
      <c r="R916">
        <v>2100</v>
      </c>
      <c r="S916" t="str">
        <f t="shared" si="131"/>
        <v>5390</v>
      </c>
      <c r="T916" t="s">
        <v>3466</v>
      </c>
      <c r="U916" t="s">
        <v>32</v>
      </c>
    </row>
    <row r="917" spans="1:21" ht="15" customHeight="1" x14ac:dyDescent="0.3">
      <c r="A917" t="s">
        <v>179</v>
      </c>
      <c r="B917" t="str">
        <f>"00072312"</f>
        <v>00072312</v>
      </c>
      <c r="C917" t="s">
        <v>4262</v>
      </c>
      <c r="D917" t="s">
        <v>3469</v>
      </c>
      <c r="E917" t="str">
        <f>"00065677"</f>
        <v>00065677</v>
      </c>
      <c r="F917">
        <v>0</v>
      </c>
      <c r="G917" s="243">
        <v>40755</v>
      </c>
      <c r="H917" t="s">
        <v>182</v>
      </c>
      <c r="I917">
        <v>15</v>
      </c>
      <c r="J917">
        <v>5</v>
      </c>
      <c r="K917">
        <v>1</v>
      </c>
      <c r="L917">
        <v>56655</v>
      </c>
      <c r="M917" t="str">
        <f t="shared" si="127"/>
        <v>13</v>
      </c>
      <c r="N917" t="s">
        <v>3323</v>
      </c>
      <c r="O917" t="str">
        <f t="shared" si="130"/>
        <v>53911</v>
      </c>
      <c r="P917" t="str">
        <f>"2100L"</f>
        <v>2100L</v>
      </c>
      <c r="Q917" t="str">
        <f t="shared" si="128"/>
        <v>0101</v>
      </c>
      <c r="R917">
        <v>2100</v>
      </c>
      <c r="S917" t="str">
        <f t="shared" si="131"/>
        <v>5390</v>
      </c>
      <c r="T917" t="s">
        <v>3466</v>
      </c>
      <c r="U917" t="s">
        <v>32</v>
      </c>
    </row>
    <row r="918" spans="1:21" ht="15" customHeight="1" x14ac:dyDescent="0.3">
      <c r="A918" t="s">
        <v>179</v>
      </c>
      <c r="B918" t="str">
        <f>"00072316"</f>
        <v>00072316</v>
      </c>
      <c r="C918" t="s">
        <v>4260</v>
      </c>
      <c r="D918" t="s">
        <v>2038</v>
      </c>
      <c r="E918" t="str">
        <f>"00053831"</f>
        <v>00053831</v>
      </c>
      <c r="F918">
        <v>0</v>
      </c>
      <c r="G918" s="243">
        <v>37910</v>
      </c>
      <c r="H918" t="s">
        <v>182</v>
      </c>
      <c r="I918">
        <v>15</v>
      </c>
      <c r="J918">
        <v>15</v>
      </c>
      <c r="K918">
        <v>1</v>
      </c>
      <c r="L918">
        <v>103985</v>
      </c>
      <c r="M918" t="str">
        <f t="shared" si="127"/>
        <v>13</v>
      </c>
      <c r="N918" t="s">
        <v>3370</v>
      </c>
      <c r="O918" t="str">
        <f t="shared" si="130"/>
        <v>53911</v>
      </c>
      <c r="P918" t="str">
        <f>"2100L"</f>
        <v>2100L</v>
      </c>
      <c r="Q918" t="str">
        <f t="shared" si="128"/>
        <v>0101</v>
      </c>
      <c r="R918">
        <v>2100</v>
      </c>
      <c r="S918" t="str">
        <f t="shared" si="131"/>
        <v>5390</v>
      </c>
      <c r="T918" t="s">
        <v>3466</v>
      </c>
      <c r="U918" t="s">
        <v>32</v>
      </c>
    </row>
    <row r="919" spans="1:21" ht="15" customHeight="1" x14ac:dyDescent="0.3">
      <c r="A919" t="s">
        <v>179</v>
      </c>
      <c r="B919" t="str">
        <f>"00072401"</f>
        <v>00072401</v>
      </c>
      <c r="C919" t="s">
        <v>4262</v>
      </c>
      <c r="D919" t="s">
        <v>1082</v>
      </c>
      <c r="E919" t="str">
        <f>"00056979"</f>
        <v>00056979</v>
      </c>
      <c r="F919">
        <v>0</v>
      </c>
      <c r="G919" s="243">
        <v>40406</v>
      </c>
      <c r="H919" t="s">
        <v>182</v>
      </c>
      <c r="I919">
        <v>15</v>
      </c>
      <c r="J919">
        <v>2</v>
      </c>
      <c r="K919">
        <v>1</v>
      </c>
      <c r="L919">
        <v>56242</v>
      </c>
      <c r="M919" t="str">
        <f t="shared" si="127"/>
        <v>13</v>
      </c>
      <c r="N919" t="s">
        <v>3323</v>
      </c>
      <c r="O919" t="str">
        <f t="shared" si="130"/>
        <v>53911</v>
      </c>
      <c r="P919" t="str">
        <f t="shared" ref="P919:P926" si="132">"2100L"</f>
        <v>2100L</v>
      </c>
      <c r="Q919" t="str">
        <f t="shared" si="128"/>
        <v>0101</v>
      </c>
      <c r="R919">
        <v>2100</v>
      </c>
      <c r="S919" t="str">
        <f t="shared" si="131"/>
        <v>5390</v>
      </c>
      <c r="T919" t="s">
        <v>3466</v>
      </c>
      <c r="U919" t="s">
        <v>32</v>
      </c>
    </row>
    <row r="920" spans="1:21" ht="15" customHeight="1" x14ac:dyDescent="0.3">
      <c r="A920" t="s">
        <v>179</v>
      </c>
      <c r="B920" t="str">
        <f>"00072452"</f>
        <v>00072452</v>
      </c>
      <c r="C920" t="s">
        <v>4274</v>
      </c>
      <c r="D920" t="s">
        <v>4588</v>
      </c>
      <c r="E920" t="str">
        <f>"00062556"</f>
        <v>00062556</v>
      </c>
      <c r="F920">
        <v>0</v>
      </c>
      <c r="G920" s="243">
        <v>40406</v>
      </c>
      <c r="H920" t="s">
        <v>182</v>
      </c>
      <c r="I920">
        <v>4</v>
      </c>
      <c r="J920">
        <v>5</v>
      </c>
      <c r="K920">
        <v>0.71</v>
      </c>
      <c r="L920">
        <v>25239.37</v>
      </c>
      <c r="M920" t="str">
        <f t="shared" si="127"/>
        <v>13</v>
      </c>
      <c r="N920" t="s">
        <v>3323</v>
      </c>
      <c r="O920" t="str">
        <f t="shared" si="130"/>
        <v>53911</v>
      </c>
      <c r="P920" t="str">
        <f t="shared" si="132"/>
        <v>2100L</v>
      </c>
      <c r="Q920" t="str">
        <f t="shared" si="128"/>
        <v>0101</v>
      </c>
      <c r="R920">
        <v>2100</v>
      </c>
      <c r="S920" t="str">
        <f t="shared" si="131"/>
        <v>5390</v>
      </c>
      <c r="T920" t="s">
        <v>3466</v>
      </c>
      <c r="U920" t="s">
        <v>32</v>
      </c>
    </row>
    <row r="921" spans="1:21" ht="15" customHeight="1" x14ac:dyDescent="0.3">
      <c r="A921" t="s">
        <v>179</v>
      </c>
      <c r="B921" t="str">
        <f>"00072707"</f>
        <v>00072707</v>
      </c>
      <c r="C921" t="s">
        <v>4262</v>
      </c>
      <c r="D921" t="s">
        <v>1085</v>
      </c>
      <c r="E921" t="str">
        <f>"00052907"</f>
        <v>00052907</v>
      </c>
      <c r="F921">
        <v>0</v>
      </c>
      <c r="G921" s="243">
        <v>34366</v>
      </c>
      <c r="H921" t="s">
        <v>182</v>
      </c>
      <c r="I921">
        <v>15</v>
      </c>
      <c r="J921">
        <v>15</v>
      </c>
      <c r="K921">
        <v>1</v>
      </c>
      <c r="L921">
        <v>103985</v>
      </c>
      <c r="M921" t="str">
        <f t="shared" si="127"/>
        <v>13</v>
      </c>
      <c r="N921" t="s">
        <v>3323</v>
      </c>
      <c r="O921" t="str">
        <f t="shared" si="130"/>
        <v>53911</v>
      </c>
      <c r="P921" t="str">
        <f t="shared" si="132"/>
        <v>2100L</v>
      </c>
      <c r="Q921" t="str">
        <f t="shared" si="128"/>
        <v>0101</v>
      </c>
      <c r="R921">
        <v>2100</v>
      </c>
      <c r="S921" t="str">
        <f t="shared" si="131"/>
        <v>5390</v>
      </c>
      <c r="T921" t="s">
        <v>3466</v>
      </c>
      <c r="U921" t="s">
        <v>32</v>
      </c>
    </row>
    <row r="922" spans="1:21" ht="15" customHeight="1" x14ac:dyDescent="0.3">
      <c r="A922" t="s">
        <v>179</v>
      </c>
      <c r="B922" t="str">
        <f>"00072708"</f>
        <v>00072708</v>
      </c>
      <c r="C922" t="s">
        <v>4272</v>
      </c>
      <c r="D922" t="s">
        <v>1086</v>
      </c>
      <c r="E922" t="str">
        <f>"00063132"</f>
        <v>00063132</v>
      </c>
      <c r="F922">
        <v>0</v>
      </c>
      <c r="G922" s="243">
        <v>40406</v>
      </c>
      <c r="H922" t="s">
        <v>182</v>
      </c>
      <c r="I922">
        <v>15</v>
      </c>
      <c r="J922">
        <v>7</v>
      </c>
      <c r="K922">
        <v>1</v>
      </c>
      <c r="L922">
        <v>63496</v>
      </c>
      <c r="M922" t="str">
        <f t="shared" si="127"/>
        <v>13</v>
      </c>
      <c r="N922" t="s">
        <v>3323</v>
      </c>
      <c r="O922" t="str">
        <f t="shared" si="130"/>
        <v>53911</v>
      </c>
      <c r="P922" t="str">
        <f t="shared" si="132"/>
        <v>2100L</v>
      </c>
      <c r="Q922" t="str">
        <f t="shared" si="128"/>
        <v>0101</v>
      </c>
      <c r="R922">
        <v>2100</v>
      </c>
      <c r="S922" t="str">
        <f t="shared" si="131"/>
        <v>5390</v>
      </c>
      <c r="T922" t="s">
        <v>3466</v>
      </c>
      <c r="U922" t="s">
        <v>32</v>
      </c>
    </row>
    <row r="923" spans="1:21" ht="15" customHeight="1" x14ac:dyDescent="0.3">
      <c r="A923" t="s">
        <v>179</v>
      </c>
      <c r="B923" t="str">
        <f>"00072709"</f>
        <v>00072709</v>
      </c>
      <c r="C923" t="s">
        <v>4262</v>
      </c>
      <c r="D923" t="s">
        <v>2036</v>
      </c>
      <c r="E923" t="str">
        <f>"00052257"</f>
        <v>00052257</v>
      </c>
      <c r="F923">
        <v>0</v>
      </c>
      <c r="G923" s="243">
        <v>41132</v>
      </c>
      <c r="H923" t="s">
        <v>182</v>
      </c>
      <c r="I923">
        <v>15</v>
      </c>
      <c r="J923">
        <v>15</v>
      </c>
      <c r="K923">
        <v>1</v>
      </c>
      <c r="L923">
        <v>100792</v>
      </c>
      <c r="M923" t="str">
        <f t="shared" si="127"/>
        <v>13</v>
      </c>
      <c r="N923" t="s">
        <v>3370</v>
      </c>
      <c r="O923" t="str">
        <f t="shared" si="130"/>
        <v>53911</v>
      </c>
      <c r="P923" t="str">
        <f t="shared" si="132"/>
        <v>2100L</v>
      </c>
      <c r="Q923" t="str">
        <f t="shared" si="128"/>
        <v>0101</v>
      </c>
      <c r="R923">
        <v>2100</v>
      </c>
      <c r="S923" t="str">
        <f t="shared" si="131"/>
        <v>5390</v>
      </c>
      <c r="T923" t="s">
        <v>3466</v>
      </c>
      <c r="U923" t="s">
        <v>32</v>
      </c>
    </row>
    <row r="924" spans="1:21" ht="15" customHeight="1" x14ac:dyDescent="0.3">
      <c r="A924" t="s">
        <v>179</v>
      </c>
      <c r="B924" t="str">
        <f>"00072710"</f>
        <v>00072710</v>
      </c>
      <c r="C924" t="s">
        <v>4262</v>
      </c>
      <c r="D924" t="s">
        <v>1087</v>
      </c>
      <c r="E924" t="str">
        <f>"00063062"</f>
        <v>00063062</v>
      </c>
      <c r="F924">
        <v>0</v>
      </c>
      <c r="G924" s="243">
        <v>40406</v>
      </c>
      <c r="H924" t="s">
        <v>182</v>
      </c>
      <c r="I924">
        <v>15</v>
      </c>
      <c r="J924">
        <v>3</v>
      </c>
      <c r="K924">
        <v>1</v>
      </c>
      <c r="L924">
        <v>58699</v>
      </c>
      <c r="M924" t="str">
        <f t="shared" si="127"/>
        <v>13</v>
      </c>
      <c r="N924" t="s">
        <v>3323</v>
      </c>
      <c r="O924" t="str">
        <f t="shared" si="130"/>
        <v>53911</v>
      </c>
      <c r="P924" t="str">
        <f t="shared" si="132"/>
        <v>2100L</v>
      </c>
      <c r="Q924" t="str">
        <f t="shared" si="128"/>
        <v>0101</v>
      </c>
      <c r="R924">
        <v>2100</v>
      </c>
      <c r="S924" t="str">
        <f t="shared" si="131"/>
        <v>5390</v>
      </c>
      <c r="T924" t="s">
        <v>3466</v>
      </c>
      <c r="U924" t="s">
        <v>32</v>
      </c>
    </row>
    <row r="925" spans="1:21" ht="15" customHeight="1" x14ac:dyDescent="0.3">
      <c r="A925" t="s">
        <v>179</v>
      </c>
      <c r="B925" t="str">
        <f>"00072711"</f>
        <v>00072711</v>
      </c>
      <c r="C925" t="s">
        <v>4272</v>
      </c>
      <c r="D925" t="s">
        <v>1088</v>
      </c>
      <c r="E925" t="str">
        <f>"00063169"</f>
        <v>00063169</v>
      </c>
      <c r="F925">
        <v>0</v>
      </c>
      <c r="G925" s="243">
        <v>40390</v>
      </c>
      <c r="H925" t="s">
        <v>182</v>
      </c>
      <c r="I925">
        <v>15</v>
      </c>
      <c r="J925">
        <v>12</v>
      </c>
      <c r="K925">
        <v>1</v>
      </c>
      <c r="L925">
        <v>87431</v>
      </c>
      <c r="M925" t="str">
        <f t="shared" si="127"/>
        <v>13</v>
      </c>
      <c r="N925" t="s">
        <v>3323</v>
      </c>
      <c r="O925" t="str">
        <f t="shared" si="130"/>
        <v>53911</v>
      </c>
      <c r="P925" t="str">
        <f t="shared" si="132"/>
        <v>2100L</v>
      </c>
      <c r="Q925" t="str">
        <f t="shared" si="128"/>
        <v>0101</v>
      </c>
      <c r="R925">
        <v>2100</v>
      </c>
      <c r="S925" t="str">
        <f t="shared" si="131"/>
        <v>5390</v>
      </c>
      <c r="T925" t="s">
        <v>3466</v>
      </c>
      <c r="U925" t="s">
        <v>32</v>
      </c>
    </row>
    <row r="926" spans="1:21" ht="15" customHeight="1" x14ac:dyDescent="0.3">
      <c r="A926" t="s">
        <v>179</v>
      </c>
      <c r="B926" t="str">
        <f>"00072712"</f>
        <v>00072712</v>
      </c>
      <c r="C926" t="s">
        <v>4272</v>
      </c>
      <c r="D926" t="s">
        <v>3947</v>
      </c>
      <c r="E926" t="str">
        <f>"00065824"</f>
        <v>00065824</v>
      </c>
      <c r="F926">
        <v>0</v>
      </c>
      <c r="G926" s="243">
        <v>40755</v>
      </c>
      <c r="H926" t="s">
        <v>182</v>
      </c>
      <c r="I926">
        <v>15</v>
      </c>
      <c r="J926">
        <v>2</v>
      </c>
      <c r="K926">
        <v>1</v>
      </c>
      <c r="L926">
        <v>56242</v>
      </c>
      <c r="M926" t="str">
        <f t="shared" si="127"/>
        <v>13</v>
      </c>
      <c r="N926" t="s">
        <v>3323</v>
      </c>
      <c r="O926" t="str">
        <f t="shared" si="130"/>
        <v>53911</v>
      </c>
      <c r="P926" t="str">
        <f t="shared" si="132"/>
        <v>2100L</v>
      </c>
      <c r="Q926" t="str">
        <f t="shared" si="128"/>
        <v>0101</v>
      </c>
      <c r="R926">
        <v>2100</v>
      </c>
      <c r="S926" t="str">
        <f t="shared" si="131"/>
        <v>5390</v>
      </c>
      <c r="T926" t="s">
        <v>3466</v>
      </c>
      <c r="U926" t="s">
        <v>32</v>
      </c>
    </row>
    <row r="927" spans="1:21" ht="15" customHeight="1" x14ac:dyDescent="0.3">
      <c r="A927" t="s">
        <v>179</v>
      </c>
      <c r="B927" t="str">
        <f>"00073850"</f>
        <v>00073850</v>
      </c>
      <c r="C927" t="s">
        <v>4256</v>
      </c>
      <c r="D927" t="s">
        <v>2123</v>
      </c>
      <c r="E927" t="str">
        <f>"00053579"</f>
        <v>00053579</v>
      </c>
      <c r="F927">
        <v>0</v>
      </c>
      <c r="G927" s="243">
        <v>38702</v>
      </c>
      <c r="H927" t="s">
        <v>182</v>
      </c>
      <c r="I927">
        <v>15</v>
      </c>
      <c r="J927">
        <v>12</v>
      </c>
      <c r="K927">
        <v>0.25</v>
      </c>
      <c r="L927">
        <v>37908</v>
      </c>
      <c r="M927" t="str">
        <f t="shared" si="127"/>
        <v>13</v>
      </c>
      <c r="N927" t="s">
        <v>3323</v>
      </c>
      <c r="O927" t="str">
        <f t="shared" si="130"/>
        <v>53911</v>
      </c>
      <c r="P927" t="str">
        <f>"2100L"</f>
        <v>2100L</v>
      </c>
      <c r="Q927" t="str">
        <f t="shared" si="128"/>
        <v>0101</v>
      </c>
      <c r="R927">
        <v>2100</v>
      </c>
      <c r="S927" t="str">
        <f t="shared" si="131"/>
        <v>5390</v>
      </c>
      <c r="T927" t="s">
        <v>3466</v>
      </c>
      <c r="U927" t="s">
        <v>32</v>
      </c>
    </row>
    <row r="928" spans="1:21" ht="15" customHeight="1" x14ac:dyDescent="0.3">
      <c r="A928" t="s">
        <v>179</v>
      </c>
      <c r="B928" t="str">
        <f>"00074311"</f>
        <v>00074311</v>
      </c>
      <c r="C928" t="s">
        <v>4293</v>
      </c>
      <c r="D928" t="s">
        <v>3470</v>
      </c>
      <c r="E928" t="str">
        <f>"00065634"</f>
        <v>00065634</v>
      </c>
      <c r="F928">
        <v>0</v>
      </c>
      <c r="G928" s="243">
        <v>40755</v>
      </c>
      <c r="H928" t="s">
        <v>182</v>
      </c>
      <c r="I928">
        <v>15</v>
      </c>
      <c r="J928">
        <v>2</v>
      </c>
      <c r="K928">
        <v>0.5</v>
      </c>
      <c r="L928">
        <v>54099</v>
      </c>
      <c r="M928" t="str">
        <f t="shared" ref="M928:M985" si="133">"13"</f>
        <v>13</v>
      </c>
      <c r="N928" t="s">
        <v>3323</v>
      </c>
      <c r="O928" t="str">
        <f t="shared" si="130"/>
        <v>53911</v>
      </c>
      <c r="P928" t="str">
        <f>"2100L"</f>
        <v>2100L</v>
      </c>
      <c r="Q928" t="str">
        <f t="shared" ref="Q928:Q985" si="134">"0101"</f>
        <v>0101</v>
      </c>
      <c r="R928">
        <v>2100</v>
      </c>
      <c r="S928" t="str">
        <f t="shared" si="131"/>
        <v>5390</v>
      </c>
      <c r="T928" t="s">
        <v>3325</v>
      </c>
      <c r="U928" t="s">
        <v>70</v>
      </c>
    </row>
    <row r="929" spans="1:21" ht="15" customHeight="1" x14ac:dyDescent="0.3">
      <c r="A929" t="s">
        <v>179</v>
      </c>
      <c r="B929" t="str">
        <f>"00074410"</f>
        <v>00074410</v>
      </c>
      <c r="C929" t="s">
        <v>4257</v>
      </c>
      <c r="D929" t="s">
        <v>1337</v>
      </c>
      <c r="E929" t="str">
        <f>"00052168"</f>
        <v>00052168</v>
      </c>
      <c r="F929">
        <v>0</v>
      </c>
      <c r="G929" s="243">
        <v>36034</v>
      </c>
      <c r="H929" t="s">
        <v>182</v>
      </c>
      <c r="I929">
        <v>15</v>
      </c>
      <c r="J929">
        <v>12</v>
      </c>
      <c r="K929">
        <v>0.25</v>
      </c>
      <c r="L929">
        <v>75816</v>
      </c>
      <c r="M929" t="str">
        <f t="shared" si="133"/>
        <v>13</v>
      </c>
      <c r="N929" t="s">
        <v>3323</v>
      </c>
      <c r="O929" t="str">
        <f t="shared" si="130"/>
        <v>53911</v>
      </c>
      <c r="P929" t="str">
        <f>"2100L"</f>
        <v>2100L</v>
      </c>
      <c r="Q929" t="str">
        <f t="shared" si="134"/>
        <v>0101</v>
      </c>
      <c r="R929">
        <v>2100</v>
      </c>
      <c r="S929" t="str">
        <f t="shared" si="131"/>
        <v>5390</v>
      </c>
      <c r="T929" t="s">
        <v>3466</v>
      </c>
      <c r="U929" t="s">
        <v>32</v>
      </c>
    </row>
    <row r="930" spans="1:21" ht="15" customHeight="1" x14ac:dyDescent="0.3">
      <c r="A930" t="s">
        <v>179</v>
      </c>
      <c r="B930" t="str">
        <f>"00074548"</f>
        <v>00074548</v>
      </c>
      <c r="C930" t="s">
        <v>4291</v>
      </c>
      <c r="D930" t="s">
        <v>4589</v>
      </c>
      <c r="E930" t="str">
        <f>"00014431"</f>
        <v>00014431</v>
      </c>
      <c r="F930">
        <v>0</v>
      </c>
      <c r="G930" s="243">
        <v>40056</v>
      </c>
      <c r="H930" t="s">
        <v>182</v>
      </c>
      <c r="I930">
        <v>15</v>
      </c>
      <c r="J930">
        <v>3</v>
      </c>
      <c r="K930">
        <v>0.5</v>
      </c>
      <c r="L930">
        <v>52777</v>
      </c>
      <c r="M930" t="str">
        <f t="shared" si="133"/>
        <v>13</v>
      </c>
      <c r="N930" t="s">
        <v>3370</v>
      </c>
      <c r="O930" t="str">
        <f t="shared" si="130"/>
        <v>53911</v>
      </c>
      <c r="P930" t="str">
        <f>"2100L"</f>
        <v>2100L</v>
      </c>
      <c r="Q930" t="str">
        <f t="shared" si="134"/>
        <v>0101</v>
      </c>
      <c r="R930">
        <v>2100</v>
      </c>
      <c r="S930" t="str">
        <f t="shared" si="131"/>
        <v>5390</v>
      </c>
      <c r="T930" t="s">
        <v>3702</v>
      </c>
      <c r="U930" t="s">
        <v>64</v>
      </c>
    </row>
    <row r="931" spans="1:21" ht="15" customHeight="1" x14ac:dyDescent="0.3">
      <c r="A931" t="s">
        <v>179</v>
      </c>
      <c r="B931" t="str">
        <f>"00074919"</f>
        <v>00074919</v>
      </c>
      <c r="C931" t="s">
        <v>4590</v>
      </c>
      <c r="H931" t="s">
        <v>170</v>
      </c>
      <c r="I931">
        <v>15</v>
      </c>
      <c r="J931">
        <v>0</v>
      </c>
      <c r="K931">
        <v>0.5</v>
      </c>
      <c r="L931">
        <v>54975</v>
      </c>
      <c r="M931" t="str">
        <f t="shared" si="133"/>
        <v>13</v>
      </c>
      <c r="N931" t="s">
        <v>3323</v>
      </c>
      <c r="O931" t="str">
        <f t="shared" si="130"/>
        <v>53911</v>
      </c>
      <c r="P931" t="str">
        <f>"2100L"</f>
        <v>2100L</v>
      </c>
      <c r="Q931" t="str">
        <f t="shared" si="134"/>
        <v>0101</v>
      </c>
      <c r="R931">
        <v>2100</v>
      </c>
      <c r="S931" t="str">
        <f t="shared" si="131"/>
        <v>5390</v>
      </c>
      <c r="T931" t="s">
        <v>3466</v>
      </c>
      <c r="U931" t="s">
        <v>32</v>
      </c>
    </row>
    <row r="932" spans="1:21" ht="15" customHeight="1" x14ac:dyDescent="0.3">
      <c r="A932" t="s">
        <v>179</v>
      </c>
      <c r="B932" t="str">
        <f>"00076034"</f>
        <v>00076034</v>
      </c>
      <c r="C932" t="s">
        <v>4294</v>
      </c>
      <c r="D932" t="s">
        <v>4591</v>
      </c>
      <c r="E932" t="str">
        <f>"00053382"</f>
        <v>00053382</v>
      </c>
      <c r="F932">
        <v>0</v>
      </c>
      <c r="G932" s="243">
        <v>31253</v>
      </c>
      <c r="H932" t="s">
        <v>182</v>
      </c>
      <c r="I932">
        <v>7</v>
      </c>
      <c r="J932">
        <v>3</v>
      </c>
      <c r="K932">
        <v>1</v>
      </c>
      <c r="L932">
        <v>37084</v>
      </c>
      <c r="M932" t="str">
        <f t="shared" si="133"/>
        <v>13</v>
      </c>
      <c r="N932" t="s">
        <v>3370</v>
      </c>
      <c r="O932" t="str">
        <f t="shared" si="130"/>
        <v>53911</v>
      </c>
      <c r="P932" t="str">
        <f>"1502L"</f>
        <v>1502L</v>
      </c>
      <c r="Q932" t="str">
        <f t="shared" si="134"/>
        <v>0101</v>
      </c>
      <c r="R932">
        <v>1502</v>
      </c>
      <c r="S932" t="str">
        <f t="shared" si="131"/>
        <v>5390</v>
      </c>
      <c r="T932" t="s">
        <v>3466</v>
      </c>
      <c r="U932" t="s">
        <v>32</v>
      </c>
    </row>
    <row r="933" spans="1:21" ht="15" customHeight="1" x14ac:dyDescent="0.3">
      <c r="A933" t="s">
        <v>179</v>
      </c>
      <c r="B933" t="str">
        <f>"00076053"</f>
        <v>00076053</v>
      </c>
      <c r="C933" t="s">
        <v>4262</v>
      </c>
      <c r="D933" t="s">
        <v>4592</v>
      </c>
      <c r="E933" t="str">
        <f>"00049279"</f>
        <v>00049279</v>
      </c>
      <c r="F933">
        <v>0</v>
      </c>
      <c r="G933" s="243">
        <v>41133</v>
      </c>
      <c r="H933" t="s">
        <v>182</v>
      </c>
      <c r="I933">
        <v>15</v>
      </c>
      <c r="J933">
        <v>4</v>
      </c>
      <c r="K933">
        <v>1</v>
      </c>
      <c r="L933">
        <v>63611</v>
      </c>
      <c r="M933" t="str">
        <f t="shared" si="133"/>
        <v>13</v>
      </c>
      <c r="N933" t="s">
        <v>3323</v>
      </c>
      <c r="O933" t="str">
        <f t="shared" si="130"/>
        <v>53911</v>
      </c>
      <c r="P933" t="str">
        <f>"2100L"</f>
        <v>2100L</v>
      </c>
      <c r="Q933" t="str">
        <f t="shared" si="134"/>
        <v>0101</v>
      </c>
      <c r="R933">
        <v>2100</v>
      </c>
      <c r="S933" t="str">
        <f t="shared" si="131"/>
        <v>5390</v>
      </c>
      <c r="T933" t="s">
        <v>3466</v>
      </c>
      <c r="U933" t="s">
        <v>32</v>
      </c>
    </row>
    <row r="934" spans="1:21" ht="15" customHeight="1" x14ac:dyDescent="0.3">
      <c r="A934" t="s">
        <v>179</v>
      </c>
      <c r="B934" t="str">
        <f>"00076054"</f>
        <v>00076054</v>
      </c>
      <c r="C934" t="s">
        <v>4271</v>
      </c>
      <c r="D934" t="s">
        <v>4593</v>
      </c>
      <c r="E934" t="str">
        <f>"00054750"</f>
        <v>00054750</v>
      </c>
      <c r="F934">
        <v>0</v>
      </c>
      <c r="G934" s="243">
        <v>32050</v>
      </c>
      <c r="H934" t="s">
        <v>182</v>
      </c>
      <c r="I934">
        <v>15</v>
      </c>
      <c r="J934">
        <v>16</v>
      </c>
      <c r="K934">
        <v>0.5</v>
      </c>
      <c r="L934">
        <v>106540</v>
      </c>
      <c r="M934" t="str">
        <f t="shared" si="133"/>
        <v>13</v>
      </c>
      <c r="N934" t="s">
        <v>3370</v>
      </c>
      <c r="O934" t="str">
        <f t="shared" si="130"/>
        <v>53911</v>
      </c>
      <c r="P934" t="str">
        <f>"2100L"</f>
        <v>2100L</v>
      </c>
      <c r="Q934" t="str">
        <f t="shared" si="134"/>
        <v>0101</v>
      </c>
      <c r="R934">
        <v>2100</v>
      </c>
      <c r="S934" t="str">
        <f t="shared" si="131"/>
        <v>5390</v>
      </c>
      <c r="T934" t="s">
        <v>3466</v>
      </c>
      <c r="U934" t="s">
        <v>32</v>
      </c>
    </row>
    <row r="935" spans="1:21" ht="15" customHeight="1" x14ac:dyDescent="0.3">
      <c r="A935" t="s">
        <v>179</v>
      </c>
      <c r="B935" t="str">
        <f>"00076055"</f>
        <v>00076055</v>
      </c>
      <c r="C935" t="s">
        <v>4265</v>
      </c>
      <c r="H935" t="s">
        <v>170</v>
      </c>
      <c r="I935">
        <v>15</v>
      </c>
      <c r="J935">
        <v>0</v>
      </c>
      <c r="K935">
        <v>0.5</v>
      </c>
      <c r="L935">
        <v>54975</v>
      </c>
      <c r="M935" t="str">
        <f t="shared" si="133"/>
        <v>13</v>
      </c>
      <c r="N935" t="s">
        <v>3370</v>
      </c>
      <c r="O935" t="str">
        <f t="shared" si="130"/>
        <v>53911</v>
      </c>
      <c r="P935" t="str">
        <f>"2100L"</f>
        <v>2100L</v>
      </c>
      <c r="Q935" t="str">
        <f t="shared" si="134"/>
        <v>0101</v>
      </c>
      <c r="R935">
        <v>2100</v>
      </c>
      <c r="S935" t="str">
        <f t="shared" si="131"/>
        <v>5390</v>
      </c>
      <c r="T935" t="s">
        <v>3858</v>
      </c>
      <c r="U935" t="s">
        <v>1058</v>
      </c>
    </row>
    <row r="936" spans="1:21" ht="15" customHeight="1" x14ac:dyDescent="0.3">
      <c r="A936" t="s">
        <v>179</v>
      </c>
      <c r="B936" t="str">
        <f>"00076515"</f>
        <v>00076515</v>
      </c>
      <c r="C936" t="s">
        <v>4265</v>
      </c>
      <c r="H936" t="s">
        <v>170</v>
      </c>
      <c r="I936">
        <v>15</v>
      </c>
      <c r="J936">
        <v>0</v>
      </c>
      <c r="K936">
        <v>0.5</v>
      </c>
      <c r="L936">
        <v>51539</v>
      </c>
      <c r="M936" t="str">
        <f t="shared" si="133"/>
        <v>13</v>
      </c>
      <c r="N936" t="s">
        <v>3370</v>
      </c>
      <c r="O936" t="str">
        <f t="shared" si="130"/>
        <v>53911</v>
      </c>
      <c r="P936" t="str">
        <f>"3030L"</f>
        <v>3030L</v>
      </c>
      <c r="Q936" t="str">
        <f t="shared" si="134"/>
        <v>0101</v>
      </c>
      <c r="R936">
        <v>3030</v>
      </c>
      <c r="S936" t="str">
        <f t="shared" si="131"/>
        <v>5390</v>
      </c>
      <c r="T936" t="s">
        <v>3858</v>
      </c>
      <c r="U936" t="s">
        <v>1058</v>
      </c>
    </row>
    <row r="937" spans="1:21" ht="15" customHeight="1" x14ac:dyDescent="0.3">
      <c r="A937" t="s">
        <v>179</v>
      </c>
      <c r="B937" t="str">
        <f>"00051672"</f>
        <v>00051672</v>
      </c>
      <c r="C937" t="s">
        <v>4262</v>
      </c>
      <c r="D937" t="s">
        <v>1098</v>
      </c>
      <c r="E937" t="str">
        <f>"00052725"</f>
        <v>00052725</v>
      </c>
      <c r="F937">
        <v>0</v>
      </c>
      <c r="G937" s="243">
        <v>32050</v>
      </c>
      <c r="H937" t="s">
        <v>182</v>
      </c>
      <c r="I937">
        <v>15</v>
      </c>
      <c r="J937">
        <v>16</v>
      </c>
      <c r="K937">
        <v>1</v>
      </c>
      <c r="L937">
        <v>106540</v>
      </c>
      <c r="M937" t="str">
        <f t="shared" si="133"/>
        <v>13</v>
      </c>
      <c r="N937" t="s">
        <v>3370</v>
      </c>
      <c r="O937" t="str">
        <f t="shared" ref="O937:O978" si="135">"54011"</f>
        <v>54011</v>
      </c>
      <c r="P937" t="str">
        <f>"2100L"</f>
        <v>2100L</v>
      </c>
      <c r="Q937" t="str">
        <f t="shared" si="134"/>
        <v>0101</v>
      </c>
      <c r="R937">
        <v>2100</v>
      </c>
      <c r="S937" t="str">
        <f t="shared" ref="S937:S978" si="136">"5400"</f>
        <v>5400</v>
      </c>
      <c r="T937" t="s">
        <v>3473</v>
      </c>
      <c r="U937" t="s">
        <v>33</v>
      </c>
    </row>
    <row r="938" spans="1:21" ht="15" customHeight="1" x14ac:dyDescent="0.3">
      <c r="A938" t="s">
        <v>179</v>
      </c>
      <c r="B938" t="str">
        <f>"00051735"</f>
        <v>00051735</v>
      </c>
      <c r="C938" t="s">
        <v>4337</v>
      </c>
      <c r="D938" t="s">
        <v>1090</v>
      </c>
      <c r="E938" t="str">
        <f>"00045698"</f>
        <v>00045698</v>
      </c>
      <c r="F938">
        <v>0</v>
      </c>
      <c r="G938" s="243">
        <v>34960</v>
      </c>
      <c r="H938" t="s">
        <v>182</v>
      </c>
      <c r="I938">
        <v>15</v>
      </c>
      <c r="J938">
        <v>13</v>
      </c>
      <c r="K938">
        <v>0.5</v>
      </c>
      <c r="L938">
        <v>40862</v>
      </c>
      <c r="M938" t="str">
        <f t="shared" si="133"/>
        <v>13</v>
      </c>
      <c r="N938" t="s">
        <v>3323</v>
      </c>
      <c r="O938" t="str">
        <f t="shared" si="135"/>
        <v>54011</v>
      </c>
      <c r="P938" t="str">
        <f>"2100L"</f>
        <v>2100L</v>
      </c>
      <c r="Q938" t="str">
        <f t="shared" si="134"/>
        <v>0101</v>
      </c>
      <c r="R938">
        <v>2100</v>
      </c>
      <c r="S938" t="str">
        <f t="shared" si="136"/>
        <v>5400</v>
      </c>
      <c r="T938" t="s">
        <v>3472</v>
      </c>
      <c r="U938" t="s">
        <v>2542</v>
      </c>
    </row>
    <row r="939" spans="1:21" ht="15" customHeight="1" x14ac:dyDescent="0.3">
      <c r="A939" t="s">
        <v>179</v>
      </c>
      <c r="B939" t="str">
        <f>"00051811"</f>
        <v>00051811</v>
      </c>
      <c r="C939" t="s">
        <v>4272</v>
      </c>
      <c r="D939" t="s">
        <v>470</v>
      </c>
      <c r="E939" t="str">
        <f>"00058215"</f>
        <v>00058215</v>
      </c>
      <c r="F939">
        <v>0</v>
      </c>
      <c r="G939" s="243">
        <v>40755</v>
      </c>
      <c r="H939" t="s">
        <v>182</v>
      </c>
      <c r="I939">
        <v>15</v>
      </c>
      <c r="J939">
        <v>2</v>
      </c>
      <c r="K939">
        <v>1</v>
      </c>
      <c r="L939">
        <v>56242</v>
      </c>
      <c r="M939" t="str">
        <f t="shared" si="133"/>
        <v>13</v>
      </c>
      <c r="N939" t="s">
        <v>3323</v>
      </c>
      <c r="O939" t="str">
        <f t="shared" si="135"/>
        <v>54011</v>
      </c>
      <c r="P939" t="str">
        <f>"2200L"</f>
        <v>2200L</v>
      </c>
      <c r="Q939" t="str">
        <f t="shared" si="134"/>
        <v>0101</v>
      </c>
      <c r="R939">
        <v>2200</v>
      </c>
      <c r="S939" t="str">
        <f t="shared" si="136"/>
        <v>5400</v>
      </c>
      <c r="T939" t="s">
        <v>3473</v>
      </c>
      <c r="U939" t="s">
        <v>33</v>
      </c>
    </row>
    <row r="940" spans="1:21" ht="15" customHeight="1" x14ac:dyDescent="0.3">
      <c r="A940" t="s">
        <v>179</v>
      </c>
      <c r="B940" t="str">
        <f>"00051954"</f>
        <v>00051954</v>
      </c>
      <c r="C940" t="s">
        <v>4262</v>
      </c>
      <c r="D940" t="s">
        <v>1091</v>
      </c>
      <c r="E940" t="str">
        <f>"00046677"</f>
        <v>00046677</v>
      </c>
      <c r="F940">
        <v>0</v>
      </c>
      <c r="G940" s="243">
        <v>27064</v>
      </c>
      <c r="H940" t="s">
        <v>182</v>
      </c>
      <c r="I940">
        <v>15</v>
      </c>
      <c r="J940">
        <v>16</v>
      </c>
      <c r="K940">
        <v>1</v>
      </c>
      <c r="L940">
        <v>100839</v>
      </c>
      <c r="M940" t="str">
        <f t="shared" si="133"/>
        <v>13</v>
      </c>
      <c r="N940" t="s">
        <v>3323</v>
      </c>
      <c r="O940" t="str">
        <f t="shared" si="135"/>
        <v>54011</v>
      </c>
      <c r="P940" t="str">
        <f>"2100L"</f>
        <v>2100L</v>
      </c>
      <c r="Q940" t="str">
        <f t="shared" si="134"/>
        <v>0101</v>
      </c>
      <c r="R940">
        <v>2100</v>
      </c>
      <c r="S940" t="str">
        <f t="shared" si="136"/>
        <v>5400</v>
      </c>
      <c r="T940" t="s">
        <v>3473</v>
      </c>
      <c r="U940" t="s">
        <v>33</v>
      </c>
    </row>
    <row r="941" spans="1:21" ht="15" customHeight="1" x14ac:dyDescent="0.3">
      <c r="A941" t="s">
        <v>179</v>
      </c>
      <c r="B941" t="str">
        <f>"00052115"</f>
        <v>00052115</v>
      </c>
      <c r="C941" t="s">
        <v>4262</v>
      </c>
      <c r="D941" t="s">
        <v>1092</v>
      </c>
      <c r="E941" t="str">
        <f>"00047315"</f>
        <v>00047315</v>
      </c>
      <c r="F941">
        <v>0</v>
      </c>
      <c r="G941" s="243">
        <v>32387</v>
      </c>
      <c r="H941" t="s">
        <v>182</v>
      </c>
      <c r="I941">
        <v>15</v>
      </c>
      <c r="J941">
        <v>16</v>
      </c>
      <c r="K941">
        <v>1</v>
      </c>
      <c r="L941">
        <v>100839</v>
      </c>
      <c r="M941" t="str">
        <f t="shared" si="133"/>
        <v>13</v>
      </c>
      <c r="N941" t="s">
        <v>3323</v>
      </c>
      <c r="O941" t="str">
        <f t="shared" si="135"/>
        <v>54011</v>
      </c>
      <c r="P941" t="str">
        <f>"2100L"</f>
        <v>2100L</v>
      </c>
      <c r="Q941" t="str">
        <f t="shared" si="134"/>
        <v>0101</v>
      </c>
      <c r="R941">
        <v>2100</v>
      </c>
      <c r="S941" t="str">
        <f t="shared" si="136"/>
        <v>5400</v>
      </c>
      <c r="T941" t="s">
        <v>3473</v>
      </c>
      <c r="U941" t="s">
        <v>33</v>
      </c>
    </row>
    <row r="942" spans="1:21" ht="15" customHeight="1" x14ac:dyDescent="0.3">
      <c r="A942" t="s">
        <v>179</v>
      </c>
      <c r="B942" t="str">
        <f>"00052137"</f>
        <v>00052137</v>
      </c>
      <c r="C942" t="s">
        <v>4360</v>
      </c>
      <c r="D942" t="s">
        <v>4594</v>
      </c>
      <c r="E942" t="str">
        <f>"00047413"</f>
        <v>00047413</v>
      </c>
      <c r="F942">
        <v>0</v>
      </c>
      <c r="G942" s="243">
        <v>33645</v>
      </c>
      <c r="H942" t="s">
        <v>182</v>
      </c>
      <c r="I942">
        <v>7</v>
      </c>
      <c r="J942">
        <v>9</v>
      </c>
      <c r="K942">
        <v>1</v>
      </c>
      <c r="L942">
        <v>43728</v>
      </c>
      <c r="M942" t="str">
        <f t="shared" si="133"/>
        <v>13</v>
      </c>
      <c r="N942" t="s">
        <v>3323</v>
      </c>
      <c r="O942" t="str">
        <f t="shared" si="135"/>
        <v>54011</v>
      </c>
      <c r="P942" t="str">
        <f>"1502L"</f>
        <v>1502L</v>
      </c>
      <c r="Q942" t="str">
        <f t="shared" si="134"/>
        <v>0101</v>
      </c>
      <c r="R942">
        <v>1502</v>
      </c>
      <c r="S942" t="str">
        <f t="shared" si="136"/>
        <v>5400</v>
      </c>
      <c r="T942" t="s">
        <v>3473</v>
      </c>
      <c r="U942" t="s">
        <v>33</v>
      </c>
    </row>
    <row r="943" spans="1:21" ht="15" customHeight="1" x14ac:dyDescent="0.3">
      <c r="A943" t="s">
        <v>179</v>
      </c>
      <c r="B943" t="str">
        <f>"00052208"</f>
        <v>00052208</v>
      </c>
      <c r="C943" t="s">
        <v>4256</v>
      </c>
      <c r="H943" t="s">
        <v>170</v>
      </c>
      <c r="I943">
        <v>15</v>
      </c>
      <c r="J943">
        <v>1</v>
      </c>
      <c r="K943">
        <v>1</v>
      </c>
      <c r="L943">
        <v>54975</v>
      </c>
      <c r="M943" t="str">
        <f t="shared" si="133"/>
        <v>13</v>
      </c>
      <c r="N943" t="s">
        <v>3323</v>
      </c>
      <c r="O943" t="str">
        <f t="shared" si="135"/>
        <v>54011</v>
      </c>
      <c r="P943" t="str">
        <f>"2100L"</f>
        <v>2100L</v>
      </c>
      <c r="Q943" t="str">
        <f t="shared" si="134"/>
        <v>0101</v>
      </c>
      <c r="R943">
        <v>2100</v>
      </c>
      <c r="S943" t="str">
        <f t="shared" si="136"/>
        <v>5400</v>
      </c>
      <c r="T943" t="s">
        <v>3473</v>
      </c>
      <c r="U943" t="s">
        <v>33</v>
      </c>
    </row>
    <row r="944" spans="1:21" ht="15" customHeight="1" x14ac:dyDescent="0.3">
      <c r="A944" t="s">
        <v>179</v>
      </c>
      <c r="B944" t="str">
        <f>"00052838"</f>
        <v>00052838</v>
      </c>
      <c r="C944" t="s">
        <v>4272</v>
      </c>
      <c r="D944" t="s">
        <v>3474</v>
      </c>
      <c r="E944" t="str">
        <f>"00066522"</f>
        <v>00066522</v>
      </c>
      <c r="F944">
        <v>0</v>
      </c>
      <c r="G944" s="243">
        <v>40755</v>
      </c>
      <c r="H944" t="s">
        <v>182</v>
      </c>
      <c r="I944">
        <v>15</v>
      </c>
      <c r="J944">
        <v>2</v>
      </c>
      <c r="K944">
        <v>0.1</v>
      </c>
      <c r="L944">
        <v>51716</v>
      </c>
      <c r="M944" t="str">
        <f t="shared" si="133"/>
        <v>13</v>
      </c>
      <c r="N944" t="s">
        <v>3323</v>
      </c>
      <c r="O944" t="str">
        <f t="shared" si="135"/>
        <v>54011</v>
      </c>
      <c r="P944" t="str">
        <f>"2100L"</f>
        <v>2100L</v>
      </c>
      <c r="Q944" t="str">
        <f t="shared" si="134"/>
        <v>0101</v>
      </c>
      <c r="R944">
        <v>2100</v>
      </c>
      <c r="S944" t="str">
        <f t="shared" si="136"/>
        <v>5400</v>
      </c>
      <c r="T944" t="s">
        <v>3473</v>
      </c>
      <c r="U944" t="s">
        <v>33</v>
      </c>
    </row>
    <row r="945" spans="1:21" ht="15" customHeight="1" x14ac:dyDescent="0.3">
      <c r="A945" t="s">
        <v>179</v>
      </c>
      <c r="B945" t="str">
        <f>"00053099"</f>
        <v>00053099</v>
      </c>
      <c r="C945" t="s">
        <v>4262</v>
      </c>
      <c r="D945" t="s">
        <v>1093</v>
      </c>
      <c r="E945" t="str">
        <f>"00050953"</f>
        <v>00050953</v>
      </c>
      <c r="F945">
        <v>0</v>
      </c>
      <c r="G945" s="243">
        <v>33202</v>
      </c>
      <c r="H945" t="s">
        <v>182</v>
      </c>
      <c r="I945">
        <v>15</v>
      </c>
      <c r="J945">
        <v>16</v>
      </c>
      <c r="K945">
        <v>1</v>
      </c>
      <c r="L945">
        <v>106540</v>
      </c>
      <c r="M945" t="str">
        <f t="shared" si="133"/>
        <v>13</v>
      </c>
      <c r="N945" t="s">
        <v>3323</v>
      </c>
      <c r="O945" t="str">
        <f t="shared" si="135"/>
        <v>54011</v>
      </c>
      <c r="P945" t="str">
        <f>"2100L"</f>
        <v>2100L</v>
      </c>
      <c r="Q945" t="str">
        <f t="shared" si="134"/>
        <v>0101</v>
      </c>
      <c r="R945">
        <v>2100</v>
      </c>
      <c r="S945" t="str">
        <f t="shared" si="136"/>
        <v>5400</v>
      </c>
      <c r="T945" t="s">
        <v>3473</v>
      </c>
      <c r="U945" t="s">
        <v>33</v>
      </c>
    </row>
    <row r="946" spans="1:21" ht="15" customHeight="1" x14ac:dyDescent="0.3">
      <c r="A946" t="s">
        <v>179</v>
      </c>
      <c r="B946" t="str">
        <f>"00053288"</f>
        <v>00053288</v>
      </c>
      <c r="C946" t="s">
        <v>4272</v>
      </c>
      <c r="D946" t="s">
        <v>1094</v>
      </c>
      <c r="E946" t="str">
        <f>"00045954"</f>
        <v>00045954</v>
      </c>
      <c r="F946">
        <v>0</v>
      </c>
      <c r="G946" s="243">
        <v>41132</v>
      </c>
      <c r="H946" t="s">
        <v>182</v>
      </c>
      <c r="I946">
        <v>15</v>
      </c>
      <c r="J946">
        <v>14</v>
      </c>
      <c r="K946">
        <v>1</v>
      </c>
      <c r="L946">
        <v>96460</v>
      </c>
      <c r="M946" t="str">
        <f t="shared" si="133"/>
        <v>13</v>
      </c>
      <c r="N946" t="s">
        <v>3323</v>
      </c>
      <c r="O946" t="str">
        <f t="shared" si="135"/>
        <v>54011</v>
      </c>
      <c r="P946" t="str">
        <f>"2100L"</f>
        <v>2100L</v>
      </c>
      <c r="Q946" t="str">
        <f t="shared" si="134"/>
        <v>0101</v>
      </c>
      <c r="R946">
        <v>2100</v>
      </c>
      <c r="S946" t="str">
        <f t="shared" si="136"/>
        <v>5400</v>
      </c>
      <c r="T946" t="s">
        <v>3473</v>
      </c>
      <c r="U946" t="s">
        <v>33</v>
      </c>
    </row>
    <row r="947" spans="1:21" ht="15" customHeight="1" x14ac:dyDescent="0.3">
      <c r="A947" t="s">
        <v>179</v>
      </c>
      <c r="B947" t="str">
        <f>"00053403"</f>
        <v>00053403</v>
      </c>
      <c r="C947" t="s">
        <v>4262</v>
      </c>
      <c r="D947" t="s">
        <v>1095</v>
      </c>
      <c r="E947" t="str">
        <f>"00051423"</f>
        <v>00051423</v>
      </c>
      <c r="F947">
        <v>0</v>
      </c>
      <c r="G947" s="243">
        <v>32387</v>
      </c>
      <c r="H947" t="s">
        <v>182</v>
      </c>
      <c r="I947">
        <v>15</v>
      </c>
      <c r="J947">
        <v>16</v>
      </c>
      <c r="K947">
        <v>1</v>
      </c>
      <c r="L947">
        <v>103347</v>
      </c>
      <c r="M947" t="str">
        <f t="shared" si="133"/>
        <v>13</v>
      </c>
      <c r="N947" t="s">
        <v>3323</v>
      </c>
      <c r="O947" t="str">
        <f t="shared" si="135"/>
        <v>54011</v>
      </c>
      <c r="P947" t="str">
        <f>"2100L"</f>
        <v>2100L</v>
      </c>
      <c r="Q947" t="str">
        <f t="shared" si="134"/>
        <v>0101</v>
      </c>
      <c r="R947">
        <v>2100</v>
      </c>
      <c r="S947" t="str">
        <f t="shared" si="136"/>
        <v>5400</v>
      </c>
      <c r="T947" t="s">
        <v>3473</v>
      </c>
      <c r="U947" t="s">
        <v>33</v>
      </c>
    </row>
    <row r="948" spans="1:21" ht="15" customHeight="1" x14ac:dyDescent="0.3">
      <c r="A948" t="s">
        <v>179</v>
      </c>
      <c r="B948" t="str">
        <f>"00053432"</f>
        <v>00053432</v>
      </c>
      <c r="C948" t="s">
        <v>4260</v>
      </c>
      <c r="D948" t="s">
        <v>1096</v>
      </c>
      <c r="E948" t="str">
        <f>"00051471"</f>
        <v>00051471</v>
      </c>
      <c r="F948">
        <v>0</v>
      </c>
      <c r="G948" s="243">
        <v>28691</v>
      </c>
      <c r="H948" t="s">
        <v>182</v>
      </c>
      <c r="I948">
        <v>15</v>
      </c>
      <c r="J948">
        <v>13</v>
      </c>
      <c r="K948">
        <v>1</v>
      </c>
      <c r="L948">
        <v>81724</v>
      </c>
      <c r="M948" t="str">
        <f t="shared" si="133"/>
        <v>13</v>
      </c>
      <c r="N948" t="s">
        <v>3323</v>
      </c>
      <c r="O948" t="str">
        <f t="shared" si="135"/>
        <v>54011</v>
      </c>
      <c r="P948" t="str">
        <f>"3030L"</f>
        <v>3030L</v>
      </c>
      <c r="Q948" t="str">
        <f t="shared" si="134"/>
        <v>0101</v>
      </c>
      <c r="R948">
        <v>3030</v>
      </c>
      <c r="S948" t="str">
        <f t="shared" si="136"/>
        <v>5400</v>
      </c>
      <c r="T948" t="s">
        <v>3473</v>
      </c>
      <c r="U948" t="s">
        <v>33</v>
      </c>
    </row>
    <row r="949" spans="1:21" ht="15" customHeight="1" x14ac:dyDescent="0.3">
      <c r="A949" t="s">
        <v>179</v>
      </c>
      <c r="B949" t="str">
        <f>"00053905"</f>
        <v>00053905</v>
      </c>
      <c r="C949" t="s">
        <v>4262</v>
      </c>
      <c r="D949" t="s">
        <v>1097</v>
      </c>
      <c r="E949" t="str">
        <f>"00052724"</f>
        <v>00052724</v>
      </c>
      <c r="F949">
        <v>0</v>
      </c>
      <c r="G949" s="243">
        <v>32756</v>
      </c>
      <c r="H949" t="s">
        <v>182</v>
      </c>
      <c r="I949">
        <v>15</v>
      </c>
      <c r="J949">
        <v>16</v>
      </c>
      <c r="K949">
        <v>1</v>
      </c>
      <c r="L949">
        <v>100839</v>
      </c>
      <c r="M949" t="str">
        <f t="shared" si="133"/>
        <v>13</v>
      </c>
      <c r="N949" t="s">
        <v>3323</v>
      </c>
      <c r="O949" t="str">
        <f t="shared" si="135"/>
        <v>54011</v>
      </c>
      <c r="P949" t="str">
        <f>"2100L"</f>
        <v>2100L</v>
      </c>
      <c r="Q949" t="str">
        <f t="shared" si="134"/>
        <v>0101</v>
      </c>
      <c r="R949">
        <v>2100</v>
      </c>
      <c r="S949" t="str">
        <f t="shared" si="136"/>
        <v>5400</v>
      </c>
      <c r="T949" t="s">
        <v>3473</v>
      </c>
      <c r="U949" t="s">
        <v>33</v>
      </c>
    </row>
    <row r="950" spans="1:21" ht="15" customHeight="1" x14ac:dyDescent="0.3">
      <c r="A950" t="s">
        <v>179</v>
      </c>
      <c r="B950" t="str">
        <f>"00053906"</f>
        <v>00053906</v>
      </c>
      <c r="C950" t="s">
        <v>4253</v>
      </c>
      <c r="D950" t="s">
        <v>4595</v>
      </c>
      <c r="E950" t="str">
        <f>"00069942"</f>
        <v>00069942</v>
      </c>
      <c r="F950">
        <v>0</v>
      </c>
      <c r="G950" s="243">
        <v>41133</v>
      </c>
      <c r="H950" t="s">
        <v>182</v>
      </c>
      <c r="I950">
        <v>15</v>
      </c>
      <c r="J950">
        <v>10</v>
      </c>
      <c r="K950">
        <v>1</v>
      </c>
      <c r="L950">
        <v>68431</v>
      </c>
      <c r="M950" t="str">
        <f t="shared" si="133"/>
        <v>13</v>
      </c>
      <c r="N950" t="s">
        <v>3323</v>
      </c>
      <c r="O950" t="str">
        <f t="shared" si="135"/>
        <v>54011</v>
      </c>
      <c r="P950" t="str">
        <f>"2100L"</f>
        <v>2100L</v>
      </c>
      <c r="Q950" t="str">
        <f t="shared" si="134"/>
        <v>0101</v>
      </c>
      <c r="R950">
        <v>2100</v>
      </c>
      <c r="S950" t="str">
        <f t="shared" si="136"/>
        <v>5400</v>
      </c>
      <c r="T950" t="s">
        <v>3473</v>
      </c>
      <c r="U950" t="s">
        <v>33</v>
      </c>
    </row>
    <row r="951" spans="1:21" ht="15" customHeight="1" x14ac:dyDescent="0.3">
      <c r="A951" t="s">
        <v>179</v>
      </c>
      <c r="B951" t="str">
        <f>"00054317"</f>
        <v>00054317</v>
      </c>
      <c r="C951" t="s">
        <v>4262</v>
      </c>
      <c r="D951" t="s">
        <v>4596</v>
      </c>
      <c r="E951" t="str">
        <f>"00069902"</f>
        <v>00069902</v>
      </c>
      <c r="F951">
        <v>0</v>
      </c>
      <c r="G951" s="243">
        <v>41133</v>
      </c>
      <c r="H951" t="s">
        <v>182</v>
      </c>
      <c r="I951">
        <v>15</v>
      </c>
      <c r="J951">
        <v>1</v>
      </c>
      <c r="K951">
        <v>1</v>
      </c>
      <c r="L951">
        <v>51539</v>
      </c>
      <c r="M951" t="str">
        <f t="shared" si="133"/>
        <v>13</v>
      </c>
      <c r="N951" t="s">
        <v>3370</v>
      </c>
      <c r="O951" t="str">
        <f t="shared" si="135"/>
        <v>54011</v>
      </c>
      <c r="P951" t="str">
        <f>"2100L"</f>
        <v>2100L</v>
      </c>
      <c r="Q951" t="str">
        <f t="shared" si="134"/>
        <v>0101</v>
      </c>
      <c r="R951">
        <v>2100</v>
      </c>
      <c r="S951" t="str">
        <f t="shared" si="136"/>
        <v>5400</v>
      </c>
      <c r="T951" t="s">
        <v>3473</v>
      </c>
      <c r="U951" t="s">
        <v>33</v>
      </c>
    </row>
    <row r="952" spans="1:21" ht="15" customHeight="1" x14ac:dyDescent="0.3">
      <c r="A952" t="s">
        <v>179</v>
      </c>
      <c r="B952" t="str">
        <f>"00054706"</f>
        <v>00054706</v>
      </c>
      <c r="C952" t="s">
        <v>4306</v>
      </c>
      <c r="D952" t="s">
        <v>4597</v>
      </c>
      <c r="E952" t="str">
        <f>"00054441"</f>
        <v>00054441</v>
      </c>
      <c r="F952">
        <v>0</v>
      </c>
      <c r="G952" s="243">
        <v>31694</v>
      </c>
      <c r="H952" t="s">
        <v>182</v>
      </c>
      <c r="I952">
        <v>9</v>
      </c>
      <c r="J952">
        <v>7</v>
      </c>
      <c r="K952">
        <v>1</v>
      </c>
      <c r="L952">
        <v>39541</v>
      </c>
      <c r="M952" t="str">
        <f t="shared" si="133"/>
        <v>13</v>
      </c>
      <c r="N952" t="s">
        <v>3323</v>
      </c>
      <c r="O952" t="str">
        <f t="shared" si="135"/>
        <v>54011</v>
      </c>
      <c r="P952" t="str">
        <f>"1502L"</f>
        <v>1502L</v>
      </c>
      <c r="Q952" t="str">
        <f t="shared" si="134"/>
        <v>0101</v>
      </c>
      <c r="R952">
        <v>1502</v>
      </c>
      <c r="S952" t="str">
        <f t="shared" si="136"/>
        <v>5400</v>
      </c>
      <c r="T952" t="s">
        <v>3473</v>
      </c>
      <c r="U952" t="s">
        <v>33</v>
      </c>
    </row>
    <row r="953" spans="1:21" ht="15" customHeight="1" x14ac:dyDescent="0.3">
      <c r="A953" t="s">
        <v>179</v>
      </c>
      <c r="B953" t="str">
        <f>"00055262"</f>
        <v>00055262</v>
      </c>
      <c r="C953" t="s">
        <v>4288</v>
      </c>
      <c r="D953" t="s">
        <v>4598</v>
      </c>
      <c r="E953" t="str">
        <f>"00052274"</f>
        <v>00052274</v>
      </c>
      <c r="F953">
        <v>0</v>
      </c>
      <c r="G953" s="243">
        <v>37764</v>
      </c>
      <c r="H953" t="s">
        <v>182</v>
      </c>
      <c r="I953">
        <v>4</v>
      </c>
      <c r="J953">
        <v>7</v>
      </c>
      <c r="K953">
        <v>0.875</v>
      </c>
      <c r="L953">
        <v>26633.25</v>
      </c>
      <c r="M953" t="str">
        <f t="shared" si="133"/>
        <v>13</v>
      </c>
      <c r="N953" t="s">
        <v>3370</v>
      </c>
      <c r="O953" t="str">
        <f t="shared" si="135"/>
        <v>54011</v>
      </c>
      <c r="P953" t="str">
        <f>"2100L"</f>
        <v>2100L</v>
      </c>
      <c r="Q953" t="str">
        <f t="shared" si="134"/>
        <v>0101</v>
      </c>
      <c r="R953">
        <v>2100</v>
      </c>
      <c r="S953" t="str">
        <f t="shared" si="136"/>
        <v>5400</v>
      </c>
      <c r="T953" t="s">
        <v>3473</v>
      </c>
      <c r="U953" t="s">
        <v>33</v>
      </c>
    </row>
    <row r="954" spans="1:21" ht="15" customHeight="1" x14ac:dyDescent="0.3">
      <c r="A954" t="s">
        <v>179</v>
      </c>
      <c r="B954" t="str">
        <f>"00056854"</f>
        <v>00056854</v>
      </c>
      <c r="C954" t="s">
        <v>4260</v>
      </c>
      <c r="D954" t="s">
        <v>3479</v>
      </c>
      <c r="E954" t="str">
        <f>"00045525"</f>
        <v>00045525</v>
      </c>
      <c r="F954">
        <v>0</v>
      </c>
      <c r="G954" s="243">
        <v>40847</v>
      </c>
      <c r="H954" t="s">
        <v>182</v>
      </c>
      <c r="I954">
        <v>15</v>
      </c>
      <c r="J954">
        <v>15</v>
      </c>
      <c r="K954">
        <v>1</v>
      </c>
      <c r="L954">
        <v>98285</v>
      </c>
      <c r="M954" t="str">
        <f t="shared" si="133"/>
        <v>13</v>
      </c>
      <c r="N954" t="s">
        <v>3323</v>
      </c>
      <c r="O954" t="str">
        <f t="shared" si="135"/>
        <v>54011</v>
      </c>
      <c r="P954" t="str">
        <f>"3030L"</f>
        <v>3030L</v>
      </c>
      <c r="Q954" t="str">
        <f t="shared" si="134"/>
        <v>0101</v>
      </c>
      <c r="R954">
        <v>3030</v>
      </c>
      <c r="S954" t="str">
        <f t="shared" si="136"/>
        <v>5400</v>
      </c>
      <c r="T954" t="s">
        <v>3473</v>
      </c>
      <c r="U954" t="s">
        <v>33</v>
      </c>
    </row>
    <row r="955" spans="1:21" ht="15" customHeight="1" x14ac:dyDescent="0.3">
      <c r="A955" t="s">
        <v>179</v>
      </c>
      <c r="B955" t="str">
        <f>"00057133"</f>
        <v>00057133</v>
      </c>
      <c r="C955" t="s">
        <v>4274</v>
      </c>
      <c r="D955" t="s">
        <v>4599</v>
      </c>
      <c r="E955" t="str">
        <f>"00046532"</f>
        <v>00046532</v>
      </c>
      <c r="F955">
        <v>0</v>
      </c>
      <c r="G955" s="243">
        <v>36539</v>
      </c>
      <c r="H955" t="s">
        <v>182</v>
      </c>
      <c r="I955">
        <v>4</v>
      </c>
      <c r="J955">
        <v>8</v>
      </c>
      <c r="K955">
        <v>0.875</v>
      </c>
      <c r="L955">
        <v>27329.75</v>
      </c>
      <c r="M955" t="str">
        <f t="shared" si="133"/>
        <v>13</v>
      </c>
      <c r="N955" t="s">
        <v>3323</v>
      </c>
      <c r="O955" t="str">
        <f t="shared" si="135"/>
        <v>54011</v>
      </c>
      <c r="P955" t="str">
        <f>"2100L"</f>
        <v>2100L</v>
      </c>
      <c r="Q955" t="str">
        <f t="shared" si="134"/>
        <v>0101</v>
      </c>
      <c r="R955">
        <v>2100</v>
      </c>
      <c r="S955" t="str">
        <f t="shared" si="136"/>
        <v>5400</v>
      </c>
      <c r="T955" t="s">
        <v>3473</v>
      </c>
      <c r="U955" t="s">
        <v>33</v>
      </c>
    </row>
    <row r="956" spans="1:21" ht="15" customHeight="1" x14ac:dyDescent="0.3">
      <c r="A956" t="s">
        <v>179</v>
      </c>
      <c r="B956" t="str">
        <f>"00057167"</f>
        <v>00057167</v>
      </c>
      <c r="C956" t="s">
        <v>4266</v>
      </c>
      <c r="D956" t="s">
        <v>1100</v>
      </c>
      <c r="E956" t="str">
        <f>"00054569"</f>
        <v>00054569</v>
      </c>
      <c r="F956">
        <v>0</v>
      </c>
      <c r="G956" s="243">
        <v>36567</v>
      </c>
      <c r="H956" t="s">
        <v>182</v>
      </c>
      <c r="I956">
        <v>15</v>
      </c>
      <c r="J956">
        <v>16</v>
      </c>
      <c r="K956">
        <v>1</v>
      </c>
      <c r="L956">
        <v>103347</v>
      </c>
      <c r="M956" t="str">
        <f t="shared" si="133"/>
        <v>13</v>
      </c>
      <c r="N956" t="s">
        <v>3323</v>
      </c>
      <c r="O956" t="str">
        <f t="shared" si="135"/>
        <v>54011</v>
      </c>
      <c r="P956" t="str">
        <f>"2300L"</f>
        <v>2300L</v>
      </c>
      <c r="Q956" t="str">
        <f t="shared" si="134"/>
        <v>0101</v>
      </c>
      <c r="R956">
        <v>2300</v>
      </c>
      <c r="S956" t="str">
        <f t="shared" si="136"/>
        <v>5400</v>
      </c>
      <c r="T956" t="s">
        <v>3473</v>
      </c>
      <c r="U956" t="s">
        <v>33</v>
      </c>
    </row>
    <row r="957" spans="1:21" ht="15" customHeight="1" x14ac:dyDescent="0.3">
      <c r="A957" t="s">
        <v>179</v>
      </c>
      <c r="B957" t="str">
        <f>"00058637"</f>
        <v>00058637</v>
      </c>
      <c r="C957" t="s">
        <v>4260</v>
      </c>
      <c r="D957" t="s">
        <v>1101</v>
      </c>
      <c r="E957" t="str">
        <f>"00047272"</f>
        <v>00047272</v>
      </c>
      <c r="F957">
        <v>0</v>
      </c>
      <c r="G957" s="243">
        <v>38949</v>
      </c>
      <c r="H957" t="s">
        <v>182</v>
      </c>
      <c r="I957">
        <v>15</v>
      </c>
      <c r="J957">
        <v>7</v>
      </c>
      <c r="K957">
        <v>1</v>
      </c>
      <c r="L957">
        <v>69132</v>
      </c>
      <c r="M957" t="str">
        <f t="shared" si="133"/>
        <v>13</v>
      </c>
      <c r="N957" t="s">
        <v>3323</v>
      </c>
      <c r="O957" t="str">
        <f t="shared" si="135"/>
        <v>54011</v>
      </c>
      <c r="P957" t="str">
        <f>"2100L"</f>
        <v>2100L</v>
      </c>
      <c r="Q957" t="str">
        <f t="shared" si="134"/>
        <v>0101</v>
      </c>
      <c r="R957">
        <v>2100</v>
      </c>
      <c r="S957" t="str">
        <f t="shared" si="136"/>
        <v>5400</v>
      </c>
      <c r="T957" t="s">
        <v>3473</v>
      </c>
      <c r="U957" t="s">
        <v>33</v>
      </c>
    </row>
    <row r="958" spans="1:21" ht="15" customHeight="1" x14ac:dyDescent="0.3">
      <c r="A958" t="s">
        <v>179</v>
      </c>
      <c r="B958" t="str">
        <f>"00059047"</f>
        <v>00059047</v>
      </c>
      <c r="C958" t="s">
        <v>4274</v>
      </c>
      <c r="D958" t="s">
        <v>4600</v>
      </c>
      <c r="E958" t="str">
        <f>"00053814"</f>
        <v>00053814</v>
      </c>
      <c r="F958">
        <v>0</v>
      </c>
      <c r="G958" s="243">
        <v>37512</v>
      </c>
      <c r="H958" t="s">
        <v>182</v>
      </c>
      <c r="I958">
        <v>4</v>
      </c>
      <c r="J958">
        <v>7</v>
      </c>
      <c r="K958">
        <v>1</v>
      </c>
      <c r="L958">
        <v>30438</v>
      </c>
      <c r="M958" t="str">
        <f t="shared" si="133"/>
        <v>13</v>
      </c>
      <c r="N958" t="s">
        <v>3323</v>
      </c>
      <c r="O958" t="str">
        <f t="shared" si="135"/>
        <v>54011</v>
      </c>
      <c r="P958" t="str">
        <f>"2200L"</f>
        <v>2200L</v>
      </c>
      <c r="Q958" t="str">
        <f t="shared" si="134"/>
        <v>0101</v>
      </c>
      <c r="R958">
        <v>2200</v>
      </c>
      <c r="S958" t="str">
        <f t="shared" si="136"/>
        <v>5400</v>
      </c>
      <c r="T958" t="s">
        <v>3473</v>
      </c>
      <c r="U958" t="s">
        <v>33</v>
      </c>
    </row>
    <row r="959" spans="1:21" ht="15" customHeight="1" x14ac:dyDescent="0.3">
      <c r="A959" t="s">
        <v>179</v>
      </c>
      <c r="B959" t="str">
        <f>"00059228"</f>
        <v>00059228</v>
      </c>
      <c r="C959" t="s">
        <v>4266</v>
      </c>
      <c r="D959" t="s">
        <v>1102</v>
      </c>
      <c r="E959" t="str">
        <f>"00047052"</f>
        <v>00047052</v>
      </c>
      <c r="F959">
        <v>0</v>
      </c>
      <c r="G959" s="243">
        <v>38587</v>
      </c>
      <c r="H959" t="s">
        <v>182</v>
      </c>
      <c r="I959">
        <v>15</v>
      </c>
      <c r="J959">
        <v>14</v>
      </c>
      <c r="K959">
        <v>1</v>
      </c>
      <c r="L959">
        <v>96460</v>
      </c>
      <c r="M959" t="str">
        <f t="shared" si="133"/>
        <v>13</v>
      </c>
      <c r="N959" t="s">
        <v>3323</v>
      </c>
      <c r="O959" t="str">
        <f t="shared" si="135"/>
        <v>54011</v>
      </c>
      <c r="P959" t="str">
        <f>"2300L"</f>
        <v>2300L</v>
      </c>
      <c r="Q959" t="str">
        <f t="shared" si="134"/>
        <v>0101</v>
      </c>
      <c r="R959">
        <v>2300</v>
      </c>
      <c r="S959" t="str">
        <f t="shared" si="136"/>
        <v>5400</v>
      </c>
      <c r="T959" t="s">
        <v>3473</v>
      </c>
      <c r="U959" t="s">
        <v>33</v>
      </c>
    </row>
    <row r="960" spans="1:21" ht="15" customHeight="1" x14ac:dyDescent="0.3">
      <c r="A960" t="s">
        <v>179</v>
      </c>
      <c r="B960" t="str">
        <f>"00059373"</f>
        <v>00059373</v>
      </c>
      <c r="C960" t="s">
        <v>3798</v>
      </c>
      <c r="D960" t="s">
        <v>2729</v>
      </c>
      <c r="E960" t="str">
        <f>"00051309"</f>
        <v>00051309</v>
      </c>
      <c r="F960">
        <v>0</v>
      </c>
      <c r="G960" s="243">
        <v>36716</v>
      </c>
      <c r="H960" t="s">
        <v>182</v>
      </c>
      <c r="I960">
        <v>61</v>
      </c>
      <c r="J960">
        <v>1</v>
      </c>
      <c r="K960">
        <v>1</v>
      </c>
      <c r="L960">
        <v>100000</v>
      </c>
      <c r="M960" t="str">
        <f t="shared" si="133"/>
        <v>13</v>
      </c>
      <c r="N960" t="s">
        <v>3323</v>
      </c>
      <c r="O960" t="str">
        <f t="shared" si="135"/>
        <v>54011</v>
      </c>
      <c r="P960" t="str">
        <f>"1501L"</f>
        <v>1501L</v>
      </c>
      <c r="Q960" t="str">
        <f t="shared" si="134"/>
        <v>0101</v>
      </c>
      <c r="R960">
        <v>1501</v>
      </c>
      <c r="S960" t="str">
        <f t="shared" si="136"/>
        <v>5400</v>
      </c>
      <c r="T960" t="s">
        <v>3473</v>
      </c>
      <c r="U960" t="s">
        <v>33</v>
      </c>
    </row>
    <row r="961" spans="1:21" ht="15" customHeight="1" x14ac:dyDescent="0.3">
      <c r="A961" t="s">
        <v>179</v>
      </c>
      <c r="B961" t="str">
        <f>"00059477"</f>
        <v>00059477</v>
      </c>
      <c r="C961" t="s">
        <v>4290</v>
      </c>
      <c r="D961" t="s">
        <v>4601</v>
      </c>
      <c r="E961" t="str">
        <f>"00047439"</f>
        <v>00047439</v>
      </c>
      <c r="F961">
        <v>0</v>
      </c>
      <c r="G961" s="243">
        <v>37866</v>
      </c>
      <c r="H961" t="s">
        <v>182</v>
      </c>
      <c r="I961">
        <v>4</v>
      </c>
      <c r="J961">
        <v>10</v>
      </c>
      <c r="K961">
        <v>0.875</v>
      </c>
      <c r="L961">
        <v>28721</v>
      </c>
      <c r="M961" t="str">
        <f t="shared" si="133"/>
        <v>13</v>
      </c>
      <c r="N961" t="s">
        <v>3323</v>
      </c>
      <c r="O961" t="str">
        <f t="shared" si="135"/>
        <v>54011</v>
      </c>
      <c r="P961" t="str">
        <f t="shared" ref="P961:P972" si="137">"2100L"</f>
        <v>2100L</v>
      </c>
      <c r="Q961" t="str">
        <f t="shared" si="134"/>
        <v>0101</v>
      </c>
      <c r="R961">
        <v>2100</v>
      </c>
      <c r="S961" t="str">
        <f t="shared" si="136"/>
        <v>5400</v>
      </c>
      <c r="T961" t="s">
        <v>3473</v>
      </c>
      <c r="U961" t="s">
        <v>33</v>
      </c>
    </row>
    <row r="962" spans="1:21" ht="15" customHeight="1" x14ac:dyDescent="0.3">
      <c r="A962" t="s">
        <v>179</v>
      </c>
      <c r="B962" t="str">
        <f>"00060880"</f>
        <v>00060880</v>
      </c>
      <c r="C962" t="s">
        <v>4290</v>
      </c>
      <c r="D962" t="s">
        <v>4602</v>
      </c>
      <c r="E962" t="str">
        <f>"00050545"</f>
        <v>00050545</v>
      </c>
      <c r="F962">
        <v>0</v>
      </c>
      <c r="G962" s="243">
        <v>39258</v>
      </c>
      <c r="H962" t="s">
        <v>182</v>
      </c>
      <c r="I962">
        <v>4</v>
      </c>
      <c r="J962">
        <v>10</v>
      </c>
      <c r="K962">
        <v>0.875</v>
      </c>
      <c r="L962">
        <v>28721</v>
      </c>
      <c r="M962" t="str">
        <f t="shared" si="133"/>
        <v>13</v>
      </c>
      <c r="N962" t="s">
        <v>3323</v>
      </c>
      <c r="O962" t="str">
        <f t="shared" si="135"/>
        <v>54011</v>
      </c>
      <c r="P962" t="str">
        <f t="shared" si="137"/>
        <v>2100L</v>
      </c>
      <c r="Q962" t="str">
        <f t="shared" si="134"/>
        <v>0101</v>
      </c>
      <c r="R962">
        <v>2100</v>
      </c>
      <c r="S962" t="str">
        <f t="shared" si="136"/>
        <v>5400</v>
      </c>
      <c r="T962" t="s">
        <v>3473</v>
      </c>
      <c r="U962" t="s">
        <v>33</v>
      </c>
    </row>
    <row r="963" spans="1:21" ht="15" customHeight="1" x14ac:dyDescent="0.3">
      <c r="A963" t="s">
        <v>179</v>
      </c>
      <c r="B963" t="str">
        <f>"00061093"</f>
        <v>00061093</v>
      </c>
      <c r="C963" t="s">
        <v>4260</v>
      </c>
      <c r="D963" t="s">
        <v>4603</v>
      </c>
      <c r="E963" t="str">
        <f>"00069651"</f>
        <v>00069651</v>
      </c>
      <c r="F963">
        <v>0</v>
      </c>
      <c r="G963" s="243">
        <v>41133</v>
      </c>
      <c r="H963" t="s">
        <v>182</v>
      </c>
      <c r="I963">
        <v>15</v>
      </c>
      <c r="J963">
        <v>3</v>
      </c>
      <c r="K963">
        <v>1</v>
      </c>
      <c r="L963">
        <v>58699</v>
      </c>
      <c r="M963" t="str">
        <f t="shared" si="133"/>
        <v>13</v>
      </c>
      <c r="N963" t="s">
        <v>3370</v>
      </c>
      <c r="O963" t="str">
        <f t="shared" si="135"/>
        <v>54011</v>
      </c>
      <c r="P963" t="str">
        <f t="shared" si="137"/>
        <v>2100L</v>
      </c>
      <c r="Q963" t="str">
        <f t="shared" si="134"/>
        <v>0101</v>
      </c>
      <c r="R963">
        <v>2100</v>
      </c>
      <c r="S963" t="str">
        <f t="shared" si="136"/>
        <v>5400</v>
      </c>
      <c r="T963" t="s">
        <v>3473</v>
      </c>
      <c r="U963" t="s">
        <v>33</v>
      </c>
    </row>
    <row r="964" spans="1:21" ht="15" customHeight="1" x14ac:dyDescent="0.3">
      <c r="A964" t="s">
        <v>179</v>
      </c>
      <c r="B964" t="str">
        <f>"00062267"</f>
        <v>00062267</v>
      </c>
      <c r="C964" t="s">
        <v>4260</v>
      </c>
      <c r="D964" t="s">
        <v>3480</v>
      </c>
      <c r="E964" t="str">
        <f>"00066413"</f>
        <v>00066413</v>
      </c>
      <c r="F964">
        <v>0</v>
      </c>
      <c r="G964" s="243">
        <v>40755</v>
      </c>
      <c r="H964" t="s">
        <v>182</v>
      </c>
      <c r="I964">
        <v>15</v>
      </c>
      <c r="J964">
        <v>4</v>
      </c>
      <c r="K964">
        <v>1</v>
      </c>
      <c r="L964">
        <v>54725</v>
      </c>
      <c r="M964" t="str">
        <f t="shared" si="133"/>
        <v>13</v>
      </c>
      <c r="N964" t="s">
        <v>3323</v>
      </c>
      <c r="O964" t="str">
        <f t="shared" si="135"/>
        <v>54011</v>
      </c>
      <c r="P964" t="str">
        <f t="shared" si="137"/>
        <v>2100L</v>
      </c>
      <c r="Q964" t="str">
        <f t="shared" si="134"/>
        <v>0101</v>
      </c>
      <c r="R964">
        <v>2100</v>
      </c>
      <c r="S964" t="str">
        <f t="shared" si="136"/>
        <v>5400</v>
      </c>
      <c r="T964" t="s">
        <v>3473</v>
      </c>
      <c r="U964" t="s">
        <v>33</v>
      </c>
    </row>
    <row r="965" spans="1:21" ht="15" customHeight="1" x14ac:dyDescent="0.3">
      <c r="A965" t="s">
        <v>179</v>
      </c>
      <c r="B965" t="str">
        <f>"00066238"</f>
        <v>00066238</v>
      </c>
      <c r="C965" t="s">
        <v>4290</v>
      </c>
      <c r="D965" t="s">
        <v>4604</v>
      </c>
      <c r="E965" t="str">
        <f>"00062950"</f>
        <v>00062950</v>
      </c>
      <c r="F965">
        <v>0</v>
      </c>
      <c r="G965" s="243">
        <v>40408</v>
      </c>
      <c r="H965" t="s">
        <v>182</v>
      </c>
      <c r="I965">
        <v>4</v>
      </c>
      <c r="J965">
        <v>7</v>
      </c>
      <c r="K965">
        <v>1</v>
      </c>
      <c r="L965">
        <v>26633.25</v>
      </c>
      <c r="M965" t="str">
        <f t="shared" si="133"/>
        <v>13</v>
      </c>
      <c r="N965" t="s">
        <v>3323</v>
      </c>
      <c r="O965" t="str">
        <f t="shared" si="135"/>
        <v>54011</v>
      </c>
      <c r="P965" t="str">
        <f t="shared" si="137"/>
        <v>2100L</v>
      </c>
      <c r="Q965" t="str">
        <f t="shared" si="134"/>
        <v>0101</v>
      </c>
      <c r="R965">
        <v>2100</v>
      </c>
      <c r="S965" t="str">
        <f t="shared" si="136"/>
        <v>5400</v>
      </c>
      <c r="T965" t="s">
        <v>3473</v>
      </c>
      <c r="U965" t="s">
        <v>33</v>
      </c>
    </row>
    <row r="966" spans="1:21" ht="15" customHeight="1" x14ac:dyDescent="0.3">
      <c r="A966" t="s">
        <v>179</v>
      </c>
      <c r="B966" t="str">
        <f>"00072212"</f>
        <v>00072212</v>
      </c>
      <c r="C966" t="s">
        <v>4272</v>
      </c>
      <c r="D966" t="s">
        <v>1104</v>
      </c>
      <c r="E966" t="str">
        <f>"00062848"</f>
        <v>00062848</v>
      </c>
      <c r="F966">
        <v>0</v>
      </c>
      <c r="G966" s="243">
        <v>40406</v>
      </c>
      <c r="H966" t="s">
        <v>182</v>
      </c>
      <c r="I966">
        <v>15</v>
      </c>
      <c r="J966">
        <v>3</v>
      </c>
      <c r="K966">
        <v>1</v>
      </c>
      <c r="L966">
        <v>52777</v>
      </c>
      <c r="M966" t="str">
        <f t="shared" si="133"/>
        <v>13</v>
      </c>
      <c r="N966" t="s">
        <v>3323</v>
      </c>
      <c r="O966" t="str">
        <f t="shared" si="135"/>
        <v>54011</v>
      </c>
      <c r="P966" t="str">
        <f t="shared" si="137"/>
        <v>2100L</v>
      </c>
      <c r="Q966" t="str">
        <f t="shared" si="134"/>
        <v>0101</v>
      </c>
      <c r="R966">
        <v>2100</v>
      </c>
      <c r="S966" t="str">
        <f t="shared" si="136"/>
        <v>5400</v>
      </c>
      <c r="T966" t="s">
        <v>3473</v>
      </c>
      <c r="U966" t="s">
        <v>33</v>
      </c>
    </row>
    <row r="967" spans="1:21" ht="15" customHeight="1" x14ac:dyDescent="0.3">
      <c r="A967" t="s">
        <v>179</v>
      </c>
      <c r="B967" t="str">
        <f>"00072453"</f>
        <v>00072453</v>
      </c>
      <c r="C967" t="s">
        <v>4274</v>
      </c>
      <c r="H967" t="s">
        <v>170</v>
      </c>
      <c r="I967">
        <v>4</v>
      </c>
      <c r="J967">
        <v>1</v>
      </c>
      <c r="K967">
        <v>0.71</v>
      </c>
      <c r="L967">
        <v>25662</v>
      </c>
      <c r="M967" t="str">
        <f t="shared" si="133"/>
        <v>13</v>
      </c>
      <c r="N967" t="s">
        <v>3323</v>
      </c>
      <c r="O967" t="str">
        <f t="shared" si="135"/>
        <v>54011</v>
      </c>
      <c r="P967" t="str">
        <f t="shared" si="137"/>
        <v>2100L</v>
      </c>
      <c r="Q967" t="str">
        <f t="shared" si="134"/>
        <v>0101</v>
      </c>
      <c r="R967">
        <v>2100</v>
      </c>
      <c r="S967" t="str">
        <f t="shared" si="136"/>
        <v>5400</v>
      </c>
      <c r="T967" t="s">
        <v>3473</v>
      </c>
      <c r="U967" t="s">
        <v>33</v>
      </c>
    </row>
    <row r="968" spans="1:21" ht="15" customHeight="1" x14ac:dyDescent="0.3">
      <c r="A968" t="s">
        <v>179</v>
      </c>
      <c r="B968" t="str">
        <f>"00072600"</f>
        <v>00072600</v>
      </c>
      <c r="C968" t="s">
        <v>4274</v>
      </c>
      <c r="D968" t="s">
        <v>4605</v>
      </c>
      <c r="E968" t="str">
        <f>"00055176"</f>
        <v>00055176</v>
      </c>
      <c r="F968">
        <v>0</v>
      </c>
      <c r="G968" s="243">
        <v>40406</v>
      </c>
      <c r="H968" t="s">
        <v>182</v>
      </c>
      <c r="I968">
        <v>4</v>
      </c>
      <c r="J968">
        <v>9</v>
      </c>
      <c r="K968">
        <v>0.71</v>
      </c>
      <c r="L968">
        <v>28025.38</v>
      </c>
      <c r="M968" t="str">
        <f t="shared" si="133"/>
        <v>13</v>
      </c>
      <c r="N968" t="s">
        <v>3323</v>
      </c>
      <c r="O968" t="str">
        <f t="shared" si="135"/>
        <v>54011</v>
      </c>
      <c r="P968" t="str">
        <f t="shared" si="137"/>
        <v>2100L</v>
      </c>
      <c r="Q968" t="str">
        <f t="shared" si="134"/>
        <v>0101</v>
      </c>
      <c r="R968">
        <v>2100</v>
      </c>
      <c r="S968" t="str">
        <f t="shared" si="136"/>
        <v>5400</v>
      </c>
      <c r="T968" t="s">
        <v>3473</v>
      </c>
      <c r="U968" t="s">
        <v>33</v>
      </c>
    </row>
    <row r="969" spans="1:21" ht="15" customHeight="1" x14ac:dyDescent="0.3">
      <c r="A969" t="s">
        <v>179</v>
      </c>
      <c r="B969" t="str">
        <f>"00074017"</f>
        <v>00074017</v>
      </c>
      <c r="C969" t="s">
        <v>200</v>
      </c>
      <c r="D969" t="s">
        <v>3475</v>
      </c>
      <c r="E969" t="str">
        <f>"00053025"</f>
        <v>00053025</v>
      </c>
      <c r="F969">
        <v>0</v>
      </c>
      <c r="G969" s="243">
        <v>33648</v>
      </c>
      <c r="H969" t="s">
        <v>182</v>
      </c>
      <c r="I969">
        <v>15</v>
      </c>
      <c r="J969">
        <v>16</v>
      </c>
      <c r="K969">
        <v>1</v>
      </c>
      <c r="L969">
        <v>103347</v>
      </c>
      <c r="M969" t="str">
        <f t="shared" si="133"/>
        <v>13</v>
      </c>
      <c r="N969" t="s">
        <v>3323</v>
      </c>
      <c r="O969" t="str">
        <f t="shared" si="135"/>
        <v>54011</v>
      </c>
      <c r="P969" t="str">
        <f t="shared" si="137"/>
        <v>2100L</v>
      </c>
      <c r="Q969" t="str">
        <f t="shared" si="134"/>
        <v>0101</v>
      </c>
      <c r="R969">
        <v>2100</v>
      </c>
      <c r="S969" t="str">
        <f t="shared" si="136"/>
        <v>5400</v>
      </c>
      <c r="T969" t="s">
        <v>3473</v>
      </c>
      <c r="U969" t="s">
        <v>33</v>
      </c>
    </row>
    <row r="970" spans="1:21" ht="15" customHeight="1" x14ac:dyDescent="0.3">
      <c r="A970" t="s">
        <v>179</v>
      </c>
      <c r="B970" t="str">
        <f>"00074196"</f>
        <v>00074196</v>
      </c>
      <c r="C970" t="s">
        <v>4272</v>
      </c>
      <c r="D970" t="s">
        <v>3476</v>
      </c>
      <c r="E970" t="str">
        <f>"00061480"</f>
        <v>00061480</v>
      </c>
      <c r="F970">
        <v>0</v>
      </c>
      <c r="G970" s="243">
        <v>40759</v>
      </c>
      <c r="H970" t="s">
        <v>182</v>
      </c>
      <c r="I970">
        <v>15</v>
      </c>
      <c r="J970">
        <v>2</v>
      </c>
      <c r="K970">
        <v>1</v>
      </c>
      <c r="L970">
        <v>56242</v>
      </c>
      <c r="M970" t="str">
        <f t="shared" si="133"/>
        <v>13</v>
      </c>
      <c r="N970" t="s">
        <v>3323</v>
      </c>
      <c r="O970" t="str">
        <f t="shared" si="135"/>
        <v>54011</v>
      </c>
      <c r="P970" t="str">
        <f t="shared" si="137"/>
        <v>2100L</v>
      </c>
      <c r="Q970" t="str">
        <f t="shared" si="134"/>
        <v>0101</v>
      </c>
      <c r="R970">
        <v>2100</v>
      </c>
      <c r="S970" t="str">
        <f t="shared" si="136"/>
        <v>5400</v>
      </c>
      <c r="T970" t="s">
        <v>3473</v>
      </c>
      <c r="U970" t="s">
        <v>33</v>
      </c>
    </row>
    <row r="971" spans="1:21" ht="15" customHeight="1" x14ac:dyDescent="0.3">
      <c r="A971" t="s">
        <v>179</v>
      </c>
      <c r="B971" t="str">
        <f>"00074197"</f>
        <v>00074197</v>
      </c>
      <c r="C971" t="s">
        <v>4262</v>
      </c>
      <c r="D971" t="s">
        <v>4606</v>
      </c>
      <c r="E971" t="str">
        <f>"00069843"</f>
        <v>00069843</v>
      </c>
      <c r="F971">
        <v>0</v>
      </c>
      <c r="G971" s="243">
        <v>41133</v>
      </c>
      <c r="H971" t="s">
        <v>182</v>
      </c>
      <c r="I971">
        <v>15</v>
      </c>
      <c r="J971">
        <v>1</v>
      </c>
      <c r="K971">
        <v>1</v>
      </c>
      <c r="L971">
        <v>51539</v>
      </c>
      <c r="M971" t="str">
        <f t="shared" si="133"/>
        <v>13</v>
      </c>
      <c r="N971" t="s">
        <v>3370</v>
      </c>
      <c r="O971" t="str">
        <f t="shared" si="135"/>
        <v>54011</v>
      </c>
      <c r="P971" t="str">
        <f t="shared" si="137"/>
        <v>2100L</v>
      </c>
      <c r="Q971" t="str">
        <f t="shared" si="134"/>
        <v>0101</v>
      </c>
      <c r="R971">
        <v>2100</v>
      </c>
      <c r="S971" t="str">
        <f t="shared" si="136"/>
        <v>5400</v>
      </c>
      <c r="T971" t="s">
        <v>3473</v>
      </c>
      <c r="U971" t="s">
        <v>33</v>
      </c>
    </row>
    <row r="972" spans="1:21" ht="15" customHeight="1" x14ac:dyDescent="0.3">
      <c r="A972" t="s">
        <v>179</v>
      </c>
      <c r="B972" t="str">
        <f>"00074198"</f>
        <v>00074198</v>
      </c>
      <c r="C972" t="s">
        <v>4260</v>
      </c>
      <c r="D972" t="s">
        <v>3477</v>
      </c>
      <c r="E972" t="str">
        <f>"00065934"</f>
        <v>00065934</v>
      </c>
      <c r="F972">
        <v>0</v>
      </c>
      <c r="G972" s="243">
        <v>40755</v>
      </c>
      <c r="H972" t="s">
        <v>182</v>
      </c>
      <c r="I972">
        <v>15</v>
      </c>
      <c r="J972">
        <v>2</v>
      </c>
      <c r="K972">
        <v>1</v>
      </c>
      <c r="L972">
        <v>51716</v>
      </c>
      <c r="M972" t="str">
        <f t="shared" si="133"/>
        <v>13</v>
      </c>
      <c r="N972" t="s">
        <v>3323</v>
      </c>
      <c r="O972" t="str">
        <f t="shared" si="135"/>
        <v>54011</v>
      </c>
      <c r="P972" t="str">
        <f t="shared" si="137"/>
        <v>2100L</v>
      </c>
      <c r="Q972" t="str">
        <f t="shared" si="134"/>
        <v>0101</v>
      </c>
      <c r="R972">
        <v>2100</v>
      </c>
      <c r="S972" t="str">
        <f t="shared" si="136"/>
        <v>5400</v>
      </c>
      <c r="T972" t="s">
        <v>3473</v>
      </c>
      <c r="U972" t="s">
        <v>33</v>
      </c>
    </row>
    <row r="973" spans="1:21" ht="15" customHeight="1" x14ac:dyDescent="0.3">
      <c r="A973" t="s">
        <v>179</v>
      </c>
      <c r="B973" t="str">
        <f>"00074199"</f>
        <v>00074199</v>
      </c>
      <c r="C973" t="s">
        <v>4290</v>
      </c>
      <c r="D973" t="s">
        <v>4607</v>
      </c>
      <c r="E973" t="str">
        <f>"00066065"</f>
        <v>00066065</v>
      </c>
      <c r="F973">
        <v>0</v>
      </c>
      <c r="G973" s="243">
        <v>40770</v>
      </c>
      <c r="H973" t="s">
        <v>182</v>
      </c>
      <c r="I973">
        <v>4</v>
      </c>
      <c r="J973">
        <v>7</v>
      </c>
      <c r="K973">
        <v>0.71</v>
      </c>
      <c r="L973">
        <v>26633.25</v>
      </c>
      <c r="M973" t="str">
        <f t="shared" si="133"/>
        <v>13</v>
      </c>
      <c r="N973" t="s">
        <v>3323</v>
      </c>
      <c r="O973" t="str">
        <f t="shared" si="135"/>
        <v>54011</v>
      </c>
      <c r="P973" t="str">
        <f>"3030L"</f>
        <v>3030L</v>
      </c>
      <c r="Q973" t="str">
        <f t="shared" si="134"/>
        <v>0101</v>
      </c>
      <c r="R973">
        <v>3030</v>
      </c>
      <c r="S973" t="str">
        <f t="shared" si="136"/>
        <v>5400</v>
      </c>
      <c r="T973" t="s">
        <v>3473</v>
      </c>
      <c r="U973" t="s">
        <v>33</v>
      </c>
    </row>
    <row r="974" spans="1:21" ht="15" customHeight="1" x14ac:dyDescent="0.3">
      <c r="A974" t="s">
        <v>179</v>
      </c>
      <c r="B974" t="str">
        <f>"00074201"</f>
        <v>00074201</v>
      </c>
      <c r="C974" t="s">
        <v>4290</v>
      </c>
      <c r="D974" t="s">
        <v>4608</v>
      </c>
      <c r="E974" t="str">
        <f>"00066699"</f>
        <v>00066699</v>
      </c>
      <c r="F974">
        <v>0</v>
      </c>
      <c r="G974" s="243">
        <v>40812</v>
      </c>
      <c r="H974" t="s">
        <v>182</v>
      </c>
      <c r="I974">
        <v>4</v>
      </c>
      <c r="J974">
        <v>4</v>
      </c>
      <c r="K974">
        <v>0.71</v>
      </c>
      <c r="L974">
        <v>24543.75</v>
      </c>
      <c r="M974" t="str">
        <f t="shared" si="133"/>
        <v>13</v>
      </c>
      <c r="N974" t="s">
        <v>3323</v>
      </c>
      <c r="O974" t="str">
        <f t="shared" si="135"/>
        <v>54011</v>
      </c>
      <c r="P974" t="str">
        <f>"3030L"</f>
        <v>3030L</v>
      </c>
      <c r="Q974" t="str">
        <f t="shared" si="134"/>
        <v>0101</v>
      </c>
      <c r="R974">
        <v>3030</v>
      </c>
      <c r="S974" t="str">
        <f t="shared" si="136"/>
        <v>5400</v>
      </c>
      <c r="T974" t="s">
        <v>3473</v>
      </c>
      <c r="U974" t="s">
        <v>33</v>
      </c>
    </row>
    <row r="975" spans="1:21" ht="15" customHeight="1" x14ac:dyDescent="0.3">
      <c r="A975" t="s">
        <v>179</v>
      </c>
      <c r="B975" t="str">
        <f>"00074202"</f>
        <v>00074202</v>
      </c>
      <c r="C975" t="s">
        <v>4290</v>
      </c>
      <c r="D975" t="s">
        <v>4609</v>
      </c>
      <c r="E975" t="str">
        <f>"00065606"</f>
        <v>00065606</v>
      </c>
      <c r="F975">
        <v>0</v>
      </c>
      <c r="G975" s="243">
        <v>40770</v>
      </c>
      <c r="H975" t="s">
        <v>182</v>
      </c>
      <c r="I975">
        <v>4</v>
      </c>
      <c r="J975">
        <v>4</v>
      </c>
      <c r="K975">
        <v>0.71</v>
      </c>
      <c r="L975">
        <v>24543.75</v>
      </c>
      <c r="M975" t="str">
        <f t="shared" si="133"/>
        <v>13</v>
      </c>
      <c r="N975" t="s">
        <v>3323</v>
      </c>
      <c r="O975" t="str">
        <f t="shared" si="135"/>
        <v>54011</v>
      </c>
      <c r="P975" t="str">
        <f>"3030L"</f>
        <v>3030L</v>
      </c>
      <c r="Q975" t="str">
        <f t="shared" si="134"/>
        <v>0101</v>
      </c>
      <c r="R975">
        <v>3030</v>
      </c>
      <c r="S975" t="str">
        <f t="shared" si="136"/>
        <v>5400</v>
      </c>
      <c r="T975" t="s">
        <v>3473</v>
      </c>
      <c r="U975" t="s">
        <v>33</v>
      </c>
    </row>
    <row r="976" spans="1:21" ht="15" customHeight="1" x14ac:dyDescent="0.3">
      <c r="A976" t="s">
        <v>179</v>
      </c>
      <c r="B976" t="str">
        <f>"00074203"</f>
        <v>00074203</v>
      </c>
      <c r="C976" t="s">
        <v>4288</v>
      </c>
      <c r="D976" t="s">
        <v>4610</v>
      </c>
      <c r="E976" t="str">
        <f>"00054518"</f>
        <v>00054518</v>
      </c>
      <c r="F976">
        <v>0</v>
      </c>
      <c r="G976" s="243">
        <v>40770</v>
      </c>
      <c r="H976" t="s">
        <v>182</v>
      </c>
      <c r="I976">
        <v>4</v>
      </c>
      <c r="J976">
        <v>8</v>
      </c>
      <c r="K976">
        <v>0.71</v>
      </c>
      <c r="L976">
        <v>27329.75</v>
      </c>
      <c r="M976" t="str">
        <f t="shared" si="133"/>
        <v>13</v>
      </c>
      <c r="N976" t="s">
        <v>3323</v>
      </c>
      <c r="O976" t="str">
        <f t="shared" si="135"/>
        <v>54011</v>
      </c>
      <c r="P976" t="str">
        <f>"2200L"</f>
        <v>2200L</v>
      </c>
      <c r="Q976" t="str">
        <f t="shared" si="134"/>
        <v>0101</v>
      </c>
      <c r="R976">
        <v>2200</v>
      </c>
      <c r="S976" t="str">
        <f t="shared" si="136"/>
        <v>5400</v>
      </c>
      <c r="T976" t="s">
        <v>3473</v>
      </c>
      <c r="U976" t="s">
        <v>33</v>
      </c>
    </row>
    <row r="977" spans="1:21" ht="15" customHeight="1" x14ac:dyDescent="0.3">
      <c r="A977" t="s">
        <v>179</v>
      </c>
      <c r="B977" t="str">
        <f>"00076056"</f>
        <v>00076056</v>
      </c>
      <c r="C977" t="s">
        <v>4306</v>
      </c>
      <c r="H977" t="s">
        <v>170</v>
      </c>
      <c r="I977">
        <v>9</v>
      </c>
      <c r="J977">
        <v>0</v>
      </c>
      <c r="K977">
        <v>1</v>
      </c>
      <c r="L977">
        <v>33163</v>
      </c>
      <c r="M977" t="str">
        <f t="shared" si="133"/>
        <v>13</v>
      </c>
      <c r="N977" t="s">
        <v>3370</v>
      </c>
      <c r="O977" t="str">
        <f t="shared" si="135"/>
        <v>54011</v>
      </c>
      <c r="P977" t="str">
        <f>"1502L"</f>
        <v>1502L</v>
      </c>
      <c r="Q977" t="str">
        <f t="shared" si="134"/>
        <v>0101</v>
      </c>
      <c r="R977">
        <v>1502</v>
      </c>
      <c r="S977" t="str">
        <f t="shared" si="136"/>
        <v>5400</v>
      </c>
      <c r="T977" t="s">
        <v>3473</v>
      </c>
      <c r="U977" t="s">
        <v>33</v>
      </c>
    </row>
    <row r="978" spans="1:21" ht="15" customHeight="1" x14ac:dyDescent="0.3">
      <c r="A978" t="s">
        <v>179</v>
      </c>
      <c r="B978" t="str">
        <f>"00076057"</f>
        <v>00076057</v>
      </c>
      <c r="C978" t="s">
        <v>4271</v>
      </c>
      <c r="D978" t="s">
        <v>4611</v>
      </c>
      <c r="E978" t="str">
        <f>"00053583"</f>
        <v>00053583</v>
      </c>
      <c r="F978">
        <v>0</v>
      </c>
      <c r="G978" s="243">
        <v>35354</v>
      </c>
      <c r="H978" t="s">
        <v>182</v>
      </c>
      <c r="I978">
        <v>15</v>
      </c>
      <c r="J978">
        <v>12</v>
      </c>
      <c r="K978">
        <v>1</v>
      </c>
      <c r="L978">
        <v>89887</v>
      </c>
      <c r="M978" t="str">
        <f t="shared" si="133"/>
        <v>13</v>
      </c>
      <c r="N978" t="s">
        <v>3323</v>
      </c>
      <c r="O978" t="str">
        <f t="shared" si="135"/>
        <v>54011</v>
      </c>
      <c r="P978" t="str">
        <f>"2100L"</f>
        <v>2100L</v>
      </c>
      <c r="Q978" t="str">
        <f t="shared" si="134"/>
        <v>0101</v>
      </c>
      <c r="R978">
        <v>2100</v>
      </c>
      <c r="S978" t="str">
        <f t="shared" si="136"/>
        <v>5400</v>
      </c>
      <c r="T978" t="s">
        <v>3473</v>
      </c>
      <c r="U978" t="s">
        <v>33</v>
      </c>
    </row>
    <row r="979" spans="1:21" ht="15" customHeight="1" x14ac:dyDescent="0.3">
      <c r="A979" t="s">
        <v>179</v>
      </c>
      <c r="B979" t="str">
        <f>"00051889"</f>
        <v>00051889</v>
      </c>
      <c r="C979" t="s">
        <v>3798</v>
      </c>
      <c r="D979" t="s">
        <v>1151</v>
      </c>
      <c r="E979" t="str">
        <f>"00056717"</f>
        <v>00056717</v>
      </c>
      <c r="F979">
        <v>0</v>
      </c>
      <c r="G979" s="243">
        <v>40000</v>
      </c>
      <c r="H979" t="s">
        <v>182</v>
      </c>
      <c r="I979">
        <v>61</v>
      </c>
      <c r="J979">
        <v>3</v>
      </c>
      <c r="K979">
        <v>1</v>
      </c>
      <c r="L979">
        <v>110000</v>
      </c>
      <c r="M979" t="str">
        <f t="shared" si="133"/>
        <v>13</v>
      </c>
      <c r="N979" t="s">
        <v>3323</v>
      </c>
      <c r="O979" t="str">
        <f t="shared" ref="O979:O1010" si="138">"54311"</f>
        <v>54311</v>
      </c>
      <c r="P979" t="str">
        <f>"1501L"</f>
        <v>1501L</v>
      </c>
      <c r="Q979" t="str">
        <f t="shared" si="134"/>
        <v>0101</v>
      </c>
      <c r="R979">
        <v>1501</v>
      </c>
      <c r="S979" t="str">
        <f t="shared" ref="S979:S1010" si="139">"5430"</f>
        <v>5430</v>
      </c>
      <c r="T979" t="s">
        <v>3482</v>
      </c>
      <c r="U979" t="s">
        <v>1150</v>
      </c>
    </row>
    <row r="980" spans="1:21" ht="15" customHeight="1" x14ac:dyDescent="0.3">
      <c r="A980" t="s">
        <v>179</v>
      </c>
      <c r="B980" t="str">
        <f>"00052564"</f>
        <v>00052564</v>
      </c>
      <c r="C980" t="s">
        <v>4262</v>
      </c>
      <c r="D980" t="s">
        <v>1322</v>
      </c>
      <c r="E980" t="str">
        <f>"00046492"</f>
        <v>00046492</v>
      </c>
      <c r="F980">
        <v>0</v>
      </c>
      <c r="G980" s="243">
        <v>38226</v>
      </c>
      <c r="H980" t="s">
        <v>182</v>
      </c>
      <c r="I980">
        <v>15</v>
      </c>
      <c r="J980">
        <v>12</v>
      </c>
      <c r="K980">
        <v>1</v>
      </c>
      <c r="L980">
        <v>87431</v>
      </c>
      <c r="M980" t="str">
        <f t="shared" si="133"/>
        <v>13</v>
      </c>
      <c r="N980" t="s">
        <v>3323</v>
      </c>
      <c r="O980" t="str">
        <f t="shared" si="138"/>
        <v>54311</v>
      </c>
      <c r="P980" t="str">
        <f>"2100L"</f>
        <v>2100L</v>
      </c>
      <c r="Q980" t="str">
        <f t="shared" si="134"/>
        <v>0101</v>
      </c>
      <c r="R980">
        <v>2100</v>
      </c>
      <c r="S980" t="str">
        <f t="shared" si="139"/>
        <v>5430</v>
      </c>
      <c r="T980" t="s">
        <v>3482</v>
      </c>
      <c r="U980" t="s">
        <v>1150</v>
      </c>
    </row>
    <row r="981" spans="1:21" ht="15" customHeight="1" x14ac:dyDescent="0.3">
      <c r="A981" t="s">
        <v>179</v>
      </c>
      <c r="B981" t="str">
        <f>"00052624"</f>
        <v>00052624</v>
      </c>
      <c r="C981" t="s">
        <v>4272</v>
      </c>
      <c r="D981" t="s">
        <v>3494</v>
      </c>
      <c r="E981" t="str">
        <f>"00065581"</f>
        <v>00065581</v>
      </c>
      <c r="F981">
        <v>0</v>
      </c>
      <c r="G981" s="243">
        <v>40755</v>
      </c>
      <c r="H981" t="s">
        <v>182</v>
      </c>
      <c r="I981">
        <v>15</v>
      </c>
      <c r="J981">
        <v>6</v>
      </c>
      <c r="K981">
        <v>1</v>
      </c>
      <c r="L981">
        <v>66078</v>
      </c>
      <c r="M981" t="str">
        <f t="shared" si="133"/>
        <v>13</v>
      </c>
      <c r="N981" t="s">
        <v>3323</v>
      </c>
      <c r="O981" t="str">
        <f t="shared" si="138"/>
        <v>54311</v>
      </c>
      <c r="P981" t="str">
        <f>"2100L"</f>
        <v>2100L</v>
      </c>
      <c r="Q981" t="str">
        <f t="shared" si="134"/>
        <v>0101</v>
      </c>
      <c r="R981">
        <v>2100</v>
      </c>
      <c r="S981" t="str">
        <f t="shared" si="139"/>
        <v>5430</v>
      </c>
      <c r="T981" t="s">
        <v>3482</v>
      </c>
      <c r="U981" t="s">
        <v>1150</v>
      </c>
    </row>
    <row r="982" spans="1:21" ht="15" customHeight="1" x14ac:dyDescent="0.3">
      <c r="A982" t="s">
        <v>179</v>
      </c>
      <c r="B982" t="str">
        <f>"00053507"</f>
        <v>00053507</v>
      </c>
      <c r="C982" t="s">
        <v>4288</v>
      </c>
      <c r="D982" t="s">
        <v>4612</v>
      </c>
      <c r="E982" t="str">
        <f>"00054384"</f>
        <v>00054384</v>
      </c>
      <c r="F982">
        <v>0</v>
      </c>
      <c r="G982" s="243">
        <v>39776</v>
      </c>
      <c r="H982" t="s">
        <v>182</v>
      </c>
      <c r="I982">
        <v>4</v>
      </c>
      <c r="J982">
        <v>7</v>
      </c>
      <c r="K982">
        <v>0.875</v>
      </c>
      <c r="L982">
        <v>26633.25</v>
      </c>
      <c r="M982" t="str">
        <f t="shared" si="133"/>
        <v>13</v>
      </c>
      <c r="N982" t="s">
        <v>3323</v>
      </c>
      <c r="O982" t="str">
        <f t="shared" si="138"/>
        <v>54311</v>
      </c>
      <c r="P982" t="str">
        <f>"2100L"</f>
        <v>2100L</v>
      </c>
      <c r="Q982" t="str">
        <f t="shared" si="134"/>
        <v>0101</v>
      </c>
      <c r="R982">
        <v>2100</v>
      </c>
      <c r="S982" t="str">
        <f t="shared" si="139"/>
        <v>5430</v>
      </c>
      <c r="T982" t="s">
        <v>3482</v>
      </c>
      <c r="U982" t="s">
        <v>1150</v>
      </c>
    </row>
    <row r="983" spans="1:21" ht="15" customHeight="1" x14ac:dyDescent="0.3">
      <c r="A983" t="s">
        <v>179</v>
      </c>
      <c r="B983" t="str">
        <f>"00053593"</f>
        <v>00053593</v>
      </c>
      <c r="C983" t="s">
        <v>4288</v>
      </c>
      <c r="H983" t="s">
        <v>170</v>
      </c>
      <c r="I983">
        <v>4</v>
      </c>
      <c r="J983">
        <v>1</v>
      </c>
      <c r="K983">
        <v>0.875</v>
      </c>
      <c r="L983">
        <v>25662</v>
      </c>
      <c r="M983" t="str">
        <f t="shared" si="133"/>
        <v>13</v>
      </c>
      <c r="N983" t="s">
        <v>3370</v>
      </c>
      <c r="O983" t="str">
        <f t="shared" si="138"/>
        <v>54311</v>
      </c>
      <c r="P983" t="str">
        <f>"2100L"</f>
        <v>2100L</v>
      </c>
      <c r="Q983" t="str">
        <f t="shared" si="134"/>
        <v>0101</v>
      </c>
      <c r="R983">
        <v>2100</v>
      </c>
      <c r="S983" t="str">
        <f t="shared" si="139"/>
        <v>5430</v>
      </c>
      <c r="T983" t="s">
        <v>3482</v>
      </c>
      <c r="U983" t="s">
        <v>1150</v>
      </c>
    </row>
    <row r="984" spans="1:21" ht="15" customHeight="1" x14ac:dyDescent="0.3">
      <c r="A984" t="s">
        <v>179</v>
      </c>
      <c r="B984" t="str">
        <f>"00054051"</f>
        <v>00054051</v>
      </c>
      <c r="C984" t="s">
        <v>4299</v>
      </c>
      <c r="D984" t="s">
        <v>4613</v>
      </c>
      <c r="E984" t="str">
        <f>"00052938"</f>
        <v>00052938</v>
      </c>
      <c r="F984">
        <v>0</v>
      </c>
      <c r="G984" s="243">
        <v>30671</v>
      </c>
      <c r="H984" t="s">
        <v>182</v>
      </c>
      <c r="I984">
        <v>7</v>
      </c>
      <c r="J984">
        <v>10</v>
      </c>
      <c r="K984">
        <v>1</v>
      </c>
      <c r="L984">
        <v>45943</v>
      </c>
      <c r="M984" t="str">
        <f t="shared" si="133"/>
        <v>13</v>
      </c>
      <c r="N984" t="s">
        <v>3323</v>
      </c>
      <c r="O984" t="str">
        <f t="shared" si="138"/>
        <v>54311</v>
      </c>
      <c r="P984" t="str">
        <f>"1502L"</f>
        <v>1502L</v>
      </c>
      <c r="Q984" t="str">
        <f t="shared" si="134"/>
        <v>0101</v>
      </c>
      <c r="R984">
        <v>1502</v>
      </c>
      <c r="S984" t="str">
        <f t="shared" si="139"/>
        <v>5430</v>
      </c>
      <c r="T984" t="s">
        <v>3482</v>
      </c>
      <c r="U984" t="s">
        <v>1150</v>
      </c>
    </row>
    <row r="985" spans="1:21" ht="15" customHeight="1" x14ac:dyDescent="0.3">
      <c r="A985" t="s">
        <v>179</v>
      </c>
      <c r="B985" t="str">
        <f>"00062946"</f>
        <v>00062946</v>
      </c>
      <c r="C985" t="s">
        <v>4262</v>
      </c>
      <c r="D985" t="s">
        <v>1157</v>
      </c>
      <c r="E985" t="str">
        <f>"00063051"</f>
        <v>00063051</v>
      </c>
      <c r="F985">
        <v>0</v>
      </c>
      <c r="G985" s="243">
        <v>40406</v>
      </c>
      <c r="H985" t="s">
        <v>182</v>
      </c>
      <c r="I985">
        <v>15</v>
      </c>
      <c r="J985">
        <v>3</v>
      </c>
      <c r="K985">
        <v>1</v>
      </c>
      <c r="L985">
        <v>52777</v>
      </c>
      <c r="M985" t="str">
        <f t="shared" si="133"/>
        <v>13</v>
      </c>
      <c r="N985" t="s">
        <v>3323</v>
      </c>
      <c r="O985" t="str">
        <f t="shared" si="138"/>
        <v>54311</v>
      </c>
      <c r="P985" t="str">
        <f>"2100L"</f>
        <v>2100L</v>
      </c>
      <c r="Q985" t="str">
        <f t="shared" si="134"/>
        <v>0101</v>
      </c>
      <c r="R985">
        <v>2100</v>
      </c>
      <c r="S985" t="str">
        <f t="shared" si="139"/>
        <v>5430</v>
      </c>
      <c r="T985" t="s">
        <v>3482</v>
      </c>
      <c r="U985" t="s">
        <v>1150</v>
      </c>
    </row>
    <row r="986" spans="1:21" ht="15" customHeight="1" x14ac:dyDescent="0.3">
      <c r="A986" t="s">
        <v>179</v>
      </c>
      <c r="B986" t="str">
        <f>"00069816"</f>
        <v>00069816</v>
      </c>
      <c r="C986" t="s">
        <v>4262</v>
      </c>
      <c r="D986" t="s">
        <v>1158</v>
      </c>
      <c r="E986" t="str">
        <f>"00058543"</f>
        <v>00058543</v>
      </c>
      <c r="F986">
        <v>0</v>
      </c>
      <c r="G986" s="243">
        <v>40070</v>
      </c>
      <c r="H986" t="s">
        <v>182</v>
      </c>
      <c r="I986">
        <v>15</v>
      </c>
      <c r="J986">
        <v>4</v>
      </c>
      <c r="K986">
        <v>1</v>
      </c>
      <c r="L986">
        <v>61158</v>
      </c>
      <c r="M986" t="str">
        <f t="shared" ref="M986:M1042" si="140">"13"</f>
        <v>13</v>
      </c>
      <c r="N986" t="s">
        <v>3323</v>
      </c>
      <c r="O986" t="str">
        <f t="shared" si="138"/>
        <v>54311</v>
      </c>
      <c r="P986" t="str">
        <f>"2100L"</f>
        <v>2100L</v>
      </c>
      <c r="Q986" t="str">
        <f t="shared" ref="Q986:Q1042" si="141">"0101"</f>
        <v>0101</v>
      </c>
      <c r="R986">
        <v>2100</v>
      </c>
      <c r="S986" t="str">
        <f t="shared" si="139"/>
        <v>5430</v>
      </c>
      <c r="T986" t="s">
        <v>3482</v>
      </c>
      <c r="U986" t="s">
        <v>1150</v>
      </c>
    </row>
    <row r="987" spans="1:21" ht="15" customHeight="1" x14ac:dyDescent="0.3">
      <c r="A987" t="s">
        <v>179</v>
      </c>
      <c r="B987" t="str">
        <f>"00073779"</f>
        <v>00073779</v>
      </c>
      <c r="C987" t="s">
        <v>4272</v>
      </c>
      <c r="D987" t="s">
        <v>3484</v>
      </c>
      <c r="E987" t="str">
        <f>"00065871"</f>
        <v>00065871</v>
      </c>
      <c r="F987">
        <v>0</v>
      </c>
      <c r="G987" s="243">
        <v>40755</v>
      </c>
      <c r="H987" t="s">
        <v>182</v>
      </c>
      <c r="I987">
        <v>15</v>
      </c>
      <c r="J987">
        <v>2</v>
      </c>
      <c r="K987">
        <v>1</v>
      </c>
      <c r="L987">
        <v>51716</v>
      </c>
      <c r="M987" t="str">
        <f t="shared" si="140"/>
        <v>13</v>
      </c>
      <c r="N987" t="s">
        <v>3323</v>
      </c>
      <c r="O987" t="str">
        <f t="shared" si="138"/>
        <v>54311</v>
      </c>
      <c r="P987" t="str">
        <f>"2100L"</f>
        <v>2100L</v>
      </c>
      <c r="Q987" t="str">
        <f t="shared" si="141"/>
        <v>0101</v>
      </c>
      <c r="R987">
        <v>2100</v>
      </c>
      <c r="S987" t="str">
        <f t="shared" si="139"/>
        <v>5430</v>
      </c>
      <c r="T987" t="s">
        <v>3482</v>
      </c>
      <c r="U987" t="s">
        <v>1150</v>
      </c>
    </row>
    <row r="988" spans="1:21" ht="15" customHeight="1" x14ac:dyDescent="0.3">
      <c r="A988" t="s">
        <v>179</v>
      </c>
      <c r="B988" t="str">
        <f>"00073854"</f>
        <v>00073854</v>
      </c>
      <c r="C988" t="s">
        <v>3670</v>
      </c>
      <c r="H988" t="s">
        <v>170</v>
      </c>
      <c r="I988">
        <v>8</v>
      </c>
      <c r="J988">
        <v>1</v>
      </c>
      <c r="K988">
        <v>1</v>
      </c>
      <c r="L988">
        <v>82397</v>
      </c>
      <c r="M988" t="str">
        <f t="shared" si="140"/>
        <v>13</v>
      </c>
      <c r="N988" t="s">
        <v>3370</v>
      </c>
      <c r="O988" t="str">
        <f t="shared" si="138"/>
        <v>54311</v>
      </c>
      <c r="P988" t="str">
        <f>"1502L"</f>
        <v>1502L</v>
      </c>
      <c r="Q988" t="str">
        <f t="shared" si="141"/>
        <v>0101</v>
      </c>
      <c r="R988">
        <v>1502</v>
      </c>
      <c r="S988" t="str">
        <f t="shared" si="139"/>
        <v>5430</v>
      </c>
      <c r="T988" t="s">
        <v>3482</v>
      </c>
      <c r="U988" t="s">
        <v>1150</v>
      </c>
    </row>
    <row r="989" spans="1:21" ht="15" customHeight="1" x14ac:dyDescent="0.3">
      <c r="A989" t="s">
        <v>179</v>
      </c>
      <c r="B989" t="str">
        <f>"00073855"</f>
        <v>00073855</v>
      </c>
      <c r="C989" t="s">
        <v>4272</v>
      </c>
      <c r="D989" t="s">
        <v>3485</v>
      </c>
      <c r="E989" t="str">
        <f>"00050374"</f>
        <v>00050374</v>
      </c>
      <c r="F989">
        <v>0</v>
      </c>
      <c r="G989" s="243">
        <v>40755</v>
      </c>
      <c r="H989" t="s">
        <v>182</v>
      </c>
      <c r="I989">
        <v>15</v>
      </c>
      <c r="J989">
        <v>10</v>
      </c>
      <c r="K989">
        <v>1</v>
      </c>
      <c r="L989">
        <v>78273</v>
      </c>
      <c r="M989" t="str">
        <f t="shared" si="140"/>
        <v>13</v>
      </c>
      <c r="N989" t="s">
        <v>3323</v>
      </c>
      <c r="O989" t="str">
        <f t="shared" si="138"/>
        <v>54311</v>
      </c>
      <c r="P989" t="str">
        <f t="shared" ref="P989:P998" si="142">"2100L"</f>
        <v>2100L</v>
      </c>
      <c r="Q989" t="str">
        <f t="shared" si="141"/>
        <v>0101</v>
      </c>
      <c r="R989">
        <v>2100</v>
      </c>
      <c r="S989" t="str">
        <f t="shared" si="139"/>
        <v>5430</v>
      </c>
      <c r="T989" t="s">
        <v>3482</v>
      </c>
      <c r="U989" t="s">
        <v>1150</v>
      </c>
    </row>
    <row r="990" spans="1:21" ht="15" customHeight="1" x14ac:dyDescent="0.3">
      <c r="A990" t="s">
        <v>179</v>
      </c>
      <c r="B990" t="str">
        <f>"00073856"</f>
        <v>00073856</v>
      </c>
      <c r="C990" t="s">
        <v>4253</v>
      </c>
      <c r="D990" t="s">
        <v>1153</v>
      </c>
      <c r="E990" t="str">
        <f>"00059682"</f>
        <v>00059682</v>
      </c>
      <c r="F990">
        <v>0</v>
      </c>
      <c r="G990" s="243">
        <v>40119</v>
      </c>
      <c r="H990" t="s">
        <v>182</v>
      </c>
      <c r="I990">
        <v>15</v>
      </c>
      <c r="J990">
        <v>9</v>
      </c>
      <c r="K990">
        <v>1</v>
      </c>
      <c r="L990">
        <v>80147</v>
      </c>
      <c r="M990" t="str">
        <f t="shared" si="140"/>
        <v>13</v>
      </c>
      <c r="N990" t="s">
        <v>3323</v>
      </c>
      <c r="O990" t="str">
        <f t="shared" si="138"/>
        <v>54311</v>
      </c>
      <c r="P990" t="str">
        <f t="shared" si="142"/>
        <v>2100L</v>
      </c>
      <c r="Q990" t="str">
        <f t="shared" si="141"/>
        <v>0101</v>
      </c>
      <c r="R990">
        <v>2100</v>
      </c>
      <c r="S990" t="str">
        <f t="shared" si="139"/>
        <v>5430</v>
      </c>
      <c r="T990" t="s">
        <v>3482</v>
      </c>
      <c r="U990" t="s">
        <v>1150</v>
      </c>
    </row>
    <row r="991" spans="1:21" ht="15" customHeight="1" x14ac:dyDescent="0.3">
      <c r="A991" t="s">
        <v>179</v>
      </c>
      <c r="B991" t="str">
        <f>"00073857"</f>
        <v>00073857</v>
      </c>
      <c r="C991" t="s">
        <v>4262</v>
      </c>
      <c r="D991" t="s">
        <v>3486</v>
      </c>
      <c r="E991" t="str">
        <f>"00066114"</f>
        <v>00066114</v>
      </c>
      <c r="F991">
        <v>0</v>
      </c>
      <c r="G991" s="243">
        <v>40755</v>
      </c>
      <c r="H991" t="s">
        <v>182</v>
      </c>
      <c r="I991">
        <v>15</v>
      </c>
      <c r="J991">
        <v>3</v>
      </c>
      <c r="K991">
        <v>1</v>
      </c>
      <c r="L991">
        <v>52777</v>
      </c>
      <c r="M991" t="str">
        <f t="shared" si="140"/>
        <v>13</v>
      </c>
      <c r="N991" t="s">
        <v>3323</v>
      </c>
      <c r="O991" t="str">
        <f t="shared" si="138"/>
        <v>54311</v>
      </c>
      <c r="P991" t="str">
        <f t="shared" si="142"/>
        <v>2100L</v>
      </c>
      <c r="Q991" t="str">
        <f t="shared" si="141"/>
        <v>0101</v>
      </c>
      <c r="R991">
        <v>2100</v>
      </c>
      <c r="S991" t="str">
        <f t="shared" si="139"/>
        <v>5430</v>
      </c>
      <c r="T991" t="s">
        <v>3482</v>
      </c>
      <c r="U991" t="s">
        <v>1150</v>
      </c>
    </row>
    <row r="992" spans="1:21" ht="15" customHeight="1" x14ac:dyDescent="0.3">
      <c r="A992" t="s">
        <v>179</v>
      </c>
      <c r="B992" t="str">
        <f>"00073858"</f>
        <v>00073858</v>
      </c>
      <c r="C992" t="s">
        <v>4262</v>
      </c>
      <c r="D992" t="s">
        <v>3487</v>
      </c>
      <c r="E992" t="str">
        <f>"00048411"</f>
        <v>00048411</v>
      </c>
      <c r="F992">
        <v>0</v>
      </c>
      <c r="G992" s="243">
        <v>40755</v>
      </c>
      <c r="H992" t="s">
        <v>182</v>
      </c>
      <c r="I992">
        <v>15</v>
      </c>
      <c r="J992">
        <v>11</v>
      </c>
      <c r="K992">
        <v>1</v>
      </c>
      <c r="L992">
        <v>81335</v>
      </c>
      <c r="M992" t="str">
        <f t="shared" si="140"/>
        <v>13</v>
      </c>
      <c r="N992" t="s">
        <v>3323</v>
      </c>
      <c r="O992" t="str">
        <f t="shared" si="138"/>
        <v>54311</v>
      </c>
      <c r="P992" t="str">
        <f t="shared" si="142"/>
        <v>2100L</v>
      </c>
      <c r="Q992" t="str">
        <f t="shared" si="141"/>
        <v>0101</v>
      </c>
      <c r="R992">
        <v>2100</v>
      </c>
      <c r="S992" t="str">
        <f t="shared" si="139"/>
        <v>5430</v>
      </c>
      <c r="T992" t="s">
        <v>3482</v>
      </c>
      <c r="U992" t="s">
        <v>1150</v>
      </c>
    </row>
    <row r="993" spans="1:21" ht="15" customHeight="1" x14ac:dyDescent="0.3">
      <c r="A993" t="s">
        <v>179</v>
      </c>
      <c r="B993" t="str">
        <f>"00073859"</f>
        <v>00073859</v>
      </c>
      <c r="C993" t="s">
        <v>4262</v>
      </c>
      <c r="D993" t="s">
        <v>3488</v>
      </c>
      <c r="E993" t="str">
        <f>"00065653"</f>
        <v>00065653</v>
      </c>
      <c r="F993">
        <v>0</v>
      </c>
      <c r="G993" s="243">
        <v>40755</v>
      </c>
      <c r="H993" t="s">
        <v>182</v>
      </c>
      <c r="I993">
        <v>15</v>
      </c>
      <c r="J993">
        <v>10</v>
      </c>
      <c r="K993">
        <v>1</v>
      </c>
      <c r="L993">
        <v>78273</v>
      </c>
      <c r="M993" t="str">
        <f t="shared" si="140"/>
        <v>13</v>
      </c>
      <c r="N993" t="s">
        <v>3323</v>
      </c>
      <c r="O993" t="str">
        <f t="shared" si="138"/>
        <v>54311</v>
      </c>
      <c r="P993" t="str">
        <f t="shared" si="142"/>
        <v>2100L</v>
      </c>
      <c r="Q993" t="str">
        <f t="shared" si="141"/>
        <v>0101</v>
      </c>
      <c r="R993">
        <v>2100</v>
      </c>
      <c r="S993" t="str">
        <f t="shared" si="139"/>
        <v>5430</v>
      </c>
      <c r="T993" t="s">
        <v>3482</v>
      </c>
      <c r="U993" t="s">
        <v>1150</v>
      </c>
    </row>
    <row r="994" spans="1:21" ht="15" customHeight="1" x14ac:dyDescent="0.3">
      <c r="A994" t="s">
        <v>179</v>
      </c>
      <c r="B994" t="str">
        <f>"00073860"</f>
        <v>00073860</v>
      </c>
      <c r="C994" t="s">
        <v>4272</v>
      </c>
      <c r="D994" t="s">
        <v>3489</v>
      </c>
      <c r="E994" t="str">
        <f>"00060976"</f>
        <v>00060976</v>
      </c>
      <c r="F994">
        <v>0</v>
      </c>
      <c r="G994" s="243">
        <v>40316</v>
      </c>
      <c r="H994" t="s">
        <v>182</v>
      </c>
      <c r="I994">
        <v>15</v>
      </c>
      <c r="J994">
        <v>2</v>
      </c>
      <c r="K994">
        <v>1</v>
      </c>
      <c r="L994">
        <v>56242</v>
      </c>
      <c r="M994" t="str">
        <f t="shared" si="140"/>
        <v>13</v>
      </c>
      <c r="N994" t="s">
        <v>3323</v>
      </c>
      <c r="O994" t="str">
        <f t="shared" si="138"/>
        <v>54311</v>
      </c>
      <c r="P994" t="str">
        <f t="shared" si="142"/>
        <v>2100L</v>
      </c>
      <c r="Q994" t="str">
        <f t="shared" si="141"/>
        <v>0101</v>
      </c>
      <c r="R994">
        <v>2100</v>
      </c>
      <c r="S994" t="str">
        <f t="shared" si="139"/>
        <v>5430</v>
      </c>
      <c r="T994" t="s">
        <v>3482</v>
      </c>
      <c r="U994" t="s">
        <v>1150</v>
      </c>
    </row>
    <row r="995" spans="1:21" ht="15" customHeight="1" x14ac:dyDescent="0.3">
      <c r="A995" t="s">
        <v>179</v>
      </c>
      <c r="B995" t="str">
        <f>"00073861"</f>
        <v>00073861</v>
      </c>
      <c r="C995" t="s">
        <v>4260</v>
      </c>
      <c r="D995" t="s">
        <v>3490</v>
      </c>
      <c r="E995" t="str">
        <f>"00065643"</f>
        <v>00065643</v>
      </c>
      <c r="F995">
        <v>0</v>
      </c>
      <c r="G995" s="243">
        <v>40755</v>
      </c>
      <c r="H995" t="s">
        <v>182</v>
      </c>
      <c r="I995">
        <v>15</v>
      </c>
      <c r="J995">
        <v>11</v>
      </c>
      <c r="K995">
        <v>1</v>
      </c>
      <c r="L995">
        <v>81335</v>
      </c>
      <c r="M995" t="str">
        <f t="shared" si="140"/>
        <v>13</v>
      </c>
      <c r="N995" t="s">
        <v>3323</v>
      </c>
      <c r="O995" t="str">
        <f t="shared" si="138"/>
        <v>54311</v>
      </c>
      <c r="P995" t="str">
        <f t="shared" si="142"/>
        <v>2100L</v>
      </c>
      <c r="Q995" t="str">
        <f t="shared" si="141"/>
        <v>0101</v>
      </c>
      <c r="R995">
        <v>2100</v>
      </c>
      <c r="S995" t="str">
        <f t="shared" si="139"/>
        <v>5430</v>
      </c>
      <c r="T995" t="s">
        <v>3482</v>
      </c>
      <c r="U995" t="s">
        <v>1150</v>
      </c>
    </row>
    <row r="996" spans="1:21" ht="15" customHeight="1" x14ac:dyDescent="0.3">
      <c r="A996" t="s">
        <v>179</v>
      </c>
      <c r="B996" t="str">
        <f>"00073862"</f>
        <v>00073862</v>
      </c>
      <c r="C996" t="s">
        <v>4260</v>
      </c>
      <c r="D996" t="s">
        <v>3491</v>
      </c>
      <c r="E996" t="str">
        <f>"00053004"</f>
        <v>00053004</v>
      </c>
      <c r="F996">
        <v>0</v>
      </c>
      <c r="G996" s="243">
        <v>40755</v>
      </c>
      <c r="H996" t="s">
        <v>182</v>
      </c>
      <c r="I996">
        <v>15</v>
      </c>
      <c r="J996">
        <v>12</v>
      </c>
      <c r="K996">
        <v>1</v>
      </c>
      <c r="L996">
        <v>87431</v>
      </c>
      <c r="M996" t="str">
        <f t="shared" si="140"/>
        <v>13</v>
      </c>
      <c r="N996" t="s">
        <v>3323</v>
      </c>
      <c r="O996" t="str">
        <f t="shared" si="138"/>
        <v>54311</v>
      </c>
      <c r="P996" t="str">
        <f t="shared" si="142"/>
        <v>2100L</v>
      </c>
      <c r="Q996" t="str">
        <f t="shared" si="141"/>
        <v>0101</v>
      </c>
      <c r="R996">
        <v>2100</v>
      </c>
      <c r="S996" t="str">
        <f t="shared" si="139"/>
        <v>5430</v>
      </c>
      <c r="T996" t="s">
        <v>3482</v>
      </c>
      <c r="U996" t="s">
        <v>1150</v>
      </c>
    </row>
    <row r="997" spans="1:21" ht="15" customHeight="1" x14ac:dyDescent="0.3">
      <c r="A997" t="s">
        <v>179</v>
      </c>
      <c r="B997" t="str">
        <f>"00073864"</f>
        <v>00073864</v>
      </c>
      <c r="C997" t="s">
        <v>4254</v>
      </c>
      <c r="D997" t="s">
        <v>3492</v>
      </c>
      <c r="E997" t="str">
        <f>"00029653"</f>
        <v>00029653</v>
      </c>
      <c r="F997">
        <v>1</v>
      </c>
      <c r="H997" t="s">
        <v>182</v>
      </c>
      <c r="I997">
        <v>15</v>
      </c>
      <c r="J997">
        <v>7</v>
      </c>
      <c r="K997">
        <v>1</v>
      </c>
      <c r="L997">
        <v>61068</v>
      </c>
      <c r="M997" t="str">
        <f t="shared" si="140"/>
        <v>13</v>
      </c>
      <c r="N997" t="s">
        <v>3323</v>
      </c>
      <c r="O997" t="str">
        <f t="shared" si="138"/>
        <v>54311</v>
      </c>
      <c r="P997" t="str">
        <f t="shared" si="142"/>
        <v>2100L</v>
      </c>
      <c r="Q997" t="str">
        <f t="shared" si="141"/>
        <v>0101</v>
      </c>
      <c r="R997">
        <v>2100</v>
      </c>
      <c r="S997" t="str">
        <f t="shared" si="139"/>
        <v>5430</v>
      </c>
      <c r="T997" t="s">
        <v>3482</v>
      </c>
      <c r="U997" t="s">
        <v>1150</v>
      </c>
    </row>
    <row r="998" spans="1:21" ht="15" customHeight="1" x14ac:dyDescent="0.3">
      <c r="A998" t="s">
        <v>179</v>
      </c>
      <c r="B998" t="str">
        <f>"00073865"</f>
        <v>00073865</v>
      </c>
      <c r="C998" t="s">
        <v>4614</v>
      </c>
      <c r="H998" t="s">
        <v>170</v>
      </c>
      <c r="I998">
        <v>7</v>
      </c>
      <c r="J998">
        <v>1</v>
      </c>
      <c r="K998">
        <v>1</v>
      </c>
      <c r="L998">
        <v>34871</v>
      </c>
      <c r="M998" t="str">
        <f t="shared" si="140"/>
        <v>13</v>
      </c>
      <c r="N998" t="s">
        <v>3323</v>
      </c>
      <c r="O998" t="str">
        <f t="shared" si="138"/>
        <v>54311</v>
      </c>
      <c r="P998" t="str">
        <f t="shared" si="142"/>
        <v>2100L</v>
      </c>
      <c r="Q998" t="str">
        <f t="shared" si="141"/>
        <v>0101</v>
      </c>
      <c r="R998">
        <v>2100</v>
      </c>
      <c r="S998" t="str">
        <f t="shared" si="139"/>
        <v>5430</v>
      </c>
      <c r="T998" t="s">
        <v>3482</v>
      </c>
      <c r="U998" t="s">
        <v>1150</v>
      </c>
    </row>
    <row r="999" spans="1:21" ht="15" customHeight="1" x14ac:dyDescent="0.3">
      <c r="A999" t="s">
        <v>179</v>
      </c>
      <c r="B999" t="str">
        <f>"00073867"</f>
        <v>00073867</v>
      </c>
      <c r="C999" t="s">
        <v>4274</v>
      </c>
      <c r="D999" t="s">
        <v>4615</v>
      </c>
      <c r="E999" t="str">
        <f>"00064882"</f>
        <v>00064882</v>
      </c>
      <c r="F999">
        <v>0</v>
      </c>
      <c r="G999" s="243">
        <v>40659</v>
      </c>
      <c r="H999" t="s">
        <v>182</v>
      </c>
      <c r="I999">
        <v>4</v>
      </c>
      <c r="J999">
        <v>8</v>
      </c>
      <c r="K999">
        <v>0.71</v>
      </c>
      <c r="L999">
        <v>27329.75</v>
      </c>
      <c r="M999" t="str">
        <f t="shared" si="140"/>
        <v>13</v>
      </c>
      <c r="N999" t="s">
        <v>3323</v>
      </c>
      <c r="O999" t="str">
        <f t="shared" si="138"/>
        <v>54311</v>
      </c>
      <c r="P999" t="str">
        <f t="shared" ref="P999:P1009" si="143">"2100L"</f>
        <v>2100L</v>
      </c>
      <c r="Q999" t="str">
        <f t="shared" si="141"/>
        <v>0101</v>
      </c>
      <c r="R999">
        <v>2100</v>
      </c>
      <c r="S999" t="str">
        <f t="shared" si="139"/>
        <v>5430</v>
      </c>
      <c r="T999" t="s">
        <v>3482</v>
      </c>
      <c r="U999" t="s">
        <v>1150</v>
      </c>
    </row>
    <row r="1000" spans="1:21" ht="15" customHeight="1" x14ac:dyDescent="0.3">
      <c r="A1000" t="s">
        <v>179</v>
      </c>
      <c r="B1000" t="str">
        <f>"00073868"</f>
        <v>00073868</v>
      </c>
      <c r="C1000" t="s">
        <v>4274</v>
      </c>
      <c r="D1000" t="s">
        <v>4616</v>
      </c>
      <c r="E1000" t="str">
        <f>"00063093"</f>
        <v>00063093</v>
      </c>
      <c r="F1000">
        <v>0</v>
      </c>
      <c r="G1000" s="243">
        <v>40420</v>
      </c>
      <c r="H1000" t="s">
        <v>182</v>
      </c>
      <c r="I1000">
        <v>4</v>
      </c>
      <c r="J1000">
        <v>4</v>
      </c>
      <c r="K1000">
        <v>0.71</v>
      </c>
      <c r="L1000">
        <v>24543.75</v>
      </c>
      <c r="M1000" t="str">
        <f t="shared" si="140"/>
        <v>13</v>
      </c>
      <c r="N1000" t="s">
        <v>3323</v>
      </c>
      <c r="O1000" t="str">
        <f t="shared" si="138"/>
        <v>54311</v>
      </c>
      <c r="P1000" t="str">
        <f t="shared" si="143"/>
        <v>2100L</v>
      </c>
      <c r="Q1000" t="str">
        <f t="shared" si="141"/>
        <v>0101</v>
      </c>
      <c r="R1000">
        <v>2100</v>
      </c>
      <c r="S1000" t="str">
        <f t="shared" si="139"/>
        <v>5430</v>
      </c>
      <c r="T1000" t="s">
        <v>3482</v>
      </c>
      <c r="U1000" t="s">
        <v>1150</v>
      </c>
    </row>
    <row r="1001" spans="1:21" ht="15" customHeight="1" x14ac:dyDescent="0.3">
      <c r="A1001" t="s">
        <v>179</v>
      </c>
      <c r="B1001" t="str">
        <f>"00073869"</f>
        <v>00073869</v>
      </c>
      <c r="C1001" t="s">
        <v>4292</v>
      </c>
      <c r="D1001" t="s">
        <v>4617</v>
      </c>
      <c r="E1001" t="str">
        <f>"00051863"</f>
        <v>00051863</v>
      </c>
      <c r="F1001">
        <v>0</v>
      </c>
      <c r="G1001" s="243">
        <v>36056</v>
      </c>
      <c r="H1001" t="s">
        <v>182</v>
      </c>
      <c r="I1001">
        <v>4</v>
      </c>
      <c r="J1001">
        <v>9</v>
      </c>
      <c r="K1001">
        <v>0.71</v>
      </c>
      <c r="L1001">
        <v>28025.38</v>
      </c>
      <c r="M1001" t="str">
        <f t="shared" si="140"/>
        <v>13</v>
      </c>
      <c r="N1001" t="s">
        <v>3323</v>
      </c>
      <c r="O1001" t="str">
        <f t="shared" si="138"/>
        <v>54311</v>
      </c>
      <c r="P1001" t="str">
        <f t="shared" si="143"/>
        <v>2100L</v>
      </c>
      <c r="Q1001" t="str">
        <f t="shared" si="141"/>
        <v>0101</v>
      </c>
      <c r="R1001">
        <v>2100</v>
      </c>
      <c r="S1001" t="str">
        <f t="shared" si="139"/>
        <v>5430</v>
      </c>
      <c r="T1001" t="s">
        <v>3482</v>
      </c>
      <c r="U1001" t="s">
        <v>1150</v>
      </c>
    </row>
    <row r="1002" spans="1:21" ht="15" customHeight="1" x14ac:dyDescent="0.3">
      <c r="A1002" t="s">
        <v>179</v>
      </c>
      <c r="B1002" t="str">
        <f>"00073870"</f>
        <v>00073870</v>
      </c>
      <c r="C1002" t="s">
        <v>4292</v>
      </c>
      <c r="D1002" t="s">
        <v>4618</v>
      </c>
      <c r="E1002" t="str">
        <f>"00051620"</f>
        <v>00051620</v>
      </c>
      <c r="F1002">
        <v>0</v>
      </c>
      <c r="G1002" s="243">
        <v>33392</v>
      </c>
      <c r="H1002" t="s">
        <v>182</v>
      </c>
      <c r="I1002">
        <v>4</v>
      </c>
      <c r="J1002">
        <v>10</v>
      </c>
      <c r="K1002">
        <v>0.71</v>
      </c>
      <c r="L1002">
        <v>28721</v>
      </c>
      <c r="M1002" t="str">
        <f t="shared" si="140"/>
        <v>13</v>
      </c>
      <c r="N1002" t="s">
        <v>3323</v>
      </c>
      <c r="O1002" t="str">
        <f t="shared" si="138"/>
        <v>54311</v>
      </c>
      <c r="P1002" t="str">
        <f t="shared" si="143"/>
        <v>2100L</v>
      </c>
      <c r="Q1002" t="str">
        <f t="shared" si="141"/>
        <v>0101</v>
      </c>
      <c r="R1002">
        <v>2100</v>
      </c>
      <c r="S1002" t="str">
        <f t="shared" si="139"/>
        <v>5430</v>
      </c>
      <c r="T1002" t="s">
        <v>3482</v>
      </c>
      <c r="U1002" t="s">
        <v>1150</v>
      </c>
    </row>
    <row r="1003" spans="1:21" ht="15" customHeight="1" x14ac:dyDescent="0.3">
      <c r="A1003" t="s">
        <v>179</v>
      </c>
      <c r="B1003" t="str">
        <f>"00074124"</f>
        <v>00074124</v>
      </c>
      <c r="C1003" t="s">
        <v>4293</v>
      </c>
      <c r="D1003" t="s">
        <v>3326</v>
      </c>
      <c r="E1003" t="str">
        <f>"00063721"</f>
        <v>00063721</v>
      </c>
      <c r="F1003">
        <v>0</v>
      </c>
      <c r="G1003" s="243">
        <v>40755</v>
      </c>
      <c r="H1003" t="s">
        <v>182</v>
      </c>
      <c r="I1003">
        <v>15</v>
      </c>
      <c r="J1003">
        <v>8</v>
      </c>
      <c r="K1003">
        <v>0.5</v>
      </c>
      <c r="L1003">
        <v>72171</v>
      </c>
      <c r="M1003" t="str">
        <f t="shared" si="140"/>
        <v>13</v>
      </c>
      <c r="N1003" t="s">
        <v>3323</v>
      </c>
      <c r="O1003" t="str">
        <f t="shared" si="138"/>
        <v>54311</v>
      </c>
      <c r="P1003" t="str">
        <f t="shared" si="143"/>
        <v>2100L</v>
      </c>
      <c r="Q1003" t="str">
        <f t="shared" si="141"/>
        <v>0101</v>
      </c>
      <c r="R1003">
        <v>2100</v>
      </c>
      <c r="S1003" t="str">
        <f t="shared" si="139"/>
        <v>5430</v>
      </c>
      <c r="T1003" t="s">
        <v>3324</v>
      </c>
      <c r="U1003" t="s">
        <v>14</v>
      </c>
    </row>
    <row r="1004" spans="1:21" ht="15" customHeight="1" x14ac:dyDescent="0.3">
      <c r="A1004" t="s">
        <v>179</v>
      </c>
      <c r="B1004" t="str">
        <f>"00074206"</f>
        <v>00074206</v>
      </c>
      <c r="C1004" t="s">
        <v>4272</v>
      </c>
      <c r="D1004" t="s">
        <v>3493</v>
      </c>
      <c r="E1004" t="str">
        <f>"00065734"</f>
        <v>00065734</v>
      </c>
      <c r="F1004">
        <v>0</v>
      </c>
      <c r="G1004" s="243">
        <v>40755</v>
      </c>
      <c r="H1004" t="s">
        <v>182</v>
      </c>
      <c r="I1004">
        <v>15</v>
      </c>
      <c r="J1004">
        <v>3</v>
      </c>
      <c r="K1004">
        <v>1</v>
      </c>
      <c r="L1004">
        <v>52777</v>
      </c>
      <c r="M1004" t="str">
        <f t="shared" si="140"/>
        <v>13</v>
      </c>
      <c r="N1004" t="s">
        <v>3323</v>
      </c>
      <c r="O1004" t="str">
        <f t="shared" si="138"/>
        <v>54311</v>
      </c>
      <c r="P1004" t="str">
        <f t="shared" si="143"/>
        <v>2100L</v>
      </c>
      <c r="Q1004" t="str">
        <f t="shared" si="141"/>
        <v>0101</v>
      </c>
      <c r="R1004">
        <v>2100</v>
      </c>
      <c r="S1004" t="str">
        <f t="shared" si="139"/>
        <v>5430</v>
      </c>
      <c r="T1004" t="s">
        <v>3482</v>
      </c>
      <c r="U1004" t="s">
        <v>1150</v>
      </c>
    </row>
    <row r="1005" spans="1:21" ht="15" customHeight="1" x14ac:dyDescent="0.3">
      <c r="A1005" t="s">
        <v>179</v>
      </c>
      <c r="B1005" t="str">
        <f>"00074546"</f>
        <v>00074546</v>
      </c>
      <c r="C1005" t="s">
        <v>200</v>
      </c>
      <c r="D1005" t="s">
        <v>3483</v>
      </c>
      <c r="E1005" t="str">
        <f>"00010932"</f>
        <v>00010932</v>
      </c>
      <c r="F1005">
        <v>1</v>
      </c>
      <c r="G1005" s="243">
        <v>35386</v>
      </c>
      <c r="H1005" t="s">
        <v>182</v>
      </c>
      <c r="I1005">
        <v>15</v>
      </c>
      <c r="J1005">
        <v>11</v>
      </c>
      <c r="K1005">
        <v>1</v>
      </c>
      <c r="L1005">
        <v>81335</v>
      </c>
      <c r="M1005" t="str">
        <f t="shared" si="140"/>
        <v>13</v>
      </c>
      <c r="N1005" t="s">
        <v>3323</v>
      </c>
      <c r="O1005" t="str">
        <f t="shared" si="138"/>
        <v>54311</v>
      </c>
      <c r="P1005" t="str">
        <f t="shared" si="143"/>
        <v>2100L</v>
      </c>
      <c r="Q1005" t="str">
        <f t="shared" si="141"/>
        <v>0101</v>
      </c>
      <c r="R1005">
        <v>2100</v>
      </c>
      <c r="S1005" t="str">
        <f t="shared" si="139"/>
        <v>5430</v>
      </c>
      <c r="T1005" t="s">
        <v>3482</v>
      </c>
      <c r="U1005" t="s">
        <v>1150</v>
      </c>
    </row>
    <row r="1006" spans="1:21" ht="15" customHeight="1" x14ac:dyDescent="0.3">
      <c r="A1006" t="s">
        <v>179</v>
      </c>
      <c r="B1006" t="str">
        <f>"00075976"</f>
        <v>00075976</v>
      </c>
      <c r="C1006" t="s">
        <v>4262</v>
      </c>
      <c r="D1006" t="s">
        <v>3948</v>
      </c>
      <c r="E1006" t="str">
        <f>"00067282"</f>
        <v>00067282</v>
      </c>
      <c r="F1006">
        <v>0</v>
      </c>
      <c r="G1006" s="243">
        <v>40882</v>
      </c>
      <c r="H1006" t="s">
        <v>182</v>
      </c>
      <c r="I1006">
        <v>15</v>
      </c>
      <c r="J1006">
        <v>6</v>
      </c>
      <c r="K1006">
        <v>1</v>
      </c>
      <c r="L1006">
        <v>66078</v>
      </c>
      <c r="M1006" t="str">
        <f t="shared" si="140"/>
        <v>13</v>
      </c>
      <c r="N1006" t="s">
        <v>3370</v>
      </c>
      <c r="O1006" t="str">
        <f t="shared" si="138"/>
        <v>54311</v>
      </c>
      <c r="P1006" t="str">
        <f t="shared" si="143"/>
        <v>2100L</v>
      </c>
      <c r="Q1006" t="str">
        <f t="shared" si="141"/>
        <v>0101</v>
      </c>
      <c r="R1006">
        <v>2100</v>
      </c>
      <c r="S1006" t="str">
        <f t="shared" si="139"/>
        <v>5430</v>
      </c>
      <c r="T1006" t="s">
        <v>3482</v>
      </c>
      <c r="U1006" t="s">
        <v>1150</v>
      </c>
    </row>
    <row r="1007" spans="1:21" ht="15" customHeight="1" x14ac:dyDescent="0.3">
      <c r="A1007" t="s">
        <v>179</v>
      </c>
      <c r="B1007" t="str">
        <f>"00075977"</f>
        <v>00075977</v>
      </c>
      <c r="C1007" t="s">
        <v>4271</v>
      </c>
      <c r="H1007" t="s">
        <v>170</v>
      </c>
      <c r="I1007">
        <v>15</v>
      </c>
      <c r="J1007">
        <v>0</v>
      </c>
      <c r="K1007">
        <v>0.5</v>
      </c>
      <c r="L1007">
        <v>54975</v>
      </c>
      <c r="M1007" t="str">
        <f t="shared" si="140"/>
        <v>13</v>
      </c>
      <c r="N1007" t="s">
        <v>3370</v>
      </c>
      <c r="O1007" t="str">
        <f t="shared" si="138"/>
        <v>54311</v>
      </c>
      <c r="P1007" t="str">
        <f t="shared" si="143"/>
        <v>2100L</v>
      </c>
      <c r="Q1007" t="str">
        <f t="shared" si="141"/>
        <v>0101</v>
      </c>
      <c r="R1007">
        <v>2100</v>
      </c>
      <c r="S1007" t="str">
        <f t="shared" si="139"/>
        <v>5430</v>
      </c>
      <c r="T1007" t="s">
        <v>3482</v>
      </c>
      <c r="U1007" t="s">
        <v>1150</v>
      </c>
    </row>
    <row r="1008" spans="1:21" ht="15" customHeight="1" x14ac:dyDescent="0.3">
      <c r="A1008" t="s">
        <v>179</v>
      </c>
      <c r="B1008" t="str">
        <f>"00075979"</f>
        <v>00075979</v>
      </c>
      <c r="C1008" t="s">
        <v>4259</v>
      </c>
      <c r="D1008" t="s">
        <v>2648</v>
      </c>
      <c r="E1008" t="str">
        <f>"00044943"</f>
        <v>00044943</v>
      </c>
      <c r="F1008">
        <v>0</v>
      </c>
      <c r="G1008" s="243">
        <v>39314</v>
      </c>
      <c r="H1008" t="s">
        <v>182</v>
      </c>
      <c r="I1008">
        <v>15</v>
      </c>
      <c r="J1008">
        <v>9</v>
      </c>
      <c r="K1008">
        <v>1</v>
      </c>
      <c r="L1008">
        <v>75232</v>
      </c>
      <c r="M1008" t="str">
        <f t="shared" si="140"/>
        <v>13</v>
      </c>
      <c r="N1008" t="s">
        <v>3370</v>
      </c>
      <c r="O1008" t="str">
        <f t="shared" si="138"/>
        <v>54311</v>
      </c>
      <c r="P1008" t="str">
        <f t="shared" si="143"/>
        <v>2100L</v>
      </c>
      <c r="Q1008" t="str">
        <f t="shared" si="141"/>
        <v>0101</v>
      </c>
      <c r="R1008">
        <v>2100</v>
      </c>
      <c r="S1008" t="str">
        <f t="shared" si="139"/>
        <v>5430</v>
      </c>
      <c r="T1008" t="s">
        <v>3482</v>
      </c>
      <c r="U1008" t="s">
        <v>1150</v>
      </c>
    </row>
    <row r="1009" spans="1:21" ht="15" customHeight="1" x14ac:dyDescent="0.3">
      <c r="A1009" t="s">
        <v>179</v>
      </c>
      <c r="B1009" t="str">
        <f>"00075980"</f>
        <v>00075980</v>
      </c>
      <c r="C1009" t="s">
        <v>4614</v>
      </c>
      <c r="D1009" t="s">
        <v>1327</v>
      </c>
      <c r="E1009" t="str">
        <f>"00050530"</f>
        <v>00050530</v>
      </c>
      <c r="F1009">
        <v>0</v>
      </c>
      <c r="G1009" s="243">
        <v>39342</v>
      </c>
      <c r="H1009" t="s">
        <v>182</v>
      </c>
      <c r="I1009">
        <v>7</v>
      </c>
      <c r="J1009">
        <v>3</v>
      </c>
      <c r="K1009">
        <v>1</v>
      </c>
      <c r="L1009">
        <v>37084</v>
      </c>
      <c r="M1009" t="str">
        <f t="shared" si="140"/>
        <v>13</v>
      </c>
      <c r="N1009" t="s">
        <v>3370</v>
      </c>
      <c r="O1009" t="str">
        <f t="shared" si="138"/>
        <v>54311</v>
      </c>
      <c r="P1009" t="str">
        <f t="shared" si="143"/>
        <v>2100L</v>
      </c>
      <c r="Q1009" t="str">
        <f t="shared" si="141"/>
        <v>0101</v>
      </c>
      <c r="R1009">
        <v>2100</v>
      </c>
      <c r="S1009" t="str">
        <f t="shared" si="139"/>
        <v>5430</v>
      </c>
      <c r="T1009" t="s">
        <v>3482</v>
      </c>
      <c r="U1009" t="s">
        <v>1150</v>
      </c>
    </row>
    <row r="1010" spans="1:21" ht="15" customHeight="1" x14ac:dyDescent="0.3">
      <c r="A1010" t="s">
        <v>179</v>
      </c>
      <c r="B1010" t="str">
        <f>"00076505"</f>
        <v>00076505</v>
      </c>
      <c r="C1010" t="s">
        <v>4253</v>
      </c>
      <c r="H1010" t="s">
        <v>170</v>
      </c>
      <c r="I1010">
        <v>15</v>
      </c>
      <c r="J1010">
        <v>0</v>
      </c>
      <c r="K1010">
        <v>1</v>
      </c>
      <c r="L1010">
        <v>51539</v>
      </c>
      <c r="M1010" t="str">
        <f t="shared" si="140"/>
        <v>13</v>
      </c>
      <c r="N1010" t="s">
        <v>3370</v>
      </c>
      <c r="O1010" t="str">
        <f t="shared" si="138"/>
        <v>54311</v>
      </c>
      <c r="P1010" t="str">
        <f>"3030L"</f>
        <v>3030L</v>
      </c>
      <c r="Q1010" t="str">
        <f t="shared" si="141"/>
        <v>0101</v>
      </c>
      <c r="R1010">
        <v>3030</v>
      </c>
      <c r="S1010" t="str">
        <f t="shared" si="139"/>
        <v>5430</v>
      </c>
      <c r="T1010" t="s">
        <v>3482</v>
      </c>
      <c r="U1010" t="s">
        <v>1150</v>
      </c>
    </row>
    <row r="1011" spans="1:21" ht="15" customHeight="1" x14ac:dyDescent="0.3">
      <c r="A1011" t="s">
        <v>179</v>
      </c>
      <c r="B1011" t="str">
        <f>"00051661"</f>
        <v>00051661</v>
      </c>
      <c r="C1011" t="s">
        <v>4272</v>
      </c>
      <c r="D1011" t="s">
        <v>1187</v>
      </c>
      <c r="E1011" t="str">
        <f>"00062966"</f>
        <v>00062966</v>
      </c>
      <c r="F1011">
        <v>0</v>
      </c>
      <c r="G1011" s="243">
        <v>40406</v>
      </c>
      <c r="H1011" t="s">
        <v>182</v>
      </c>
      <c r="I1011">
        <v>15</v>
      </c>
      <c r="J1011">
        <v>3</v>
      </c>
      <c r="K1011">
        <v>1</v>
      </c>
      <c r="L1011">
        <v>52777</v>
      </c>
      <c r="M1011" t="str">
        <f t="shared" si="140"/>
        <v>13</v>
      </c>
      <c r="N1011" t="s">
        <v>3323</v>
      </c>
      <c r="O1011" t="str">
        <f t="shared" ref="O1011:O1049" si="144">"54511"</f>
        <v>54511</v>
      </c>
      <c r="P1011" t="str">
        <f>"2100L"</f>
        <v>2100L</v>
      </c>
      <c r="Q1011" t="str">
        <f t="shared" si="141"/>
        <v>0101</v>
      </c>
      <c r="R1011">
        <v>2100</v>
      </c>
      <c r="S1011" t="str">
        <f t="shared" ref="S1011:S1049" si="145">"5450"</f>
        <v>5450</v>
      </c>
      <c r="T1011" t="s">
        <v>3495</v>
      </c>
      <c r="U1011" t="s">
        <v>119</v>
      </c>
    </row>
    <row r="1012" spans="1:21" ht="15" customHeight="1" x14ac:dyDescent="0.3">
      <c r="A1012" t="s">
        <v>179</v>
      </c>
      <c r="B1012" t="str">
        <f>"00053148"</f>
        <v>00053148</v>
      </c>
      <c r="C1012" t="s">
        <v>4272</v>
      </c>
      <c r="D1012" t="s">
        <v>1188</v>
      </c>
      <c r="E1012" t="str">
        <f>"00062016"</f>
        <v>00062016</v>
      </c>
      <c r="F1012">
        <v>0</v>
      </c>
      <c r="G1012" s="243">
        <v>40406</v>
      </c>
      <c r="H1012" t="s">
        <v>182</v>
      </c>
      <c r="I1012">
        <v>15</v>
      </c>
      <c r="J1012">
        <v>12</v>
      </c>
      <c r="K1012">
        <v>1</v>
      </c>
      <c r="L1012">
        <v>87431</v>
      </c>
      <c r="M1012" t="str">
        <f t="shared" si="140"/>
        <v>13</v>
      </c>
      <c r="N1012" t="s">
        <v>3323</v>
      </c>
      <c r="O1012" t="str">
        <f t="shared" si="144"/>
        <v>54511</v>
      </c>
      <c r="P1012" t="str">
        <f>"2100L"</f>
        <v>2100L</v>
      </c>
      <c r="Q1012" t="str">
        <f t="shared" si="141"/>
        <v>0101</v>
      </c>
      <c r="R1012">
        <v>2100</v>
      </c>
      <c r="S1012" t="str">
        <f t="shared" si="145"/>
        <v>5450</v>
      </c>
      <c r="T1012" t="s">
        <v>3495</v>
      </c>
      <c r="U1012" t="s">
        <v>119</v>
      </c>
    </row>
    <row r="1013" spans="1:21" ht="15" customHeight="1" x14ac:dyDescent="0.3">
      <c r="A1013" t="s">
        <v>179</v>
      </c>
      <c r="B1013" t="str">
        <f>"00053675"</f>
        <v>00053675</v>
      </c>
      <c r="C1013" t="s">
        <v>4292</v>
      </c>
      <c r="D1013" t="s">
        <v>4619</v>
      </c>
      <c r="E1013" t="str">
        <f>"00052219"</f>
        <v>00052219</v>
      </c>
      <c r="F1013">
        <v>0</v>
      </c>
      <c r="G1013" s="243">
        <v>35908</v>
      </c>
      <c r="H1013" t="s">
        <v>182</v>
      </c>
      <c r="I1013">
        <v>4</v>
      </c>
      <c r="J1013">
        <v>9</v>
      </c>
      <c r="K1013">
        <v>0.75</v>
      </c>
      <c r="L1013">
        <v>24021.75</v>
      </c>
      <c r="M1013" t="str">
        <f t="shared" si="140"/>
        <v>13</v>
      </c>
      <c r="N1013" t="s">
        <v>3323</v>
      </c>
      <c r="O1013" t="str">
        <f t="shared" si="144"/>
        <v>54511</v>
      </c>
      <c r="P1013" t="str">
        <f>"2200L"</f>
        <v>2200L</v>
      </c>
      <c r="Q1013" t="str">
        <f t="shared" si="141"/>
        <v>0101</v>
      </c>
      <c r="R1013">
        <v>2200</v>
      </c>
      <c r="S1013" t="str">
        <f t="shared" si="145"/>
        <v>5450</v>
      </c>
      <c r="T1013" t="s">
        <v>3495</v>
      </c>
      <c r="U1013" t="s">
        <v>119</v>
      </c>
    </row>
    <row r="1014" spans="1:21" ht="15" customHeight="1" x14ac:dyDescent="0.3">
      <c r="A1014" t="s">
        <v>179</v>
      </c>
      <c r="B1014" t="str">
        <f>"00055067"</f>
        <v>00055067</v>
      </c>
      <c r="C1014" t="s">
        <v>4262</v>
      </c>
      <c r="D1014" t="s">
        <v>4620</v>
      </c>
      <c r="E1014" t="str">
        <f>"00069666"</f>
        <v>00069666</v>
      </c>
      <c r="F1014">
        <v>0</v>
      </c>
      <c r="G1014" s="243">
        <v>41133</v>
      </c>
      <c r="H1014" t="s">
        <v>182</v>
      </c>
      <c r="I1014">
        <v>15</v>
      </c>
      <c r="J1014">
        <v>10</v>
      </c>
      <c r="K1014">
        <v>1</v>
      </c>
      <c r="L1014">
        <v>78273</v>
      </c>
      <c r="M1014" t="str">
        <f t="shared" si="140"/>
        <v>13</v>
      </c>
      <c r="N1014" t="s">
        <v>3370</v>
      </c>
      <c r="O1014" t="str">
        <f t="shared" si="144"/>
        <v>54511</v>
      </c>
      <c r="P1014" t="str">
        <f>"2100L"</f>
        <v>2100L</v>
      </c>
      <c r="Q1014" t="str">
        <f t="shared" si="141"/>
        <v>0101</v>
      </c>
      <c r="R1014">
        <v>2100</v>
      </c>
      <c r="S1014" t="str">
        <f t="shared" si="145"/>
        <v>5450</v>
      </c>
      <c r="T1014" t="s">
        <v>3495</v>
      </c>
      <c r="U1014" t="s">
        <v>119</v>
      </c>
    </row>
    <row r="1015" spans="1:21" ht="15" customHeight="1" x14ac:dyDescent="0.3">
      <c r="A1015" t="s">
        <v>179</v>
      </c>
      <c r="B1015" t="str">
        <f>"00056760"</f>
        <v>00056760</v>
      </c>
      <c r="C1015" t="s">
        <v>4290</v>
      </c>
      <c r="D1015" t="s">
        <v>4621</v>
      </c>
      <c r="E1015" t="str">
        <f>"00054430"</f>
        <v>00054430</v>
      </c>
      <c r="F1015">
        <v>0</v>
      </c>
      <c r="G1015" s="243">
        <v>36145</v>
      </c>
      <c r="H1015" t="s">
        <v>182</v>
      </c>
      <c r="I1015">
        <v>4</v>
      </c>
      <c r="J1015">
        <v>7</v>
      </c>
      <c r="K1015">
        <v>0.875</v>
      </c>
      <c r="L1015">
        <v>26633.25</v>
      </c>
      <c r="M1015" t="str">
        <f t="shared" si="140"/>
        <v>13</v>
      </c>
      <c r="N1015" t="s">
        <v>3323</v>
      </c>
      <c r="O1015" t="str">
        <f t="shared" si="144"/>
        <v>54511</v>
      </c>
      <c r="P1015" t="str">
        <f>"3030L"</f>
        <v>3030L</v>
      </c>
      <c r="Q1015" t="str">
        <f t="shared" si="141"/>
        <v>0101</v>
      </c>
      <c r="R1015">
        <v>3030</v>
      </c>
      <c r="S1015" t="str">
        <f t="shared" si="145"/>
        <v>5450</v>
      </c>
      <c r="T1015" t="s">
        <v>3495</v>
      </c>
      <c r="U1015" t="s">
        <v>119</v>
      </c>
    </row>
    <row r="1016" spans="1:21" ht="15" customHeight="1" x14ac:dyDescent="0.3">
      <c r="A1016" t="s">
        <v>179</v>
      </c>
      <c r="B1016" t="str">
        <f>"00056764"</f>
        <v>00056764</v>
      </c>
      <c r="C1016" t="s">
        <v>4272</v>
      </c>
      <c r="D1016" t="s">
        <v>1189</v>
      </c>
      <c r="E1016" t="str">
        <f>"00050456"</f>
        <v>00050456</v>
      </c>
      <c r="F1016">
        <v>0</v>
      </c>
      <c r="G1016" s="243">
        <v>34941</v>
      </c>
      <c r="H1016" t="s">
        <v>182</v>
      </c>
      <c r="I1016">
        <v>15</v>
      </c>
      <c r="J1016">
        <v>13</v>
      </c>
      <c r="K1016">
        <v>1</v>
      </c>
      <c r="L1016">
        <v>86613</v>
      </c>
      <c r="M1016" t="str">
        <f t="shared" si="140"/>
        <v>13</v>
      </c>
      <c r="N1016" t="s">
        <v>3323</v>
      </c>
      <c r="O1016" t="str">
        <f t="shared" si="144"/>
        <v>54511</v>
      </c>
      <c r="P1016" t="str">
        <f>"2200L"</f>
        <v>2200L</v>
      </c>
      <c r="Q1016" t="str">
        <f t="shared" si="141"/>
        <v>0101</v>
      </c>
      <c r="R1016">
        <v>2200</v>
      </c>
      <c r="S1016" t="str">
        <f t="shared" si="145"/>
        <v>5450</v>
      </c>
      <c r="T1016" t="s">
        <v>3495</v>
      </c>
      <c r="U1016" t="s">
        <v>119</v>
      </c>
    </row>
    <row r="1017" spans="1:21" ht="15" customHeight="1" x14ac:dyDescent="0.3">
      <c r="A1017" t="s">
        <v>179</v>
      </c>
      <c r="B1017" t="str">
        <f>"00057446"</f>
        <v>00057446</v>
      </c>
      <c r="C1017" t="s">
        <v>4262</v>
      </c>
      <c r="D1017" t="s">
        <v>3498</v>
      </c>
      <c r="E1017" t="str">
        <f>"00066151"</f>
        <v>00066151</v>
      </c>
      <c r="F1017">
        <v>0</v>
      </c>
      <c r="G1017" s="243">
        <v>40755</v>
      </c>
      <c r="H1017" t="s">
        <v>182</v>
      </c>
      <c r="I1017">
        <v>15</v>
      </c>
      <c r="J1017">
        <v>3</v>
      </c>
      <c r="K1017">
        <v>1</v>
      </c>
      <c r="L1017">
        <v>58699</v>
      </c>
      <c r="M1017" t="str">
        <f t="shared" si="140"/>
        <v>13</v>
      </c>
      <c r="N1017" t="s">
        <v>3323</v>
      </c>
      <c r="O1017" t="str">
        <f t="shared" si="144"/>
        <v>54511</v>
      </c>
      <c r="P1017" t="str">
        <f>"2100L"</f>
        <v>2100L</v>
      </c>
      <c r="Q1017" t="str">
        <f t="shared" si="141"/>
        <v>0101</v>
      </c>
      <c r="R1017">
        <v>2100</v>
      </c>
      <c r="S1017" t="str">
        <f t="shared" si="145"/>
        <v>5450</v>
      </c>
      <c r="T1017" t="s">
        <v>3495</v>
      </c>
      <c r="U1017" t="s">
        <v>119</v>
      </c>
    </row>
    <row r="1018" spans="1:21" ht="15" customHeight="1" x14ac:dyDescent="0.3">
      <c r="A1018" t="s">
        <v>179</v>
      </c>
      <c r="B1018" t="str">
        <f>"00057708"</f>
        <v>00057708</v>
      </c>
      <c r="C1018" t="s">
        <v>4272</v>
      </c>
      <c r="D1018" t="s">
        <v>1190</v>
      </c>
      <c r="E1018" t="str">
        <f>"00052071"</f>
        <v>00052071</v>
      </c>
      <c r="F1018">
        <v>0</v>
      </c>
      <c r="G1018" s="243">
        <v>36864</v>
      </c>
      <c r="H1018" t="s">
        <v>182</v>
      </c>
      <c r="I1018">
        <v>15</v>
      </c>
      <c r="J1018">
        <v>16</v>
      </c>
      <c r="K1018">
        <v>1</v>
      </c>
      <c r="L1018">
        <v>100839</v>
      </c>
      <c r="M1018" t="str">
        <f t="shared" si="140"/>
        <v>13</v>
      </c>
      <c r="N1018" t="s">
        <v>3323</v>
      </c>
      <c r="O1018" t="str">
        <f t="shared" si="144"/>
        <v>54511</v>
      </c>
      <c r="P1018" t="str">
        <f>"2100L"</f>
        <v>2100L</v>
      </c>
      <c r="Q1018" t="str">
        <f t="shared" si="141"/>
        <v>0101</v>
      </c>
      <c r="R1018">
        <v>2100</v>
      </c>
      <c r="S1018" t="str">
        <f t="shared" si="145"/>
        <v>5450</v>
      </c>
      <c r="T1018" t="s">
        <v>3495</v>
      </c>
      <c r="U1018" t="s">
        <v>119</v>
      </c>
    </row>
    <row r="1019" spans="1:21" ht="15" customHeight="1" x14ac:dyDescent="0.3">
      <c r="A1019" t="s">
        <v>179</v>
      </c>
      <c r="B1019" t="str">
        <f>"00058523"</f>
        <v>00058523</v>
      </c>
      <c r="C1019" t="s">
        <v>4256</v>
      </c>
      <c r="D1019" t="s">
        <v>1191</v>
      </c>
      <c r="E1019" t="str">
        <f>"00049040"</f>
        <v>00049040</v>
      </c>
      <c r="F1019">
        <v>0</v>
      </c>
      <c r="G1019" s="243">
        <v>37503</v>
      </c>
      <c r="H1019" t="s">
        <v>182</v>
      </c>
      <c r="I1019">
        <v>15</v>
      </c>
      <c r="J1019">
        <v>7</v>
      </c>
      <c r="K1019">
        <v>1</v>
      </c>
      <c r="L1019">
        <v>69132</v>
      </c>
      <c r="M1019" t="str">
        <f t="shared" si="140"/>
        <v>13</v>
      </c>
      <c r="N1019" t="s">
        <v>3323</v>
      </c>
      <c r="O1019" t="str">
        <f t="shared" si="144"/>
        <v>54511</v>
      </c>
      <c r="P1019" t="str">
        <f>"2100L"</f>
        <v>2100L</v>
      </c>
      <c r="Q1019" t="str">
        <f t="shared" si="141"/>
        <v>0101</v>
      </c>
      <c r="R1019">
        <v>2100</v>
      </c>
      <c r="S1019" t="str">
        <f t="shared" si="145"/>
        <v>5450</v>
      </c>
      <c r="T1019" t="s">
        <v>3495</v>
      </c>
      <c r="U1019" t="s">
        <v>119</v>
      </c>
    </row>
    <row r="1020" spans="1:21" ht="15" customHeight="1" x14ac:dyDescent="0.3">
      <c r="A1020" t="s">
        <v>179</v>
      </c>
      <c r="B1020" t="str">
        <f>"00059351"</f>
        <v>00059351</v>
      </c>
      <c r="C1020" t="s">
        <v>3798</v>
      </c>
      <c r="D1020" t="s">
        <v>3496</v>
      </c>
      <c r="E1020" t="str">
        <f>"00065443"</f>
        <v>00065443</v>
      </c>
      <c r="F1020">
        <v>0</v>
      </c>
      <c r="G1020" s="243">
        <v>40742</v>
      </c>
      <c r="H1020" t="s">
        <v>182</v>
      </c>
      <c r="I1020">
        <v>61</v>
      </c>
      <c r="J1020">
        <v>4</v>
      </c>
      <c r="K1020">
        <v>1</v>
      </c>
      <c r="L1020">
        <v>115000</v>
      </c>
      <c r="M1020" t="str">
        <f t="shared" si="140"/>
        <v>13</v>
      </c>
      <c r="N1020" t="s">
        <v>3370</v>
      </c>
      <c r="O1020" t="str">
        <f t="shared" si="144"/>
        <v>54511</v>
      </c>
      <c r="P1020" t="str">
        <f>"1501L"</f>
        <v>1501L</v>
      </c>
      <c r="Q1020" t="str">
        <f t="shared" si="141"/>
        <v>0101</v>
      </c>
      <c r="R1020">
        <v>1501</v>
      </c>
      <c r="S1020" t="str">
        <f t="shared" si="145"/>
        <v>5450</v>
      </c>
      <c r="T1020" t="s">
        <v>3495</v>
      </c>
      <c r="U1020" t="s">
        <v>119</v>
      </c>
    </row>
    <row r="1021" spans="1:21" ht="15" customHeight="1" x14ac:dyDescent="0.3">
      <c r="A1021" t="s">
        <v>179</v>
      </c>
      <c r="B1021" t="str">
        <f>"00061366"</f>
        <v>00061366</v>
      </c>
      <c r="C1021" t="s">
        <v>4290</v>
      </c>
      <c r="D1021" t="s">
        <v>4622</v>
      </c>
      <c r="E1021" t="str">
        <f>"00046162"</f>
        <v>00046162</v>
      </c>
      <c r="F1021">
        <v>0</v>
      </c>
      <c r="G1021" s="243">
        <v>39314</v>
      </c>
      <c r="H1021" t="s">
        <v>182</v>
      </c>
      <c r="I1021">
        <v>4</v>
      </c>
      <c r="J1021">
        <v>10</v>
      </c>
      <c r="K1021">
        <v>0.875</v>
      </c>
      <c r="L1021">
        <v>28721</v>
      </c>
      <c r="M1021" t="str">
        <f t="shared" si="140"/>
        <v>13</v>
      </c>
      <c r="N1021" t="s">
        <v>3323</v>
      </c>
      <c r="O1021" t="str">
        <f t="shared" si="144"/>
        <v>54511</v>
      </c>
      <c r="P1021" t="str">
        <f>"2200L"</f>
        <v>2200L</v>
      </c>
      <c r="Q1021" t="str">
        <f t="shared" si="141"/>
        <v>0101</v>
      </c>
      <c r="R1021">
        <v>2200</v>
      </c>
      <c r="S1021" t="str">
        <f t="shared" si="145"/>
        <v>5450</v>
      </c>
      <c r="T1021" t="s">
        <v>3495</v>
      </c>
      <c r="U1021" t="s">
        <v>119</v>
      </c>
    </row>
    <row r="1022" spans="1:21" ht="15" customHeight="1" x14ac:dyDescent="0.3">
      <c r="A1022" t="s">
        <v>179</v>
      </c>
      <c r="B1022" t="str">
        <f>"00061401"</f>
        <v>00061401</v>
      </c>
      <c r="C1022" t="s">
        <v>4262</v>
      </c>
      <c r="D1022" t="s">
        <v>4623</v>
      </c>
      <c r="E1022" t="str">
        <f>"00070047"</f>
        <v>00070047</v>
      </c>
      <c r="F1022">
        <v>0</v>
      </c>
      <c r="G1022" s="243">
        <v>41133</v>
      </c>
      <c r="H1022" t="s">
        <v>182</v>
      </c>
      <c r="I1022">
        <v>15</v>
      </c>
      <c r="J1022">
        <v>1</v>
      </c>
      <c r="K1022">
        <v>1</v>
      </c>
      <c r="L1022">
        <v>54975</v>
      </c>
      <c r="M1022" t="str">
        <f t="shared" si="140"/>
        <v>13</v>
      </c>
      <c r="N1022" t="s">
        <v>3323</v>
      </c>
      <c r="O1022" t="str">
        <f t="shared" si="144"/>
        <v>54511</v>
      </c>
      <c r="P1022" t="str">
        <f>"2100L"</f>
        <v>2100L</v>
      </c>
      <c r="Q1022" t="str">
        <f t="shared" si="141"/>
        <v>0101</v>
      </c>
      <c r="R1022">
        <v>2100</v>
      </c>
      <c r="S1022" t="str">
        <f t="shared" si="145"/>
        <v>5450</v>
      </c>
      <c r="T1022" t="s">
        <v>3495</v>
      </c>
      <c r="U1022" t="s">
        <v>119</v>
      </c>
    </row>
    <row r="1023" spans="1:21" ht="15" customHeight="1" x14ac:dyDescent="0.3">
      <c r="A1023" t="s">
        <v>179</v>
      </c>
      <c r="B1023" t="str">
        <f>"00061924"</f>
        <v>00061924</v>
      </c>
      <c r="C1023" t="s">
        <v>4274</v>
      </c>
      <c r="D1023" t="s">
        <v>4624</v>
      </c>
      <c r="E1023" t="str">
        <f>"00062601"</f>
        <v>00062601</v>
      </c>
      <c r="F1023">
        <v>0</v>
      </c>
      <c r="G1023" s="243">
        <v>40406</v>
      </c>
      <c r="H1023" t="s">
        <v>182</v>
      </c>
      <c r="I1023">
        <v>4</v>
      </c>
      <c r="J1023">
        <v>3</v>
      </c>
      <c r="K1023">
        <v>0.875</v>
      </c>
      <c r="L1023">
        <v>23848.12</v>
      </c>
      <c r="M1023" t="str">
        <f t="shared" si="140"/>
        <v>13</v>
      </c>
      <c r="N1023" t="s">
        <v>3323</v>
      </c>
      <c r="O1023" t="str">
        <f t="shared" si="144"/>
        <v>54511</v>
      </c>
      <c r="P1023" t="str">
        <f>"2200L"</f>
        <v>2200L</v>
      </c>
      <c r="Q1023" t="str">
        <f t="shared" si="141"/>
        <v>0101</v>
      </c>
      <c r="R1023">
        <v>2200</v>
      </c>
      <c r="S1023" t="str">
        <f t="shared" si="145"/>
        <v>5450</v>
      </c>
      <c r="T1023" t="s">
        <v>3495</v>
      </c>
      <c r="U1023" t="s">
        <v>119</v>
      </c>
    </row>
    <row r="1024" spans="1:21" ht="15" customHeight="1" x14ac:dyDescent="0.3">
      <c r="A1024" t="s">
        <v>179</v>
      </c>
      <c r="B1024" t="str">
        <f>"00061925"</f>
        <v>00061925</v>
      </c>
      <c r="C1024" t="s">
        <v>4260</v>
      </c>
      <c r="D1024" t="s">
        <v>1192</v>
      </c>
      <c r="E1024" t="str">
        <f>"00046820"</f>
        <v>00046820</v>
      </c>
      <c r="F1024">
        <v>0</v>
      </c>
      <c r="G1024" s="243">
        <v>39679</v>
      </c>
      <c r="H1024" t="s">
        <v>182</v>
      </c>
      <c r="I1024">
        <v>15</v>
      </c>
      <c r="J1024">
        <v>4</v>
      </c>
      <c r="K1024">
        <v>1</v>
      </c>
      <c r="L1024">
        <v>61158</v>
      </c>
      <c r="M1024" t="str">
        <f t="shared" si="140"/>
        <v>13</v>
      </c>
      <c r="N1024" t="s">
        <v>3323</v>
      </c>
      <c r="O1024" t="str">
        <f t="shared" si="144"/>
        <v>54511</v>
      </c>
      <c r="P1024" t="str">
        <f>"3030L"</f>
        <v>3030L</v>
      </c>
      <c r="Q1024" t="str">
        <f t="shared" si="141"/>
        <v>0101</v>
      </c>
      <c r="R1024">
        <v>3030</v>
      </c>
      <c r="S1024" t="str">
        <f t="shared" si="145"/>
        <v>5450</v>
      </c>
      <c r="T1024" t="s">
        <v>3495</v>
      </c>
      <c r="U1024" t="s">
        <v>119</v>
      </c>
    </row>
    <row r="1025" spans="1:21" ht="15" customHeight="1" x14ac:dyDescent="0.3">
      <c r="A1025" t="s">
        <v>179</v>
      </c>
      <c r="B1025" t="str">
        <f>"00065936"</f>
        <v>00065936</v>
      </c>
      <c r="C1025" t="s">
        <v>4262</v>
      </c>
      <c r="D1025" t="s">
        <v>1194</v>
      </c>
      <c r="E1025" t="str">
        <f>"00057865"</f>
        <v>00057865</v>
      </c>
      <c r="F1025">
        <v>0</v>
      </c>
      <c r="G1025" s="243">
        <v>41133</v>
      </c>
      <c r="H1025" t="s">
        <v>182</v>
      </c>
      <c r="I1025">
        <v>15</v>
      </c>
      <c r="J1025">
        <v>12</v>
      </c>
      <c r="K1025">
        <v>1</v>
      </c>
      <c r="L1025">
        <v>87431</v>
      </c>
      <c r="M1025" t="str">
        <f t="shared" si="140"/>
        <v>13</v>
      </c>
      <c r="N1025" t="s">
        <v>3370</v>
      </c>
      <c r="O1025" t="str">
        <f t="shared" si="144"/>
        <v>54511</v>
      </c>
      <c r="P1025" t="str">
        <f>"2100L"</f>
        <v>2100L</v>
      </c>
      <c r="Q1025" t="str">
        <f t="shared" si="141"/>
        <v>0101</v>
      </c>
      <c r="R1025">
        <v>2100</v>
      </c>
      <c r="S1025" t="str">
        <f t="shared" si="145"/>
        <v>5450</v>
      </c>
      <c r="T1025" t="s">
        <v>3495</v>
      </c>
      <c r="U1025" t="s">
        <v>119</v>
      </c>
    </row>
    <row r="1026" spans="1:21" ht="15" customHeight="1" x14ac:dyDescent="0.3">
      <c r="A1026" t="s">
        <v>179</v>
      </c>
      <c r="B1026" t="str">
        <f>"00065937"</f>
        <v>00065937</v>
      </c>
      <c r="C1026" t="s">
        <v>4262</v>
      </c>
      <c r="D1026" t="s">
        <v>1195</v>
      </c>
      <c r="E1026" t="str">
        <f>"00057526"</f>
        <v>00057526</v>
      </c>
      <c r="F1026">
        <v>0</v>
      </c>
      <c r="G1026" s="243">
        <v>40042</v>
      </c>
      <c r="H1026" t="s">
        <v>182</v>
      </c>
      <c r="I1026">
        <v>15</v>
      </c>
      <c r="J1026">
        <v>6</v>
      </c>
      <c r="K1026">
        <v>1</v>
      </c>
      <c r="L1026">
        <v>58599</v>
      </c>
      <c r="M1026" t="str">
        <f t="shared" si="140"/>
        <v>13</v>
      </c>
      <c r="N1026" t="s">
        <v>3323</v>
      </c>
      <c r="O1026" t="str">
        <f t="shared" si="144"/>
        <v>54511</v>
      </c>
      <c r="P1026" t="str">
        <f>"2100L"</f>
        <v>2100L</v>
      </c>
      <c r="Q1026" t="str">
        <f t="shared" si="141"/>
        <v>0101</v>
      </c>
      <c r="R1026">
        <v>2100</v>
      </c>
      <c r="S1026" t="str">
        <f t="shared" si="145"/>
        <v>5450</v>
      </c>
      <c r="T1026" t="s">
        <v>3495</v>
      </c>
      <c r="U1026" t="s">
        <v>119</v>
      </c>
    </row>
    <row r="1027" spans="1:21" ht="15" customHeight="1" x14ac:dyDescent="0.3">
      <c r="A1027" t="s">
        <v>179</v>
      </c>
      <c r="B1027" t="str">
        <f>"00065938"</f>
        <v>00065938</v>
      </c>
      <c r="C1027" t="s">
        <v>4262</v>
      </c>
      <c r="D1027" t="s">
        <v>1196</v>
      </c>
      <c r="E1027" t="str">
        <f>"00057130"</f>
        <v>00057130</v>
      </c>
      <c r="F1027">
        <v>0</v>
      </c>
      <c r="G1027" s="243">
        <v>40042</v>
      </c>
      <c r="H1027" t="s">
        <v>182</v>
      </c>
      <c r="I1027">
        <v>15</v>
      </c>
      <c r="J1027">
        <v>4</v>
      </c>
      <c r="K1027">
        <v>1</v>
      </c>
      <c r="L1027">
        <v>61158</v>
      </c>
      <c r="M1027" t="str">
        <f t="shared" si="140"/>
        <v>13</v>
      </c>
      <c r="N1027" t="s">
        <v>3323</v>
      </c>
      <c r="O1027" t="str">
        <f t="shared" si="144"/>
        <v>54511</v>
      </c>
      <c r="P1027" t="str">
        <f>"2100L"</f>
        <v>2100L</v>
      </c>
      <c r="Q1027" t="str">
        <f t="shared" si="141"/>
        <v>0101</v>
      </c>
      <c r="R1027">
        <v>2100</v>
      </c>
      <c r="S1027" t="str">
        <f t="shared" si="145"/>
        <v>5450</v>
      </c>
      <c r="T1027" t="s">
        <v>3495</v>
      </c>
      <c r="U1027" t="s">
        <v>119</v>
      </c>
    </row>
    <row r="1028" spans="1:21" ht="15" customHeight="1" x14ac:dyDescent="0.3">
      <c r="A1028" t="s">
        <v>179</v>
      </c>
      <c r="B1028" t="str">
        <f>"00065939"</f>
        <v>00065939</v>
      </c>
      <c r="C1028" t="s">
        <v>4260</v>
      </c>
      <c r="D1028" t="s">
        <v>1370</v>
      </c>
      <c r="E1028" t="str">
        <f>"00062624"</f>
        <v>00062624</v>
      </c>
      <c r="F1028">
        <v>0</v>
      </c>
      <c r="G1028" s="243">
        <v>40406</v>
      </c>
      <c r="H1028" t="s">
        <v>182</v>
      </c>
      <c r="I1028">
        <v>15</v>
      </c>
      <c r="J1028">
        <v>2</v>
      </c>
      <c r="K1028">
        <v>1</v>
      </c>
      <c r="L1028">
        <v>51716</v>
      </c>
      <c r="M1028" t="str">
        <f t="shared" si="140"/>
        <v>13</v>
      </c>
      <c r="N1028" t="s">
        <v>3323</v>
      </c>
      <c r="O1028" t="str">
        <f t="shared" si="144"/>
        <v>54511</v>
      </c>
      <c r="P1028" t="str">
        <f>"3030L"</f>
        <v>3030L</v>
      </c>
      <c r="Q1028" t="str">
        <f t="shared" si="141"/>
        <v>0101</v>
      </c>
      <c r="R1028">
        <v>3030</v>
      </c>
      <c r="S1028" t="str">
        <f t="shared" si="145"/>
        <v>5450</v>
      </c>
      <c r="T1028" t="s">
        <v>3495</v>
      </c>
      <c r="U1028" t="s">
        <v>119</v>
      </c>
    </row>
    <row r="1029" spans="1:21" ht="15" customHeight="1" x14ac:dyDescent="0.3">
      <c r="A1029" t="s">
        <v>179</v>
      </c>
      <c r="B1029" t="str">
        <f>"00066133"</f>
        <v>00066133</v>
      </c>
      <c r="C1029" t="s">
        <v>4274</v>
      </c>
      <c r="H1029" t="s">
        <v>170</v>
      </c>
      <c r="I1029">
        <v>4</v>
      </c>
      <c r="J1029">
        <v>1</v>
      </c>
      <c r="K1029">
        <v>1</v>
      </c>
      <c r="L1029">
        <v>25662</v>
      </c>
      <c r="M1029" t="str">
        <f t="shared" si="140"/>
        <v>13</v>
      </c>
      <c r="N1029" t="s">
        <v>3323</v>
      </c>
      <c r="O1029" t="str">
        <f t="shared" si="144"/>
        <v>54511</v>
      </c>
      <c r="P1029" t="str">
        <f>"2200L"</f>
        <v>2200L</v>
      </c>
      <c r="Q1029" t="str">
        <f t="shared" si="141"/>
        <v>0101</v>
      </c>
      <c r="R1029">
        <v>2200</v>
      </c>
      <c r="S1029" t="str">
        <f t="shared" si="145"/>
        <v>5450</v>
      </c>
      <c r="T1029" t="s">
        <v>3495</v>
      </c>
      <c r="U1029" t="s">
        <v>119</v>
      </c>
    </row>
    <row r="1030" spans="1:21" ht="15" customHeight="1" x14ac:dyDescent="0.3">
      <c r="A1030" t="s">
        <v>179</v>
      </c>
      <c r="B1030" t="str">
        <f>"00066134"</f>
        <v>00066134</v>
      </c>
      <c r="C1030" t="s">
        <v>4290</v>
      </c>
      <c r="H1030" t="s">
        <v>170</v>
      </c>
      <c r="I1030">
        <v>4</v>
      </c>
      <c r="J1030">
        <v>1</v>
      </c>
      <c r="K1030">
        <v>1</v>
      </c>
      <c r="L1030">
        <v>25662</v>
      </c>
      <c r="M1030" t="str">
        <f t="shared" si="140"/>
        <v>13</v>
      </c>
      <c r="N1030" t="s">
        <v>3323</v>
      </c>
      <c r="O1030" t="str">
        <f t="shared" si="144"/>
        <v>54511</v>
      </c>
      <c r="P1030" t="str">
        <f>"2200L"</f>
        <v>2200L</v>
      </c>
      <c r="Q1030" t="str">
        <f t="shared" si="141"/>
        <v>0101</v>
      </c>
      <c r="R1030">
        <v>2200</v>
      </c>
      <c r="S1030" t="str">
        <f t="shared" si="145"/>
        <v>5450</v>
      </c>
      <c r="T1030" t="s">
        <v>3495</v>
      </c>
      <c r="U1030" t="s">
        <v>119</v>
      </c>
    </row>
    <row r="1031" spans="1:21" ht="15" customHeight="1" x14ac:dyDescent="0.3">
      <c r="A1031" t="s">
        <v>179</v>
      </c>
      <c r="B1031" t="str">
        <f>"00066330"</f>
        <v>00066330</v>
      </c>
      <c r="C1031" t="s">
        <v>4259</v>
      </c>
      <c r="H1031" t="s">
        <v>170</v>
      </c>
      <c r="I1031">
        <v>15</v>
      </c>
      <c r="J1031">
        <v>1</v>
      </c>
      <c r="K1031">
        <v>1</v>
      </c>
      <c r="L1031">
        <v>54975</v>
      </c>
      <c r="M1031" t="str">
        <f t="shared" si="140"/>
        <v>13</v>
      </c>
      <c r="N1031" t="s">
        <v>3323</v>
      </c>
      <c r="O1031" t="str">
        <f t="shared" si="144"/>
        <v>54511</v>
      </c>
      <c r="P1031" t="str">
        <f>"2100L"</f>
        <v>2100L</v>
      </c>
      <c r="Q1031" t="str">
        <f t="shared" si="141"/>
        <v>0101</v>
      </c>
      <c r="R1031">
        <v>2100</v>
      </c>
      <c r="S1031" t="str">
        <f t="shared" si="145"/>
        <v>5450</v>
      </c>
      <c r="T1031" t="s">
        <v>3495</v>
      </c>
      <c r="U1031" t="s">
        <v>119</v>
      </c>
    </row>
    <row r="1032" spans="1:21" ht="15" customHeight="1" x14ac:dyDescent="0.3">
      <c r="A1032" t="s">
        <v>179</v>
      </c>
      <c r="B1032" t="str">
        <f>"00066583"</f>
        <v>00066583</v>
      </c>
      <c r="C1032" t="s">
        <v>4274</v>
      </c>
      <c r="D1032" t="s">
        <v>4625</v>
      </c>
      <c r="E1032" t="str">
        <f>"00062746"</f>
        <v>00062746</v>
      </c>
      <c r="F1032">
        <v>0</v>
      </c>
      <c r="G1032" s="243">
        <v>40406</v>
      </c>
      <c r="H1032" t="s">
        <v>182</v>
      </c>
      <c r="I1032">
        <v>4</v>
      </c>
      <c r="J1032">
        <v>5</v>
      </c>
      <c r="K1032">
        <v>1</v>
      </c>
      <c r="L1032">
        <v>25239.37</v>
      </c>
      <c r="M1032" t="str">
        <f t="shared" si="140"/>
        <v>13</v>
      </c>
      <c r="N1032" t="s">
        <v>3323</v>
      </c>
      <c r="O1032" t="str">
        <f t="shared" si="144"/>
        <v>54511</v>
      </c>
      <c r="P1032" t="str">
        <f>"2100L"</f>
        <v>2100L</v>
      </c>
      <c r="Q1032" t="str">
        <f t="shared" si="141"/>
        <v>0101</v>
      </c>
      <c r="R1032">
        <v>2100</v>
      </c>
      <c r="S1032" t="str">
        <f t="shared" si="145"/>
        <v>5450</v>
      </c>
      <c r="T1032" t="s">
        <v>3495</v>
      </c>
      <c r="U1032" t="s">
        <v>119</v>
      </c>
    </row>
    <row r="1033" spans="1:21" ht="15" customHeight="1" x14ac:dyDescent="0.3">
      <c r="A1033" t="s">
        <v>179</v>
      </c>
      <c r="B1033" t="str">
        <f>"00066931"</f>
        <v>00066931</v>
      </c>
      <c r="C1033" t="s">
        <v>4262</v>
      </c>
      <c r="D1033" t="s">
        <v>1198</v>
      </c>
      <c r="E1033" t="str">
        <f>"00057477"</f>
        <v>00057477</v>
      </c>
      <c r="F1033">
        <v>0</v>
      </c>
      <c r="G1033" s="243">
        <v>40042</v>
      </c>
      <c r="H1033" t="s">
        <v>182</v>
      </c>
      <c r="I1033">
        <v>15</v>
      </c>
      <c r="J1033">
        <v>10</v>
      </c>
      <c r="K1033">
        <v>1</v>
      </c>
      <c r="L1033">
        <v>78273</v>
      </c>
      <c r="M1033" t="str">
        <f t="shared" si="140"/>
        <v>13</v>
      </c>
      <c r="N1033" t="s">
        <v>3323</v>
      </c>
      <c r="O1033" t="str">
        <f t="shared" si="144"/>
        <v>54511</v>
      </c>
      <c r="P1033" t="str">
        <f>"2200L"</f>
        <v>2200L</v>
      </c>
      <c r="Q1033" t="str">
        <f t="shared" si="141"/>
        <v>0101</v>
      </c>
      <c r="R1033">
        <v>2200</v>
      </c>
      <c r="S1033" t="str">
        <f t="shared" si="145"/>
        <v>5450</v>
      </c>
      <c r="T1033" t="s">
        <v>3495</v>
      </c>
      <c r="U1033" t="s">
        <v>119</v>
      </c>
    </row>
    <row r="1034" spans="1:21" ht="15" customHeight="1" x14ac:dyDescent="0.3">
      <c r="A1034" t="s">
        <v>179</v>
      </c>
      <c r="B1034" t="str">
        <f>"00067387"</f>
        <v>00067387</v>
      </c>
      <c r="C1034" t="s">
        <v>4290</v>
      </c>
      <c r="D1034" t="s">
        <v>4626</v>
      </c>
      <c r="E1034" t="str">
        <f>"00038073"</f>
        <v>00038073</v>
      </c>
      <c r="F1034">
        <v>0</v>
      </c>
      <c r="G1034" s="243">
        <v>40770</v>
      </c>
      <c r="H1034" t="s">
        <v>182</v>
      </c>
      <c r="I1034">
        <v>4</v>
      </c>
      <c r="J1034">
        <v>5</v>
      </c>
      <c r="K1034">
        <v>1</v>
      </c>
      <c r="L1034">
        <v>25239.37</v>
      </c>
      <c r="M1034" t="str">
        <f t="shared" si="140"/>
        <v>13</v>
      </c>
      <c r="N1034" t="s">
        <v>3323</v>
      </c>
      <c r="O1034" t="str">
        <f t="shared" si="144"/>
        <v>54511</v>
      </c>
      <c r="P1034" t="str">
        <f>"3030L"</f>
        <v>3030L</v>
      </c>
      <c r="Q1034" t="str">
        <f t="shared" si="141"/>
        <v>0101</v>
      </c>
      <c r="R1034">
        <v>3030</v>
      </c>
      <c r="S1034" t="str">
        <f t="shared" si="145"/>
        <v>5450</v>
      </c>
      <c r="T1034" t="s">
        <v>3495</v>
      </c>
      <c r="U1034" t="s">
        <v>119</v>
      </c>
    </row>
    <row r="1035" spans="1:21" ht="15" customHeight="1" x14ac:dyDescent="0.3">
      <c r="A1035" t="s">
        <v>179</v>
      </c>
      <c r="B1035" t="str">
        <f>"00072322"</f>
        <v>00072322</v>
      </c>
      <c r="C1035" t="s">
        <v>4262</v>
      </c>
      <c r="D1035" t="s">
        <v>1199</v>
      </c>
      <c r="E1035" t="str">
        <f>"00062602"</f>
        <v>00062602</v>
      </c>
      <c r="F1035">
        <v>0</v>
      </c>
      <c r="G1035" s="243">
        <v>40406</v>
      </c>
      <c r="H1035" t="s">
        <v>182</v>
      </c>
      <c r="I1035">
        <v>15</v>
      </c>
      <c r="J1035">
        <v>3</v>
      </c>
      <c r="K1035">
        <v>1</v>
      </c>
      <c r="L1035">
        <v>58699</v>
      </c>
      <c r="M1035" t="str">
        <f t="shared" si="140"/>
        <v>13</v>
      </c>
      <c r="N1035" t="s">
        <v>3323</v>
      </c>
      <c r="O1035" t="str">
        <f t="shared" si="144"/>
        <v>54511</v>
      </c>
      <c r="P1035" t="str">
        <f t="shared" ref="P1035:P1040" si="146">"2100L"</f>
        <v>2100L</v>
      </c>
      <c r="Q1035" t="str">
        <f t="shared" si="141"/>
        <v>0101</v>
      </c>
      <c r="R1035">
        <v>2100</v>
      </c>
      <c r="S1035" t="str">
        <f t="shared" si="145"/>
        <v>5450</v>
      </c>
      <c r="T1035" t="s">
        <v>3495</v>
      </c>
      <c r="U1035" t="s">
        <v>119</v>
      </c>
    </row>
    <row r="1036" spans="1:21" ht="15" customHeight="1" x14ac:dyDescent="0.3">
      <c r="A1036" t="s">
        <v>179</v>
      </c>
      <c r="B1036" t="str">
        <f>"00072464"</f>
        <v>00072464</v>
      </c>
      <c r="C1036" t="s">
        <v>4292</v>
      </c>
      <c r="D1036" t="s">
        <v>4627</v>
      </c>
      <c r="E1036" t="str">
        <f>"00058148"</f>
        <v>00058148</v>
      </c>
      <c r="F1036">
        <v>0</v>
      </c>
      <c r="G1036" s="243">
        <v>40798</v>
      </c>
      <c r="H1036" t="s">
        <v>182</v>
      </c>
      <c r="I1036">
        <v>4</v>
      </c>
      <c r="J1036">
        <v>10</v>
      </c>
      <c r="K1036">
        <v>0.71</v>
      </c>
      <c r="L1036">
        <v>28721</v>
      </c>
      <c r="M1036" t="str">
        <f t="shared" si="140"/>
        <v>13</v>
      </c>
      <c r="N1036" t="s">
        <v>3323</v>
      </c>
      <c r="O1036" t="str">
        <f t="shared" si="144"/>
        <v>54511</v>
      </c>
      <c r="P1036" t="str">
        <f t="shared" si="146"/>
        <v>2100L</v>
      </c>
      <c r="Q1036" t="str">
        <f t="shared" si="141"/>
        <v>0101</v>
      </c>
      <c r="R1036">
        <v>2100</v>
      </c>
      <c r="S1036" t="str">
        <f t="shared" si="145"/>
        <v>5450</v>
      </c>
      <c r="T1036" t="s">
        <v>3495</v>
      </c>
      <c r="U1036" t="s">
        <v>119</v>
      </c>
    </row>
    <row r="1037" spans="1:21" ht="15" customHeight="1" x14ac:dyDescent="0.3">
      <c r="A1037" t="s">
        <v>179</v>
      </c>
      <c r="B1037" t="str">
        <f>"00072465"</f>
        <v>00072465</v>
      </c>
      <c r="C1037" t="s">
        <v>4274</v>
      </c>
      <c r="D1037" t="s">
        <v>4628</v>
      </c>
      <c r="E1037" t="str">
        <f>"00054457"</f>
        <v>00054457</v>
      </c>
      <c r="F1037">
        <v>0</v>
      </c>
      <c r="G1037" s="243">
        <v>39478</v>
      </c>
      <c r="H1037" t="s">
        <v>182</v>
      </c>
      <c r="I1037">
        <v>4</v>
      </c>
      <c r="J1037">
        <v>6</v>
      </c>
      <c r="K1037">
        <v>0.71</v>
      </c>
      <c r="L1037">
        <v>25935.88</v>
      </c>
      <c r="M1037" t="str">
        <f t="shared" si="140"/>
        <v>13</v>
      </c>
      <c r="N1037" t="s">
        <v>3323</v>
      </c>
      <c r="O1037" t="str">
        <f t="shared" si="144"/>
        <v>54511</v>
      </c>
      <c r="P1037" t="str">
        <f t="shared" si="146"/>
        <v>2100L</v>
      </c>
      <c r="Q1037" t="str">
        <f t="shared" si="141"/>
        <v>0101</v>
      </c>
      <c r="R1037">
        <v>2100</v>
      </c>
      <c r="S1037" t="str">
        <f t="shared" si="145"/>
        <v>5450</v>
      </c>
      <c r="T1037" t="s">
        <v>3495</v>
      </c>
      <c r="U1037" t="s">
        <v>119</v>
      </c>
    </row>
    <row r="1038" spans="1:21" ht="15" customHeight="1" x14ac:dyDescent="0.3">
      <c r="A1038" t="s">
        <v>179</v>
      </c>
      <c r="B1038" t="str">
        <f>"00072466"</f>
        <v>00072466</v>
      </c>
      <c r="C1038" t="s">
        <v>4292</v>
      </c>
      <c r="D1038" t="s">
        <v>4629</v>
      </c>
      <c r="E1038" t="str">
        <f>"00066171"</f>
        <v>00066171</v>
      </c>
      <c r="F1038">
        <v>0</v>
      </c>
      <c r="G1038" s="243">
        <v>40770</v>
      </c>
      <c r="H1038" t="s">
        <v>182</v>
      </c>
      <c r="I1038">
        <v>4</v>
      </c>
      <c r="J1038">
        <v>3</v>
      </c>
      <c r="K1038">
        <v>0.71</v>
      </c>
      <c r="L1038">
        <v>23848.12</v>
      </c>
      <c r="M1038" t="str">
        <f t="shared" si="140"/>
        <v>13</v>
      </c>
      <c r="N1038" t="s">
        <v>3323</v>
      </c>
      <c r="O1038" t="str">
        <f t="shared" si="144"/>
        <v>54511</v>
      </c>
      <c r="P1038" t="str">
        <f t="shared" si="146"/>
        <v>2100L</v>
      </c>
      <c r="Q1038" t="str">
        <f t="shared" si="141"/>
        <v>0101</v>
      </c>
      <c r="R1038">
        <v>2100</v>
      </c>
      <c r="S1038" t="str">
        <f t="shared" si="145"/>
        <v>5450</v>
      </c>
      <c r="T1038" t="s">
        <v>3495</v>
      </c>
      <c r="U1038" t="s">
        <v>119</v>
      </c>
    </row>
    <row r="1039" spans="1:21" ht="15" customHeight="1" x14ac:dyDescent="0.3">
      <c r="A1039" t="s">
        <v>179</v>
      </c>
      <c r="B1039" t="str">
        <f>"00073872"</f>
        <v>00073872</v>
      </c>
      <c r="C1039" t="s">
        <v>4262</v>
      </c>
      <c r="D1039" t="s">
        <v>3497</v>
      </c>
      <c r="E1039" t="str">
        <f>"00065595"</f>
        <v>00065595</v>
      </c>
      <c r="F1039">
        <v>0</v>
      </c>
      <c r="G1039" s="243">
        <v>40755</v>
      </c>
      <c r="H1039" t="s">
        <v>182</v>
      </c>
      <c r="I1039">
        <v>15</v>
      </c>
      <c r="J1039">
        <v>2</v>
      </c>
      <c r="K1039">
        <v>1</v>
      </c>
      <c r="L1039">
        <v>56242</v>
      </c>
      <c r="M1039" t="str">
        <f t="shared" si="140"/>
        <v>13</v>
      </c>
      <c r="N1039" t="s">
        <v>3323</v>
      </c>
      <c r="O1039" t="str">
        <f t="shared" si="144"/>
        <v>54511</v>
      </c>
      <c r="P1039" t="str">
        <f t="shared" si="146"/>
        <v>2100L</v>
      </c>
      <c r="Q1039" t="str">
        <f t="shared" si="141"/>
        <v>0101</v>
      </c>
      <c r="R1039">
        <v>2100</v>
      </c>
      <c r="S1039" t="str">
        <f t="shared" si="145"/>
        <v>5450</v>
      </c>
      <c r="T1039" t="s">
        <v>3495</v>
      </c>
      <c r="U1039" t="s">
        <v>119</v>
      </c>
    </row>
    <row r="1040" spans="1:21" ht="15" customHeight="1" x14ac:dyDescent="0.3">
      <c r="A1040" t="s">
        <v>179</v>
      </c>
      <c r="B1040" t="str">
        <f>"00073873"</f>
        <v>00073873</v>
      </c>
      <c r="C1040" t="s">
        <v>4254</v>
      </c>
      <c r="D1040" t="s">
        <v>1193</v>
      </c>
      <c r="E1040" t="str">
        <f>"00049051"</f>
        <v>00049051</v>
      </c>
      <c r="F1040">
        <v>0</v>
      </c>
      <c r="G1040" s="243">
        <v>39679</v>
      </c>
      <c r="H1040" t="s">
        <v>182</v>
      </c>
      <c r="I1040">
        <v>15</v>
      </c>
      <c r="J1040">
        <v>4</v>
      </c>
      <c r="K1040">
        <v>1</v>
      </c>
      <c r="L1040">
        <v>54725</v>
      </c>
      <c r="M1040" t="str">
        <f t="shared" si="140"/>
        <v>13</v>
      </c>
      <c r="N1040" t="s">
        <v>3323</v>
      </c>
      <c r="O1040" t="str">
        <f t="shared" si="144"/>
        <v>54511</v>
      </c>
      <c r="P1040" t="str">
        <f t="shared" si="146"/>
        <v>2100L</v>
      </c>
      <c r="Q1040" t="str">
        <f t="shared" si="141"/>
        <v>0101</v>
      </c>
      <c r="R1040">
        <v>2100</v>
      </c>
      <c r="S1040" t="str">
        <f t="shared" si="145"/>
        <v>5450</v>
      </c>
      <c r="T1040" t="s">
        <v>3495</v>
      </c>
      <c r="U1040" t="s">
        <v>119</v>
      </c>
    </row>
    <row r="1041" spans="1:21" ht="15" customHeight="1" x14ac:dyDescent="0.3">
      <c r="A1041" t="s">
        <v>179</v>
      </c>
      <c r="B1041" t="str">
        <f>"00074559"</f>
        <v>00074559</v>
      </c>
      <c r="C1041" t="s">
        <v>4260</v>
      </c>
      <c r="D1041" t="s">
        <v>4630</v>
      </c>
      <c r="E1041" t="str">
        <f>"00045826"</f>
        <v>00045826</v>
      </c>
      <c r="F1041">
        <v>0</v>
      </c>
      <c r="G1041" s="243">
        <v>41133</v>
      </c>
      <c r="H1041" t="s">
        <v>182</v>
      </c>
      <c r="I1041">
        <v>15</v>
      </c>
      <c r="J1041">
        <v>8</v>
      </c>
      <c r="K1041">
        <v>1</v>
      </c>
      <c r="L1041">
        <v>74640</v>
      </c>
      <c r="M1041" t="str">
        <f t="shared" si="140"/>
        <v>13</v>
      </c>
      <c r="N1041" t="s">
        <v>3323</v>
      </c>
      <c r="O1041" t="str">
        <f t="shared" si="144"/>
        <v>54511</v>
      </c>
      <c r="P1041" t="str">
        <f>"3030L"</f>
        <v>3030L</v>
      </c>
      <c r="Q1041" t="str">
        <f t="shared" si="141"/>
        <v>0101</v>
      </c>
      <c r="R1041">
        <v>3030</v>
      </c>
      <c r="S1041" t="str">
        <f t="shared" si="145"/>
        <v>5450</v>
      </c>
      <c r="T1041" t="s">
        <v>3495</v>
      </c>
      <c r="U1041" t="s">
        <v>119</v>
      </c>
    </row>
    <row r="1042" spans="1:21" ht="15" customHeight="1" x14ac:dyDescent="0.3">
      <c r="A1042" t="s">
        <v>179</v>
      </c>
      <c r="B1042" t="str">
        <f>"00076069"</f>
        <v>00076069</v>
      </c>
      <c r="C1042" t="s">
        <v>4292</v>
      </c>
      <c r="D1042" t="s">
        <v>4631</v>
      </c>
      <c r="E1042" t="str">
        <f>"00069547"</f>
        <v>00069547</v>
      </c>
      <c r="F1042">
        <v>0</v>
      </c>
      <c r="G1042" s="243">
        <v>41133</v>
      </c>
      <c r="H1042" t="s">
        <v>182</v>
      </c>
      <c r="I1042">
        <v>4</v>
      </c>
      <c r="J1042">
        <v>8</v>
      </c>
      <c r="K1042">
        <v>0.71</v>
      </c>
      <c r="L1042">
        <v>27329.75</v>
      </c>
      <c r="M1042" t="str">
        <f t="shared" si="140"/>
        <v>13</v>
      </c>
      <c r="N1042" t="s">
        <v>3370</v>
      </c>
      <c r="O1042" t="str">
        <f t="shared" si="144"/>
        <v>54511</v>
      </c>
      <c r="P1042" t="str">
        <f t="shared" ref="P1042:P1048" si="147">"2100L"</f>
        <v>2100L</v>
      </c>
      <c r="Q1042" t="str">
        <f t="shared" si="141"/>
        <v>0101</v>
      </c>
      <c r="R1042">
        <v>2100</v>
      </c>
      <c r="S1042" t="str">
        <f t="shared" si="145"/>
        <v>5450</v>
      </c>
      <c r="T1042" t="s">
        <v>3495</v>
      </c>
      <c r="U1042" t="s">
        <v>119</v>
      </c>
    </row>
    <row r="1043" spans="1:21" ht="15" customHeight="1" x14ac:dyDescent="0.3">
      <c r="A1043" t="s">
        <v>179</v>
      </c>
      <c r="B1043" t="str">
        <f>"00076070"</f>
        <v>00076070</v>
      </c>
      <c r="C1043" t="s">
        <v>4292</v>
      </c>
      <c r="D1043" t="s">
        <v>4632</v>
      </c>
      <c r="E1043" t="str">
        <f>"00060762"</f>
        <v>00060762</v>
      </c>
      <c r="F1043">
        <v>0</v>
      </c>
      <c r="G1043" s="243">
        <v>40274</v>
      </c>
      <c r="H1043" t="s">
        <v>182</v>
      </c>
      <c r="I1043">
        <v>4</v>
      </c>
      <c r="J1043">
        <v>6</v>
      </c>
      <c r="K1043">
        <v>0.71</v>
      </c>
      <c r="L1043">
        <v>25935.88</v>
      </c>
      <c r="M1043" t="str">
        <f t="shared" ref="M1043:M1097" si="148">"13"</f>
        <v>13</v>
      </c>
      <c r="N1043" t="s">
        <v>3370</v>
      </c>
      <c r="O1043" t="str">
        <f t="shared" si="144"/>
        <v>54511</v>
      </c>
      <c r="P1043" t="str">
        <f t="shared" si="147"/>
        <v>2100L</v>
      </c>
      <c r="Q1043" t="str">
        <f t="shared" ref="Q1043:Q1097" si="149">"0101"</f>
        <v>0101</v>
      </c>
      <c r="R1043">
        <v>2100</v>
      </c>
      <c r="S1043" t="str">
        <f t="shared" si="145"/>
        <v>5450</v>
      </c>
      <c r="T1043" t="s">
        <v>3495</v>
      </c>
      <c r="U1043" t="s">
        <v>119</v>
      </c>
    </row>
    <row r="1044" spans="1:21" ht="15" customHeight="1" x14ac:dyDescent="0.3">
      <c r="A1044" t="s">
        <v>179</v>
      </c>
      <c r="B1044" t="str">
        <f>"00076071"</f>
        <v>00076071</v>
      </c>
      <c r="C1044" t="s">
        <v>4252</v>
      </c>
      <c r="D1044" t="s">
        <v>2102</v>
      </c>
      <c r="E1044" t="str">
        <f>"00051496"</f>
        <v>00051496</v>
      </c>
      <c r="F1044">
        <v>0</v>
      </c>
      <c r="G1044" s="243">
        <v>32021</v>
      </c>
      <c r="H1044" t="s">
        <v>182</v>
      </c>
      <c r="I1044">
        <v>15</v>
      </c>
      <c r="J1044">
        <v>16</v>
      </c>
      <c r="K1044">
        <v>1</v>
      </c>
      <c r="L1044">
        <v>106540</v>
      </c>
      <c r="M1044" t="str">
        <f t="shared" si="148"/>
        <v>13</v>
      </c>
      <c r="N1044" t="s">
        <v>3370</v>
      </c>
      <c r="O1044" t="str">
        <f t="shared" si="144"/>
        <v>54511</v>
      </c>
      <c r="P1044" t="str">
        <f t="shared" si="147"/>
        <v>2100L</v>
      </c>
      <c r="Q1044" t="str">
        <f t="shared" si="149"/>
        <v>0101</v>
      </c>
      <c r="R1044">
        <v>2100</v>
      </c>
      <c r="S1044" t="str">
        <f t="shared" si="145"/>
        <v>5450</v>
      </c>
      <c r="T1044" t="s">
        <v>3495</v>
      </c>
      <c r="U1044" t="s">
        <v>119</v>
      </c>
    </row>
    <row r="1045" spans="1:21" ht="15" customHeight="1" x14ac:dyDescent="0.3">
      <c r="A1045" t="s">
        <v>179</v>
      </c>
      <c r="B1045" t="str">
        <f>"00076072"</f>
        <v>00076072</v>
      </c>
      <c r="C1045" t="s">
        <v>4262</v>
      </c>
      <c r="D1045" t="s">
        <v>1047</v>
      </c>
      <c r="E1045" t="str">
        <f>"00063037"</f>
        <v>00063037</v>
      </c>
      <c r="F1045">
        <v>0</v>
      </c>
      <c r="G1045" s="243">
        <v>40406</v>
      </c>
      <c r="H1045" t="s">
        <v>182</v>
      </c>
      <c r="I1045">
        <v>15</v>
      </c>
      <c r="J1045">
        <v>12</v>
      </c>
      <c r="K1045">
        <v>1</v>
      </c>
      <c r="L1045">
        <v>87431</v>
      </c>
      <c r="M1045" t="str">
        <f t="shared" si="148"/>
        <v>13</v>
      </c>
      <c r="N1045" t="s">
        <v>3370</v>
      </c>
      <c r="O1045" t="str">
        <f t="shared" si="144"/>
        <v>54511</v>
      </c>
      <c r="P1045" t="str">
        <f t="shared" si="147"/>
        <v>2100L</v>
      </c>
      <c r="Q1045" t="str">
        <f t="shared" si="149"/>
        <v>0101</v>
      </c>
      <c r="R1045">
        <v>2100</v>
      </c>
      <c r="S1045" t="str">
        <f t="shared" si="145"/>
        <v>5450</v>
      </c>
      <c r="T1045" t="s">
        <v>3495</v>
      </c>
      <c r="U1045" t="s">
        <v>119</v>
      </c>
    </row>
    <row r="1046" spans="1:21" ht="15" customHeight="1" x14ac:dyDescent="0.3">
      <c r="A1046" t="s">
        <v>179</v>
      </c>
      <c r="B1046" t="str">
        <f>"00076073"</f>
        <v>00076073</v>
      </c>
      <c r="C1046" t="s">
        <v>4262</v>
      </c>
      <c r="D1046" t="s">
        <v>1197</v>
      </c>
      <c r="E1046" t="str">
        <f>"00049389"</f>
        <v>00049389</v>
      </c>
      <c r="F1046">
        <v>0</v>
      </c>
      <c r="G1046" s="243">
        <v>40042</v>
      </c>
      <c r="H1046" t="s">
        <v>182</v>
      </c>
      <c r="I1046">
        <v>15</v>
      </c>
      <c r="J1046">
        <v>13</v>
      </c>
      <c r="K1046">
        <v>1</v>
      </c>
      <c r="L1046">
        <v>95366</v>
      </c>
      <c r="M1046" t="str">
        <f t="shared" si="148"/>
        <v>13</v>
      </c>
      <c r="N1046" t="s">
        <v>3323</v>
      </c>
      <c r="O1046" t="str">
        <f t="shared" si="144"/>
        <v>54511</v>
      </c>
      <c r="P1046" t="str">
        <f t="shared" si="147"/>
        <v>2100L</v>
      </c>
      <c r="Q1046" t="str">
        <f t="shared" si="149"/>
        <v>0101</v>
      </c>
      <c r="R1046">
        <v>2100</v>
      </c>
      <c r="S1046" t="str">
        <f t="shared" si="145"/>
        <v>5450</v>
      </c>
      <c r="T1046" t="s">
        <v>3495</v>
      </c>
      <c r="U1046" t="s">
        <v>119</v>
      </c>
    </row>
    <row r="1047" spans="1:21" ht="15" customHeight="1" x14ac:dyDescent="0.3">
      <c r="A1047" t="s">
        <v>179</v>
      </c>
      <c r="B1047" t="str">
        <f>"00076074"</f>
        <v>00076074</v>
      </c>
      <c r="C1047" t="s">
        <v>4262</v>
      </c>
      <c r="D1047" t="s">
        <v>4633</v>
      </c>
      <c r="E1047" t="str">
        <f>"00067588"</f>
        <v>00067588</v>
      </c>
      <c r="F1047">
        <v>0</v>
      </c>
      <c r="G1047" s="243">
        <v>40896</v>
      </c>
      <c r="H1047" t="s">
        <v>182</v>
      </c>
      <c r="I1047">
        <v>15</v>
      </c>
      <c r="J1047">
        <v>1</v>
      </c>
      <c r="K1047">
        <v>1</v>
      </c>
      <c r="L1047">
        <v>54975</v>
      </c>
      <c r="M1047" t="str">
        <f t="shared" si="148"/>
        <v>13</v>
      </c>
      <c r="N1047" t="s">
        <v>3323</v>
      </c>
      <c r="O1047" t="str">
        <f t="shared" si="144"/>
        <v>54511</v>
      </c>
      <c r="P1047" t="str">
        <f t="shared" si="147"/>
        <v>2100L</v>
      </c>
      <c r="Q1047" t="str">
        <f t="shared" si="149"/>
        <v>0101</v>
      </c>
      <c r="R1047">
        <v>2100</v>
      </c>
      <c r="S1047" t="str">
        <f t="shared" si="145"/>
        <v>5450</v>
      </c>
      <c r="T1047" t="s">
        <v>3495</v>
      </c>
      <c r="U1047" t="s">
        <v>119</v>
      </c>
    </row>
    <row r="1048" spans="1:21" ht="15" customHeight="1" x14ac:dyDescent="0.3">
      <c r="A1048" t="s">
        <v>179</v>
      </c>
      <c r="B1048" t="str">
        <f>"00076075"</f>
        <v>00076075</v>
      </c>
      <c r="C1048" t="s">
        <v>4271</v>
      </c>
      <c r="D1048" t="s">
        <v>2814</v>
      </c>
      <c r="E1048" t="str">
        <f>"00049459"</f>
        <v>00049459</v>
      </c>
      <c r="F1048">
        <v>0</v>
      </c>
      <c r="G1048" s="243">
        <v>39679</v>
      </c>
      <c r="H1048" t="s">
        <v>182</v>
      </c>
      <c r="I1048">
        <v>15</v>
      </c>
      <c r="J1048">
        <v>12</v>
      </c>
      <c r="K1048">
        <v>0.5</v>
      </c>
      <c r="L1048">
        <v>92613</v>
      </c>
      <c r="M1048" t="str">
        <f t="shared" si="148"/>
        <v>13</v>
      </c>
      <c r="N1048" t="s">
        <v>3370</v>
      </c>
      <c r="O1048" t="str">
        <f t="shared" si="144"/>
        <v>54511</v>
      </c>
      <c r="P1048" t="str">
        <f t="shared" si="147"/>
        <v>2100L</v>
      </c>
      <c r="Q1048" t="str">
        <f t="shared" si="149"/>
        <v>0101</v>
      </c>
      <c r="R1048">
        <v>2100</v>
      </c>
      <c r="S1048" t="str">
        <f t="shared" si="145"/>
        <v>5450</v>
      </c>
      <c r="T1048" t="s">
        <v>3495</v>
      </c>
      <c r="U1048" t="s">
        <v>119</v>
      </c>
    </row>
    <row r="1049" spans="1:21" ht="15" customHeight="1" x14ac:dyDescent="0.3">
      <c r="A1049" t="s">
        <v>179</v>
      </c>
      <c r="B1049" t="str">
        <f>"00076801"</f>
        <v>00076801</v>
      </c>
      <c r="C1049" t="s">
        <v>3670</v>
      </c>
      <c r="D1049" t="s">
        <v>2206</v>
      </c>
      <c r="E1049" t="str">
        <f>"00044629"</f>
        <v>00044629</v>
      </c>
      <c r="F1049">
        <v>0</v>
      </c>
      <c r="G1049" s="243">
        <v>36761</v>
      </c>
      <c r="H1049" t="s">
        <v>182</v>
      </c>
      <c r="I1049">
        <v>8</v>
      </c>
      <c r="J1049">
        <v>5</v>
      </c>
      <c r="K1049">
        <v>1</v>
      </c>
      <c r="L1049">
        <v>92198</v>
      </c>
      <c r="M1049" t="str">
        <f t="shared" si="148"/>
        <v>13</v>
      </c>
      <c r="N1049" t="s">
        <v>3370</v>
      </c>
      <c r="O1049" t="str">
        <f t="shared" si="144"/>
        <v>54511</v>
      </c>
      <c r="P1049" t="str">
        <f>"1501L"</f>
        <v>1501L</v>
      </c>
      <c r="Q1049" t="str">
        <f t="shared" si="149"/>
        <v>0101</v>
      </c>
      <c r="R1049">
        <v>1501</v>
      </c>
      <c r="S1049" t="str">
        <f t="shared" si="145"/>
        <v>5450</v>
      </c>
      <c r="T1049" t="s">
        <v>3495</v>
      </c>
      <c r="U1049" t="s">
        <v>119</v>
      </c>
    </row>
    <row r="1050" spans="1:21" ht="15" customHeight="1" x14ac:dyDescent="0.3">
      <c r="A1050" t="s">
        <v>179</v>
      </c>
      <c r="B1050" t="str">
        <f>"00051573"</f>
        <v>00051573</v>
      </c>
      <c r="C1050" t="s">
        <v>4258</v>
      </c>
      <c r="D1050" t="s">
        <v>1200</v>
      </c>
      <c r="E1050" t="str">
        <f>"00044948"</f>
        <v>00044948</v>
      </c>
      <c r="F1050">
        <v>0</v>
      </c>
      <c r="G1050" s="243">
        <v>38297</v>
      </c>
      <c r="H1050" t="s">
        <v>182</v>
      </c>
      <c r="I1050">
        <v>15</v>
      </c>
      <c r="J1050">
        <v>12</v>
      </c>
      <c r="K1050">
        <v>1</v>
      </c>
      <c r="L1050">
        <v>89887</v>
      </c>
      <c r="M1050" t="str">
        <f t="shared" si="148"/>
        <v>13</v>
      </c>
      <c r="N1050" t="s">
        <v>3323</v>
      </c>
      <c r="O1050" t="str">
        <f t="shared" ref="O1050:O1075" si="150">"54611"</f>
        <v>54611</v>
      </c>
      <c r="P1050" t="str">
        <f>"2100L"</f>
        <v>2100L</v>
      </c>
      <c r="Q1050" t="str">
        <f t="shared" si="149"/>
        <v>0101</v>
      </c>
      <c r="R1050">
        <v>2100</v>
      </c>
      <c r="S1050" t="str">
        <f t="shared" ref="S1050:S1075" si="151">"5460"</f>
        <v>5460</v>
      </c>
      <c r="T1050" t="s">
        <v>3500</v>
      </c>
      <c r="U1050" t="s">
        <v>36</v>
      </c>
    </row>
    <row r="1051" spans="1:21" ht="15" customHeight="1" x14ac:dyDescent="0.3">
      <c r="A1051" t="s">
        <v>179</v>
      </c>
      <c r="B1051" t="str">
        <f>"00051598"</f>
        <v>00051598</v>
      </c>
      <c r="C1051" t="s">
        <v>3798</v>
      </c>
      <c r="D1051" t="s">
        <v>1201</v>
      </c>
      <c r="E1051" t="str">
        <f>"00054532"</f>
        <v>00054532</v>
      </c>
      <c r="F1051">
        <v>0</v>
      </c>
      <c r="G1051" s="243">
        <v>33883</v>
      </c>
      <c r="H1051" t="s">
        <v>182</v>
      </c>
      <c r="I1051">
        <v>61</v>
      </c>
      <c r="J1051">
        <v>2</v>
      </c>
      <c r="K1051">
        <v>1</v>
      </c>
      <c r="L1051">
        <v>105000</v>
      </c>
      <c r="M1051" t="str">
        <f t="shared" si="148"/>
        <v>13</v>
      </c>
      <c r="N1051" t="s">
        <v>3323</v>
      </c>
      <c r="O1051" t="str">
        <f t="shared" si="150"/>
        <v>54611</v>
      </c>
      <c r="P1051" t="str">
        <f>"1501L"</f>
        <v>1501L</v>
      </c>
      <c r="Q1051" t="str">
        <f t="shared" si="149"/>
        <v>0101</v>
      </c>
      <c r="R1051">
        <v>1501</v>
      </c>
      <c r="S1051" t="str">
        <f t="shared" si="151"/>
        <v>5460</v>
      </c>
      <c r="T1051" t="s">
        <v>3500</v>
      </c>
      <c r="U1051" t="s">
        <v>36</v>
      </c>
    </row>
    <row r="1052" spans="1:21" ht="15" customHeight="1" x14ac:dyDescent="0.3">
      <c r="A1052" t="s">
        <v>179</v>
      </c>
      <c r="B1052" t="str">
        <f>"00051645"</f>
        <v>00051645</v>
      </c>
      <c r="C1052" t="s">
        <v>4262</v>
      </c>
      <c r="D1052" t="s">
        <v>1202</v>
      </c>
      <c r="E1052" t="str">
        <f>"00045281"</f>
        <v>00045281</v>
      </c>
      <c r="F1052">
        <v>0</v>
      </c>
      <c r="G1052" s="243">
        <v>32392</v>
      </c>
      <c r="H1052" t="s">
        <v>182</v>
      </c>
      <c r="I1052">
        <v>15</v>
      </c>
      <c r="J1052">
        <v>16</v>
      </c>
      <c r="K1052">
        <v>1</v>
      </c>
      <c r="L1052">
        <v>106540</v>
      </c>
      <c r="M1052" t="str">
        <f t="shared" si="148"/>
        <v>13</v>
      </c>
      <c r="N1052" t="s">
        <v>3323</v>
      </c>
      <c r="O1052" t="str">
        <f t="shared" si="150"/>
        <v>54611</v>
      </c>
      <c r="P1052" t="str">
        <f t="shared" ref="P1052:P1058" si="152">"2100L"</f>
        <v>2100L</v>
      </c>
      <c r="Q1052" t="str">
        <f t="shared" si="149"/>
        <v>0101</v>
      </c>
      <c r="R1052">
        <v>2100</v>
      </c>
      <c r="S1052" t="str">
        <f t="shared" si="151"/>
        <v>5460</v>
      </c>
      <c r="T1052" t="s">
        <v>3500</v>
      </c>
      <c r="U1052" t="s">
        <v>36</v>
      </c>
    </row>
    <row r="1053" spans="1:21" ht="15" customHeight="1" x14ac:dyDescent="0.3">
      <c r="A1053" t="s">
        <v>179</v>
      </c>
      <c r="B1053" t="str">
        <f>"00051746"</f>
        <v>00051746</v>
      </c>
      <c r="C1053" t="s">
        <v>4262</v>
      </c>
      <c r="D1053" t="s">
        <v>1203</v>
      </c>
      <c r="E1053" t="str">
        <f>"00045739"</f>
        <v>00045739</v>
      </c>
      <c r="F1053">
        <v>0</v>
      </c>
      <c r="G1053" s="243">
        <v>32804</v>
      </c>
      <c r="H1053" t="s">
        <v>182</v>
      </c>
      <c r="I1053">
        <v>15</v>
      </c>
      <c r="J1053">
        <v>13</v>
      </c>
      <c r="K1053">
        <v>1</v>
      </c>
      <c r="L1053">
        <v>81724</v>
      </c>
      <c r="M1053" t="str">
        <f t="shared" si="148"/>
        <v>13</v>
      </c>
      <c r="N1053" t="s">
        <v>3323</v>
      </c>
      <c r="O1053" t="str">
        <f t="shared" si="150"/>
        <v>54611</v>
      </c>
      <c r="P1053" t="str">
        <f t="shared" si="152"/>
        <v>2100L</v>
      </c>
      <c r="Q1053" t="str">
        <f t="shared" si="149"/>
        <v>0101</v>
      </c>
      <c r="R1053">
        <v>2100</v>
      </c>
      <c r="S1053" t="str">
        <f t="shared" si="151"/>
        <v>5460</v>
      </c>
      <c r="T1053" t="s">
        <v>3500</v>
      </c>
      <c r="U1053" t="s">
        <v>36</v>
      </c>
    </row>
    <row r="1054" spans="1:21" ht="15" customHeight="1" x14ac:dyDescent="0.3">
      <c r="A1054" t="s">
        <v>179</v>
      </c>
      <c r="B1054" t="str">
        <f>"00052027"</f>
        <v>00052027</v>
      </c>
      <c r="C1054" t="s">
        <v>4262</v>
      </c>
      <c r="D1054" t="s">
        <v>1204</v>
      </c>
      <c r="E1054" t="str">
        <f>"00047002"</f>
        <v>00047002</v>
      </c>
      <c r="F1054">
        <v>0</v>
      </c>
      <c r="G1054" s="243">
        <v>33484</v>
      </c>
      <c r="H1054" t="s">
        <v>182</v>
      </c>
      <c r="I1054">
        <v>15</v>
      </c>
      <c r="J1054">
        <v>13</v>
      </c>
      <c r="K1054">
        <v>1</v>
      </c>
      <c r="L1054">
        <v>81724</v>
      </c>
      <c r="M1054" t="str">
        <f t="shared" si="148"/>
        <v>13</v>
      </c>
      <c r="N1054" t="s">
        <v>3323</v>
      </c>
      <c r="O1054" t="str">
        <f t="shared" si="150"/>
        <v>54611</v>
      </c>
      <c r="P1054" t="str">
        <f t="shared" si="152"/>
        <v>2100L</v>
      </c>
      <c r="Q1054" t="str">
        <f t="shared" si="149"/>
        <v>0101</v>
      </c>
      <c r="R1054">
        <v>2100</v>
      </c>
      <c r="S1054" t="str">
        <f t="shared" si="151"/>
        <v>5460</v>
      </c>
      <c r="T1054" t="s">
        <v>3500</v>
      </c>
      <c r="U1054" t="s">
        <v>36</v>
      </c>
    </row>
    <row r="1055" spans="1:21" ht="15" customHeight="1" x14ac:dyDescent="0.3">
      <c r="A1055" t="s">
        <v>179</v>
      </c>
      <c r="B1055" t="str">
        <f>"00052063"</f>
        <v>00052063</v>
      </c>
      <c r="C1055" t="s">
        <v>4262</v>
      </c>
      <c r="D1055" t="s">
        <v>1205</v>
      </c>
      <c r="E1055" t="str">
        <f>"00047171"</f>
        <v>00047171</v>
      </c>
      <c r="F1055">
        <v>0</v>
      </c>
      <c r="G1055" s="243">
        <v>34213</v>
      </c>
      <c r="H1055" t="s">
        <v>182</v>
      </c>
      <c r="I1055">
        <v>15</v>
      </c>
      <c r="J1055">
        <v>15</v>
      </c>
      <c r="K1055">
        <v>1</v>
      </c>
      <c r="L1055">
        <v>100792</v>
      </c>
      <c r="M1055" t="str">
        <f t="shared" si="148"/>
        <v>13</v>
      </c>
      <c r="N1055" t="s">
        <v>3323</v>
      </c>
      <c r="O1055" t="str">
        <f t="shared" si="150"/>
        <v>54611</v>
      </c>
      <c r="P1055" t="str">
        <f t="shared" si="152"/>
        <v>2100L</v>
      </c>
      <c r="Q1055" t="str">
        <f t="shared" si="149"/>
        <v>0101</v>
      </c>
      <c r="R1055">
        <v>2100</v>
      </c>
      <c r="S1055" t="str">
        <f t="shared" si="151"/>
        <v>5460</v>
      </c>
      <c r="T1055" t="s">
        <v>3500</v>
      </c>
      <c r="U1055" t="s">
        <v>36</v>
      </c>
    </row>
    <row r="1056" spans="1:21" ht="15" customHeight="1" x14ac:dyDescent="0.3">
      <c r="A1056" t="s">
        <v>179</v>
      </c>
      <c r="B1056" t="str">
        <f>"00052308"</f>
        <v>00052308</v>
      </c>
      <c r="C1056" t="s">
        <v>4262</v>
      </c>
      <c r="D1056" t="s">
        <v>1206</v>
      </c>
      <c r="E1056" t="str">
        <f>"00047972"</f>
        <v>00047972</v>
      </c>
      <c r="F1056">
        <v>0</v>
      </c>
      <c r="G1056" s="243">
        <v>34578</v>
      </c>
      <c r="H1056" t="s">
        <v>182</v>
      </c>
      <c r="I1056">
        <v>15</v>
      </c>
      <c r="J1056">
        <v>15</v>
      </c>
      <c r="K1056">
        <v>1</v>
      </c>
      <c r="L1056">
        <v>100792</v>
      </c>
      <c r="M1056" t="str">
        <f t="shared" si="148"/>
        <v>13</v>
      </c>
      <c r="N1056" t="s">
        <v>3323</v>
      </c>
      <c r="O1056" t="str">
        <f t="shared" si="150"/>
        <v>54611</v>
      </c>
      <c r="P1056" t="str">
        <f t="shared" si="152"/>
        <v>2100L</v>
      </c>
      <c r="Q1056" t="str">
        <f t="shared" si="149"/>
        <v>0101</v>
      </c>
      <c r="R1056">
        <v>2100</v>
      </c>
      <c r="S1056" t="str">
        <f t="shared" si="151"/>
        <v>5460</v>
      </c>
      <c r="T1056" t="s">
        <v>3500</v>
      </c>
      <c r="U1056" t="s">
        <v>36</v>
      </c>
    </row>
    <row r="1057" spans="1:21" ht="15" customHeight="1" x14ac:dyDescent="0.3">
      <c r="A1057" t="s">
        <v>179</v>
      </c>
      <c r="B1057" t="str">
        <f>"00052523"</f>
        <v>00052523</v>
      </c>
      <c r="C1057" t="s">
        <v>4262</v>
      </c>
      <c r="D1057" t="s">
        <v>1207</v>
      </c>
      <c r="E1057" t="str">
        <f>"00046021"</f>
        <v>00046021</v>
      </c>
      <c r="F1057">
        <v>0</v>
      </c>
      <c r="G1057" s="243">
        <v>39437</v>
      </c>
      <c r="H1057" t="s">
        <v>182</v>
      </c>
      <c r="I1057">
        <v>15</v>
      </c>
      <c r="J1057">
        <v>5</v>
      </c>
      <c r="K1057">
        <v>1</v>
      </c>
      <c r="L1057">
        <v>63611</v>
      </c>
      <c r="M1057" t="str">
        <f t="shared" si="148"/>
        <v>13</v>
      </c>
      <c r="N1057" t="s">
        <v>3323</v>
      </c>
      <c r="O1057" t="str">
        <f t="shared" si="150"/>
        <v>54611</v>
      </c>
      <c r="P1057" t="str">
        <f t="shared" si="152"/>
        <v>2100L</v>
      </c>
      <c r="Q1057" t="str">
        <f t="shared" si="149"/>
        <v>0101</v>
      </c>
      <c r="R1057">
        <v>2100</v>
      </c>
      <c r="S1057" t="str">
        <f t="shared" si="151"/>
        <v>5460</v>
      </c>
      <c r="T1057" t="s">
        <v>3500</v>
      </c>
      <c r="U1057" t="s">
        <v>36</v>
      </c>
    </row>
    <row r="1058" spans="1:21" ht="15" customHeight="1" x14ac:dyDescent="0.3">
      <c r="A1058" t="s">
        <v>179</v>
      </c>
      <c r="B1058" t="str">
        <f>"00052829"</f>
        <v>00052829</v>
      </c>
      <c r="C1058" t="s">
        <v>4262</v>
      </c>
      <c r="D1058" t="s">
        <v>1208</v>
      </c>
      <c r="E1058" t="str">
        <f>"00049609"</f>
        <v>00049609</v>
      </c>
      <c r="F1058">
        <v>0</v>
      </c>
      <c r="G1058" s="243">
        <v>33121</v>
      </c>
      <c r="H1058" t="s">
        <v>182</v>
      </c>
      <c r="I1058">
        <v>15</v>
      </c>
      <c r="J1058">
        <v>16</v>
      </c>
      <c r="K1058">
        <v>1</v>
      </c>
      <c r="L1058">
        <v>103347</v>
      </c>
      <c r="M1058" t="str">
        <f t="shared" si="148"/>
        <v>13</v>
      </c>
      <c r="N1058" t="s">
        <v>3323</v>
      </c>
      <c r="O1058" t="str">
        <f t="shared" si="150"/>
        <v>54611</v>
      </c>
      <c r="P1058" t="str">
        <f t="shared" si="152"/>
        <v>2100L</v>
      </c>
      <c r="Q1058" t="str">
        <f t="shared" si="149"/>
        <v>0101</v>
      </c>
      <c r="R1058">
        <v>2100</v>
      </c>
      <c r="S1058" t="str">
        <f t="shared" si="151"/>
        <v>5460</v>
      </c>
      <c r="T1058" t="s">
        <v>3500</v>
      </c>
      <c r="U1058" t="s">
        <v>36</v>
      </c>
    </row>
    <row r="1059" spans="1:21" ht="15" customHeight="1" x14ac:dyDescent="0.3">
      <c r="A1059" t="s">
        <v>179</v>
      </c>
      <c r="B1059" t="str">
        <f>"00053119"</f>
        <v>00053119</v>
      </c>
      <c r="C1059" t="s">
        <v>1565</v>
      </c>
      <c r="D1059" t="s">
        <v>3499</v>
      </c>
      <c r="E1059" t="str">
        <f>"00050979"</f>
        <v>00050979</v>
      </c>
      <c r="F1059">
        <v>0</v>
      </c>
      <c r="G1059" s="243">
        <v>41091</v>
      </c>
      <c r="H1059" t="s">
        <v>182</v>
      </c>
      <c r="I1059">
        <v>13</v>
      </c>
      <c r="J1059">
        <v>4</v>
      </c>
      <c r="K1059">
        <v>1</v>
      </c>
      <c r="L1059">
        <v>15615.6</v>
      </c>
      <c r="M1059" t="str">
        <f t="shared" si="148"/>
        <v>13</v>
      </c>
      <c r="N1059" t="s">
        <v>3323</v>
      </c>
      <c r="O1059" t="str">
        <f t="shared" si="150"/>
        <v>54611</v>
      </c>
      <c r="P1059" t="str">
        <f>"3030L"</f>
        <v>3030L</v>
      </c>
      <c r="Q1059" t="str">
        <f t="shared" si="149"/>
        <v>0101</v>
      </c>
      <c r="R1059">
        <v>3030</v>
      </c>
      <c r="S1059" t="str">
        <f t="shared" si="151"/>
        <v>5460</v>
      </c>
      <c r="T1059" t="s">
        <v>3500</v>
      </c>
      <c r="U1059" t="s">
        <v>36</v>
      </c>
    </row>
    <row r="1060" spans="1:21" ht="15" customHeight="1" x14ac:dyDescent="0.3">
      <c r="A1060" t="s">
        <v>179</v>
      </c>
      <c r="B1060" t="str">
        <f>"00053220"</f>
        <v>00053220</v>
      </c>
      <c r="C1060" t="s">
        <v>4260</v>
      </c>
      <c r="H1060" t="s">
        <v>170</v>
      </c>
      <c r="I1060">
        <v>15</v>
      </c>
      <c r="J1060">
        <v>1</v>
      </c>
      <c r="K1060">
        <v>1</v>
      </c>
      <c r="L1060">
        <v>56693</v>
      </c>
      <c r="M1060" t="str">
        <f t="shared" si="148"/>
        <v>13</v>
      </c>
      <c r="N1060" t="s">
        <v>3323</v>
      </c>
      <c r="O1060" t="str">
        <f t="shared" si="150"/>
        <v>54611</v>
      </c>
      <c r="P1060" t="str">
        <f>"3030L"</f>
        <v>3030L</v>
      </c>
      <c r="Q1060" t="str">
        <f t="shared" si="149"/>
        <v>0101</v>
      </c>
      <c r="R1060">
        <v>3030</v>
      </c>
      <c r="S1060" t="str">
        <f t="shared" si="151"/>
        <v>5460</v>
      </c>
      <c r="T1060" t="s">
        <v>3500</v>
      </c>
      <c r="U1060" t="s">
        <v>36</v>
      </c>
    </row>
    <row r="1061" spans="1:21" ht="15" customHeight="1" x14ac:dyDescent="0.3">
      <c r="A1061" t="s">
        <v>179</v>
      </c>
      <c r="B1061" t="str">
        <f>"00053362"</f>
        <v>00053362</v>
      </c>
      <c r="C1061" t="s">
        <v>4260</v>
      </c>
      <c r="D1061" t="s">
        <v>1209</v>
      </c>
      <c r="E1061" t="str">
        <f>"00051369"</f>
        <v>00051369</v>
      </c>
      <c r="F1061">
        <v>0</v>
      </c>
      <c r="G1061" s="243">
        <v>30753</v>
      </c>
      <c r="H1061" t="s">
        <v>182</v>
      </c>
      <c r="I1061">
        <v>15</v>
      </c>
      <c r="J1061">
        <v>16</v>
      </c>
      <c r="K1061">
        <v>1</v>
      </c>
      <c r="L1061">
        <v>106540</v>
      </c>
      <c r="M1061" t="str">
        <f t="shared" si="148"/>
        <v>13</v>
      </c>
      <c r="N1061" t="s">
        <v>3323</v>
      </c>
      <c r="O1061" t="str">
        <f t="shared" si="150"/>
        <v>54611</v>
      </c>
      <c r="P1061" t="str">
        <f>"3030L"</f>
        <v>3030L</v>
      </c>
      <c r="Q1061" t="str">
        <f t="shared" si="149"/>
        <v>0101</v>
      </c>
      <c r="R1061">
        <v>3030</v>
      </c>
      <c r="S1061" t="str">
        <f t="shared" si="151"/>
        <v>5460</v>
      </c>
      <c r="T1061" t="s">
        <v>3500</v>
      </c>
      <c r="U1061" t="s">
        <v>36</v>
      </c>
    </row>
    <row r="1062" spans="1:21" ht="15" customHeight="1" x14ac:dyDescent="0.3">
      <c r="A1062" t="s">
        <v>179</v>
      </c>
      <c r="B1062" t="str">
        <f>"00053585"</f>
        <v>00053585</v>
      </c>
      <c r="C1062" t="s">
        <v>4272</v>
      </c>
      <c r="D1062" t="s">
        <v>1210</v>
      </c>
      <c r="E1062" t="str">
        <f>"00051823"</f>
        <v>00051823</v>
      </c>
      <c r="F1062">
        <v>0</v>
      </c>
      <c r="G1062" s="243">
        <v>33484</v>
      </c>
      <c r="H1062" t="s">
        <v>182</v>
      </c>
      <c r="I1062">
        <v>15</v>
      </c>
      <c r="J1062">
        <v>16</v>
      </c>
      <c r="K1062">
        <v>1</v>
      </c>
      <c r="L1062">
        <v>100839</v>
      </c>
      <c r="M1062" t="str">
        <f t="shared" si="148"/>
        <v>13</v>
      </c>
      <c r="N1062" t="s">
        <v>3323</v>
      </c>
      <c r="O1062" t="str">
        <f t="shared" si="150"/>
        <v>54611</v>
      </c>
      <c r="P1062" t="str">
        <f>"2100L"</f>
        <v>2100L</v>
      </c>
      <c r="Q1062" t="str">
        <f t="shared" si="149"/>
        <v>0101</v>
      </c>
      <c r="R1062">
        <v>2100</v>
      </c>
      <c r="S1062" t="str">
        <f t="shared" si="151"/>
        <v>5460</v>
      </c>
      <c r="T1062" t="s">
        <v>3500</v>
      </c>
      <c r="U1062" t="s">
        <v>36</v>
      </c>
    </row>
    <row r="1063" spans="1:21" ht="15" customHeight="1" x14ac:dyDescent="0.3">
      <c r="A1063" t="s">
        <v>179</v>
      </c>
      <c r="B1063" t="str">
        <f>"00054312"</f>
        <v>00054312</v>
      </c>
      <c r="C1063" t="s">
        <v>4262</v>
      </c>
      <c r="D1063" t="s">
        <v>4634</v>
      </c>
      <c r="E1063" t="str">
        <f>"00069739"</f>
        <v>00069739</v>
      </c>
      <c r="F1063">
        <v>0</v>
      </c>
      <c r="G1063" s="243">
        <v>41133</v>
      </c>
      <c r="H1063" t="s">
        <v>182</v>
      </c>
      <c r="I1063">
        <v>15</v>
      </c>
      <c r="J1063">
        <v>5</v>
      </c>
      <c r="K1063">
        <v>1</v>
      </c>
      <c r="L1063">
        <v>63611</v>
      </c>
      <c r="M1063" t="str">
        <f t="shared" si="148"/>
        <v>13</v>
      </c>
      <c r="N1063" t="s">
        <v>3370</v>
      </c>
      <c r="O1063" t="str">
        <f t="shared" si="150"/>
        <v>54611</v>
      </c>
      <c r="P1063" t="str">
        <f>"2100L"</f>
        <v>2100L</v>
      </c>
      <c r="Q1063" t="str">
        <f t="shared" si="149"/>
        <v>0101</v>
      </c>
      <c r="R1063">
        <v>2100</v>
      </c>
      <c r="S1063" t="str">
        <f t="shared" si="151"/>
        <v>5460</v>
      </c>
      <c r="T1063" t="s">
        <v>3500</v>
      </c>
      <c r="U1063" t="s">
        <v>36</v>
      </c>
    </row>
    <row r="1064" spans="1:21" ht="15" customHeight="1" x14ac:dyDescent="0.3">
      <c r="A1064" t="s">
        <v>179</v>
      </c>
      <c r="B1064" t="str">
        <f>"00055154"</f>
        <v>00055154</v>
      </c>
      <c r="C1064" t="s">
        <v>4262</v>
      </c>
      <c r="D1064" t="s">
        <v>1213</v>
      </c>
      <c r="E1064" t="str">
        <f>"00045455"</f>
        <v>00045455</v>
      </c>
      <c r="F1064">
        <v>0</v>
      </c>
      <c r="G1064" s="243">
        <v>36390</v>
      </c>
      <c r="H1064" t="s">
        <v>182</v>
      </c>
      <c r="I1064">
        <v>15</v>
      </c>
      <c r="J1064">
        <v>12</v>
      </c>
      <c r="K1064">
        <v>1</v>
      </c>
      <c r="L1064">
        <v>87431</v>
      </c>
      <c r="M1064" t="str">
        <f t="shared" si="148"/>
        <v>13</v>
      </c>
      <c r="N1064" t="s">
        <v>3323</v>
      </c>
      <c r="O1064" t="str">
        <f t="shared" si="150"/>
        <v>54611</v>
      </c>
      <c r="P1064" t="str">
        <f>"2100L"</f>
        <v>2100L</v>
      </c>
      <c r="Q1064" t="str">
        <f t="shared" si="149"/>
        <v>0101</v>
      </c>
      <c r="R1064">
        <v>2100</v>
      </c>
      <c r="S1064" t="str">
        <f t="shared" si="151"/>
        <v>5460</v>
      </c>
      <c r="T1064" t="s">
        <v>3500</v>
      </c>
      <c r="U1064" t="s">
        <v>36</v>
      </c>
    </row>
    <row r="1065" spans="1:21" ht="15" customHeight="1" x14ac:dyDescent="0.3">
      <c r="A1065" t="s">
        <v>179</v>
      </c>
      <c r="B1065" t="str">
        <f>"00056794"</f>
        <v>00056794</v>
      </c>
      <c r="C1065" t="s">
        <v>4292</v>
      </c>
      <c r="H1065" t="s">
        <v>170</v>
      </c>
      <c r="I1065">
        <v>4</v>
      </c>
      <c r="J1065">
        <v>1</v>
      </c>
      <c r="K1065">
        <v>1</v>
      </c>
      <c r="L1065">
        <v>25662</v>
      </c>
      <c r="M1065" t="str">
        <f t="shared" si="148"/>
        <v>13</v>
      </c>
      <c r="N1065" t="s">
        <v>3323</v>
      </c>
      <c r="O1065" t="str">
        <f t="shared" si="150"/>
        <v>54611</v>
      </c>
      <c r="P1065" t="str">
        <f>"2100L"</f>
        <v>2100L</v>
      </c>
      <c r="Q1065" t="str">
        <f t="shared" si="149"/>
        <v>0101</v>
      </c>
      <c r="R1065">
        <v>2100</v>
      </c>
      <c r="S1065" t="str">
        <f t="shared" si="151"/>
        <v>5460</v>
      </c>
      <c r="T1065" t="s">
        <v>3500</v>
      </c>
      <c r="U1065" t="s">
        <v>36</v>
      </c>
    </row>
    <row r="1066" spans="1:21" ht="15" customHeight="1" x14ac:dyDescent="0.3">
      <c r="A1066" t="s">
        <v>179</v>
      </c>
      <c r="B1066" t="str">
        <f>"00057119"</f>
        <v>00057119</v>
      </c>
      <c r="C1066" t="s">
        <v>4256</v>
      </c>
      <c r="D1066" t="s">
        <v>1214</v>
      </c>
      <c r="E1066" t="str">
        <f>"00051711"</f>
        <v>00051711</v>
      </c>
      <c r="F1066">
        <v>0</v>
      </c>
      <c r="G1066" s="243">
        <v>36531</v>
      </c>
      <c r="H1066" t="s">
        <v>182</v>
      </c>
      <c r="I1066">
        <v>15</v>
      </c>
      <c r="J1066">
        <v>12</v>
      </c>
      <c r="K1066">
        <v>1</v>
      </c>
      <c r="L1066">
        <v>87431</v>
      </c>
      <c r="M1066" t="str">
        <f t="shared" si="148"/>
        <v>13</v>
      </c>
      <c r="N1066" t="s">
        <v>3323</v>
      </c>
      <c r="O1066" t="str">
        <f t="shared" si="150"/>
        <v>54611</v>
      </c>
      <c r="P1066" t="str">
        <f>"2100L"</f>
        <v>2100L</v>
      </c>
      <c r="Q1066" t="str">
        <f t="shared" si="149"/>
        <v>0101</v>
      </c>
      <c r="R1066">
        <v>2100</v>
      </c>
      <c r="S1066" t="str">
        <f t="shared" si="151"/>
        <v>5460</v>
      </c>
      <c r="T1066" t="s">
        <v>3500</v>
      </c>
      <c r="U1066" t="s">
        <v>36</v>
      </c>
    </row>
    <row r="1067" spans="1:21" ht="15" customHeight="1" x14ac:dyDescent="0.3">
      <c r="A1067" t="s">
        <v>179</v>
      </c>
      <c r="B1067" t="str">
        <f>"00057559"</f>
        <v>00057559</v>
      </c>
      <c r="C1067" t="s">
        <v>4260</v>
      </c>
      <c r="D1067" t="s">
        <v>199</v>
      </c>
      <c r="E1067" t="str">
        <f>"00051358"</f>
        <v>00051358</v>
      </c>
      <c r="F1067">
        <v>0</v>
      </c>
      <c r="G1067" s="243">
        <v>40041</v>
      </c>
      <c r="H1067" t="s">
        <v>182</v>
      </c>
      <c r="I1067">
        <v>15</v>
      </c>
      <c r="J1067">
        <v>12</v>
      </c>
      <c r="K1067">
        <v>1</v>
      </c>
      <c r="L1067">
        <v>89887</v>
      </c>
      <c r="M1067" t="str">
        <f t="shared" si="148"/>
        <v>13</v>
      </c>
      <c r="N1067" t="s">
        <v>3323</v>
      </c>
      <c r="O1067" t="str">
        <f t="shared" si="150"/>
        <v>54611</v>
      </c>
      <c r="P1067" t="str">
        <f>"3030L"</f>
        <v>3030L</v>
      </c>
      <c r="Q1067" t="str">
        <f t="shared" si="149"/>
        <v>0101</v>
      </c>
      <c r="R1067">
        <v>3030</v>
      </c>
      <c r="S1067" t="str">
        <f t="shared" si="151"/>
        <v>5460</v>
      </c>
      <c r="T1067" t="s">
        <v>3500</v>
      </c>
      <c r="U1067" t="s">
        <v>36</v>
      </c>
    </row>
    <row r="1068" spans="1:21" ht="15" customHeight="1" x14ac:dyDescent="0.3">
      <c r="A1068" t="s">
        <v>179</v>
      </c>
      <c r="B1068" t="str">
        <f>"00059538"</f>
        <v>00059538</v>
      </c>
      <c r="C1068" t="s">
        <v>4264</v>
      </c>
      <c r="H1068" t="s">
        <v>170</v>
      </c>
      <c r="I1068">
        <v>15</v>
      </c>
      <c r="J1068">
        <v>1</v>
      </c>
      <c r="K1068">
        <v>1</v>
      </c>
      <c r="L1068">
        <v>56693</v>
      </c>
      <c r="M1068" t="str">
        <f t="shared" si="148"/>
        <v>13</v>
      </c>
      <c r="N1068" t="s">
        <v>3323</v>
      </c>
      <c r="O1068" t="str">
        <f t="shared" si="150"/>
        <v>54611</v>
      </c>
      <c r="P1068" t="str">
        <f>"3030L"</f>
        <v>3030L</v>
      </c>
      <c r="Q1068" t="str">
        <f t="shared" si="149"/>
        <v>0101</v>
      </c>
      <c r="R1068">
        <v>3030</v>
      </c>
      <c r="S1068" t="str">
        <f t="shared" si="151"/>
        <v>5460</v>
      </c>
      <c r="T1068" t="s">
        <v>3500</v>
      </c>
      <c r="U1068" t="s">
        <v>36</v>
      </c>
    </row>
    <row r="1069" spans="1:21" ht="15" customHeight="1" x14ac:dyDescent="0.3">
      <c r="A1069" t="s">
        <v>179</v>
      </c>
      <c r="B1069" t="str">
        <f>"00059921"</f>
        <v>00059921</v>
      </c>
      <c r="C1069" t="s">
        <v>4272</v>
      </c>
      <c r="D1069" t="s">
        <v>1216</v>
      </c>
      <c r="E1069" t="str">
        <f>"00044611"</f>
        <v>00044611</v>
      </c>
      <c r="F1069">
        <v>0</v>
      </c>
      <c r="G1069" s="243">
        <v>38231</v>
      </c>
      <c r="H1069" t="s">
        <v>182</v>
      </c>
      <c r="I1069">
        <v>15</v>
      </c>
      <c r="J1069">
        <v>10</v>
      </c>
      <c r="K1069">
        <v>1</v>
      </c>
      <c r="L1069">
        <v>78273</v>
      </c>
      <c r="M1069" t="str">
        <f t="shared" si="148"/>
        <v>13</v>
      </c>
      <c r="N1069" t="s">
        <v>3323</v>
      </c>
      <c r="O1069" t="str">
        <f t="shared" si="150"/>
        <v>54611</v>
      </c>
      <c r="P1069" t="str">
        <f>"2100L"</f>
        <v>2100L</v>
      </c>
      <c r="Q1069" t="str">
        <f t="shared" si="149"/>
        <v>0101</v>
      </c>
      <c r="R1069">
        <v>2100</v>
      </c>
      <c r="S1069" t="str">
        <f t="shared" si="151"/>
        <v>5460</v>
      </c>
      <c r="T1069" t="s">
        <v>3500</v>
      </c>
      <c r="U1069" t="s">
        <v>36</v>
      </c>
    </row>
    <row r="1070" spans="1:21" ht="15" customHeight="1" x14ac:dyDescent="0.3">
      <c r="A1070" t="s">
        <v>179</v>
      </c>
      <c r="B1070" t="str">
        <f>"00060570"</f>
        <v>00060570</v>
      </c>
      <c r="C1070" t="s">
        <v>4272</v>
      </c>
      <c r="D1070" t="s">
        <v>3502</v>
      </c>
      <c r="E1070" t="str">
        <f>"00065964"</f>
        <v>00065964</v>
      </c>
      <c r="F1070">
        <v>0</v>
      </c>
      <c r="G1070" s="243">
        <v>40755</v>
      </c>
      <c r="H1070" t="s">
        <v>182</v>
      </c>
      <c r="I1070">
        <v>15</v>
      </c>
      <c r="J1070">
        <v>2</v>
      </c>
      <c r="K1070">
        <v>1</v>
      </c>
      <c r="L1070">
        <v>51716</v>
      </c>
      <c r="M1070" t="str">
        <f t="shared" si="148"/>
        <v>13</v>
      </c>
      <c r="N1070" t="s">
        <v>3323</v>
      </c>
      <c r="O1070" t="str">
        <f t="shared" si="150"/>
        <v>54611</v>
      </c>
      <c r="P1070" t="str">
        <f>"2200L"</f>
        <v>2200L</v>
      </c>
      <c r="Q1070" t="str">
        <f t="shared" si="149"/>
        <v>0101</v>
      </c>
      <c r="R1070">
        <v>2200</v>
      </c>
      <c r="S1070" t="str">
        <f t="shared" si="151"/>
        <v>5460</v>
      </c>
      <c r="T1070" t="s">
        <v>3500</v>
      </c>
      <c r="U1070" t="s">
        <v>36</v>
      </c>
    </row>
    <row r="1071" spans="1:21" ht="15" customHeight="1" x14ac:dyDescent="0.3">
      <c r="A1071" t="s">
        <v>179</v>
      </c>
      <c r="B1071" t="str">
        <f>"00061879"</f>
        <v>00061879</v>
      </c>
      <c r="C1071" t="s">
        <v>4271</v>
      </c>
      <c r="H1071" t="s">
        <v>170</v>
      </c>
      <c r="I1071">
        <v>15</v>
      </c>
      <c r="J1071">
        <v>1</v>
      </c>
      <c r="K1071">
        <v>1</v>
      </c>
      <c r="L1071">
        <v>60128</v>
      </c>
      <c r="M1071" t="str">
        <f t="shared" si="148"/>
        <v>13</v>
      </c>
      <c r="N1071" t="s">
        <v>3323</v>
      </c>
      <c r="O1071" t="str">
        <f t="shared" si="150"/>
        <v>54611</v>
      </c>
      <c r="P1071" t="str">
        <f>"3030L"</f>
        <v>3030L</v>
      </c>
      <c r="Q1071" t="str">
        <f t="shared" si="149"/>
        <v>0101</v>
      </c>
      <c r="R1071">
        <v>3030</v>
      </c>
      <c r="S1071" t="str">
        <f t="shared" si="151"/>
        <v>5460</v>
      </c>
      <c r="T1071" t="s">
        <v>3500</v>
      </c>
      <c r="U1071" t="s">
        <v>36</v>
      </c>
    </row>
    <row r="1072" spans="1:21" ht="15" customHeight="1" x14ac:dyDescent="0.3">
      <c r="A1072" t="s">
        <v>179</v>
      </c>
      <c r="B1072" t="str">
        <f>"00062235"</f>
        <v>00062235</v>
      </c>
      <c r="C1072" t="s">
        <v>4254</v>
      </c>
      <c r="D1072" t="s">
        <v>2394</v>
      </c>
      <c r="E1072" t="str">
        <f>"00057664"</f>
        <v>00057664</v>
      </c>
      <c r="F1072">
        <v>0</v>
      </c>
      <c r="G1072" s="243">
        <v>40049</v>
      </c>
      <c r="H1072" t="s">
        <v>182</v>
      </c>
      <c r="I1072">
        <v>15</v>
      </c>
      <c r="J1072">
        <v>7</v>
      </c>
      <c r="K1072">
        <v>1</v>
      </c>
      <c r="L1072">
        <v>69132</v>
      </c>
      <c r="M1072" t="str">
        <f t="shared" si="148"/>
        <v>13</v>
      </c>
      <c r="N1072" t="s">
        <v>3323</v>
      </c>
      <c r="O1072" t="str">
        <f t="shared" si="150"/>
        <v>54611</v>
      </c>
      <c r="P1072" t="str">
        <f>"2100L"</f>
        <v>2100L</v>
      </c>
      <c r="Q1072" t="str">
        <f t="shared" si="149"/>
        <v>0101</v>
      </c>
      <c r="R1072">
        <v>2100</v>
      </c>
      <c r="S1072" t="str">
        <f t="shared" si="151"/>
        <v>5460</v>
      </c>
      <c r="T1072" t="s">
        <v>3500</v>
      </c>
      <c r="U1072" t="s">
        <v>36</v>
      </c>
    </row>
    <row r="1073" spans="1:21" ht="15" customHeight="1" x14ac:dyDescent="0.3">
      <c r="A1073" t="s">
        <v>179</v>
      </c>
      <c r="B1073" t="str">
        <f>"00066297"</f>
        <v>00066297</v>
      </c>
      <c r="C1073" t="s">
        <v>4259</v>
      </c>
      <c r="H1073" t="s">
        <v>170</v>
      </c>
      <c r="I1073">
        <v>15</v>
      </c>
      <c r="J1073">
        <v>0</v>
      </c>
      <c r="K1073">
        <v>1</v>
      </c>
      <c r="L1073">
        <v>56693</v>
      </c>
      <c r="M1073" t="str">
        <f t="shared" si="148"/>
        <v>13</v>
      </c>
      <c r="N1073" t="s">
        <v>3323</v>
      </c>
      <c r="O1073" t="str">
        <f t="shared" si="150"/>
        <v>54611</v>
      </c>
      <c r="P1073" t="str">
        <f>"2100L"</f>
        <v>2100L</v>
      </c>
      <c r="Q1073" t="str">
        <f t="shared" si="149"/>
        <v>0101</v>
      </c>
      <c r="R1073">
        <v>2100</v>
      </c>
      <c r="S1073" t="str">
        <f t="shared" si="151"/>
        <v>5460</v>
      </c>
      <c r="T1073" t="s">
        <v>3500</v>
      </c>
      <c r="U1073" t="s">
        <v>36</v>
      </c>
    </row>
    <row r="1074" spans="1:21" ht="15" customHeight="1" x14ac:dyDescent="0.3">
      <c r="A1074" t="s">
        <v>179</v>
      </c>
      <c r="B1074" t="str">
        <f>"00066435"</f>
        <v>00066435</v>
      </c>
      <c r="C1074" t="s">
        <v>4262</v>
      </c>
      <c r="D1074" t="s">
        <v>1218</v>
      </c>
      <c r="E1074" t="str">
        <f>"00057342"</f>
        <v>00057342</v>
      </c>
      <c r="F1074">
        <v>0</v>
      </c>
      <c r="G1074" s="243">
        <v>40042</v>
      </c>
      <c r="H1074" t="s">
        <v>182</v>
      </c>
      <c r="I1074">
        <v>15</v>
      </c>
      <c r="J1074">
        <v>12</v>
      </c>
      <c r="K1074">
        <v>1</v>
      </c>
      <c r="L1074">
        <v>87431</v>
      </c>
      <c r="M1074" t="str">
        <f t="shared" si="148"/>
        <v>13</v>
      </c>
      <c r="N1074" t="s">
        <v>3323</v>
      </c>
      <c r="O1074" t="str">
        <f t="shared" si="150"/>
        <v>54611</v>
      </c>
      <c r="P1074" t="str">
        <f>"2100L"</f>
        <v>2100L</v>
      </c>
      <c r="Q1074" t="str">
        <f t="shared" si="149"/>
        <v>0101</v>
      </c>
      <c r="R1074">
        <v>2100</v>
      </c>
      <c r="S1074" t="str">
        <f t="shared" si="151"/>
        <v>5460</v>
      </c>
      <c r="T1074" t="s">
        <v>3500</v>
      </c>
      <c r="U1074" t="s">
        <v>36</v>
      </c>
    </row>
    <row r="1075" spans="1:21" ht="15" customHeight="1" x14ac:dyDescent="0.3">
      <c r="A1075" t="s">
        <v>179</v>
      </c>
      <c r="B1075" t="str">
        <f>"00066630"</f>
        <v>00066630</v>
      </c>
      <c r="C1075" t="s">
        <v>4274</v>
      </c>
      <c r="D1075" t="s">
        <v>4635</v>
      </c>
      <c r="E1075" t="str">
        <f>"00051102"</f>
        <v>00051102</v>
      </c>
      <c r="F1075">
        <v>0</v>
      </c>
      <c r="G1075" s="243">
        <v>40042</v>
      </c>
      <c r="H1075" t="s">
        <v>182</v>
      </c>
      <c r="I1075">
        <v>4</v>
      </c>
      <c r="J1075">
        <v>9</v>
      </c>
      <c r="K1075">
        <v>1</v>
      </c>
      <c r="L1075">
        <v>28025.38</v>
      </c>
      <c r="M1075" t="str">
        <f t="shared" si="148"/>
        <v>13</v>
      </c>
      <c r="N1075" t="s">
        <v>3323</v>
      </c>
      <c r="O1075" t="str">
        <f t="shared" si="150"/>
        <v>54611</v>
      </c>
      <c r="P1075" t="str">
        <f>"2200L"</f>
        <v>2200L</v>
      </c>
      <c r="Q1075" t="str">
        <f t="shared" si="149"/>
        <v>0101</v>
      </c>
      <c r="R1075">
        <v>2200</v>
      </c>
      <c r="S1075" t="str">
        <f t="shared" si="151"/>
        <v>5460</v>
      </c>
      <c r="T1075" t="s">
        <v>3500</v>
      </c>
      <c r="U1075" t="s">
        <v>36</v>
      </c>
    </row>
    <row r="1076" spans="1:21" ht="15" customHeight="1" x14ac:dyDescent="0.3">
      <c r="A1076" t="s">
        <v>179</v>
      </c>
      <c r="B1076" t="str">
        <f>"00067519"</f>
        <v>00067519</v>
      </c>
      <c r="C1076" t="s">
        <v>4274</v>
      </c>
      <c r="H1076" t="s">
        <v>170</v>
      </c>
      <c r="I1076">
        <v>4</v>
      </c>
      <c r="J1076">
        <v>1</v>
      </c>
      <c r="K1076">
        <v>1</v>
      </c>
      <c r="L1076">
        <v>25662</v>
      </c>
      <c r="M1076" t="str">
        <f t="shared" si="148"/>
        <v>13</v>
      </c>
      <c r="N1076" t="s">
        <v>3323</v>
      </c>
      <c r="O1076" t="str">
        <f t="shared" ref="O1076:O1092" si="153">"54611"</f>
        <v>54611</v>
      </c>
      <c r="P1076" t="str">
        <f>"2200L"</f>
        <v>2200L</v>
      </c>
      <c r="Q1076" t="str">
        <f t="shared" si="149"/>
        <v>0101</v>
      </c>
      <c r="R1076">
        <v>2200</v>
      </c>
      <c r="S1076" t="str">
        <f t="shared" ref="S1076:S1092" si="154">"5460"</f>
        <v>5460</v>
      </c>
      <c r="T1076" t="s">
        <v>3500</v>
      </c>
      <c r="U1076" t="s">
        <v>36</v>
      </c>
    </row>
    <row r="1077" spans="1:21" ht="15" customHeight="1" x14ac:dyDescent="0.3">
      <c r="A1077" t="s">
        <v>179</v>
      </c>
      <c r="B1077" t="str">
        <f>"00070247"</f>
        <v>00070247</v>
      </c>
      <c r="C1077" t="s">
        <v>4257</v>
      </c>
      <c r="D1077" t="s">
        <v>1219</v>
      </c>
      <c r="E1077" t="str">
        <f>"00046212"</f>
        <v>00046212</v>
      </c>
      <c r="F1077">
        <v>0</v>
      </c>
      <c r="G1077" s="243">
        <v>40100</v>
      </c>
      <c r="H1077" t="s">
        <v>182</v>
      </c>
      <c r="I1077">
        <v>15</v>
      </c>
      <c r="J1077">
        <v>12</v>
      </c>
      <c r="K1077">
        <v>1</v>
      </c>
      <c r="L1077">
        <v>87431</v>
      </c>
      <c r="M1077" t="str">
        <f t="shared" si="148"/>
        <v>13</v>
      </c>
      <c r="N1077" t="s">
        <v>3323</v>
      </c>
      <c r="O1077" t="str">
        <f t="shared" si="153"/>
        <v>54611</v>
      </c>
      <c r="P1077" t="str">
        <f>"2100L"</f>
        <v>2100L</v>
      </c>
      <c r="Q1077" t="str">
        <f t="shared" si="149"/>
        <v>0101</v>
      </c>
      <c r="R1077">
        <v>2100</v>
      </c>
      <c r="S1077" t="str">
        <f t="shared" si="154"/>
        <v>5460</v>
      </c>
      <c r="T1077" t="s">
        <v>3500</v>
      </c>
      <c r="U1077" t="s">
        <v>36</v>
      </c>
    </row>
    <row r="1078" spans="1:21" ht="15" customHeight="1" x14ac:dyDescent="0.3">
      <c r="A1078" t="s">
        <v>179</v>
      </c>
      <c r="B1078" t="str">
        <f>"00070254"</f>
        <v>00070254</v>
      </c>
      <c r="C1078" t="s">
        <v>4274</v>
      </c>
      <c r="D1078" t="s">
        <v>4636</v>
      </c>
      <c r="E1078" t="str">
        <f>"00059128"</f>
        <v>00059128</v>
      </c>
      <c r="F1078">
        <v>0</v>
      </c>
      <c r="G1078" s="243">
        <v>40105</v>
      </c>
      <c r="H1078" t="s">
        <v>182</v>
      </c>
      <c r="I1078">
        <v>4</v>
      </c>
      <c r="J1078">
        <v>5</v>
      </c>
      <c r="K1078">
        <v>1</v>
      </c>
      <c r="L1078">
        <v>25239.37</v>
      </c>
      <c r="M1078" t="str">
        <f t="shared" si="148"/>
        <v>13</v>
      </c>
      <c r="N1078" t="s">
        <v>3323</v>
      </c>
      <c r="O1078" t="str">
        <f t="shared" si="153"/>
        <v>54611</v>
      </c>
      <c r="P1078" t="str">
        <f>"2200L"</f>
        <v>2200L</v>
      </c>
      <c r="Q1078" t="str">
        <f t="shared" si="149"/>
        <v>0101</v>
      </c>
      <c r="R1078">
        <v>2200</v>
      </c>
      <c r="S1078" t="str">
        <f t="shared" si="154"/>
        <v>5460</v>
      </c>
      <c r="T1078" t="s">
        <v>3500</v>
      </c>
      <c r="U1078" t="s">
        <v>36</v>
      </c>
    </row>
    <row r="1079" spans="1:21" ht="15" customHeight="1" x14ac:dyDescent="0.3">
      <c r="A1079" t="s">
        <v>179</v>
      </c>
      <c r="B1079" t="str">
        <f>"00070800"</f>
        <v>00070800</v>
      </c>
      <c r="C1079" t="s">
        <v>4292</v>
      </c>
      <c r="D1079" t="s">
        <v>4637</v>
      </c>
      <c r="E1079" t="str">
        <f>"00067148"</f>
        <v>00067148</v>
      </c>
      <c r="F1079">
        <v>0</v>
      </c>
      <c r="G1079" s="243">
        <v>40840</v>
      </c>
      <c r="H1079" t="s">
        <v>182</v>
      </c>
      <c r="I1079">
        <v>4</v>
      </c>
      <c r="J1079">
        <v>4</v>
      </c>
      <c r="K1079">
        <v>0.71</v>
      </c>
      <c r="L1079">
        <v>21037.5</v>
      </c>
      <c r="M1079" t="str">
        <f t="shared" si="148"/>
        <v>13</v>
      </c>
      <c r="N1079" t="s">
        <v>3323</v>
      </c>
      <c r="O1079" t="str">
        <f t="shared" si="153"/>
        <v>54611</v>
      </c>
      <c r="P1079" t="str">
        <f t="shared" ref="P1079:P1085" si="155">"2100L"</f>
        <v>2100L</v>
      </c>
      <c r="Q1079" t="str">
        <f t="shared" si="149"/>
        <v>0101</v>
      </c>
      <c r="R1079">
        <v>2100</v>
      </c>
      <c r="S1079" t="str">
        <f t="shared" si="154"/>
        <v>5460</v>
      </c>
      <c r="T1079" t="s">
        <v>3500</v>
      </c>
      <c r="U1079" t="s">
        <v>36</v>
      </c>
    </row>
    <row r="1080" spans="1:21" ht="15" customHeight="1" x14ac:dyDescent="0.3">
      <c r="A1080" t="s">
        <v>179</v>
      </c>
      <c r="B1080" t="str">
        <f>"00070801"</f>
        <v>00070801</v>
      </c>
      <c r="C1080" t="s">
        <v>4288</v>
      </c>
      <c r="D1080" t="s">
        <v>4638</v>
      </c>
      <c r="E1080" t="str">
        <f>"00054247"</f>
        <v>00054247</v>
      </c>
      <c r="F1080">
        <v>0</v>
      </c>
      <c r="G1080" s="243">
        <v>32364</v>
      </c>
      <c r="H1080" t="s">
        <v>182</v>
      </c>
      <c r="I1080">
        <v>4</v>
      </c>
      <c r="J1080">
        <v>10</v>
      </c>
      <c r="K1080">
        <v>0.71</v>
      </c>
      <c r="L1080">
        <v>24618</v>
      </c>
      <c r="M1080" t="str">
        <f t="shared" si="148"/>
        <v>13</v>
      </c>
      <c r="N1080" t="s">
        <v>3323</v>
      </c>
      <c r="O1080" t="str">
        <f t="shared" si="153"/>
        <v>54611</v>
      </c>
      <c r="P1080" t="str">
        <f t="shared" si="155"/>
        <v>2100L</v>
      </c>
      <c r="Q1080" t="str">
        <f t="shared" si="149"/>
        <v>0101</v>
      </c>
      <c r="R1080">
        <v>2100</v>
      </c>
      <c r="S1080" t="str">
        <f t="shared" si="154"/>
        <v>5460</v>
      </c>
      <c r="T1080" t="s">
        <v>3500</v>
      </c>
      <c r="U1080" t="s">
        <v>36</v>
      </c>
    </row>
    <row r="1081" spans="1:21" ht="15" customHeight="1" x14ac:dyDescent="0.3">
      <c r="A1081" t="s">
        <v>179</v>
      </c>
      <c r="B1081" t="str">
        <f>"00070833"</f>
        <v>00070833</v>
      </c>
      <c r="C1081" t="s">
        <v>4262</v>
      </c>
      <c r="D1081" t="s">
        <v>1220</v>
      </c>
      <c r="E1081" t="str">
        <f>"00048635"</f>
        <v>00048635</v>
      </c>
      <c r="F1081">
        <v>0</v>
      </c>
      <c r="G1081" s="243">
        <v>40182</v>
      </c>
      <c r="H1081" t="s">
        <v>182</v>
      </c>
      <c r="I1081">
        <v>15</v>
      </c>
      <c r="J1081">
        <v>12</v>
      </c>
      <c r="K1081">
        <v>1</v>
      </c>
      <c r="L1081">
        <v>87431</v>
      </c>
      <c r="M1081" t="str">
        <f t="shared" si="148"/>
        <v>13</v>
      </c>
      <c r="N1081" t="s">
        <v>3323</v>
      </c>
      <c r="O1081" t="str">
        <f t="shared" si="153"/>
        <v>54611</v>
      </c>
      <c r="P1081" t="str">
        <f t="shared" si="155"/>
        <v>2100L</v>
      </c>
      <c r="Q1081" t="str">
        <f t="shared" si="149"/>
        <v>0101</v>
      </c>
      <c r="R1081">
        <v>2100</v>
      </c>
      <c r="S1081" t="str">
        <f t="shared" si="154"/>
        <v>5460</v>
      </c>
      <c r="T1081" t="s">
        <v>3500</v>
      </c>
      <c r="U1081" t="s">
        <v>36</v>
      </c>
    </row>
    <row r="1082" spans="1:21" ht="15" customHeight="1" x14ac:dyDescent="0.3">
      <c r="A1082" t="s">
        <v>179</v>
      </c>
      <c r="B1082" t="str">
        <f>"00072323"</f>
        <v>00072323</v>
      </c>
      <c r="C1082" t="s">
        <v>4272</v>
      </c>
      <c r="D1082" t="s">
        <v>1221</v>
      </c>
      <c r="E1082" t="str">
        <f>"00052173"</f>
        <v>00052173</v>
      </c>
      <c r="F1082">
        <v>0</v>
      </c>
      <c r="G1082" s="243">
        <v>40070</v>
      </c>
      <c r="H1082" t="s">
        <v>182</v>
      </c>
      <c r="I1082">
        <v>15</v>
      </c>
      <c r="J1082">
        <v>8</v>
      </c>
      <c r="K1082">
        <v>1</v>
      </c>
      <c r="L1082">
        <v>72171</v>
      </c>
      <c r="M1082" t="str">
        <f t="shared" si="148"/>
        <v>13</v>
      </c>
      <c r="N1082" t="s">
        <v>3323</v>
      </c>
      <c r="O1082" t="str">
        <f t="shared" si="153"/>
        <v>54611</v>
      </c>
      <c r="P1082" t="str">
        <f t="shared" si="155"/>
        <v>2100L</v>
      </c>
      <c r="Q1082" t="str">
        <f t="shared" si="149"/>
        <v>0101</v>
      </c>
      <c r="R1082">
        <v>2100</v>
      </c>
      <c r="S1082" t="str">
        <f t="shared" si="154"/>
        <v>5460</v>
      </c>
      <c r="T1082" t="s">
        <v>3500</v>
      </c>
      <c r="U1082" t="s">
        <v>36</v>
      </c>
    </row>
    <row r="1083" spans="1:21" ht="15" customHeight="1" x14ac:dyDescent="0.3">
      <c r="A1083" t="s">
        <v>179</v>
      </c>
      <c r="B1083" t="str">
        <f>"00072560"</f>
        <v>00072560</v>
      </c>
      <c r="C1083" t="s">
        <v>4614</v>
      </c>
      <c r="D1083" t="s">
        <v>1222</v>
      </c>
      <c r="E1083" t="str">
        <f>"00057851"</f>
        <v>00057851</v>
      </c>
      <c r="F1083">
        <v>0</v>
      </c>
      <c r="G1083" s="243">
        <v>40056</v>
      </c>
      <c r="H1083" t="s">
        <v>182</v>
      </c>
      <c r="I1083">
        <v>7</v>
      </c>
      <c r="J1083">
        <v>4</v>
      </c>
      <c r="K1083">
        <v>1</v>
      </c>
      <c r="L1083">
        <v>38191</v>
      </c>
      <c r="M1083" t="str">
        <f t="shared" si="148"/>
        <v>13</v>
      </c>
      <c r="N1083" t="s">
        <v>3323</v>
      </c>
      <c r="O1083" t="str">
        <f t="shared" si="153"/>
        <v>54611</v>
      </c>
      <c r="P1083" t="str">
        <f t="shared" si="155"/>
        <v>2100L</v>
      </c>
      <c r="Q1083" t="str">
        <f t="shared" si="149"/>
        <v>0101</v>
      </c>
      <c r="R1083">
        <v>2100</v>
      </c>
      <c r="S1083" t="str">
        <f t="shared" si="154"/>
        <v>5460</v>
      </c>
      <c r="T1083" t="s">
        <v>3500</v>
      </c>
      <c r="U1083" t="s">
        <v>36</v>
      </c>
    </row>
    <row r="1084" spans="1:21" ht="15" customHeight="1" x14ac:dyDescent="0.3">
      <c r="A1084" t="s">
        <v>179</v>
      </c>
      <c r="B1084" t="str">
        <f>"00072604"</f>
        <v>00072604</v>
      </c>
      <c r="C1084" t="s">
        <v>4290</v>
      </c>
      <c r="D1084" t="s">
        <v>4639</v>
      </c>
      <c r="E1084" t="str">
        <f>"00046429"</f>
        <v>00046429</v>
      </c>
      <c r="F1084">
        <v>0</v>
      </c>
      <c r="G1084" s="243">
        <v>32202</v>
      </c>
      <c r="H1084" t="s">
        <v>182</v>
      </c>
      <c r="I1084">
        <v>4</v>
      </c>
      <c r="J1084">
        <v>10</v>
      </c>
      <c r="K1084">
        <v>0.71</v>
      </c>
      <c r="L1084">
        <v>28721</v>
      </c>
      <c r="M1084" t="str">
        <f t="shared" si="148"/>
        <v>13</v>
      </c>
      <c r="N1084" t="s">
        <v>3323</v>
      </c>
      <c r="O1084" t="str">
        <f t="shared" si="153"/>
        <v>54611</v>
      </c>
      <c r="P1084" t="str">
        <f t="shared" si="155"/>
        <v>2100L</v>
      </c>
      <c r="Q1084" t="str">
        <f t="shared" si="149"/>
        <v>0101</v>
      </c>
      <c r="R1084">
        <v>2100</v>
      </c>
      <c r="S1084" t="str">
        <f t="shared" si="154"/>
        <v>5460</v>
      </c>
      <c r="T1084" t="s">
        <v>3500</v>
      </c>
      <c r="U1084" t="s">
        <v>36</v>
      </c>
    </row>
    <row r="1085" spans="1:21" ht="15" customHeight="1" x14ac:dyDescent="0.3">
      <c r="A1085" t="s">
        <v>179</v>
      </c>
      <c r="B1085" t="str">
        <f>"00073765"</f>
        <v>00073765</v>
      </c>
      <c r="C1085" t="s">
        <v>200</v>
      </c>
      <c r="H1085" t="s">
        <v>170</v>
      </c>
      <c r="I1085">
        <v>15</v>
      </c>
      <c r="J1085">
        <v>1</v>
      </c>
      <c r="K1085">
        <v>1</v>
      </c>
      <c r="L1085">
        <v>54975</v>
      </c>
      <c r="M1085" t="str">
        <f t="shared" si="148"/>
        <v>13</v>
      </c>
      <c r="N1085" t="s">
        <v>3323</v>
      </c>
      <c r="O1085" t="str">
        <f t="shared" si="153"/>
        <v>54611</v>
      </c>
      <c r="P1085" t="str">
        <f t="shared" si="155"/>
        <v>2100L</v>
      </c>
      <c r="Q1085" t="str">
        <f t="shared" si="149"/>
        <v>0101</v>
      </c>
      <c r="R1085">
        <v>2100</v>
      </c>
      <c r="S1085" t="str">
        <f t="shared" si="154"/>
        <v>5460</v>
      </c>
      <c r="T1085" t="s">
        <v>3500</v>
      </c>
      <c r="U1085" t="s">
        <v>36</v>
      </c>
    </row>
    <row r="1086" spans="1:21" ht="15" customHeight="1" x14ac:dyDescent="0.3">
      <c r="A1086" t="s">
        <v>179</v>
      </c>
      <c r="B1086" t="str">
        <f>"00076076"</f>
        <v>00076076</v>
      </c>
      <c r="C1086" t="s">
        <v>4640</v>
      </c>
      <c r="D1086" t="s">
        <v>4641</v>
      </c>
      <c r="E1086" t="str">
        <f>"00053357"</f>
        <v>00053357</v>
      </c>
      <c r="F1086">
        <v>0</v>
      </c>
      <c r="G1086" s="243">
        <v>36039</v>
      </c>
      <c r="H1086" t="s">
        <v>182</v>
      </c>
      <c r="I1086">
        <v>6</v>
      </c>
      <c r="J1086">
        <v>6</v>
      </c>
      <c r="K1086">
        <v>1</v>
      </c>
      <c r="L1086">
        <v>37526</v>
      </c>
      <c r="M1086" t="str">
        <f t="shared" si="148"/>
        <v>13</v>
      </c>
      <c r="N1086" t="s">
        <v>3323</v>
      </c>
      <c r="O1086" t="str">
        <f t="shared" si="153"/>
        <v>54611</v>
      </c>
      <c r="P1086" t="str">
        <f t="shared" ref="P1086:P1092" si="156">"2100L"</f>
        <v>2100L</v>
      </c>
      <c r="Q1086" t="str">
        <f t="shared" si="149"/>
        <v>0101</v>
      </c>
      <c r="R1086">
        <v>2100</v>
      </c>
      <c r="S1086" t="str">
        <f t="shared" si="154"/>
        <v>5460</v>
      </c>
      <c r="T1086" t="s">
        <v>3500</v>
      </c>
      <c r="U1086" t="s">
        <v>36</v>
      </c>
    </row>
    <row r="1087" spans="1:21" ht="15" customHeight="1" x14ac:dyDescent="0.3">
      <c r="A1087" t="s">
        <v>179</v>
      </c>
      <c r="B1087" t="str">
        <f>"00076077"</f>
        <v>00076077</v>
      </c>
      <c r="C1087" t="s">
        <v>4271</v>
      </c>
      <c r="H1087" t="s">
        <v>170</v>
      </c>
      <c r="I1087">
        <v>15</v>
      </c>
      <c r="J1087">
        <v>0</v>
      </c>
      <c r="K1087">
        <v>0.5</v>
      </c>
      <c r="L1087">
        <v>51539</v>
      </c>
      <c r="M1087" t="str">
        <f t="shared" si="148"/>
        <v>13</v>
      </c>
      <c r="N1087" t="s">
        <v>3323</v>
      </c>
      <c r="O1087" t="str">
        <f t="shared" si="153"/>
        <v>54611</v>
      </c>
      <c r="P1087" t="str">
        <f t="shared" si="156"/>
        <v>2100L</v>
      </c>
      <c r="Q1087" t="str">
        <f t="shared" si="149"/>
        <v>0101</v>
      </c>
      <c r="R1087">
        <v>2100</v>
      </c>
      <c r="S1087" t="str">
        <f t="shared" si="154"/>
        <v>5460</v>
      </c>
      <c r="T1087" t="s">
        <v>3500</v>
      </c>
      <c r="U1087" t="s">
        <v>36</v>
      </c>
    </row>
    <row r="1088" spans="1:21" ht="15" customHeight="1" x14ac:dyDescent="0.3">
      <c r="A1088" t="s">
        <v>179</v>
      </c>
      <c r="B1088" t="str">
        <f>"00076079"</f>
        <v>00076079</v>
      </c>
      <c r="C1088" t="s">
        <v>4262</v>
      </c>
      <c r="D1088" t="s">
        <v>3522</v>
      </c>
      <c r="E1088" t="str">
        <f>"00065723"</f>
        <v>00065723</v>
      </c>
      <c r="F1088">
        <v>0</v>
      </c>
      <c r="G1088" s="243">
        <v>40755</v>
      </c>
      <c r="H1088" t="s">
        <v>182</v>
      </c>
      <c r="I1088">
        <v>15</v>
      </c>
      <c r="J1088">
        <v>2</v>
      </c>
      <c r="K1088">
        <v>0.5</v>
      </c>
      <c r="L1088">
        <v>51716</v>
      </c>
      <c r="M1088" t="str">
        <f t="shared" si="148"/>
        <v>13</v>
      </c>
      <c r="N1088" t="s">
        <v>3370</v>
      </c>
      <c r="O1088" t="str">
        <f t="shared" si="153"/>
        <v>54611</v>
      </c>
      <c r="P1088" t="str">
        <f t="shared" si="156"/>
        <v>2100L</v>
      </c>
      <c r="Q1088" t="str">
        <f t="shared" si="149"/>
        <v>0101</v>
      </c>
      <c r="R1088">
        <v>2100</v>
      </c>
      <c r="S1088" t="str">
        <f t="shared" si="154"/>
        <v>5460</v>
      </c>
      <c r="T1088" t="s">
        <v>3500</v>
      </c>
      <c r="U1088" t="s">
        <v>36</v>
      </c>
    </row>
    <row r="1089" spans="1:21" ht="15" customHeight="1" x14ac:dyDescent="0.3">
      <c r="A1089" t="s">
        <v>179</v>
      </c>
      <c r="B1089" t="str">
        <f>"00076080"</f>
        <v>00076080</v>
      </c>
      <c r="C1089" t="s">
        <v>4381</v>
      </c>
      <c r="D1089" t="s">
        <v>4642</v>
      </c>
      <c r="E1089" t="str">
        <f>"00052752"</f>
        <v>00052752</v>
      </c>
      <c r="F1089">
        <v>0</v>
      </c>
      <c r="G1089" s="243">
        <v>36397</v>
      </c>
      <c r="H1089" t="s">
        <v>182</v>
      </c>
      <c r="I1089">
        <v>9</v>
      </c>
      <c r="J1089">
        <v>4</v>
      </c>
      <c r="K1089">
        <v>1</v>
      </c>
      <c r="L1089">
        <v>36352</v>
      </c>
      <c r="M1089" t="str">
        <f t="shared" si="148"/>
        <v>13</v>
      </c>
      <c r="N1089" t="s">
        <v>3323</v>
      </c>
      <c r="O1089" t="str">
        <f t="shared" si="153"/>
        <v>54611</v>
      </c>
      <c r="P1089" t="str">
        <f t="shared" si="156"/>
        <v>2100L</v>
      </c>
      <c r="Q1089" t="str">
        <f t="shared" si="149"/>
        <v>0101</v>
      </c>
      <c r="R1089">
        <v>2100</v>
      </c>
      <c r="S1089" t="str">
        <f t="shared" si="154"/>
        <v>5460</v>
      </c>
      <c r="T1089" t="s">
        <v>3500</v>
      </c>
      <c r="U1089" t="s">
        <v>36</v>
      </c>
    </row>
    <row r="1090" spans="1:21" ht="15" customHeight="1" x14ac:dyDescent="0.3">
      <c r="A1090" t="s">
        <v>179</v>
      </c>
      <c r="B1090" t="str">
        <f>"00076081"</f>
        <v>00076081</v>
      </c>
      <c r="C1090" t="s">
        <v>4265</v>
      </c>
      <c r="D1090" t="s">
        <v>3842</v>
      </c>
      <c r="E1090" t="str">
        <f>"00047451"</f>
        <v>00047451</v>
      </c>
      <c r="F1090">
        <v>0</v>
      </c>
      <c r="G1090" s="243">
        <v>34526</v>
      </c>
      <c r="H1090" t="s">
        <v>182</v>
      </c>
      <c r="I1090">
        <v>15</v>
      </c>
      <c r="J1090">
        <v>16</v>
      </c>
      <c r="K1090">
        <v>0.5</v>
      </c>
      <c r="L1090">
        <v>51673.5</v>
      </c>
      <c r="M1090" t="str">
        <f t="shared" si="148"/>
        <v>13</v>
      </c>
      <c r="N1090" t="s">
        <v>3370</v>
      </c>
      <c r="O1090" t="str">
        <f t="shared" si="153"/>
        <v>54611</v>
      </c>
      <c r="P1090" t="str">
        <f t="shared" si="156"/>
        <v>2100L</v>
      </c>
      <c r="Q1090" t="str">
        <f t="shared" si="149"/>
        <v>0101</v>
      </c>
      <c r="R1090">
        <v>2100</v>
      </c>
      <c r="S1090" t="str">
        <f t="shared" si="154"/>
        <v>5460</v>
      </c>
      <c r="T1090" t="s">
        <v>3500</v>
      </c>
      <c r="U1090" t="s">
        <v>36</v>
      </c>
    </row>
    <row r="1091" spans="1:21" ht="15" customHeight="1" x14ac:dyDescent="0.3">
      <c r="A1091" t="s">
        <v>179</v>
      </c>
      <c r="B1091" t="str">
        <f>"00076082"</f>
        <v>00076082</v>
      </c>
      <c r="C1091" t="s">
        <v>4262</v>
      </c>
      <c r="D1091" t="s">
        <v>1215</v>
      </c>
      <c r="E1091" t="str">
        <f>"00050754"</f>
        <v>00050754</v>
      </c>
      <c r="F1091">
        <v>0</v>
      </c>
      <c r="G1091" s="243">
        <v>37910</v>
      </c>
      <c r="H1091" t="s">
        <v>182</v>
      </c>
      <c r="I1091">
        <v>15</v>
      </c>
      <c r="J1091">
        <v>10</v>
      </c>
      <c r="K1091">
        <v>1</v>
      </c>
      <c r="L1091">
        <v>80729</v>
      </c>
      <c r="M1091" t="str">
        <f t="shared" si="148"/>
        <v>13</v>
      </c>
      <c r="N1091" t="s">
        <v>3370</v>
      </c>
      <c r="O1091" t="str">
        <f t="shared" si="153"/>
        <v>54611</v>
      </c>
      <c r="P1091" t="str">
        <f t="shared" si="156"/>
        <v>2100L</v>
      </c>
      <c r="Q1091" t="str">
        <f t="shared" si="149"/>
        <v>0101</v>
      </c>
      <c r="R1091">
        <v>2100</v>
      </c>
      <c r="S1091" t="str">
        <f t="shared" si="154"/>
        <v>5460</v>
      </c>
      <c r="T1091" t="s">
        <v>3500</v>
      </c>
      <c r="U1091" t="s">
        <v>36</v>
      </c>
    </row>
    <row r="1092" spans="1:21" ht="15" customHeight="1" x14ac:dyDescent="0.3">
      <c r="A1092" t="s">
        <v>179</v>
      </c>
      <c r="B1092" t="str">
        <f>"00076083"</f>
        <v>00076083</v>
      </c>
      <c r="C1092" t="s">
        <v>4262</v>
      </c>
      <c r="D1092" t="s">
        <v>211</v>
      </c>
      <c r="E1092" t="str">
        <f>"00045667"</f>
        <v>00045667</v>
      </c>
      <c r="F1092">
        <v>0</v>
      </c>
      <c r="G1092" s="243">
        <v>36390</v>
      </c>
      <c r="H1092" t="s">
        <v>182</v>
      </c>
      <c r="I1092">
        <v>15</v>
      </c>
      <c r="J1092">
        <v>15</v>
      </c>
      <c r="K1092">
        <v>1</v>
      </c>
      <c r="L1092">
        <v>98285</v>
      </c>
      <c r="M1092" t="str">
        <f t="shared" si="148"/>
        <v>13</v>
      </c>
      <c r="N1092" t="s">
        <v>3370</v>
      </c>
      <c r="O1092" t="str">
        <f t="shared" si="153"/>
        <v>54611</v>
      </c>
      <c r="P1092" t="str">
        <f t="shared" si="156"/>
        <v>2100L</v>
      </c>
      <c r="Q1092" t="str">
        <f t="shared" si="149"/>
        <v>0101</v>
      </c>
      <c r="R1092">
        <v>2100</v>
      </c>
      <c r="S1092" t="str">
        <f t="shared" si="154"/>
        <v>5460</v>
      </c>
      <c r="T1092" t="s">
        <v>3500</v>
      </c>
      <c r="U1092" t="s">
        <v>36</v>
      </c>
    </row>
    <row r="1093" spans="1:21" ht="15" customHeight="1" x14ac:dyDescent="0.3">
      <c r="A1093" t="s">
        <v>179</v>
      </c>
      <c r="B1093" t="str">
        <f>"00051823"</f>
        <v>00051823</v>
      </c>
      <c r="C1093" t="s">
        <v>4262</v>
      </c>
      <c r="D1093" t="s">
        <v>1223</v>
      </c>
      <c r="E1093" t="str">
        <f>"00046099"</f>
        <v>00046099</v>
      </c>
      <c r="F1093">
        <v>0</v>
      </c>
      <c r="G1093" s="243">
        <v>31861</v>
      </c>
      <c r="H1093" t="s">
        <v>182</v>
      </c>
      <c r="I1093">
        <v>15</v>
      </c>
      <c r="J1093">
        <v>16</v>
      </c>
      <c r="K1093">
        <v>1</v>
      </c>
      <c r="L1093">
        <v>106540</v>
      </c>
      <c r="M1093" t="str">
        <f t="shared" si="148"/>
        <v>13</v>
      </c>
      <c r="N1093" t="s">
        <v>3323</v>
      </c>
      <c r="O1093" t="str">
        <f t="shared" ref="O1093:O1123" si="157">"54811"</f>
        <v>54811</v>
      </c>
      <c r="P1093" t="str">
        <f>"2100L"</f>
        <v>2100L</v>
      </c>
      <c r="Q1093" t="str">
        <f t="shared" si="149"/>
        <v>0101</v>
      </c>
      <c r="R1093">
        <v>2100</v>
      </c>
      <c r="S1093" t="str">
        <f t="shared" ref="S1093:S1123" si="158">"5480"</f>
        <v>5480</v>
      </c>
      <c r="T1093" t="s">
        <v>3503</v>
      </c>
      <c r="U1093" t="s">
        <v>37</v>
      </c>
    </row>
    <row r="1094" spans="1:21" ht="15" customHeight="1" x14ac:dyDescent="0.3">
      <c r="A1094" t="s">
        <v>179</v>
      </c>
      <c r="B1094" t="str">
        <f>"00051853"</f>
        <v>00051853</v>
      </c>
      <c r="C1094" t="s">
        <v>4272</v>
      </c>
      <c r="D1094" t="s">
        <v>1224</v>
      </c>
      <c r="E1094" t="str">
        <f>"00046266"</f>
        <v>00046266</v>
      </c>
      <c r="F1094">
        <v>0</v>
      </c>
      <c r="G1094" s="243">
        <v>36069</v>
      </c>
      <c r="H1094" t="s">
        <v>182</v>
      </c>
      <c r="I1094">
        <v>15</v>
      </c>
      <c r="J1094">
        <v>12</v>
      </c>
      <c r="K1094">
        <v>1</v>
      </c>
      <c r="L1094">
        <v>87431</v>
      </c>
      <c r="M1094" t="str">
        <f t="shared" si="148"/>
        <v>13</v>
      </c>
      <c r="N1094" t="s">
        <v>3323</v>
      </c>
      <c r="O1094" t="str">
        <f t="shared" si="157"/>
        <v>54811</v>
      </c>
      <c r="P1094" t="str">
        <f>"2200L"</f>
        <v>2200L</v>
      </c>
      <c r="Q1094" t="str">
        <f t="shared" si="149"/>
        <v>0101</v>
      </c>
      <c r="R1094">
        <v>2200</v>
      </c>
      <c r="S1094" t="str">
        <f t="shared" si="158"/>
        <v>5480</v>
      </c>
      <c r="T1094" t="s">
        <v>3503</v>
      </c>
      <c r="U1094" t="s">
        <v>37</v>
      </c>
    </row>
    <row r="1095" spans="1:21" ht="15" customHeight="1" x14ac:dyDescent="0.3">
      <c r="A1095" t="s">
        <v>179</v>
      </c>
      <c r="B1095" t="str">
        <f>"00051922"</f>
        <v>00051922</v>
      </c>
      <c r="C1095" t="s">
        <v>4260</v>
      </c>
      <c r="D1095" t="s">
        <v>4643</v>
      </c>
      <c r="E1095" t="str">
        <f>"00046580"</f>
        <v>00046580</v>
      </c>
      <c r="F1095">
        <v>0</v>
      </c>
      <c r="G1095" s="243">
        <v>30498</v>
      </c>
      <c r="H1095" t="s">
        <v>182</v>
      </c>
      <c r="I1095">
        <v>15</v>
      </c>
      <c r="J1095">
        <v>16</v>
      </c>
      <c r="K1095">
        <v>1</v>
      </c>
      <c r="L1095">
        <v>100839</v>
      </c>
      <c r="M1095" t="str">
        <f t="shared" si="148"/>
        <v>13</v>
      </c>
      <c r="N1095" t="s">
        <v>3323</v>
      </c>
      <c r="O1095" t="str">
        <f t="shared" si="157"/>
        <v>54811</v>
      </c>
      <c r="P1095" t="str">
        <f t="shared" ref="P1095:P1100" si="159">"2100L"</f>
        <v>2100L</v>
      </c>
      <c r="Q1095" t="str">
        <f t="shared" si="149"/>
        <v>0101</v>
      </c>
      <c r="R1095">
        <v>2100</v>
      </c>
      <c r="S1095" t="str">
        <f t="shared" si="158"/>
        <v>5480</v>
      </c>
      <c r="T1095" t="s">
        <v>3503</v>
      </c>
      <c r="U1095" t="s">
        <v>37</v>
      </c>
    </row>
    <row r="1096" spans="1:21" ht="15" customHeight="1" x14ac:dyDescent="0.3">
      <c r="A1096" t="s">
        <v>179</v>
      </c>
      <c r="B1096" t="str">
        <f>"00052557"</f>
        <v>00052557</v>
      </c>
      <c r="C1096" t="s">
        <v>4262</v>
      </c>
      <c r="D1096" t="s">
        <v>1225</v>
      </c>
      <c r="E1096" t="str">
        <f>"00048546"</f>
        <v>00048546</v>
      </c>
      <c r="F1096">
        <v>0</v>
      </c>
      <c r="G1096" s="243">
        <v>33520</v>
      </c>
      <c r="H1096" t="s">
        <v>182</v>
      </c>
      <c r="I1096">
        <v>15</v>
      </c>
      <c r="J1096">
        <v>16</v>
      </c>
      <c r="K1096">
        <v>1</v>
      </c>
      <c r="L1096">
        <v>100839</v>
      </c>
      <c r="M1096" t="str">
        <f t="shared" si="148"/>
        <v>13</v>
      </c>
      <c r="N1096" t="s">
        <v>3323</v>
      </c>
      <c r="O1096" t="str">
        <f t="shared" si="157"/>
        <v>54811</v>
      </c>
      <c r="P1096" t="str">
        <f t="shared" si="159"/>
        <v>2100L</v>
      </c>
      <c r="Q1096" t="str">
        <f t="shared" si="149"/>
        <v>0101</v>
      </c>
      <c r="R1096">
        <v>2100</v>
      </c>
      <c r="S1096" t="str">
        <f t="shared" si="158"/>
        <v>5480</v>
      </c>
      <c r="T1096" t="s">
        <v>3503</v>
      </c>
      <c r="U1096" t="s">
        <v>37</v>
      </c>
    </row>
    <row r="1097" spans="1:21" ht="15" customHeight="1" x14ac:dyDescent="0.3">
      <c r="A1097" t="s">
        <v>179</v>
      </c>
      <c r="B1097" t="str">
        <f>"00052661"</f>
        <v>00052661</v>
      </c>
      <c r="C1097" t="s">
        <v>4262</v>
      </c>
      <c r="D1097" t="s">
        <v>1226</v>
      </c>
      <c r="E1097" t="str">
        <f>"00048816"</f>
        <v>00048816</v>
      </c>
      <c r="F1097">
        <v>0</v>
      </c>
      <c r="G1097" s="243">
        <v>35451</v>
      </c>
      <c r="H1097" t="s">
        <v>182</v>
      </c>
      <c r="I1097">
        <v>15</v>
      </c>
      <c r="J1097">
        <v>16</v>
      </c>
      <c r="K1097">
        <v>1</v>
      </c>
      <c r="L1097">
        <v>100839</v>
      </c>
      <c r="M1097" t="str">
        <f t="shared" si="148"/>
        <v>13</v>
      </c>
      <c r="N1097" t="s">
        <v>3323</v>
      </c>
      <c r="O1097" t="str">
        <f t="shared" si="157"/>
        <v>54811</v>
      </c>
      <c r="P1097" t="str">
        <f t="shared" si="159"/>
        <v>2100L</v>
      </c>
      <c r="Q1097" t="str">
        <f t="shared" si="149"/>
        <v>0101</v>
      </c>
      <c r="R1097">
        <v>2100</v>
      </c>
      <c r="S1097" t="str">
        <f t="shared" si="158"/>
        <v>5480</v>
      </c>
      <c r="T1097" t="s">
        <v>3503</v>
      </c>
      <c r="U1097" t="s">
        <v>37</v>
      </c>
    </row>
    <row r="1098" spans="1:21" ht="15" customHeight="1" x14ac:dyDescent="0.3">
      <c r="A1098" t="s">
        <v>179</v>
      </c>
      <c r="B1098" t="str">
        <f>"00053165"</f>
        <v>00053165</v>
      </c>
      <c r="C1098" t="s">
        <v>4260</v>
      </c>
      <c r="D1098" t="s">
        <v>1227</v>
      </c>
      <c r="E1098" t="str">
        <f>"00051049"</f>
        <v>00051049</v>
      </c>
      <c r="F1098">
        <v>0</v>
      </c>
      <c r="G1098" s="243">
        <v>30993</v>
      </c>
      <c r="H1098" t="s">
        <v>182</v>
      </c>
      <c r="I1098">
        <v>15</v>
      </c>
      <c r="J1098">
        <v>12</v>
      </c>
      <c r="K1098">
        <v>1</v>
      </c>
      <c r="L1098">
        <v>75816</v>
      </c>
      <c r="M1098" t="str">
        <f t="shared" ref="M1098:M1153" si="160">"13"</f>
        <v>13</v>
      </c>
      <c r="N1098" t="s">
        <v>3323</v>
      </c>
      <c r="O1098" t="str">
        <f t="shared" si="157"/>
        <v>54811</v>
      </c>
      <c r="P1098" t="str">
        <f t="shared" si="159"/>
        <v>2100L</v>
      </c>
      <c r="Q1098" t="str">
        <f t="shared" ref="Q1098:Q1153" si="161">"0101"</f>
        <v>0101</v>
      </c>
      <c r="R1098">
        <v>2100</v>
      </c>
      <c r="S1098" t="str">
        <f t="shared" si="158"/>
        <v>5480</v>
      </c>
      <c r="T1098" t="s">
        <v>3503</v>
      </c>
      <c r="U1098" t="s">
        <v>37</v>
      </c>
    </row>
    <row r="1099" spans="1:21" ht="15" customHeight="1" x14ac:dyDescent="0.3">
      <c r="A1099" t="s">
        <v>179</v>
      </c>
      <c r="B1099" t="str">
        <f>"00053260"</f>
        <v>00053260</v>
      </c>
      <c r="C1099" t="s">
        <v>4272</v>
      </c>
      <c r="D1099" t="s">
        <v>1228</v>
      </c>
      <c r="E1099" t="str">
        <f>"00051190"</f>
        <v>00051190</v>
      </c>
      <c r="F1099">
        <v>0</v>
      </c>
      <c r="G1099" s="243">
        <v>32021</v>
      </c>
      <c r="H1099" t="s">
        <v>182</v>
      </c>
      <c r="I1099">
        <v>15</v>
      </c>
      <c r="J1099">
        <v>13</v>
      </c>
      <c r="K1099">
        <v>1</v>
      </c>
      <c r="L1099">
        <v>81724</v>
      </c>
      <c r="M1099" t="str">
        <f t="shared" si="160"/>
        <v>13</v>
      </c>
      <c r="N1099" t="s">
        <v>3323</v>
      </c>
      <c r="O1099" t="str">
        <f t="shared" si="157"/>
        <v>54811</v>
      </c>
      <c r="P1099" t="str">
        <f t="shared" si="159"/>
        <v>2100L</v>
      </c>
      <c r="Q1099" t="str">
        <f t="shared" si="161"/>
        <v>0101</v>
      </c>
      <c r="R1099">
        <v>2100</v>
      </c>
      <c r="S1099" t="str">
        <f t="shared" si="158"/>
        <v>5480</v>
      </c>
      <c r="T1099" t="s">
        <v>3503</v>
      </c>
      <c r="U1099" t="s">
        <v>37</v>
      </c>
    </row>
    <row r="1100" spans="1:21" ht="15" customHeight="1" x14ac:dyDescent="0.3">
      <c r="A1100" t="s">
        <v>179</v>
      </c>
      <c r="B1100" t="str">
        <f>"00053822"</f>
        <v>00053822</v>
      </c>
      <c r="C1100" t="s">
        <v>4252</v>
      </c>
      <c r="D1100" t="s">
        <v>1229</v>
      </c>
      <c r="E1100" t="str">
        <f>"00052588"</f>
        <v>00052588</v>
      </c>
      <c r="F1100">
        <v>0</v>
      </c>
      <c r="G1100" s="243">
        <v>26727</v>
      </c>
      <c r="H1100" t="s">
        <v>182</v>
      </c>
      <c r="I1100">
        <v>15</v>
      </c>
      <c r="J1100">
        <v>16</v>
      </c>
      <c r="K1100">
        <v>1</v>
      </c>
      <c r="L1100">
        <v>100839</v>
      </c>
      <c r="M1100" t="str">
        <f t="shared" si="160"/>
        <v>13</v>
      </c>
      <c r="N1100" t="s">
        <v>3323</v>
      </c>
      <c r="O1100" t="str">
        <f t="shared" si="157"/>
        <v>54811</v>
      </c>
      <c r="P1100" t="str">
        <f t="shared" si="159"/>
        <v>2100L</v>
      </c>
      <c r="Q1100" t="str">
        <f t="shared" si="161"/>
        <v>0101</v>
      </c>
      <c r="R1100">
        <v>2100</v>
      </c>
      <c r="S1100" t="str">
        <f t="shared" si="158"/>
        <v>5480</v>
      </c>
      <c r="T1100" t="s">
        <v>3503</v>
      </c>
      <c r="U1100" t="s">
        <v>37</v>
      </c>
    </row>
    <row r="1101" spans="1:21" ht="15" customHeight="1" x14ac:dyDescent="0.3">
      <c r="A1101" t="s">
        <v>179</v>
      </c>
      <c r="B1101" t="str">
        <f>"00053915"</f>
        <v>00053915</v>
      </c>
      <c r="C1101" t="s">
        <v>4274</v>
      </c>
      <c r="H1101" t="s">
        <v>170</v>
      </c>
      <c r="I1101">
        <v>4</v>
      </c>
      <c r="J1101">
        <v>1</v>
      </c>
      <c r="K1101">
        <v>0.875</v>
      </c>
      <c r="L1101">
        <v>25662</v>
      </c>
      <c r="M1101" t="str">
        <f t="shared" si="160"/>
        <v>13</v>
      </c>
      <c r="N1101" t="s">
        <v>3323</v>
      </c>
      <c r="O1101" t="str">
        <f t="shared" si="157"/>
        <v>54811</v>
      </c>
      <c r="P1101" t="str">
        <f>"2200L"</f>
        <v>2200L</v>
      </c>
      <c r="Q1101" t="str">
        <f t="shared" si="161"/>
        <v>0101</v>
      </c>
      <c r="R1101">
        <v>2200</v>
      </c>
      <c r="S1101" t="str">
        <f t="shared" si="158"/>
        <v>5480</v>
      </c>
      <c r="T1101" t="s">
        <v>3503</v>
      </c>
      <c r="U1101" t="s">
        <v>37</v>
      </c>
    </row>
    <row r="1102" spans="1:21" ht="15" customHeight="1" x14ac:dyDescent="0.3">
      <c r="A1102" t="s">
        <v>179</v>
      </c>
      <c r="B1102" t="str">
        <f>"00054407"</f>
        <v>00054407</v>
      </c>
      <c r="C1102" t="s">
        <v>4272</v>
      </c>
      <c r="D1102" t="s">
        <v>1230</v>
      </c>
      <c r="E1102" t="str">
        <f>"00053971"</f>
        <v>00053971</v>
      </c>
      <c r="F1102">
        <v>0</v>
      </c>
      <c r="G1102" s="243">
        <v>24351</v>
      </c>
      <c r="H1102" t="s">
        <v>182</v>
      </c>
      <c r="I1102">
        <v>15</v>
      </c>
      <c r="J1102">
        <v>16</v>
      </c>
      <c r="K1102">
        <v>1</v>
      </c>
      <c r="L1102">
        <v>100839</v>
      </c>
      <c r="M1102" t="str">
        <f t="shared" si="160"/>
        <v>13</v>
      </c>
      <c r="N1102" t="s">
        <v>3323</v>
      </c>
      <c r="O1102" t="str">
        <f t="shared" si="157"/>
        <v>54811</v>
      </c>
      <c r="P1102" t="str">
        <f>"2100L"</f>
        <v>2100L</v>
      </c>
      <c r="Q1102" t="str">
        <f t="shared" si="161"/>
        <v>0101</v>
      </c>
      <c r="R1102">
        <v>2100</v>
      </c>
      <c r="S1102" t="str">
        <f t="shared" si="158"/>
        <v>5480</v>
      </c>
      <c r="T1102" t="s">
        <v>3503</v>
      </c>
      <c r="U1102" t="s">
        <v>37</v>
      </c>
    </row>
    <row r="1103" spans="1:21" ht="15" customHeight="1" x14ac:dyDescent="0.3">
      <c r="A1103" t="s">
        <v>179</v>
      </c>
      <c r="B1103" t="str">
        <f>"00056535"</f>
        <v>00056535</v>
      </c>
      <c r="C1103" t="s">
        <v>4272</v>
      </c>
      <c r="D1103" t="s">
        <v>3505</v>
      </c>
      <c r="E1103" t="str">
        <f>"00046777"</f>
        <v>00046777</v>
      </c>
      <c r="F1103">
        <v>0</v>
      </c>
      <c r="G1103" s="243">
        <v>33939</v>
      </c>
      <c r="H1103" t="s">
        <v>182</v>
      </c>
      <c r="I1103">
        <v>15</v>
      </c>
      <c r="J1103">
        <v>12</v>
      </c>
      <c r="K1103">
        <v>1</v>
      </c>
      <c r="L1103">
        <v>87431</v>
      </c>
      <c r="M1103" t="str">
        <f t="shared" si="160"/>
        <v>13</v>
      </c>
      <c r="N1103" t="s">
        <v>3323</v>
      </c>
      <c r="O1103" t="str">
        <f t="shared" si="157"/>
        <v>54811</v>
      </c>
      <c r="P1103" t="str">
        <f>"2200L"</f>
        <v>2200L</v>
      </c>
      <c r="Q1103" t="str">
        <f t="shared" si="161"/>
        <v>0101</v>
      </c>
      <c r="R1103">
        <v>2200</v>
      </c>
      <c r="S1103" t="str">
        <f t="shared" si="158"/>
        <v>5480</v>
      </c>
      <c r="T1103" t="s">
        <v>3503</v>
      </c>
      <c r="U1103" t="s">
        <v>37</v>
      </c>
    </row>
    <row r="1104" spans="1:21" ht="15" customHeight="1" x14ac:dyDescent="0.3">
      <c r="A1104" t="s">
        <v>179</v>
      </c>
      <c r="B1104" t="str">
        <f>"00057075"</f>
        <v>00057075</v>
      </c>
      <c r="C1104" t="s">
        <v>4306</v>
      </c>
      <c r="D1104" t="s">
        <v>4644</v>
      </c>
      <c r="E1104" t="str">
        <f>"00046382"</f>
        <v>00046382</v>
      </c>
      <c r="F1104">
        <v>0</v>
      </c>
      <c r="G1104" s="243">
        <v>36460</v>
      </c>
      <c r="H1104" t="s">
        <v>182</v>
      </c>
      <c r="I1104">
        <v>9</v>
      </c>
      <c r="J1104">
        <v>6</v>
      </c>
      <c r="K1104">
        <v>1</v>
      </c>
      <c r="L1104">
        <v>38478</v>
      </c>
      <c r="M1104" t="str">
        <f t="shared" si="160"/>
        <v>13</v>
      </c>
      <c r="N1104" t="s">
        <v>3323</v>
      </c>
      <c r="O1104" t="str">
        <f t="shared" si="157"/>
        <v>54811</v>
      </c>
      <c r="P1104" t="str">
        <f>"1502L"</f>
        <v>1502L</v>
      </c>
      <c r="Q1104" t="str">
        <f t="shared" si="161"/>
        <v>0101</v>
      </c>
      <c r="R1104">
        <v>1502</v>
      </c>
      <c r="S1104" t="str">
        <f t="shared" si="158"/>
        <v>5480</v>
      </c>
      <c r="T1104" t="s">
        <v>3503</v>
      </c>
      <c r="U1104" t="s">
        <v>37</v>
      </c>
    </row>
    <row r="1105" spans="1:21" ht="15" customHeight="1" x14ac:dyDescent="0.3">
      <c r="A1105" t="s">
        <v>179</v>
      </c>
      <c r="B1105" t="str">
        <f>"00057079"</f>
        <v>00057079</v>
      </c>
      <c r="C1105" t="s">
        <v>4288</v>
      </c>
      <c r="D1105" t="s">
        <v>4645</v>
      </c>
      <c r="E1105" t="str">
        <f>"00051432"</f>
        <v>00051432</v>
      </c>
      <c r="F1105">
        <v>0</v>
      </c>
      <c r="G1105" s="243">
        <v>31740</v>
      </c>
      <c r="H1105" t="s">
        <v>182</v>
      </c>
      <c r="I1105">
        <v>4</v>
      </c>
      <c r="J1105">
        <v>10</v>
      </c>
      <c r="K1105">
        <v>0.875</v>
      </c>
      <c r="L1105">
        <v>28721</v>
      </c>
      <c r="M1105" t="str">
        <f t="shared" si="160"/>
        <v>13</v>
      </c>
      <c r="N1105" t="s">
        <v>3370</v>
      </c>
      <c r="O1105" t="str">
        <f t="shared" si="157"/>
        <v>54811</v>
      </c>
      <c r="P1105" t="str">
        <f>"2200L"</f>
        <v>2200L</v>
      </c>
      <c r="Q1105" t="str">
        <f t="shared" si="161"/>
        <v>0101</v>
      </c>
      <c r="R1105">
        <v>2200</v>
      </c>
      <c r="S1105" t="str">
        <f t="shared" si="158"/>
        <v>5480</v>
      </c>
      <c r="T1105" t="s">
        <v>3503</v>
      </c>
      <c r="U1105" t="s">
        <v>37</v>
      </c>
    </row>
    <row r="1106" spans="1:21" ht="15" customHeight="1" x14ac:dyDescent="0.3">
      <c r="A1106" t="s">
        <v>179</v>
      </c>
      <c r="B1106" t="str">
        <f>"00057424"</f>
        <v>00057424</v>
      </c>
      <c r="C1106" t="s">
        <v>4262</v>
      </c>
      <c r="D1106" t="s">
        <v>1231</v>
      </c>
      <c r="E1106" t="str">
        <f>"00050408"</f>
        <v>00050408</v>
      </c>
      <c r="F1106">
        <v>0</v>
      </c>
      <c r="G1106" s="243">
        <v>36761</v>
      </c>
      <c r="H1106" t="s">
        <v>182</v>
      </c>
      <c r="I1106">
        <v>15</v>
      </c>
      <c r="J1106">
        <v>12</v>
      </c>
      <c r="K1106">
        <v>1</v>
      </c>
      <c r="L1106">
        <v>87431</v>
      </c>
      <c r="M1106" t="str">
        <f t="shared" si="160"/>
        <v>13</v>
      </c>
      <c r="N1106" t="s">
        <v>3323</v>
      </c>
      <c r="O1106" t="str">
        <f t="shared" si="157"/>
        <v>54811</v>
      </c>
      <c r="P1106" t="str">
        <f>"2100L"</f>
        <v>2100L</v>
      </c>
      <c r="Q1106" t="str">
        <f t="shared" si="161"/>
        <v>0101</v>
      </c>
      <c r="R1106">
        <v>2100</v>
      </c>
      <c r="S1106" t="str">
        <f t="shared" si="158"/>
        <v>5480</v>
      </c>
      <c r="T1106" t="s">
        <v>3503</v>
      </c>
      <c r="U1106" t="s">
        <v>37</v>
      </c>
    </row>
    <row r="1107" spans="1:21" ht="15" customHeight="1" x14ac:dyDescent="0.3">
      <c r="A1107" t="s">
        <v>179</v>
      </c>
      <c r="B1107" t="str">
        <f>"00057685"</f>
        <v>00057685</v>
      </c>
      <c r="C1107" t="s">
        <v>4262</v>
      </c>
      <c r="D1107" t="s">
        <v>1232</v>
      </c>
      <c r="E1107" t="str">
        <f>"00050452"</f>
        <v>00050452</v>
      </c>
      <c r="F1107">
        <v>0</v>
      </c>
      <c r="G1107" s="243">
        <v>38587</v>
      </c>
      <c r="H1107" t="s">
        <v>182</v>
      </c>
      <c r="I1107">
        <v>15</v>
      </c>
      <c r="J1107">
        <v>8</v>
      </c>
      <c r="K1107">
        <v>1</v>
      </c>
      <c r="L1107">
        <v>72171</v>
      </c>
      <c r="M1107" t="str">
        <f t="shared" si="160"/>
        <v>13</v>
      </c>
      <c r="N1107" t="s">
        <v>3323</v>
      </c>
      <c r="O1107" t="str">
        <f t="shared" si="157"/>
        <v>54811</v>
      </c>
      <c r="P1107" t="str">
        <f>"2100L"</f>
        <v>2100L</v>
      </c>
      <c r="Q1107" t="str">
        <f t="shared" si="161"/>
        <v>0101</v>
      </c>
      <c r="R1107">
        <v>2100</v>
      </c>
      <c r="S1107" t="str">
        <f t="shared" si="158"/>
        <v>5480</v>
      </c>
      <c r="T1107" t="s">
        <v>3503</v>
      </c>
      <c r="U1107" t="s">
        <v>37</v>
      </c>
    </row>
    <row r="1108" spans="1:21" ht="15" customHeight="1" x14ac:dyDescent="0.3">
      <c r="A1108" t="s">
        <v>179</v>
      </c>
      <c r="B1108" t="str">
        <f>"00059348"</f>
        <v>00059348</v>
      </c>
      <c r="C1108" t="s">
        <v>3798</v>
      </c>
      <c r="D1108" t="s">
        <v>1234</v>
      </c>
      <c r="E1108" t="str">
        <f>"00048747"</f>
        <v>00048747</v>
      </c>
      <c r="F1108">
        <v>0</v>
      </c>
      <c r="G1108" s="243">
        <v>36753</v>
      </c>
      <c r="H1108" t="s">
        <v>182</v>
      </c>
      <c r="I1108">
        <v>61</v>
      </c>
      <c r="J1108">
        <v>7</v>
      </c>
      <c r="K1108">
        <v>1</v>
      </c>
      <c r="L1108">
        <v>128000</v>
      </c>
      <c r="M1108" t="str">
        <f t="shared" si="160"/>
        <v>13</v>
      </c>
      <c r="N1108" t="s">
        <v>3323</v>
      </c>
      <c r="O1108" t="str">
        <f t="shared" si="157"/>
        <v>54811</v>
      </c>
      <c r="P1108" t="str">
        <f>"1501L"</f>
        <v>1501L</v>
      </c>
      <c r="Q1108" t="str">
        <f t="shared" si="161"/>
        <v>0101</v>
      </c>
      <c r="R1108">
        <v>1501</v>
      </c>
      <c r="S1108" t="str">
        <f t="shared" si="158"/>
        <v>5480</v>
      </c>
      <c r="T1108" t="s">
        <v>3503</v>
      </c>
      <c r="U1108" t="s">
        <v>37</v>
      </c>
    </row>
    <row r="1109" spans="1:21" ht="15" customHeight="1" x14ac:dyDescent="0.3">
      <c r="A1109" t="s">
        <v>179</v>
      </c>
      <c r="B1109" t="str">
        <f>"00061300"</f>
        <v>00061300</v>
      </c>
      <c r="C1109" t="s">
        <v>4262</v>
      </c>
      <c r="D1109" t="s">
        <v>184</v>
      </c>
      <c r="E1109" t="str">
        <f>"00048167"</f>
        <v>00048167</v>
      </c>
      <c r="F1109">
        <v>0</v>
      </c>
      <c r="G1109" s="243">
        <v>32028</v>
      </c>
      <c r="H1109" t="s">
        <v>182</v>
      </c>
      <c r="I1109">
        <v>15</v>
      </c>
      <c r="J1109">
        <v>16</v>
      </c>
      <c r="K1109">
        <v>1</v>
      </c>
      <c r="L1109">
        <v>103347</v>
      </c>
      <c r="M1109" t="str">
        <f t="shared" si="160"/>
        <v>13</v>
      </c>
      <c r="N1109" t="s">
        <v>3370</v>
      </c>
      <c r="O1109" t="str">
        <f t="shared" si="157"/>
        <v>54811</v>
      </c>
      <c r="P1109" t="str">
        <f t="shared" ref="P1109:P1114" si="162">"2100L"</f>
        <v>2100L</v>
      </c>
      <c r="Q1109" t="str">
        <f t="shared" si="161"/>
        <v>0101</v>
      </c>
      <c r="R1109">
        <v>2100</v>
      </c>
      <c r="S1109" t="str">
        <f t="shared" si="158"/>
        <v>5480</v>
      </c>
      <c r="T1109" t="s">
        <v>3503</v>
      </c>
      <c r="U1109" t="s">
        <v>37</v>
      </c>
    </row>
    <row r="1110" spans="1:21" ht="15" customHeight="1" x14ac:dyDescent="0.3">
      <c r="A1110" t="s">
        <v>179</v>
      </c>
      <c r="B1110" t="str">
        <f>"00062033"</f>
        <v>00062033</v>
      </c>
      <c r="C1110" t="s">
        <v>4260</v>
      </c>
      <c r="D1110" t="s">
        <v>1235</v>
      </c>
      <c r="E1110" t="str">
        <f>"00050319"</f>
        <v>00050319</v>
      </c>
      <c r="F1110">
        <v>0</v>
      </c>
      <c r="G1110" s="243">
        <v>39673</v>
      </c>
      <c r="H1110" t="s">
        <v>182</v>
      </c>
      <c r="I1110">
        <v>15</v>
      </c>
      <c r="J1110">
        <v>6</v>
      </c>
      <c r="K1110">
        <v>1</v>
      </c>
      <c r="L1110">
        <v>66078</v>
      </c>
      <c r="M1110" t="str">
        <f t="shared" si="160"/>
        <v>13</v>
      </c>
      <c r="N1110" t="s">
        <v>3323</v>
      </c>
      <c r="O1110" t="str">
        <f t="shared" si="157"/>
        <v>54811</v>
      </c>
      <c r="P1110" t="str">
        <f t="shared" si="162"/>
        <v>2100L</v>
      </c>
      <c r="Q1110" t="str">
        <f t="shared" si="161"/>
        <v>0101</v>
      </c>
      <c r="R1110">
        <v>2100</v>
      </c>
      <c r="S1110" t="str">
        <f t="shared" si="158"/>
        <v>5480</v>
      </c>
      <c r="T1110" t="s">
        <v>3503</v>
      </c>
      <c r="U1110" t="s">
        <v>37</v>
      </c>
    </row>
    <row r="1111" spans="1:21" ht="15" customHeight="1" x14ac:dyDescent="0.3">
      <c r="A1111" t="s">
        <v>179</v>
      </c>
      <c r="B1111" t="str">
        <f>"00062170"</f>
        <v>00062170</v>
      </c>
      <c r="C1111" t="s">
        <v>4259</v>
      </c>
      <c r="D1111" t="s">
        <v>1236</v>
      </c>
      <c r="E1111" t="str">
        <f>"00055106"</f>
        <v>00055106</v>
      </c>
      <c r="F1111">
        <v>0</v>
      </c>
      <c r="G1111" s="243">
        <v>39679</v>
      </c>
      <c r="H1111" t="s">
        <v>182</v>
      </c>
      <c r="I1111">
        <v>15</v>
      </c>
      <c r="J1111">
        <v>8</v>
      </c>
      <c r="K1111">
        <v>1</v>
      </c>
      <c r="L1111">
        <v>72171</v>
      </c>
      <c r="M1111" t="str">
        <f t="shared" si="160"/>
        <v>13</v>
      </c>
      <c r="N1111" t="s">
        <v>3323</v>
      </c>
      <c r="O1111" t="str">
        <f t="shared" si="157"/>
        <v>54811</v>
      </c>
      <c r="P1111" t="str">
        <f t="shared" si="162"/>
        <v>2100L</v>
      </c>
      <c r="Q1111" t="str">
        <f t="shared" si="161"/>
        <v>0101</v>
      </c>
      <c r="R1111">
        <v>2100</v>
      </c>
      <c r="S1111" t="str">
        <f t="shared" si="158"/>
        <v>5480</v>
      </c>
      <c r="T1111" t="s">
        <v>3503</v>
      </c>
      <c r="U1111" t="s">
        <v>37</v>
      </c>
    </row>
    <row r="1112" spans="1:21" ht="15" customHeight="1" x14ac:dyDescent="0.3">
      <c r="A1112" t="s">
        <v>179</v>
      </c>
      <c r="B1112" t="str">
        <f>"00065771"</f>
        <v>00065771</v>
      </c>
      <c r="C1112" t="s">
        <v>4262</v>
      </c>
      <c r="H1112" t="s">
        <v>170</v>
      </c>
      <c r="I1112">
        <v>15</v>
      </c>
      <c r="J1112">
        <v>1</v>
      </c>
      <c r="K1112">
        <v>1</v>
      </c>
      <c r="L1112">
        <v>54975</v>
      </c>
      <c r="M1112" t="str">
        <f t="shared" si="160"/>
        <v>13</v>
      </c>
      <c r="N1112" t="s">
        <v>3323</v>
      </c>
      <c r="O1112" t="str">
        <f t="shared" si="157"/>
        <v>54811</v>
      </c>
      <c r="P1112" t="str">
        <f t="shared" si="162"/>
        <v>2100L</v>
      </c>
      <c r="Q1112" t="str">
        <f t="shared" si="161"/>
        <v>0101</v>
      </c>
      <c r="R1112">
        <v>2100</v>
      </c>
      <c r="S1112" t="str">
        <f t="shared" si="158"/>
        <v>5480</v>
      </c>
      <c r="T1112" t="s">
        <v>3503</v>
      </c>
      <c r="U1112" t="s">
        <v>4269</v>
      </c>
    </row>
    <row r="1113" spans="1:21" ht="15" customHeight="1" x14ac:dyDescent="0.3">
      <c r="A1113" t="s">
        <v>179</v>
      </c>
      <c r="B1113" t="str">
        <f>"00066203"</f>
        <v>00066203</v>
      </c>
      <c r="C1113" t="s">
        <v>4290</v>
      </c>
      <c r="D1113" t="s">
        <v>4646</v>
      </c>
      <c r="E1113" t="str">
        <f>"00056056"</f>
        <v>00056056</v>
      </c>
      <c r="F1113">
        <v>0</v>
      </c>
      <c r="G1113" s="243">
        <v>40042</v>
      </c>
      <c r="H1113" t="s">
        <v>182</v>
      </c>
      <c r="I1113">
        <v>4</v>
      </c>
      <c r="J1113">
        <v>5</v>
      </c>
      <c r="K1113">
        <v>1</v>
      </c>
      <c r="L1113">
        <v>25239.37</v>
      </c>
      <c r="M1113" t="str">
        <f t="shared" si="160"/>
        <v>13</v>
      </c>
      <c r="N1113" t="s">
        <v>3323</v>
      </c>
      <c r="O1113" t="str">
        <f t="shared" si="157"/>
        <v>54811</v>
      </c>
      <c r="P1113" t="str">
        <f t="shared" si="162"/>
        <v>2100L</v>
      </c>
      <c r="Q1113" t="str">
        <f t="shared" si="161"/>
        <v>0101</v>
      </c>
      <c r="R1113">
        <v>2100</v>
      </c>
      <c r="S1113" t="str">
        <f t="shared" si="158"/>
        <v>5480</v>
      </c>
      <c r="T1113" t="s">
        <v>3503</v>
      </c>
      <c r="U1113" t="s">
        <v>37</v>
      </c>
    </row>
    <row r="1114" spans="1:21" ht="15" customHeight="1" x14ac:dyDescent="0.3">
      <c r="A1114" t="s">
        <v>179</v>
      </c>
      <c r="B1114" t="str">
        <f>"00066204"</f>
        <v>00066204</v>
      </c>
      <c r="C1114" t="s">
        <v>4274</v>
      </c>
      <c r="D1114" t="s">
        <v>4647</v>
      </c>
      <c r="E1114" t="str">
        <f>"00057236"</f>
        <v>00057236</v>
      </c>
      <c r="F1114">
        <v>0</v>
      </c>
      <c r="G1114" s="243">
        <v>40042</v>
      </c>
      <c r="H1114" t="s">
        <v>182</v>
      </c>
      <c r="I1114">
        <v>4</v>
      </c>
      <c r="J1114">
        <v>6</v>
      </c>
      <c r="K1114">
        <v>1</v>
      </c>
      <c r="L1114">
        <v>25935.88</v>
      </c>
      <c r="M1114" t="str">
        <f t="shared" si="160"/>
        <v>13</v>
      </c>
      <c r="N1114" t="s">
        <v>3323</v>
      </c>
      <c r="O1114" t="str">
        <f t="shared" si="157"/>
        <v>54811</v>
      </c>
      <c r="P1114" t="str">
        <f t="shared" si="162"/>
        <v>2100L</v>
      </c>
      <c r="Q1114" t="str">
        <f t="shared" si="161"/>
        <v>0101</v>
      </c>
      <c r="R1114">
        <v>2100</v>
      </c>
      <c r="S1114" t="str">
        <f t="shared" si="158"/>
        <v>5480</v>
      </c>
      <c r="T1114" t="s">
        <v>3503</v>
      </c>
      <c r="U1114" t="s">
        <v>37</v>
      </c>
    </row>
    <row r="1115" spans="1:21" ht="15" customHeight="1" x14ac:dyDescent="0.3">
      <c r="A1115" t="s">
        <v>179</v>
      </c>
      <c r="B1115" t="str">
        <f>"00073753"</f>
        <v>00073753</v>
      </c>
      <c r="C1115" t="s">
        <v>4265</v>
      </c>
      <c r="D1115" t="s">
        <v>3504</v>
      </c>
      <c r="E1115" t="str">
        <f>"00047566"</f>
        <v>00047566</v>
      </c>
      <c r="F1115">
        <v>0</v>
      </c>
      <c r="G1115" s="243">
        <v>38825</v>
      </c>
      <c r="H1115" t="s">
        <v>182</v>
      </c>
      <c r="I1115">
        <v>15</v>
      </c>
      <c r="J1115">
        <v>13</v>
      </c>
      <c r="K1115">
        <v>0.5</v>
      </c>
      <c r="L1115">
        <v>95366</v>
      </c>
      <c r="M1115" t="str">
        <f t="shared" si="160"/>
        <v>13</v>
      </c>
      <c r="N1115" t="s">
        <v>3323</v>
      </c>
      <c r="O1115" t="str">
        <f t="shared" si="157"/>
        <v>54811</v>
      </c>
      <c r="P1115" t="str">
        <f t="shared" ref="P1115:P1122" si="163">"2100L"</f>
        <v>2100L</v>
      </c>
      <c r="Q1115" t="str">
        <f t="shared" si="161"/>
        <v>0101</v>
      </c>
      <c r="R1115">
        <v>2100</v>
      </c>
      <c r="S1115" t="str">
        <f t="shared" si="158"/>
        <v>5480</v>
      </c>
      <c r="T1115" t="s">
        <v>3503</v>
      </c>
      <c r="U1115" t="s">
        <v>37</v>
      </c>
    </row>
    <row r="1116" spans="1:21" ht="15" customHeight="1" x14ac:dyDescent="0.3">
      <c r="A1116" t="s">
        <v>179</v>
      </c>
      <c r="B1116" t="str">
        <f>"00073875"</f>
        <v>00073875</v>
      </c>
      <c r="C1116" t="s">
        <v>4292</v>
      </c>
      <c r="D1116" t="s">
        <v>4648</v>
      </c>
      <c r="E1116" t="str">
        <f>"00051178"</f>
        <v>00051178</v>
      </c>
      <c r="F1116">
        <v>0</v>
      </c>
      <c r="G1116" s="243">
        <v>27108</v>
      </c>
      <c r="H1116" t="s">
        <v>182</v>
      </c>
      <c r="I1116">
        <v>4</v>
      </c>
      <c r="J1116">
        <v>10</v>
      </c>
      <c r="K1116">
        <v>0.71</v>
      </c>
      <c r="L1116">
        <v>28721</v>
      </c>
      <c r="M1116" t="str">
        <f t="shared" si="160"/>
        <v>13</v>
      </c>
      <c r="N1116" t="s">
        <v>3323</v>
      </c>
      <c r="O1116" t="str">
        <f t="shared" si="157"/>
        <v>54811</v>
      </c>
      <c r="P1116" t="str">
        <f t="shared" si="163"/>
        <v>2100L</v>
      </c>
      <c r="Q1116" t="str">
        <f t="shared" si="161"/>
        <v>0101</v>
      </c>
      <c r="R1116">
        <v>2100</v>
      </c>
      <c r="S1116" t="str">
        <f t="shared" si="158"/>
        <v>5480</v>
      </c>
      <c r="T1116" t="s">
        <v>3503</v>
      </c>
      <c r="U1116" t="s">
        <v>37</v>
      </c>
    </row>
    <row r="1117" spans="1:21" ht="15" customHeight="1" x14ac:dyDescent="0.3">
      <c r="A1117" t="s">
        <v>179</v>
      </c>
      <c r="B1117" t="str">
        <f>"00073876"</f>
        <v>00073876</v>
      </c>
      <c r="C1117" t="s">
        <v>4291</v>
      </c>
      <c r="H1117" t="s">
        <v>170</v>
      </c>
      <c r="I1117">
        <v>15</v>
      </c>
      <c r="J1117">
        <v>1</v>
      </c>
      <c r="K1117">
        <v>0.5</v>
      </c>
      <c r="L1117">
        <v>51539</v>
      </c>
      <c r="M1117" t="str">
        <f t="shared" si="160"/>
        <v>13</v>
      </c>
      <c r="N1117" t="s">
        <v>3323</v>
      </c>
      <c r="O1117" t="str">
        <f t="shared" si="157"/>
        <v>54811</v>
      </c>
      <c r="P1117" t="str">
        <f t="shared" si="163"/>
        <v>2100L</v>
      </c>
      <c r="Q1117" t="str">
        <f t="shared" si="161"/>
        <v>0101</v>
      </c>
      <c r="R1117">
        <v>2100</v>
      </c>
      <c r="S1117" t="str">
        <f t="shared" si="158"/>
        <v>5480</v>
      </c>
      <c r="T1117" t="s">
        <v>3503</v>
      </c>
      <c r="U1117" t="s">
        <v>37</v>
      </c>
    </row>
    <row r="1118" spans="1:21" ht="15" customHeight="1" x14ac:dyDescent="0.3">
      <c r="A1118" t="s">
        <v>179</v>
      </c>
      <c r="B1118" t="str">
        <f>"00073877"</f>
        <v>00073877</v>
      </c>
      <c r="C1118" t="s">
        <v>4256</v>
      </c>
      <c r="H1118" t="s">
        <v>170</v>
      </c>
      <c r="I1118">
        <v>15</v>
      </c>
      <c r="J1118">
        <v>1</v>
      </c>
      <c r="K1118">
        <v>0.5</v>
      </c>
      <c r="L1118">
        <v>54975</v>
      </c>
      <c r="M1118" t="str">
        <f t="shared" si="160"/>
        <v>13</v>
      </c>
      <c r="N1118" t="s">
        <v>3323</v>
      </c>
      <c r="O1118" t="str">
        <f t="shared" si="157"/>
        <v>54811</v>
      </c>
      <c r="P1118" t="str">
        <f t="shared" si="163"/>
        <v>2100L</v>
      </c>
      <c r="Q1118" t="str">
        <f t="shared" si="161"/>
        <v>0101</v>
      </c>
      <c r="R1118">
        <v>2100</v>
      </c>
      <c r="S1118" t="str">
        <f t="shared" si="158"/>
        <v>5480</v>
      </c>
      <c r="T1118" t="s">
        <v>3503</v>
      </c>
      <c r="U1118" t="s">
        <v>37</v>
      </c>
    </row>
    <row r="1119" spans="1:21" ht="15" customHeight="1" x14ac:dyDescent="0.3">
      <c r="A1119" t="s">
        <v>179</v>
      </c>
      <c r="B1119" t="str">
        <f>"00076084"</f>
        <v>00076084</v>
      </c>
      <c r="C1119" t="s">
        <v>4271</v>
      </c>
      <c r="D1119" t="s">
        <v>4649</v>
      </c>
      <c r="E1119" t="str">
        <f>"00050314"</f>
        <v>00050314</v>
      </c>
      <c r="F1119">
        <v>0</v>
      </c>
      <c r="G1119" s="243">
        <v>34948</v>
      </c>
      <c r="H1119" t="s">
        <v>182</v>
      </c>
      <c r="I1119">
        <v>15</v>
      </c>
      <c r="J1119">
        <v>14</v>
      </c>
      <c r="K1119">
        <v>0.5</v>
      </c>
      <c r="L1119">
        <v>102160</v>
      </c>
      <c r="M1119" t="str">
        <f t="shared" si="160"/>
        <v>13</v>
      </c>
      <c r="N1119" t="s">
        <v>3323</v>
      </c>
      <c r="O1119" t="str">
        <f t="shared" si="157"/>
        <v>54811</v>
      </c>
      <c r="P1119" t="str">
        <f t="shared" si="163"/>
        <v>2100L</v>
      </c>
      <c r="Q1119" t="str">
        <f t="shared" si="161"/>
        <v>0101</v>
      </c>
      <c r="R1119">
        <v>2100</v>
      </c>
      <c r="S1119" t="str">
        <f t="shared" si="158"/>
        <v>5480</v>
      </c>
      <c r="T1119" t="s">
        <v>3503</v>
      </c>
      <c r="U1119" t="s">
        <v>37</v>
      </c>
    </row>
    <row r="1120" spans="1:21" ht="15" customHeight="1" x14ac:dyDescent="0.3">
      <c r="A1120" t="s">
        <v>179</v>
      </c>
      <c r="B1120" t="str">
        <f>"00076085"</f>
        <v>00076085</v>
      </c>
      <c r="C1120" t="s">
        <v>4270</v>
      </c>
      <c r="D1120" t="s">
        <v>493</v>
      </c>
      <c r="E1120" t="str">
        <f>"00052998"</f>
        <v>00052998</v>
      </c>
      <c r="F1120">
        <v>0</v>
      </c>
      <c r="G1120" s="243">
        <v>32083</v>
      </c>
      <c r="H1120" t="s">
        <v>182</v>
      </c>
      <c r="I1120">
        <v>15</v>
      </c>
      <c r="J1120">
        <v>13</v>
      </c>
      <c r="K1120">
        <v>0.5</v>
      </c>
      <c r="L1120">
        <v>40862</v>
      </c>
      <c r="M1120" t="str">
        <f t="shared" si="160"/>
        <v>13</v>
      </c>
      <c r="N1120" t="s">
        <v>3370</v>
      </c>
      <c r="O1120" t="str">
        <f t="shared" si="157"/>
        <v>54811</v>
      </c>
      <c r="P1120" t="str">
        <f t="shared" si="163"/>
        <v>2100L</v>
      </c>
      <c r="Q1120" t="str">
        <f t="shared" si="161"/>
        <v>0101</v>
      </c>
      <c r="R1120">
        <v>2100</v>
      </c>
      <c r="S1120" t="str">
        <f t="shared" si="158"/>
        <v>5480</v>
      </c>
      <c r="T1120" t="s">
        <v>3503</v>
      </c>
      <c r="U1120" t="s">
        <v>37</v>
      </c>
    </row>
    <row r="1121" spans="1:21" ht="15" customHeight="1" x14ac:dyDescent="0.3">
      <c r="A1121" t="s">
        <v>179</v>
      </c>
      <c r="B1121" t="str">
        <f>"00076086"</f>
        <v>00076086</v>
      </c>
      <c r="C1121" t="s">
        <v>4262</v>
      </c>
      <c r="D1121" t="s">
        <v>1743</v>
      </c>
      <c r="E1121" t="str">
        <f>"00044715"</f>
        <v>00044715</v>
      </c>
      <c r="F1121">
        <v>0</v>
      </c>
      <c r="G1121" s="243">
        <v>40755</v>
      </c>
      <c r="H1121" t="s">
        <v>182</v>
      </c>
      <c r="I1121">
        <v>15</v>
      </c>
      <c r="J1121">
        <v>6</v>
      </c>
      <c r="K1121">
        <v>1</v>
      </c>
      <c r="L1121">
        <v>66078</v>
      </c>
      <c r="M1121" t="str">
        <f t="shared" si="160"/>
        <v>13</v>
      </c>
      <c r="N1121" t="s">
        <v>3370</v>
      </c>
      <c r="O1121" t="str">
        <f t="shared" si="157"/>
        <v>54811</v>
      </c>
      <c r="P1121" t="str">
        <f t="shared" si="163"/>
        <v>2100L</v>
      </c>
      <c r="Q1121" t="str">
        <f t="shared" si="161"/>
        <v>0101</v>
      </c>
      <c r="R1121">
        <v>2100</v>
      </c>
      <c r="S1121" t="str">
        <f t="shared" si="158"/>
        <v>5480</v>
      </c>
      <c r="T1121" t="s">
        <v>3503</v>
      </c>
      <c r="U1121" t="s">
        <v>37</v>
      </c>
    </row>
    <row r="1122" spans="1:21" ht="15" customHeight="1" x14ac:dyDescent="0.3">
      <c r="A1122" t="s">
        <v>179</v>
      </c>
      <c r="B1122" t="str">
        <f>"00076087"</f>
        <v>00076087</v>
      </c>
      <c r="C1122" t="s">
        <v>4262</v>
      </c>
      <c r="D1122" t="s">
        <v>1233</v>
      </c>
      <c r="E1122" t="str">
        <f>"00048578"</f>
        <v>00048578</v>
      </c>
      <c r="F1122">
        <v>0</v>
      </c>
      <c r="G1122" s="243">
        <v>37124</v>
      </c>
      <c r="H1122" t="s">
        <v>182</v>
      </c>
      <c r="I1122">
        <v>15</v>
      </c>
      <c r="J1122">
        <v>10</v>
      </c>
      <c r="K1122">
        <v>1</v>
      </c>
      <c r="L1122">
        <v>80729</v>
      </c>
      <c r="M1122" t="str">
        <f t="shared" si="160"/>
        <v>13</v>
      </c>
      <c r="N1122" t="s">
        <v>3370</v>
      </c>
      <c r="O1122" t="str">
        <f t="shared" si="157"/>
        <v>54811</v>
      </c>
      <c r="P1122" t="str">
        <f t="shared" si="163"/>
        <v>2100L</v>
      </c>
      <c r="Q1122" t="str">
        <f t="shared" si="161"/>
        <v>0101</v>
      </c>
      <c r="R1122">
        <v>2100</v>
      </c>
      <c r="S1122" t="str">
        <f t="shared" si="158"/>
        <v>5480</v>
      </c>
      <c r="T1122" t="s">
        <v>3503</v>
      </c>
      <c r="U1122" t="s">
        <v>37</v>
      </c>
    </row>
    <row r="1123" spans="1:21" ht="15" customHeight="1" x14ac:dyDescent="0.3">
      <c r="A1123" t="s">
        <v>179</v>
      </c>
      <c r="B1123" t="str">
        <f>"00076449"</f>
        <v>00076449</v>
      </c>
      <c r="C1123" t="s">
        <v>4274</v>
      </c>
      <c r="D1123" t="s">
        <v>4650</v>
      </c>
      <c r="E1123" t="str">
        <f>"00067839"</f>
        <v>00067839</v>
      </c>
      <c r="F1123">
        <v>0</v>
      </c>
      <c r="G1123" s="243">
        <v>40966</v>
      </c>
      <c r="H1123" t="s">
        <v>182</v>
      </c>
      <c r="I1123">
        <v>4</v>
      </c>
      <c r="J1123">
        <v>8</v>
      </c>
      <c r="K1123">
        <v>0.71</v>
      </c>
      <c r="L1123">
        <v>27329.75</v>
      </c>
      <c r="M1123" t="str">
        <f t="shared" si="160"/>
        <v>13</v>
      </c>
      <c r="N1123" t="s">
        <v>3370</v>
      </c>
      <c r="O1123" t="str">
        <f t="shared" si="157"/>
        <v>54811</v>
      </c>
      <c r="P1123" t="str">
        <f>"2200L"</f>
        <v>2200L</v>
      </c>
      <c r="Q1123" t="str">
        <f t="shared" si="161"/>
        <v>0101</v>
      </c>
      <c r="R1123">
        <v>2200</v>
      </c>
      <c r="S1123" t="str">
        <f t="shared" si="158"/>
        <v>5480</v>
      </c>
      <c r="T1123" t="s">
        <v>3503</v>
      </c>
      <c r="U1123" t="s">
        <v>37</v>
      </c>
    </row>
    <row r="1124" spans="1:21" ht="15" customHeight="1" x14ac:dyDescent="0.3">
      <c r="A1124" t="s">
        <v>179</v>
      </c>
      <c r="B1124" t="str">
        <f>"00051627"</f>
        <v>00051627</v>
      </c>
      <c r="C1124" t="s">
        <v>4266</v>
      </c>
      <c r="D1124" t="s">
        <v>4651</v>
      </c>
      <c r="E1124" t="str">
        <f>"00069899"</f>
        <v>00069899</v>
      </c>
      <c r="F1124">
        <v>0</v>
      </c>
      <c r="G1124" s="243">
        <v>41133</v>
      </c>
      <c r="H1124" t="s">
        <v>182</v>
      </c>
      <c r="I1124">
        <v>15</v>
      </c>
      <c r="J1124">
        <v>1</v>
      </c>
      <c r="K1124">
        <v>1</v>
      </c>
      <c r="L1124">
        <v>53256</v>
      </c>
      <c r="M1124" t="str">
        <f t="shared" si="160"/>
        <v>13</v>
      </c>
      <c r="N1124" t="s">
        <v>3370</v>
      </c>
      <c r="O1124" t="str">
        <f t="shared" ref="O1124:O1157" si="164">"54911"</f>
        <v>54911</v>
      </c>
      <c r="P1124" t="str">
        <f>"2300L"</f>
        <v>2300L</v>
      </c>
      <c r="Q1124" t="str">
        <f t="shared" si="161"/>
        <v>0101</v>
      </c>
      <c r="R1124">
        <v>2300</v>
      </c>
      <c r="S1124" t="str">
        <f t="shared" ref="S1124:S1161" si="165">"5490"</f>
        <v>5490</v>
      </c>
      <c r="T1124" t="s">
        <v>3506</v>
      </c>
      <c r="U1124" t="s">
        <v>120</v>
      </c>
    </row>
    <row r="1125" spans="1:21" ht="15" customHeight="1" x14ac:dyDescent="0.3">
      <c r="A1125" t="s">
        <v>179</v>
      </c>
      <c r="B1125" t="str">
        <f>"00051788"</f>
        <v>00051788</v>
      </c>
      <c r="C1125" t="s">
        <v>4262</v>
      </c>
      <c r="D1125" t="s">
        <v>1240</v>
      </c>
      <c r="E1125" t="str">
        <f>"00045901"</f>
        <v>00045901</v>
      </c>
      <c r="F1125">
        <v>0</v>
      </c>
      <c r="G1125" s="243">
        <v>33848</v>
      </c>
      <c r="H1125" t="s">
        <v>182</v>
      </c>
      <c r="I1125">
        <v>15</v>
      </c>
      <c r="J1125">
        <v>15</v>
      </c>
      <c r="K1125">
        <v>1</v>
      </c>
      <c r="L1125">
        <v>98285</v>
      </c>
      <c r="M1125" t="str">
        <f t="shared" si="160"/>
        <v>13</v>
      </c>
      <c r="N1125" t="s">
        <v>3323</v>
      </c>
      <c r="O1125" t="str">
        <f t="shared" si="164"/>
        <v>54911</v>
      </c>
      <c r="P1125" t="str">
        <f>"2100L"</f>
        <v>2100L</v>
      </c>
      <c r="Q1125" t="str">
        <f t="shared" si="161"/>
        <v>0101</v>
      </c>
      <c r="R1125">
        <v>2100</v>
      </c>
      <c r="S1125" t="str">
        <f t="shared" si="165"/>
        <v>5490</v>
      </c>
      <c r="T1125" t="s">
        <v>3506</v>
      </c>
      <c r="U1125" t="s">
        <v>120</v>
      </c>
    </row>
    <row r="1126" spans="1:21" ht="15" customHeight="1" x14ac:dyDescent="0.3">
      <c r="A1126" t="s">
        <v>179</v>
      </c>
      <c r="B1126" t="str">
        <f>"00052939"</f>
        <v>00052939</v>
      </c>
      <c r="C1126" t="s">
        <v>4262</v>
      </c>
      <c r="D1126" t="s">
        <v>1241</v>
      </c>
      <c r="E1126" t="str">
        <f>"00050324"</f>
        <v>00050324</v>
      </c>
      <c r="F1126">
        <v>0</v>
      </c>
      <c r="G1126" s="243">
        <v>31686</v>
      </c>
      <c r="H1126" t="s">
        <v>182</v>
      </c>
      <c r="I1126">
        <v>15</v>
      </c>
      <c r="J1126">
        <v>16</v>
      </c>
      <c r="K1126">
        <v>1</v>
      </c>
      <c r="L1126">
        <v>100839</v>
      </c>
      <c r="M1126" t="str">
        <f t="shared" si="160"/>
        <v>13</v>
      </c>
      <c r="N1126" t="s">
        <v>3323</v>
      </c>
      <c r="O1126" t="str">
        <f t="shared" si="164"/>
        <v>54911</v>
      </c>
      <c r="P1126" t="str">
        <f>"2100L"</f>
        <v>2100L</v>
      </c>
      <c r="Q1126" t="str">
        <f t="shared" si="161"/>
        <v>0101</v>
      </c>
      <c r="R1126">
        <v>2100</v>
      </c>
      <c r="S1126" t="str">
        <f t="shared" si="165"/>
        <v>5490</v>
      </c>
      <c r="T1126" t="s">
        <v>3506</v>
      </c>
      <c r="U1126" t="s">
        <v>120</v>
      </c>
    </row>
    <row r="1127" spans="1:21" ht="15" customHeight="1" x14ac:dyDescent="0.3">
      <c r="A1127" t="s">
        <v>179</v>
      </c>
      <c r="B1127" t="str">
        <f>"00052941"</f>
        <v>00052941</v>
      </c>
      <c r="C1127" t="s">
        <v>4306</v>
      </c>
      <c r="H1127" t="s">
        <v>170</v>
      </c>
      <c r="I1127">
        <v>9</v>
      </c>
      <c r="J1127">
        <v>1</v>
      </c>
      <c r="K1127">
        <v>1</v>
      </c>
      <c r="L1127">
        <v>33163</v>
      </c>
      <c r="M1127" t="str">
        <f t="shared" si="160"/>
        <v>13</v>
      </c>
      <c r="N1127" t="s">
        <v>3323</v>
      </c>
      <c r="O1127" t="str">
        <f t="shared" si="164"/>
        <v>54911</v>
      </c>
      <c r="P1127" t="str">
        <f>"1502L"</f>
        <v>1502L</v>
      </c>
      <c r="Q1127" t="str">
        <f t="shared" si="161"/>
        <v>0101</v>
      </c>
      <c r="R1127">
        <v>1502</v>
      </c>
      <c r="S1127" t="str">
        <f t="shared" si="165"/>
        <v>5490</v>
      </c>
      <c r="T1127" t="s">
        <v>3506</v>
      </c>
      <c r="U1127" t="s">
        <v>120</v>
      </c>
    </row>
    <row r="1128" spans="1:21" ht="15" customHeight="1" x14ac:dyDescent="0.3">
      <c r="A1128" t="s">
        <v>179</v>
      </c>
      <c r="B1128" t="str">
        <f>"00053665"</f>
        <v>00053665</v>
      </c>
      <c r="C1128" t="s">
        <v>4274</v>
      </c>
      <c r="D1128" t="s">
        <v>4652</v>
      </c>
      <c r="E1128" t="str">
        <f>"00052152"</f>
        <v>00052152</v>
      </c>
      <c r="F1128">
        <v>0</v>
      </c>
      <c r="G1128" s="243">
        <v>33527</v>
      </c>
      <c r="H1128" t="s">
        <v>182</v>
      </c>
      <c r="I1128">
        <v>4</v>
      </c>
      <c r="J1128">
        <v>10</v>
      </c>
      <c r="K1128">
        <v>0.875</v>
      </c>
      <c r="L1128">
        <v>28721</v>
      </c>
      <c r="M1128" t="str">
        <f t="shared" si="160"/>
        <v>13</v>
      </c>
      <c r="N1128" t="s">
        <v>3323</v>
      </c>
      <c r="O1128" t="str">
        <f t="shared" si="164"/>
        <v>54911</v>
      </c>
      <c r="P1128" t="str">
        <f t="shared" ref="P1128:P1136" si="166">"2100L"</f>
        <v>2100L</v>
      </c>
      <c r="Q1128" t="str">
        <f t="shared" si="161"/>
        <v>0101</v>
      </c>
      <c r="R1128">
        <v>2100</v>
      </c>
      <c r="S1128" t="str">
        <f t="shared" si="165"/>
        <v>5490</v>
      </c>
      <c r="T1128" t="s">
        <v>3506</v>
      </c>
      <c r="U1128" t="s">
        <v>120</v>
      </c>
    </row>
    <row r="1129" spans="1:21" ht="15" customHeight="1" x14ac:dyDescent="0.3">
      <c r="A1129" t="s">
        <v>179</v>
      </c>
      <c r="B1129" t="str">
        <f>"00056591"</f>
        <v>00056591</v>
      </c>
      <c r="C1129" t="s">
        <v>4253</v>
      </c>
      <c r="D1129" t="s">
        <v>3511</v>
      </c>
      <c r="E1129" t="str">
        <f>"00065649"</f>
        <v>00065649</v>
      </c>
      <c r="F1129">
        <v>0</v>
      </c>
      <c r="G1129" s="243">
        <v>40755</v>
      </c>
      <c r="H1129" t="s">
        <v>182</v>
      </c>
      <c r="I1129">
        <v>15</v>
      </c>
      <c r="J1129">
        <v>9</v>
      </c>
      <c r="K1129">
        <v>1</v>
      </c>
      <c r="L1129">
        <v>75232</v>
      </c>
      <c r="M1129" t="str">
        <f t="shared" si="160"/>
        <v>13</v>
      </c>
      <c r="N1129" t="s">
        <v>3323</v>
      </c>
      <c r="O1129" t="str">
        <f t="shared" si="164"/>
        <v>54911</v>
      </c>
      <c r="P1129" t="str">
        <f t="shared" si="166"/>
        <v>2100L</v>
      </c>
      <c r="Q1129" t="str">
        <f t="shared" si="161"/>
        <v>0101</v>
      </c>
      <c r="R1129">
        <v>2100</v>
      </c>
      <c r="S1129" t="str">
        <f t="shared" si="165"/>
        <v>5490</v>
      </c>
      <c r="T1129" t="s">
        <v>3506</v>
      </c>
      <c r="U1129" t="s">
        <v>120</v>
      </c>
    </row>
    <row r="1130" spans="1:21" ht="15" customHeight="1" x14ac:dyDescent="0.3">
      <c r="A1130" t="s">
        <v>179</v>
      </c>
      <c r="B1130" t="str">
        <f>"00056769"</f>
        <v>00056769</v>
      </c>
      <c r="C1130" t="s">
        <v>4259</v>
      </c>
      <c r="D1130" t="s">
        <v>1243</v>
      </c>
      <c r="E1130" t="str">
        <f>"00044812"</f>
        <v>00044812</v>
      </c>
      <c r="F1130">
        <v>0</v>
      </c>
      <c r="G1130" s="243">
        <v>37861</v>
      </c>
      <c r="H1130" t="s">
        <v>182</v>
      </c>
      <c r="I1130">
        <v>15</v>
      </c>
      <c r="J1130">
        <v>13</v>
      </c>
      <c r="K1130">
        <v>1</v>
      </c>
      <c r="L1130">
        <v>95366</v>
      </c>
      <c r="M1130" t="str">
        <f t="shared" si="160"/>
        <v>13</v>
      </c>
      <c r="N1130" t="s">
        <v>3323</v>
      </c>
      <c r="O1130" t="str">
        <f t="shared" si="164"/>
        <v>54911</v>
      </c>
      <c r="P1130" t="str">
        <f t="shared" si="166"/>
        <v>2100L</v>
      </c>
      <c r="Q1130" t="str">
        <f t="shared" si="161"/>
        <v>0101</v>
      </c>
      <c r="R1130">
        <v>2100</v>
      </c>
      <c r="S1130" t="str">
        <f t="shared" si="165"/>
        <v>5490</v>
      </c>
      <c r="T1130" t="s">
        <v>3506</v>
      </c>
      <c r="U1130" t="s">
        <v>120</v>
      </c>
    </row>
    <row r="1131" spans="1:21" ht="15" customHeight="1" x14ac:dyDescent="0.3">
      <c r="A1131" t="s">
        <v>179</v>
      </c>
      <c r="B1131" t="str">
        <f>"00057083"</f>
        <v>00057083</v>
      </c>
      <c r="C1131" t="s">
        <v>4262</v>
      </c>
      <c r="D1131" t="s">
        <v>1244</v>
      </c>
      <c r="E1131" t="str">
        <f>"00046493"</f>
        <v>00046493</v>
      </c>
      <c r="F1131">
        <v>0</v>
      </c>
      <c r="G1131" s="243">
        <v>38587</v>
      </c>
      <c r="H1131" t="s">
        <v>182</v>
      </c>
      <c r="I1131">
        <v>15</v>
      </c>
      <c r="J1131">
        <v>7</v>
      </c>
      <c r="K1131">
        <v>1</v>
      </c>
      <c r="L1131">
        <v>69132</v>
      </c>
      <c r="M1131" t="str">
        <f t="shared" si="160"/>
        <v>13</v>
      </c>
      <c r="N1131" t="s">
        <v>3323</v>
      </c>
      <c r="O1131" t="str">
        <f t="shared" si="164"/>
        <v>54911</v>
      </c>
      <c r="P1131" t="str">
        <f t="shared" si="166"/>
        <v>2100L</v>
      </c>
      <c r="Q1131" t="str">
        <f t="shared" si="161"/>
        <v>0101</v>
      </c>
      <c r="R1131">
        <v>2100</v>
      </c>
      <c r="S1131" t="str">
        <f t="shared" si="165"/>
        <v>5490</v>
      </c>
      <c r="T1131" t="s">
        <v>3506</v>
      </c>
      <c r="U1131" t="s">
        <v>120</v>
      </c>
    </row>
    <row r="1132" spans="1:21" ht="15" customHeight="1" x14ac:dyDescent="0.3">
      <c r="A1132" t="s">
        <v>179</v>
      </c>
      <c r="B1132" t="str">
        <f>"00057193"</f>
        <v>00057193</v>
      </c>
      <c r="C1132" t="s">
        <v>4272</v>
      </c>
      <c r="D1132" t="s">
        <v>1245</v>
      </c>
      <c r="E1132" t="str">
        <f>"00045943"</f>
        <v>00045943</v>
      </c>
      <c r="F1132">
        <v>0</v>
      </c>
      <c r="G1132" s="243">
        <v>30434</v>
      </c>
      <c r="H1132" t="s">
        <v>182</v>
      </c>
      <c r="I1132">
        <v>15</v>
      </c>
      <c r="J1132">
        <v>13</v>
      </c>
      <c r="K1132">
        <v>1</v>
      </c>
      <c r="L1132">
        <v>101066</v>
      </c>
      <c r="M1132" t="str">
        <f t="shared" si="160"/>
        <v>13</v>
      </c>
      <c r="N1132" t="s">
        <v>3323</v>
      </c>
      <c r="O1132" t="str">
        <f t="shared" si="164"/>
        <v>54911</v>
      </c>
      <c r="P1132" t="str">
        <f t="shared" si="166"/>
        <v>2100L</v>
      </c>
      <c r="Q1132" t="str">
        <f t="shared" si="161"/>
        <v>0101</v>
      </c>
      <c r="R1132">
        <v>2100</v>
      </c>
      <c r="S1132" t="str">
        <f t="shared" si="165"/>
        <v>5490</v>
      </c>
      <c r="T1132" t="s">
        <v>3506</v>
      </c>
      <c r="U1132" t="s">
        <v>120</v>
      </c>
    </row>
    <row r="1133" spans="1:21" ht="15" customHeight="1" x14ac:dyDescent="0.3">
      <c r="A1133" t="s">
        <v>179</v>
      </c>
      <c r="B1133" t="str">
        <f>"00057910"</f>
        <v>00057910</v>
      </c>
      <c r="C1133" t="s">
        <v>4262</v>
      </c>
      <c r="D1133" t="s">
        <v>1246</v>
      </c>
      <c r="E1133" t="str">
        <f>"00046331"</f>
        <v>00046331</v>
      </c>
      <c r="F1133">
        <v>0</v>
      </c>
      <c r="G1133" s="243">
        <v>38951</v>
      </c>
      <c r="H1133" t="s">
        <v>182</v>
      </c>
      <c r="I1133">
        <v>15</v>
      </c>
      <c r="J1133">
        <v>7</v>
      </c>
      <c r="K1133">
        <v>1</v>
      </c>
      <c r="L1133">
        <v>74045</v>
      </c>
      <c r="M1133" t="str">
        <f t="shared" si="160"/>
        <v>13</v>
      </c>
      <c r="N1133" t="s">
        <v>3323</v>
      </c>
      <c r="O1133" t="str">
        <f t="shared" si="164"/>
        <v>54911</v>
      </c>
      <c r="P1133" t="str">
        <f t="shared" si="166"/>
        <v>2100L</v>
      </c>
      <c r="Q1133" t="str">
        <f t="shared" si="161"/>
        <v>0101</v>
      </c>
      <c r="R1133">
        <v>2100</v>
      </c>
      <c r="S1133" t="str">
        <f t="shared" si="165"/>
        <v>5490</v>
      </c>
      <c r="T1133" t="s">
        <v>3506</v>
      </c>
      <c r="U1133" t="s">
        <v>120</v>
      </c>
    </row>
    <row r="1134" spans="1:21" ht="15" customHeight="1" x14ac:dyDescent="0.3">
      <c r="A1134" t="s">
        <v>179</v>
      </c>
      <c r="B1134" t="str">
        <f>"00058511"</f>
        <v>00058511</v>
      </c>
      <c r="C1134" t="s">
        <v>4256</v>
      </c>
      <c r="D1134" t="s">
        <v>1247</v>
      </c>
      <c r="E1134" t="str">
        <f>"00049094"</f>
        <v>00049094</v>
      </c>
      <c r="F1134">
        <v>0</v>
      </c>
      <c r="G1134" s="243">
        <v>37173</v>
      </c>
      <c r="H1134" t="s">
        <v>182</v>
      </c>
      <c r="I1134">
        <v>15</v>
      </c>
      <c r="J1134">
        <v>9</v>
      </c>
      <c r="K1134">
        <v>1</v>
      </c>
      <c r="L1134">
        <v>77687</v>
      </c>
      <c r="M1134" t="str">
        <f t="shared" si="160"/>
        <v>13</v>
      </c>
      <c r="N1134" t="s">
        <v>3323</v>
      </c>
      <c r="O1134" t="str">
        <f t="shared" si="164"/>
        <v>54911</v>
      </c>
      <c r="P1134" t="str">
        <f t="shared" si="166"/>
        <v>2100L</v>
      </c>
      <c r="Q1134" t="str">
        <f t="shared" si="161"/>
        <v>0101</v>
      </c>
      <c r="R1134">
        <v>2100</v>
      </c>
      <c r="S1134" t="str">
        <f t="shared" si="165"/>
        <v>5490</v>
      </c>
      <c r="T1134" t="s">
        <v>3506</v>
      </c>
      <c r="U1134" t="s">
        <v>120</v>
      </c>
    </row>
    <row r="1135" spans="1:21" ht="15" customHeight="1" x14ac:dyDescent="0.3">
      <c r="A1135" t="s">
        <v>179</v>
      </c>
      <c r="B1135" t="str">
        <f>"00058950"</f>
        <v>00058950</v>
      </c>
      <c r="C1135" t="s">
        <v>4262</v>
      </c>
      <c r="D1135" t="s">
        <v>1248</v>
      </c>
      <c r="E1135" t="str">
        <f>"00053715"</f>
        <v>00053715</v>
      </c>
      <c r="F1135">
        <v>0</v>
      </c>
      <c r="G1135" s="243">
        <v>37493</v>
      </c>
      <c r="H1135" t="s">
        <v>182</v>
      </c>
      <c r="I1135">
        <v>15</v>
      </c>
      <c r="J1135">
        <v>11</v>
      </c>
      <c r="K1135">
        <v>1</v>
      </c>
      <c r="L1135">
        <v>70891</v>
      </c>
      <c r="M1135" t="str">
        <f t="shared" si="160"/>
        <v>13</v>
      </c>
      <c r="N1135" t="s">
        <v>3323</v>
      </c>
      <c r="O1135" t="str">
        <f t="shared" si="164"/>
        <v>54911</v>
      </c>
      <c r="P1135" t="str">
        <f t="shared" si="166"/>
        <v>2100L</v>
      </c>
      <c r="Q1135" t="str">
        <f t="shared" si="161"/>
        <v>0101</v>
      </c>
      <c r="R1135">
        <v>2100</v>
      </c>
      <c r="S1135" t="str">
        <f t="shared" si="165"/>
        <v>5490</v>
      </c>
      <c r="T1135" t="s">
        <v>3506</v>
      </c>
      <c r="U1135" t="s">
        <v>120</v>
      </c>
    </row>
    <row r="1136" spans="1:21" ht="15" customHeight="1" x14ac:dyDescent="0.3">
      <c r="A1136" t="s">
        <v>179</v>
      </c>
      <c r="B1136" t="str">
        <f>"00058971"</f>
        <v>00058971</v>
      </c>
      <c r="C1136" t="s">
        <v>4292</v>
      </c>
      <c r="D1136" t="s">
        <v>4653</v>
      </c>
      <c r="E1136" t="str">
        <f>"00045738"</f>
        <v>00045738</v>
      </c>
      <c r="F1136">
        <v>0</v>
      </c>
      <c r="G1136" s="243">
        <v>37496</v>
      </c>
      <c r="H1136" t="s">
        <v>182</v>
      </c>
      <c r="I1136">
        <v>4</v>
      </c>
      <c r="J1136">
        <v>7</v>
      </c>
      <c r="K1136">
        <v>0.875</v>
      </c>
      <c r="L1136">
        <v>26633.25</v>
      </c>
      <c r="M1136" t="str">
        <f t="shared" si="160"/>
        <v>13</v>
      </c>
      <c r="N1136" t="s">
        <v>3323</v>
      </c>
      <c r="O1136" t="str">
        <f t="shared" si="164"/>
        <v>54911</v>
      </c>
      <c r="P1136" t="str">
        <f t="shared" si="166"/>
        <v>2100L</v>
      </c>
      <c r="Q1136" t="str">
        <f t="shared" si="161"/>
        <v>0101</v>
      </c>
      <c r="R1136">
        <v>2100</v>
      </c>
      <c r="S1136" t="str">
        <f t="shared" si="165"/>
        <v>5490</v>
      </c>
      <c r="T1136" t="s">
        <v>3506</v>
      </c>
      <c r="U1136" t="s">
        <v>120</v>
      </c>
    </row>
    <row r="1137" spans="1:21" ht="15" customHeight="1" x14ac:dyDescent="0.3">
      <c r="A1137" t="s">
        <v>179</v>
      </c>
      <c r="B1137" t="str">
        <f>"00059325"</f>
        <v>00059325</v>
      </c>
      <c r="C1137" t="s">
        <v>3798</v>
      </c>
      <c r="D1137" t="s">
        <v>1125</v>
      </c>
      <c r="E1137" t="str">
        <f>"00046460"</f>
        <v>00046460</v>
      </c>
      <c r="F1137">
        <v>0</v>
      </c>
      <c r="G1137" s="243">
        <v>37861</v>
      </c>
      <c r="H1137" t="s">
        <v>182</v>
      </c>
      <c r="I1137">
        <v>61</v>
      </c>
      <c r="J1137">
        <v>5</v>
      </c>
      <c r="K1137">
        <v>1</v>
      </c>
      <c r="L1137">
        <v>120000</v>
      </c>
      <c r="M1137" t="str">
        <f t="shared" si="160"/>
        <v>13</v>
      </c>
      <c r="N1137" t="s">
        <v>3323</v>
      </c>
      <c r="O1137" t="str">
        <f t="shared" si="164"/>
        <v>54911</v>
      </c>
      <c r="P1137" t="str">
        <f>"1501L"</f>
        <v>1501L</v>
      </c>
      <c r="Q1137" t="str">
        <f t="shared" si="161"/>
        <v>0101</v>
      </c>
      <c r="R1137">
        <v>1501</v>
      </c>
      <c r="S1137" t="str">
        <f t="shared" si="165"/>
        <v>5490</v>
      </c>
      <c r="T1137" t="s">
        <v>3506</v>
      </c>
      <c r="U1137" t="s">
        <v>120</v>
      </c>
    </row>
    <row r="1138" spans="1:21" ht="15" customHeight="1" x14ac:dyDescent="0.3">
      <c r="A1138" t="s">
        <v>179</v>
      </c>
      <c r="B1138" t="str">
        <f>"00059371"</f>
        <v>00059371</v>
      </c>
      <c r="C1138" t="s">
        <v>4262</v>
      </c>
      <c r="D1138" t="s">
        <v>1249</v>
      </c>
      <c r="E1138" t="str">
        <f>"00062909"</f>
        <v>00062909</v>
      </c>
      <c r="F1138">
        <v>0</v>
      </c>
      <c r="G1138" s="243">
        <v>40406</v>
      </c>
      <c r="H1138" t="s">
        <v>182</v>
      </c>
      <c r="I1138">
        <v>15</v>
      </c>
      <c r="J1138">
        <v>3</v>
      </c>
      <c r="K1138">
        <v>1</v>
      </c>
      <c r="L1138">
        <v>52777</v>
      </c>
      <c r="M1138" t="str">
        <f t="shared" si="160"/>
        <v>13</v>
      </c>
      <c r="N1138" t="s">
        <v>3323</v>
      </c>
      <c r="O1138" t="str">
        <f t="shared" si="164"/>
        <v>54911</v>
      </c>
      <c r="P1138" t="str">
        <f>"2100L"</f>
        <v>2100L</v>
      </c>
      <c r="Q1138" t="str">
        <f t="shared" si="161"/>
        <v>0101</v>
      </c>
      <c r="R1138">
        <v>2100</v>
      </c>
      <c r="S1138" t="str">
        <f t="shared" si="165"/>
        <v>5490</v>
      </c>
      <c r="T1138" t="s">
        <v>3506</v>
      </c>
      <c r="U1138" t="s">
        <v>120</v>
      </c>
    </row>
    <row r="1139" spans="1:21" ht="15" customHeight="1" x14ac:dyDescent="0.3">
      <c r="A1139" t="s">
        <v>179</v>
      </c>
      <c r="B1139" t="str">
        <f>"00059641"</f>
        <v>00059641</v>
      </c>
      <c r="C1139" t="s">
        <v>4262</v>
      </c>
      <c r="D1139" t="s">
        <v>3510</v>
      </c>
      <c r="E1139" t="str">
        <f>"00066469"</f>
        <v>00066469</v>
      </c>
      <c r="F1139">
        <v>0</v>
      </c>
      <c r="G1139" s="243">
        <v>40755</v>
      </c>
      <c r="H1139" t="s">
        <v>182</v>
      </c>
      <c r="I1139">
        <v>15</v>
      </c>
      <c r="J1139">
        <v>2</v>
      </c>
      <c r="K1139">
        <v>1</v>
      </c>
      <c r="L1139">
        <v>51716</v>
      </c>
      <c r="M1139" t="str">
        <f t="shared" si="160"/>
        <v>13</v>
      </c>
      <c r="N1139" t="s">
        <v>3323</v>
      </c>
      <c r="O1139" t="str">
        <f t="shared" si="164"/>
        <v>54911</v>
      </c>
      <c r="P1139" t="str">
        <f>"2100L"</f>
        <v>2100L</v>
      </c>
      <c r="Q1139" t="str">
        <f t="shared" si="161"/>
        <v>0101</v>
      </c>
      <c r="R1139">
        <v>2100</v>
      </c>
      <c r="S1139" t="str">
        <f t="shared" si="165"/>
        <v>5490</v>
      </c>
      <c r="T1139" t="s">
        <v>3506</v>
      </c>
      <c r="U1139" t="s">
        <v>120</v>
      </c>
    </row>
    <row r="1140" spans="1:21" ht="15" customHeight="1" x14ac:dyDescent="0.3">
      <c r="A1140" t="s">
        <v>179</v>
      </c>
      <c r="B1140" t="str">
        <f>"00061102"</f>
        <v>00061102</v>
      </c>
      <c r="C1140" t="s">
        <v>4272</v>
      </c>
      <c r="D1140" t="s">
        <v>4654</v>
      </c>
      <c r="E1140" t="str">
        <f>"00049846"</f>
        <v>00049846</v>
      </c>
      <c r="F1140">
        <v>0</v>
      </c>
      <c r="G1140" s="243">
        <v>39314</v>
      </c>
      <c r="H1140" t="s">
        <v>182</v>
      </c>
      <c r="I1140">
        <v>15</v>
      </c>
      <c r="J1140">
        <v>9</v>
      </c>
      <c r="K1140">
        <v>1</v>
      </c>
      <c r="L1140">
        <v>75232</v>
      </c>
      <c r="M1140" t="str">
        <f t="shared" si="160"/>
        <v>13</v>
      </c>
      <c r="N1140" t="s">
        <v>3323</v>
      </c>
      <c r="O1140" t="str">
        <f t="shared" si="164"/>
        <v>54911</v>
      </c>
      <c r="P1140" t="str">
        <f>"2200L"</f>
        <v>2200L</v>
      </c>
      <c r="Q1140" t="str">
        <f t="shared" si="161"/>
        <v>0101</v>
      </c>
      <c r="R1140">
        <v>2200</v>
      </c>
      <c r="S1140" t="str">
        <f t="shared" si="165"/>
        <v>5490</v>
      </c>
      <c r="T1140" t="s">
        <v>3506</v>
      </c>
      <c r="U1140" t="s">
        <v>120</v>
      </c>
    </row>
    <row r="1141" spans="1:21" ht="15" customHeight="1" x14ac:dyDescent="0.3">
      <c r="A1141" t="s">
        <v>179</v>
      </c>
      <c r="B1141" t="str">
        <f>"00061898"</f>
        <v>00061898</v>
      </c>
      <c r="C1141" t="s">
        <v>4260</v>
      </c>
      <c r="D1141" t="s">
        <v>3507</v>
      </c>
      <c r="E1141" t="str">
        <f>"00044860"</f>
        <v>00044860</v>
      </c>
      <c r="F1141">
        <v>0</v>
      </c>
      <c r="G1141" s="243">
        <v>39677</v>
      </c>
      <c r="H1141" t="s">
        <v>182</v>
      </c>
      <c r="I1141">
        <v>15</v>
      </c>
      <c r="J1141">
        <v>8</v>
      </c>
      <c r="K1141">
        <v>1</v>
      </c>
      <c r="L1141">
        <v>65957</v>
      </c>
      <c r="M1141" t="str">
        <f t="shared" si="160"/>
        <v>13</v>
      </c>
      <c r="N1141" t="s">
        <v>3323</v>
      </c>
      <c r="O1141" t="str">
        <f t="shared" si="164"/>
        <v>54911</v>
      </c>
      <c r="P1141" t="str">
        <f>"2100L"</f>
        <v>2100L</v>
      </c>
      <c r="Q1141" t="str">
        <f t="shared" si="161"/>
        <v>0101</v>
      </c>
      <c r="R1141">
        <v>2100</v>
      </c>
      <c r="S1141" t="str">
        <f t="shared" si="165"/>
        <v>5490</v>
      </c>
      <c r="T1141" t="s">
        <v>3506</v>
      </c>
      <c r="U1141" t="s">
        <v>120</v>
      </c>
    </row>
    <row r="1142" spans="1:21" ht="15" customHeight="1" x14ac:dyDescent="0.3">
      <c r="A1142" t="s">
        <v>179</v>
      </c>
      <c r="B1142" t="str">
        <f>"00061900"</f>
        <v>00061900</v>
      </c>
      <c r="C1142" t="s">
        <v>200</v>
      </c>
      <c r="D1142" t="s">
        <v>4655</v>
      </c>
      <c r="E1142" t="str">
        <f>"00055630"</f>
        <v>00055630</v>
      </c>
      <c r="F1142">
        <v>0</v>
      </c>
      <c r="G1142" s="243">
        <v>41133</v>
      </c>
      <c r="H1142" t="s">
        <v>182</v>
      </c>
      <c r="I1142">
        <v>15</v>
      </c>
      <c r="J1142">
        <v>10</v>
      </c>
      <c r="K1142">
        <v>1</v>
      </c>
      <c r="L1142">
        <v>78273</v>
      </c>
      <c r="M1142" t="str">
        <f t="shared" si="160"/>
        <v>13</v>
      </c>
      <c r="N1142" t="s">
        <v>3323</v>
      </c>
      <c r="O1142" t="str">
        <f t="shared" si="164"/>
        <v>54911</v>
      </c>
      <c r="P1142" t="str">
        <f>"3030L"</f>
        <v>3030L</v>
      </c>
      <c r="Q1142" t="str">
        <f t="shared" si="161"/>
        <v>0101</v>
      </c>
      <c r="R1142">
        <v>3030</v>
      </c>
      <c r="S1142" t="str">
        <f t="shared" si="165"/>
        <v>5490</v>
      </c>
      <c r="T1142" t="s">
        <v>3506</v>
      </c>
      <c r="U1142" t="s">
        <v>120</v>
      </c>
    </row>
    <row r="1143" spans="1:21" ht="15" customHeight="1" x14ac:dyDescent="0.3">
      <c r="A1143" t="s">
        <v>179</v>
      </c>
      <c r="B1143" t="str">
        <f>"00062190"</f>
        <v>00062190</v>
      </c>
      <c r="C1143" t="s">
        <v>4266</v>
      </c>
      <c r="D1143" t="s">
        <v>1250</v>
      </c>
      <c r="E1143" t="str">
        <f>"00044482"</f>
        <v>00044482</v>
      </c>
      <c r="F1143">
        <v>0</v>
      </c>
      <c r="G1143" s="243">
        <v>39679</v>
      </c>
      <c r="H1143" t="s">
        <v>182</v>
      </c>
      <c r="I1143">
        <v>15</v>
      </c>
      <c r="J1143">
        <v>5</v>
      </c>
      <c r="K1143">
        <v>1</v>
      </c>
      <c r="L1143">
        <v>63611</v>
      </c>
      <c r="M1143" t="str">
        <f t="shared" si="160"/>
        <v>13</v>
      </c>
      <c r="N1143" t="s">
        <v>3323</v>
      </c>
      <c r="O1143" t="str">
        <f t="shared" si="164"/>
        <v>54911</v>
      </c>
      <c r="P1143" t="str">
        <f>"2300L"</f>
        <v>2300L</v>
      </c>
      <c r="Q1143" t="str">
        <f t="shared" si="161"/>
        <v>0101</v>
      </c>
      <c r="R1143">
        <v>2300</v>
      </c>
      <c r="S1143" t="str">
        <f t="shared" si="165"/>
        <v>5490</v>
      </c>
      <c r="T1143" t="s">
        <v>3506</v>
      </c>
      <c r="U1143" t="s">
        <v>120</v>
      </c>
    </row>
    <row r="1144" spans="1:21" ht="15" customHeight="1" x14ac:dyDescent="0.3">
      <c r="A1144" t="s">
        <v>179</v>
      </c>
      <c r="B1144" t="str">
        <f>"00063024"</f>
        <v>00063024</v>
      </c>
      <c r="C1144" t="s">
        <v>4260</v>
      </c>
      <c r="D1144" t="s">
        <v>1251</v>
      </c>
      <c r="E1144" t="str">
        <f>"00045831"</f>
        <v>00045831</v>
      </c>
      <c r="F1144">
        <v>0</v>
      </c>
      <c r="G1144" s="243">
        <v>39818</v>
      </c>
      <c r="H1144" t="s">
        <v>182</v>
      </c>
      <c r="I1144">
        <v>15</v>
      </c>
      <c r="J1144">
        <v>12</v>
      </c>
      <c r="K1144">
        <v>1</v>
      </c>
      <c r="L1144">
        <v>87431</v>
      </c>
      <c r="M1144" t="str">
        <f t="shared" si="160"/>
        <v>13</v>
      </c>
      <c r="N1144" t="s">
        <v>3323</v>
      </c>
      <c r="O1144" t="str">
        <f t="shared" si="164"/>
        <v>54911</v>
      </c>
      <c r="P1144" t="str">
        <f>"3030L"</f>
        <v>3030L</v>
      </c>
      <c r="Q1144" t="str">
        <f t="shared" si="161"/>
        <v>0101</v>
      </c>
      <c r="R1144">
        <v>3030</v>
      </c>
      <c r="S1144" t="str">
        <f t="shared" si="165"/>
        <v>5490</v>
      </c>
      <c r="T1144" t="s">
        <v>3506</v>
      </c>
      <c r="U1144" t="s">
        <v>120</v>
      </c>
    </row>
    <row r="1145" spans="1:21" ht="15" customHeight="1" x14ac:dyDescent="0.3">
      <c r="A1145" t="s">
        <v>179</v>
      </c>
      <c r="B1145" t="str">
        <f>"00065682"</f>
        <v>00065682</v>
      </c>
      <c r="C1145" t="s">
        <v>4260</v>
      </c>
      <c r="D1145" t="s">
        <v>3508</v>
      </c>
      <c r="E1145" t="str">
        <f>"00065781"</f>
        <v>00065781</v>
      </c>
      <c r="F1145">
        <v>0</v>
      </c>
      <c r="G1145" s="243">
        <v>40755</v>
      </c>
      <c r="H1145" t="s">
        <v>182</v>
      </c>
      <c r="I1145">
        <v>15</v>
      </c>
      <c r="J1145">
        <v>2</v>
      </c>
      <c r="K1145">
        <v>1</v>
      </c>
      <c r="L1145">
        <v>51716</v>
      </c>
      <c r="M1145" t="str">
        <f t="shared" si="160"/>
        <v>13</v>
      </c>
      <c r="N1145" t="s">
        <v>3323</v>
      </c>
      <c r="O1145" t="str">
        <f t="shared" si="164"/>
        <v>54911</v>
      </c>
      <c r="P1145" t="str">
        <f>"3030L"</f>
        <v>3030L</v>
      </c>
      <c r="Q1145" t="str">
        <f t="shared" si="161"/>
        <v>0101</v>
      </c>
      <c r="R1145">
        <v>3030</v>
      </c>
      <c r="S1145" t="str">
        <f t="shared" si="165"/>
        <v>5490</v>
      </c>
      <c r="T1145" t="s">
        <v>3506</v>
      </c>
      <c r="U1145" t="s">
        <v>120</v>
      </c>
    </row>
    <row r="1146" spans="1:21" ht="15" customHeight="1" x14ac:dyDescent="0.3">
      <c r="A1146" t="s">
        <v>179</v>
      </c>
      <c r="B1146" t="str">
        <f>"00065683"</f>
        <v>00065683</v>
      </c>
      <c r="C1146" t="s">
        <v>4260</v>
      </c>
      <c r="D1146" t="s">
        <v>1252</v>
      </c>
      <c r="E1146" t="str">
        <f>"00057868"</f>
        <v>00057868</v>
      </c>
      <c r="F1146">
        <v>0</v>
      </c>
      <c r="G1146" s="243">
        <v>40049</v>
      </c>
      <c r="H1146" t="s">
        <v>182</v>
      </c>
      <c r="I1146">
        <v>15</v>
      </c>
      <c r="J1146">
        <v>14</v>
      </c>
      <c r="K1146">
        <v>1</v>
      </c>
      <c r="L1146">
        <v>96460</v>
      </c>
      <c r="M1146" t="str">
        <f t="shared" si="160"/>
        <v>13</v>
      </c>
      <c r="N1146" t="s">
        <v>3323</v>
      </c>
      <c r="O1146" t="str">
        <f t="shared" si="164"/>
        <v>54911</v>
      </c>
      <c r="P1146" t="str">
        <f>"3030L"</f>
        <v>3030L</v>
      </c>
      <c r="Q1146" t="str">
        <f t="shared" si="161"/>
        <v>0101</v>
      </c>
      <c r="R1146">
        <v>3030</v>
      </c>
      <c r="S1146" t="str">
        <f t="shared" si="165"/>
        <v>5490</v>
      </c>
      <c r="T1146" t="s">
        <v>3506</v>
      </c>
      <c r="U1146" t="s">
        <v>120</v>
      </c>
    </row>
    <row r="1147" spans="1:21" ht="15" customHeight="1" x14ac:dyDescent="0.3">
      <c r="A1147" t="s">
        <v>179</v>
      </c>
      <c r="B1147" t="str">
        <f>"00065942"</f>
        <v>00065942</v>
      </c>
      <c r="C1147" t="s">
        <v>4274</v>
      </c>
      <c r="H1147" t="s">
        <v>170</v>
      </c>
      <c r="I1147">
        <v>4</v>
      </c>
      <c r="J1147">
        <v>1</v>
      </c>
      <c r="K1147">
        <v>1</v>
      </c>
      <c r="L1147">
        <v>25662</v>
      </c>
      <c r="M1147" t="str">
        <f t="shared" si="160"/>
        <v>13</v>
      </c>
      <c r="N1147" t="s">
        <v>3370</v>
      </c>
      <c r="O1147" t="str">
        <f t="shared" si="164"/>
        <v>54911</v>
      </c>
      <c r="P1147" t="str">
        <f>"2100L"</f>
        <v>2100L</v>
      </c>
      <c r="Q1147" t="str">
        <f t="shared" si="161"/>
        <v>0101</v>
      </c>
      <c r="R1147">
        <v>2100</v>
      </c>
      <c r="S1147" t="str">
        <f t="shared" si="165"/>
        <v>5490</v>
      </c>
      <c r="T1147" t="s">
        <v>3506</v>
      </c>
      <c r="U1147" t="s">
        <v>120</v>
      </c>
    </row>
    <row r="1148" spans="1:21" ht="15" customHeight="1" x14ac:dyDescent="0.3">
      <c r="A1148" t="s">
        <v>179</v>
      </c>
      <c r="B1148" t="str">
        <f>"00065950"</f>
        <v>00065950</v>
      </c>
      <c r="C1148" t="s">
        <v>4292</v>
      </c>
      <c r="D1148" t="s">
        <v>4656</v>
      </c>
      <c r="E1148" t="str">
        <f>"00057133"</f>
        <v>00057133</v>
      </c>
      <c r="F1148">
        <v>0</v>
      </c>
      <c r="G1148" s="243">
        <v>40042</v>
      </c>
      <c r="H1148" t="s">
        <v>182</v>
      </c>
      <c r="I1148">
        <v>4</v>
      </c>
      <c r="J1148">
        <v>5</v>
      </c>
      <c r="K1148">
        <v>1</v>
      </c>
      <c r="L1148">
        <v>25239.37</v>
      </c>
      <c r="M1148" t="str">
        <f t="shared" si="160"/>
        <v>13</v>
      </c>
      <c r="N1148" t="s">
        <v>3323</v>
      </c>
      <c r="O1148" t="str">
        <f t="shared" si="164"/>
        <v>54911</v>
      </c>
      <c r="P1148" t="str">
        <f>"2100L"</f>
        <v>2100L</v>
      </c>
      <c r="Q1148" t="str">
        <f t="shared" si="161"/>
        <v>0101</v>
      </c>
      <c r="R1148">
        <v>2100</v>
      </c>
      <c r="S1148" t="str">
        <f t="shared" si="165"/>
        <v>5490</v>
      </c>
      <c r="T1148" t="s">
        <v>3506</v>
      </c>
      <c r="U1148" t="s">
        <v>120</v>
      </c>
    </row>
    <row r="1149" spans="1:21" ht="15" customHeight="1" x14ac:dyDescent="0.3">
      <c r="A1149" t="s">
        <v>179</v>
      </c>
      <c r="B1149" t="str">
        <f>"00066837"</f>
        <v>00066837</v>
      </c>
      <c r="C1149" t="s">
        <v>4272</v>
      </c>
      <c r="D1149" t="s">
        <v>4657</v>
      </c>
      <c r="E1149" t="str">
        <f>"00069813"</f>
        <v>00069813</v>
      </c>
      <c r="F1149">
        <v>0</v>
      </c>
      <c r="G1149" s="243">
        <v>41133</v>
      </c>
      <c r="H1149" t="s">
        <v>182</v>
      </c>
      <c r="I1149">
        <v>15</v>
      </c>
      <c r="J1149">
        <v>3</v>
      </c>
      <c r="K1149">
        <v>1</v>
      </c>
      <c r="L1149">
        <v>58699</v>
      </c>
      <c r="M1149" t="str">
        <f t="shared" si="160"/>
        <v>13</v>
      </c>
      <c r="N1149" t="s">
        <v>3370</v>
      </c>
      <c r="O1149" t="str">
        <f t="shared" si="164"/>
        <v>54911</v>
      </c>
      <c r="P1149" t="str">
        <f>"2200L"</f>
        <v>2200L</v>
      </c>
      <c r="Q1149" t="str">
        <f t="shared" si="161"/>
        <v>0101</v>
      </c>
      <c r="R1149">
        <v>2200</v>
      </c>
      <c r="S1149" t="str">
        <f t="shared" si="165"/>
        <v>5490</v>
      </c>
      <c r="T1149" t="s">
        <v>3506</v>
      </c>
      <c r="U1149" t="s">
        <v>120</v>
      </c>
    </row>
    <row r="1150" spans="1:21" ht="15" customHeight="1" x14ac:dyDescent="0.3">
      <c r="A1150" t="s">
        <v>179</v>
      </c>
      <c r="B1150" t="str">
        <f>"00070784"</f>
        <v>00070784</v>
      </c>
      <c r="C1150" t="s">
        <v>4262</v>
      </c>
      <c r="D1150" t="s">
        <v>1253</v>
      </c>
      <c r="E1150" t="str">
        <f>"00060831"</f>
        <v>00060831</v>
      </c>
      <c r="F1150">
        <v>0</v>
      </c>
      <c r="G1150" s="243">
        <v>40406</v>
      </c>
      <c r="H1150" t="s">
        <v>182</v>
      </c>
      <c r="I1150">
        <v>15</v>
      </c>
      <c r="J1150">
        <v>6</v>
      </c>
      <c r="K1150">
        <v>1</v>
      </c>
      <c r="L1150">
        <v>66078</v>
      </c>
      <c r="M1150" t="str">
        <f t="shared" si="160"/>
        <v>13</v>
      </c>
      <c r="N1150" t="s">
        <v>3370</v>
      </c>
      <c r="O1150" t="str">
        <f t="shared" si="164"/>
        <v>54911</v>
      </c>
      <c r="P1150" t="str">
        <f>"2100L"</f>
        <v>2100L</v>
      </c>
      <c r="Q1150" t="str">
        <f t="shared" si="161"/>
        <v>0101</v>
      </c>
      <c r="R1150">
        <v>2100</v>
      </c>
      <c r="S1150" t="str">
        <f t="shared" si="165"/>
        <v>5490</v>
      </c>
      <c r="T1150" t="s">
        <v>3506</v>
      </c>
      <c r="U1150" t="s">
        <v>120</v>
      </c>
    </row>
    <row r="1151" spans="1:21" ht="15" customHeight="1" x14ac:dyDescent="0.3">
      <c r="A1151" t="s">
        <v>179</v>
      </c>
      <c r="B1151" t="str">
        <f>"00071994"</f>
        <v>00071994</v>
      </c>
      <c r="C1151" t="s">
        <v>3670</v>
      </c>
      <c r="D1151" t="s">
        <v>1255</v>
      </c>
      <c r="E1151" t="str">
        <f>"00045261"</f>
        <v>00045261</v>
      </c>
      <c r="F1151">
        <v>0</v>
      </c>
      <c r="G1151" s="243">
        <v>36332</v>
      </c>
      <c r="H1151" t="s">
        <v>182</v>
      </c>
      <c r="I1151">
        <v>8</v>
      </c>
      <c r="J1151">
        <v>2</v>
      </c>
      <c r="K1151">
        <v>1</v>
      </c>
      <c r="L1151">
        <v>84746</v>
      </c>
      <c r="M1151" t="str">
        <f t="shared" si="160"/>
        <v>13</v>
      </c>
      <c r="N1151" t="s">
        <v>3323</v>
      </c>
      <c r="O1151" t="str">
        <f t="shared" si="164"/>
        <v>54911</v>
      </c>
      <c r="P1151" t="str">
        <f>"1501L"</f>
        <v>1501L</v>
      </c>
      <c r="Q1151" t="str">
        <f t="shared" si="161"/>
        <v>0101</v>
      </c>
      <c r="R1151">
        <v>1501</v>
      </c>
      <c r="S1151" t="str">
        <f t="shared" si="165"/>
        <v>5490</v>
      </c>
      <c r="T1151" t="s">
        <v>3506</v>
      </c>
      <c r="U1151" t="s">
        <v>120</v>
      </c>
    </row>
    <row r="1152" spans="1:21" ht="15" customHeight="1" x14ac:dyDescent="0.3">
      <c r="A1152" t="s">
        <v>179</v>
      </c>
      <c r="B1152" t="str">
        <f>"00072219"</f>
        <v>00072219</v>
      </c>
      <c r="C1152" t="s">
        <v>4262</v>
      </c>
      <c r="D1152" t="s">
        <v>1256</v>
      </c>
      <c r="E1152" t="str">
        <f>"00062859"</f>
        <v>00062859</v>
      </c>
      <c r="F1152">
        <v>0</v>
      </c>
      <c r="G1152" s="243">
        <v>40406</v>
      </c>
      <c r="H1152" t="s">
        <v>182</v>
      </c>
      <c r="I1152">
        <v>15</v>
      </c>
      <c r="J1152">
        <v>3</v>
      </c>
      <c r="K1152">
        <v>1</v>
      </c>
      <c r="L1152">
        <v>52777</v>
      </c>
      <c r="M1152" t="str">
        <f t="shared" si="160"/>
        <v>13</v>
      </c>
      <c r="N1152" t="s">
        <v>3323</v>
      </c>
      <c r="O1152" t="str">
        <f t="shared" si="164"/>
        <v>54911</v>
      </c>
      <c r="P1152" t="str">
        <f t="shared" ref="P1152:P1157" si="167">"2100L"</f>
        <v>2100L</v>
      </c>
      <c r="Q1152" t="str">
        <f t="shared" si="161"/>
        <v>0101</v>
      </c>
      <c r="R1152">
        <v>2100</v>
      </c>
      <c r="S1152" t="str">
        <f t="shared" si="165"/>
        <v>5490</v>
      </c>
      <c r="T1152" t="s">
        <v>3506</v>
      </c>
      <c r="U1152" t="s">
        <v>120</v>
      </c>
    </row>
    <row r="1153" spans="1:21" ht="15" customHeight="1" x14ac:dyDescent="0.3">
      <c r="A1153" t="s">
        <v>179</v>
      </c>
      <c r="B1153" t="str">
        <f>"00072327"</f>
        <v>00072327</v>
      </c>
      <c r="C1153" t="s">
        <v>4262</v>
      </c>
      <c r="D1153" t="s">
        <v>1254</v>
      </c>
      <c r="E1153" t="str">
        <f>"00062633"</f>
        <v>00062633</v>
      </c>
      <c r="F1153">
        <v>0</v>
      </c>
      <c r="G1153" s="243">
        <v>40406</v>
      </c>
      <c r="H1153" t="s">
        <v>182</v>
      </c>
      <c r="I1153">
        <v>15</v>
      </c>
      <c r="J1153">
        <v>3</v>
      </c>
      <c r="K1153">
        <v>1</v>
      </c>
      <c r="L1153">
        <v>58699</v>
      </c>
      <c r="M1153" t="str">
        <f t="shared" si="160"/>
        <v>13</v>
      </c>
      <c r="N1153" t="s">
        <v>3323</v>
      </c>
      <c r="O1153" t="str">
        <f t="shared" si="164"/>
        <v>54911</v>
      </c>
      <c r="P1153" t="str">
        <f t="shared" si="167"/>
        <v>2100L</v>
      </c>
      <c r="Q1153" t="str">
        <f t="shared" si="161"/>
        <v>0101</v>
      </c>
      <c r="R1153">
        <v>2100</v>
      </c>
      <c r="S1153" t="str">
        <f t="shared" si="165"/>
        <v>5490</v>
      </c>
      <c r="T1153" t="s">
        <v>3506</v>
      </c>
      <c r="U1153" t="s">
        <v>120</v>
      </c>
    </row>
    <row r="1154" spans="1:21" ht="15" customHeight="1" x14ac:dyDescent="0.3">
      <c r="A1154" t="s">
        <v>179</v>
      </c>
      <c r="B1154" t="str">
        <f>"00072467"</f>
        <v>00072467</v>
      </c>
      <c r="C1154" t="s">
        <v>4292</v>
      </c>
      <c r="D1154" t="s">
        <v>4658</v>
      </c>
      <c r="E1154" t="str">
        <f>"00064354"</f>
        <v>00064354</v>
      </c>
      <c r="F1154">
        <v>0</v>
      </c>
      <c r="G1154" s="243">
        <v>40545</v>
      </c>
      <c r="H1154" t="s">
        <v>182</v>
      </c>
      <c r="I1154">
        <v>4</v>
      </c>
      <c r="J1154">
        <v>10</v>
      </c>
      <c r="K1154">
        <v>0.71</v>
      </c>
      <c r="L1154">
        <v>28721</v>
      </c>
      <c r="M1154" t="str">
        <f t="shared" ref="M1154:M1211" si="168">"13"</f>
        <v>13</v>
      </c>
      <c r="N1154" t="s">
        <v>3370</v>
      </c>
      <c r="O1154" t="str">
        <f t="shared" si="164"/>
        <v>54911</v>
      </c>
      <c r="P1154" t="str">
        <f t="shared" si="167"/>
        <v>2100L</v>
      </c>
      <c r="Q1154" t="str">
        <f t="shared" ref="Q1154:Q1157" si="169">"0101"</f>
        <v>0101</v>
      </c>
      <c r="R1154">
        <v>2100</v>
      </c>
      <c r="S1154" t="str">
        <f t="shared" si="165"/>
        <v>5490</v>
      </c>
      <c r="T1154" t="s">
        <v>3506</v>
      </c>
      <c r="U1154" t="s">
        <v>120</v>
      </c>
    </row>
    <row r="1155" spans="1:21" ht="15" customHeight="1" x14ac:dyDescent="0.3">
      <c r="A1155" t="s">
        <v>179</v>
      </c>
      <c r="B1155" t="str">
        <f>"00072468"</f>
        <v>00072468</v>
      </c>
      <c r="C1155" t="s">
        <v>4292</v>
      </c>
      <c r="D1155" t="s">
        <v>4659</v>
      </c>
      <c r="E1155" t="str">
        <f>"00066296"</f>
        <v>00066296</v>
      </c>
      <c r="F1155">
        <v>0</v>
      </c>
      <c r="G1155" s="243">
        <v>40770</v>
      </c>
      <c r="H1155" t="s">
        <v>182</v>
      </c>
      <c r="I1155">
        <v>4</v>
      </c>
      <c r="J1155">
        <v>6</v>
      </c>
      <c r="K1155">
        <v>0.71</v>
      </c>
      <c r="L1155">
        <v>25935.88</v>
      </c>
      <c r="M1155" t="str">
        <f t="shared" si="168"/>
        <v>13</v>
      </c>
      <c r="N1155" t="s">
        <v>3370</v>
      </c>
      <c r="O1155" t="str">
        <f t="shared" si="164"/>
        <v>54911</v>
      </c>
      <c r="P1155" t="str">
        <f t="shared" si="167"/>
        <v>2100L</v>
      </c>
      <c r="Q1155" t="str">
        <f t="shared" si="169"/>
        <v>0101</v>
      </c>
      <c r="R1155">
        <v>2100</v>
      </c>
      <c r="S1155" t="str">
        <f t="shared" si="165"/>
        <v>5490</v>
      </c>
      <c r="T1155" t="s">
        <v>3506</v>
      </c>
      <c r="U1155" t="s">
        <v>120</v>
      </c>
    </row>
    <row r="1156" spans="1:21" ht="15" customHeight="1" x14ac:dyDescent="0.3">
      <c r="A1156" t="s">
        <v>179</v>
      </c>
      <c r="B1156" t="str">
        <f>"00072605"</f>
        <v>00072605</v>
      </c>
      <c r="C1156" t="s">
        <v>4292</v>
      </c>
      <c r="D1156" t="s">
        <v>3509</v>
      </c>
      <c r="E1156" t="str">
        <f>"00066491"</f>
        <v>00066491</v>
      </c>
      <c r="F1156">
        <v>0</v>
      </c>
      <c r="G1156" s="243">
        <v>40755</v>
      </c>
      <c r="H1156" t="s">
        <v>182</v>
      </c>
      <c r="I1156">
        <v>4</v>
      </c>
      <c r="J1156">
        <v>10</v>
      </c>
      <c r="K1156">
        <v>0.71</v>
      </c>
      <c r="L1156">
        <v>28721</v>
      </c>
      <c r="M1156" t="str">
        <f t="shared" si="168"/>
        <v>13</v>
      </c>
      <c r="N1156" t="s">
        <v>3370</v>
      </c>
      <c r="O1156" t="str">
        <f t="shared" si="164"/>
        <v>54911</v>
      </c>
      <c r="P1156" t="str">
        <f t="shared" si="167"/>
        <v>2100L</v>
      </c>
      <c r="Q1156" t="str">
        <f t="shared" si="169"/>
        <v>0101</v>
      </c>
      <c r="R1156">
        <v>2100</v>
      </c>
      <c r="S1156" t="str">
        <f t="shared" si="165"/>
        <v>5490</v>
      </c>
      <c r="T1156" t="s">
        <v>3506</v>
      </c>
      <c r="U1156" t="s">
        <v>120</v>
      </c>
    </row>
    <row r="1157" spans="1:21" ht="15" customHeight="1" x14ac:dyDescent="0.3">
      <c r="A1157" t="s">
        <v>179</v>
      </c>
      <c r="B1157" t="str">
        <f>"00073764"</f>
        <v>00073764</v>
      </c>
      <c r="C1157" t="s">
        <v>204</v>
      </c>
      <c r="D1157" t="s">
        <v>1242</v>
      </c>
      <c r="E1157" t="str">
        <f>"00044688"</f>
        <v>00044688</v>
      </c>
      <c r="F1157">
        <v>0</v>
      </c>
      <c r="G1157" s="243">
        <v>38587</v>
      </c>
      <c r="H1157" t="s">
        <v>182</v>
      </c>
      <c r="I1157">
        <v>15</v>
      </c>
      <c r="J1157">
        <v>13</v>
      </c>
      <c r="K1157">
        <v>1</v>
      </c>
      <c r="L1157">
        <v>95366</v>
      </c>
      <c r="M1157" t="str">
        <f t="shared" si="168"/>
        <v>13</v>
      </c>
      <c r="N1157" t="s">
        <v>3323</v>
      </c>
      <c r="O1157" t="str">
        <f t="shared" si="164"/>
        <v>54911</v>
      </c>
      <c r="P1157" t="str">
        <f t="shared" si="167"/>
        <v>2100L</v>
      </c>
      <c r="Q1157" t="str">
        <f t="shared" si="169"/>
        <v>0101</v>
      </c>
      <c r="R1157">
        <v>2100</v>
      </c>
      <c r="S1157" t="str">
        <f t="shared" si="165"/>
        <v>5490</v>
      </c>
      <c r="T1157" t="s">
        <v>3506</v>
      </c>
      <c r="U1157" t="s">
        <v>120</v>
      </c>
    </row>
    <row r="1158" spans="1:21" ht="15" customHeight="1" x14ac:dyDescent="0.3">
      <c r="A1158" t="s">
        <v>179</v>
      </c>
      <c r="B1158" t="str">
        <f>"00075165"</f>
        <v>00075165</v>
      </c>
      <c r="C1158" t="s">
        <v>4265</v>
      </c>
      <c r="H1158" t="s">
        <v>170</v>
      </c>
      <c r="I1158">
        <v>15</v>
      </c>
      <c r="J1158">
        <v>1</v>
      </c>
      <c r="K1158">
        <v>0.5</v>
      </c>
      <c r="L1158">
        <v>54975</v>
      </c>
      <c r="M1158" t="str">
        <f t="shared" si="168"/>
        <v>13</v>
      </c>
      <c r="N1158" t="s">
        <v>3323</v>
      </c>
      <c r="O1158" t="str">
        <f>"54994"</f>
        <v>54994</v>
      </c>
      <c r="P1158" t="str">
        <f>"3030I"</f>
        <v>3030I</v>
      </c>
      <c r="Q1158" t="str">
        <f>"0794"</f>
        <v>0794</v>
      </c>
      <c r="R1158">
        <v>3030</v>
      </c>
      <c r="S1158" t="str">
        <f t="shared" si="165"/>
        <v>5490</v>
      </c>
      <c r="T1158" t="s">
        <v>3506</v>
      </c>
      <c r="U1158" t="s">
        <v>120</v>
      </c>
    </row>
    <row r="1159" spans="1:21" ht="15" customHeight="1" x14ac:dyDescent="0.3">
      <c r="A1159" t="s">
        <v>179</v>
      </c>
      <c r="B1159" t="str">
        <f>"00076078"</f>
        <v>00076078</v>
      </c>
      <c r="C1159" t="s">
        <v>4294</v>
      </c>
      <c r="D1159" t="s">
        <v>4660</v>
      </c>
      <c r="E1159" t="str">
        <f>"00050326"</f>
        <v>00050326</v>
      </c>
      <c r="F1159">
        <v>0</v>
      </c>
      <c r="G1159" s="243">
        <v>30986</v>
      </c>
      <c r="H1159" t="s">
        <v>182</v>
      </c>
      <c r="I1159">
        <v>7</v>
      </c>
      <c r="J1159">
        <v>10</v>
      </c>
      <c r="K1159">
        <v>1</v>
      </c>
      <c r="L1159">
        <v>44837</v>
      </c>
      <c r="M1159" t="str">
        <f t="shared" si="168"/>
        <v>13</v>
      </c>
      <c r="N1159" t="s">
        <v>3323</v>
      </c>
      <c r="O1159" t="str">
        <f>"54911"</f>
        <v>54911</v>
      </c>
      <c r="P1159" t="str">
        <f>"1502L"</f>
        <v>1502L</v>
      </c>
      <c r="Q1159" t="str">
        <f t="shared" ref="Q1159:Q1217" si="170">"0101"</f>
        <v>0101</v>
      </c>
      <c r="R1159">
        <v>1502</v>
      </c>
      <c r="S1159" t="str">
        <f t="shared" si="165"/>
        <v>5490</v>
      </c>
      <c r="T1159" t="s">
        <v>3506</v>
      </c>
      <c r="U1159" t="s">
        <v>120</v>
      </c>
    </row>
    <row r="1160" spans="1:21" ht="15" customHeight="1" x14ac:dyDescent="0.3">
      <c r="A1160" t="s">
        <v>179</v>
      </c>
      <c r="B1160" t="str">
        <f>"00076088"</f>
        <v>00076088</v>
      </c>
      <c r="C1160" t="s">
        <v>4262</v>
      </c>
      <c r="D1160" t="s">
        <v>4661</v>
      </c>
      <c r="E1160" t="str">
        <f>"00066174"</f>
        <v>00066174</v>
      </c>
      <c r="F1160">
        <v>0</v>
      </c>
      <c r="G1160" s="243">
        <v>40770</v>
      </c>
      <c r="H1160" t="s">
        <v>182</v>
      </c>
      <c r="I1160">
        <v>15</v>
      </c>
      <c r="J1160">
        <v>1</v>
      </c>
      <c r="K1160">
        <v>1</v>
      </c>
      <c r="L1160">
        <v>54975</v>
      </c>
      <c r="M1160" t="str">
        <f t="shared" si="168"/>
        <v>13</v>
      </c>
      <c r="N1160" t="s">
        <v>3370</v>
      </c>
      <c r="O1160" t="str">
        <f>"54911"</f>
        <v>54911</v>
      </c>
      <c r="P1160" t="str">
        <f t="shared" ref="P1160:P1166" si="171">"2100L"</f>
        <v>2100L</v>
      </c>
      <c r="Q1160" t="str">
        <f t="shared" si="170"/>
        <v>0101</v>
      </c>
      <c r="R1160">
        <v>2100</v>
      </c>
      <c r="S1160" t="str">
        <f t="shared" si="165"/>
        <v>5490</v>
      </c>
      <c r="T1160" t="s">
        <v>3506</v>
      </c>
      <c r="U1160" t="s">
        <v>120</v>
      </c>
    </row>
    <row r="1161" spans="1:21" ht="15" customHeight="1" x14ac:dyDescent="0.3">
      <c r="A1161" t="s">
        <v>179</v>
      </c>
      <c r="B1161" t="str">
        <f>"00076090"</f>
        <v>00076090</v>
      </c>
      <c r="C1161" t="s">
        <v>4271</v>
      </c>
      <c r="H1161" t="s">
        <v>170</v>
      </c>
      <c r="I1161">
        <v>15</v>
      </c>
      <c r="J1161">
        <v>0</v>
      </c>
      <c r="K1161">
        <v>0.2</v>
      </c>
      <c r="L1161">
        <v>60128</v>
      </c>
      <c r="M1161" t="str">
        <f t="shared" si="168"/>
        <v>13</v>
      </c>
      <c r="N1161" t="s">
        <v>3323</v>
      </c>
      <c r="O1161" t="str">
        <f>"54911"</f>
        <v>54911</v>
      </c>
      <c r="P1161" t="str">
        <f t="shared" si="171"/>
        <v>2100L</v>
      </c>
      <c r="Q1161" t="str">
        <f t="shared" si="170"/>
        <v>0101</v>
      </c>
      <c r="R1161">
        <v>2100</v>
      </c>
      <c r="S1161" t="str">
        <f t="shared" si="165"/>
        <v>5490</v>
      </c>
      <c r="T1161" t="s">
        <v>3506</v>
      </c>
      <c r="U1161" t="s">
        <v>120</v>
      </c>
    </row>
    <row r="1162" spans="1:21" ht="15" customHeight="1" x14ac:dyDescent="0.3">
      <c r="A1162" t="s">
        <v>179</v>
      </c>
      <c r="B1162" t="str">
        <f>"00051654"</f>
        <v>00051654</v>
      </c>
      <c r="C1162" t="s">
        <v>4262</v>
      </c>
      <c r="D1162" t="s">
        <v>1257</v>
      </c>
      <c r="E1162" t="str">
        <f>"00045319"</f>
        <v>00045319</v>
      </c>
      <c r="F1162">
        <v>0</v>
      </c>
      <c r="G1162" s="243">
        <v>32485</v>
      </c>
      <c r="H1162" t="s">
        <v>182</v>
      </c>
      <c r="I1162">
        <v>15</v>
      </c>
      <c r="J1162">
        <v>13</v>
      </c>
      <c r="K1162">
        <v>1</v>
      </c>
      <c r="L1162">
        <v>81724</v>
      </c>
      <c r="M1162" t="str">
        <f t="shared" si="168"/>
        <v>13</v>
      </c>
      <c r="N1162" t="s">
        <v>3323</v>
      </c>
      <c r="O1162" t="str">
        <f t="shared" ref="O1162:O1191" si="172">"55011"</f>
        <v>55011</v>
      </c>
      <c r="P1162" t="str">
        <f t="shared" si="171"/>
        <v>2100L</v>
      </c>
      <c r="Q1162" t="str">
        <f t="shared" si="170"/>
        <v>0101</v>
      </c>
      <c r="R1162">
        <v>2100</v>
      </c>
      <c r="S1162" t="str">
        <f t="shared" ref="S1162:S1191" si="173">"5500"</f>
        <v>5500</v>
      </c>
      <c r="T1162" t="s">
        <v>3512</v>
      </c>
      <c r="U1162" t="s">
        <v>121</v>
      </c>
    </row>
    <row r="1163" spans="1:21" ht="15" customHeight="1" x14ac:dyDescent="0.3">
      <c r="A1163" t="s">
        <v>179</v>
      </c>
      <c r="B1163" t="str">
        <f>"00051655"</f>
        <v>00051655</v>
      </c>
      <c r="C1163" t="s">
        <v>4262</v>
      </c>
      <c r="D1163" t="s">
        <v>3520</v>
      </c>
      <c r="E1163" t="str">
        <f>"00066465"</f>
        <v>00066465</v>
      </c>
      <c r="F1163">
        <v>0</v>
      </c>
      <c r="G1163" s="243">
        <v>40770</v>
      </c>
      <c r="H1163" t="s">
        <v>182</v>
      </c>
      <c r="I1163">
        <v>15</v>
      </c>
      <c r="J1163">
        <v>2</v>
      </c>
      <c r="K1163">
        <v>1</v>
      </c>
      <c r="L1163">
        <v>58699</v>
      </c>
      <c r="M1163" t="str">
        <f t="shared" si="168"/>
        <v>13</v>
      </c>
      <c r="N1163" t="s">
        <v>3323</v>
      </c>
      <c r="O1163" t="str">
        <f t="shared" si="172"/>
        <v>55011</v>
      </c>
      <c r="P1163" t="str">
        <f t="shared" si="171"/>
        <v>2100L</v>
      </c>
      <c r="Q1163" t="str">
        <f t="shared" si="170"/>
        <v>0101</v>
      </c>
      <c r="R1163">
        <v>2100</v>
      </c>
      <c r="S1163" t="str">
        <f t="shared" si="173"/>
        <v>5500</v>
      </c>
      <c r="T1163" t="s">
        <v>3512</v>
      </c>
      <c r="U1163" t="s">
        <v>121</v>
      </c>
    </row>
    <row r="1164" spans="1:21" ht="15" customHeight="1" x14ac:dyDescent="0.3">
      <c r="A1164" t="s">
        <v>179</v>
      </c>
      <c r="B1164" t="str">
        <f>"00051691"</f>
        <v>00051691</v>
      </c>
      <c r="C1164" t="s">
        <v>4272</v>
      </c>
      <c r="D1164" t="s">
        <v>1258</v>
      </c>
      <c r="E1164" t="str">
        <f>"00045524"</f>
        <v>00045524</v>
      </c>
      <c r="F1164">
        <v>0</v>
      </c>
      <c r="G1164" s="243">
        <v>32050</v>
      </c>
      <c r="H1164" t="s">
        <v>182</v>
      </c>
      <c r="I1164">
        <v>15</v>
      </c>
      <c r="J1164">
        <v>16</v>
      </c>
      <c r="K1164">
        <v>1</v>
      </c>
      <c r="L1164">
        <v>100839</v>
      </c>
      <c r="M1164" t="str">
        <f t="shared" si="168"/>
        <v>13</v>
      </c>
      <c r="N1164" t="s">
        <v>3323</v>
      </c>
      <c r="O1164" t="str">
        <f t="shared" si="172"/>
        <v>55011</v>
      </c>
      <c r="P1164" t="str">
        <f t="shared" si="171"/>
        <v>2100L</v>
      </c>
      <c r="Q1164" t="str">
        <f t="shared" si="170"/>
        <v>0101</v>
      </c>
      <c r="R1164">
        <v>2100</v>
      </c>
      <c r="S1164" t="str">
        <f t="shared" si="173"/>
        <v>5500</v>
      </c>
      <c r="T1164" t="s">
        <v>3512</v>
      </c>
      <c r="U1164" t="s">
        <v>121</v>
      </c>
    </row>
    <row r="1165" spans="1:21" ht="15" customHeight="1" x14ac:dyDescent="0.3">
      <c r="A1165" t="s">
        <v>179</v>
      </c>
      <c r="B1165" t="str">
        <f>"00051778"</f>
        <v>00051778</v>
      </c>
      <c r="C1165" t="s">
        <v>4262</v>
      </c>
      <c r="D1165" t="s">
        <v>1259</v>
      </c>
      <c r="E1165" t="str">
        <f>"00045867"</f>
        <v>00045867</v>
      </c>
      <c r="F1165">
        <v>0</v>
      </c>
      <c r="G1165" s="243">
        <v>34824</v>
      </c>
      <c r="H1165" t="s">
        <v>182</v>
      </c>
      <c r="I1165">
        <v>15</v>
      </c>
      <c r="J1165">
        <v>16</v>
      </c>
      <c r="K1165">
        <v>1</v>
      </c>
      <c r="L1165">
        <v>100839</v>
      </c>
      <c r="M1165" t="str">
        <f t="shared" si="168"/>
        <v>13</v>
      </c>
      <c r="N1165" t="s">
        <v>3323</v>
      </c>
      <c r="O1165" t="str">
        <f t="shared" si="172"/>
        <v>55011</v>
      </c>
      <c r="P1165" t="str">
        <f t="shared" si="171"/>
        <v>2100L</v>
      </c>
      <c r="Q1165" t="str">
        <f t="shared" si="170"/>
        <v>0101</v>
      </c>
      <c r="R1165">
        <v>2100</v>
      </c>
      <c r="S1165" t="str">
        <f t="shared" si="173"/>
        <v>5500</v>
      </c>
      <c r="T1165" t="s">
        <v>3512</v>
      </c>
      <c r="U1165" t="s">
        <v>121</v>
      </c>
    </row>
    <row r="1166" spans="1:21" ht="15" customHeight="1" x14ac:dyDescent="0.3">
      <c r="A1166" t="s">
        <v>179</v>
      </c>
      <c r="B1166" t="str">
        <f>"00051895"</f>
        <v>00051895</v>
      </c>
      <c r="C1166" t="s">
        <v>4262</v>
      </c>
      <c r="D1166" t="s">
        <v>1260</v>
      </c>
      <c r="E1166" t="str">
        <f>"00046455"</f>
        <v>00046455</v>
      </c>
      <c r="F1166">
        <v>0</v>
      </c>
      <c r="G1166" s="243">
        <v>35675</v>
      </c>
      <c r="H1166" t="s">
        <v>182</v>
      </c>
      <c r="I1166">
        <v>15</v>
      </c>
      <c r="J1166">
        <v>14</v>
      </c>
      <c r="K1166">
        <v>1</v>
      </c>
      <c r="L1166">
        <v>98967</v>
      </c>
      <c r="M1166" t="str">
        <f t="shared" si="168"/>
        <v>13</v>
      </c>
      <c r="N1166" t="s">
        <v>3323</v>
      </c>
      <c r="O1166" t="str">
        <f t="shared" si="172"/>
        <v>55011</v>
      </c>
      <c r="P1166" t="str">
        <f t="shared" si="171"/>
        <v>2100L</v>
      </c>
      <c r="Q1166" t="str">
        <f t="shared" si="170"/>
        <v>0101</v>
      </c>
      <c r="R1166">
        <v>2100</v>
      </c>
      <c r="S1166" t="str">
        <f t="shared" si="173"/>
        <v>5500</v>
      </c>
      <c r="T1166" t="s">
        <v>3512</v>
      </c>
      <c r="U1166" t="s">
        <v>121</v>
      </c>
    </row>
    <row r="1167" spans="1:21" ht="15" customHeight="1" x14ac:dyDescent="0.3">
      <c r="A1167" t="s">
        <v>179</v>
      </c>
      <c r="B1167" t="str">
        <f>"00052306"</f>
        <v>00052306</v>
      </c>
      <c r="C1167" t="s">
        <v>4299</v>
      </c>
      <c r="D1167" t="s">
        <v>4662</v>
      </c>
      <c r="E1167" t="str">
        <f>"00047962"</f>
        <v>00047962</v>
      </c>
      <c r="F1167">
        <v>0</v>
      </c>
      <c r="G1167" s="243">
        <v>30560</v>
      </c>
      <c r="H1167" t="s">
        <v>182</v>
      </c>
      <c r="I1167">
        <v>7</v>
      </c>
      <c r="J1167">
        <v>10</v>
      </c>
      <c r="K1167">
        <v>1</v>
      </c>
      <c r="L1167">
        <v>45943</v>
      </c>
      <c r="M1167" t="str">
        <f t="shared" si="168"/>
        <v>13</v>
      </c>
      <c r="N1167" t="s">
        <v>3323</v>
      </c>
      <c r="O1167" t="str">
        <f t="shared" si="172"/>
        <v>55011</v>
      </c>
      <c r="P1167" t="str">
        <f>"1502L"</f>
        <v>1502L</v>
      </c>
      <c r="Q1167" t="str">
        <f t="shared" si="170"/>
        <v>0101</v>
      </c>
      <c r="R1167">
        <v>1502</v>
      </c>
      <c r="S1167" t="str">
        <f t="shared" si="173"/>
        <v>5500</v>
      </c>
      <c r="T1167" t="s">
        <v>3512</v>
      </c>
      <c r="U1167" t="s">
        <v>121</v>
      </c>
    </row>
    <row r="1168" spans="1:21" ht="15" customHeight="1" x14ac:dyDescent="0.3">
      <c r="A1168" t="s">
        <v>179</v>
      </c>
      <c r="B1168" t="str">
        <f>"00052765"</f>
        <v>00052765</v>
      </c>
      <c r="C1168" t="s">
        <v>4260</v>
      </c>
      <c r="D1168" t="s">
        <v>1261</v>
      </c>
      <c r="E1168" t="str">
        <f>"00049377"</f>
        <v>00049377</v>
      </c>
      <c r="F1168">
        <v>0</v>
      </c>
      <c r="G1168" s="243">
        <v>36034</v>
      </c>
      <c r="H1168" t="s">
        <v>182</v>
      </c>
      <c r="I1168">
        <v>15</v>
      </c>
      <c r="J1168">
        <v>16</v>
      </c>
      <c r="K1168">
        <v>1</v>
      </c>
      <c r="L1168">
        <v>106540</v>
      </c>
      <c r="M1168" t="str">
        <f t="shared" si="168"/>
        <v>13</v>
      </c>
      <c r="N1168" t="s">
        <v>3323</v>
      </c>
      <c r="O1168" t="str">
        <f t="shared" si="172"/>
        <v>55011</v>
      </c>
      <c r="P1168" t="str">
        <f>"2100L"</f>
        <v>2100L</v>
      </c>
      <c r="Q1168" t="str">
        <f t="shared" si="170"/>
        <v>0101</v>
      </c>
      <c r="R1168">
        <v>2100</v>
      </c>
      <c r="S1168" t="str">
        <f t="shared" si="173"/>
        <v>5500</v>
      </c>
      <c r="T1168" t="s">
        <v>3512</v>
      </c>
      <c r="U1168" t="s">
        <v>121</v>
      </c>
    </row>
    <row r="1169" spans="1:21" ht="15" customHeight="1" x14ac:dyDescent="0.3">
      <c r="A1169" t="s">
        <v>179</v>
      </c>
      <c r="B1169" t="str">
        <f>"00053226"</f>
        <v>00053226</v>
      </c>
      <c r="C1169" t="s">
        <v>4272</v>
      </c>
      <c r="D1169" t="s">
        <v>1262</v>
      </c>
      <c r="E1169" t="str">
        <f>"00051133"</f>
        <v>00051133</v>
      </c>
      <c r="F1169">
        <v>0</v>
      </c>
      <c r="G1169" s="243">
        <v>32050</v>
      </c>
      <c r="H1169" t="s">
        <v>182</v>
      </c>
      <c r="I1169">
        <v>15</v>
      </c>
      <c r="J1169">
        <v>16</v>
      </c>
      <c r="K1169">
        <v>1</v>
      </c>
      <c r="L1169">
        <v>103347</v>
      </c>
      <c r="M1169" t="str">
        <f t="shared" si="168"/>
        <v>13</v>
      </c>
      <c r="N1169" t="s">
        <v>3323</v>
      </c>
      <c r="O1169" t="str">
        <f t="shared" si="172"/>
        <v>55011</v>
      </c>
      <c r="P1169" t="str">
        <f>"2200L"</f>
        <v>2200L</v>
      </c>
      <c r="Q1169" t="str">
        <f t="shared" si="170"/>
        <v>0101</v>
      </c>
      <c r="R1169">
        <v>2200</v>
      </c>
      <c r="S1169" t="str">
        <f t="shared" si="173"/>
        <v>5500</v>
      </c>
      <c r="T1169" t="s">
        <v>3512</v>
      </c>
      <c r="U1169" t="s">
        <v>121</v>
      </c>
    </row>
    <row r="1170" spans="1:21" ht="15" customHeight="1" x14ac:dyDescent="0.3">
      <c r="A1170" t="s">
        <v>179</v>
      </c>
      <c r="B1170" t="str">
        <f>"00053682"</f>
        <v>00053682</v>
      </c>
      <c r="C1170" t="s">
        <v>4266</v>
      </c>
      <c r="D1170" t="s">
        <v>1263</v>
      </c>
      <c r="E1170" t="str">
        <f>"00052289"</f>
        <v>00052289</v>
      </c>
      <c r="F1170">
        <v>0</v>
      </c>
      <c r="G1170" s="243">
        <v>35735</v>
      </c>
      <c r="H1170" t="s">
        <v>182</v>
      </c>
      <c r="I1170">
        <v>15</v>
      </c>
      <c r="J1170">
        <v>16</v>
      </c>
      <c r="K1170">
        <v>1</v>
      </c>
      <c r="L1170">
        <v>103347</v>
      </c>
      <c r="M1170" t="str">
        <f t="shared" si="168"/>
        <v>13</v>
      </c>
      <c r="N1170" t="s">
        <v>3323</v>
      </c>
      <c r="O1170" t="str">
        <f t="shared" si="172"/>
        <v>55011</v>
      </c>
      <c r="P1170" t="str">
        <f>"2300L"</f>
        <v>2300L</v>
      </c>
      <c r="Q1170" t="str">
        <f t="shared" si="170"/>
        <v>0101</v>
      </c>
      <c r="R1170">
        <v>2300</v>
      </c>
      <c r="S1170" t="str">
        <f t="shared" si="173"/>
        <v>5500</v>
      </c>
      <c r="T1170" t="s">
        <v>3512</v>
      </c>
      <c r="U1170" t="s">
        <v>121</v>
      </c>
    </row>
    <row r="1171" spans="1:21" ht="15" customHeight="1" x14ac:dyDescent="0.3">
      <c r="A1171" t="s">
        <v>179</v>
      </c>
      <c r="B1171" t="str">
        <f>"00054138"</f>
        <v>00054138</v>
      </c>
      <c r="C1171" t="s">
        <v>4274</v>
      </c>
      <c r="D1171" t="s">
        <v>4663</v>
      </c>
      <c r="E1171" t="str">
        <f>"00053096"</f>
        <v>00053096</v>
      </c>
      <c r="F1171">
        <v>0</v>
      </c>
      <c r="G1171" s="243">
        <v>31903</v>
      </c>
      <c r="H1171" t="s">
        <v>182</v>
      </c>
      <c r="I1171">
        <v>4</v>
      </c>
      <c r="J1171">
        <v>10</v>
      </c>
      <c r="K1171">
        <v>0.875</v>
      </c>
      <c r="L1171">
        <v>28721</v>
      </c>
      <c r="M1171" t="str">
        <f t="shared" si="168"/>
        <v>13</v>
      </c>
      <c r="N1171" t="s">
        <v>3323</v>
      </c>
      <c r="O1171" t="str">
        <f t="shared" si="172"/>
        <v>55011</v>
      </c>
      <c r="P1171" t="str">
        <f>"2100L"</f>
        <v>2100L</v>
      </c>
      <c r="Q1171" t="str">
        <f t="shared" si="170"/>
        <v>0101</v>
      </c>
      <c r="R1171">
        <v>2100</v>
      </c>
      <c r="S1171" t="str">
        <f t="shared" si="173"/>
        <v>5500</v>
      </c>
      <c r="T1171" t="s">
        <v>3512</v>
      </c>
      <c r="U1171" t="s">
        <v>121</v>
      </c>
    </row>
    <row r="1172" spans="1:21" ht="15" customHeight="1" x14ac:dyDescent="0.3">
      <c r="A1172" t="s">
        <v>179</v>
      </c>
      <c r="B1172" t="str">
        <f>"00054207"</f>
        <v>00054207</v>
      </c>
      <c r="C1172" t="s">
        <v>4292</v>
      </c>
      <c r="D1172" t="s">
        <v>4664</v>
      </c>
      <c r="E1172" t="str">
        <f>"00053252"</f>
        <v>00053252</v>
      </c>
      <c r="F1172">
        <v>0</v>
      </c>
      <c r="G1172" s="243">
        <v>32897</v>
      </c>
      <c r="H1172" t="s">
        <v>182</v>
      </c>
      <c r="I1172">
        <v>4</v>
      </c>
      <c r="J1172">
        <v>10</v>
      </c>
      <c r="K1172">
        <v>0.875</v>
      </c>
      <c r="L1172">
        <v>28721</v>
      </c>
      <c r="M1172" t="str">
        <f t="shared" si="168"/>
        <v>13</v>
      </c>
      <c r="N1172" t="s">
        <v>3323</v>
      </c>
      <c r="O1172" t="str">
        <f t="shared" si="172"/>
        <v>55011</v>
      </c>
      <c r="P1172" t="str">
        <f>"3030L"</f>
        <v>3030L</v>
      </c>
      <c r="Q1172" t="str">
        <f t="shared" si="170"/>
        <v>0101</v>
      </c>
      <c r="R1172">
        <v>3030</v>
      </c>
      <c r="S1172" t="str">
        <f t="shared" si="173"/>
        <v>5500</v>
      </c>
      <c r="T1172" t="s">
        <v>3512</v>
      </c>
      <c r="U1172" t="s">
        <v>121</v>
      </c>
    </row>
    <row r="1173" spans="1:21" ht="15" customHeight="1" x14ac:dyDescent="0.3">
      <c r="A1173" t="s">
        <v>179</v>
      </c>
      <c r="B1173" t="str">
        <f>"00054238"</f>
        <v>00054238</v>
      </c>
      <c r="C1173" t="s">
        <v>4253</v>
      </c>
      <c r="D1173" t="s">
        <v>1264</v>
      </c>
      <c r="E1173" t="str">
        <f>"00053333"</f>
        <v>00053333</v>
      </c>
      <c r="F1173">
        <v>0</v>
      </c>
      <c r="G1173" s="243">
        <v>32769</v>
      </c>
      <c r="H1173" t="s">
        <v>182</v>
      </c>
      <c r="I1173">
        <v>15</v>
      </c>
      <c r="J1173">
        <v>16</v>
      </c>
      <c r="K1173">
        <v>1</v>
      </c>
      <c r="L1173">
        <v>100839</v>
      </c>
      <c r="M1173" t="str">
        <f t="shared" si="168"/>
        <v>13</v>
      </c>
      <c r="N1173" t="s">
        <v>3323</v>
      </c>
      <c r="O1173" t="str">
        <f t="shared" si="172"/>
        <v>55011</v>
      </c>
      <c r="P1173" t="str">
        <f>"2100L"</f>
        <v>2100L</v>
      </c>
      <c r="Q1173" t="str">
        <f t="shared" si="170"/>
        <v>0101</v>
      </c>
      <c r="R1173">
        <v>2100</v>
      </c>
      <c r="S1173" t="str">
        <f t="shared" si="173"/>
        <v>5500</v>
      </c>
      <c r="T1173" t="s">
        <v>3512</v>
      </c>
      <c r="U1173" t="s">
        <v>121</v>
      </c>
    </row>
    <row r="1174" spans="1:21" ht="15" customHeight="1" x14ac:dyDescent="0.3">
      <c r="A1174" t="s">
        <v>179</v>
      </c>
      <c r="B1174" t="str">
        <f>"00054261"</f>
        <v>00054261</v>
      </c>
      <c r="C1174" t="s">
        <v>4262</v>
      </c>
      <c r="D1174" t="s">
        <v>1265</v>
      </c>
      <c r="E1174" t="str">
        <f>"00053383"</f>
        <v>00053383</v>
      </c>
      <c r="F1174">
        <v>0</v>
      </c>
      <c r="G1174" s="243">
        <v>33595</v>
      </c>
      <c r="H1174" t="s">
        <v>182</v>
      </c>
      <c r="I1174">
        <v>15</v>
      </c>
      <c r="J1174">
        <v>15</v>
      </c>
      <c r="K1174">
        <v>1</v>
      </c>
      <c r="L1174">
        <v>98285</v>
      </c>
      <c r="M1174" t="str">
        <f t="shared" si="168"/>
        <v>13</v>
      </c>
      <c r="N1174" t="s">
        <v>3323</v>
      </c>
      <c r="O1174" t="str">
        <f t="shared" si="172"/>
        <v>55011</v>
      </c>
      <c r="P1174" t="str">
        <f>"2100L"</f>
        <v>2100L</v>
      </c>
      <c r="Q1174" t="str">
        <f t="shared" si="170"/>
        <v>0101</v>
      </c>
      <c r="R1174">
        <v>2100</v>
      </c>
      <c r="S1174" t="str">
        <f t="shared" si="173"/>
        <v>5500</v>
      </c>
      <c r="T1174" t="s">
        <v>3512</v>
      </c>
      <c r="U1174" t="s">
        <v>121</v>
      </c>
    </row>
    <row r="1175" spans="1:21" ht="15" customHeight="1" x14ac:dyDescent="0.3">
      <c r="A1175" t="s">
        <v>179</v>
      </c>
      <c r="B1175" t="str">
        <f>"00054716"</f>
        <v>00054716</v>
      </c>
      <c r="C1175" t="s">
        <v>4274</v>
      </c>
      <c r="D1175" t="s">
        <v>4665</v>
      </c>
      <c r="E1175" t="str">
        <f>"00054468"</f>
        <v>00054468</v>
      </c>
      <c r="F1175">
        <v>0</v>
      </c>
      <c r="G1175" s="243">
        <v>29876</v>
      </c>
      <c r="H1175" t="s">
        <v>182</v>
      </c>
      <c r="I1175">
        <v>4</v>
      </c>
      <c r="J1175">
        <v>10</v>
      </c>
      <c r="K1175">
        <v>0.875</v>
      </c>
      <c r="L1175">
        <v>28721</v>
      </c>
      <c r="M1175" t="str">
        <f t="shared" si="168"/>
        <v>13</v>
      </c>
      <c r="N1175" t="s">
        <v>3323</v>
      </c>
      <c r="O1175" t="str">
        <f t="shared" si="172"/>
        <v>55011</v>
      </c>
      <c r="P1175" t="str">
        <f>"2200L"</f>
        <v>2200L</v>
      </c>
      <c r="Q1175" t="str">
        <f t="shared" si="170"/>
        <v>0101</v>
      </c>
      <c r="R1175">
        <v>2200</v>
      </c>
      <c r="S1175" t="str">
        <f t="shared" si="173"/>
        <v>5500</v>
      </c>
      <c r="T1175" t="s">
        <v>3512</v>
      </c>
      <c r="U1175" t="s">
        <v>121</v>
      </c>
    </row>
    <row r="1176" spans="1:21" ht="15" customHeight="1" x14ac:dyDescent="0.3">
      <c r="A1176" t="s">
        <v>179</v>
      </c>
      <c r="B1176" t="str">
        <f>"00054805"</f>
        <v>00054805</v>
      </c>
      <c r="C1176" t="s">
        <v>4299</v>
      </c>
      <c r="D1176" t="s">
        <v>4666</v>
      </c>
      <c r="E1176" t="str">
        <f>"00054668"</f>
        <v>00054668</v>
      </c>
      <c r="F1176">
        <v>0</v>
      </c>
      <c r="G1176" s="243">
        <v>31319</v>
      </c>
      <c r="H1176" t="s">
        <v>182</v>
      </c>
      <c r="I1176">
        <v>7</v>
      </c>
      <c r="J1176">
        <v>10</v>
      </c>
      <c r="K1176">
        <v>0.5</v>
      </c>
      <c r="L1176">
        <v>45943</v>
      </c>
      <c r="M1176" t="str">
        <f t="shared" si="168"/>
        <v>13</v>
      </c>
      <c r="N1176" t="s">
        <v>3323</v>
      </c>
      <c r="O1176" t="str">
        <f t="shared" si="172"/>
        <v>55011</v>
      </c>
      <c r="P1176" t="str">
        <f>"1502L"</f>
        <v>1502L</v>
      </c>
      <c r="Q1176" t="str">
        <f t="shared" si="170"/>
        <v>0101</v>
      </c>
      <c r="R1176">
        <v>1502</v>
      </c>
      <c r="S1176" t="str">
        <f t="shared" si="173"/>
        <v>5500</v>
      </c>
      <c r="T1176" t="s">
        <v>3512</v>
      </c>
      <c r="U1176" t="s">
        <v>121</v>
      </c>
    </row>
    <row r="1177" spans="1:21" ht="15" customHeight="1" x14ac:dyDescent="0.3">
      <c r="A1177" t="s">
        <v>179</v>
      </c>
      <c r="B1177" t="str">
        <f>"00055173"</f>
        <v>00055173</v>
      </c>
      <c r="C1177" t="s">
        <v>4262</v>
      </c>
      <c r="D1177" t="s">
        <v>1266</v>
      </c>
      <c r="E1177" t="str">
        <f>"00053356"</f>
        <v>00053356</v>
      </c>
      <c r="F1177">
        <v>0</v>
      </c>
      <c r="G1177" s="243">
        <v>36237</v>
      </c>
      <c r="H1177" t="s">
        <v>182</v>
      </c>
      <c r="I1177">
        <v>15</v>
      </c>
      <c r="J1177">
        <v>12</v>
      </c>
      <c r="K1177">
        <v>1</v>
      </c>
      <c r="L1177">
        <v>87431</v>
      </c>
      <c r="M1177" t="str">
        <f t="shared" si="168"/>
        <v>13</v>
      </c>
      <c r="N1177" t="s">
        <v>3323</v>
      </c>
      <c r="O1177" t="str">
        <f t="shared" si="172"/>
        <v>55011</v>
      </c>
      <c r="P1177" t="str">
        <f>"2100L"</f>
        <v>2100L</v>
      </c>
      <c r="Q1177" t="str">
        <f t="shared" si="170"/>
        <v>0101</v>
      </c>
      <c r="R1177">
        <v>2100</v>
      </c>
      <c r="S1177" t="str">
        <f t="shared" si="173"/>
        <v>5500</v>
      </c>
      <c r="T1177" t="s">
        <v>3512</v>
      </c>
      <c r="U1177" t="s">
        <v>121</v>
      </c>
    </row>
    <row r="1178" spans="1:21" ht="15" customHeight="1" x14ac:dyDescent="0.3">
      <c r="A1178" t="s">
        <v>179</v>
      </c>
      <c r="B1178" t="str">
        <f>"00055336"</f>
        <v>00055336</v>
      </c>
      <c r="C1178" t="s">
        <v>4274</v>
      </c>
      <c r="D1178" t="s">
        <v>4667</v>
      </c>
      <c r="E1178" t="str">
        <f>"00051188"</f>
        <v>00051188</v>
      </c>
      <c r="F1178">
        <v>0</v>
      </c>
      <c r="G1178" s="243">
        <v>32489</v>
      </c>
      <c r="H1178" t="s">
        <v>182</v>
      </c>
      <c r="I1178">
        <v>4</v>
      </c>
      <c r="J1178">
        <v>10</v>
      </c>
      <c r="K1178">
        <v>0.875</v>
      </c>
      <c r="L1178">
        <v>28721</v>
      </c>
      <c r="M1178" t="str">
        <f t="shared" si="168"/>
        <v>13</v>
      </c>
      <c r="N1178" t="s">
        <v>3323</v>
      </c>
      <c r="O1178" t="str">
        <f t="shared" si="172"/>
        <v>55011</v>
      </c>
      <c r="P1178" t="str">
        <f>"2200L"</f>
        <v>2200L</v>
      </c>
      <c r="Q1178" t="str">
        <f t="shared" si="170"/>
        <v>0101</v>
      </c>
      <c r="R1178">
        <v>2200</v>
      </c>
      <c r="S1178" t="str">
        <f t="shared" si="173"/>
        <v>5500</v>
      </c>
      <c r="T1178" t="s">
        <v>3512</v>
      </c>
      <c r="U1178" t="s">
        <v>121</v>
      </c>
    </row>
    <row r="1179" spans="1:21" ht="15" customHeight="1" x14ac:dyDescent="0.3">
      <c r="A1179" t="s">
        <v>179</v>
      </c>
      <c r="B1179" t="str">
        <f>"00057080"</f>
        <v>00057080</v>
      </c>
      <c r="C1179" t="s">
        <v>4262</v>
      </c>
      <c r="D1179" t="s">
        <v>1267</v>
      </c>
      <c r="E1179" t="str">
        <f>"00044585"</f>
        <v>00044585</v>
      </c>
      <c r="F1179">
        <v>0</v>
      </c>
      <c r="G1179" s="243">
        <v>36390</v>
      </c>
      <c r="H1179" t="s">
        <v>182</v>
      </c>
      <c r="I1179">
        <v>15</v>
      </c>
      <c r="J1179">
        <v>16</v>
      </c>
      <c r="K1179">
        <v>1</v>
      </c>
      <c r="L1179">
        <v>100839</v>
      </c>
      <c r="M1179" t="str">
        <f t="shared" si="168"/>
        <v>13</v>
      </c>
      <c r="N1179" t="s">
        <v>3323</v>
      </c>
      <c r="O1179" t="str">
        <f t="shared" si="172"/>
        <v>55011</v>
      </c>
      <c r="P1179" t="str">
        <f>"2100L"</f>
        <v>2100L</v>
      </c>
      <c r="Q1179" t="str">
        <f t="shared" si="170"/>
        <v>0101</v>
      </c>
      <c r="R1179">
        <v>2100</v>
      </c>
      <c r="S1179" t="str">
        <f t="shared" si="173"/>
        <v>5500</v>
      </c>
      <c r="T1179" t="s">
        <v>3512</v>
      </c>
      <c r="U1179" t="s">
        <v>121</v>
      </c>
    </row>
    <row r="1180" spans="1:21" ht="15" customHeight="1" x14ac:dyDescent="0.3">
      <c r="A1180" t="s">
        <v>179</v>
      </c>
      <c r="B1180" t="str">
        <f>"00057527"</f>
        <v>00057527</v>
      </c>
      <c r="C1180" t="s">
        <v>200</v>
      </c>
      <c r="D1180" t="s">
        <v>1268</v>
      </c>
      <c r="E1180" t="str">
        <f>"00044702"</f>
        <v>00044702</v>
      </c>
      <c r="F1180">
        <v>0</v>
      </c>
      <c r="G1180" s="243">
        <v>36774</v>
      </c>
      <c r="H1180" t="s">
        <v>182</v>
      </c>
      <c r="I1180">
        <v>15</v>
      </c>
      <c r="J1180">
        <v>15</v>
      </c>
      <c r="K1180">
        <v>1</v>
      </c>
      <c r="L1180">
        <v>98285</v>
      </c>
      <c r="M1180" t="str">
        <f t="shared" si="168"/>
        <v>13</v>
      </c>
      <c r="N1180" t="s">
        <v>3323</v>
      </c>
      <c r="O1180" t="str">
        <f t="shared" si="172"/>
        <v>55011</v>
      </c>
      <c r="P1180" t="str">
        <f>"3030L"</f>
        <v>3030L</v>
      </c>
      <c r="Q1180" t="str">
        <f t="shared" si="170"/>
        <v>0101</v>
      </c>
      <c r="R1180">
        <v>3030</v>
      </c>
      <c r="S1180" t="str">
        <f t="shared" si="173"/>
        <v>5500</v>
      </c>
      <c r="T1180" t="s">
        <v>3512</v>
      </c>
      <c r="U1180" t="s">
        <v>121</v>
      </c>
    </row>
    <row r="1181" spans="1:21" ht="15" customHeight="1" x14ac:dyDescent="0.3">
      <c r="A1181" t="s">
        <v>179</v>
      </c>
      <c r="B1181" t="str">
        <f>"00057595"</f>
        <v>00057595</v>
      </c>
      <c r="C1181" t="s">
        <v>4272</v>
      </c>
      <c r="D1181" t="s">
        <v>4668</v>
      </c>
      <c r="E1181" t="str">
        <f>"00044570"</f>
        <v>00044570</v>
      </c>
      <c r="F1181">
        <v>0</v>
      </c>
      <c r="G1181" s="243">
        <v>36791</v>
      </c>
      <c r="H1181" t="s">
        <v>182</v>
      </c>
      <c r="I1181">
        <v>15</v>
      </c>
      <c r="J1181">
        <v>12</v>
      </c>
      <c r="K1181">
        <v>1</v>
      </c>
      <c r="L1181">
        <v>87431</v>
      </c>
      <c r="M1181" t="str">
        <f t="shared" si="168"/>
        <v>13</v>
      </c>
      <c r="N1181" t="s">
        <v>3323</v>
      </c>
      <c r="O1181" t="str">
        <f t="shared" si="172"/>
        <v>55011</v>
      </c>
      <c r="P1181" t="str">
        <f>"2100L"</f>
        <v>2100L</v>
      </c>
      <c r="Q1181" t="str">
        <f t="shared" si="170"/>
        <v>0101</v>
      </c>
      <c r="R1181">
        <v>2100</v>
      </c>
      <c r="S1181" t="str">
        <f t="shared" si="173"/>
        <v>5500</v>
      </c>
      <c r="T1181" t="s">
        <v>3512</v>
      </c>
      <c r="U1181" t="s">
        <v>121</v>
      </c>
    </row>
    <row r="1182" spans="1:21" ht="15" customHeight="1" x14ac:dyDescent="0.3">
      <c r="A1182" t="s">
        <v>179</v>
      </c>
      <c r="B1182" t="str">
        <f>"00057852"</f>
        <v>00057852</v>
      </c>
      <c r="C1182" t="s">
        <v>4257</v>
      </c>
      <c r="D1182" t="s">
        <v>1269</v>
      </c>
      <c r="E1182" t="str">
        <f>"00044982"</f>
        <v>00044982</v>
      </c>
      <c r="F1182">
        <v>0</v>
      </c>
      <c r="G1182" s="243">
        <v>38951</v>
      </c>
      <c r="H1182" t="s">
        <v>182</v>
      </c>
      <c r="I1182">
        <v>15</v>
      </c>
      <c r="J1182">
        <v>7</v>
      </c>
      <c r="K1182">
        <v>1</v>
      </c>
      <c r="L1182">
        <v>61068</v>
      </c>
      <c r="M1182" t="str">
        <f t="shared" si="168"/>
        <v>13</v>
      </c>
      <c r="N1182" t="s">
        <v>3323</v>
      </c>
      <c r="O1182" t="str">
        <f t="shared" si="172"/>
        <v>55011</v>
      </c>
      <c r="P1182" t="str">
        <f>"2100L"</f>
        <v>2100L</v>
      </c>
      <c r="Q1182" t="str">
        <f t="shared" si="170"/>
        <v>0101</v>
      </c>
      <c r="R1182">
        <v>2100</v>
      </c>
      <c r="S1182" t="str">
        <f t="shared" si="173"/>
        <v>5500</v>
      </c>
      <c r="T1182" t="s">
        <v>3512</v>
      </c>
      <c r="U1182" t="s">
        <v>121</v>
      </c>
    </row>
    <row r="1183" spans="1:21" ht="15" customHeight="1" x14ac:dyDescent="0.3">
      <c r="A1183" t="s">
        <v>179</v>
      </c>
      <c r="B1183" t="str">
        <f>"00058333"</f>
        <v>00058333</v>
      </c>
      <c r="C1183" t="s">
        <v>4262</v>
      </c>
      <c r="D1183" t="s">
        <v>1270</v>
      </c>
      <c r="E1183" t="str">
        <f>"00053677"</f>
        <v>00053677</v>
      </c>
      <c r="F1183">
        <v>0</v>
      </c>
      <c r="G1183" s="243">
        <v>38951</v>
      </c>
      <c r="H1183" t="s">
        <v>182</v>
      </c>
      <c r="I1183">
        <v>15</v>
      </c>
      <c r="J1183">
        <v>7</v>
      </c>
      <c r="K1183">
        <v>1</v>
      </c>
      <c r="L1183">
        <v>69132</v>
      </c>
      <c r="M1183" t="str">
        <f t="shared" si="168"/>
        <v>13</v>
      </c>
      <c r="N1183" t="s">
        <v>3323</v>
      </c>
      <c r="O1183" t="str">
        <f t="shared" si="172"/>
        <v>55011</v>
      </c>
      <c r="P1183" t="str">
        <f>"2100L"</f>
        <v>2100L</v>
      </c>
      <c r="Q1183" t="str">
        <f t="shared" si="170"/>
        <v>0101</v>
      </c>
      <c r="R1183">
        <v>2100</v>
      </c>
      <c r="S1183" t="str">
        <f t="shared" si="173"/>
        <v>5500</v>
      </c>
      <c r="T1183" t="s">
        <v>3512</v>
      </c>
      <c r="U1183" t="s">
        <v>121</v>
      </c>
    </row>
    <row r="1184" spans="1:21" ht="15" customHeight="1" x14ac:dyDescent="0.3">
      <c r="A1184" t="s">
        <v>179</v>
      </c>
      <c r="B1184" t="str">
        <f>"00058492"</f>
        <v>00058492</v>
      </c>
      <c r="C1184" t="s">
        <v>4262</v>
      </c>
      <c r="D1184" t="s">
        <v>1286</v>
      </c>
      <c r="E1184" t="str">
        <f>"00063394"</f>
        <v>00063394</v>
      </c>
      <c r="F1184">
        <v>0</v>
      </c>
      <c r="G1184" s="243">
        <v>40789</v>
      </c>
      <c r="H1184" t="s">
        <v>182</v>
      </c>
      <c r="I1184">
        <v>15</v>
      </c>
      <c r="J1184">
        <v>11</v>
      </c>
      <c r="K1184">
        <v>1</v>
      </c>
      <c r="L1184">
        <v>81335</v>
      </c>
      <c r="M1184" t="str">
        <f t="shared" si="168"/>
        <v>13</v>
      </c>
      <c r="N1184" t="s">
        <v>3323</v>
      </c>
      <c r="O1184" t="str">
        <f t="shared" si="172"/>
        <v>55011</v>
      </c>
      <c r="P1184" t="str">
        <f>"2100L"</f>
        <v>2100L</v>
      </c>
      <c r="Q1184" t="str">
        <f t="shared" si="170"/>
        <v>0101</v>
      </c>
      <c r="R1184">
        <v>2100</v>
      </c>
      <c r="S1184" t="str">
        <f t="shared" si="173"/>
        <v>5500</v>
      </c>
      <c r="T1184" t="s">
        <v>3512</v>
      </c>
      <c r="U1184" t="s">
        <v>121</v>
      </c>
    </row>
    <row r="1185" spans="1:21" ht="15" customHeight="1" x14ac:dyDescent="0.3">
      <c r="A1185" t="s">
        <v>179</v>
      </c>
      <c r="B1185" t="str">
        <f>"00059023"</f>
        <v>00059023</v>
      </c>
      <c r="C1185" t="s">
        <v>4262</v>
      </c>
      <c r="D1185" t="s">
        <v>1271</v>
      </c>
      <c r="E1185" t="str">
        <f>"00045369"</f>
        <v>00045369</v>
      </c>
      <c r="F1185">
        <v>0</v>
      </c>
      <c r="G1185" s="243">
        <v>37493</v>
      </c>
      <c r="H1185" t="s">
        <v>182</v>
      </c>
      <c r="I1185">
        <v>15</v>
      </c>
      <c r="J1185">
        <v>15</v>
      </c>
      <c r="K1185">
        <v>1</v>
      </c>
      <c r="L1185">
        <v>103985</v>
      </c>
      <c r="M1185" t="str">
        <f t="shared" si="168"/>
        <v>13</v>
      </c>
      <c r="N1185" t="s">
        <v>3323</v>
      </c>
      <c r="O1185" t="str">
        <f t="shared" si="172"/>
        <v>55011</v>
      </c>
      <c r="P1185" t="str">
        <f>"2100L"</f>
        <v>2100L</v>
      </c>
      <c r="Q1185" t="str">
        <f t="shared" si="170"/>
        <v>0101</v>
      </c>
      <c r="R1185">
        <v>2100</v>
      </c>
      <c r="S1185" t="str">
        <f t="shared" si="173"/>
        <v>5500</v>
      </c>
      <c r="T1185" t="s">
        <v>3512</v>
      </c>
      <c r="U1185" t="s">
        <v>121</v>
      </c>
    </row>
    <row r="1186" spans="1:21" ht="15" customHeight="1" x14ac:dyDescent="0.3">
      <c r="A1186" t="s">
        <v>179</v>
      </c>
      <c r="B1186" t="str">
        <f>"00059408"</f>
        <v>00059408</v>
      </c>
      <c r="C1186" t="s">
        <v>4274</v>
      </c>
      <c r="D1186" t="s">
        <v>4669</v>
      </c>
      <c r="E1186" t="str">
        <f>"00029904"</f>
        <v>00029904</v>
      </c>
      <c r="F1186">
        <v>1</v>
      </c>
      <c r="G1186" s="243">
        <v>37932</v>
      </c>
      <c r="H1186" t="s">
        <v>182</v>
      </c>
      <c r="I1186">
        <v>4</v>
      </c>
      <c r="J1186">
        <v>7</v>
      </c>
      <c r="K1186">
        <v>0.875</v>
      </c>
      <c r="L1186">
        <v>26633.25</v>
      </c>
      <c r="M1186" t="str">
        <f t="shared" si="168"/>
        <v>13</v>
      </c>
      <c r="N1186" t="s">
        <v>3323</v>
      </c>
      <c r="O1186" t="str">
        <f t="shared" si="172"/>
        <v>55011</v>
      </c>
      <c r="P1186" t="str">
        <f>"2200L"</f>
        <v>2200L</v>
      </c>
      <c r="Q1186" t="str">
        <f t="shared" si="170"/>
        <v>0101</v>
      </c>
      <c r="R1186">
        <v>2200</v>
      </c>
      <c r="S1186" t="str">
        <f t="shared" si="173"/>
        <v>5500</v>
      </c>
      <c r="T1186" t="s">
        <v>3512</v>
      </c>
      <c r="U1186" t="s">
        <v>121</v>
      </c>
    </row>
    <row r="1187" spans="1:21" ht="15" customHeight="1" x14ac:dyDescent="0.3">
      <c r="A1187" t="s">
        <v>179</v>
      </c>
      <c r="B1187" t="str">
        <f>"00060581"</f>
        <v>00060581</v>
      </c>
      <c r="C1187" t="s">
        <v>4293</v>
      </c>
      <c r="D1187" t="s">
        <v>1285</v>
      </c>
      <c r="E1187" t="str">
        <f>"00063201"</f>
        <v>00063201</v>
      </c>
      <c r="F1187">
        <v>0</v>
      </c>
      <c r="G1187" s="243">
        <v>40413</v>
      </c>
      <c r="H1187" t="s">
        <v>182</v>
      </c>
      <c r="I1187">
        <v>15</v>
      </c>
      <c r="J1187">
        <v>12</v>
      </c>
      <c r="K1187">
        <v>0.5</v>
      </c>
      <c r="L1187">
        <v>43715.5</v>
      </c>
      <c r="M1187" t="str">
        <f t="shared" si="168"/>
        <v>13</v>
      </c>
      <c r="N1187" t="s">
        <v>3370</v>
      </c>
      <c r="O1187" t="str">
        <f t="shared" si="172"/>
        <v>55011</v>
      </c>
      <c r="P1187" t="str">
        <f>"2100L"</f>
        <v>2100L</v>
      </c>
      <c r="Q1187" t="str">
        <f t="shared" si="170"/>
        <v>0101</v>
      </c>
      <c r="R1187">
        <v>2100</v>
      </c>
      <c r="S1187" t="str">
        <f t="shared" si="173"/>
        <v>5500</v>
      </c>
      <c r="T1187" t="s">
        <v>3512</v>
      </c>
      <c r="U1187" t="s">
        <v>121</v>
      </c>
    </row>
    <row r="1188" spans="1:21" ht="15" customHeight="1" x14ac:dyDescent="0.3">
      <c r="A1188" t="s">
        <v>179</v>
      </c>
      <c r="B1188" t="str">
        <f>"00060957"</f>
        <v>00060957</v>
      </c>
      <c r="C1188" t="s">
        <v>4262</v>
      </c>
      <c r="D1188" t="s">
        <v>3521</v>
      </c>
      <c r="E1188" t="str">
        <f>"00065582"</f>
        <v>00065582</v>
      </c>
      <c r="F1188">
        <v>0</v>
      </c>
      <c r="G1188" s="243">
        <v>40755</v>
      </c>
      <c r="H1188" t="s">
        <v>182</v>
      </c>
      <c r="I1188">
        <v>15</v>
      </c>
      <c r="J1188">
        <v>2</v>
      </c>
      <c r="K1188">
        <v>1</v>
      </c>
      <c r="L1188">
        <v>51716</v>
      </c>
      <c r="M1188" t="str">
        <f t="shared" si="168"/>
        <v>13</v>
      </c>
      <c r="N1188" t="s">
        <v>3323</v>
      </c>
      <c r="O1188" t="str">
        <f t="shared" si="172"/>
        <v>55011</v>
      </c>
      <c r="P1188" t="str">
        <f>"2100L"</f>
        <v>2100L</v>
      </c>
      <c r="Q1188" t="str">
        <f t="shared" si="170"/>
        <v>0101</v>
      </c>
      <c r="R1188">
        <v>2100</v>
      </c>
      <c r="S1188" t="str">
        <f t="shared" si="173"/>
        <v>5500</v>
      </c>
      <c r="T1188" t="s">
        <v>3512</v>
      </c>
      <c r="U1188" t="s">
        <v>121</v>
      </c>
    </row>
    <row r="1189" spans="1:21" ht="15" customHeight="1" x14ac:dyDescent="0.3">
      <c r="A1189" t="s">
        <v>179</v>
      </c>
      <c r="B1189" t="str">
        <f>"00060958"</f>
        <v>00060958</v>
      </c>
      <c r="C1189" t="s">
        <v>4262</v>
      </c>
      <c r="D1189" t="s">
        <v>1272</v>
      </c>
      <c r="E1189" t="str">
        <f>"00045587"</f>
        <v>00045587</v>
      </c>
      <c r="F1189">
        <v>0</v>
      </c>
      <c r="G1189" s="243">
        <v>39113</v>
      </c>
      <c r="H1189" t="s">
        <v>182</v>
      </c>
      <c r="I1189">
        <v>15</v>
      </c>
      <c r="J1189">
        <v>6</v>
      </c>
      <c r="K1189">
        <v>1</v>
      </c>
      <c r="L1189">
        <v>61032</v>
      </c>
      <c r="M1189" t="str">
        <f t="shared" si="168"/>
        <v>13</v>
      </c>
      <c r="N1189" t="s">
        <v>3323</v>
      </c>
      <c r="O1189" t="str">
        <f t="shared" si="172"/>
        <v>55011</v>
      </c>
      <c r="P1189" t="str">
        <f>"2100L"</f>
        <v>2100L</v>
      </c>
      <c r="Q1189" t="str">
        <f t="shared" si="170"/>
        <v>0101</v>
      </c>
      <c r="R1189">
        <v>2100</v>
      </c>
      <c r="S1189" t="str">
        <f t="shared" si="173"/>
        <v>5500</v>
      </c>
      <c r="T1189" t="s">
        <v>3512</v>
      </c>
      <c r="U1189" t="s">
        <v>121</v>
      </c>
    </row>
    <row r="1190" spans="1:21" ht="15" customHeight="1" x14ac:dyDescent="0.3">
      <c r="A1190" t="s">
        <v>179</v>
      </c>
      <c r="B1190" t="str">
        <f>"00061889"</f>
        <v>00061889</v>
      </c>
      <c r="C1190" t="s">
        <v>4262</v>
      </c>
      <c r="D1190" t="s">
        <v>4670</v>
      </c>
      <c r="E1190" t="str">
        <f>"00069834"</f>
        <v>00069834</v>
      </c>
      <c r="F1190">
        <v>0</v>
      </c>
      <c r="G1190" s="243">
        <v>41133</v>
      </c>
      <c r="H1190" t="s">
        <v>182</v>
      </c>
      <c r="I1190">
        <v>15</v>
      </c>
      <c r="J1190">
        <v>4</v>
      </c>
      <c r="K1190">
        <v>1</v>
      </c>
      <c r="L1190">
        <v>61158</v>
      </c>
      <c r="M1190" t="str">
        <f t="shared" si="168"/>
        <v>13</v>
      </c>
      <c r="N1190" t="s">
        <v>3323</v>
      </c>
      <c r="O1190" t="str">
        <f t="shared" si="172"/>
        <v>55011</v>
      </c>
      <c r="P1190" t="str">
        <f>"2100L"</f>
        <v>2100L</v>
      </c>
      <c r="Q1190" t="str">
        <f t="shared" si="170"/>
        <v>0101</v>
      </c>
      <c r="R1190">
        <v>2100</v>
      </c>
      <c r="S1190" t="str">
        <f t="shared" si="173"/>
        <v>5500</v>
      </c>
      <c r="T1190" t="s">
        <v>3512</v>
      </c>
      <c r="U1190" t="s">
        <v>121</v>
      </c>
    </row>
    <row r="1191" spans="1:21" ht="15" customHeight="1" x14ac:dyDescent="0.3">
      <c r="A1191" t="s">
        <v>179</v>
      </c>
      <c r="B1191" t="str">
        <f>"00061954"</f>
        <v>00061954</v>
      </c>
      <c r="C1191" t="s">
        <v>3798</v>
      </c>
      <c r="D1191" t="s">
        <v>1274</v>
      </c>
      <c r="E1191" t="str">
        <f>"00045923"</f>
        <v>00045923</v>
      </c>
      <c r="F1191">
        <v>0</v>
      </c>
      <c r="G1191" s="243">
        <v>37861</v>
      </c>
      <c r="H1191" t="s">
        <v>182</v>
      </c>
      <c r="I1191">
        <v>61</v>
      </c>
      <c r="J1191">
        <v>3</v>
      </c>
      <c r="K1191">
        <v>1</v>
      </c>
      <c r="L1191">
        <v>110000</v>
      </c>
      <c r="M1191" t="str">
        <f t="shared" si="168"/>
        <v>13</v>
      </c>
      <c r="N1191" t="s">
        <v>3323</v>
      </c>
      <c r="O1191" t="str">
        <f t="shared" si="172"/>
        <v>55011</v>
      </c>
      <c r="P1191" t="str">
        <f>"1501L"</f>
        <v>1501L</v>
      </c>
      <c r="Q1191" t="str">
        <f t="shared" si="170"/>
        <v>0101</v>
      </c>
      <c r="R1191">
        <v>1501</v>
      </c>
      <c r="S1191" t="str">
        <f t="shared" si="173"/>
        <v>5500</v>
      </c>
      <c r="T1191" t="s">
        <v>3512</v>
      </c>
      <c r="U1191" t="s">
        <v>121</v>
      </c>
    </row>
    <row r="1192" spans="1:21" ht="15" customHeight="1" x14ac:dyDescent="0.3">
      <c r="A1192" t="s">
        <v>179</v>
      </c>
      <c r="B1192" t="str">
        <f>"00062352"</f>
        <v>00062352</v>
      </c>
      <c r="C1192" t="s">
        <v>4272</v>
      </c>
      <c r="D1192" t="s">
        <v>1275</v>
      </c>
      <c r="E1192" t="str">
        <f>"00050258"</f>
        <v>00050258</v>
      </c>
      <c r="F1192">
        <v>0</v>
      </c>
      <c r="G1192" s="243">
        <v>39679</v>
      </c>
      <c r="H1192" t="s">
        <v>182</v>
      </c>
      <c r="I1192">
        <v>15</v>
      </c>
      <c r="J1192">
        <v>9</v>
      </c>
      <c r="K1192">
        <v>1</v>
      </c>
      <c r="L1192">
        <v>75232</v>
      </c>
      <c r="M1192" t="str">
        <f t="shared" si="168"/>
        <v>13</v>
      </c>
      <c r="N1192" t="s">
        <v>3323</v>
      </c>
      <c r="O1192" t="str">
        <f t="shared" ref="O1192:O1224" si="174">"55011"</f>
        <v>55011</v>
      </c>
      <c r="P1192" t="str">
        <f>"2200L"</f>
        <v>2200L</v>
      </c>
      <c r="Q1192" t="str">
        <f t="shared" si="170"/>
        <v>0101</v>
      </c>
      <c r="R1192">
        <v>2200</v>
      </c>
      <c r="S1192" t="str">
        <f t="shared" ref="S1192:S1224" si="175">"5500"</f>
        <v>5500</v>
      </c>
      <c r="T1192" t="s">
        <v>3512</v>
      </c>
      <c r="U1192" t="s">
        <v>121</v>
      </c>
    </row>
    <row r="1193" spans="1:21" ht="15" customHeight="1" x14ac:dyDescent="0.3">
      <c r="A1193" t="s">
        <v>179</v>
      </c>
      <c r="B1193" t="str">
        <f>"00062674"</f>
        <v>00062674</v>
      </c>
      <c r="C1193" t="s">
        <v>4254</v>
      </c>
      <c r="D1193" t="s">
        <v>1276</v>
      </c>
      <c r="E1193" t="str">
        <f>"00045976"</f>
        <v>00045976</v>
      </c>
      <c r="F1193">
        <v>0</v>
      </c>
      <c r="G1193" s="243">
        <v>39735</v>
      </c>
      <c r="H1193" t="s">
        <v>182</v>
      </c>
      <c r="I1193">
        <v>15</v>
      </c>
      <c r="J1193">
        <v>4</v>
      </c>
      <c r="K1193">
        <v>1</v>
      </c>
      <c r="L1193">
        <v>61158</v>
      </c>
      <c r="M1193" t="str">
        <f t="shared" si="168"/>
        <v>13</v>
      </c>
      <c r="N1193" t="s">
        <v>3323</v>
      </c>
      <c r="O1193" t="str">
        <f t="shared" si="174"/>
        <v>55011</v>
      </c>
      <c r="P1193" t="str">
        <f>"2100L"</f>
        <v>2100L</v>
      </c>
      <c r="Q1193" t="str">
        <f t="shared" si="170"/>
        <v>0101</v>
      </c>
      <c r="R1193">
        <v>2100</v>
      </c>
      <c r="S1193" t="str">
        <f t="shared" si="175"/>
        <v>5500</v>
      </c>
      <c r="T1193" t="s">
        <v>3512</v>
      </c>
      <c r="U1193" t="s">
        <v>121</v>
      </c>
    </row>
    <row r="1194" spans="1:21" ht="15" customHeight="1" x14ac:dyDescent="0.3">
      <c r="A1194" t="s">
        <v>179</v>
      </c>
      <c r="B1194" t="str">
        <f>"00062706"</f>
        <v>00062706</v>
      </c>
      <c r="C1194" t="s">
        <v>4260</v>
      </c>
      <c r="D1194" t="s">
        <v>1277</v>
      </c>
      <c r="E1194" t="str">
        <f>"00049233"</f>
        <v>00049233</v>
      </c>
      <c r="F1194">
        <v>0</v>
      </c>
      <c r="G1194" s="243">
        <v>39722</v>
      </c>
      <c r="H1194" t="s">
        <v>182</v>
      </c>
      <c r="I1194">
        <v>15</v>
      </c>
      <c r="J1194">
        <v>9</v>
      </c>
      <c r="K1194">
        <v>1</v>
      </c>
      <c r="L1194">
        <v>75232</v>
      </c>
      <c r="M1194" t="str">
        <f t="shared" si="168"/>
        <v>13</v>
      </c>
      <c r="N1194" t="s">
        <v>3323</v>
      </c>
      <c r="O1194" t="str">
        <f t="shared" si="174"/>
        <v>55011</v>
      </c>
      <c r="P1194" t="str">
        <f>"3030L"</f>
        <v>3030L</v>
      </c>
      <c r="Q1194" t="str">
        <f t="shared" si="170"/>
        <v>0101</v>
      </c>
      <c r="R1194">
        <v>3030</v>
      </c>
      <c r="S1194" t="str">
        <f t="shared" si="175"/>
        <v>5500</v>
      </c>
      <c r="T1194" t="s">
        <v>3512</v>
      </c>
      <c r="U1194" t="s">
        <v>121</v>
      </c>
    </row>
    <row r="1195" spans="1:21" ht="15" customHeight="1" x14ac:dyDescent="0.3">
      <c r="A1195" t="s">
        <v>179</v>
      </c>
      <c r="B1195" t="str">
        <f>"00065421"</f>
        <v>00065421</v>
      </c>
      <c r="C1195" t="s">
        <v>3670</v>
      </c>
      <c r="D1195" t="s">
        <v>1278</v>
      </c>
      <c r="E1195" t="str">
        <f>"00056765"</f>
        <v>00056765</v>
      </c>
      <c r="F1195">
        <v>0</v>
      </c>
      <c r="G1195" s="243">
        <v>40021</v>
      </c>
      <c r="H1195" t="s">
        <v>182</v>
      </c>
      <c r="I1195">
        <v>8</v>
      </c>
      <c r="J1195">
        <v>4</v>
      </c>
      <c r="K1195">
        <v>1</v>
      </c>
      <c r="L1195">
        <v>91181</v>
      </c>
      <c r="M1195" t="str">
        <f t="shared" si="168"/>
        <v>13</v>
      </c>
      <c r="N1195" t="s">
        <v>3370</v>
      </c>
      <c r="O1195" t="str">
        <f t="shared" si="174"/>
        <v>55011</v>
      </c>
      <c r="P1195" t="str">
        <f>"1501L"</f>
        <v>1501L</v>
      </c>
      <c r="Q1195" t="str">
        <f t="shared" si="170"/>
        <v>0101</v>
      </c>
      <c r="R1195">
        <v>1501</v>
      </c>
      <c r="S1195" t="str">
        <f t="shared" si="175"/>
        <v>5500</v>
      </c>
      <c r="T1195" t="s">
        <v>3512</v>
      </c>
      <c r="U1195" t="s">
        <v>121</v>
      </c>
    </row>
    <row r="1196" spans="1:21" ht="15" customHeight="1" x14ac:dyDescent="0.3">
      <c r="A1196" t="s">
        <v>179</v>
      </c>
      <c r="B1196" t="str">
        <f>"00065921"</f>
        <v>00065921</v>
      </c>
      <c r="C1196" t="s">
        <v>4274</v>
      </c>
      <c r="D1196" t="s">
        <v>4671</v>
      </c>
      <c r="E1196" t="str">
        <f>"00070127"</f>
        <v>00070127</v>
      </c>
      <c r="F1196">
        <v>0</v>
      </c>
      <c r="G1196" s="243">
        <v>41133</v>
      </c>
      <c r="H1196" t="s">
        <v>182</v>
      </c>
      <c r="I1196">
        <v>4</v>
      </c>
      <c r="J1196">
        <v>5</v>
      </c>
      <c r="K1196">
        <v>1</v>
      </c>
      <c r="L1196">
        <v>25239.37</v>
      </c>
      <c r="M1196" t="str">
        <f t="shared" si="168"/>
        <v>13</v>
      </c>
      <c r="N1196" t="s">
        <v>3370</v>
      </c>
      <c r="O1196" t="str">
        <f t="shared" si="174"/>
        <v>55011</v>
      </c>
      <c r="P1196" t="str">
        <f>"2200L"</f>
        <v>2200L</v>
      </c>
      <c r="Q1196" t="str">
        <f t="shared" si="170"/>
        <v>0101</v>
      </c>
      <c r="R1196">
        <v>2200</v>
      </c>
      <c r="S1196" t="str">
        <f t="shared" si="175"/>
        <v>5500</v>
      </c>
      <c r="T1196" t="s">
        <v>3512</v>
      </c>
      <c r="U1196" t="s">
        <v>121</v>
      </c>
    </row>
    <row r="1197" spans="1:21" ht="15" customHeight="1" x14ac:dyDescent="0.3">
      <c r="A1197" t="s">
        <v>179</v>
      </c>
      <c r="B1197" t="str">
        <f>"00065926"</f>
        <v>00065926</v>
      </c>
      <c r="C1197" t="s">
        <v>4274</v>
      </c>
      <c r="D1197" t="s">
        <v>4672</v>
      </c>
      <c r="E1197" t="str">
        <f>"00045703"</f>
        <v>00045703</v>
      </c>
      <c r="F1197">
        <v>0</v>
      </c>
      <c r="G1197" s="243">
        <v>40042</v>
      </c>
      <c r="H1197" t="s">
        <v>182</v>
      </c>
      <c r="I1197">
        <v>4</v>
      </c>
      <c r="J1197">
        <v>6</v>
      </c>
      <c r="K1197">
        <v>1</v>
      </c>
      <c r="L1197">
        <v>25935.88</v>
      </c>
      <c r="M1197" t="str">
        <f t="shared" si="168"/>
        <v>13</v>
      </c>
      <c r="N1197" t="s">
        <v>3323</v>
      </c>
      <c r="O1197" t="str">
        <f t="shared" si="174"/>
        <v>55011</v>
      </c>
      <c r="P1197" t="str">
        <f>"2200L"</f>
        <v>2200L</v>
      </c>
      <c r="Q1197" t="str">
        <f t="shared" si="170"/>
        <v>0101</v>
      </c>
      <c r="R1197">
        <v>2200</v>
      </c>
      <c r="S1197" t="str">
        <f t="shared" si="175"/>
        <v>5500</v>
      </c>
      <c r="T1197" t="s">
        <v>3512</v>
      </c>
      <c r="U1197" t="s">
        <v>121</v>
      </c>
    </row>
    <row r="1198" spans="1:21" ht="15" customHeight="1" x14ac:dyDescent="0.3">
      <c r="A1198" t="s">
        <v>179</v>
      </c>
      <c r="B1198" t="str">
        <f>"00066006"</f>
        <v>00066006</v>
      </c>
      <c r="C1198" t="s">
        <v>4256</v>
      </c>
      <c r="D1198" t="s">
        <v>1279</v>
      </c>
      <c r="E1198" t="str">
        <f>"00057149"</f>
        <v>00057149</v>
      </c>
      <c r="F1198">
        <v>0</v>
      </c>
      <c r="G1198" s="243">
        <v>40042</v>
      </c>
      <c r="H1198" t="s">
        <v>182</v>
      </c>
      <c r="I1198">
        <v>15</v>
      </c>
      <c r="J1198">
        <v>4</v>
      </c>
      <c r="K1198">
        <v>1</v>
      </c>
      <c r="L1198">
        <v>61158</v>
      </c>
      <c r="M1198" t="str">
        <f t="shared" si="168"/>
        <v>13</v>
      </c>
      <c r="N1198" t="s">
        <v>3323</v>
      </c>
      <c r="O1198" t="str">
        <f t="shared" si="174"/>
        <v>55011</v>
      </c>
      <c r="P1198" t="str">
        <f t="shared" ref="P1198:P1205" si="176">"2100L"</f>
        <v>2100L</v>
      </c>
      <c r="Q1198" t="str">
        <f t="shared" si="170"/>
        <v>0101</v>
      </c>
      <c r="R1198">
        <v>2100</v>
      </c>
      <c r="S1198" t="str">
        <f t="shared" si="175"/>
        <v>5500</v>
      </c>
      <c r="T1198" t="s">
        <v>3512</v>
      </c>
      <c r="U1198" t="s">
        <v>121</v>
      </c>
    </row>
    <row r="1199" spans="1:21" ht="15" customHeight="1" x14ac:dyDescent="0.3">
      <c r="A1199" t="s">
        <v>179</v>
      </c>
      <c r="B1199" t="str">
        <f>"00066313"</f>
        <v>00066313</v>
      </c>
      <c r="C1199" t="s">
        <v>4259</v>
      </c>
      <c r="D1199" t="s">
        <v>1280</v>
      </c>
      <c r="E1199" t="str">
        <f>"00062904"</f>
        <v>00062904</v>
      </c>
      <c r="F1199">
        <v>0</v>
      </c>
      <c r="G1199" s="243">
        <v>40406</v>
      </c>
      <c r="H1199" t="s">
        <v>182</v>
      </c>
      <c r="I1199">
        <v>15</v>
      </c>
      <c r="J1199">
        <v>12</v>
      </c>
      <c r="K1199">
        <v>1</v>
      </c>
      <c r="L1199">
        <v>89887</v>
      </c>
      <c r="M1199" t="str">
        <f t="shared" si="168"/>
        <v>13</v>
      </c>
      <c r="N1199" t="s">
        <v>3323</v>
      </c>
      <c r="O1199" t="str">
        <f t="shared" si="174"/>
        <v>55011</v>
      </c>
      <c r="P1199" t="str">
        <f t="shared" si="176"/>
        <v>2100L</v>
      </c>
      <c r="Q1199" t="str">
        <f t="shared" si="170"/>
        <v>0101</v>
      </c>
      <c r="R1199">
        <v>2100</v>
      </c>
      <c r="S1199" t="str">
        <f t="shared" si="175"/>
        <v>5500</v>
      </c>
      <c r="T1199" t="s">
        <v>3512</v>
      </c>
      <c r="U1199" t="s">
        <v>121</v>
      </c>
    </row>
    <row r="1200" spans="1:21" ht="15" customHeight="1" x14ac:dyDescent="0.3">
      <c r="A1200" t="s">
        <v>179</v>
      </c>
      <c r="B1200" t="str">
        <f>"00066728"</f>
        <v>00066728</v>
      </c>
      <c r="C1200" t="s">
        <v>4262</v>
      </c>
      <c r="D1200" t="s">
        <v>1281</v>
      </c>
      <c r="E1200" t="str">
        <f>"00062899"</f>
        <v>00062899</v>
      </c>
      <c r="F1200">
        <v>0</v>
      </c>
      <c r="G1200" s="243">
        <v>40406</v>
      </c>
      <c r="H1200" t="s">
        <v>182</v>
      </c>
      <c r="I1200">
        <v>15</v>
      </c>
      <c r="J1200">
        <v>4</v>
      </c>
      <c r="K1200">
        <v>1</v>
      </c>
      <c r="L1200">
        <v>54725</v>
      </c>
      <c r="M1200" t="str">
        <f t="shared" si="168"/>
        <v>13</v>
      </c>
      <c r="N1200" t="s">
        <v>3323</v>
      </c>
      <c r="O1200" t="str">
        <f t="shared" si="174"/>
        <v>55011</v>
      </c>
      <c r="P1200" t="str">
        <f t="shared" si="176"/>
        <v>2100L</v>
      </c>
      <c r="Q1200" t="str">
        <f t="shared" si="170"/>
        <v>0101</v>
      </c>
      <c r="R1200">
        <v>2100</v>
      </c>
      <c r="S1200" t="str">
        <f t="shared" si="175"/>
        <v>5500</v>
      </c>
      <c r="T1200" t="s">
        <v>3512</v>
      </c>
      <c r="U1200" t="s">
        <v>121</v>
      </c>
    </row>
    <row r="1201" spans="1:21" ht="15" customHeight="1" x14ac:dyDescent="0.3">
      <c r="A1201" t="s">
        <v>179</v>
      </c>
      <c r="B1201" t="str">
        <f>"00066729"</f>
        <v>00066729</v>
      </c>
      <c r="C1201" t="s">
        <v>4262</v>
      </c>
      <c r="D1201" t="s">
        <v>1282</v>
      </c>
      <c r="E1201" t="str">
        <f>"00060314"</f>
        <v>00060314</v>
      </c>
      <c r="F1201">
        <v>0</v>
      </c>
      <c r="G1201" s="243">
        <v>40197</v>
      </c>
      <c r="H1201" t="s">
        <v>182</v>
      </c>
      <c r="I1201">
        <v>15</v>
      </c>
      <c r="J1201">
        <v>3</v>
      </c>
      <c r="K1201">
        <v>1</v>
      </c>
      <c r="L1201">
        <v>52777</v>
      </c>
      <c r="M1201" t="str">
        <f t="shared" si="168"/>
        <v>13</v>
      </c>
      <c r="N1201" t="s">
        <v>3323</v>
      </c>
      <c r="O1201" t="str">
        <f t="shared" si="174"/>
        <v>55011</v>
      </c>
      <c r="P1201" t="str">
        <f t="shared" si="176"/>
        <v>2100L</v>
      </c>
      <c r="Q1201" t="str">
        <f t="shared" si="170"/>
        <v>0101</v>
      </c>
      <c r="R1201">
        <v>2100</v>
      </c>
      <c r="S1201" t="str">
        <f t="shared" si="175"/>
        <v>5500</v>
      </c>
      <c r="T1201" t="s">
        <v>3512</v>
      </c>
      <c r="U1201" t="s">
        <v>121</v>
      </c>
    </row>
    <row r="1202" spans="1:21" ht="15" customHeight="1" x14ac:dyDescent="0.3">
      <c r="A1202" t="s">
        <v>179</v>
      </c>
      <c r="B1202" t="str">
        <f>"00066730"</f>
        <v>00066730</v>
      </c>
      <c r="C1202" t="s">
        <v>4260</v>
      </c>
      <c r="D1202" t="s">
        <v>202</v>
      </c>
      <c r="E1202" t="str">
        <f>"00062508"</f>
        <v>00062508</v>
      </c>
      <c r="F1202">
        <v>0</v>
      </c>
      <c r="G1202" s="243">
        <v>40406</v>
      </c>
      <c r="H1202" t="s">
        <v>182</v>
      </c>
      <c r="I1202">
        <v>15</v>
      </c>
      <c r="J1202">
        <v>3</v>
      </c>
      <c r="K1202">
        <v>1</v>
      </c>
      <c r="L1202">
        <v>52777</v>
      </c>
      <c r="M1202" t="str">
        <f t="shared" si="168"/>
        <v>13</v>
      </c>
      <c r="N1202" t="s">
        <v>3370</v>
      </c>
      <c r="O1202" t="str">
        <f t="shared" si="174"/>
        <v>55011</v>
      </c>
      <c r="P1202" t="str">
        <f t="shared" si="176"/>
        <v>2100L</v>
      </c>
      <c r="Q1202" t="str">
        <f t="shared" si="170"/>
        <v>0101</v>
      </c>
      <c r="R1202">
        <v>2100</v>
      </c>
      <c r="S1202" t="str">
        <f t="shared" si="175"/>
        <v>5500</v>
      </c>
      <c r="T1202" t="s">
        <v>3512</v>
      </c>
      <c r="U1202" t="s">
        <v>121</v>
      </c>
    </row>
    <row r="1203" spans="1:21" ht="15" customHeight="1" x14ac:dyDescent="0.3">
      <c r="A1203" t="s">
        <v>179</v>
      </c>
      <c r="B1203" t="str">
        <f>"00067302"</f>
        <v>00067302</v>
      </c>
      <c r="C1203" t="s">
        <v>4520</v>
      </c>
      <c r="D1203" t="s">
        <v>4673</v>
      </c>
      <c r="E1203" t="str">
        <f>"00057530"</f>
        <v>00057530</v>
      </c>
      <c r="F1203">
        <v>0</v>
      </c>
      <c r="G1203" s="243">
        <v>40042</v>
      </c>
      <c r="H1203" t="s">
        <v>182</v>
      </c>
      <c r="I1203">
        <v>4</v>
      </c>
      <c r="J1203">
        <v>9</v>
      </c>
      <c r="K1203">
        <v>1</v>
      </c>
      <c r="L1203">
        <v>32029</v>
      </c>
      <c r="M1203" t="str">
        <f t="shared" si="168"/>
        <v>13</v>
      </c>
      <c r="N1203" t="s">
        <v>3323</v>
      </c>
      <c r="O1203" t="str">
        <f t="shared" si="174"/>
        <v>55011</v>
      </c>
      <c r="P1203" t="str">
        <f t="shared" si="176"/>
        <v>2100L</v>
      </c>
      <c r="Q1203" t="str">
        <f t="shared" si="170"/>
        <v>0101</v>
      </c>
      <c r="R1203">
        <v>2100</v>
      </c>
      <c r="S1203" t="str">
        <f t="shared" si="175"/>
        <v>5500</v>
      </c>
      <c r="T1203" t="s">
        <v>3512</v>
      </c>
      <c r="U1203" t="s">
        <v>121</v>
      </c>
    </row>
    <row r="1204" spans="1:21" ht="15" customHeight="1" x14ac:dyDescent="0.3">
      <c r="A1204" t="s">
        <v>179</v>
      </c>
      <c r="B1204" t="str">
        <f>"00067549"</f>
        <v>00067549</v>
      </c>
      <c r="C1204" t="s">
        <v>4272</v>
      </c>
      <c r="D1204" t="s">
        <v>1284</v>
      </c>
      <c r="E1204" t="str">
        <f>"00057528"</f>
        <v>00057528</v>
      </c>
      <c r="F1204">
        <v>0</v>
      </c>
      <c r="G1204" s="243">
        <v>40042</v>
      </c>
      <c r="H1204" t="s">
        <v>182</v>
      </c>
      <c r="I1204">
        <v>15</v>
      </c>
      <c r="J1204">
        <v>4</v>
      </c>
      <c r="K1204">
        <v>1</v>
      </c>
      <c r="L1204">
        <v>54725</v>
      </c>
      <c r="M1204" t="str">
        <f t="shared" si="168"/>
        <v>13</v>
      </c>
      <c r="N1204" t="s">
        <v>3323</v>
      </c>
      <c r="O1204" t="str">
        <f t="shared" si="174"/>
        <v>55011</v>
      </c>
      <c r="P1204" t="str">
        <f t="shared" si="176"/>
        <v>2100L</v>
      </c>
      <c r="Q1204" t="str">
        <f t="shared" si="170"/>
        <v>0101</v>
      </c>
      <c r="R1204">
        <v>2100</v>
      </c>
      <c r="S1204" t="str">
        <f t="shared" si="175"/>
        <v>5500</v>
      </c>
      <c r="T1204" t="s">
        <v>3512</v>
      </c>
      <c r="U1204" t="s">
        <v>121</v>
      </c>
    </row>
    <row r="1205" spans="1:21" ht="15" customHeight="1" x14ac:dyDescent="0.3">
      <c r="A1205" t="s">
        <v>179</v>
      </c>
      <c r="B1205" t="str">
        <f>"00072388"</f>
        <v>00072388</v>
      </c>
      <c r="C1205" t="s">
        <v>4272</v>
      </c>
      <c r="D1205" t="s">
        <v>3513</v>
      </c>
      <c r="E1205" t="str">
        <f>"00064396"</f>
        <v>00064396</v>
      </c>
      <c r="F1205">
        <v>0</v>
      </c>
      <c r="G1205" s="243">
        <v>40546</v>
      </c>
      <c r="H1205" t="s">
        <v>182</v>
      </c>
      <c r="I1205">
        <v>15</v>
      </c>
      <c r="J1205">
        <v>4</v>
      </c>
      <c r="K1205">
        <v>1</v>
      </c>
      <c r="L1205">
        <v>61158</v>
      </c>
      <c r="M1205" t="str">
        <f t="shared" si="168"/>
        <v>13</v>
      </c>
      <c r="N1205" t="s">
        <v>3323</v>
      </c>
      <c r="O1205" t="str">
        <f t="shared" si="174"/>
        <v>55011</v>
      </c>
      <c r="P1205" t="str">
        <f t="shared" si="176"/>
        <v>2100L</v>
      </c>
      <c r="Q1205" t="str">
        <f t="shared" si="170"/>
        <v>0101</v>
      </c>
      <c r="R1205">
        <v>2100</v>
      </c>
      <c r="S1205" t="str">
        <f t="shared" si="175"/>
        <v>5500</v>
      </c>
      <c r="T1205" t="s">
        <v>3512</v>
      </c>
      <c r="U1205" t="s">
        <v>121</v>
      </c>
    </row>
    <row r="1206" spans="1:21" ht="15" customHeight="1" x14ac:dyDescent="0.3">
      <c r="A1206" t="s">
        <v>179</v>
      </c>
      <c r="B1206" t="str">
        <f>"00072511"</f>
        <v>00072511</v>
      </c>
      <c r="C1206" t="s">
        <v>4333</v>
      </c>
      <c r="D1206" t="s">
        <v>4674</v>
      </c>
      <c r="E1206" t="str">
        <f>"00049917"</f>
        <v>00049917</v>
      </c>
      <c r="F1206">
        <v>0</v>
      </c>
      <c r="G1206" s="243">
        <v>37151</v>
      </c>
      <c r="H1206" t="s">
        <v>182</v>
      </c>
      <c r="I1206">
        <v>12</v>
      </c>
      <c r="J1206">
        <v>4</v>
      </c>
      <c r="K1206">
        <v>1</v>
      </c>
      <c r="L1206">
        <v>65427</v>
      </c>
      <c r="M1206" t="str">
        <f t="shared" si="168"/>
        <v>13</v>
      </c>
      <c r="N1206" t="s">
        <v>3323</v>
      </c>
      <c r="O1206" t="str">
        <f t="shared" si="174"/>
        <v>55011</v>
      </c>
      <c r="P1206" t="str">
        <f>"1502L"</f>
        <v>1502L</v>
      </c>
      <c r="Q1206" t="str">
        <f t="shared" si="170"/>
        <v>0101</v>
      </c>
      <c r="R1206">
        <v>1502</v>
      </c>
      <c r="S1206" t="str">
        <f t="shared" si="175"/>
        <v>5500</v>
      </c>
      <c r="T1206" t="s">
        <v>3512</v>
      </c>
      <c r="U1206" t="s">
        <v>121</v>
      </c>
    </row>
    <row r="1207" spans="1:21" ht="15" customHeight="1" x14ac:dyDescent="0.3">
      <c r="A1207" t="s">
        <v>179</v>
      </c>
      <c r="B1207" t="str">
        <f>"00072719"</f>
        <v>00072719</v>
      </c>
      <c r="C1207" t="s">
        <v>4675</v>
      </c>
      <c r="H1207" t="s">
        <v>170</v>
      </c>
      <c r="I1207">
        <v>15</v>
      </c>
      <c r="J1207">
        <v>1</v>
      </c>
      <c r="K1207">
        <v>0.5</v>
      </c>
      <c r="L1207">
        <v>54975</v>
      </c>
      <c r="M1207" t="str">
        <f t="shared" si="168"/>
        <v>13</v>
      </c>
      <c r="N1207" t="s">
        <v>3323</v>
      </c>
      <c r="O1207" t="str">
        <f t="shared" si="174"/>
        <v>55011</v>
      </c>
      <c r="P1207" t="str">
        <f>"2100L"</f>
        <v>2100L</v>
      </c>
      <c r="Q1207" t="str">
        <f t="shared" si="170"/>
        <v>0101</v>
      </c>
      <c r="R1207">
        <v>2100</v>
      </c>
      <c r="S1207" t="str">
        <f t="shared" si="175"/>
        <v>5500</v>
      </c>
      <c r="T1207" t="s">
        <v>3512</v>
      </c>
      <c r="U1207" t="s">
        <v>121</v>
      </c>
    </row>
    <row r="1208" spans="1:21" ht="15" customHeight="1" x14ac:dyDescent="0.3">
      <c r="A1208" t="s">
        <v>179</v>
      </c>
      <c r="B1208" t="str">
        <f>"00072964"</f>
        <v>00072964</v>
      </c>
      <c r="C1208" t="s">
        <v>4293</v>
      </c>
      <c r="H1208" t="s">
        <v>170</v>
      </c>
      <c r="I1208">
        <v>15</v>
      </c>
      <c r="J1208">
        <v>1</v>
      </c>
      <c r="K1208">
        <v>0.5</v>
      </c>
      <c r="L1208">
        <v>54975</v>
      </c>
      <c r="M1208" t="str">
        <f t="shared" si="168"/>
        <v>13</v>
      </c>
      <c r="N1208" t="s">
        <v>3323</v>
      </c>
      <c r="O1208" t="str">
        <f t="shared" si="174"/>
        <v>55011</v>
      </c>
      <c r="P1208" t="str">
        <f>"2100L"</f>
        <v>2100L</v>
      </c>
      <c r="Q1208" t="str">
        <f t="shared" si="170"/>
        <v>0101</v>
      </c>
      <c r="R1208">
        <v>2100</v>
      </c>
      <c r="S1208" t="str">
        <f t="shared" si="175"/>
        <v>5500</v>
      </c>
      <c r="T1208" t="s">
        <v>3512</v>
      </c>
      <c r="U1208" t="s">
        <v>121</v>
      </c>
    </row>
    <row r="1209" spans="1:21" ht="15" customHeight="1" x14ac:dyDescent="0.3">
      <c r="A1209" t="s">
        <v>179</v>
      </c>
      <c r="B1209" t="str">
        <f>"00074211"</f>
        <v>00074211</v>
      </c>
      <c r="C1209" t="s">
        <v>4262</v>
      </c>
      <c r="D1209" t="s">
        <v>3514</v>
      </c>
      <c r="E1209" t="str">
        <f>"00066351"</f>
        <v>00066351</v>
      </c>
      <c r="F1209">
        <v>0</v>
      </c>
      <c r="G1209" s="243">
        <v>40755</v>
      </c>
      <c r="H1209" t="s">
        <v>182</v>
      </c>
      <c r="I1209">
        <v>15</v>
      </c>
      <c r="J1209">
        <v>4</v>
      </c>
      <c r="K1209">
        <v>1</v>
      </c>
      <c r="L1209">
        <v>54725</v>
      </c>
      <c r="M1209" t="str">
        <f t="shared" si="168"/>
        <v>13</v>
      </c>
      <c r="N1209" t="s">
        <v>3323</v>
      </c>
      <c r="O1209" t="str">
        <f t="shared" si="174"/>
        <v>55011</v>
      </c>
      <c r="P1209" t="str">
        <f t="shared" ref="P1209:P1214" si="177">"2100L"</f>
        <v>2100L</v>
      </c>
      <c r="Q1209" t="str">
        <f t="shared" si="170"/>
        <v>0101</v>
      </c>
      <c r="R1209">
        <v>2100</v>
      </c>
      <c r="S1209" t="str">
        <f t="shared" si="175"/>
        <v>5500</v>
      </c>
      <c r="T1209" t="s">
        <v>3512</v>
      </c>
      <c r="U1209" t="s">
        <v>121</v>
      </c>
    </row>
    <row r="1210" spans="1:21" ht="15" customHeight="1" x14ac:dyDescent="0.3">
      <c r="A1210" t="s">
        <v>179</v>
      </c>
      <c r="B1210" t="str">
        <f>"00074212"</f>
        <v>00074212</v>
      </c>
      <c r="C1210" t="s">
        <v>4272</v>
      </c>
      <c r="D1210" t="s">
        <v>3515</v>
      </c>
      <c r="E1210" t="str">
        <f>"00065965"</f>
        <v>00065965</v>
      </c>
      <c r="F1210">
        <v>0</v>
      </c>
      <c r="G1210" s="243">
        <v>40755</v>
      </c>
      <c r="H1210" t="s">
        <v>182</v>
      </c>
      <c r="I1210">
        <v>15</v>
      </c>
      <c r="J1210">
        <v>8</v>
      </c>
      <c r="K1210">
        <v>1</v>
      </c>
      <c r="L1210">
        <v>72171</v>
      </c>
      <c r="M1210" t="str">
        <f t="shared" si="168"/>
        <v>13</v>
      </c>
      <c r="N1210" t="s">
        <v>3323</v>
      </c>
      <c r="O1210" t="str">
        <f t="shared" si="174"/>
        <v>55011</v>
      </c>
      <c r="P1210" t="str">
        <f t="shared" si="177"/>
        <v>2100L</v>
      </c>
      <c r="Q1210" t="str">
        <f t="shared" si="170"/>
        <v>0101</v>
      </c>
      <c r="R1210">
        <v>2100</v>
      </c>
      <c r="S1210" t="str">
        <f t="shared" si="175"/>
        <v>5500</v>
      </c>
      <c r="T1210" t="s">
        <v>3512</v>
      </c>
      <c r="U1210" t="s">
        <v>121</v>
      </c>
    </row>
    <row r="1211" spans="1:21" ht="15" customHeight="1" x14ac:dyDescent="0.3">
      <c r="A1211" t="s">
        <v>179</v>
      </c>
      <c r="B1211" t="str">
        <f>"00074213"</f>
        <v>00074213</v>
      </c>
      <c r="C1211" t="s">
        <v>4262</v>
      </c>
      <c r="D1211" t="s">
        <v>3516</v>
      </c>
      <c r="E1211" t="str">
        <f>"00065601"</f>
        <v>00065601</v>
      </c>
      <c r="F1211">
        <v>0</v>
      </c>
      <c r="G1211" s="243">
        <v>40755</v>
      </c>
      <c r="H1211" t="s">
        <v>182</v>
      </c>
      <c r="I1211">
        <v>15</v>
      </c>
      <c r="J1211">
        <v>11</v>
      </c>
      <c r="K1211">
        <v>1</v>
      </c>
      <c r="L1211">
        <v>81335</v>
      </c>
      <c r="M1211" t="str">
        <f t="shared" si="168"/>
        <v>13</v>
      </c>
      <c r="N1211" t="s">
        <v>3323</v>
      </c>
      <c r="O1211" t="str">
        <f t="shared" si="174"/>
        <v>55011</v>
      </c>
      <c r="P1211" t="str">
        <f t="shared" si="177"/>
        <v>2100L</v>
      </c>
      <c r="Q1211" t="str">
        <f t="shared" si="170"/>
        <v>0101</v>
      </c>
      <c r="R1211">
        <v>2100</v>
      </c>
      <c r="S1211" t="str">
        <f t="shared" si="175"/>
        <v>5500</v>
      </c>
      <c r="T1211" t="s">
        <v>3512</v>
      </c>
      <c r="U1211" t="s">
        <v>121</v>
      </c>
    </row>
    <row r="1212" spans="1:21" ht="15" customHeight="1" x14ac:dyDescent="0.3">
      <c r="A1212" t="s">
        <v>179</v>
      </c>
      <c r="B1212" t="str">
        <f>"00074214"</f>
        <v>00074214</v>
      </c>
      <c r="C1212" t="s">
        <v>4262</v>
      </c>
      <c r="D1212" t="s">
        <v>3517</v>
      </c>
      <c r="E1212" t="str">
        <f>"00066448"</f>
        <v>00066448</v>
      </c>
      <c r="F1212">
        <v>0</v>
      </c>
      <c r="G1212" s="243">
        <v>40769</v>
      </c>
      <c r="H1212" t="s">
        <v>182</v>
      </c>
      <c r="I1212">
        <v>15</v>
      </c>
      <c r="J1212">
        <v>11</v>
      </c>
      <c r="K1212">
        <v>1</v>
      </c>
      <c r="L1212">
        <v>81335</v>
      </c>
      <c r="M1212" t="str">
        <f t="shared" ref="M1212:M1266" si="178">"13"</f>
        <v>13</v>
      </c>
      <c r="N1212" t="s">
        <v>3323</v>
      </c>
      <c r="O1212" t="str">
        <f t="shared" si="174"/>
        <v>55011</v>
      </c>
      <c r="P1212" t="str">
        <f t="shared" si="177"/>
        <v>2100L</v>
      </c>
      <c r="Q1212" t="str">
        <f t="shared" si="170"/>
        <v>0101</v>
      </c>
      <c r="R1212">
        <v>2100</v>
      </c>
      <c r="S1212" t="str">
        <f t="shared" si="175"/>
        <v>5500</v>
      </c>
      <c r="T1212" t="s">
        <v>3512</v>
      </c>
      <c r="U1212" t="s">
        <v>121</v>
      </c>
    </row>
    <row r="1213" spans="1:21" ht="15" customHeight="1" x14ac:dyDescent="0.3">
      <c r="A1213" t="s">
        <v>179</v>
      </c>
      <c r="B1213" t="str">
        <f>"00074215"</f>
        <v>00074215</v>
      </c>
      <c r="C1213" t="s">
        <v>4274</v>
      </c>
      <c r="D1213" t="s">
        <v>4676</v>
      </c>
      <c r="E1213" t="str">
        <f>"00066384"</f>
        <v>00066384</v>
      </c>
      <c r="F1213">
        <v>0</v>
      </c>
      <c r="G1213" s="243">
        <v>40770</v>
      </c>
      <c r="H1213" t="s">
        <v>182</v>
      </c>
      <c r="I1213">
        <v>4</v>
      </c>
      <c r="J1213">
        <v>6</v>
      </c>
      <c r="K1213">
        <v>0.71</v>
      </c>
      <c r="L1213">
        <v>25935.88</v>
      </c>
      <c r="M1213" t="str">
        <f t="shared" si="178"/>
        <v>13</v>
      </c>
      <c r="N1213" t="s">
        <v>3323</v>
      </c>
      <c r="O1213" t="str">
        <f t="shared" si="174"/>
        <v>55011</v>
      </c>
      <c r="P1213" t="str">
        <f t="shared" si="177"/>
        <v>2100L</v>
      </c>
      <c r="Q1213" t="str">
        <f t="shared" si="170"/>
        <v>0101</v>
      </c>
      <c r="R1213">
        <v>2100</v>
      </c>
      <c r="S1213" t="str">
        <f t="shared" si="175"/>
        <v>5500</v>
      </c>
      <c r="T1213" t="s">
        <v>3512</v>
      </c>
      <c r="U1213" t="s">
        <v>121</v>
      </c>
    </row>
    <row r="1214" spans="1:21" ht="15" customHeight="1" x14ac:dyDescent="0.3">
      <c r="A1214" t="s">
        <v>179</v>
      </c>
      <c r="B1214" t="str">
        <f>"00074217"</f>
        <v>00074217</v>
      </c>
      <c r="C1214" t="s">
        <v>4292</v>
      </c>
      <c r="D1214" t="s">
        <v>4677</v>
      </c>
      <c r="E1214" t="str">
        <f>"00069706"</f>
        <v>00069706</v>
      </c>
      <c r="F1214">
        <v>0</v>
      </c>
      <c r="G1214" s="243">
        <v>41133</v>
      </c>
      <c r="H1214" t="s">
        <v>182</v>
      </c>
      <c r="I1214">
        <v>4</v>
      </c>
      <c r="J1214">
        <v>4</v>
      </c>
      <c r="K1214">
        <v>0.71</v>
      </c>
      <c r="L1214">
        <v>24543.75</v>
      </c>
      <c r="M1214" t="str">
        <f t="shared" si="178"/>
        <v>13</v>
      </c>
      <c r="N1214" t="s">
        <v>3370</v>
      </c>
      <c r="O1214" t="str">
        <f t="shared" si="174"/>
        <v>55011</v>
      </c>
      <c r="P1214" t="str">
        <f t="shared" si="177"/>
        <v>2100L</v>
      </c>
      <c r="Q1214" t="str">
        <f t="shared" si="170"/>
        <v>0101</v>
      </c>
      <c r="R1214">
        <v>2100</v>
      </c>
      <c r="S1214" t="str">
        <f t="shared" si="175"/>
        <v>5500</v>
      </c>
      <c r="T1214" t="s">
        <v>3512</v>
      </c>
      <c r="U1214" t="s">
        <v>121</v>
      </c>
    </row>
    <row r="1215" spans="1:21" ht="15" customHeight="1" x14ac:dyDescent="0.3">
      <c r="A1215" t="s">
        <v>179</v>
      </c>
      <c r="B1215" t="str">
        <f>"00074549"</f>
        <v>00074549</v>
      </c>
      <c r="C1215" t="s">
        <v>4262</v>
      </c>
      <c r="D1215" t="s">
        <v>4678</v>
      </c>
      <c r="E1215" t="str">
        <f>"00069568"</f>
        <v>00069568</v>
      </c>
      <c r="F1215">
        <v>0</v>
      </c>
      <c r="G1215" s="243">
        <v>41133</v>
      </c>
      <c r="H1215" t="s">
        <v>182</v>
      </c>
      <c r="I1215">
        <v>15</v>
      </c>
      <c r="J1215">
        <v>8</v>
      </c>
      <c r="K1215">
        <v>1</v>
      </c>
      <c r="L1215">
        <v>72171</v>
      </c>
      <c r="M1215" t="str">
        <f t="shared" si="178"/>
        <v>13</v>
      </c>
      <c r="N1215" t="s">
        <v>3370</v>
      </c>
      <c r="O1215" t="str">
        <f t="shared" si="174"/>
        <v>55011</v>
      </c>
      <c r="P1215" t="str">
        <f t="shared" ref="P1215:P1222" si="179">"2100L"</f>
        <v>2100L</v>
      </c>
      <c r="Q1215" t="str">
        <f t="shared" si="170"/>
        <v>0101</v>
      </c>
      <c r="R1215">
        <v>2100</v>
      </c>
      <c r="S1215" t="str">
        <f t="shared" si="175"/>
        <v>5500</v>
      </c>
      <c r="T1215" t="s">
        <v>3512</v>
      </c>
      <c r="U1215" t="s">
        <v>121</v>
      </c>
    </row>
    <row r="1216" spans="1:21" ht="15" customHeight="1" x14ac:dyDescent="0.3">
      <c r="A1216" t="s">
        <v>179</v>
      </c>
      <c r="B1216" t="str">
        <f>"00074550"</f>
        <v>00074550</v>
      </c>
      <c r="C1216" t="s">
        <v>4262</v>
      </c>
      <c r="D1216" t="s">
        <v>3518</v>
      </c>
      <c r="E1216" t="str">
        <f>"00065599"</f>
        <v>00065599</v>
      </c>
      <c r="F1216">
        <v>0</v>
      </c>
      <c r="G1216" s="243">
        <v>40755</v>
      </c>
      <c r="H1216" t="s">
        <v>182</v>
      </c>
      <c r="I1216">
        <v>15</v>
      </c>
      <c r="J1216">
        <v>2</v>
      </c>
      <c r="K1216">
        <v>1</v>
      </c>
      <c r="L1216">
        <v>56242</v>
      </c>
      <c r="M1216" t="str">
        <f t="shared" si="178"/>
        <v>13</v>
      </c>
      <c r="N1216" t="s">
        <v>3323</v>
      </c>
      <c r="O1216" t="str">
        <f t="shared" si="174"/>
        <v>55011</v>
      </c>
      <c r="P1216" t="str">
        <f t="shared" si="179"/>
        <v>2100L</v>
      </c>
      <c r="Q1216" t="str">
        <f t="shared" si="170"/>
        <v>0101</v>
      </c>
      <c r="R1216">
        <v>2100</v>
      </c>
      <c r="S1216" t="str">
        <f t="shared" si="175"/>
        <v>5500</v>
      </c>
      <c r="T1216" t="s">
        <v>3512</v>
      </c>
      <c r="U1216" t="s">
        <v>121</v>
      </c>
    </row>
    <row r="1217" spans="1:21" ht="15" customHeight="1" x14ac:dyDescent="0.3">
      <c r="A1217" t="s">
        <v>179</v>
      </c>
      <c r="B1217" t="str">
        <f>"00074833"</f>
        <v>00074833</v>
      </c>
      <c r="C1217" t="s">
        <v>4260</v>
      </c>
      <c r="D1217" t="s">
        <v>3519</v>
      </c>
      <c r="E1217" t="str">
        <f>"00066432"</f>
        <v>00066432</v>
      </c>
      <c r="F1217">
        <v>0</v>
      </c>
      <c r="G1217" s="243">
        <v>40769</v>
      </c>
      <c r="H1217" t="s">
        <v>182</v>
      </c>
      <c r="I1217">
        <v>15</v>
      </c>
      <c r="J1217">
        <v>2</v>
      </c>
      <c r="K1217">
        <v>1</v>
      </c>
      <c r="L1217">
        <v>51716</v>
      </c>
      <c r="M1217" t="str">
        <f t="shared" si="178"/>
        <v>13</v>
      </c>
      <c r="N1217" t="s">
        <v>3323</v>
      </c>
      <c r="O1217" t="str">
        <f t="shared" si="174"/>
        <v>55011</v>
      </c>
      <c r="P1217" t="str">
        <f t="shared" si="179"/>
        <v>2100L</v>
      </c>
      <c r="Q1217" t="str">
        <f t="shared" si="170"/>
        <v>0101</v>
      </c>
      <c r="R1217">
        <v>2100</v>
      </c>
      <c r="S1217" t="str">
        <f t="shared" si="175"/>
        <v>5500</v>
      </c>
      <c r="T1217" t="s">
        <v>3512</v>
      </c>
      <c r="U1217" t="s">
        <v>121</v>
      </c>
    </row>
    <row r="1218" spans="1:21" ht="15" customHeight="1" x14ac:dyDescent="0.3">
      <c r="A1218" t="s">
        <v>179</v>
      </c>
      <c r="B1218" t="str">
        <f>"00076094"</f>
        <v>00076094</v>
      </c>
      <c r="C1218" t="s">
        <v>4262</v>
      </c>
      <c r="D1218" t="s">
        <v>4679</v>
      </c>
      <c r="E1218" t="str">
        <f>"00059759"</f>
        <v>00059759</v>
      </c>
      <c r="F1218">
        <v>0</v>
      </c>
      <c r="G1218" s="243">
        <v>40770</v>
      </c>
      <c r="H1218" t="s">
        <v>182</v>
      </c>
      <c r="I1218">
        <v>15</v>
      </c>
      <c r="J1218">
        <v>1</v>
      </c>
      <c r="K1218">
        <v>1</v>
      </c>
      <c r="L1218">
        <v>54975</v>
      </c>
      <c r="M1218" t="str">
        <f t="shared" si="178"/>
        <v>13</v>
      </c>
      <c r="N1218" t="s">
        <v>3370</v>
      </c>
      <c r="O1218" t="str">
        <f t="shared" si="174"/>
        <v>55011</v>
      </c>
      <c r="P1218" t="str">
        <f t="shared" si="179"/>
        <v>2100L</v>
      </c>
      <c r="Q1218" t="str">
        <f t="shared" ref="Q1218:Q1273" si="180">"0101"</f>
        <v>0101</v>
      </c>
      <c r="R1218">
        <v>2100</v>
      </c>
      <c r="S1218" t="str">
        <f t="shared" si="175"/>
        <v>5500</v>
      </c>
      <c r="T1218" t="s">
        <v>3512</v>
      </c>
      <c r="U1218" t="s">
        <v>121</v>
      </c>
    </row>
    <row r="1219" spans="1:21" ht="15" customHeight="1" x14ac:dyDescent="0.3">
      <c r="A1219" t="s">
        <v>179</v>
      </c>
      <c r="B1219" t="str">
        <f>"00076095"</f>
        <v>00076095</v>
      </c>
      <c r="C1219" t="s">
        <v>4259</v>
      </c>
      <c r="D1219" t="s">
        <v>3330</v>
      </c>
      <c r="E1219" t="str">
        <f>"00050214"</f>
        <v>00050214</v>
      </c>
      <c r="F1219">
        <v>0</v>
      </c>
      <c r="G1219" s="243">
        <v>36034</v>
      </c>
      <c r="H1219" t="s">
        <v>182</v>
      </c>
      <c r="I1219">
        <v>15</v>
      </c>
      <c r="J1219">
        <v>12</v>
      </c>
      <c r="K1219">
        <v>1</v>
      </c>
      <c r="L1219">
        <v>92613</v>
      </c>
      <c r="M1219" t="str">
        <f t="shared" si="178"/>
        <v>13</v>
      </c>
      <c r="N1219" t="s">
        <v>3370</v>
      </c>
      <c r="O1219" t="str">
        <f t="shared" si="174"/>
        <v>55011</v>
      </c>
      <c r="P1219" t="str">
        <f t="shared" si="179"/>
        <v>2100L</v>
      </c>
      <c r="Q1219" t="str">
        <f t="shared" si="180"/>
        <v>0101</v>
      </c>
      <c r="R1219">
        <v>2100</v>
      </c>
      <c r="S1219" t="str">
        <f t="shared" si="175"/>
        <v>5500</v>
      </c>
      <c r="T1219" t="s">
        <v>3512</v>
      </c>
      <c r="U1219" t="s">
        <v>121</v>
      </c>
    </row>
    <row r="1220" spans="1:21" ht="15" customHeight="1" x14ac:dyDescent="0.3">
      <c r="A1220" t="s">
        <v>179</v>
      </c>
      <c r="B1220" t="str">
        <f>"00076096"</f>
        <v>00076096</v>
      </c>
      <c r="C1220" t="s">
        <v>4262</v>
      </c>
      <c r="D1220" t="s">
        <v>1287</v>
      </c>
      <c r="E1220" t="str">
        <f>"00060767"</f>
        <v>00060767</v>
      </c>
      <c r="F1220">
        <v>0</v>
      </c>
      <c r="G1220" s="243">
        <v>40267</v>
      </c>
      <c r="H1220" t="s">
        <v>182</v>
      </c>
      <c r="I1220">
        <v>15</v>
      </c>
      <c r="J1220">
        <v>3</v>
      </c>
      <c r="K1220">
        <v>1</v>
      </c>
      <c r="L1220">
        <v>58699</v>
      </c>
      <c r="M1220" t="str">
        <f t="shared" si="178"/>
        <v>13</v>
      </c>
      <c r="N1220" t="s">
        <v>3323</v>
      </c>
      <c r="O1220" t="str">
        <f t="shared" si="174"/>
        <v>55011</v>
      </c>
      <c r="P1220" t="str">
        <f t="shared" si="179"/>
        <v>2100L</v>
      </c>
      <c r="Q1220" t="str">
        <f t="shared" si="180"/>
        <v>0101</v>
      </c>
      <c r="R1220">
        <v>2100</v>
      </c>
      <c r="S1220" t="str">
        <f t="shared" si="175"/>
        <v>5500</v>
      </c>
      <c r="T1220" t="s">
        <v>3512</v>
      </c>
      <c r="U1220" t="s">
        <v>121</v>
      </c>
    </row>
    <row r="1221" spans="1:21" ht="15" customHeight="1" x14ac:dyDescent="0.3">
      <c r="A1221" t="s">
        <v>179</v>
      </c>
      <c r="B1221" t="str">
        <f>"00076097"</f>
        <v>00076097</v>
      </c>
      <c r="C1221" t="s">
        <v>4262</v>
      </c>
      <c r="D1221" t="s">
        <v>4680</v>
      </c>
      <c r="E1221" t="str">
        <f>"00069544"</f>
        <v>00069544</v>
      </c>
      <c r="F1221">
        <v>0</v>
      </c>
      <c r="G1221" s="243">
        <v>41133</v>
      </c>
      <c r="H1221" t="s">
        <v>182</v>
      </c>
      <c r="I1221">
        <v>15</v>
      </c>
      <c r="J1221">
        <v>8</v>
      </c>
      <c r="K1221">
        <v>1</v>
      </c>
      <c r="L1221">
        <v>74640</v>
      </c>
      <c r="M1221" t="str">
        <f t="shared" si="178"/>
        <v>13</v>
      </c>
      <c r="N1221" t="s">
        <v>3370</v>
      </c>
      <c r="O1221" t="str">
        <f t="shared" si="174"/>
        <v>55011</v>
      </c>
      <c r="P1221" t="str">
        <f t="shared" si="179"/>
        <v>2100L</v>
      </c>
      <c r="Q1221" t="str">
        <f t="shared" si="180"/>
        <v>0101</v>
      </c>
      <c r="R1221">
        <v>2100</v>
      </c>
      <c r="S1221" t="str">
        <f t="shared" si="175"/>
        <v>5500</v>
      </c>
      <c r="T1221" t="s">
        <v>3512</v>
      </c>
      <c r="U1221" t="s">
        <v>121</v>
      </c>
    </row>
    <row r="1222" spans="1:21" ht="15" customHeight="1" x14ac:dyDescent="0.3">
      <c r="A1222" t="s">
        <v>179</v>
      </c>
      <c r="B1222" t="str">
        <f>"00076098"</f>
        <v>00076098</v>
      </c>
      <c r="C1222" t="s">
        <v>4271</v>
      </c>
      <c r="H1222" t="s">
        <v>170</v>
      </c>
      <c r="I1222">
        <v>15</v>
      </c>
      <c r="J1222">
        <v>0</v>
      </c>
      <c r="K1222">
        <v>0.7</v>
      </c>
      <c r="L1222">
        <v>60128</v>
      </c>
      <c r="M1222" t="str">
        <f t="shared" si="178"/>
        <v>13</v>
      </c>
      <c r="N1222" t="s">
        <v>3370</v>
      </c>
      <c r="O1222" t="str">
        <f t="shared" si="174"/>
        <v>55011</v>
      </c>
      <c r="P1222" t="str">
        <f t="shared" si="179"/>
        <v>2100L</v>
      </c>
      <c r="Q1222" t="str">
        <f t="shared" si="180"/>
        <v>0101</v>
      </c>
      <c r="R1222">
        <v>2100</v>
      </c>
      <c r="S1222" t="str">
        <f t="shared" si="175"/>
        <v>5500</v>
      </c>
      <c r="T1222" t="s">
        <v>3512</v>
      </c>
      <c r="U1222" t="s">
        <v>121</v>
      </c>
    </row>
    <row r="1223" spans="1:21" ht="15" customHeight="1" x14ac:dyDescent="0.3">
      <c r="A1223" t="s">
        <v>179</v>
      </c>
      <c r="B1223" t="str">
        <f>"00076450"</f>
        <v>00076450</v>
      </c>
      <c r="C1223" t="s">
        <v>4274</v>
      </c>
      <c r="D1223" t="s">
        <v>4681</v>
      </c>
      <c r="E1223" t="str">
        <f>"00054186"</f>
        <v>00054186</v>
      </c>
      <c r="F1223">
        <v>0</v>
      </c>
      <c r="G1223" s="243">
        <v>37361</v>
      </c>
      <c r="H1223" t="s">
        <v>182</v>
      </c>
      <c r="I1223">
        <v>4</v>
      </c>
      <c r="J1223">
        <v>10</v>
      </c>
      <c r="K1223">
        <v>0.71</v>
      </c>
      <c r="L1223">
        <v>28721</v>
      </c>
      <c r="M1223" t="str">
        <f t="shared" si="178"/>
        <v>13</v>
      </c>
      <c r="N1223" t="s">
        <v>3370</v>
      </c>
      <c r="O1223" t="str">
        <f t="shared" si="174"/>
        <v>55011</v>
      </c>
      <c r="P1223" t="str">
        <f>"2200L"</f>
        <v>2200L</v>
      </c>
      <c r="Q1223" t="str">
        <f t="shared" si="180"/>
        <v>0101</v>
      </c>
      <c r="R1223">
        <v>2200</v>
      </c>
      <c r="S1223" t="str">
        <f t="shared" si="175"/>
        <v>5500</v>
      </c>
      <c r="T1223" t="s">
        <v>3512</v>
      </c>
      <c r="U1223" t="s">
        <v>121</v>
      </c>
    </row>
    <row r="1224" spans="1:21" ht="15" customHeight="1" x14ac:dyDescent="0.3">
      <c r="A1224" t="s">
        <v>179</v>
      </c>
      <c r="B1224" t="str">
        <f>"00076848"</f>
        <v>00076848</v>
      </c>
      <c r="C1224" t="s">
        <v>4292</v>
      </c>
      <c r="H1224" t="s">
        <v>170</v>
      </c>
      <c r="I1224">
        <v>4</v>
      </c>
      <c r="J1224">
        <v>0</v>
      </c>
      <c r="K1224">
        <v>0.5</v>
      </c>
      <c r="L1224">
        <v>25662</v>
      </c>
      <c r="M1224" t="str">
        <f t="shared" si="178"/>
        <v>13</v>
      </c>
      <c r="N1224" t="s">
        <v>3370</v>
      </c>
      <c r="O1224" t="str">
        <f t="shared" si="174"/>
        <v>55011</v>
      </c>
      <c r="P1224" t="str">
        <f>"2100L"</f>
        <v>2100L</v>
      </c>
      <c r="Q1224" t="str">
        <f t="shared" si="180"/>
        <v>0101</v>
      </c>
      <c r="R1224">
        <v>2100</v>
      </c>
      <c r="S1224" t="str">
        <f t="shared" si="175"/>
        <v>5500</v>
      </c>
      <c r="T1224" t="s">
        <v>3512</v>
      </c>
      <c r="U1224" t="s">
        <v>121</v>
      </c>
    </row>
    <row r="1225" spans="1:21" ht="15" customHeight="1" x14ac:dyDescent="0.3">
      <c r="A1225" t="s">
        <v>179</v>
      </c>
      <c r="B1225" t="str">
        <f>"00051556"</f>
        <v>00051556</v>
      </c>
      <c r="C1225" t="s">
        <v>4262</v>
      </c>
      <c r="D1225" t="s">
        <v>1332</v>
      </c>
      <c r="E1225" t="str">
        <f>"00044853"</f>
        <v>00044853</v>
      </c>
      <c r="F1225">
        <v>0</v>
      </c>
      <c r="G1225" s="243">
        <v>31782</v>
      </c>
      <c r="H1225" t="s">
        <v>182</v>
      </c>
      <c r="I1225">
        <v>15</v>
      </c>
      <c r="J1225">
        <v>16</v>
      </c>
      <c r="K1225">
        <v>1</v>
      </c>
      <c r="L1225">
        <v>100839</v>
      </c>
      <c r="M1225" t="str">
        <f t="shared" si="178"/>
        <v>13</v>
      </c>
      <c r="N1225" t="s">
        <v>3323</v>
      </c>
      <c r="O1225" t="str">
        <f t="shared" ref="O1225:O1247" si="181">"55111"</f>
        <v>55111</v>
      </c>
      <c r="P1225" t="str">
        <f>"2100L"</f>
        <v>2100L</v>
      </c>
      <c r="Q1225" t="str">
        <f t="shared" si="180"/>
        <v>0101</v>
      </c>
      <c r="R1225">
        <v>2100</v>
      </c>
      <c r="S1225" t="str">
        <f t="shared" ref="S1225:S1247" si="182">"5510"</f>
        <v>5510</v>
      </c>
      <c r="T1225" t="s">
        <v>3443</v>
      </c>
      <c r="U1225" t="s">
        <v>38</v>
      </c>
    </row>
    <row r="1226" spans="1:21" ht="15" customHeight="1" x14ac:dyDescent="0.3">
      <c r="A1226" t="s">
        <v>179</v>
      </c>
      <c r="B1226" t="str">
        <f>"00051863"</f>
        <v>00051863</v>
      </c>
      <c r="C1226" t="s">
        <v>4262</v>
      </c>
      <c r="D1226" t="s">
        <v>4682</v>
      </c>
      <c r="E1226" t="str">
        <f>"00045589"</f>
        <v>00045589</v>
      </c>
      <c r="F1226">
        <v>0</v>
      </c>
      <c r="G1226" s="243">
        <v>40987</v>
      </c>
      <c r="H1226" t="s">
        <v>182</v>
      </c>
      <c r="I1226">
        <v>15</v>
      </c>
      <c r="J1226">
        <v>10</v>
      </c>
      <c r="K1226">
        <v>1</v>
      </c>
      <c r="L1226">
        <v>78273</v>
      </c>
      <c r="M1226" t="str">
        <f t="shared" si="178"/>
        <v>13</v>
      </c>
      <c r="N1226" t="s">
        <v>3323</v>
      </c>
      <c r="O1226" t="str">
        <f t="shared" si="181"/>
        <v>55111</v>
      </c>
      <c r="P1226" t="str">
        <f>"2100L"</f>
        <v>2100L</v>
      </c>
      <c r="Q1226" t="str">
        <f t="shared" si="180"/>
        <v>0101</v>
      </c>
      <c r="R1226">
        <v>2100</v>
      </c>
      <c r="S1226" t="str">
        <f t="shared" si="182"/>
        <v>5510</v>
      </c>
      <c r="T1226" t="s">
        <v>3443</v>
      </c>
      <c r="U1226" t="s">
        <v>38</v>
      </c>
    </row>
    <row r="1227" spans="1:21" ht="15" customHeight="1" x14ac:dyDescent="0.3">
      <c r="A1227" t="s">
        <v>179</v>
      </c>
      <c r="B1227" t="str">
        <f>"00052336"</f>
        <v>00052336</v>
      </c>
      <c r="C1227" t="s">
        <v>3798</v>
      </c>
      <c r="D1227" t="s">
        <v>1333</v>
      </c>
      <c r="E1227" t="str">
        <f>"00048044"</f>
        <v>00048044</v>
      </c>
      <c r="F1227">
        <v>0</v>
      </c>
      <c r="G1227" s="243">
        <v>35675</v>
      </c>
      <c r="H1227" t="s">
        <v>182</v>
      </c>
      <c r="I1227">
        <v>61</v>
      </c>
      <c r="J1227">
        <v>6</v>
      </c>
      <c r="K1227">
        <v>1</v>
      </c>
      <c r="L1227">
        <v>125000</v>
      </c>
      <c r="M1227" t="str">
        <f t="shared" si="178"/>
        <v>13</v>
      </c>
      <c r="N1227" t="s">
        <v>3323</v>
      </c>
      <c r="O1227" t="str">
        <f t="shared" si="181"/>
        <v>55111</v>
      </c>
      <c r="P1227" t="str">
        <f>"1501L"</f>
        <v>1501L</v>
      </c>
      <c r="Q1227" t="str">
        <f t="shared" si="180"/>
        <v>0101</v>
      </c>
      <c r="R1227">
        <v>1501</v>
      </c>
      <c r="S1227" t="str">
        <f t="shared" si="182"/>
        <v>5510</v>
      </c>
      <c r="T1227" t="s">
        <v>3443</v>
      </c>
      <c r="U1227" t="s">
        <v>38</v>
      </c>
    </row>
    <row r="1228" spans="1:21" ht="15" customHeight="1" x14ac:dyDescent="0.3">
      <c r="A1228" t="s">
        <v>179</v>
      </c>
      <c r="B1228" t="str">
        <f>"00052369"</f>
        <v>00052369</v>
      </c>
      <c r="C1228" t="s">
        <v>4262</v>
      </c>
      <c r="D1228" t="s">
        <v>1334</v>
      </c>
      <c r="E1228" t="str">
        <f>"00048114"</f>
        <v>00048114</v>
      </c>
      <c r="F1228">
        <v>0</v>
      </c>
      <c r="G1228" s="243">
        <v>32756</v>
      </c>
      <c r="H1228" t="s">
        <v>182</v>
      </c>
      <c r="I1228">
        <v>15</v>
      </c>
      <c r="J1228">
        <v>13</v>
      </c>
      <c r="K1228">
        <v>1</v>
      </c>
      <c r="L1228">
        <v>81724</v>
      </c>
      <c r="M1228" t="str">
        <f t="shared" si="178"/>
        <v>13</v>
      </c>
      <c r="N1228" t="s">
        <v>3323</v>
      </c>
      <c r="O1228" t="str">
        <f t="shared" si="181"/>
        <v>55111</v>
      </c>
      <c r="P1228" t="str">
        <f>"2100L"</f>
        <v>2100L</v>
      </c>
      <c r="Q1228" t="str">
        <f t="shared" si="180"/>
        <v>0101</v>
      </c>
      <c r="R1228">
        <v>2100</v>
      </c>
      <c r="S1228" t="str">
        <f t="shared" si="182"/>
        <v>5510</v>
      </c>
      <c r="T1228" t="s">
        <v>3443</v>
      </c>
      <c r="U1228" t="s">
        <v>38</v>
      </c>
    </row>
    <row r="1229" spans="1:21" ht="15" customHeight="1" x14ac:dyDescent="0.3">
      <c r="A1229" t="s">
        <v>179</v>
      </c>
      <c r="B1229" t="str">
        <f>"00053157"</f>
        <v>00053157</v>
      </c>
      <c r="C1229" t="s">
        <v>4254</v>
      </c>
      <c r="D1229" t="s">
        <v>1335</v>
      </c>
      <c r="E1229" t="str">
        <f>"00051039"</f>
        <v>00051039</v>
      </c>
      <c r="F1229">
        <v>0</v>
      </c>
      <c r="G1229" s="243">
        <v>35415</v>
      </c>
      <c r="H1229" t="s">
        <v>182</v>
      </c>
      <c r="I1229">
        <v>15</v>
      </c>
      <c r="J1229">
        <v>15</v>
      </c>
      <c r="K1229">
        <v>1</v>
      </c>
      <c r="L1229">
        <v>98285</v>
      </c>
      <c r="M1229" t="str">
        <f t="shared" si="178"/>
        <v>13</v>
      </c>
      <c r="N1229" t="s">
        <v>3323</v>
      </c>
      <c r="O1229" t="str">
        <f t="shared" si="181"/>
        <v>55111</v>
      </c>
      <c r="P1229" t="str">
        <f>"2100L"</f>
        <v>2100L</v>
      </c>
      <c r="Q1229" t="str">
        <f t="shared" si="180"/>
        <v>0101</v>
      </c>
      <c r="R1229">
        <v>2100</v>
      </c>
      <c r="S1229" t="str">
        <f t="shared" si="182"/>
        <v>5510</v>
      </c>
      <c r="T1229" t="s">
        <v>3443</v>
      </c>
      <c r="U1229" t="s">
        <v>38</v>
      </c>
    </row>
    <row r="1230" spans="1:21" ht="15" customHeight="1" x14ac:dyDescent="0.3">
      <c r="A1230" t="s">
        <v>179</v>
      </c>
      <c r="B1230" t="str">
        <f>"00053200"</f>
        <v>00053200</v>
      </c>
      <c r="C1230" t="s">
        <v>4260</v>
      </c>
      <c r="D1230" t="s">
        <v>1336</v>
      </c>
      <c r="E1230" t="str">
        <f>"00051094"</f>
        <v>00051094</v>
      </c>
      <c r="F1230">
        <v>0</v>
      </c>
      <c r="G1230" s="243">
        <v>28004</v>
      </c>
      <c r="H1230" t="s">
        <v>182</v>
      </c>
      <c r="I1230">
        <v>15</v>
      </c>
      <c r="J1230">
        <v>16</v>
      </c>
      <c r="K1230">
        <v>1</v>
      </c>
      <c r="L1230">
        <v>106540</v>
      </c>
      <c r="M1230" t="str">
        <f t="shared" si="178"/>
        <v>13</v>
      </c>
      <c r="N1230" t="s">
        <v>3323</v>
      </c>
      <c r="O1230" t="str">
        <f t="shared" si="181"/>
        <v>55111</v>
      </c>
      <c r="P1230" t="str">
        <f>"2100L"</f>
        <v>2100L</v>
      </c>
      <c r="Q1230" t="str">
        <f t="shared" si="180"/>
        <v>0101</v>
      </c>
      <c r="R1230">
        <v>2100</v>
      </c>
      <c r="S1230" t="str">
        <f t="shared" si="182"/>
        <v>5510</v>
      </c>
      <c r="T1230" t="s">
        <v>3443</v>
      </c>
      <c r="U1230" t="s">
        <v>38</v>
      </c>
    </row>
    <row r="1231" spans="1:21" ht="15" customHeight="1" x14ac:dyDescent="0.3">
      <c r="A1231" t="s">
        <v>179</v>
      </c>
      <c r="B1231" t="str">
        <f>"00053897"</f>
        <v>00053897</v>
      </c>
      <c r="C1231" t="s">
        <v>4272</v>
      </c>
      <c r="D1231" t="s">
        <v>1338</v>
      </c>
      <c r="E1231" t="str">
        <f>"00052713"</f>
        <v>00052713</v>
      </c>
      <c r="F1231">
        <v>0</v>
      </c>
      <c r="G1231" s="243">
        <v>25741</v>
      </c>
      <c r="H1231" t="s">
        <v>182</v>
      </c>
      <c r="I1231">
        <v>15</v>
      </c>
      <c r="J1231">
        <v>15</v>
      </c>
      <c r="K1231">
        <v>1</v>
      </c>
      <c r="L1231">
        <v>100792</v>
      </c>
      <c r="M1231" t="str">
        <f t="shared" si="178"/>
        <v>13</v>
      </c>
      <c r="N1231" t="s">
        <v>3323</v>
      </c>
      <c r="O1231" t="str">
        <f t="shared" si="181"/>
        <v>55111</v>
      </c>
      <c r="P1231" t="str">
        <f>"2100L"</f>
        <v>2100L</v>
      </c>
      <c r="Q1231" t="str">
        <f t="shared" si="180"/>
        <v>0101</v>
      </c>
      <c r="R1231">
        <v>2100</v>
      </c>
      <c r="S1231" t="str">
        <f t="shared" si="182"/>
        <v>5510</v>
      </c>
      <c r="T1231" t="s">
        <v>3443</v>
      </c>
      <c r="U1231" t="s">
        <v>38</v>
      </c>
    </row>
    <row r="1232" spans="1:21" ht="15" customHeight="1" x14ac:dyDescent="0.3">
      <c r="A1232" t="s">
        <v>179</v>
      </c>
      <c r="B1232" t="str">
        <f>"00054634"</f>
        <v>00054634</v>
      </c>
      <c r="C1232" t="s">
        <v>4272</v>
      </c>
      <c r="D1232" t="s">
        <v>1339</v>
      </c>
      <c r="E1232" t="str">
        <f>"00054323"</f>
        <v>00054323</v>
      </c>
      <c r="F1232">
        <v>0</v>
      </c>
      <c r="G1232" s="243">
        <v>31516</v>
      </c>
      <c r="H1232" t="s">
        <v>182</v>
      </c>
      <c r="I1232">
        <v>15</v>
      </c>
      <c r="J1232">
        <v>16</v>
      </c>
      <c r="K1232">
        <v>1</v>
      </c>
      <c r="L1232">
        <v>100839</v>
      </c>
      <c r="M1232" t="str">
        <f t="shared" si="178"/>
        <v>13</v>
      </c>
      <c r="N1232" t="s">
        <v>3323</v>
      </c>
      <c r="O1232" t="str">
        <f t="shared" si="181"/>
        <v>55111</v>
      </c>
      <c r="P1232" t="str">
        <f>"2200L"</f>
        <v>2200L</v>
      </c>
      <c r="Q1232" t="str">
        <f t="shared" si="180"/>
        <v>0101</v>
      </c>
      <c r="R1232">
        <v>2200</v>
      </c>
      <c r="S1232" t="str">
        <f t="shared" si="182"/>
        <v>5510</v>
      </c>
      <c r="T1232" t="s">
        <v>3443</v>
      </c>
      <c r="U1232" t="s">
        <v>38</v>
      </c>
    </row>
    <row r="1233" spans="1:21" ht="15" customHeight="1" x14ac:dyDescent="0.3">
      <c r="A1233" t="s">
        <v>179</v>
      </c>
      <c r="B1233" t="str">
        <f>"00055326"</f>
        <v>00055326</v>
      </c>
      <c r="C1233" t="s">
        <v>4272</v>
      </c>
      <c r="D1233" t="s">
        <v>1340</v>
      </c>
      <c r="E1233" t="str">
        <f>"00044969"</f>
        <v>00044969</v>
      </c>
      <c r="F1233">
        <v>0</v>
      </c>
      <c r="G1233" s="243">
        <v>36390</v>
      </c>
      <c r="H1233" t="s">
        <v>182</v>
      </c>
      <c r="I1233">
        <v>15</v>
      </c>
      <c r="J1233">
        <v>16</v>
      </c>
      <c r="K1233">
        <v>1</v>
      </c>
      <c r="L1233">
        <v>106540</v>
      </c>
      <c r="M1233" t="str">
        <f t="shared" si="178"/>
        <v>13</v>
      </c>
      <c r="N1233" t="s">
        <v>3323</v>
      </c>
      <c r="O1233" t="str">
        <f t="shared" si="181"/>
        <v>55111</v>
      </c>
      <c r="P1233" t="str">
        <f>"2200L"</f>
        <v>2200L</v>
      </c>
      <c r="Q1233" t="str">
        <f t="shared" si="180"/>
        <v>0101</v>
      </c>
      <c r="R1233">
        <v>2200</v>
      </c>
      <c r="S1233" t="str">
        <f t="shared" si="182"/>
        <v>5510</v>
      </c>
      <c r="T1233" t="s">
        <v>3443</v>
      </c>
      <c r="U1233" t="s">
        <v>38</v>
      </c>
    </row>
    <row r="1234" spans="1:21" ht="15" customHeight="1" x14ac:dyDescent="0.3">
      <c r="A1234" t="s">
        <v>179</v>
      </c>
      <c r="B1234" t="str">
        <f>"00060719"</f>
        <v>00060719</v>
      </c>
      <c r="C1234" t="s">
        <v>4306</v>
      </c>
      <c r="D1234" t="s">
        <v>4683</v>
      </c>
      <c r="E1234" t="str">
        <f>"00053370"</f>
        <v>00053370</v>
      </c>
      <c r="F1234">
        <v>0</v>
      </c>
      <c r="G1234" s="243">
        <v>39118</v>
      </c>
      <c r="H1234" t="s">
        <v>182</v>
      </c>
      <c r="I1234">
        <v>9</v>
      </c>
      <c r="J1234">
        <v>7</v>
      </c>
      <c r="K1234">
        <v>1</v>
      </c>
      <c r="L1234">
        <v>39541</v>
      </c>
      <c r="M1234" t="str">
        <f t="shared" si="178"/>
        <v>13</v>
      </c>
      <c r="N1234" t="s">
        <v>3323</v>
      </c>
      <c r="O1234" t="str">
        <f t="shared" si="181"/>
        <v>55111</v>
      </c>
      <c r="P1234" t="str">
        <f>"1502L"</f>
        <v>1502L</v>
      </c>
      <c r="Q1234" t="str">
        <f t="shared" si="180"/>
        <v>0101</v>
      </c>
      <c r="R1234">
        <v>1502</v>
      </c>
      <c r="S1234" t="str">
        <f t="shared" si="182"/>
        <v>5510</v>
      </c>
      <c r="T1234" t="s">
        <v>3443</v>
      </c>
      <c r="U1234" t="s">
        <v>38</v>
      </c>
    </row>
    <row r="1235" spans="1:21" ht="15" customHeight="1" x14ac:dyDescent="0.3">
      <c r="A1235" t="s">
        <v>179</v>
      </c>
      <c r="B1235" t="str">
        <f>"00061525"</f>
        <v>00061525</v>
      </c>
      <c r="C1235" t="s">
        <v>4274</v>
      </c>
      <c r="D1235" t="s">
        <v>4684</v>
      </c>
      <c r="E1235" t="str">
        <f>"00053703"</f>
        <v>00053703</v>
      </c>
      <c r="F1235">
        <v>0</v>
      </c>
      <c r="G1235" s="243">
        <v>39315</v>
      </c>
      <c r="H1235" t="s">
        <v>182</v>
      </c>
      <c r="I1235">
        <v>4</v>
      </c>
      <c r="J1235">
        <v>5</v>
      </c>
      <c r="K1235">
        <v>1</v>
      </c>
      <c r="L1235">
        <v>28845</v>
      </c>
      <c r="M1235" t="str">
        <f t="shared" si="178"/>
        <v>13</v>
      </c>
      <c r="N1235" t="s">
        <v>3323</v>
      </c>
      <c r="O1235" t="str">
        <f t="shared" si="181"/>
        <v>55111</v>
      </c>
      <c r="P1235" t="str">
        <f>"2200L"</f>
        <v>2200L</v>
      </c>
      <c r="Q1235" t="str">
        <f t="shared" si="180"/>
        <v>0101</v>
      </c>
      <c r="R1235">
        <v>2200</v>
      </c>
      <c r="S1235" t="str">
        <f t="shared" si="182"/>
        <v>5510</v>
      </c>
      <c r="T1235" t="s">
        <v>3443</v>
      </c>
      <c r="U1235" t="s">
        <v>38</v>
      </c>
    </row>
    <row r="1236" spans="1:21" ht="15" customHeight="1" x14ac:dyDescent="0.3">
      <c r="A1236" t="s">
        <v>179</v>
      </c>
      <c r="B1236" t="str">
        <f>"00063003"</f>
        <v>00063003</v>
      </c>
      <c r="C1236" t="s">
        <v>4274</v>
      </c>
      <c r="D1236" t="s">
        <v>4685</v>
      </c>
      <c r="E1236" t="str">
        <f>"00044949"</f>
        <v>00044949</v>
      </c>
      <c r="F1236">
        <v>0</v>
      </c>
      <c r="G1236" s="243">
        <v>39480</v>
      </c>
      <c r="H1236" t="s">
        <v>182</v>
      </c>
      <c r="I1236">
        <v>4</v>
      </c>
      <c r="J1236">
        <v>6</v>
      </c>
      <c r="K1236">
        <v>1</v>
      </c>
      <c r="L1236">
        <v>25935.88</v>
      </c>
      <c r="M1236" t="str">
        <f t="shared" si="178"/>
        <v>13</v>
      </c>
      <c r="N1236" t="s">
        <v>3323</v>
      </c>
      <c r="O1236" t="str">
        <f t="shared" si="181"/>
        <v>55111</v>
      </c>
      <c r="P1236" t="str">
        <f>"2200L"</f>
        <v>2200L</v>
      </c>
      <c r="Q1236" t="str">
        <f t="shared" si="180"/>
        <v>0101</v>
      </c>
      <c r="R1236">
        <v>2200</v>
      </c>
      <c r="S1236" t="str">
        <f t="shared" si="182"/>
        <v>5510</v>
      </c>
      <c r="T1236" t="s">
        <v>3443</v>
      </c>
      <c r="U1236" t="s">
        <v>38</v>
      </c>
    </row>
    <row r="1237" spans="1:21" ht="15" customHeight="1" x14ac:dyDescent="0.3">
      <c r="A1237" t="s">
        <v>179</v>
      </c>
      <c r="B1237" t="str">
        <f>"00066368"</f>
        <v>00066368</v>
      </c>
      <c r="C1237" t="s">
        <v>4293</v>
      </c>
      <c r="D1237" t="s">
        <v>1586</v>
      </c>
      <c r="E1237" t="str">
        <f>"00051184"</f>
        <v>00051184</v>
      </c>
      <c r="F1237">
        <v>0</v>
      </c>
      <c r="G1237" s="243">
        <v>31340</v>
      </c>
      <c r="H1237" t="s">
        <v>182</v>
      </c>
      <c r="I1237">
        <v>15</v>
      </c>
      <c r="J1237">
        <v>16</v>
      </c>
      <c r="K1237">
        <v>0.5</v>
      </c>
      <c r="L1237">
        <v>100839</v>
      </c>
      <c r="M1237" t="str">
        <f t="shared" si="178"/>
        <v>13</v>
      </c>
      <c r="N1237" t="s">
        <v>3370</v>
      </c>
      <c r="O1237" t="str">
        <f t="shared" si="181"/>
        <v>55111</v>
      </c>
      <c r="P1237" t="str">
        <f t="shared" ref="P1237:P1242" si="183">"2100L"</f>
        <v>2100L</v>
      </c>
      <c r="Q1237" t="str">
        <f t="shared" si="180"/>
        <v>0101</v>
      </c>
      <c r="R1237">
        <v>2100</v>
      </c>
      <c r="S1237" t="str">
        <f t="shared" si="182"/>
        <v>5510</v>
      </c>
      <c r="T1237" t="s">
        <v>3443</v>
      </c>
      <c r="U1237" t="s">
        <v>38</v>
      </c>
    </row>
    <row r="1238" spans="1:21" ht="15" customHeight="1" x14ac:dyDescent="0.3">
      <c r="A1238" t="s">
        <v>179</v>
      </c>
      <c r="B1238" t="str">
        <f>"00067458"</f>
        <v>00067458</v>
      </c>
      <c r="C1238" t="s">
        <v>4262</v>
      </c>
      <c r="D1238" t="s">
        <v>4686</v>
      </c>
      <c r="E1238" t="str">
        <f>"00070268"</f>
        <v>00070268</v>
      </c>
      <c r="F1238">
        <v>0</v>
      </c>
      <c r="G1238" s="243">
        <v>41162</v>
      </c>
      <c r="H1238" t="s">
        <v>182</v>
      </c>
      <c r="I1238">
        <v>15</v>
      </c>
      <c r="J1238">
        <v>10</v>
      </c>
      <c r="K1238">
        <v>1</v>
      </c>
      <c r="L1238">
        <v>78273</v>
      </c>
      <c r="M1238" t="str">
        <f t="shared" si="178"/>
        <v>13</v>
      </c>
      <c r="N1238" t="s">
        <v>3323</v>
      </c>
      <c r="O1238" t="str">
        <f t="shared" si="181"/>
        <v>55111</v>
      </c>
      <c r="P1238" t="str">
        <f t="shared" si="183"/>
        <v>2100L</v>
      </c>
      <c r="Q1238" t="str">
        <f t="shared" si="180"/>
        <v>0101</v>
      </c>
      <c r="R1238">
        <v>2100</v>
      </c>
      <c r="S1238" t="str">
        <f t="shared" si="182"/>
        <v>5510</v>
      </c>
      <c r="T1238" t="s">
        <v>3443</v>
      </c>
      <c r="U1238" t="s">
        <v>38</v>
      </c>
    </row>
    <row r="1239" spans="1:21" ht="15" customHeight="1" x14ac:dyDescent="0.3">
      <c r="A1239" t="s">
        <v>179</v>
      </c>
      <c r="B1239" t="str">
        <f>"00072123"</f>
        <v>00072123</v>
      </c>
      <c r="C1239" t="s">
        <v>4288</v>
      </c>
      <c r="D1239" t="s">
        <v>4687</v>
      </c>
      <c r="E1239" t="str">
        <f>"00052770"</f>
        <v>00052770</v>
      </c>
      <c r="F1239">
        <v>0</v>
      </c>
      <c r="G1239" s="243">
        <v>39765</v>
      </c>
      <c r="H1239" t="s">
        <v>182</v>
      </c>
      <c r="I1239">
        <v>4</v>
      </c>
      <c r="J1239">
        <v>3</v>
      </c>
      <c r="K1239">
        <v>1</v>
      </c>
      <c r="L1239">
        <v>23848.12</v>
      </c>
      <c r="M1239" t="str">
        <f t="shared" si="178"/>
        <v>13</v>
      </c>
      <c r="N1239" t="s">
        <v>3323</v>
      </c>
      <c r="O1239" t="str">
        <f t="shared" si="181"/>
        <v>55111</v>
      </c>
      <c r="P1239" t="str">
        <f t="shared" si="183"/>
        <v>2100L</v>
      </c>
      <c r="Q1239" t="str">
        <f t="shared" si="180"/>
        <v>0101</v>
      </c>
      <c r="R1239">
        <v>2100</v>
      </c>
      <c r="S1239" t="str">
        <f t="shared" si="182"/>
        <v>5510</v>
      </c>
      <c r="T1239" t="s">
        <v>3443</v>
      </c>
      <c r="U1239" t="s">
        <v>38</v>
      </c>
    </row>
    <row r="1240" spans="1:21" ht="15" customHeight="1" x14ac:dyDescent="0.3">
      <c r="A1240" t="s">
        <v>179</v>
      </c>
      <c r="B1240" t="str">
        <f>"00072220"</f>
        <v>00072220</v>
      </c>
      <c r="C1240" t="s">
        <v>4262</v>
      </c>
      <c r="D1240" t="s">
        <v>3468</v>
      </c>
      <c r="E1240" t="str">
        <f>"00065998"</f>
        <v>00065998</v>
      </c>
      <c r="F1240">
        <v>0</v>
      </c>
      <c r="G1240" s="243">
        <v>40755</v>
      </c>
      <c r="H1240" t="s">
        <v>182</v>
      </c>
      <c r="I1240">
        <v>15</v>
      </c>
      <c r="J1240">
        <v>11</v>
      </c>
      <c r="K1240">
        <v>1</v>
      </c>
      <c r="L1240">
        <v>81335</v>
      </c>
      <c r="M1240" t="str">
        <f t="shared" si="178"/>
        <v>13</v>
      </c>
      <c r="N1240" t="s">
        <v>3323</v>
      </c>
      <c r="O1240" t="str">
        <f t="shared" si="181"/>
        <v>55111</v>
      </c>
      <c r="P1240" t="str">
        <f t="shared" si="183"/>
        <v>2100L</v>
      </c>
      <c r="Q1240" t="str">
        <f t="shared" si="180"/>
        <v>0101</v>
      </c>
      <c r="R1240">
        <v>2100</v>
      </c>
      <c r="S1240" t="str">
        <f t="shared" si="182"/>
        <v>5510</v>
      </c>
      <c r="T1240" t="s">
        <v>3443</v>
      </c>
      <c r="U1240" t="s">
        <v>38</v>
      </c>
    </row>
    <row r="1241" spans="1:21" ht="15" customHeight="1" x14ac:dyDescent="0.3">
      <c r="A1241" t="s">
        <v>179</v>
      </c>
      <c r="B1241" t="str">
        <f>"00073782"</f>
        <v>00073782</v>
      </c>
      <c r="C1241" t="s">
        <v>200</v>
      </c>
      <c r="H1241" t="s">
        <v>170</v>
      </c>
      <c r="I1241">
        <v>15</v>
      </c>
      <c r="J1241">
        <v>1</v>
      </c>
      <c r="K1241">
        <v>1</v>
      </c>
      <c r="L1241">
        <v>56693</v>
      </c>
      <c r="M1241" t="str">
        <f t="shared" si="178"/>
        <v>13</v>
      </c>
      <c r="N1241" t="s">
        <v>3370</v>
      </c>
      <c r="O1241" t="str">
        <f t="shared" si="181"/>
        <v>55111</v>
      </c>
      <c r="P1241" t="str">
        <f t="shared" si="183"/>
        <v>2100L</v>
      </c>
      <c r="Q1241" t="str">
        <f t="shared" si="180"/>
        <v>0101</v>
      </c>
      <c r="R1241">
        <v>2100</v>
      </c>
      <c r="S1241" t="str">
        <f t="shared" si="182"/>
        <v>5510</v>
      </c>
      <c r="T1241" t="s">
        <v>3443</v>
      </c>
      <c r="U1241" t="s">
        <v>38</v>
      </c>
    </row>
    <row r="1242" spans="1:21" ht="15" customHeight="1" x14ac:dyDescent="0.3">
      <c r="A1242" t="s">
        <v>179</v>
      </c>
      <c r="B1242" t="str">
        <f>"00073850"</f>
        <v>00073850</v>
      </c>
      <c r="C1242" t="s">
        <v>4256</v>
      </c>
      <c r="D1242" t="s">
        <v>2123</v>
      </c>
      <c r="E1242" t="str">
        <f>"00053579"</f>
        <v>00053579</v>
      </c>
      <c r="F1242">
        <v>0</v>
      </c>
      <c r="G1242" s="243">
        <v>38702</v>
      </c>
      <c r="H1242" t="s">
        <v>182</v>
      </c>
      <c r="I1242">
        <v>15</v>
      </c>
      <c r="J1242">
        <v>12</v>
      </c>
      <c r="K1242">
        <v>0.25</v>
      </c>
      <c r="L1242">
        <v>37908</v>
      </c>
      <c r="M1242" t="str">
        <f t="shared" si="178"/>
        <v>13</v>
      </c>
      <c r="N1242" t="s">
        <v>3323</v>
      </c>
      <c r="O1242" t="str">
        <f t="shared" si="181"/>
        <v>55111</v>
      </c>
      <c r="P1242" t="str">
        <f t="shared" si="183"/>
        <v>2100L</v>
      </c>
      <c r="Q1242" t="str">
        <f t="shared" si="180"/>
        <v>0101</v>
      </c>
      <c r="R1242">
        <v>2100</v>
      </c>
      <c r="S1242" t="str">
        <f t="shared" si="182"/>
        <v>5510</v>
      </c>
      <c r="T1242" t="s">
        <v>3466</v>
      </c>
      <c r="U1242" t="s">
        <v>32</v>
      </c>
    </row>
    <row r="1243" spans="1:21" ht="15" customHeight="1" x14ac:dyDescent="0.3">
      <c r="A1243" t="s">
        <v>179</v>
      </c>
      <c r="B1243" t="str">
        <f>"00074219"</f>
        <v>00074219</v>
      </c>
      <c r="C1243" t="s">
        <v>4260</v>
      </c>
      <c r="H1243" t="s">
        <v>170</v>
      </c>
      <c r="I1243">
        <v>15</v>
      </c>
      <c r="J1243">
        <v>1</v>
      </c>
      <c r="K1243">
        <v>1</v>
      </c>
      <c r="L1243">
        <v>51539</v>
      </c>
      <c r="M1243" t="str">
        <f t="shared" si="178"/>
        <v>13</v>
      </c>
      <c r="N1243" t="s">
        <v>3323</v>
      </c>
      <c r="O1243" t="str">
        <f t="shared" si="181"/>
        <v>55111</v>
      </c>
      <c r="P1243" t="str">
        <f>"2100L"</f>
        <v>2100L</v>
      </c>
      <c r="Q1243" t="str">
        <f t="shared" si="180"/>
        <v>0101</v>
      </c>
      <c r="R1243">
        <v>2100</v>
      </c>
      <c r="S1243" t="str">
        <f t="shared" si="182"/>
        <v>5510</v>
      </c>
      <c r="T1243" t="s">
        <v>3443</v>
      </c>
      <c r="U1243" t="s">
        <v>38</v>
      </c>
    </row>
    <row r="1244" spans="1:21" ht="15" customHeight="1" x14ac:dyDescent="0.3">
      <c r="A1244" t="s">
        <v>179</v>
      </c>
      <c r="B1244" t="str">
        <f>"00074410"</f>
        <v>00074410</v>
      </c>
      <c r="C1244" t="s">
        <v>4257</v>
      </c>
      <c r="D1244" t="s">
        <v>1337</v>
      </c>
      <c r="E1244" t="str">
        <f>"00052168"</f>
        <v>00052168</v>
      </c>
      <c r="F1244">
        <v>0</v>
      </c>
      <c r="G1244" s="243">
        <v>36034</v>
      </c>
      <c r="H1244" t="s">
        <v>182</v>
      </c>
      <c r="I1244">
        <v>15</v>
      </c>
      <c r="J1244">
        <v>12</v>
      </c>
      <c r="K1244">
        <v>0.25</v>
      </c>
      <c r="L1244">
        <v>75816</v>
      </c>
      <c r="M1244" t="str">
        <f t="shared" si="178"/>
        <v>13</v>
      </c>
      <c r="N1244" t="s">
        <v>3323</v>
      </c>
      <c r="O1244" t="str">
        <f t="shared" si="181"/>
        <v>55111</v>
      </c>
      <c r="P1244" t="str">
        <f>"2100L"</f>
        <v>2100L</v>
      </c>
      <c r="Q1244" t="str">
        <f t="shared" si="180"/>
        <v>0101</v>
      </c>
      <c r="R1244">
        <v>2100</v>
      </c>
      <c r="S1244" t="str">
        <f t="shared" si="182"/>
        <v>5510</v>
      </c>
      <c r="T1244" t="s">
        <v>3466</v>
      </c>
      <c r="U1244" t="s">
        <v>32</v>
      </c>
    </row>
    <row r="1245" spans="1:21" ht="15" customHeight="1" x14ac:dyDescent="0.3">
      <c r="A1245" t="s">
        <v>179</v>
      </c>
      <c r="B1245" t="str">
        <f>"00076121"</f>
        <v>00076121</v>
      </c>
      <c r="C1245" t="s">
        <v>4271</v>
      </c>
      <c r="H1245" t="s">
        <v>170</v>
      </c>
      <c r="I1245">
        <v>15</v>
      </c>
      <c r="J1245">
        <v>0</v>
      </c>
      <c r="K1245">
        <v>0.5</v>
      </c>
      <c r="L1245">
        <v>51539</v>
      </c>
      <c r="M1245" t="str">
        <f t="shared" si="178"/>
        <v>13</v>
      </c>
      <c r="N1245" t="s">
        <v>3323</v>
      </c>
      <c r="O1245" t="str">
        <f t="shared" si="181"/>
        <v>55111</v>
      </c>
      <c r="P1245" t="str">
        <f>"2100L"</f>
        <v>2100L</v>
      </c>
      <c r="Q1245" t="str">
        <f t="shared" si="180"/>
        <v>0101</v>
      </c>
      <c r="R1245">
        <v>2100</v>
      </c>
      <c r="S1245" t="str">
        <f t="shared" si="182"/>
        <v>5510</v>
      </c>
      <c r="T1245" t="s">
        <v>3443</v>
      </c>
      <c r="U1245" t="s">
        <v>38</v>
      </c>
    </row>
    <row r="1246" spans="1:21" ht="15" customHeight="1" x14ac:dyDescent="0.3">
      <c r="A1246" t="s">
        <v>179</v>
      </c>
      <c r="B1246" t="str">
        <f>"00076124"</f>
        <v>00076124</v>
      </c>
      <c r="C1246" t="s">
        <v>4262</v>
      </c>
      <c r="H1246" t="s">
        <v>170</v>
      </c>
      <c r="I1246">
        <v>15</v>
      </c>
      <c r="J1246">
        <v>0</v>
      </c>
      <c r="K1246">
        <v>0.5</v>
      </c>
      <c r="L1246">
        <v>51539</v>
      </c>
      <c r="M1246" t="str">
        <f t="shared" si="178"/>
        <v>13</v>
      </c>
      <c r="N1246" t="s">
        <v>3370</v>
      </c>
      <c r="O1246" t="str">
        <f t="shared" si="181"/>
        <v>55111</v>
      </c>
      <c r="P1246" t="str">
        <f>"2100L"</f>
        <v>2100L</v>
      </c>
      <c r="Q1246" t="str">
        <f t="shared" si="180"/>
        <v>0101</v>
      </c>
      <c r="R1246">
        <v>2100</v>
      </c>
      <c r="S1246" t="str">
        <f t="shared" si="182"/>
        <v>5510</v>
      </c>
      <c r="T1246" t="s">
        <v>3443</v>
      </c>
      <c r="U1246" t="s">
        <v>38</v>
      </c>
    </row>
    <row r="1247" spans="1:21" ht="15" customHeight="1" x14ac:dyDescent="0.3">
      <c r="A1247" t="s">
        <v>179</v>
      </c>
      <c r="B1247" t="str">
        <f>"00076333"</f>
        <v>00076333</v>
      </c>
      <c r="C1247" t="s">
        <v>4271</v>
      </c>
      <c r="D1247" t="s">
        <v>4688</v>
      </c>
      <c r="E1247" t="str">
        <f>"00046971"</f>
        <v>00046971</v>
      </c>
      <c r="F1247">
        <v>0</v>
      </c>
      <c r="G1247" s="243">
        <v>39679</v>
      </c>
      <c r="H1247" t="s">
        <v>182</v>
      </c>
      <c r="I1247">
        <v>15</v>
      </c>
      <c r="J1247">
        <v>4</v>
      </c>
      <c r="K1247">
        <v>0.25</v>
      </c>
      <c r="L1247">
        <v>61158</v>
      </c>
      <c r="M1247" t="str">
        <f t="shared" si="178"/>
        <v>13</v>
      </c>
      <c r="N1247" t="s">
        <v>3323</v>
      </c>
      <c r="O1247" t="str">
        <f t="shared" si="181"/>
        <v>55111</v>
      </c>
      <c r="P1247" t="str">
        <f>"2100L"</f>
        <v>2100L</v>
      </c>
      <c r="Q1247" t="str">
        <f t="shared" si="180"/>
        <v>0101</v>
      </c>
      <c r="R1247">
        <v>2100</v>
      </c>
      <c r="S1247" t="str">
        <f t="shared" si="182"/>
        <v>5510</v>
      </c>
      <c r="T1247" t="s">
        <v>3715</v>
      </c>
      <c r="U1247" t="s">
        <v>2380</v>
      </c>
    </row>
    <row r="1248" spans="1:21" ht="15" customHeight="1" x14ac:dyDescent="0.3">
      <c r="A1248" t="s">
        <v>179</v>
      </c>
      <c r="B1248" t="str">
        <f>"00051978"</f>
        <v>00051978</v>
      </c>
      <c r="C1248" t="s">
        <v>4260</v>
      </c>
      <c r="D1248" t="s">
        <v>3529</v>
      </c>
      <c r="E1248" t="str">
        <f>"00066157"</f>
        <v>00066157</v>
      </c>
      <c r="F1248">
        <v>0</v>
      </c>
      <c r="G1248" s="243">
        <v>40755</v>
      </c>
      <c r="H1248" t="s">
        <v>182</v>
      </c>
      <c r="I1248">
        <v>15</v>
      </c>
      <c r="J1248">
        <v>2</v>
      </c>
      <c r="K1248">
        <v>1</v>
      </c>
      <c r="L1248">
        <v>51716</v>
      </c>
      <c r="M1248" t="str">
        <f t="shared" si="178"/>
        <v>13</v>
      </c>
      <c r="N1248" t="s">
        <v>3323</v>
      </c>
      <c r="O1248" t="str">
        <f t="shared" ref="O1248:O1278" si="184">"55211"</f>
        <v>55211</v>
      </c>
      <c r="P1248" t="str">
        <f>"3030L"</f>
        <v>3030L</v>
      </c>
      <c r="Q1248" t="str">
        <f t="shared" si="180"/>
        <v>0101</v>
      </c>
      <c r="R1248">
        <v>3030</v>
      </c>
      <c r="S1248" t="str">
        <f t="shared" ref="S1248:S1278" si="185">"5520"</f>
        <v>5520</v>
      </c>
      <c r="T1248" t="s">
        <v>3525</v>
      </c>
      <c r="U1248" t="s">
        <v>39</v>
      </c>
    </row>
    <row r="1249" spans="1:21" ht="15" customHeight="1" x14ac:dyDescent="0.3">
      <c r="A1249" t="s">
        <v>179</v>
      </c>
      <c r="B1249" t="str">
        <f>"00051991"</f>
        <v>00051991</v>
      </c>
      <c r="C1249" t="s">
        <v>4274</v>
      </c>
      <c r="D1249" t="s">
        <v>4689</v>
      </c>
      <c r="E1249" t="str">
        <f>"00046849"</f>
        <v>00046849</v>
      </c>
      <c r="F1249">
        <v>0</v>
      </c>
      <c r="G1249" s="243">
        <v>33161</v>
      </c>
      <c r="H1249" t="s">
        <v>182</v>
      </c>
      <c r="I1249">
        <v>4</v>
      </c>
      <c r="J1249">
        <v>10</v>
      </c>
      <c r="K1249">
        <v>0.875</v>
      </c>
      <c r="L1249">
        <v>28721</v>
      </c>
      <c r="M1249" t="str">
        <f t="shared" si="178"/>
        <v>13</v>
      </c>
      <c r="N1249" t="s">
        <v>3323</v>
      </c>
      <c r="O1249" t="str">
        <f t="shared" si="184"/>
        <v>55211</v>
      </c>
      <c r="P1249" t="str">
        <f>"2200L"</f>
        <v>2200L</v>
      </c>
      <c r="Q1249" t="str">
        <f t="shared" si="180"/>
        <v>0101</v>
      </c>
      <c r="R1249">
        <v>2200</v>
      </c>
      <c r="S1249" t="str">
        <f t="shared" si="185"/>
        <v>5520</v>
      </c>
      <c r="T1249" t="s">
        <v>3525</v>
      </c>
      <c r="U1249" t="s">
        <v>39</v>
      </c>
    </row>
    <row r="1250" spans="1:21" ht="15" customHeight="1" x14ac:dyDescent="0.3">
      <c r="A1250" t="s">
        <v>179</v>
      </c>
      <c r="B1250" t="str">
        <f>"00052434"</f>
        <v>00052434</v>
      </c>
      <c r="C1250" t="s">
        <v>4260</v>
      </c>
      <c r="H1250" t="s">
        <v>170</v>
      </c>
      <c r="I1250">
        <v>15</v>
      </c>
      <c r="J1250">
        <v>1</v>
      </c>
      <c r="K1250">
        <v>1</v>
      </c>
      <c r="L1250">
        <v>54975</v>
      </c>
      <c r="M1250" t="str">
        <f t="shared" si="178"/>
        <v>13</v>
      </c>
      <c r="N1250" t="s">
        <v>3323</v>
      </c>
      <c r="O1250" t="str">
        <f t="shared" si="184"/>
        <v>55211</v>
      </c>
      <c r="P1250" t="str">
        <f>"2200L"</f>
        <v>2200L</v>
      </c>
      <c r="Q1250" t="str">
        <f t="shared" si="180"/>
        <v>0101</v>
      </c>
      <c r="R1250">
        <v>2200</v>
      </c>
      <c r="S1250" t="str">
        <f t="shared" si="185"/>
        <v>5520</v>
      </c>
      <c r="T1250" t="s">
        <v>3525</v>
      </c>
      <c r="U1250" t="s">
        <v>39</v>
      </c>
    </row>
    <row r="1251" spans="1:21" ht="15" customHeight="1" x14ac:dyDescent="0.3">
      <c r="A1251" t="s">
        <v>179</v>
      </c>
      <c r="B1251" t="str">
        <f>"00052521"</f>
        <v>00052521</v>
      </c>
      <c r="C1251" t="s">
        <v>4262</v>
      </c>
      <c r="D1251" t="s">
        <v>4690</v>
      </c>
      <c r="E1251" t="str">
        <f>"00069652"</f>
        <v>00069652</v>
      </c>
      <c r="F1251">
        <v>0</v>
      </c>
      <c r="G1251" s="243">
        <v>41133</v>
      </c>
      <c r="H1251" t="s">
        <v>182</v>
      </c>
      <c r="I1251">
        <v>15</v>
      </c>
      <c r="J1251">
        <v>10</v>
      </c>
      <c r="K1251">
        <v>1</v>
      </c>
      <c r="L1251">
        <v>78273</v>
      </c>
      <c r="M1251" t="str">
        <f t="shared" si="178"/>
        <v>13</v>
      </c>
      <c r="N1251" t="s">
        <v>3370</v>
      </c>
      <c r="O1251" t="str">
        <f t="shared" si="184"/>
        <v>55211</v>
      </c>
      <c r="P1251" t="str">
        <f>"2100L"</f>
        <v>2100L</v>
      </c>
      <c r="Q1251" t="str">
        <f t="shared" si="180"/>
        <v>0101</v>
      </c>
      <c r="R1251">
        <v>2100</v>
      </c>
      <c r="S1251" t="str">
        <f t="shared" si="185"/>
        <v>5520</v>
      </c>
      <c r="T1251" t="s">
        <v>3525</v>
      </c>
      <c r="U1251" t="s">
        <v>39</v>
      </c>
    </row>
    <row r="1252" spans="1:21" ht="15" customHeight="1" x14ac:dyDescent="0.3">
      <c r="A1252" t="s">
        <v>179</v>
      </c>
      <c r="B1252" t="str">
        <f>"00053213"</f>
        <v>00053213</v>
      </c>
      <c r="C1252" t="s">
        <v>4272</v>
      </c>
      <c r="D1252" t="s">
        <v>4691</v>
      </c>
      <c r="E1252" t="str">
        <f>"00070477"</f>
        <v>00070477</v>
      </c>
      <c r="F1252">
        <v>0</v>
      </c>
      <c r="G1252" s="243">
        <v>41183</v>
      </c>
      <c r="H1252" t="s">
        <v>182</v>
      </c>
      <c r="I1252">
        <v>15</v>
      </c>
      <c r="J1252">
        <v>8</v>
      </c>
      <c r="K1252">
        <v>1</v>
      </c>
      <c r="L1252">
        <v>72171</v>
      </c>
      <c r="M1252" t="str">
        <f t="shared" si="178"/>
        <v>13</v>
      </c>
      <c r="N1252" t="s">
        <v>3323</v>
      </c>
      <c r="O1252" t="str">
        <f t="shared" si="184"/>
        <v>55211</v>
      </c>
      <c r="P1252" t="str">
        <f>"2200L"</f>
        <v>2200L</v>
      </c>
      <c r="Q1252" t="str">
        <f t="shared" si="180"/>
        <v>0101</v>
      </c>
      <c r="R1252">
        <v>2200</v>
      </c>
      <c r="S1252" t="str">
        <f t="shared" si="185"/>
        <v>5520</v>
      </c>
      <c r="T1252" t="s">
        <v>3525</v>
      </c>
      <c r="U1252" t="s">
        <v>39</v>
      </c>
    </row>
    <row r="1253" spans="1:21" ht="15" customHeight="1" x14ac:dyDescent="0.3">
      <c r="A1253" t="s">
        <v>179</v>
      </c>
      <c r="B1253" t="str">
        <f>"00053313"</f>
        <v>00053313</v>
      </c>
      <c r="C1253" t="s">
        <v>4262</v>
      </c>
      <c r="D1253" t="s">
        <v>1341</v>
      </c>
      <c r="E1253" t="str">
        <f>"00051282"</f>
        <v>00051282</v>
      </c>
      <c r="F1253">
        <v>0</v>
      </c>
      <c r="G1253" s="243">
        <v>32387</v>
      </c>
      <c r="H1253" t="s">
        <v>182</v>
      </c>
      <c r="I1253">
        <v>15</v>
      </c>
      <c r="J1253">
        <v>16</v>
      </c>
      <c r="K1253">
        <v>1</v>
      </c>
      <c r="L1253">
        <v>100839</v>
      </c>
      <c r="M1253" t="str">
        <f t="shared" si="178"/>
        <v>13</v>
      </c>
      <c r="N1253" t="s">
        <v>3323</v>
      </c>
      <c r="O1253" t="str">
        <f t="shared" si="184"/>
        <v>55211</v>
      </c>
      <c r="P1253" t="str">
        <f>"2100L"</f>
        <v>2100L</v>
      </c>
      <c r="Q1253" t="str">
        <f t="shared" si="180"/>
        <v>0101</v>
      </c>
      <c r="R1253">
        <v>2100</v>
      </c>
      <c r="S1253" t="str">
        <f t="shared" si="185"/>
        <v>5520</v>
      </c>
      <c r="T1253" t="s">
        <v>3525</v>
      </c>
      <c r="U1253" t="s">
        <v>39</v>
      </c>
    </row>
    <row r="1254" spans="1:21" ht="15" customHeight="1" x14ac:dyDescent="0.3">
      <c r="A1254" t="s">
        <v>179</v>
      </c>
      <c r="B1254" t="str">
        <f>"00053428"</f>
        <v>00053428</v>
      </c>
      <c r="C1254" t="s">
        <v>4274</v>
      </c>
      <c r="D1254" t="s">
        <v>4692</v>
      </c>
      <c r="E1254" t="str">
        <f>"00051462"</f>
        <v>00051462</v>
      </c>
      <c r="F1254">
        <v>0</v>
      </c>
      <c r="G1254" s="243">
        <v>34772</v>
      </c>
      <c r="H1254" t="s">
        <v>182</v>
      </c>
      <c r="I1254">
        <v>4</v>
      </c>
      <c r="J1254">
        <v>10</v>
      </c>
      <c r="K1254">
        <v>0.875</v>
      </c>
      <c r="L1254">
        <v>28721</v>
      </c>
      <c r="M1254" t="str">
        <f t="shared" si="178"/>
        <v>13</v>
      </c>
      <c r="N1254" t="s">
        <v>3323</v>
      </c>
      <c r="O1254" t="str">
        <f t="shared" si="184"/>
        <v>55211</v>
      </c>
      <c r="P1254" t="str">
        <f>"2200L"</f>
        <v>2200L</v>
      </c>
      <c r="Q1254" t="str">
        <f t="shared" si="180"/>
        <v>0101</v>
      </c>
      <c r="R1254">
        <v>2200</v>
      </c>
      <c r="S1254" t="str">
        <f t="shared" si="185"/>
        <v>5520</v>
      </c>
      <c r="T1254" t="s">
        <v>3525</v>
      </c>
      <c r="U1254" t="s">
        <v>39</v>
      </c>
    </row>
    <row r="1255" spans="1:21" ht="15" customHeight="1" x14ac:dyDescent="0.3">
      <c r="A1255" t="s">
        <v>179</v>
      </c>
      <c r="B1255" t="str">
        <f>"00053702"</f>
        <v>00053702</v>
      </c>
      <c r="C1255" t="s">
        <v>4272</v>
      </c>
      <c r="D1255" t="s">
        <v>3530</v>
      </c>
      <c r="E1255" t="str">
        <f>"00065970"</f>
        <v>00065970</v>
      </c>
      <c r="F1255">
        <v>0</v>
      </c>
      <c r="G1255" s="243">
        <v>40755</v>
      </c>
      <c r="H1255" t="s">
        <v>182</v>
      </c>
      <c r="I1255">
        <v>15</v>
      </c>
      <c r="J1255">
        <v>11</v>
      </c>
      <c r="K1255">
        <v>1</v>
      </c>
      <c r="L1255">
        <v>70891</v>
      </c>
      <c r="M1255" t="str">
        <f t="shared" si="178"/>
        <v>13</v>
      </c>
      <c r="N1255" t="s">
        <v>3323</v>
      </c>
      <c r="O1255" t="str">
        <f t="shared" si="184"/>
        <v>55211</v>
      </c>
      <c r="P1255" t="str">
        <f>"2200L"</f>
        <v>2200L</v>
      </c>
      <c r="Q1255" t="str">
        <f t="shared" si="180"/>
        <v>0101</v>
      </c>
      <c r="R1255">
        <v>2200</v>
      </c>
      <c r="S1255" t="str">
        <f t="shared" si="185"/>
        <v>5520</v>
      </c>
      <c r="T1255" t="s">
        <v>3525</v>
      </c>
      <c r="U1255" t="s">
        <v>39</v>
      </c>
    </row>
    <row r="1256" spans="1:21" ht="15" customHeight="1" x14ac:dyDescent="0.3">
      <c r="A1256" t="s">
        <v>179</v>
      </c>
      <c r="B1256" t="str">
        <f>"00054419"</f>
        <v>00054419</v>
      </c>
      <c r="C1256" t="s">
        <v>3798</v>
      </c>
      <c r="D1256" t="s">
        <v>1342</v>
      </c>
      <c r="E1256" t="str">
        <f>"00056675"</f>
        <v>00056675</v>
      </c>
      <c r="F1256">
        <v>0</v>
      </c>
      <c r="G1256" s="243">
        <v>40000</v>
      </c>
      <c r="H1256" t="s">
        <v>182</v>
      </c>
      <c r="I1256">
        <v>61</v>
      </c>
      <c r="J1256">
        <v>3</v>
      </c>
      <c r="K1256">
        <v>1</v>
      </c>
      <c r="L1256">
        <v>110000</v>
      </c>
      <c r="M1256" t="str">
        <f t="shared" si="178"/>
        <v>13</v>
      </c>
      <c r="N1256" t="s">
        <v>3323</v>
      </c>
      <c r="O1256" t="str">
        <f t="shared" si="184"/>
        <v>55211</v>
      </c>
      <c r="P1256" t="str">
        <f>"1501L"</f>
        <v>1501L</v>
      </c>
      <c r="Q1256" t="str">
        <f t="shared" si="180"/>
        <v>0101</v>
      </c>
      <c r="R1256">
        <v>1501</v>
      </c>
      <c r="S1256" t="str">
        <f t="shared" si="185"/>
        <v>5520</v>
      </c>
      <c r="T1256" t="s">
        <v>3525</v>
      </c>
      <c r="U1256" t="s">
        <v>39</v>
      </c>
    </row>
    <row r="1257" spans="1:21" ht="15" customHeight="1" x14ac:dyDescent="0.3">
      <c r="A1257" t="s">
        <v>179</v>
      </c>
      <c r="B1257" t="str">
        <f>"00054622"</f>
        <v>00054622</v>
      </c>
      <c r="C1257" t="s">
        <v>4257</v>
      </c>
      <c r="D1257" t="s">
        <v>1343</v>
      </c>
      <c r="E1257" t="str">
        <f>"00054304"</f>
        <v>00054304</v>
      </c>
      <c r="F1257">
        <v>0</v>
      </c>
      <c r="G1257" s="243">
        <v>33848</v>
      </c>
      <c r="H1257" t="s">
        <v>182</v>
      </c>
      <c r="I1257">
        <v>15</v>
      </c>
      <c r="J1257">
        <v>15</v>
      </c>
      <c r="K1257">
        <v>1</v>
      </c>
      <c r="L1257">
        <v>98285</v>
      </c>
      <c r="M1257" t="str">
        <f t="shared" si="178"/>
        <v>13</v>
      </c>
      <c r="N1257" t="s">
        <v>3323</v>
      </c>
      <c r="O1257" t="str">
        <f t="shared" si="184"/>
        <v>55211</v>
      </c>
      <c r="P1257" t="str">
        <f>"2100L"</f>
        <v>2100L</v>
      </c>
      <c r="Q1257" t="str">
        <f t="shared" si="180"/>
        <v>0101</v>
      </c>
      <c r="R1257">
        <v>2100</v>
      </c>
      <c r="S1257" t="str">
        <f t="shared" si="185"/>
        <v>5520</v>
      </c>
      <c r="T1257" t="s">
        <v>3525</v>
      </c>
      <c r="U1257" t="s">
        <v>39</v>
      </c>
    </row>
    <row r="1258" spans="1:21" ht="15" customHeight="1" x14ac:dyDescent="0.3">
      <c r="A1258" t="s">
        <v>179</v>
      </c>
      <c r="B1258" t="str">
        <f>"00057494"</f>
        <v>00057494</v>
      </c>
      <c r="C1258" t="s">
        <v>4272</v>
      </c>
      <c r="D1258" t="s">
        <v>1344</v>
      </c>
      <c r="E1258" t="str">
        <f>"00045760"</f>
        <v>00045760</v>
      </c>
      <c r="F1258">
        <v>0</v>
      </c>
      <c r="G1258" s="243">
        <v>36761</v>
      </c>
      <c r="H1258" t="s">
        <v>182</v>
      </c>
      <c r="I1258">
        <v>15</v>
      </c>
      <c r="J1258">
        <v>12</v>
      </c>
      <c r="K1258">
        <v>1</v>
      </c>
      <c r="L1258">
        <v>89887</v>
      </c>
      <c r="M1258" t="str">
        <f t="shared" si="178"/>
        <v>13</v>
      </c>
      <c r="N1258" t="s">
        <v>3323</v>
      </c>
      <c r="O1258" t="str">
        <f t="shared" si="184"/>
        <v>55211</v>
      </c>
      <c r="P1258" t="str">
        <f>"2200L"</f>
        <v>2200L</v>
      </c>
      <c r="Q1258" t="str">
        <f t="shared" si="180"/>
        <v>0101</v>
      </c>
      <c r="R1258">
        <v>2200</v>
      </c>
      <c r="S1258" t="str">
        <f t="shared" si="185"/>
        <v>5520</v>
      </c>
      <c r="T1258" t="s">
        <v>3525</v>
      </c>
      <c r="U1258" t="s">
        <v>39</v>
      </c>
    </row>
    <row r="1259" spans="1:21" ht="15" customHeight="1" x14ac:dyDescent="0.3">
      <c r="A1259" t="s">
        <v>179</v>
      </c>
      <c r="B1259" t="str">
        <f>"00057516"</f>
        <v>00057516</v>
      </c>
      <c r="C1259" t="s">
        <v>4341</v>
      </c>
      <c r="D1259" t="s">
        <v>1345</v>
      </c>
      <c r="E1259" t="str">
        <f>"00046375"</f>
        <v>00046375</v>
      </c>
      <c r="F1259">
        <v>0</v>
      </c>
      <c r="G1259" s="243">
        <v>36774</v>
      </c>
      <c r="H1259" t="s">
        <v>182</v>
      </c>
      <c r="I1259">
        <v>10</v>
      </c>
      <c r="J1259">
        <v>9</v>
      </c>
      <c r="K1259">
        <v>1</v>
      </c>
      <c r="L1259">
        <v>84226</v>
      </c>
      <c r="M1259" t="str">
        <f t="shared" si="178"/>
        <v>13</v>
      </c>
      <c r="N1259" t="s">
        <v>3323</v>
      </c>
      <c r="O1259" t="str">
        <f t="shared" si="184"/>
        <v>55211</v>
      </c>
      <c r="P1259" t="str">
        <f>"3030L"</f>
        <v>3030L</v>
      </c>
      <c r="Q1259" t="str">
        <f t="shared" si="180"/>
        <v>0101</v>
      </c>
      <c r="R1259">
        <v>3030</v>
      </c>
      <c r="S1259" t="str">
        <f t="shared" si="185"/>
        <v>5520</v>
      </c>
      <c r="T1259" t="s">
        <v>3525</v>
      </c>
      <c r="U1259" t="s">
        <v>39</v>
      </c>
    </row>
    <row r="1260" spans="1:21" ht="15" customHeight="1" x14ac:dyDescent="0.3">
      <c r="A1260" t="s">
        <v>179</v>
      </c>
      <c r="B1260" t="str">
        <f>"00057651"</f>
        <v>00057651</v>
      </c>
      <c r="C1260" t="s">
        <v>4262</v>
      </c>
      <c r="D1260" t="s">
        <v>1346</v>
      </c>
      <c r="E1260" t="str">
        <f>"00044764"</f>
        <v>00044764</v>
      </c>
      <c r="F1260">
        <v>0</v>
      </c>
      <c r="G1260" s="243">
        <v>38587</v>
      </c>
      <c r="H1260" t="s">
        <v>182</v>
      </c>
      <c r="I1260">
        <v>15</v>
      </c>
      <c r="J1260">
        <v>8</v>
      </c>
      <c r="K1260">
        <v>1</v>
      </c>
      <c r="L1260">
        <v>63517</v>
      </c>
      <c r="M1260" t="str">
        <f t="shared" si="178"/>
        <v>13</v>
      </c>
      <c r="N1260" t="s">
        <v>3323</v>
      </c>
      <c r="O1260" t="str">
        <f t="shared" si="184"/>
        <v>55211</v>
      </c>
      <c r="P1260" t="str">
        <f>"2100L"</f>
        <v>2100L</v>
      </c>
      <c r="Q1260" t="str">
        <f t="shared" si="180"/>
        <v>0101</v>
      </c>
      <c r="R1260">
        <v>2100</v>
      </c>
      <c r="S1260" t="str">
        <f t="shared" si="185"/>
        <v>5520</v>
      </c>
      <c r="T1260" t="s">
        <v>3525</v>
      </c>
      <c r="U1260" t="s">
        <v>39</v>
      </c>
    </row>
    <row r="1261" spans="1:21" ht="15" customHeight="1" x14ac:dyDescent="0.3">
      <c r="A1261" t="s">
        <v>179</v>
      </c>
      <c r="B1261" t="str">
        <f>"00057663"</f>
        <v>00057663</v>
      </c>
      <c r="C1261" t="s">
        <v>4262</v>
      </c>
      <c r="D1261" t="s">
        <v>3527</v>
      </c>
      <c r="E1261" t="str">
        <f>"00065648"</f>
        <v>00065648</v>
      </c>
      <c r="F1261">
        <v>0</v>
      </c>
      <c r="G1261" s="243">
        <v>40755</v>
      </c>
      <c r="H1261" t="s">
        <v>182</v>
      </c>
      <c r="I1261">
        <v>15</v>
      </c>
      <c r="J1261">
        <v>2</v>
      </c>
      <c r="K1261">
        <v>1</v>
      </c>
      <c r="L1261">
        <v>51716</v>
      </c>
      <c r="M1261" t="str">
        <f t="shared" si="178"/>
        <v>13</v>
      </c>
      <c r="N1261" t="s">
        <v>3323</v>
      </c>
      <c r="O1261" t="str">
        <f t="shared" si="184"/>
        <v>55211</v>
      </c>
      <c r="P1261" t="str">
        <f>"2100L"</f>
        <v>2100L</v>
      </c>
      <c r="Q1261" t="str">
        <f t="shared" si="180"/>
        <v>0101</v>
      </c>
      <c r="R1261">
        <v>2100</v>
      </c>
      <c r="S1261" t="str">
        <f t="shared" si="185"/>
        <v>5520</v>
      </c>
      <c r="T1261" t="s">
        <v>3525</v>
      </c>
      <c r="U1261" t="s">
        <v>39</v>
      </c>
    </row>
    <row r="1262" spans="1:21" ht="15" customHeight="1" x14ac:dyDescent="0.3">
      <c r="A1262" t="s">
        <v>179</v>
      </c>
      <c r="B1262" t="str">
        <f>"00057700"</f>
        <v>00057700</v>
      </c>
      <c r="C1262" t="s">
        <v>4254</v>
      </c>
      <c r="H1262" t="s">
        <v>170</v>
      </c>
      <c r="I1262">
        <v>15</v>
      </c>
      <c r="J1262">
        <v>1</v>
      </c>
      <c r="K1262">
        <v>1</v>
      </c>
      <c r="L1262">
        <v>51539</v>
      </c>
      <c r="M1262" t="str">
        <f t="shared" si="178"/>
        <v>13</v>
      </c>
      <c r="N1262" t="s">
        <v>3323</v>
      </c>
      <c r="O1262" t="str">
        <f t="shared" si="184"/>
        <v>55211</v>
      </c>
      <c r="P1262" t="str">
        <f>"2100L"</f>
        <v>2100L</v>
      </c>
      <c r="Q1262" t="str">
        <f t="shared" si="180"/>
        <v>0101</v>
      </c>
      <c r="R1262">
        <v>2100</v>
      </c>
      <c r="S1262" t="str">
        <f t="shared" si="185"/>
        <v>5520</v>
      </c>
      <c r="T1262" t="s">
        <v>3525</v>
      </c>
      <c r="U1262" t="s">
        <v>39</v>
      </c>
    </row>
    <row r="1263" spans="1:21" ht="15" customHeight="1" x14ac:dyDescent="0.3">
      <c r="A1263" t="s">
        <v>179</v>
      </c>
      <c r="B1263" t="str">
        <f>"00059191"</f>
        <v>00059191</v>
      </c>
      <c r="C1263" t="s">
        <v>4272</v>
      </c>
      <c r="D1263" t="s">
        <v>3528</v>
      </c>
      <c r="E1263" t="str">
        <f>"00055290"</f>
        <v>00055290</v>
      </c>
      <c r="F1263">
        <v>0</v>
      </c>
      <c r="G1263" s="243">
        <v>38587</v>
      </c>
      <c r="H1263" t="s">
        <v>182</v>
      </c>
      <c r="I1263">
        <v>15</v>
      </c>
      <c r="J1263">
        <v>13</v>
      </c>
      <c r="K1263">
        <v>1</v>
      </c>
      <c r="L1263">
        <v>81724</v>
      </c>
      <c r="M1263" t="str">
        <f t="shared" si="178"/>
        <v>13</v>
      </c>
      <c r="N1263" t="s">
        <v>3323</v>
      </c>
      <c r="O1263" t="str">
        <f t="shared" si="184"/>
        <v>55211</v>
      </c>
      <c r="P1263" t="str">
        <f>"2200L"</f>
        <v>2200L</v>
      </c>
      <c r="Q1263" t="str">
        <f t="shared" si="180"/>
        <v>0101</v>
      </c>
      <c r="R1263">
        <v>2200</v>
      </c>
      <c r="S1263" t="str">
        <f t="shared" si="185"/>
        <v>5520</v>
      </c>
      <c r="T1263" t="s">
        <v>3525</v>
      </c>
      <c r="U1263" t="s">
        <v>39</v>
      </c>
    </row>
    <row r="1264" spans="1:21" ht="15" customHeight="1" x14ac:dyDescent="0.3">
      <c r="A1264" t="s">
        <v>179</v>
      </c>
      <c r="B1264" t="str">
        <f>"00062953"</f>
        <v>00062953</v>
      </c>
      <c r="C1264" t="s">
        <v>4288</v>
      </c>
      <c r="D1264" t="s">
        <v>4693</v>
      </c>
      <c r="E1264" t="str">
        <f>"00051932"</f>
        <v>00051932</v>
      </c>
      <c r="F1264">
        <v>0</v>
      </c>
      <c r="G1264" s="243">
        <v>39153</v>
      </c>
      <c r="H1264" t="s">
        <v>182</v>
      </c>
      <c r="I1264">
        <v>4</v>
      </c>
      <c r="J1264">
        <v>8</v>
      </c>
      <c r="K1264">
        <v>1</v>
      </c>
      <c r="L1264">
        <v>27329.75</v>
      </c>
      <c r="M1264" t="str">
        <f t="shared" si="178"/>
        <v>13</v>
      </c>
      <c r="N1264" t="s">
        <v>3323</v>
      </c>
      <c r="O1264" t="str">
        <f t="shared" si="184"/>
        <v>55211</v>
      </c>
      <c r="P1264" t="str">
        <f>"2200L"</f>
        <v>2200L</v>
      </c>
      <c r="Q1264" t="str">
        <f t="shared" si="180"/>
        <v>0101</v>
      </c>
      <c r="R1264">
        <v>2200</v>
      </c>
      <c r="S1264" t="str">
        <f t="shared" si="185"/>
        <v>5520</v>
      </c>
      <c r="T1264" t="s">
        <v>3525</v>
      </c>
      <c r="U1264" t="s">
        <v>39</v>
      </c>
    </row>
    <row r="1265" spans="1:21" ht="15" customHeight="1" x14ac:dyDescent="0.3">
      <c r="A1265" t="s">
        <v>179</v>
      </c>
      <c r="B1265" t="str">
        <f>"00063012"</f>
        <v>00063012</v>
      </c>
      <c r="C1265" t="s">
        <v>4262</v>
      </c>
      <c r="D1265" t="s">
        <v>1347</v>
      </c>
      <c r="E1265" t="str">
        <f>"00045187"</f>
        <v>00045187</v>
      </c>
      <c r="F1265">
        <v>0</v>
      </c>
      <c r="G1265" s="243">
        <v>39849</v>
      </c>
      <c r="H1265" t="s">
        <v>182</v>
      </c>
      <c r="I1265">
        <v>15</v>
      </c>
      <c r="J1265">
        <v>4</v>
      </c>
      <c r="K1265">
        <v>1</v>
      </c>
      <c r="L1265">
        <v>61158</v>
      </c>
      <c r="M1265" t="str">
        <f t="shared" si="178"/>
        <v>13</v>
      </c>
      <c r="N1265" t="s">
        <v>3323</v>
      </c>
      <c r="O1265" t="str">
        <f t="shared" si="184"/>
        <v>55211</v>
      </c>
      <c r="P1265" t="str">
        <f>"2100L"</f>
        <v>2100L</v>
      </c>
      <c r="Q1265" t="str">
        <f t="shared" si="180"/>
        <v>0101</v>
      </c>
      <c r="R1265">
        <v>2100</v>
      </c>
      <c r="S1265" t="str">
        <f t="shared" si="185"/>
        <v>5520</v>
      </c>
      <c r="T1265" t="s">
        <v>3525</v>
      </c>
      <c r="U1265" t="s">
        <v>39</v>
      </c>
    </row>
    <row r="1266" spans="1:21" ht="15" customHeight="1" x14ac:dyDescent="0.3">
      <c r="A1266" t="s">
        <v>179</v>
      </c>
      <c r="B1266" t="str">
        <f>"00063100"</f>
        <v>00063100</v>
      </c>
      <c r="C1266" t="s">
        <v>4272</v>
      </c>
      <c r="D1266" t="s">
        <v>1348</v>
      </c>
      <c r="E1266" t="str">
        <f>"00062913"</f>
        <v>00062913</v>
      </c>
      <c r="F1266">
        <v>0</v>
      </c>
      <c r="G1266" s="243">
        <v>40406</v>
      </c>
      <c r="H1266" t="s">
        <v>182</v>
      </c>
      <c r="I1266">
        <v>15</v>
      </c>
      <c r="J1266">
        <v>5</v>
      </c>
      <c r="K1266">
        <v>1</v>
      </c>
      <c r="L1266">
        <v>56655</v>
      </c>
      <c r="M1266" t="str">
        <f t="shared" si="178"/>
        <v>13</v>
      </c>
      <c r="N1266" t="s">
        <v>3323</v>
      </c>
      <c r="O1266" t="str">
        <f t="shared" si="184"/>
        <v>55211</v>
      </c>
      <c r="P1266" t="str">
        <f>"2100L"</f>
        <v>2100L</v>
      </c>
      <c r="Q1266" t="str">
        <f t="shared" si="180"/>
        <v>0101</v>
      </c>
      <c r="R1266">
        <v>2100</v>
      </c>
      <c r="S1266" t="str">
        <f t="shared" si="185"/>
        <v>5520</v>
      </c>
      <c r="T1266" t="s">
        <v>3525</v>
      </c>
      <c r="U1266" t="s">
        <v>39</v>
      </c>
    </row>
    <row r="1267" spans="1:21" ht="15" customHeight="1" x14ac:dyDescent="0.3">
      <c r="A1267" t="s">
        <v>179</v>
      </c>
      <c r="B1267" t="str">
        <f>"00065870"</f>
        <v>00065870</v>
      </c>
      <c r="C1267" t="s">
        <v>4260</v>
      </c>
      <c r="D1267" t="s">
        <v>4694</v>
      </c>
      <c r="E1267" t="str">
        <f>"00069729"</f>
        <v>00069729</v>
      </c>
      <c r="F1267">
        <v>0</v>
      </c>
      <c r="G1267" s="243">
        <v>41133</v>
      </c>
      <c r="H1267" t="s">
        <v>182</v>
      </c>
      <c r="I1267">
        <v>15</v>
      </c>
      <c r="J1267">
        <v>9</v>
      </c>
      <c r="K1267">
        <v>1</v>
      </c>
      <c r="L1267">
        <v>75232</v>
      </c>
      <c r="M1267" t="str">
        <f t="shared" ref="M1267:M1323" si="186">"13"</f>
        <v>13</v>
      </c>
      <c r="N1267" t="s">
        <v>3370</v>
      </c>
      <c r="O1267" t="str">
        <f t="shared" si="184"/>
        <v>55211</v>
      </c>
      <c r="P1267" t="str">
        <f>"3030L"</f>
        <v>3030L</v>
      </c>
      <c r="Q1267" t="str">
        <f t="shared" si="180"/>
        <v>0101</v>
      </c>
      <c r="R1267">
        <v>3030</v>
      </c>
      <c r="S1267" t="str">
        <f t="shared" si="185"/>
        <v>5520</v>
      </c>
      <c r="T1267" t="s">
        <v>3525</v>
      </c>
      <c r="U1267" t="s">
        <v>39</v>
      </c>
    </row>
    <row r="1268" spans="1:21" ht="15" customHeight="1" x14ac:dyDescent="0.3">
      <c r="A1268" t="s">
        <v>179</v>
      </c>
      <c r="B1268" t="str">
        <f>"00066127"</f>
        <v>00066127</v>
      </c>
      <c r="C1268" t="s">
        <v>4274</v>
      </c>
      <c r="H1268" t="s">
        <v>170</v>
      </c>
      <c r="I1268">
        <v>4</v>
      </c>
      <c r="J1268">
        <v>1</v>
      </c>
      <c r="K1268">
        <v>1</v>
      </c>
      <c r="L1268">
        <v>25662</v>
      </c>
      <c r="M1268" t="str">
        <f t="shared" si="186"/>
        <v>13</v>
      </c>
      <c r="N1268" t="s">
        <v>3323</v>
      </c>
      <c r="O1268" t="str">
        <f t="shared" si="184"/>
        <v>55211</v>
      </c>
      <c r="P1268" t="str">
        <f>"2200L"</f>
        <v>2200L</v>
      </c>
      <c r="Q1268" t="str">
        <f t="shared" si="180"/>
        <v>0101</v>
      </c>
      <c r="R1268">
        <v>2200</v>
      </c>
      <c r="S1268" t="str">
        <f t="shared" si="185"/>
        <v>5520</v>
      </c>
      <c r="T1268" t="s">
        <v>3525</v>
      </c>
      <c r="U1268" t="s">
        <v>39</v>
      </c>
    </row>
    <row r="1269" spans="1:21" ht="15" customHeight="1" x14ac:dyDescent="0.3">
      <c r="A1269" t="s">
        <v>179</v>
      </c>
      <c r="B1269" t="str">
        <f>"00066896"</f>
        <v>00066896</v>
      </c>
      <c r="C1269" t="s">
        <v>4262</v>
      </c>
      <c r="D1269" t="s">
        <v>1349</v>
      </c>
      <c r="E1269" t="str">
        <f>"00056984"</f>
        <v>00056984</v>
      </c>
      <c r="F1269">
        <v>0</v>
      </c>
      <c r="G1269" s="243">
        <v>40042</v>
      </c>
      <c r="H1269" t="s">
        <v>182</v>
      </c>
      <c r="I1269">
        <v>15</v>
      </c>
      <c r="J1269">
        <v>12</v>
      </c>
      <c r="K1269">
        <v>1</v>
      </c>
      <c r="L1269">
        <v>87431</v>
      </c>
      <c r="M1269" t="str">
        <f t="shared" si="186"/>
        <v>13</v>
      </c>
      <c r="N1269" t="s">
        <v>3323</v>
      </c>
      <c r="O1269" t="str">
        <f t="shared" si="184"/>
        <v>55211</v>
      </c>
      <c r="P1269" t="str">
        <f>"2100L"</f>
        <v>2100L</v>
      </c>
      <c r="Q1269" t="str">
        <f t="shared" si="180"/>
        <v>0101</v>
      </c>
      <c r="R1269">
        <v>2100</v>
      </c>
      <c r="S1269" t="str">
        <f t="shared" si="185"/>
        <v>5520</v>
      </c>
      <c r="T1269" t="s">
        <v>3525</v>
      </c>
      <c r="U1269" t="s">
        <v>39</v>
      </c>
    </row>
    <row r="1270" spans="1:21" ht="15" customHeight="1" x14ac:dyDescent="0.3">
      <c r="A1270" t="s">
        <v>179</v>
      </c>
      <c r="B1270" t="str">
        <f>"00066968"</f>
        <v>00066968</v>
      </c>
      <c r="C1270" t="s">
        <v>200</v>
      </c>
      <c r="D1270" t="s">
        <v>1350</v>
      </c>
      <c r="E1270" t="str">
        <f>"00056987"</f>
        <v>00056987</v>
      </c>
      <c r="F1270">
        <v>0</v>
      </c>
      <c r="G1270" s="243">
        <v>40042</v>
      </c>
      <c r="H1270" t="s">
        <v>182</v>
      </c>
      <c r="I1270">
        <v>15</v>
      </c>
      <c r="J1270">
        <v>8</v>
      </c>
      <c r="K1270">
        <v>1</v>
      </c>
      <c r="L1270">
        <v>72171</v>
      </c>
      <c r="M1270" t="str">
        <f t="shared" si="186"/>
        <v>13</v>
      </c>
      <c r="N1270" t="s">
        <v>3323</v>
      </c>
      <c r="O1270" t="str">
        <f t="shared" si="184"/>
        <v>55211</v>
      </c>
      <c r="P1270" t="str">
        <f>"3030L"</f>
        <v>3030L</v>
      </c>
      <c r="Q1270" t="str">
        <f t="shared" si="180"/>
        <v>0101</v>
      </c>
      <c r="R1270">
        <v>3030</v>
      </c>
      <c r="S1270" t="str">
        <f t="shared" si="185"/>
        <v>5520</v>
      </c>
      <c r="T1270" t="s">
        <v>3525</v>
      </c>
      <c r="U1270" t="s">
        <v>39</v>
      </c>
    </row>
    <row r="1271" spans="1:21" ht="15" customHeight="1" x14ac:dyDescent="0.3">
      <c r="A1271" t="s">
        <v>179</v>
      </c>
      <c r="B1271" t="str">
        <f>"00072092"</f>
        <v>00072092</v>
      </c>
      <c r="C1271" t="s">
        <v>4288</v>
      </c>
      <c r="D1271" t="s">
        <v>4695</v>
      </c>
      <c r="E1271" t="str">
        <f>"00067009"</f>
        <v>00067009</v>
      </c>
      <c r="F1271">
        <v>0</v>
      </c>
      <c r="G1271" s="243">
        <v>40840</v>
      </c>
      <c r="H1271" t="s">
        <v>182</v>
      </c>
      <c r="I1271">
        <v>4</v>
      </c>
      <c r="J1271">
        <v>4</v>
      </c>
      <c r="K1271">
        <v>1</v>
      </c>
      <c r="L1271">
        <v>24543.75</v>
      </c>
      <c r="M1271" t="str">
        <f t="shared" si="186"/>
        <v>13</v>
      </c>
      <c r="N1271" t="s">
        <v>3323</v>
      </c>
      <c r="O1271" t="str">
        <f t="shared" si="184"/>
        <v>55211</v>
      </c>
      <c r="P1271" t="str">
        <f>"2200L"</f>
        <v>2200L</v>
      </c>
      <c r="Q1271" t="str">
        <f t="shared" si="180"/>
        <v>0101</v>
      </c>
      <c r="R1271">
        <v>2200</v>
      </c>
      <c r="S1271" t="str">
        <f t="shared" si="185"/>
        <v>5520</v>
      </c>
      <c r="T1271" t="s">
        <v>3525</v>
      </c>
      <c r="U1271" t="s">
        <v>39</v>
      </c>
    </row>
    <row r="1272" spans="1:21" ht="15" customHeight="1" x14ac:dyDescent="0.3">
      <c r="A1272" t="s">
        <v>179</v>
      </c>
      <c r="B1272" t="str">
        <f>"00073025"</f>
        <v>00073025</v>
      </c>
      <c r="C1272" t="s">
        <v>4272</v>
      </c>
      <c r="H1272" t="s">
        <v>170</v>
      </c>
      <c r="I1272">
        <v>15</v>
      </c>
      <c r="J1272">
        <v>1</v>
      </c>
      <c r="K1272">
        <v>1</v>
      </c>
      <c r="L1272">
        <v>54975</v>
      </c>
      <c r="M1272" t="str">
        <f t="shared" si="186"/>
        <v>13</v>
      </c>
      <c r="N1272" t="s">
        <v>3323</v>
      </c>
      <c r="O1272" t="str">
        <f t="shared" si="184"/>
        <v>55211</v>
      </c>
      <c r="P1272" t="str">
        <f t="shared" ref="P1272:P1278" si="187">"2100L"</f>
        <v>2100L</v>
      </c>
      <c r="Q1272" t="str">
        <f t="shared" si="180"/>
        <v>0101</v>
      </c>
      <c r="R1272">
        <v>2100</v>
      </c>
      <c r="S1272" t="str">
        <f t="shared" si="185"/>
        <v>5520</v>
      </c>
      <c r="T1272" t="s">
        <v>3525</v>
      </c>
      <c r="U1272" t="s">
        <v>39</v>
      </c>
    </row>
    <row r="1273" spans="1:21" ht="15" customHeight="1" x14ac:dyDescent="0.3">
      <c r="A1273" t="s">
        <v>179</v>
      </c>
      <c r="B1273" t="str">
        <f>"00073881"</f>
        <v>00073881</v>
      </c>
      <c r="C1273" t="s">
        <v>4262</v>
      </c>
      <c r="D1273" t="s">
        <v>3526</v>
      </c>
      <c r="E1273" t="str">
        <f>"00059658"</f>
        <v>00059658</v>
      </c>
      <c r="F1273">
        <v>0</v>
      </c>
      <c r="G1273" s="243">
        <v>40112</v>
      </c>
      <c r="H1273" t="s">
        <v>182</v>
      </c>
      <c r="I1273">
        <v>15</v>
      </c>
      <c r="J1273">
        <v>2</v>
      </c>
      <c r="K1273">
        <v>1</v>
      </c>
      <c r="L1273">
        <v>56242</v>
      </c>
      <c r="M1273" t="str">
        <f t="shared" si="186"/>
        <v>13</v>
      </c>
      <c r="N1273" t="s">
        <v>3323</v>
      </c>
      <c r="O1273" t="str">
        <f t="shared" si="184"/>
        <v>55211</v>
      </c>
      <c r="P1273" t="str">
        <f t="shared" si="187"/>
        <v>2100L</v>
      </c>
      <c r="Q1273" t="str">
        <f t="shared" si="180"/>
        <v>0101</v>
      </c>
      <c r="R1273">
        <v>2100</v>
      </c>
      <c r="S1273" t="str">
        <f t="shared" si="185"/>
        <v>5520</v>
      </c>
      <c r="T1273" t="s">
        <v>3525</v>
      </c>
      <c r="U1273" t="s">
        <v>39</v>
      </c>
    </row>
    <row r="1274" spans="1:21" ht="15" customHeight="1" x14ac:dyDescent="0.3">
      <c r="A1274" t="s">
        <v>179</v>
      </c>
      <c r="B1274" t="str">
        <f>"00074553"</f>
        <v>00074553</v>
      </c>
      <c r="C1274" t="s">
        <v>4410</v>
      </c>
      <c r="H1274" t="s">
        <v>170</v>
      </c>
      <c r="I1274">
        <v>5</v>
      </c>
      <c r="J1274">
        <v>1</v>
      </c>
      <c r="K1274">
        <v>1</v>
      </c>
      <c r="L1274">
        <v>28486</v>
      </c>
      <c r="M1274" t="str">
        <f t="shared" si="186"/>
        <v>13</v>
      </c>
      <c r="N1274" t="s">
        <v>3323</v>
      </c>
      <c r="O1274" t="str">
        <f t="shared" si="184"/>
        <v>55211</v>
      </c>
      <c r="P1274" t="str">
        <f t="shared" si="187"/>
        <v>2100L</v>
      </c>
      <c r="Q1274" t="str">
        <f t="shared" ref="Q1274:Q1328" si="188">"0101"</f>
        <v>0101</v>
      </c>
      <c r="R1274">
        <v>2100</v>
      </c>
      <c r="S1274" t="str">
        <f t="shared" si="185"/>
        <v>5520</v>
      </c>
      <c r="T1274" t="s">
        <v>3525</v>
      </c>
      <c r="U1274" t="s">
        <v>39</v>
      </c>
    </row>
    <row r="1275" spans="1:21" ht="15" customHeight="1" x14ac:dyDescent="0.3">
      <c r="A1275" t="s">
        <v>179</v>
      </c>
      <c r="B1275" t="str">
        <f>"00076125"</f>
        <v>00076125</v>
      </c>
      <c r="C1275" t="s">
        <v>4270</v>
      </c>
      <c r="H1275" t="s">
        <v>170</v>
      </c>
      <c r="I1275">
        <v>15</v>
      </c>
      <c r="J1275">
        <v>0</v>
      </c>
      <c r="K1275">
        <v>0.5</v>
      </c>
      <c r="L1275">
        <v>51539</v>
      </c>
      <c r="M1275" t="str">
        <f t="shared" si="186"/>
        <v>13</v>
      </c>
      <c r="N1275" t="s">
        <v>3370</v>
      </c>
      <c r="O1275" t="str">
        <f t="shared" si="184"/>
        <v>55211</v>
      </c>
      <c r="P1275" t="str">
        <f t="shared" si="187"/>
        <v>2100L</v>
      </c>
      <c r="Q1275" t="str">
        <f t="shared" si="188"/>
        <v>0101</v>
      </c>
      <c r="R1275">
        <v>2100</v>
      </c>
      <c r="S1275" t="str">
        <f t="shared" si="185"/>
        <v>5520</v>
      </c>
      <c r="T1275" t="s">
        <v>3525</v>
      </c>
      <c r="U1275" t="s">
        <v>39</v>
      </c>
    </row>
    <row r="1276" spans="1:21" ht="15" customHeight="1" x14ac:dyDescent="0.3">
      <c r="A1276" t="s">
        <v>179</v>
      </c>
      <c r="B1276" t="str">
        <f>"00076126"</f>
        <v>00076126</v>
      </c>
      <c r="C1276" t="s">
        <v>4270</v>
      </c>
      <c r="H1276" t="s">
        <v>170</v>
      </c>
      <c r="I1276">
        <v>15</v>
      </c>
      <c r="J1276">
        <v>0</v>
      </c>
      <c r="K1276">
        <v>0.5</v>
      </c>
      <c r="L1276">
        <v>51539</v>
      </c>
      <c r="M1276" t="str">
        <f t="shared" si="186"/>
        <v>13</v>
      </c>
      <c r="N1276" t="s">
        <v>3370</v>
      </c>
      <c r="O1276" t="str">
        <f t="shared" si="184"/>
        <v>55211</v>
      </c>
      <c r="P1276" t="str">
        <f t="shared" si="187"/>
        <v>2100L</v>
      </c>
      <c r="Q1276" t="str">
        <f t="shared" si="188"/>
        <v>0101</v>
      </c>
      <c r="R1276">
        <v>2100</v>
      </c>
      <c r="S1276" t="str">
        <f t="shared" si="185"/>
        <v>5520</v>
      </c>
      <c r="T1276" t="s">
        <v>3525</v>
      </c>
      <c r="U1276" t="s">
        <v>39</v>
      </c>
    </row>
    <row r="1277" spans="1:21" ht="15" customHeight="1" x14ac:dyDescent="0.3">
      <c r="A1277" t="s">
        <v>179</v>
      </c>
      <c r="B1277" t="str">
        <f>"00076127"</f>
        <v>00076127</v>
      </c>
      <c r="C1277" t="s">
        <v>4395</v>
      </c>
      <c r="H1277" t="s">
        <v>170</v>
      </c>
      <c r="I1277">
        <v>10</v>
      </c>
      <c r="J1277">
        <v>0</v>
      </c>
      <c r="K1277">
        <v>1</v>
      </c>
      <c r="L1277">
        <v>62794</v>
      </c>
      <c r="M1277" t="str">
        <f t="shared" si="186"/>
        <v>13</v>
      </c>
      <c r="N1277" t="s">
        <v>3370</v>
      </c>
      <c r="O1277" t="str">
        <f t="shared" si="184"/>
        <v>55211</v>
      </c>
      <c r="P1277" t="str">
        <f t="shared" si="187"/>
        <v>2100L</v>
      </c>
      <c r="Q1277" t="str">
        <f t="shared" si="188"/>
        <v>0101</v>
      </c>
      <c r="R1277">
        <v>2100</v>
      </c>
      <c r="S1277" t="str">
        <f t="shared" si="185"/>
        <v>5520</v>
      </c>
      <c r="T1277" t="s">
        <v>3525</v>
      </c>
      <c r="U1277" t="s">
        <v>39</v>
      </c>
    </row>
    <row r="1278" spans="1:21" ht="15" customHeight="1" x14ac:dyDescent="0.3">
      <c r="A1278" t="s">
        <v>179</v>
      </c>
      <c r="B1278" t="str">
        <f>"00076128"</f>
        <v>00076128</v>
      </c>
      <c r="C1278" t="s">
        <v>4271</v>
      </c>
      <c r="H1278" t="s">
        <v>170</v>
      </c>
      <c r="I1278">
        <v>15</v>
      </c>
      <c r="J1278">
        <v>0</v>
      </c>
      <c r="K1278">
        <v>0.5</v>
      </c>
      <c r="L1278">
        <v>60128</v>
      </c>
      <c r="M1278" t="str">
        <f t="shared" si="186"/>
        <v>13</v>
      </c>
      <c r="N1278" t="s">
        <v>3370</v>
      </c>
      <c r="O1278" t="str">
        <f t="shared" si="184"/>
        <v>55211</v>
      </c>
      <c r="P1278" t="str">
        <f t="shared" si="187"/>
        <v>2100L</v>
      </c>
      <c r="Q1278" t="str">
        <f t="shared" si="188"/>
        <v>0101</v>
      </c>
      <c r="R1278">
        <v>2100</v>
      </c>
      <c r="S1278" t="str">
        <f t="shared" si="185"/>
        <v>5520</v>
      </c>
      <c r="T1278" t="s">
        <v>3525</v>
      </c>
      <c r="U1278" t="s">
        <v>39</v>
      </c>
    </row>
    <row r="1279" spans="1:21" ht="15" customHeight="1" x14ac:dyDescent="0.3">
      <c r="A1279" t="s">
        <v>179</v>
      </c>
      <c r="B1279" t="str">
        <f>"00051597"</f>
        <v>00051597</v>
      </c>
      <c r="C1279" t="s">
        <v>4272</v>
      </c>
      <c r="D1279" t="s">
        <v>1351</v>
      </c>
      <c r="E1279" t="str">
        <f>"00045024"</f>
        <v>00045024</v>
      </c>
      <c r="F1279">
        <v>0</v>
      </c>
      <c r="G1279" s="243">
        <v>29503</v>
      </c>
      <c r="H1279" t="s">
        <v>182</v>
      </c>
      <c r="I1279">
        <v>15</v>
      </c>
      <c r="J1279">
        <v>16</v>
      </c>
      <c r="K1279">
        <v>1</v>
      </c>
      <c r="L1279">
        <v>100839</v>
      </c>
      <c r="M1279" t="str">
        <f t="shared" si="186"/>
        <v>13</v>
      </c>
      <c r="N1279" t="s">
        <v>3323</v>
      </c>
      <c r="O1279" t="str">
        <f t="shared" ref="O1279:O1318" si="189">"55311"</f>
        <v>55311</v>
      </c>
      <c r="P1279" t="str">
        <f>"2100L"</f>
        <v>2100L</v>
      </c>
      <c r="Q1279" t="str">
        <f t="shared" si="188"/>
        <v>0101</v>
      </c>
      <c r="R1279">
        <v>2100</v>
      </c>
      <c r="S1279" t="str">
        <f t="shared" ref="S1279:S1318" si="190">"5530"</f>
        <v>5530</v>
      </c>
      <c r="T1279" t="s">
        <v>3531</v>
      </c>
      <c r="U1279" t="s">
        <v>122</v>
      </c>
    </row>
    <row r="1280" spans="1:21" ht="15" customHeight="1" x14ac:dyDescent="0.3">
      <c r="A1280" t="s">
        <v>179</v>
      </c>
      <c r="B1280" t="str">
        <f>"00052019"</f>
        <v>00052019</v>
      </c>
      <c r="C1280" t="s">
        <v>4256</v>
      </c>
      <c r="D1280" t="s">
        <v>1352</v>
      </c>
      <c r="E1280" t="str">
        <f>"00046956"</f>
        <v>00046956</v>
      </c>
      <c r="F1280">
        <v>0</v>
      </c>
      <c r="G1280" s="243">
        <v>35138</v>
      </c>
      <c r="H1280" t="s">
        <v>182</v>
      </c>
      <c r="I1280">
        <v>15</v>
      </c>
      <c r="J1280">
        <v>14</v>
      </c>
      <c r="K1280">
        <v>1</v>
      </c>
      <c r="L1280">
        <v>96460</v>
      </c>
      <c r="M1280" t="str">
        <f t="shared" si="186"/>
        <v>13</v>
      </c>
      <c r="N1280" t="s">
        <v>3323</v>
      </c>
      <c r="O1280" t="str">
        <f t="shared" si="189"/>
        <v>55311</v>
      </c>
      <c r="P1280" t="str">
        <f>"3030L"</f>
        <v>3030L</v>
      </c>
      <c r="Q1280" t="str">
        <f t="shared" si="188"/>
        <v>0101</v>
      </c>
      <c r="R1280">
        <v>3030</v>
      </c>
      <c r="S1280" t="str">
        <f t="shared" si="190"/>
        <v>5530</v>
      </c>
      <c r="T1280" t="s">
        <v>3531</v>
      </c>
      <c r="U1280" t="s">
        <v>122</v>
      </c>
    </row>
    <row r="1281" spans="1:21" ht="15" customHeight="1" x14ac:dyDescent="0.3">
      <c r="A1281" t="s">
        <v>179</v>
      </c>
      <c r="B1281" t="str">
        <f>"00052623"</f>
        <v>00052623</v>
      </c>
      <c r="C1281" t="s">
        <v>4272</v>
      </c>
      <c r="D1281" t="s">
        <v>1353</v>
      </c>
      <c r="E1281" t="str">
        <f>"00048710"</f>
        <v>00048710</v>
      </c>
      <c r="F1281">
        <v>0</v>
      </c>
      <c r="G1281" s="243">
        <v>32021</v>
      </c>
      <c r="H1281" t="s">
        <v>182</v>
      </c>
      <c r="I1281">
        <v>15</v>
      </c>
      <c r="J1281">
        <v>16</v>
      </c>
      <c r="K1281">
        <v>1</v>
      </c>
      <c r="L1281">
        <v>100839</v>
      </c>
      <c r="M1281" t="str">
        <f t="shared" si="186"/>
        <v>13</v>
      </c>
      <c r="N1281" t="s">
        <v>3323</v>
      </c>
      <c r="O1281" t="str">
        <f t="shared" si="189"/>
        <v>55311</v>
      </c>
      <c r="P1281" t="str">
        <f>"2200L"</f>
        <v>2200L</v>
      </c>
      <c r="Q1281" t="str">
        <f t="shared" si="188"/>
        <v>0101</v>
      </c>
      <c r="R1281">
        <v>2200</v>
      </c>
      <c r="S1281" t="str">
        <f t="shared" si="190"/>
        <v>5530</v>
      </c>
      <c r="T1281" t="s">
        <v>3531</v>
      </c>
      <c r="U1281" t="s">
        <v>122</v>
      </c>
    </row>
    <row r="1282" spans="1:21" ht="15" customHeight="1" x14ac:dyDescent="0.3">
      <c r="A1282" t="s">
        <v>179</v>
      </c>
      <c r="B1282" t="str">
        <f>"00053473"</f>
        <v>00053473</v>
      </c>
      <c r="C1282" t="s">
        <v>4274</v>
      </c>
      <c r="D1282" t="s">
        <v>4696</v>
      </c>
      <c r="E1282" t="str">
        <f>"00051565"</f>
        <v>00051565</v>
      </c>
      <c r="F1282">
        <v>0</v>
      </c>
      <c r="G1282" s="243">
        <v>31838</v>
      </c>
      <c r="H1282" t="s">
        <v>182</v>
      </c>
      <c r="I1282">
        <v>4</v>
      </c>
      <c r="J1282">
        <v>10</v>
      </c>
      <c r="K1282">
        <v>0.875</v>
      </c>
      <c r="L1282">
        <v>28721</v>
      </c>
      <c r="M1282" t="str">
        <f t="shared" si="186"/>
        <v>13</v>
      </c>
      <c r="N1282" t="s">
        <v>3323</v>
      </c>
      <c r="O1282" t="str">
        <f t="shared" si="189"/>
        <v>55311</v>
      </c>
      <c r="P1282" t="str">
        <f>"2200L"</f>
        <v>2200L</v>
      </c>
      <c r="Q1282" t="str">
        <f t="shared" si="188"/>
        <v>0101</v>
      </c>
      <c r="R1282">
        <v>2200</v>
      </c>
      <c r="S1282" t="str">
        <f t="shared" si="190"/>
        <v>5530</v>
      </c>
      <c r="T1282" t="s">
        <v>3531</v>
      </c>
      <c r="U1282" t="s">
        <v>122</v>
      </c>
    </row>
    <row r="1283" spans="1:21" ht="15" customHeight="1" x14ac:dyDescent="0.3">
      <c r="A1283" t="s">
        <v>179</v>
      </c>
      <c r="B1283" t="str">
        <f>"00054576"</f>
        <v>00054576</v>
      </c>
      <c r="C1283" t="s">
        <v>4360</v>
      </c>
      <c r="D1283" t="s">
        <v>4697</v>
      </c>
      <c r="E1283" t="str">
        <f>"00054224"</f>
        <v>00054224</v>
      </c>
      <c r="F1283">
        <v>0</v>
      </c>
      <c r="G1283" s="243">
        <v>31335</v>
      </c>
      <c r="H1283" t="s">
        <v>182</v>
      </c>
      <c r="I1283">
        <v>7</v>
      </c>
      <c r="J1283">
        <v>8</v>
      </c>
      <c r="K1283">
        <v>1</v>
      </c>
      <c r="L1283">
        <v>42621</v>
      </c>
      <c r="M1283" t="str">
        <f t="shared" si="186"/>
        <v>13</v>
      </c>
      <c r="N1283" t="s">
        <v>3323</v>
      </c>
      <c r="O1283" t="str">
        <f t="shared" si="189"/>
        <v>55311</v>
      </c>
      <c r="P1283" t="str">
        <f>"1502L"</f>
        <v>1502L</v>
      </c>
      <c r="Q1283" t="str">
        <f t="shared" si="188"/>
        <v>0101</v>
      </c>
      <c r="R1283">
        <v>1502</v>
      </c>
      <c r="S1283" t="str">
        <f t="shared" si="190"/>
        <v>5530</v>
      </c>
      <c r="T1283" t="s">
        <v>3531</v>
      </c>
      <c r="U1283" t="s">
        <v>122</v>
      </c>
    </row>
    <row r="1284" spans="1:21" ht="15" customHeight="1" x14ac:dyDescent="0.3">
      <c r="A1284" t="s">
        <v>179</v>
      </c>
      <c r="B1284" t="str">
        <f>"00055025"</f>
        <v>00055025</v>
      </c>
      <c r="C1284" t="s">
        <v>4260</v>
      </c>
      <c r="D1284" t="s">
        <v>1354</v>
      </c>
      <c r="E1284" t="str">
        <f>"00055171"</f>
        <v>00055171</v>
      </c>
      <c r="F1284">
        <v>0</v>
      </c>
      <c r="G1284" s="243">
        <v>38694</v>
      </c>
      <c r="H1284" t="s">
        <v>182</v>
      </c>
      <c r="I1284">
        <v>15</v>
      </c>
      <c r="J1284">
        <v>10</v>
      </c>
      <c r="K1284">
        <v>1</v>
      </c>
      <c r="L1284">
        <v>78273</v>
      </c>
      <c r="M1284" t="str">
        <f t="shared" si="186"/>
        <v>13</v>
      </c>
      <c r="N1284" t="s">
        <v>3323</v>
      </c>
      <c r="O1284" t="str">
        <f t="shared" si="189"/>
        <v>55311</v>
      </c>
      <c r="P1284" t="str">
        <f>"2100L"</f>
        <v>2100L</v>
      </c>
      <c r="Q1284" t="str">
        <f t="shared" si="188"/>
        <v>0101</v>
      </c>
      <c r="R1284">
        <v>2100</v>
      </c>
      <c r="S1284" t="str">
        <f t="shared" si="190"/>
        <v>5530</v>
      </c>
      <c r="T1284" t="s">
        <v>3531</v>
      </c>
      <c r="U1284" t="s">
        <v>122</v>
      </c>
    </row>
    <row r="1285" spans="1:21" ht="15" customHeight="1" x14ac:dyDescent="0.3">
      <c r="A1285" t="s">
        <v>179</v>
      </c>
      <c r="B1285" t="str">
        <f>"00055247"</f>
        <v>00055247</v>
      </c>
      <c r="C1285" t="s">
        <v>4266</v>
      </c>
      <c r="D1285" t="s">
        <v>1355</v>
      </c>
      <c r="E1285" t="str">
        <f>"00044686"</f>
        <v>00044686</v>
      </c>
      <c r="F1285">
        <v>0</v>
      </c>
      <c r="G1285" s="243">
        <v>36390</v>
      </c>
      <c r="H1285" t="s">
        <v>182</v>
      </c>
      <c r="I1285">
        <v>15</v>
      </c>
      <c r="J1285">
        <v>14</v>
      </c>
      <c r="K1285">
        <v>1</v>
      </c>
      <c r="L1285">
        <v>96460</v>
      </c>
      <c r="M1285" t="str">
        <f t="shared" si="186"/>
        <v>13</v>
      </c>
      <c r="N1285" t="s">
        <v>3323</v>
      </c>
      <c r="O1285" t="str">
        <f t="shared" si="189"/>
        <v>55311</v>
      </c>
      <c r="P1285" t="str">
        <f>"2300L"</f>
        <v>2300L</v>
      </c>
      <c r="Q1285" t="str">
        <f t="shared" si="188"/>
        <v>0101</v>
      </c>
      <c r="R1285">
        <v>2300</v>
      </c>
      <c r="S1285" t="str">
        <f t="shared" si="190"/>
        <v>5530</v>
      </c>
      <c r="T1285" t="s">
        <v>3531</v>
      </c>
      <c r="U1285" t="s">
        <v>122</v>
      </c>
    </row>
    <row r="1286" spans="1:21" ht="15" customHeight="1" x14ac:dyDescent="0.3">
      <c r="A1286" t="s">
        <v>179</v>
      </c>
      <c r="B1286" t="str">
        <f>"00057093"</f>
        <v>00057093</v>
      </c>
      <c r="C1286" t="s">
        <v>4262</v>
      </c>
      <c r="D1286" t="s">
        <v>4698</v>
      </c>
      <c r="E1286" t="str">
        <f>"00055093"</f>
        <v>00055093</v>
      </c>
      <c r="F1286">
        <v>0</v>
      </c>
      <c r="G1286" s="243">
        <v>38587</v>
      </c>
      <c r="H1286" t="s">
        <v>182</v>
      </c>
      <c r="I1286">
        <v>15</v>
      </c>
      <c r="J1286">
        <v>11</v>
      </c>
      <c r="K1286">
        <v>1</v>
      </c>
      <c r="L1286">
        <v>81335</v>
      </c>
      <c r="M1286" t="str">
        <f t="shared" si="186"/>
        <v>13</v>
      </c>
      <c r="N1286" t="s">
        <v>3323</v>
      </c>
      <c r="O1286" t="str">
        <f t="shared" si="189"/>
        <v>55311</v>
      </c>
      <c r="P1286" t="str">
        <f>"2100L"</f>
        <v>2100L</v>
      </c>
      <c r="Q1286" t="str">
        <f t="shared" si="188"/>
        <v>0101</v>
      </c>
      <c r="R1286">
        <v>2100</v>
      </c>
      <c r="S1286" t="str">
        <f t="shared" si="190"/>
        <v>5530</v>
      </c>
      <c r="T1286" t="s">
        <v>3531</v>
      </c>
      <c r="U1286" t="s">
        <v>122</v>
      </c>
    </row>
    <row r="1287" spans="1:21" ht="15" customHeight="1" x14ac:dyDescent="0.3">
      <c r="A1287" t="s">
        <v>179</v>
      </c>
      <c r="B1287" t="str">
        <f>"00057396"</f>
        <v>00057396</v>
      </c>
      <c r="C1287" t="s">
        <v>4274</v>
      </c>
      <c r="D1287" t="s">
        <v>4699</v>
      </c>
      <c r="E1287" t="str">
        <f>"00009633"</f>
        <v>00009633</v>
      </c>
      <c r="F1287">
        <v>2</v>
      </c>
      <c r="G1287" s="243">
        <v>36768</v>
      </c>
      <c r="H1287" t="s">
        <v>182</v>
      </c>
      <c r="I1287">
        <v>4</v>
      </c>
      <c r="J1287">
        <v>9</v>
      </c>
      <c r="K1287">
        <v>0.875</v>
      </c>
      <c r="L1287">
        <v>28025.38</v>
      </c>
      <c r="M1287" t="str">
        <f t="shared" si="186"/>
        <v>13</v>
      </c>
      <c r="N1287" t="s">
        <v>3323</v>
      </c>
      <c r="O1287" t="str">
        <f t="shared" si="189"/>
        <v>55311</v>
      </c>
      <c r="P1287" t="str">
        <f>"2200L"</f>
        <v>2200L</v>
      </c>
      <c r="Q1287" t="str">
        <f t="shared" si="188"/>
        <v>0101</v>
      </c>
      <c r="R1287">
        <v>2200</v>
      </c>
      <c r="S1287" t="str">
        <f t="shared" si="190"/>
        <v>5530</v>
      </c>
      <c r="T1287" t="s">
        <v>3531</v>
      </c>
      <c r="U1287" t="s">
        <v>122</v>
      </c>
    </row>
    <row r="1288" spans="1:21" ht="15" customHeight="1" x14ac:dyDescent="0.3">
      <c r="A1288" t="s">
        <v>179</v>
      </c>
      <c r="B1288" t="str">
        <f>"00057944"</f>
        <v>00057944</v>
      </c>
      <c r="C1288" t="s">
        <v>3798</v>
      </c>
      <c r="D1288" t="s">
        <v>1356</v>
      </c>
      <c r="E1288" t="str">
        <f>"00049327"</f>
        <v>00049327</v>
      </c>
      <c r="F1288">
        <v>0</v>
      </c>
      <c r="G1288" s="243">
        <v>35744</v>
      </c>
      <c r="H1288" t="s">
        <v>182</v>
      </c>
      <c r="I1288">
        <v>61</v>
      </c>
      <c r="J1288">
        <v>10</v>
      </c>
      <c r="K1288">
        <v>1</v>
      </c>
      <c r="L1288">
        <v>137000</v>
      </c>
      <c r="M1288" t="str">
        <f t="shared" si="186"/>
        <v>13</v>
      </c>
      <c r="N1288" t="s">
        <v>3323</v>
      </c>
      <c r="O1288" t="str">
        <f t="shared" si="189"/>
        <v>55311</v>
      </c>
      <c r="P1288" t="str">
        <f>"1501L"</f>
        <v>1501L</v>
      </c>
      <c r="Q1288" t="str">
        <f t="shared" si="188"/>
        <v>0101</v>
      </c>
      <c r="R1288">
        <v>1501</v>
      </c>
      <c r="S1288" t="str">
        <f t="shared" si="190"/>
        <v>5530</v>
      </c>
      <c r="T1288" t="s">
        <v>3531</v>
      </c>
      <c r="U1288" t="s">
        <v>122</v>
      </c>
    </row>
    <row r="1289" spans="1:21" ht="15" customHeight="1" x14ac:dyDescent="0.3">
      <c r="A1289" t="s">
        <v>179</v>
      </c>
      <c r="B1289" t="str">
        <f>"00057955"</f>
        <v>00057955</v>
      </c>
      <c r="C1289" t="s">
        <v>4262</v>
      </c>
      <c r="D1289" t="s">
        <v>4700</v>
      </c>
      <c r="E1289" t="str">
        <f>"00045816"</f>
        <v>00045816</v>
      </c>
      <c r="F1289">
        <v>0</v>
      </c>
      <c r="G1289" s="243">
        <v>41133</v>
      </c>
      <c r="H1289" t="s">
        <v>182</v>
      </c>
      <c r="I1289">
        <v>15</v>
      </c>
      <c r="J1289">
        <v>10</v>
      </c>
      <c r="K1289">
        <v>1</v>
      </c>
      <c r="L1289">
        <v>80729</v>
      </c>
      <c r="M1289" t="str">
        <f t="shared" si="186"/>
        <v>13</v>
      </c>
      <c r="N1289" t="s">
        <v>3370</v>
      </c>
      <c r="O1289" t="str">
        <f t="shared" si="189"/>
        <v>55311</v>
      </c>
      <c r="P1289" t="str">
        <f>"2100L"</f>
        <v>2100L</v>
      </c>
      <c r="Q1289" t="str">
        <f t="shared" si="188"/>
        <v>0101</v>
      </c>
      <c r="R1289">
        <v>2100</v>
      </c>
      <c r="S1289" t="str">
        <f t="shared" si="190"/>
        <v>5530</v>
      </c>
      <c r="T1289" t="s">
        <v>3531</v>
      </c>
      <c r="U1289" t="s">
        <v>122</v>
      </c>
    </row>
    <row r="1290" spans="1:21" ht="15" customHeight="1" x14ac:dyDescent="0.3">
      <c r="A1290" t="s">
        <v>179</v>
      </c>
      <c r="B1290" t="str">
        <f>"00057957"</f>
        <v>00057957</v>
      </c>
      <c r="C1290" t="s">
        <v>4262</v>
      </c>
      <c r="D1290" t="s">
        <v>1357</v>
      </c>
      <c r="E1290" t="str">
        <f>"00044777"</f>
        <v>00044777</v>
      </c>
      <c r="F1290">
        <v>0</v>
      </c>
      <c r="G1290" s="243">
        <v>38702</v>
      </c>
      <c r="H1290" t="s">
        <v>182</v>
      </c>
      <c r="I1290">
        <v>15</v>
      </c>
      <c r="J1290">
        <v>10</v>
      </c>
      <c r="K1290">
        <v>1</v>
      </c>
      <c r="L1290">
        <v>78273</v>
      </c>
      <c r="M1290" t="str">
        <f t="shared" si="186"/>
        <v>13</v>
      </c>
      <c r="N1290" t="s">
        <v>3323</v>
      </c>
      <c r="O1290" t="str">
        <f t="shared" si="189"/>
        <v>55311</v>
      </c>
      <c r="P1290" t="str">
        <f>"2100L"</f>
        <v>2100L</v>
      </c>
      <c r="Q1290" t="str">
        <f t="shared" si="188"/>
        <v>0101</v>
      </c>
      <c r="R1290">
        <v>2100</v>
      </c>
      <c r="S1290" t="str">
        <f t="shared" si="190"/>
        <v>5530</v>
      </c>
      <c r="T1290" t="s">
        <v>3531</v>
      </c>
      <c r="U1290" t="s">
        <v>122</v>
      </c>
    </row>
    <row r="1291" spans="1:21" ht="15" customHeight="1" x14ac:dyDescent="0.3">
      <c r="A1291" t="s">
        <v>179</v>
      </c>
      <c r="B1291" t="str">
        <f>"00057986"</f>
        <v>00057986</v>
      </c>
      <c r="C1291" t="s">
        <v>4262</v>
      </c>
      <c r="D1291" t="s">
        <v>1358</v>
      </c>
      <c r="E1291" t="str">
        <f>"00049497"</f>
        <v>00049497</v>
      </c>
      <c r="F1291">
        <v>0</v>
      </c>
      <c r="G1291" s="243">
        <v>37124</v>
      </c>
      <c r="H1291" t="s">
        <v>182</v>
      </c>
      <c r="I1291">
        <v>15</v>
      </c>
      <c r="J1291">
        <v>16</v>
      </c>
      <c r="K1291">
        <v>1</v>
      </c>
      <c r="L1291">
        <v>100839</v>
      </c>
      <c r="M1291" t="str">
        <f t="shared" si="186"/>
        <v>13</v>
      </c>
      <c r="N1291" t="s">
        <v>3323</v>
      </c>
      <c r="O1291" t="str">
        <f t="shared" si="189"/>
        <v>55311</v>
      </c>
      <c r="P1291" t="str">
        <f>"2100L"</f>
        <v>2100L</v>
      </c>
      <c r="Q1291" t="str">
        <f t="shared" si="188"/>
        <v>0101</v>
      </c>
      <c r="R1291">
        <v>2100</v>
      </c>
      <c r="S1291" t="str">
        <f t="shared" si="190"/>
        <v>5530</v>
      </c>
      <c r="T1291" t="s">
        <v>3531</v>
      </c>
      <c r="U1291" t="s">
        <v>122</v>
      </c>
    </row>
    <row r="1292" spans="1:21" ht="15" customHeight="1" x14ac:dyDescent="0.3">
      <c r="A1292" t="s">
        <v>179</v>
      </c>
      <c r="B1292" t="str">
        <f>"00058415"</f>
        <v>00058415</v>
      </c>
      <c r="C1292" t="s">
        <v>4262</v>
      </c>
      <c r="D1292" t="s">
        <v>1359</v>
      </c>
      <c r="E1292" t="str">
        <f>"00050698"</f>
        <v>00050698</v>
      </c>
      <c r="F1292">
        <v>0</v>
      </c>
      <c r="G1292" s="243">
        <v>38951</v>
      </c>
      <c r="H1292" t="s">
        <v>182</v>
      </c>
      <c r="I1292">
        <v>15</v>
      </c>
      <c r="J1292">
        <v>10</v>
      </c>
      <c r="K1292">
        <v>1</v>
      </c>
      <c r="L1292">
        <v>78273</v>
      </c>
      <c r="M1292" t="str">
        <f t="shared" si="186"/>
        <v>13</v>
      </c>
      <c r="N1292" t="s">
        <v>3323</v>
      </c>
      <c r="O1292" t="str">
        <f t="shared" si="189"/>
        <v>55311</v>
      </c>
      <c r="P1292" t="str">
        <f>"2100L"</f>
        <v>2100L</v>
      </c>
      <c r="Q1292" t="str">
        <f t="shared" si="188"/>
        <v>0101</v>
      </c>
      <c r="R1292">
        <v>2100</v>
      </c>
      <c r="S1292" t="str">
        <f t="shared" si="190"/>
        <v>5530</v>
      </c>
      <c r="T1292" t="s">
        <v>3531</v>
      </c>
      <c r="U1292" t="s">
        <v>122</v>
      </c>
    </row>
    <row r="1293" spans="1:21" ht="15" customHeight="1" x14ac:dyDescent="0.3">
      <c r="A1293" t="s">
        <v>179</v>
      </c>
      <c r="B1293" t="str">
        <f>"00059362"</f>
        <v>00059362</v>
      </c>
      <c r="C1293" t="s">
        <v>4262</v>
      </c>
      <c r="D1293" t="s">
        <v>1360</v>
      </c>
      <c r="E1293" t="str">
        <f>"00047821"</f>
        <v>00047821</v>
      </c>
      <c r="F1293">
        <v>0</v>
      </c>
      <c r="G1293" s="243">
        <v>38587</v>
      </c>
      <c r="H1293" t="s">
        <v>182</v>
      </c>
      <c r="I1293">
        <v>15</v>
      </c>
      <c r="J1293">
        <v>9</v>
      </c>
      <c r="K1293">
        <v>1</v>
      </c>
      <c r="L1293">
        <v>75232</v>
      </c>
      <c r="M1293" t="str">
        <f t="shared" si="186"/>
        <v>13</v>
      </c>
      <c r="N1293" t="s">
        <v>3323</v>
      </c>
      <c r="O1293" t="str">
        <f t="shared" si="189"/>
        <v>55311</v>
      </c>
      <c r="P1293" t="str">
        <f>"2100L"</f>
        <v>2100L</v>
      </c>
      <c r="Q1293" t="str">
        <f t="shared" si="188"/>
        <v>0101</v>
      </c>
      <c r="R1293">
        <v>2100</v>
      </c>
      <c r="S1293" t="str">
        <f t="shared" si="190"/>
        <v>5530</v>
      </c>
      <c r="T1293" t="s">
        <v>3531</v>
      </c>
      <c r="U1293" t="s">
        <v>122</v>
      </c>
    </row>
    <row r="1294" spans="1:21" ht="15" customHeight="1" x14ac:dyDescent="0.3">
      <c r="A1294" t="s">
        <v>179</v>
      </c>
      <c r="B1294" t="str">
        <f>"00060181"</f>
        <v>00060181</v>
      </c>
      <c r="C1294" t="s">
        <v>4274</v>
      </c>
      <c r="D1294" t="s">
        <v>4701</v>
      </c>
      <c r="E1294" t="str">
        <f>"00067616"</f>
        <v>00067616</v>
      </c>
      <c r="F1294">
        <v>0</v>
      </c>
      <c r="G1294" s="243">
        <v>40931</v>
      </c>
      <c r="H1294" t="s">
        <v>182</v>
      </c>
      <c r="I1294">
        <v>4</v>
      </c>
      <c r="J1294">
        <v>4</v>
      </c>
      <c r="K1294">
        <v>0.875</v>
      </c>
      <c r="L1294">
        <v>24543.75</v>
      </c>
      <c r="M1294" t="str">
        <f t="shared" si="186"/>
        <v>13</v>
      </c>
      <c r="N1294" t="s">
        <v>3323</v>
      </c>
      <c r="O1294" t="str">
        <f t="shared" si="189"/>
        <v>55311</v>
      </c>
      <c r="P1294" t="str">
        <f>"2200L"</f>
        <v>2200L</v>
      </c>
      <c r="Q1294" t="str">
        <f t="shared" si="188"/>
        <v>0101</v>
      </c>
      <c r="R1294">
        <v>2200</v>
      </c>
      <c r="S1294" t="str">
        <f t="shared" si="190"/>
        <v>5530</v>
      </c>
      <c r="T1294" t="s">
        <v>3531</v>
      </c>
      <c r="U1294" t="s">
        <v>122</v>
      </c>
    </row>
    <row r="1295" spans="1:21" ht="15" customHeight="1" x14ac:dyDescent="0.3">
      <c r="A1295" t="s">
        <v>179</v>
      </c>
      <c r="B1295" t="str">
        <f>"00060292"</f>
        <v>00060292</v>
      </c>
      <c r="C1295" t="s">
        <v>4260</v>
      </c>
      <c r="D1295" t="s">
        <v>1361</v>
      </c>
      <c r="E1295" t="str">
        <f>"00045005"</f>
        <v>00045005</v>
      </c>
      <c r="F1295">
        <v>0</v>
      </c>
      <c r="G1295" s="243">
        <v>38587</v>
      </c>
      <c r="H1295" t="s">
        <v>182</v>
      </c>
      <c r="I1295">
        <v>15</v>
      </c>
      <c r="J1295">
        <v>13</v>
      </c>
      <c r="K1295">
        <v>1</v>
      </c>
      <c r="L1295">
        <v>95366</v>
      </c>
      <c r="M1295" t="str">
        <f t="shared" si="186"/>
        <v>13</v>
      </c>
      <c r="N1295" t="s">
        <v>3323</v>
      </c>
      <c r="O1295" t="str">
        <f t="shared" si="189"/>
        <v>55311</v>
      </c>
      <c r="P1295" t="str">
        <f>"2100L"</f>
        <v>2100L</v>
      </c>
      <c r="Q1295" t="str">
        <f t="shared" si="188"/>
        <v>0101</v>
      </c>
      <c r="R1295">
        <v>2100</v>
      </c>
      <c r="S1295" t="str">
        <f t="shared" si="190"/>
        <v>5530</v>
      </c>
      <c r="T1295" t="s">
        <v>3531</v>
      </c>
      <c r="U1295" t="s">
        <v>122</v>
      </c>
    </row>
    <row r="1296" spans="1:21" ht="15" customHeight="1" x14ac:dyDescent="0.3">
      <c r="A1296" t="s">
        <v>179</v>
      </c>
      <c r="B1296" t="str">
        <f>"00060978"</f>
        <v>00060978</v>
      </c>
      <c r="C1296" t="s">
        <v>4262</v>
      </c>
      <c r="D1296" t="s">
        <v>4702</v>
      </c>
      <c r="E1296" t="str">
        <f>"00066187"</f>
        <v>00066187</v>
      </c>
      <c r="F1296">
        <v>0</v>
      </c>
      <c r="G1296" s="243">
        <v>40770</v>
      </c>
      <c r="H1296" t="s">
        <v>182</v>
      </c>
      <c r="I1296">
        <v>15</v>
      </c>
      <c r="J1296">
        <v>1</v>
      </c>
      <c r="K1296">
        <v>1</v>
      </c>
      <c r="L1296">
        <v>51539</v>
      </c>
      <c r="M1296" t="str">
        <f t="shared" si="186"/>
        <v>13</v>
      </c>
      <c r="N1296" t="s">
        <v>3370</v>
      </c>
      <c r="O1296" t="str">
        <f t="shared" si="189"/>
        <v>55311</v>
      </c>
      <c r="P1296" t="str">
        <f>"2100L"</f>
        <v>2100L</v>
      </c>
      <c r="Q1296" t="str">
        <f t="shared" si="188"/>
        <v>0101</v>
      </c>
      <c r="R1296">
        <v>2100</v>
      </c>
      <c r="S1296" t="str">
        <f t="shared" si="190"/>
        <v>5530</v>
      </c>
      <c r="T1296" t="s">
        <v>3531</v>
      </c>
      <c r="U1296" t="s">
        <v>122</v>
      </c>
    </row>
    <row r="1297" spans="1:21" ht="15" customHeight="1" x14ac:dyDescent="0.3">
      <c r="A1297" t="s">
        <v>179</v>
      </c>
      <c r="B1297" t="str">
        <f>"00061003"</f>
        <v>00061003</v>
      </c>
      <c r="C1297" t="s">
        <v>4272</v>
      </c>
      <c r="D1297" t="s">
        <v>4703</v>
      </c>
      <c r="E1297" t="str">
        <f>"00045756"</f>
        <v>00045756</v>
      </c>
      <c r="F1297">
        <v>0</v>
      </c>
      <c r="G1297" s="243">
        <v>39314</v>
      </c>
      <c r="H1297" t="s">
        <v>182</v>
      </c>
      <c r="I1297">
        <v>15</v>
      </c>
      <c r="J1297">
        <v>6</v>
      </c>
      <c r="K1297">
        <v>1</v>
      </c>
      <c r="L1297">
        <v>66078</v>
      </c>
      <c r="M1297" t="str">
        <f t="shared" si="186"/>
        <v>13</v>
      </c>
      <c r="N1297" t="s">
        <v>3323</v>
      </c>
      <c r="O1297" t="str">
        <f t="shared" si="189"/>
        <v>55311</v>
      </c>
      <c r="P1297" t="str">
        <f>"2100L"</f>
        <v>2100L</v>
      </c>
      <c r="Q1297" t="str">
        <f t="shared" si="188"/>
        <v>0101</v>
      </c>
      <c r="R1297">
        <v>2100</v>
      </c>
      <c r="S1297" t="str">
        <f t="shared" si="190"/>
        <v>5530</v>
      </c>
      <c r="T1297" t="s">
        <v>3531</v>
      </c>
      <c r="U1297" t="s">
        <v>122</v>
      </c>
    </row>
    <row r="1298" spans="1:21" ht="15" customHeight="1" x14ac:dyDescent="0.3">
      <c r="A1298" t="s">
        <v>179</v>
      </c>
      <c r="B1298" t="str">
        <f>"00061062"</f>
        <v>00061062</v>
      </c>
      <c r="C1298" t="s">
        <v>4262</v>
      </c>
      <c r="D1298" t="s">
        <v>1362</v>
      </c>
      <c r="E1298" t="str">
        <f>"00049038"</f>
        <v>00049038</v>
      </c>
      <c r="F1298">
        <v>0</v>
      </c>
      <c r="G1298" s="243">
        <v>39314</v>
      </c>
      <c r="H1298" t="s">
        <v>182</v>
      </c>
      <c r="I1298">
        <v>15</v>
      </c>
      <c r="J1298">
        <v>12</v>
      </c>
      <c r="K1298">
        <v>1</v>
      </c>
      <c r="L1298">
        <v>75816</v>
      </c>
      <c r="M1298" t="str">
        <f t="shared" si="186"/>
        <v>13</v>
      </c>
      <c r="N1298" t="s">
        <v>3323</v>
      </c>
      <c r="O1298" t="str">
        <f t="shared" si="189"/>
        <v>55311</v>
      </c>
      <c r="P1298" t="str">
        <f>"2100L"</f>
        <v>2100L</v>
      </c>
      <c r="Q1298" t="str">
        <f t="shared" si="188"/>
        <v>0101</v>
      </c>
      <c r="R1298">
        <v>2100</v>
      </c>
      <c r="S1298" t="str">
        <f t="shared" si="190"/>
        <v>5530</v>
      </c>
      <c r="T1298" t="s">
        <v>3531</v>
      </c>
      <c r="U1298" t="s">
        <v>122</v>
      </c>
    </row>
    <row r="1299" spans="1:21" ht="15" customHeight="1" x14ac:dyDescent="0.3">
      <c r="A1299" t="s">
        <v>179</v>
      </c>
      <c r="B1299" t="str">
        <f>"00061159"</f>
        <v>00061159</v>
      </c>
      <c r="C1299" t="s">
        <v>4262</v>
      </c>
      <c r="D1299" t="s">
        <v>4704</v>
      </c>
      <c r="E1299" t="str">
        <f>"00069518"</f>
        <v>00069518</v>
      </c>
      <c r="F1299">
        <v>0</v>
      </c>
      <c r="G1299" s="243">
        <v>41133</v>
      </c>
      <c r="H1299" t="s">
        <v>182</v>
      </c>
      <c r="I1299">
        <v>15</v>
      </c>
      <c r="J1299">
        <v>1</v>
      </c>
      <c r="K1299">
        <v>1</v>
      </c>
      <c r="L1299">
        <v>54975</v>
      </c>
      <c r="M1299" t="str">
        <f t="shared" si="186"/>
        <v>13</v>
      </c>
      <c r="N1299" t="s">
        <v>3370</v>
      </c>
      <c r="O1299" t="str">
        <f t="shared" si="189"/>
        <v>55311</v>
      </c>
      <c r="P1299" t="str">
        <f>"2100L"</f>
        <v>2100L</v>
      </c>
      <c r="Q1299" t="str">
        <f t="shared" si="188"/>
        <v>0101</v>
      </c>
      <c r="R1299">
        <v>2100</v>
      </c>
      <c r="S1299" t="str">
        <f t="shared" si="190"/>
        <v>5530</v>
      </c>
      <c r="T1299" t="s">
        <v>3531</v>
      </c>
      <c r="U1299" t="s">
        <v>122</v>
      </c>
    </row>
    <row r="1300" spans="1:21" ht="15" customHeight="1" x14ac:dyDescent="0.3">
      <c r="A1300" t="s">
        <v>179</v>
      </c>
      <c r="B1300" t="str">
        <f>"00061282"</f>
        <v>00061282</v>
      </c>
      <c r="C1300" t="s">
        <v>4272</v>
      </c>
      <c r="D1300" t="s">
        <v>1363</v>
      </c>
      <c r="E1300" t="str">
        <f>"00062822"</f>
        <v>00062822</v>
      </c>
      <c r="F1300">
        <v>0</v>
      </c>
      <c r="G1300" s="243">
        <v>40406</v>
      </c>
      <c r="H1300" t="s">
        <v>182</v>
      </c>
      <c r="I1300">
        <v>15</v>
      </c>
      <c r="J1300">
        <v>11</v>
      </c>
      <c r="K1300">
        <v>1</v>
      </c>
      <c r="L1300">
        <v>81335</v>
      </c>
      <c r="M1300" t="str">
        <f t="shared" si="186"/>
        <v>13</v>
      </c>
      <c r="N1300" t="s">
        <v>3323</v>
      </c>
      <c r="O1300" t="str">
        <f t="shared" si="189"/>
        <v>55311</v>
      </c>
      <c r="P1300" t="str">
        <f>"2200L"</f>
        <v>2200L</v>
      </c>
      <c r="Q1300" t="str">
        <f t="shared" si="188"/>
        <v>0101</v>
      </c>
      <c r="R1300">
        <v>2200</v>
      </c>
      <c r="S1300" t="str">
        <f t="shared" si="190"/>
        <v>5530</v>
      </c>
      <c r="T1300" t="s">
        <v>3531</v>
      </c>
      <c r="U1300" t="s">
        <v>122</v>
      </c>
    </row>
    <row r="1301" spans="1:21" ht="15" customHeight="1" x14ac:dyDescent="0.3">
      <c r="A1301" t="s">
        <v>179</v>
      </c>
      <c r="B1301" t="str">
        <f>"00061912"</f>
        <v>00061912</v>
      </c>
      <c r="C1301" t="s">
        <v>4262</v>
      </c>
      <c r="D1301" t="s">
        <v>1364</v>
      </c>
      <c r="E1301" t="str">
        <f>"00055110"</f>
        <v>00055110</v>
      </c>
      <c r="F1301">
        <v>0</v>
      </c>
      <c r="G1301" s="243">
        <v>39678</v>
      </c>
      <c r="H1301" t="s">
        <v>182</v>
      </c>
      <c r="I1301">
        <v>15</v>
      </c>
      <c r="J1301">
        <v>9</v>
      </c>
      <c r="K1301">
        <v>1</v>
      </c>
      <c r="L1301">
        <v>75232</v>
      </c>
      <c r="M1301" t="str">
        <f t="shared" si="186"/>
        <v>13</v>
      </c>
      <c r="N1301" t="s">
        <v>3323</v>
      </c>
      <c r="O1301" t="str">
        <f t="shared" si="189"/>
        <v>55311</v>
      </c>
      <c r="P1301" t="str">
        <f t="shared" ref="P1301:P1307" si="191">"2100L"</f>
        <v>2100L</v>
      </c>
      <c r="Q1301" t="str">
        <f t="shared" si="188"/>
        <v>0101</v>
      </c>
      <c r="R1301">
        <v>2100</v>
      </c>
      <c r="S1301" t="str">
        <f t="shared" si="190"/>
        <v>5530</v>
      </c>
      <c r="T1301" t="s">
        <v>3531</v>
      </c>
      <c r="U1301" t="s">
        <v>122</v>
      </c>
    </row>
    <row r="1302" spans="1:21" ht="15" customHeight="1" x14ac:dyDescent="0.3">
      <c r="A1302" t="s">
        <v>179</v>
      </c>
      <c r="B1302" t="str">
        <f>"00061913"</f>
        <v>00061913</v>
      </c>
      <c r="C1302" t="s">
        <v>4262</v>
      </c>
      <c r="D1302" t="s">
        <v>1365</v>
      </c>
      <c r="E1302" t="str">
        <f>"00044517"</f>
        <v>00044517</v>
      </c>
      <c r="F1302">
        <v>0</v>
      </c>
      <c r="G1302" s="243">
        <v>39679</v>
      </c>
      <c r="H1302" t="s">
        <v>182</v>
      </c>
      <c r="I1302">
        <v>15</v>
      </c>
      <c r="J1302">
        <v>8</v>
      </c>
      <c r="K1302">
        <v>1</v>
      </c>
      <c r="L1302">
        <v>72171</v>
      </c>
      <c r="M1302" t="str">
        <f t="shared" si="186"/>
        <v>13</v>
      </c>
      <c r="N1302" t="s">
        <v>3323</v>
      </c>
      <c r="O1302" t="str">
        <f t="shared" si="189"/>
        <v>55311</v>
      </c>
      <c r="P1302" t="str">
        <f t="shared" si="191"/>
        <v>2100L</v>
      </c>
      <c r="Q1302" t="str">
        <f t="shared" si="188"/>
        <v>0101</v>
      </c>
      <c r="R1302">
        <v>2100</v>
      </c>
      <c r="S1302" t="str">
        <f t="shared" si="190"/>
        <v>5530</v>
      </c>
      <c r="T1302" t="s">
        <v>3531</v>
      </c>
      <c r="U1302" t="s">
        <v>122</v>
      </c>
    </row>
    <row r="1303" spans="1:21" ht="15" customHeight="1" x14ac:dyDescent="0.3">
      <c r="A1303" t="s">
        <v>179</v>
      </c>
      <c r="B1303" t="str">
        <f>"00061914"</f>
        <v>00061914</v>
      </c>
      <c r="C1303" t="s">
        <v>4262</v>
      </c>
      <c r="D1303" t="s">
        <v>1366</v>
      </c>
      <c r="E1303" t="str">
        <f>"00046523"</f>
        <v>00046523</v>
      </c>
      <c r="F1303">
        <v>0</v>
      </c>
      <c r="G1303" s="243">
        <v>39677</v>
      </c>
      <c r="H1303" t="s">
        <v>182</v>
      </c>
      <c r="I1303">
        <v>15</v>
      </c>
      <c r="J1303">
        <v>5</v>
      </c>
      <c r="K1303">
        <v>1</v>
      </c>
      <c r="L1303">
        <v>63611</v>
      </c>
      <c r="M1303" t="str">
        <f t="shared" si="186"/>
        <v>13</v>
      </c>
      <c r="N1303" t="s">
        <v>3323</v>
      </c>
      <c r="O1303" t="str">
        <f t="shared" si="189"/>
        <v>55311</v>
      </c>
      <c r="P1303" t="str">
        <f t="shared" si="191"/>
        <v>2100L</v>
      </c>
      <c r="Q1303" t="str">
        <f t="shared" si="188"/>
        <v>0101</v>
      </c>
      <c r="R1303">
        <v>2100</v>
      </c>
      <c r="S1303" t="str">
        <f t="shared" si="190"/>
        <v>5530</v>
      </c>
      <c r="T1303" t="s">
        <v>3531</v>
      </c>
      <c r="U1303" t="s">
        <v>122</v>
      </c>
    </row>
    <row r="1304" spans="1:21" ht="15" customHeight="1" x14ac:dyDescent="0.3">
      <c r="A1304" t="s">
        <v>179</v>
      </c>
      <c r="B1304" t="str">
        <f>"00062057"</f>
        <v>00062057</v>
      </c>
      <c r="C1304" t="s">
        <v>4262</v>
      </c>
      <c r="D1304" t="s">
        <v>1367</v>
      </c>
      <c r="E1304" t="str">
        <f>"00055145"</f>
        <v>00055145</v>
      </c>
      <c r="F1304">
        <v>0</v>
      </c>
      <c r="G1304" s="243">
        <v>39679</v>
      </c>
      <c r="H1304" t="s">
        <v>182</v>
      </c>
      <c r="I1304">
        <v>15</v>
      </c>
      <c r="J1304">
        <v>9</v>
      </c>
      <c r="K1304">
        <v>1</v>
      </c>
      <c r="L1304">
        <v>75232</v>
      </c>
      <c r="M1304" t="str">
        <f t="shared" si="186"/>
        <v>13</v>
      </c>
      <c r="N1304" t="s">
        <v>3323</v>
      </c>
      <c r="O1304" t="str">
        <f t="shared" si="189"/>
        <v>55311</v>
      </c>
      <c r="P1304" t="str">
        <f t="shared" si="191"/>
        <v>2100L</v>
      </c>
      <c r="Q1304" t="str">
        <f t="shared" si="188"/>
        <v>0101</v>
      </c>
      <c r="R1304">
        <v>2100</v>
      </c>
      <c r="S1304" t="str">
        <f t="shared" si="190"/>
        <v>5530</v>
      </c>
      <c r="T1304" t="s">
        <v>3531</v>
      </c>
      <c r="U1304" t="s">
        <v>122</v>
      </c>
    </row>
    <row r="1305" spans="1:21" ht="15" customHeight="1" x14ac:dyDescent="0.3">
      <c r="A1305" t="s">
        <v>179</v>
      </c>
      <c r="B1305" t="str">
        <f>"00065810"</f>
        <v>00065810</v>
      </c>
      <c r="C1305" t="s">
        <v>4262</v>
      </c>
      <c r="D1305" t="s">
        <v>817</v>
      </c>
      <c r="E1305" t="str">
        <f>"00063059"</f>
        <v>00063059</v>
      </c>
      <c r="F1305">
        <v>0</v>
      </c>
      <c r="G1305" s="243">
        <v>40406</v>
      </c>
      <c r="H1305" t="s">
        <v>182</v>
      </c>
      <c r="I1305">
        <v>15</v>
      </c>
      <c r="J1305">
        <v>5</v>
      </c>
      <c r="K1305">
        <v>1</v>
      </c>
      <c r="L1305">
        <v>56655</v>
      </c>
      <c r="M1305" t="str">
        <f t="shared" si="186"/>
        <v>13</v>
      </c>
      <c r="N1305" t="s">
        <v>3370</v>
      </c>
      <c r="O1305" t="str">
        <f t="shared" si="189"/>
        <v>55311</v>
      </c>
      <c r="P1305" t="str">
        <f t="shared" si="191"/>
        <v>2100L</v>
      </c>
      <c r="Q1305" t="str">
        <f t="shared" si="188"/>
        <v>0101</v>
      </c>
      <c r="R1305">
        <v>2100</v>
      </c>
      <c r="S1305" t="str">
        <f t="shared" si="190"/>
        <v>5530</v>
      </c>
      <c r="T1305" t="s">
        <v>3531</v>
      </c>
      <c r="U1305" t="s">
        <v>122</v>
      </c>
    </row>
    <row r="1306" spans="1:21" ht="15" customHeight="1" x14ac:dyDescent="0.3">
      <c r="A1306" t="s">
        <v>179</v>
      </c>
      <c r="B1306" t="str">
        <f>"00065811"</f>
        <v>00065811</v>
      </c>
      <c r="C1306" t="s">
        <v>4262</v>
      </c>
      <c r="H1306" t="s">
        <v>170</v>
      </c>
      <c r="I1306">
        <v>15</v>
      </c>
      <c r="J1306">
        <v>1</v>
      </c>
      <c r="K1306">
        <v>1</v>
      </c>
      <c r="L1306">
        <v>54975</v>
      </c>
      <c r="M1306" t="str">
        <f t="shared" si="186"/>
        <v>13</v>
      </c>
      <c r="N1306" t="s">
        <v>3370</v>
      </c>
      <c r="O1306" t="str">
        <f t="shared" si="189"/>
        <v>55311</v>
      </c>
      <c r="P1306" t="str">
        <f t="shared" si="191"/>
        <v>2100L</v>
      </c>
      <c r="Q1306" t="str">
        <f t="shared" si="188"/>
        <v>0101</v>
      </c>
      <c r="R1306">
        <v>2100</v>
      </c>
      <c r="S1306" t="str">
        <f t="shared" si="190"/>
        <v>5530</v>
      </c>
      <c r="T1306" t="s">
        <v>3531</v>
      </c>
      <c r="U1306" t="s">
        <v>122</v>
      </c>
    </row>
    <row r="1307" spans="1:21" ht="15" customHeight="1" x14ac:dyDescent="0.3">
      <c r="A1307" t="s">
        <v>179</v>
      </c>
      <c r="B1307" t="str">
        <f>"00065812"</f>
        <v>00065812</v>
      </c>
      <c r="C1307" t="s">
        <v>4272</v>
      </c>
      <c r="D1307" t="s">
        <v>3534</v>
      </c>
      <c r="E1307" t="str">
        <f>"00057197"</f>
        <v>00057197</v>
      </c>
      <c r="F1307">
        <v>0</v>
      </c>
      <c r="G1307" s="243">
        <v>40042</v>
      </c>
      <c r="H1307" t="s">
        <v>182</v>
      </c>
      <c r="I1307">
        <v>15</v>
      </c>
      <c r="J1307">
        <v>12</v>
      </c>
      <c r="K1307">
        <v>1</v>
      </c>
      <c r="L1307">
        <v>87431</v>
      </c>
      <c r="M1307" t="str">
        <f t="shared" si="186"/>
        <v>13</v>
      </c>
      <c r="N1307" t="s">
        <v>3323</v>
      </c>
      <c r="O1307" t="str">
        <f t="shared" si="189"/>
        <v>55311</v>
      </c>
      <c r="P1307" t="str">
        <f t="shared" si="191"/>
        <v>2100L</v>
      </c>
      <c r="Q1307" t="str">
        <f t="shared" si="188"/>
        <v>0101</v>
      </c>
      <c r="R1307">
        <v>2100</v>
      </c>
      <c r="S1307" t="str">
        <f t="shared" si="190"/>
        <v>5530</v>
      </c>
      <c r="T1307" t="s">
        <v>3531</v>
      </c>
      <c r="U1307" t="s">
        <v>122</v>
      </c>
    </row>
    <row r="1308" spans="1:21" ht="15" customHeight="1" x14ac:dyDescent="0.3">
      <c r="A1308" t="s">
        <v>179</v>
      </c>
      <c r="B1308" t="str">
        <f>"00065815"</f>
        <v>00065815</v>
      </c>
      <c r="C1308" t="s">
        <v>4260</v>
      </c>
      <c r="D1308" t="s">
        <v>1369</v>
      </c>
      <c r="E1308" t="str">
        <f>"00057087"</f>
        <v>00057087</v>
      </c>
      <c r="F1308">
        <v>0</v>
      </c>
      <c r="G1308" s="243">
        <v>40042</v>
      </c>
      <c r="H1308" t="s">
        <v>182</v>
      </c>
      <c r="I1308">
        <v>15</v>
      </c>
      <c r="J1308">
        <v>8</v>
      </c>
      <c r="K1308">
        <v>1</v>
      </c>
      <c r="L1308">
        <v>72171</v>
      </c>
      <c r="M1308" t="str">
        <f t="shared" si="186"/>
        <v>13</v>
      </c>
      <c r="N1308" t="s">
        <v>3323</v>
      </c>
      <c r="O1308" t="str">
        <f t="shared" si="189"/>
        <v>55311</v>
      </c>
      <c r="P1308" t="str">
        <f>"3030L"</f>
        <v>3030L</v>
      </c>
      <c r="Q1308" t="str">
        <f t="shared" si="188"/>
        <v>0101</v>
      </c>
      <c r="R1308">
        <v>3030</v>
      </c>
      <c r="S1308" t="str">
        <f t="shared" si="190"/>
        <v>5530</v>
      </c>
      <c r="T1308" t="s">
        <v>3531</v>
      </c>
      <c r="U1308" t="s">
        <v>122</v>
      </c>
    </row>
    <row r="1309" spans="1:21" ht="15" customHeight="1" x14ac:dyDescent="0.3">
      <c r="A1309" t="s">
        <v>179</v>
      </c>
      <c r="B1309" t="str">
        <f>"00066081"</f>
        <v>00066081</v>
      </c>
      <c r="C1309" t="s">
        <v>4274</v>
      </c>
      <c r="D1309" t="s">
        <v>4705</v>
      </c>
      <c r="E1309" t="str">
        <f>"00063069"</f>
        <v>00063069</v>
      </c>
      <c r="F1309">
        <v>0</v>
      </c>
      <c r="G1309" s="243">
        <v>40406</v>
      </c>
      <c r="H1309" t="s">
        <v>182</v>
      </c>
      <c r="I1309">
        <v>4</v>
      </c>
      <c r="J1309">
        <v>8</v>
      </c>
      <c r="K1309">
        <v>1</v>
      </c>
      <c r="L1309">
        <v>27329.75</v>
      </c>
      <c r="M1309" t="str">
        <f t="shared" si="186"/>
        <v>13</v>
      </c>
      <c r="N1309" t="s">
        <v>3323</v>
      </c>
      <c r="O1309" t="str">
        <f t="shared" si="189"/>
        <v>55311</v>
      </c>
      <c r="P1309" t="str">
        <f>"2200L"</f>
        <v>2200L</v>
      </c>
      <c r="Q1309" t="str">
        <f t="shared" si="188"/>
        <v>0101</v>
      </c>
      <c r="R1309">
        <v>2200</v>
      </c>
      <c r="S1309" t="str">
        <f t="shared" si="190"/>
        <v>5530</v>
      </c>
      <c r="T1309" t="s">
        <v>3531</v>
      </c>
      <c r="U1309" t="s">
        <v>122</v>
      </c>
    </row>
    <row r="1310" spans="1:21" ht="15" customHeight="1" x14ac:dyDescent="0.3">
      <c r="A1310" t="s">
        <v>179</v>
      </c>
      <c r="B1310" t="str">
        <f>"00066208"</f>
        <v>00066208</v>
      </c>
      <c r="C1310" t="s">
        <v>4274</v>
      </c>
      <c r="H1310" t="s">
        <v>170</v>
      </c>
      <c r="I1310">
        <v>4</v>
      </c>
      <c r="J1310">
        <v>1</v>
      </c>
      <c r="K1310">
        <v>1</v>
      </c>
      <c r="L1310">
        <v>25662</v>
      </c>
      <c r="M1310" t="str">
        <f t="shared" si="186"/>
        <v>13</v>
      </c>
      <c r="N1310" t="s">
        <v>3323</v>
      </c>
      <c r="O1310" t="str">
        <f t="shared" si="189"/>
        <v>55311</v>
      </c>
      <c r="P1310" t="str">
        <f>"2100L"</f>
        <v>2100L</v>
      </c>
      <c r="Q1310" t="str">
        <f t="shared" si="188"/>
        <v>0101</v>
      </c>
      <c r="R1310">
        <v>2100</v>
      </c>
      <c r="S1310" t="str">
        <f t="shared" si="190"/>
        <v>5530</v>
      </c>
      <c r="T1310" t="s">
        <v>3531</v>
      </c>
      <c r="U1310" t="s">
        <v>122</v>
      </c>
    </row>
    <row r="1311" spans="1:21" ht="15" customHeight="1" x14ac:dyDescent="0.3">
      <c r="A1311" t="s">
        <v>179</v>
      </c>
      <c r="B1311" t="str">
        <f>"00066882"</f>
        <v>00066882</v>
      </c>
      <c r="C1311" t="s">
        <v>4262</v>
      </c>
      <c r="D1311" t="s">
        <v>1371</v>
      </c>
      <c r="E1311" t="str">
        <f>"00056918"</f>
        <v>00056918</v>
      </c>
      <c r="F1311">
        <v>0</v>
      </c>
      <c r="G1311" s="243">
        <v>40042</v>
      </c>
      <c r="H1311" t="s">
        <v>182</v>
      </c>
      <c r="I1311">
        <v>15</v>
      </c>
      <c r="J1311">
        <v>10</v>
      </c>
      <c r="K1311">
        <v>1</v>
      </c>
      <c r="L1311">
        <v>78273</v>
      </c>
      <c r="M1311" t="str">
        <f t="shared" si="186"/>
        <v>13</v>
      </c>
      <c r="N1311" t="s">
        <v>3323</v>
      </c>
      <c r="O1311" t="str">
        <f t="shared" si="189"/>
        <v>55311</v>
      </c>
      <c r="P1311" t="str">
        <f>"2100L"</f>
        <v>2100L</v>
      </c>
      <c r="Q1311" t="str">
        <f t="shared" si="188"/>
        <v>0101</v>
      </c>
      <c r="R1311">
        <v>2100</v>
      </c>
      <c r="S1311" t="str">
        <f t="shared" si="190"/>
        <v>5530</v>
      </c>
      <c r="T1311" t="s">
        <v>3531</v>
      </c>
      <c r="U1311" t="s">
        <v>122</v>
      </c>
    </row>
    <row r="1312" spans="1:21" ht="15" customHeight="1" x14ac:dyDescent="0.3">
      <c r="A1312" t="s">
        <v>179</v>
      </c>
      <c r="B1312" t="str">
        <f>"00074220"</f>
        <v>00074220</v>
      </c>
      <c r="C1312" t="s">
        <v>4266</v>
      </c>
      <c r="D1312" t="s">
        <v>3535</v>
      </c>
      <c r="E1312" t="str">
        <f>"00065672"</f>
        <v>00065672</v>
      </c>
      <c r="F1312">
        <v>0</v>
      </c>
      <c r="G1312" s="243">
        <v>40755</v>
      </c>
      <c r="H1312" t="s">
        <v>182</v>
      </c>
      <c r="I1312">
        <v>15</v>
      </c>
      <c r="J1312">
        <v>2</v>
      </c>
      <c r="K1312">
        <v>1</v>
      </c>
      <c r="L1312">
        <v>56242</v>
      </c>
      <c r="M1312" t="str">
        <f t="shared" si="186"/>
        <v>13</v>
      </c>
      <c r="N1312" t="s">
        <v>3323</v>
      </c>
      <c r="O1312" t="str">
        <f t="shared" si="189"/>
        <v>55311</v>
      </c>
      <c r="P1312" t="str">
        <f>"2300L"</f>
        <v>2300L</v>
      </c>
      <c r="Q1312" t="str">
        <f t="shared" si="188"/>
        <v>0101</v>
      </c>
      <c r="R1312">
        <v>2300</v>
      </c>
      <c r="S1312" t="str">
        <f t="shared" si="190"/>
        <v>5530</v>
      </c>
      <c r="T1312" t="s">
        <v>3531</v>
      </c>
      <c r="U1312" t="s">
        <v>122</v>
      </c>
    </row>
    <row r="1313" spans="1:21" ht="15" customHeight="1" x14ac:dyDescent="0.3">
      <c r="A1313" t="s">
        <v>179</v>
      </c>
      <c r="B1313" t="str">
        <f>"00074238"</f>
        <v>00074238</v>
      </c>
      <c r="C1313" t="s">
        <v>200</v>
      </c>
      <c r="D1313" t="s">
        <v>3532</v>
      </c>
      <c r="E1313" t="str">
        <f>"00044987"</f>
        <v>00044987</v>
      </c>
      <c r="F1313">
        <v>0</v>
      </c>
      <c r="G1313" s="243">
        <v>36390</v>
      </c>
      <c r="H1313" t="s">
        <v>182</v>
      </c>
      <c r="I1313">
        <v>15</v>
      </c>
      <c r="J1313">
        <v>16</v>
      </c>
      <c r="K1313">
        <v>0.5</v>
      </c>
      <c r="L1313">
        <v>106540</v>
      </c>
      <c r="M1313" t="str">
        <f t="shared" si="186"/>
        <v>13</v>
      </c>
      <c r="N1313" t="s">
        <v>3323</v>
      </c>
      <c r="O1313" t="str">
        <f t="shared" si="189"/>
        <v>55311</v>
      </c>
      <c r="P1313" t="str">
        <f>"2100L"</f>
        <v>2100L</v>
      </c>
      <c r="Q1313" t="str">
        <f t="shared" si="188"/>
        <v>0101</v>
      </c>
      <c r="R1313">
        <v>2100</v>
      </c>
      <c r="S1313" t="str">
        <f t="shared" si="190"/>
        <v>5530</v>
      </c>
      <c r="T1313" t="s">
        <v>3533</v>
      </c>
      <c r="U1313" t="s">
        <v>129</v>
      </c>
    </row>
    <row r="1314" spans="1:21" ht="15" customHeight="1" x14ac:dyDescent="0.3">
      <c r="A1314" t="s">
        <v>179</v>
      </c>
      <c r="B1314" t="str">
        <f>"00074554"</f>
        <v>00074554</v>
      </c>
      <c r="C1314" t="s">
        <v>4274</v>
      </c>
      <c r="D1314" t="s">
        <v>4706</v>
      </c>
      <c r="E1314" t="str">
        <f>"00066119"</f>
        <v>00066119</v>
      </c>
      <c r="F1314">
        <v>0</v>
      </c>
      <c r="G1314" s="243">
        <v>40770</v>
      </c>
      <c r="H1314" t="s">
        <v>182</v>
      </c>
      <c r="I1314">
        <v>4</v>
      </c>
      <c r="J1314">
        <v>5</v>
      </c>
      <c r="K1314">
        <v>0.71</v>
      </c>
      <c r="L1314">
        <v>25239.37</v>
      </c>
      <c r="M1314" t="str">
        <f t="shared" si="186"/>
        <v>13</v>
      </c>
      <c r="N1314" t="s">
        <v>3323</v>
      </c>
      <c r="O1314" t="str">
        <f t="shared" si="189"/>
        <v>55311</v>
      </c>
      <c r="P1314" t="str">
        <f>"2100L"</f>
        <v>2100L</v>
      </c>
      <c r="Q1314" t="str">
        <f t="shared" si="188"/>
        <v>0101</v>
      </c>
      <c r="R1314">
        <v>2100</v>
      </c>
      <c r="S1314" t="str">
        <f t="shared" si="190"/>
        <v>5530</v>
      </c>
      <c r="T1314" t="s">
        <v>3531</v>
      </c>
      <c r="U1314" t="s">
        <v>122</v>
      </c>
    </row>
    <row r="1315" spans="1:21" ht="15" customHeight="1" x14ac:dyDescent="0.3">
      <c r="A1315" t="s">
        <v>179</v>
      </c>
      <c r="B1315" t="str">
        <f>"00074555"</f>
        <v>00074555</v>
      </c>
      <c r="C1315" t="s">
        <v>4262</v>
      </c>
      <c r="D1315" t="s">
        <v>3536</v>
      </c>
      <c r="E1315" t="str">
        <f>"00065671"</f>
        <v>00065671</v>
      </c>
      <c r="F1315">
        <v>0</v>
      </c>
      <c r="G1315" s="243">
        <v>40755</v>
      </c>
      <c r="H1315" t="s">
        <v>182</v>
      </c>
      <c r="I1315">
        <v>15</v>
      </c>
      <c r="J1315">
        <v>4</v>
      </c>
      <c r="K1315">
        <v>1</v>
      </c>
      <c r="L1315">
        <v>54725</v>
      </c>
      <c r="M1315" t="str">
        <f t="shared" si="186"/>
        <v>13</v>
      </c>
      <c r="N1315" t="s">
        <v>3323</v>
      </c>
      <c r="O1315" t="str">
        <f t="shared" si="189"/>
        <v>55311</v>
      </c>
      <c r="P1315" t="str">
        <f>"2100L"</f>
        <v>2100L</v>
      </c>
      <c r="Q1315" t="str">
        <f t="shared" si="188"/>
        <v>0101</v>
      </c>
      <c r="R1315">
        <v>2100</v>
      </c>
      <c r="S1315" t="str">
        <f t="shared" si="190"/>
        <v>5530</v>
      </c>
      <c r="T1315" t="s">
        <v>3531</v>
      </c>
      <c r="U1315" t="s">
        <v>122</v>
      </c>
    </row>
    <row r="1316" spans="1:21" ht="15" customHeight="1" x14ac:dyDescent="0.3">
      <c r="A1316" t="s">
        <v>179</v>
      </c>
      <c r="B1316" t="str">
        <f>"00076129"</f>
        <v>00076129</v>
      </c>
      <c r="C1316" t="s">
        <v>4271</v>
      </c>
      <c r="H1316" t="s">
        <v>170</v>
      </c>
      <c r="I1316">
        <v>15</v>
      </c>
      <c r="J1316">
        <v>0</v>
      </c>
      <c r="K1316">
        <v>0.5</v>
      </c>
      <c r="L1316">
        <v>51539</v>
      </c>
      <c r="M1316" t="str">
        <f t="shared" si="186"/>
        <v>13</v>
      </c>
      <c r="N1316" t="s">
        <v>3370</v>
      </c>
      <c r="O1316" t="str">
        <f t="shared" si="189"/>
        <v>55311</v>
      </c>
      <c r="P1316" t="str">
        <f>"2100L"</f>
        <v>2100L</v>
      </c>
      <c r="Q1316" t="str">
        <f t="shared" si="188"/>
        <v>0101</v>
      </c>
      <c r="R1316">
        <v>2100</v>
      </c>
      <c r="S1316" t="str">
        <f t="shared" si="190"/>
        <v>5530</v>
      </c>
      <c r="T1316" t="s">
        <v>3531</v>
      </c>
      <c r="U1316" t="s">
        <v>122</v>
      </c>
    </row>
    <row r="1317" spans="1:21" ht="15" customHeight="1" x14ac:dyDescent="0.3">
      <c r="A1317" t="s">
        <v>179</v>
      </c>
      <c r="B1317" t="str">
        <f>"00076130"</f>
        <v>00076130</v>
      </c>
      <c r="C1317" t="s">
        <v>4270</v>
      </c>
      <c r="D1317" t="s">
        <v>1368</v>
      </c>
      <c r="E1317" t="str">
        <f>"00057320"</f>
        <v>00057320</v>
      </c>
      <c r="F1317">
        <v>0</v>
      </c>
      <c r="G1317" s="243">
        <v>40042</v>
      </c>
      <c r="H1317" t="s">
        <v>182</v>
      </c>
      <c r="I1317">
        <v>15</v>
      </c>
      <c r="J1317">
        <v>8</v>
      </c>
      <c r="K1317">
        <v>0.5</v>
      </c>
      <c r="L1317">
        <v>36085.5</v>
      </c>
      <c r="M1317" t="str">
        <f t="shared" si="186"/>
        <v>13</v>
      </c>
      <c r="N1317" t="s">
        <v>3370</v>
      </c>
      <c r="O1317" t="str">
        <f t="shared" si="189"/>
        <v>55311</v>
      </c>
      <c r="P1317" t="str">
        <f>"2100L"</f>
        <v>2100L</v>
      </c>
      <c r="Q1317" t="str">
        <f t="shared" si="188"/>
        <v>0101</v>
      </c>
      <c r="R1317">
        <v>2100</v>
      </c>
      <c r="S1317" t="str">
        <f t="shared" si="190"/>
        <v>5530</v>
      </c>
      <c r="T1317" t="s">
        <v>3531</v>
      </c>
      <c r="U1317" t="s">
        <v>122</v>
      </c>
    </row>
    <row r="1318" spans="1:21" ht="15" customHeight="1" x14ac:dyDescent="0.3">
      <c r="A1318" t="s">
        <v>179</v>
      </c>
      <c r="B1318" t="str">
        <f>"00076493"</f>
        <v>00076493</v>
      </c>
      <c r="C1318" t="s">
        <v>4262</v>
      </c>
      <c r="H1318" t="s">
        <v>170</v>
      </c>
      <c r="I1318">
        <v>15</v>
      </c>
      <c r="J1318">
        <v>0</v>
      </c>
      <c r="K1318">
        <v>1</v>
      </c>
      <c r="L1318">
        <v>51539</v>
      </c>
      <c r="M1318" t="str">
        <f t="shared" si="186"/>
        <v>13</v>
      </c>
      <c r="N1318" t="s">
        <v>3370</v>
      </c>
      <c r="O1318" t="str">
        <f t="shared" si="189"/>
        <v>55311</v>
      </c>
      <c r="P1318" t="str">
        <f>"2300L"</f>
        <v>2300L</v>
      </c>
      <c r="Q1318" t="str">
        <f t="shared" si="188"/>
        <v>0101</v>
      </c>
      <c r="R1318">
        <v>2300</v>
      </c>
      <c r="S1318" t="str">
        <f t="shared" si="190"/>
        <v>5530</v>
      </c>
      <c r="T1318" t="s">
        <v>3531</v>
      </c>
      <c r="U1318" t="s">
        <v>122</v>
      </c>
    </row>
    <row r="1319" spans="1:21" ht="15" customHeight="1" x14ac:dyDescent="0.3">
      <c r="A1319" t="s">
        <v>179</v>
      </c>
      <c r="B1319" t="str">
        <f>"00051718"</f>
        <v>00051718</v>
      </c>
      <c r="C1319" t="s">
        <v>4272</v>
      </c>
      <c r="D1319" t="s">
        <v>1372</v>
      </c>
      <c r="E1319" t="str">
        <f>"00045631"</f>
        <v>00045631</v>
      </c>
      <c r="F1319">
        <v>0</v>
      </c>
      <c r="G1319" s="243">
        <v>32050</v>
      </c>
      <c r="H1319" t="s">
        <v>182</v>
      </c>
      <c r="I1319">
        <v>15</v>
      </c>
      <c r="J1319">
        <v>16</v>
      </c>
      <c r="K1319">
        <v>1</v>
      </c>
      <c r="L1319">
        <v>100839</v>
      </c>
      <c r="M1319" t="str">
        <f t="shared" si="186"/>
        <v>13</v>
      </c>
      <c r="N1319" t="s">
        <v>3323</v>
      </c>
      <c r="O1319" t="str">
        <f t="shared" ref="O1319:O1353" si="192">"55411"</f>
        <v>55411</v>
      </c>
      <c r="P1319" t="str">
        <f>"2100L"</f>
        <v>2100L</v>
      </c>
      <c r="Q1319" t="str">
        <f t="shared" si="188"/>
        <v>0101</v>
      </c>
      <c r="R1319">
        <v>2100</v>
      </c>
      <c r="S1319" t="str">
        <f t="shared" ref="S1319:S1353" si="193">"5540"</f>
        <v>5540</v>
      </c>
      <c r="T1319" t="s">
        <v>3537</v>
      </c>
      <c r="U1319" t="s">
        <v>40</v>
      </c>
    </row>
    <row r="1320" spans="1:21" ht="15" customHeight="1" x14ac:dyDescent="0.3">
      <c r="A1320" t="s">
        <v>179</v>
      </c>
      <c r="B1320" t="str">
        <f>"00052476"</f>
        <v>00052476</v>
      </c>
      <c r="C1320" t="s">
        <v>4272</v>
      </c>
      <c r="D1320" t="s">
        <v>1373</v>
      </c>
      <c r="E1320" t="str">
        <f>"00048366"</f>
        <v>00048366</v>
      </c>
      <c r="F1320">
        <v>0</v>
      </c>
      <c r="G1320" s="243">
        <v>32050</v>
      </c>
      <c r="H1320" t="s">
        <v>182</v>
      </c>
      <c r="I1320">
        <v>15</v>
      </c>
      <c r="J1320">
        <v>16</v>
      </c>
      <c r="K1320">
        <v>1</v>
      </c>
      <c r="L1320">
        <v>100839</v>
      </c>
      <c r="M1320" t="str">
        <f t="shared" si="186"/>
        <v>13</v>
      </c>
      <c r="N1320" t="s">
        <v>3323</v>
      </c>
      <c r="O1320" t="str">
        <f t="shared" si="192"/>
        <v>55411</v>
      </c>
      <c r="P1320" t="str">
        <f>"2100L"</f>
        <v>2100L</v>
      </c>
      <c r="Q1320" t="str">
        <f t="shared" si="188"/>
        <v>0101</v>
      </c>
      <c r="R1320">
        <v>2100</v>
      </c>
      <c r="S1320" t="str">
        <f t="shared" si="193"/>
        <v>5540</v>
      </c>
      <c r="T1320" t="s">
        <v>3537</v>
      </c>
      <c r="U1320" t="s">
        <v>40</v>
      </c>
    </row>
    <row r="1321" spans="1:21" ht="15" customHeight="1" x14ac:dyDescent="0.3">
      <c r="A1321" t="s">
        <v>179</v>
      </c>
      <c r="B1321" t="str">
        <f>"00053127"</f>
        <v>00053127</v>
      </c>
      <c r="C1321" t="s">
        <v>4274</v>
      </c>
      <c r="D1321" t="s">
        <v>4707</v>
      </c>
      <c r="E1321" t="str">
        <f>"00050988"</f>
        <v>00050988</v>
      </c>
      <c r="F1321">
        <v>0</v>
      </c>
      <c r="G1321" s="243">
        <v>31147</v>
      </c>
      <c r="H1321" t="s">
        <v>182</v>
      </c>
      <c r="I1321">
        <v>4</v>
      </c>
      <c r="J1321">
        <v>10</v>
      </c>
      <c r="K1321">
        <v>0.875</v>
      </c>
      <c r="L1321">
        <v>28721</v>
      </c>
      <c r="M1321" t="str">
        <f t="shared" si="186"/>
        <v>13</v>
      </c>
      <c r="N1321" t="s">
        <v>3323</v>
      </c>
      <c r="O1321" t="str">
        <f t="shared" si="192"/>
        <v>55411</v>
      </c>
      <c r="P1321" t="str">
        <f>"2200L"</f>
        <v>2200L</v>
      </c>
      <c r="Q1321" t="str">
        <f t="shared" si="188"/>
        <v>0101</v>
      </c>
      <c r="R1321">
        <v>2200</v>
      </c>
      <c r="S1321" t="str">
        <f t="shared" si="193"/>
        <v>5540</v>
      </c>
      <c r="T1321" t="s">
        <v>3537</v>
      </c>
      <c r="U1321" t="s">
        <v>40</v>
      </c>
    </row>
    <row r="1322" spans="1:21" ht="15" customHeight="1" x14ac:dyDescent="0.3">
      <c r="A1322" t="s">
        <v>179</v>
      </c>
      <c r="B1322" t="str">
        <f>"00053548"</f>
        <v>00053548</v>
      </c>
      <c r="C1322" t="s">
        <v>4252</v>
      </c>
      <c r="D1322" t="s">
        <v>1374</v>
      </c>
      <c r="E1322" t="str">
        <f>"00051707"</f>
        <v>00051707</v>
      </c>
      <c r="F1322">
        <v>0</v>
      </c>
      <c r="G1322" s="243">
        <v>31159</v>
      </c>
      <c r="H1322" t="s">
        <v>182</v>
      </c>
      <c r="I1322">
        <v>15</v>
      </c>
      <c r="J1322">
        <v>16</v>
      </c>
      <c r="K1322">
        <v>1</v>
      </c>
      <c r="L1322">
        <v>106540</v>
      </c>
      <c r="M1322" t="str">
        <f t="shared" si="186"/>
        <v>13</v>
      </c>
      <c r="N1322" t="s">
        <v>3323</v>
      </c>
      <c r="O1322" t="str">
        <f t="shared" si="192"/>
        <v>55411</v>
      </c>
      <c r="P1322" t="str">
        <f>"2100L"</f>
        <v>2100L</v>
      </c>
      <c r="Q1322" t="str">
        <f t="shared" si="188"/>
        <v>0101</v>
      </c>
      <c r="R1322">
        <v>2100</v>
      </c>
      <c r="S1322" t="str">
        <f t="shared" si="193"/>
        <v>5540</v>
      </c>
      <c r="T1322" t="s">
        <v>3537</v>
      </c>
      <c r="U1322" t="s">
        <v>40</v>
      </c>
    </row>
    <row r="1323" spans="1:21" ht="15" customHeight="1" x14ac:dyDescent="0.3">
      <c r="A1323" t="s">
        <v>179</v>
      </c>
      <c r="B1323" t="str">
        <f>"00053931"</f>
        <v>00053931</v>
      </c>
      <c r="C1323" t="s">
        <v>4262</v>
      </c>
      <c r="D1323" t="s">
        <v>1375</v>
      </c>
      <c r="E1323" t="str">
        <f>"00052760"</f>
        <v>00052760</v>
      </c>
      <c r="F1323">
        <v>0</v>
      </c>
      <c r="G1323" s="243">
        <v>31651</v>
      </c>
      <c r="H1323" t="s">
        <v>182</v>
      </c>
      <c r="I1323">
        <v>15</v>
      </c>
      <c r="J1323">
        <v>16</v>
      </c>
      <c r="K1323">
        <v>1</v>
      </c>
      <c r="L1323">
        <v>100839</v>
      </c>
      <c r="M1323" t="str">
        <f t="shared" si="186"/>
        <v>13</v>
      </c>
      <c r="N1323" t="s">
        <v>3323</v>
      </c>
      <c r="O1323" t="str">
        <f t="shared" si="192"/>
        <v>55411</v>
      </c>
      <c r="P1323" t="str">
        <f>"2100L"</f>
        <v>2100L</v>
      </c>
      <c r="Q1323" t="str">
        <f t="shared" si="188"/>
        <v>0101</v>
      </c>
      <c r="R1323">
        <v>2100</v>
      </c>
      <c r="S1323" t="str">
        <f t="shared" si="193"/>
        <v>5540</v>
      </c>
      <c r="T1323" t="s">
        <v>3537</v>
      </c>
      <c r="U1323" t="s">
        <v>40</v>
      </c>
    </row>
    <row r="1324" spans="1:21" ht="15" customHeight="1" x14ac:dyDescent="0.3">
      <c r="A1324" t="s">
        <v>179</v>
      </c>
      <c r="B1324" t="str">
        <f>"00053957"</f>
        <v>00053957</v>
      </c>
      <c r="C1324" t="s">
        <v>3798</v>
      </c>
      <c r="D1324" t="s">
        <v>1376</v>
      </c>
      <c r="E1324" t="str">
        <f>"00052796"</f>
        <v>00052796</v>
      </c>
      <c r="F1324">
        <v>0</v>
      </c>
      <c r="G1324" s="243">
        <v>32050</v>
      </c>
      <c r="H1324" t="s">
        <v>182</v>
      </c>
      <c r="I1324">
        <v>61</v>
      </c>
      <c r="J1324">
        <v>10</v>
      </c>
      <c r="K1324">
        <v>1</v>
      </c>
      <c r="L1324">
        <v>137000</v>
      </c>
      <c r="M1324" t="str">
        <f t="shared" ref="M1324:M1377" si="194">"13"</f>
        <v>13</v>
      </c>
      <c r="N1324" t="s">
        <v>3323</v>
      </c>
      <c r="O1324" t="str">
        <f t="shared" si="192"/>
        <v>55411</v>
      </c>
      <c r="P1324" t="str">
        <f>"1501L"</f>
        <v>1501L</v>
      </c>
      <c r="Q1324" t="str">
        <f t="shared" si="188"/>
        <v>0101</v>
      </c>
      <c r="R1324">
        <v>1501</v>
      </c>
      <c r="S1324" t="str">
        <f t="shared" si="193"/>
        <v>5540</v>
      </c>
      <c r="T1324" t="s">
        <v>3537</v>
      </c>
      <c r="U1324" t="s">
        <v>40</v>
      </c>
    </row>
    <row r="1325" spans="1:21" ht="15" customHeight="1" x14ac:dyDescent="0.3">
      <c r="A1325" t="s">
        <v>179</v>
      </c>
      <c r="B1325" t="str">
        <f>"00054153"</f>
        <v>00054153</v>
      </c>
      <c r="C1325" t="s">
        <v>4272</v>
      </c>
      <c r="D1325" t="s">
        <v>4708</v>
      </c>
      <c r="E1325" t="str">
        <f>"00053134"</f>
        <v>00053134</v>
      </c>
      <c r="F1325">
        <v>0</v>
      </c>
      <c r="G1325" s="243">
        <v>32063</v>
      </c>
      <c r="H1325" t="s">
        <v>182</v>
      </c>
      <c r="I1325">
        <v>15</v>
      </c>
      <c r="J1325">
        <v>16</v>
      </c>
      <c r="K1325">
        <v>1</v>
      </c>
      <c r="L1325">
        <v>100839</v>
      </c>
      <c r="M1325" t="str">
        <f t="shared" si="194"/>
        <v>13</v>
      </c>
      <c r="N1325" t="s">
        <v>3323</v>
      </c>
      <c r="O1325" t="str">
        <f t="shared" si="192"/>
        <v>55411</v>
      </c>
      <c r="P1325" t="str">
        <f>"2200L"</f>
        <v>2200L</v>
      </c>
      <c r="Q1325" t="str">
        <f t="shared" si="188"/>
        <v>0101</v>
      </c>
      <c r="R1325">
        <v>2200</v>
      </c>
      <c r="S1325" t="str">
        <f t="shared" si="193"/>
        <v>5540</v>
      </c>
      <c r="T1325" t="s">
        <v>3537</v>
      </c>
      <c r="U1325" t="s">
        <v>40</v>
      </c>
    </row>
    <row r="1326" spans="1:21" ht="15" customHeight="1" x14ac:dyDescent="0.3">
      <c r="A1326" t="s">
        <v>179</v>
      </c>
      <c r="B1326" t="str">
        <f>"00055272"</f>
        <v>00055272</v>
      </c>
      <c r="C1326" t="s">
        <v>4341</v>
      </c>
      <c r="D1326" t="s">
        <v>1377</v>
      </c>
      <c r="E1326" t="str">
        <f>"00045400"</f>
        <v>00045400</v>
      </c>
      <c r="F1326">
        <v>0</v>
      </c>
      <c r="G1326" s="243">
        <v>36390</v>
      </c>
      <c r="H1326" t="s">
        <v>182</v>
      </c>
      <c r="I1326">
        <v>10</v>
      </c>
      <c r="J1326">
        <v>8</v>
      </c>
      <c r="K1326">
        <v>1</v>
      </c>
      <c r="L1326">
        <v>80981</v>
      </c>
      <c r="M1326" t="str">
        <f t="shared" si="194"/>
        <v>13</v>
      </c>
      <c r="N1326" t="s">
        <v>3323</v>
      </c>
      <c r="O1326" t="str">
        <f t="shared" si="192"/>
        <v>55411</v>
      </c>
      <c r="P1326" t="str">
        <f>"3030L"</f>
        <v>3030L</v>
      </c>
      <c r="Q1326" t="str">
        <f t="shared" si="188"/>
        <v>0101</v>
      </c>
      <c r="R1326">
        <v>3030</v>
      </c>
      <c r="S1326" t="str">
        <f t="shared" si="193"/>
        <v>5540</v>
      </c>
      <c r="T1326" t="s">
        <v>3537</v>
      </c>
      <c r="U1326" t="s">
        <v>40</v>
      </c>
    </row>
    <row r="1327" spans="1:21" ht="15" customHeight="1" x14ac:dyDescent="0.3">
      <c r="A1327" t="s">
        <v>179</v>
      </c>
      <c r="B1327" t="str">
        <f>"00056791"</f>
        <v>00056791</v>
      </c>
      <c r="C1327" t="s">
        <v>4360</v>
      </c>
      <c r="D1327" t="s">
        <v>4709</v>
      </c>
      <c r="E1327" t="str">
        <f>"00051686"</f>
        <v>00051686</v>
      </c>
      <c r="F1327">
        <v>0</v>
      </c>
      <c r="G1327" s="243">
        <v>33914</v>
      </c>
      <c r="H1327" t="s">
        <v>182</v>
      </c>
      <c r="I1327">
        <v>7</v>
      </c>
      <c r="J1327">
        <v>4</v>
      </c>
      <c r="K1327">
        <v>1</v>
      </c>
      <c r="L1327">
        <v>38191</v>
      </c>
      <c r="M1327" t="str">
        <f t="shared" si="194"/>
        <v>13</v>
      </c>
      <c r="N1327" t="s">
        <v>3323</v>
      </c>
      <c r="O1327" t="str">
        <f t="shared" si="192"/>
        <v>55411</v>
      </c>
      <c r="P1327" t="str">
        <f>"1502L"</f>
        <v>1502L</v>
      </c>
      <c r="Q1327" t="str">
        <f t="shared" si="188"/>
        <v>0101</v>
      </c>
      <c r="R1327">
        <v>1502</v>
      </c>
      <c r="S1327" t="str">
        <f t="shared" si="193"/>
        <v>5540</v>
      </c>
      <c r="T1327" t="s">
        <v>3537</v>
      </c>
      <c r="U1327" t="s">
        <v>40</v>
      </c>
    </row>
    <row r="1328" spans="1:21" ht="15" customHeight="1" x14ac:dyDescent="0.3">
      <c r="A1328" t="s">
        <v>179</v>
      </c>
      <c r="B1328" t="str">
        <f>"00057181"</f>
        <v>00057181</v>
      </c>
      <c r="C1328" t="s">
        <v>4274</v>
      </c>
      <c r="D1328" t="s">
        <v>4710</v>
      </c>
      <c r="E1328" t="str">
        <f>"00051201"</f>
        <v>00051201</v>
      </c>
      <c r="F1328">
        <v>0</v>
      </c>
      <c r="G1328" s="243">
        <v>36587</v>
      </c>
      <c r="H1328" t="s">
        <v>182</v>
      </c>
      <c r="I1328">
        <v>4</v>
      </c>
      <c r="J1328">
        <v>9</v>
      </c>
      <c r="K1328">
        <v>0.875</v>
      </c>
      <c r="L1328">
        <v>29416.63</v>
      </c>
      <c r="M1328" t="str">
        <f t="shared" si="194"/>
        <v>13</v>
      </c>
      <c r="N1328" t="s">
        <v>3323</v>
      </c>
      <c r="O1328" t="str">
        <f t="shared" si="192"/>
        <v>55411</v>
      </c>
      <c r="P1328" t="str">
        <f>"2200L"</f>
        <v>2200L</v>
      </c>
      <c r="Q1328" t="str">
        <f t="shared" si="188"/>
        <v>0101</v>
      </c>
      <c r="R1328">
        <v>2200</v>
      </c>
      <c r="S1328" t="str">
        <f t="shared" si="193"/>
        <v>5540</v>
      </c>
      <c r="T1328" t="s">
        <v>3537</v>
      </c>
      <c r="U1328" t="s">
        <v>40</v>
      </c>
    </row>
    <row r="1329" spans="1:21" ht="15" customHeight="1" x14ac:dyDescent="0.3">
      <c r="A1329" t="s">
        <v>179</v>
      </c>
      <c r="B1329" t="str">
        <f>"00058018"</f>
        <v>00058018</v>
      </c>
      <c r="C1329" t="s">
        <v>4260</v>
      </c>
      <c r="D1329" t="s">
        <v>1378</v>
      </c>
      <c r="E1329" t="str">
        <f>"00046748"</f>
        <v>00046748</v>
      </c>
      <c r="F1329">
        <v>0</v>
      </c>
      <c r="G1329" s="243">
        <v>37124</v>
      </c>
      <c r="H1329" t="s">
        <v>182</v>
      </c>
      <c r="I1329">
        <v>15</v>
      </c>
      <c r="J1329">
        <v>15</v>
      </c>
      <c r="K1329">
        <v>1</v>
      </c>
      <c r="L1329">
        <v>98285</v>
      </c>
      <c r="M1329" t="str">
        <f t="shared" si="194"/>
        <v>13</v>
      </c>
      <c r="N1329" t="s">
        <v>3323</v>
      </c>
      <c r="O1329" t="str">
        <f t="shared" si="192"/>
        <v>55411</v>
      </c>
      <c r="P1329" t="str">
        <f>"3030L"</f>
        <v>3030L</v>
      </c>
      <c r="Q1329" t="str">
        <f t="shared" ref="Q1329:Q1384" si="195">"0101"</f>
        <v>0101</v>
      </c>
      <c r="R1329">
        <v>3030</v>
      </c>
      <c r="S1329" t="str">
        <f t="shared" si="193"/>
        <v>5540</v>
      </c>
      <c r="T1329" t="s">
        <v>3537</v>
      </c>
      <c r="U1329" t="s">
        <v>40</v>
      </c>
    </row>
    <row r="1330" spans="1:21" ht="15" customHeight="1" x14ac:dyDescent="0.3">
      <c r="A1330" t="s">
        <v>179</v>
      </c>
      <c r="B1330" t="str">
        <f>"00058103"</f>
        <v>00058103</v>
      </c>
      <c r="C1330" t="s">
        <v>4262</v>
      </c>
      <c r="D1330" t="s">
        <v>3540</v>
      </c>
      <c r="E1330" t="str">
        <f>"00049223"</f>
        <v>00049223</v>
      </c>
      <c r="F1330">
        <v>0</v>
      </c>
      <c r="G1330" s="243">
        <v>40406</v>
      </c>
      <c r="H1330" t="s">
        <v>182</v>
      </c>
      <c r="I1330">
        <v>15</v>
      </c>
      <c r="J1330">
        <v>12</v>
      </c>
      <c r="K1330">
        <v>1</v>
      </c>
      <c r="L1330">
        <v>87431</v>
      </c>
      <c r="M1330" t="str">
        <f t="shared" si="194"/>
        <v>13</v>
      </c>
      <c r="N1330" t="s">
        <v>3323</v>
      </c>
      <c r="O1330" t="str">
        <f t="shared" si="192"/>
        <v>55411</v>
      </c>
      <c r="P1330" t="str">
        <f t="shared" ref="P1330:P1338" si="196">"2100L"</f>
        <v>2100L</v>
      </c>
      <c r="Q1330" t="str">
        <f t="shared" si="195"/>
        <v>0101</v>
      </c>
      <c r="R1330">
        <v>2100</v>
      </c>
      <c r="S1330" t="str">
        <f t="shared" si="193"/>
        <v>5540</v>
      </c>
      <c r="T1330" t="s">
        <v>3537</v>
      </c>
      <c r="U1330" t="s">
        <v>40</v>
      </c>
    </row>
    <row r="1331" spans="1:21" ht="15" customHeight="1" x14ac:dyDescent="0.3">
      <c r="A1331" t="s">
        <v>179</v>
      </c>
      <c r="B1331" t="str">
        <f>"00059027"</f>
        <v>00059027</v>
      </c>
      <c r="C1331" t="s">
        <v>4262</v>
      </c>
      <c r="D1331" t="s">
        <v>1379</v>
      </c>
      <c r="E1331" t="str">
        <f>"00052867"</f>
        <v>00052867</v>
      </c>
      <c r="F1331">
        <v>0</v>
      </c>
      <c r="G1331" s="243">
        <v>37496</v>
      </c>
      <c r="H1331" t="s">
        <v>182</v>
      </c>
      <c r="I1331">
        <v>15</v>
      </c>
      <c r="J1331">
        <v>14</v>
      </c>
      <c r="K1331">
        <v>1</v>
      </c>
      <c r="L1331">
        <v>96460</v>
      </c>
      <c r="M1331" t="str">
        <f t="shared" si="194"/>
        <v>13</v>
      </c>
      <c r="N1331" t="s">
        <v>3323</v>
      </c>
      <c r="O1331" t="str">
        <f t="shared" si="192"/>
        <v>55411</v>
      </c>
      <c r="P1331" t="str">
        <f t="shared" si="196"/>
        <v>2100L</v>
      </c>
      <c r="Q1331" t="str">
        <f t="shared" si="195"/>
        <v>0101</v>
      </c>
      <c r="R1331">
        <v>2100</v>
      </c>
      <c r="S1331" t="str">
        <f t="shared" si="193"/>
        <v>5540</v>
      </c>
      <c r="T1331" t="s">
        <v>3537</v>
      </c>
      <c r="U1331" t="s">
        <v>40</v>
      </c>
    </row>
    <row r="1332" spans="1:21" ht="15" customHeight="1" x14ac:dyDescent="0.3">
      <c r="A1332" t="s">
        <v>179</v>
      </c>
      <c r="B1332" t="str">
        <f>"00059748"</f>
        <v>00059748</v>
      </c>
      <c r="C1332" t="s">
        <v>4262</v>
      </c>
      <c r="D1332" t="s">
        <v>1380</v>
      </c>
      <c r="E1332" t="str">
        <f>"00051483"</f>
        <v>00051483</v>
      </c>
      <c r="F1332">
        <v>0</v>
      </c>
      <c r="G1332" s="243">
        <v>32050</v>
      </c>
      <c r="H1332" t="s">
        <v>182</v>
      </c>
      <c r="I1332">
        <v>15</v>
      </c>
      <c r="J1332">
        <v>16</v>
      </c>
      <c r="K1332">
        <v>1</v>
      </c>
      <c r="L1332">
        <v>100839</v>
      </c>
      <c r="M1332" t="str">
        <f t="shared" si="194"/>
        <v>13</v>
      </c>
      <c r="N1332" t="s">
        <v>3323</v>
      </c>
      <c r="O1332" t="str">
        <f t="shared" si="192"/>
        <v>55411</v>
      </c>
      <c r="P1332" t="str">
        <f t="shared" si="196"/>
        <v>2100L</v>
      </c>
      <c r="Q1332" t="str">
        <f t="shared" si="195"/>
        <v>0101</v>
      </c>
      <c r="R1332">
        <v>2100</v>
      </c>
      <c r="S1332" t="str">
        <f t="shared" si="193"/>
        <v>5540</v>
      </c>
      <c r="T1332" t="s">
        <v>3537</v>
      </c>
      <c r="U1332" t="s">
        <v>40</v>
      </c>
    </row>
    <row r="1333" spans="1:21" ht="15" customHeight="1" x14ac:dyDescent="0.3">
      <c r="A1333" t="s">
        <v>179</v>
      </c>
      <c r="B1333" t="str">
        <f>"00060097"</f>
        <v>00060097</v>
      </c>
      <c r="C1333" t="s">
        <v>4292</v>
      </c>
      <c r="D1333" t="s">
        <v>4711</v>
      </c>
      <c r="E1333" t="str">
        <f>"00062916"</f>
        <v>00062916</v>
      </c>
      <c r="F1333">
        <v>0</v>
      </c>
      <c r="G1333" s="243">
        <v>40406</v>
      </c>
      <c r="H1333" t="s">
        <v>182</v>
      </c>
      <c r="I1333">
        <v>4</v>
      </c>
      <c r="J1333">
        <v>5</v>
      </c>
      <c r="K1333">
        <v>0.875</v>
      </c>
      <c r="L1333">
        <v>25239.37</v>
      </c>
      <c r="M1333" t="str">
        <f t="shared" si="194"/>
        <v>13</v>
      </c>
      <c r="N1333" t="s">
        <v>3323</v>
      </c>
      <c r="O1333" t="str">
        <f t="shared" si="192"/>
        <v>55411</v>
      </c>
      <c r="P1333" t="str">
        <f t="shared" si="196"/>
        <v>2100L</v>
      </c>
      <c r="Q1333" t="str">
        <f t="shared" si="195"/>
        <v>0101</v>
      </c>
      <c r="R1333">
        <v>2100</v>
      </c>
      <c r="S1333" t="str">
        <f t="shared" si="193"/>
        <v>5540</v>
      </c>
      <c r="T1333" t="s">
        <v>3537</v>
      </c>
      <c r="U1333" t="s">
        <v>40</v>
      </c>
    </row>
    <row r="1334" spans="1:21" ht="15" customHeight="1" x14ac:dyDescent="0.3">
      <c r="A1334" t="s">
        <v>179</v>
      </c>
      <c r="B1334" t="str">
        <f>"00060430"</f>
        <v>00060430</v>
      </c>
      <c r="C1334" t="s">
        <v>4262</v>
      </c>
      <c r="D1334" t="s">
        <v>1381</v>
      </c>
      <c r="E1334" t="str">
        <f>"00046307"</f>
        <v>00046307</v>
      </c>
      <c r="F1334">
        <v>0</v>
      </c>
      <c r="G1334" s="243">
        <v>38614</v>
      </c>
      <c r="H1334" t="s">
        <v>182</v>
      </c>
      <c r="I1334">
        <v>15</v>
      </c>
      <c r="J1334">
        <v>12</v>
      </c>
      <c r="K1334">
        <v>1</v>
      </c>
      <c r="L1334">
        <v>92613</v>
      </c>
      <c r="M1334" t="str">
        <f t="shared" si="194"/>
        <v>13</v>
      </c>
      <c r="N1334" t="s">
        <v>3323</v>
      </c>
      <c r="O1334" t="str">
        <f t="shared" si="192"/>
        <v>55411</v>
      </c>
      <c r="P1334" t="str">
        <f t="shared" si="196"/>
        <v>2100L</v>
      </c>
      <c r="Q1334" t="str">
        <f t="shared" si="195"/>
        <v>0101</v>
      </c>
      <c r="R1334">
        <v>2100</v>
      </c>
      <c r="S1334" t="str">
        <f t="shared" si="193"/>
        <v>5540</v>
      </c>
      <c r="T1334" t="s">
        <v>3537</v>
      </c>
      <c r="U1334" t="s">
        <v>40</v>
      </c>
    </row>
    <row r="1335" spans="1:21" ht="15" customHeight="1" x14ac:dyDescent="0.3">
      <c r="A1335" t="s">
        <v>179</v>
      </c>
      <c r="B1335" t="str">
        <f>"00061181"</f>
        <v>00061181</v>
      </c>
      <c r="C1335" t="s">
        <v>4262</v>
      </c>
      <c r="D1335" t="s">
        <v>1383</v>
      </c>
      <c r="E1335" t="str">
        <f>"00044771"</f>
        <v>00044771</v>
      </c>
      <c r="F1335">
        <v>0</v>
      </c>
      <c r="G1335" s="243">
        <v>40041</v>
      </c>
      <c r="H1335" t="s">
        <v>182</v>
      </c>
      <c r="I1335">
        <v>15</v>
      </c>
      <c r="J1335">
        <v>12</v>
      </c>
      <c r="K1335">
        <v>1</v>
      </c>
      <c r="L1335">
        <v>87431</v>
      </c>
      <c r="M1335" t="str">
        <f t="shared" si="194"/>
        <v>13</v>
      </c>
      <c r="N1335" t="s">
        <v>3323</v>
      </c>
      <c r="O1335" t="str">
        <f t="shared" si="192"/>
        <v>55411</v>
      </c>
      <c r="P1335" t="str">
        <f t="shared" si="196"/>
        <v>2100L</v>
      </c>
      <c r="Q1335" t="str">
        <f t="shared" si="195"/>
        <v>0101</v>
      </c>
      <c r="R1335">
        <v>2100</v>
      </c>
      <c r="S1335" t="str">
        <f t="shared" si="193"/>
        <v>5540</v>
      </c>
      <c r="T1335" t="s">
        <v>3537</v>
      </c>
      <c r="U1335" t="s">
        <v>40</v>
      </c>
    </row>
    <row r="1336" spans="1:21" ht="15" customHeight="1" x14ac:dyDescent="0.3">
      <c r="A1336" t="s">
        <v>179</v>
      </c>
      <c r="B1336" t="str">
        <f>"00061681"</f>
        <v>00061681</v>
      </c>
      <c r="C1336" t="s">
        <v>4262</v>
      </c>
      <c r="D1336" t="s">
        <v>1384</v>
      </c>
      <c r="E1336" t="str">
        <f>"00052198"</f>
        <v>00052198</v>
      </c>
      <c r="F1336">
        <v>0</v>
      </c>
      <c r="G1336" s="243">
        <v>39461</v>
      </c>
      <c r="H1336" t="s">
        <v>182</v>
      </c>
      <c r="I1336">
        <v>15</v>
      </c>
      <c r="J1336">
        <v>12</v>
      </c>
      <c r="K1336">
        <v>1</v>
      </c>
      <c r="L1336">
        <v>92613</v>
      </c>
      <c r="M1336" t="str">
        <f t="shared" si="194"/>
        <v>13</v>
      </c>
      <c r="N1336" t="s">
        <v>3323</v>
      </c>
      <c r="O1336" t="str">
        <f t="shared" si="192"/>
        <v>55411</v>
      </c>
      <c r="P1336" t="str">
        <f t="shared" si="196"/>
        <v>2100L</v>
      </c>
      <c r="Q1336" t="str">
        <f t="shared" si="195"/>
        <v>0101</v>
      </c>
      <c r="R1336">
        <v>2100</v>
      </c>
      <c r="S1336" t="str">
        <f t="shared" si="193"/>
        <v>5540</v>
      </c>
      <c r="T1336" t="s">
        <v>3537</v>
      </c>
      <c r="U1336" t="s">
        <v>40</v>
      </c>
    </row>
    <row r="1337" spans="1:21" ht="15" customHeight="1" x14ac:dyDescent="0.3">
      <c r="A1337" t="s">
        <v>179</v>
      </c>
      <c r="B1337" t="str">
        <f>"00061976"</f>
        <v>00061976</v>
      </c>
      <c r="C1337" t="s">
        <v>4262</v>
      </c>
      <c r="D1337" t="s">
        <v>2120</v>
      </c>
      <c r="E1337" t="str">
        <f>"00054167"</f>
        <v>00054167</v>
      </c>
      <c r="F1337">
        <v>0</v>
      </c>
      <c r="G1337" s="243">
        <v>33133</v>
      </c>
      <c r="H1337" t="s">
        <v>182</v>
      </c>
      <c r="I1337">
        <v>15</v>
      </c>
      <c r="J1337">
        <v>13</v>
      </c>
      <c r="K1337">
        <v>1</v>
      </c>
      <c r="L1337">
        <v>86613</v>
      </c>
      <c r="M1337" t="str">
        <f t="shared" si="194"/>
        <v>13</v>
      </c>
      <c r="N1337" t="s">
        <v>3370</v>
      </c>
      <c r="O1337" t="str">
        <f t="shared" si="192"/>
        <v>55411</v>
      </c>
      <c r="P1337" t="str">
        <f t="shared" si="196"/>
        <v>2100L</v>
      </c>
      <c r="Q1337" t="str">
        <f t="shared" si="195"/>
        <v>0101</v>
      </c>
      <c r="R1337">
        <v>2100</v>
      </c>
      <c r="S1337" t="str">
        <f t="shared" si="193"/>
        <v>5540</v>
      </c>
      <c r="T1337" t="s">
        <v>3537</v>
      </c>
      <c r="U1337" t="s">
        <v>40</v>
      </c>
    </row>
    <row r="1338" spans="1:21" ht="15" customHeight="1" x14ac:dyDescent="0.3">
      <c r="A1338" t="s">
        <v>179</v>
      </c>
      <c r="B1338" t="str">
        <f>"00062515"</f>
        <v>00062515</v>
      </c>
      <c r="C1338" t="s">
        <v>4257</v>
      </c>
      <c r="D1338" t="s">
        <v>2149</v>
      </c>
      <c r="E1338" t="str">
        <f>"00062657"</f>
        <v>00062657</v>
      </c>
      <c r="F1338">
        <v>0</v>
      </c>
      <c r="G1338" s="243">
        <v>40406</v>
      </c>
      <c r="H1338" t="s">
        <v>182</v>
      </c>
      <c r="I1338">
        <v>15</v>
      </c>
      <c r="J1338">
        <v>8</v>
      </c>
      <c r="K1338">
        <v>1</v>
      </c>
      <c r="L1338">
        <v>72171</v>
      </c>
      <c r="M1338" t="str">
        <f t="shared" si="194"/>
        <v>13</v>
      </c>
      <c r="N1338" t="s">
        <v>3323</v>
      </c>
      <c r="O1338" t="str">
        <f t="shared" si="192"/>
        <v>55411</v>
      </c>
      <c r="P1338" t="str">
        <f t="shared" si="196"/>
        <v>2100L</v>
      </c>
      <c r="Q1338" t="str">
        <f t="shared" si="195"/>
        <v>0101</v>
      </c>
      <c r="R1338">
        <v>2100</v>
      </c>
      <c r="S1338" t="str">
        <f t="shared" si="193"/>
        <v>5540</v>
      </c>
      <c r="T1338" t="s">
        <v>3537</v>
      </c>
      <c r="U1338" t="s">
        <v>40</v>
      </c>
    </row>
    <row r="1339" spans="1:21" ht="15" customHeight="1" x14ac:dyDescent="0.3">
      <c r="A1339" t="s">
        <v>179</v>
      </c>
      <c r="B1339" t="str">
        <f>"00062536"</f>
        <v>00062536</v>
      </c>
      <c r="C1339" t="s">
        <v>4288</v>
      </c>
      <c r="D1339" t="s">
        <v>4712</v>
      </c>
      <c r="E1339" t="str">
        <f>"00050542"</f>
        <v>00050542</v>
      </c>
      <c r="F1339">
        <v>0</v>
      </c>
      <c r="G1339" s="243">
        <v>39694</v>
      </c>
      <c r="H1339" t="s">
        <v>182</v>
      </c>
      <c r="I1339">
        <v>4</v>
      </c>
      <c r="J1339">
        <v>4</v>
      </c>
      <c r="K1339">
        <v>1</v>
      </c>
      <c r="L1339">
        <v>24543.75</v>
      </c>
      <c r="M1339" t="str">
        <f t="shared" si="194"/>
        <v>13</v>
      </c>
      <c r="N1339" t="s">
        <v>3323</v>
      </c>
      <c r="O1339" t="str">
        <f t="shared" si="192"/>
        <v>55411</v>
      </c>
      <c r="P1339" t="str">
        <f>"2200L"</f>
        <v>2200L</v>
      </c>
      <c r="Q1339" t="str">
        <f t="shared" si="195"/>
        <v>0101</v>
      </c>
      <c r="R1339">
        <v>2200</v>
      </c>
      <c r="S1339" t="str">
        <f t="shared" si="193"/>
        <v>5540</v>
      </c>
      <c r="T1339" t="s">
        <v>3537</v>
      </c>
      <c r="U1339" t="s">
        <v>40</v>
      </c>
    </row>
    <row r="1340" spans="1:21" ht="15" customHeight="1" x14ac:dyDescent="0.3">
      <c r="A1340" t="s">
        <v>179</v>
      </c>
      <c r="B1340" t="str">
        <f>"00062763"</f>
        <v>00062763</v>
      </c>
      <c r="C1340" t="s">
        <v>4258</v>
      </c>
      <c r="D1340" t="s">
        <v>220</v>
      </c>
      <c r="E1340" t="str">
        <f>"00053609"</f>
        <v>00053609</v>
      </c>
      <c r="F1340">
        <v>0</v>
      </c>
      <c r="G1340" s="243">
        <v>39314</v>
      </c>
      <c r="H1340" t="s">
        <v>182</v>
      </c>
      <c r="I1340">
        <v>15</v>
      </c>
      <c r="J1340">
        <v>6</v>
      </c>
      <c r="K1340">
        <v>1</v>
      </c>
      <c r="L1340">
        <v>58599</v>
      </c>
      <c r="M1340" t="str">
        <f t="shared" si="194"/>
        <v>13</v>
      </c>
      <c r="N1340" t="s">
        <v>3323</v>
      </c>
      <c r="O1340" t="str">
        <f t="shared" si="192"/>
        <v>55411</v>
      </c>
      <c r="P1340" t="str">
        <f>"2100L"</f>
        <v>2100L</v>
      </c>
      <c r="Q1340" t="str">
        <f t="shared" si="195"/>
        <v>0101</v>
      </c>
      <c r="R1340">
        <v>2100</v>
      </c>
      <c r="S1340" t="str">
        <f t="shared" si="193"/>
        <v>5540</v>
      </c>
      <c r="T1340" t="s">
        <v>3537</v>
      </c>
      <c r="U1340" t="s">
        <v>40</v>
      </c>
    </row>
    <row r="1341" spans="1:21" ht="15" customHeight="1" x14ac:dyDescent="0.3">
      <c r="A1341" t="s">
        <v>179</v>
      </c>
      <c r="B1341" t="str">
        <f>"00065846"</f>
        <v>00065846</v>
      </c>
      <c r="C1341" t="s">
        <v>4260</v>
      </c>
      <c r="D1341" t="s">
        <v>1106</v>
      </c>
      <c r="E1341" t="str">
        <f>"00055085"</f>
        <v>00055085</v>
      </c>
      <c r="F1341">
        <v>0</v>
      </c>
      <c r="G1341" s="243">
        <v>32050</v>
      </c>
      <c r="H1341" t="s">
        <v>182</v>
      </c>
      <c r="I1341">
        <v>15</v>
      </c>
      <c r="J1341">
        <v>16</v>
      </c>
      <c r="K1341">
        <v>1</v>
      </c>
      <c r="L1341">
        <v>100839</v>
      </c>
      <c r="M1341" t="str">
        <f t="shared" si="194"/>
        <v>13</v>
      </c>
      <c r="N1341" t="s">
        <v>3323</v>
      </c>
      <c r="O1341" t="str">
        <f t="shared" si="192"/>
        <v>55411</v>
      </c>
      <c r="P1341" t="str">
        <f>"2100L"</f>
        <v>2100L</v>
      </c>
      <c r="Q1341" t="str">
        <f t="shared" si="195"/>
        <v>0101</v>
      </c>
      <c r="R1341">
        <v>2100</v>
      </c>
      <c r="S1341" t="str">
        <f t="shared" si="193"/>
        <v>5540</v>
      </c>
      <c r="T1341" t="s">
        <v>3537</v>
      </c>
      <c r="U1341" t="s">
        <v>40</v>
      </c>
    </row>
    <row r="1342" spans="1:21" ht="15" customHeight="1" x14ac:dyDescent="0.3">
      <c r="A1342" t="s">
        <v>179</v>
      </c>
      <c r="B1342" t="str">
        <f>"00066014"</f>
        <v>00066014</v>
      </c>
      <c r="C1342" t="s">
        <v>4256</v>
      </c>
      <c r="D1342" t="s">
        <v>1643</v>
      </c>
      <c r="E1342" t="str">
        <f>"00047245"</f>
        <v>00047245</v>
      </c>
      <c r="F1342">
        <v>0</v>
      </c>
      <c r="G1342" s="243">
        <v>36332</v>
      </c>
      <c r="H1342" t="s">
        <v>182</v>
      </c>
      <c r="I1342">
        <v>15</v>
      </c>
      <c r="J1342">
        <v>12</v>
      </c>
      <c r="K1342">
        <v>1</v>
      </c>
      <c r="L1342">
        <v>87431</v>
      </c>
      <c r="M1342" t="str">
        <f t="shared" si="194"/>
        <v>13</v>
      </c>
      <c r="N1342" t="s">
        <v>3370</v>
      </c>
      <c r="O1342" t="str">
        <f t="shared" si="192"/>
        <v>55411</v>
      </c>
      <c r="P1342" t="str">
        <f>"2100L"</f>
        <v>2100L</v>
      </c>
      <c r="Q1342" t="str">
        <f t="shared" si="195"/>
        <v>0101</v>
      </c>
      <c r="R1342">
        <v>2100</v>
      </c>
      <c r="S1342" t="str">
        <f t="shared" si="193"/>
        <v>5540</v>
      </c>
      <c r="T1342" t="s">
        <v>3537</v>
      </c>
      <c r="U1342" t="s">
        <v>40</v>
      </c>
    </row>
    <row r="1343" spans="1:21" ht="15" customHeight="1" x14ac:dyDescent="0.3">
      <c r="A1343" t="s">
        <v>179</v>
      </c>
      <c r="B1343" t="str">
        <f>"00066105"</f>
        <v>00066105</v>
      </c>
      <c r="C1343" t="s">
        <v>4290</v>
      </c>
      <c r="D1343" t="s">
        <v>4713</v>
      </c>
      <c r="E1343" t="str">
        <f>"00069532"</f>
        <v>00069532</v>
      </c>
      <c r="F1343">
        <v>0</v>
      </c>
      <c r="G1343" s="243">
        <v>41133</v>
      </c>
      <c r="H1343" t="s">
        <v>182</v>
      </c>
      <c r="I1343">
        <v>4</v>
      </c>
      <c r="J1343">
        <v>4</v>
      </c>
      <c r="K1343">
        <v>1</v>
      </c>
      <c r="L1343">
        <v>24543.75</v>
      </c>
      <c r="M1343" t="str">
        <f t="shared" si="194"/>
        <v>13</v>
      </c>
      <c r="N1343" t="s">
        <v>3370</v>
      </c>
      <c r="O1343" t="str">
        <f t="shared" si="192"/>
        <v>55411</v>
      </c>
      <c r="P1343" t="str">
        <f>"2200L"</f>
        <v>2200L</v>
      </c>
      <c r="Q1343" t="str">
        <f t="shared" si="195"/>
        <v>0101</v>
      </c>
      <c r="R1343">
        <v>2200</v>
      </c>
      <c r="S1343" t="str">
        <f t="shared" si="193"/>
        <v>5540</v>
      </c>
      <c r="T1343" t="s">
        <v>3537</v>
      </c>
      <c r="U1343" t="s">
        <v>40</v>
      </c>
    </row>
    <row r="1344" spans="1:21" ht="15" customHeight="1" x14ac:dyDescent="0.3">
      <c r="A1344" t="s">
        <v>179</v>
      </c>
      <c r="B1344" t="str">
        <f>"00066107"</f>
        <v>00066107</v>
      </c>
      <c r="C1344" t="s">
        <v>4274</v>
      </c>
      <c r="D1344" t="s">
        <v>4714</v>
      </c>
      <c r="E1344" t="str">
        <f>"00059881"</f>
        <v>00059881</v>
      </c>
      <c r="F1344">
        <v>0</v>
      </c>
      <c r="G1344" s="243">
        <v>40140</v>
      </c>
      <c r="H1344" t="s">
        <v>182</v>
      </c>
      <c r="I1344">
        <v>4</v>
      </c>
      <c r="J1344">
        <v>7</v>
      </c>
      <c r="K1344">
        <v>1</v>
      </c>
      <c r="L1344">
        <v>26633.25</v>
      </c>
      <c r="M1344" t="str">
        <f t="shared" si="194"/>
        <v>13</v>
      </c>
      <c r="N1344" t="s">
        <v>3323</v>
      </c>
      <c r="O1344" t="str">
        <f t="shared" si="192"/>
        <v>55411</v>
      </c>
      <c r="P1344" t="str">
        <f t="shared" ref="P1344:P1355" si="197">"2100L"</f>
        <v>2100L</v>
      </c>
      <c r="Q1344" t="str">
        <f t="shared" si="195"/>
        <v>0101</v>
      </c>
      <c r="R1344">
        <v>2100</v>
      </c>
      <c r="S1344" t="str">
        <f t="shared" si="193"/>
        <v>5540</v>
      </c>
      <c r="T1344" t="s">
        <v>3537</v>
      </c>
      <c r="U1344" t="s">
        <v>40</v>
      </c>
    </row>
    <row r="1345" spans="1:21" ht="15" customHeight="1" x14ac:dyDescent="0.3">
      <c r="A1345" t="s">
        <v>179</v>
      </c>
      <c r="B1345" t="str">
        <f>"00066214"</f>
        <v>00066214</v>
      </c>
      <c r="C1345" t="s">
        <v>4290</v>
      </c>
      <c r="H1345" t="s">
        <v>170</v>
      </c>
      <c r="I1345">
        <v>4</v>
      </c>
      <c r="J1345">
        <v>1</v>
      </c>
      <c r="K1345">
        <v>1</v>
      </c>
      <c r="L1345">
        <v>25662</v>
      </c>
      <c r="M1345" t="str">
        <f t="shared" si="194"/>
        <v>13</v>
      </c>
      <c r="N1345" t="s">
        <v>3370</v>
      </c>
      <c r="O1345" t="str">
        <f t="shared" si="192"/>
        <v>55411</v>
      </c>
      <c r="P1345" t="str">
        <f t="shared" si="197"/>
        <v>2100L</v>
      </c>
      <c r="Q1345" t="str">
        <f t="shared" si="195"/>
        <v>0101</v>
      </c>
      <c r="R1345">
        <v>2100</v>
      </c>
      <c r="S1345" t="str">
        <f t="shared" si="193"/>
        <v>5540</v>
      </c>
      <c r="T1345" t="s">
        <v>3537</v>
      </c>
      <c r="U1345" t="s">
        <v>40</v>
      </c>
    </row>
    <row r="1346" spans="1:21" ht="15" customHeight="1" x14ac:dyDescent="0.3">
      <c r="A1346" t="s">
        <v>179</v>
      </c>
      <c r="B1346" t="str">
        <f>"00066886"</f>
        <v>00066886</v>
      </c>
      <c r="C1346" t="s">
        <v>4272</v>
      </c>
      <c r="D1346" t="s">
        <v>1385</v>
      </c>
      <c r="E1346" t="str">
        <f>"00056934"</f>
        <v>00056934</v>
      </c>
      <c r="F1346">
        <v>0</v>
      </c>
      <c r="G1346" s="243">
        <v>40042</v>
      </c>
      <c r="H1346" t="s">
        <v>182</v>
      </c>
      <c r="I1346">
        <v>15</v>
      </c>
      <c r="J1346">
        <v>7</v>
      </c>
      <c r="K1346">
        <v>1</v>
      </c>
      <c r="L1346">
        <v>69132</v>
      </c>
      <c r="M1346" t="str">
        <f t="shared" si="194"/>
        <v>13</v>
      </c>
      <c r="N1346" t="s">
        <v>3323</v>
      </c>
      <c r="O1346" t="str">
        <f t="shared" si="192"/>
        <v>55411</v>
      </c>
      <c r="P1346" t="str">
        <f t="shared" si="197"/>
        <v>2100L</v>
      </c>
      <c r="Q1346" t="str">
        <f t="shared" si="195"/>
        <v>0101</v>
      </c>
      <c r="R1346">
        <v>2100</v>
      </c>
      <c r="S1346" t="str">
        <f t="shared" si="193"/>
        <v>5540</v>
      </c>
      <c r="T1346" t="s">
        <v>3537</v>
      </c>
      <c r="U1346" t="s">
        <v>40</v>
      </c>
    </row>
    <row r="1347" spans="1:21" ht="15" customHeight="1" x14ac:dyDescent="0.3">
      <c r="A1347" t="s">
        <v>179</v>
      </c>
      <c r="B1347" t="str">
        <f>"00072729"</f>
        <v>00072729</v>
      </c>
      <c r="C1347" t="s">
        <v>4262</v>
      </c>
      <c r="D1347" t="s">
        <v>219</v>
      </c>
      <c r="E1347" t="str">
        <f>"00045350"</f>
        <v>00045350</v>
      </c>
      <c r="F1347">
        <v>0</v>
      </c>
      <c r="G1347" s="243">
        <v>38226</v>
      </c>
      <c r="H1347" t="s">
        <v>182</v>
      </c>
      <c r="I1347">
        <v>15</v>
      </c>
      <c r="J1347">
        <v>14</v>
      </c>
      <c r="K1347">
        <v>1</v>
      </c>
      <c r="L1347">
        <v>96460</v>
      </c>
      <c r="M1347" t="str">
        <f t="shared" si="194"/>
        <v>13</v>
      </c>
      <c r="N1347" t="s">
        <v>3323</v>
      </c>
      <c r="O1347" t="str">
        <f t="shared" si="192"/>
        <v>55411</v>
      </c>
      <c r="P1347" t="str">
        <f t="shared" si="197"/>
        <v>2100L</v>
      </c>
      <c r="Q1347" t="str">
        <f t="shared" si="195"/>
        <v>0101</v>
      </c>
      <c r="R1347">
        <v>2100</v>
      </c>
      <c r="S1347" t="str">
        <f t="shared" si="193"/>
        <v>5540</v>
      </c>
      <c r="T1347" t="s">
        <v>3537</v>
      </c>
      <c r="U1347" t="s">
        <v>40</v>
      </c>
    </row>
    <row r="1348" spans="1:21" ht="15" customHeight="1" x14ac:dyDescent="0.3">
      <c r="A1348" t="s">
        <v>179</v>
      </c>
      <c r="B1348" t="str">
        <f>"00074116"</f>
        <v>00074116</v>
      </c>
      <c r="C1348" t="s">
        <v>4262</v>
      </c>
      <c r="D1348" t="s">
        <v>4715</v>
      </c>
      <c r="E1348" t="str">
        <f>"00069730"</f>
        <v>00069730</v>
      </c>
      <c r="F1348">
        <v>0</v>
      </c>
      <c r="G1348" s="243">
        <v>41133</v>
      </c>
      <c r="H1348" t="s">
        <v>182</v>
      </c>
      <c r="I1348">
        <v>15</v>
      </c>
      <c r="J1348">
        <v>3</v>
      </c>
      <c r="K1348">
        <v>1</v>
      </c>
      <c r="L1348">
        <v>52777</v>
      </c>
      <c r="M1348" t="str">
        <f t="shared" si="194"/>
        <v>13</v>
      </c>
      <c r="N1348" t="s">
        <v>3370</v>
      </c>
      <c r="O1348" t="str">
        <f t="shared" si="192"/>
        <v>55411</v>
      </c>
      <c r="P1348" t="str">
        <f t="shared" si="197"/>
        <v>2100L</v>
      </c>
      <c r="Q1348" t="str">
        <f t="shared" si="195"/>
        <v>0101</v>
      </c>
      <c r="R1348">
        <v>2100</v>
      </c>
      <c r="S1348" t="str">
        <f t="shared" si="193"/>
        <v>5540</v>
      </c>
      <c r="T1348" t="s">
        <v>3537</v>
      </c>
      <c r="U1348" t="s">
        <v>40</v>
      </c>
    </row>
    <row r="1349" spans="1:21" ht="15" customHeight="1" x14ac:dyDescent="0.3">
      <c r="A1349" t="s">
        <v>179</v>
      </c>
      <c r="B1349" t="str">
        <f>"00074127"</f>
        <v>00074127</v>
      </c>
      <c r="C1349" t="s">
        <v>200</v>
      </c>
      <c r="D1349" t="s">
        <v>3538</v>
      </c>
      <c r="E1349" t="str">
        <f>"00047398"</f>
        <v>00047398</v>
      </c>
      <c r="F1349">
        <v>0</v>
      </c>
      <c r="G1349" s="243">
        <v>37124</v>
      </c>
      <c r="H1349" t="s">
        <v>182</v>
      </c>
      <c r="I1349">
        <v>15</v>
      </c>
      <c r="J1349">
        <v>16</v>
      </c>
      <c r="K1349">
        <v>1</v>
      </c>
      <c r="L1349">
        <v>103347</v>
      </c>
      <c r="M1349" t="str">
        <f t="shared" si="194"/>
        <v>13</v>
      </c>
      <c r="N1349" t="s">
        <v>3323</v>
      </c>
      <c r="O1349" t="str">
        <f t="shared" si="192"/>
        <v>55411</v>
      </c>
      <c r="P1349" t="str">
        <f t="shared" si="197"/>
        <v>2100L</v>
      </c>
      <c r="Q1349" t="str">
        <f t="shared" si="195"/>
        <v>0101</v>
      </c>
      <c r="R1349">
        <v>2100</v>
      </c>
      <c r="S1349" t="str">
        <f t="shared" si="193"/>
        <v>5540</v>
      </c>
      <c r="T1349" t="s">
        <v>3537</v>
      </c>
      <c r="U1349" t="s">
        <v>40</v>
      </c>
    </row>
    <row r="1350" spans="1:21" ht="15" customHeight="1" x14ac:dyDescent="0.3">
      <c r="A1350" t="s">
        <v>179</v>
      </c>
      <c r="B1350" t="str">
        <f>"00074641"</f>
        <v>00074641</v>
      </c>
      <c r="C1350" t="s">
        <v>4254</v>
      </c>
      <c r="D1350" t="s">
        <v>714</v>
      </c>
      <c r="E1350" t="str">
        <f>"00048769"</f>
        <v>00048769</v>
      </c>
      <c r="F1350">
        <v>0</v>
      </c>
      <c r="G1350" s="243">
        <v>37124</v>
      </c>
      <c r="H1350" t="s">
        <v>182</v>
      </c>
      <c r="I1350">
        <v>15</v>
      </c>
      <c r="J1350">
        <v>13</v>
      </c>
      <c r="K1350">
        <v>1</v>
      </c>
      <c r="L1350">
        <v>86613</v>
      </c>
      <c r="M1350" t="str">
        <f t="shared" si="194"/>
        <v>13</v>
      </c>
      <c r="N1350" t="s">
        <v>3370</v>
      </c>
      <c r="O1350" t="str">
        <f t="shared" si="192"/>
        <v>55411</v>
      </c>
      <c r="P1350" t="str">
        <f t="shared" si="197"/>
        <v>2100L</v>
      </c>
      <c r="Q1350" t="str">
        <f t="shared" si="195"/>
        <v>0101</v>
      </c>
      <c r="R1350">
        <v>2100</v>
      </c>
      <c r="S1350" t="str">
        <f t="shared" si="193"/>
        <v>5540</v>
      </c>
      <c r="T1350" t="s">
        <v>3537</v>
      </c>
      <c r="U1350" t="s">
        <v>40</v>
      </c>
    </row>
    <row r="1351" spans="1:21" ht="15" customHeight="1" x14ac:dyDescent="0.3">
      <c r="A1351" t="s">
        <v>179</v>
      </c>
      <c r="B1351" t="str">
        <f>"00074740"</f>
        <v>00074740</v>
      </c>
      <c r="C1351" t="s">
        <v>4253</v>
      </c>
      <c r="D1351" t="s">
        <v>3539</v>
      </c>
      <c r="E1351" t="str">
        <f>"00047713"</f>
        <v>00047713</v>
      </c>
      <c r="F1351">
        <v>0</v>
      </c>
      <c r="G1351" s="243">
        <v>32756</v>
      </c>
      <c r="H1351" t="s">
        <v>182</v>
      </c>
      <c r="I1351">
        <v>15</v>
      </c>
      <c r="J1351">
        <v>16</v>
      </c>
      <c r="K1351">
        <v>1</v>
      </c>
      <c r="L1351">
        <v>106540</v>
      </c>
      <c r="M1351" t="str">
        <f t="shared" si="194"/>
        <v>13</v>
      </c>
      <c r="N1351" t="s">
        <v>3323</v>
      </c>
      <c r="O1351" t="str">
        <f t="shared" si="192"/>
        <v>55411</v>
      </c>
      <c r="P1351" t="str">
        <f t="shared" si="197"/>
        <v>2100L</v>
      </c>
      <c r="Q1351" t="str">
        <f t="shared" si="195"/>
        <v>0101</v>
      </c>
      <c r="R1351">
        <v>2100</v>
      </c>
      <c r="S1351" t="str">
        <f t="shared" si="193"/>
        <v>5540</v>
      </c>
      <c r="T1351" t="s">
        <v>3537</v>
      </c>
      <c r="U1351" t="s">
        <v>4269</v>
      </c>
    </row>
    <row r="1352" spans="1:21" ht="15" customHeight="1" x14ac:dyDescent="0.3">
      <c r="A1352" t="s">
        <v>179</v>
      </c>
      <c r="B1352" t="str">
        <f>"00076131"</f>
        <v>00076131</v>
      </c>
      <c r="C1352" t="s">
        <v>4256</v>
      </c>
      <c r="D1352" t="s">
        <v>4716</v>
      </c>
      <c r="E1352" t="str">
        <f>"00045321"</f>
        <v>00045321</v>
      </c>
      <c r="F1352">
        <v>0</v>
      </c>
      <c r="G1352" s="243">
        <v>41133</v>
      </c>
      <c r="H1352" t="s">
        <v>182</v>
      </c>
      <c r="I1352">
        <v>15</v>
      </c>
      <c r="J1352">
        <v>7</v>
      </c>
      <c r="K1352">
        <v>0.5</v>
      </c>
      <c r="L1352">
        <v>69132</v>
      </c>
      <c r="M1352" t="str">
        <f t="shared" si="194"/>
        <v>13</v>
      </c>
      <c r="N1352" t="s">
        <v>3323</v>
      </c>
      <c r="O1352" t="str">
        <f t="shared" si="192"/>
        <v>55411</v>
      </c>
      <c r="P1352" t="str">
        <f t="shared" si="197"/>
        <v>2100L</v>
      </c>
      <c r="Q1352" t="str">
        <f t="shared" si="195"/>
        <v>0101</v>
      </c>
      <c r="R1352">
        <v>2100</v>
      </c>
      <c r="S1352" t="str">
        <f t="shared" si="193"/>
        <v>5540</v>
      </c>
      <c r="T1352" t="s">
        <v>3537</v>
      </c>
      <c r="U1352" t="s">
        <v>40</v>
      </c>
    </row>
    <row r="1353" spans="1:21" ht="15" customHeight="1" x14ac:dyDescent="0.3">
      <c r="A1353" t="s">
        <v>179</v>
      </c>
      <c r="B1353" t="str">
        <f>"00076132"</f>
        <v>00076132</v>
      </c>
      <c r="C1353" t="s">
        <v>4271</v>
      </c>
      <c r="H1353" t="s">
        <v>170</v>
      </c>
      <c r="I1353">
        <v>15</v>
      </c>
      <c r="J1353">
        <v>0</v>
      </c>
      <c r="K1353">
        <v>0.5</v>
      </c>
      <c r="L1353">
        <v>60128</v>
      </c>
      <c r="M1353" t="str">
        <f t="shared" si="194"/>
        <v>13</v>
      </c>
      <c r="N1353" t="s">
        <v>3323</v>
      </c>
      <c r="O1353" t="str">
        <f t="shared" si="192"/>
        <v>55411</v>
      </c>
      <c r="P1353" t="str">
        <f t="shared" si="197"/>
        <v>2100L</v>
      </c>
      <c r="Q1353" t="str">
        <f t="shared" si="195"/>
        <v>0101</v>
      </c>
      <c r="R1353">
        <v>2100</v>
      </c>
      <c r="S1353" t="str">
        <f t="shared" si="193"/>
        <v>5540</v>
      </c>
      <c r="T1353" t="s">
        <v>3537</v>
      </c>
      <c r="U1353" t="s">
        <v>40</v>
      </c>
    </row>
    <row r="1354" spans="1:21" ht="15" customHeight="1" x14ac:dyDescent="0.3">
      <c r="A1354" t="s">
        <v>179</v>
      </c>
      <c r="B1354" t="str">
        <f>"00051666"</f>
        <v>00051666</v>
      </c>
      <c r="C1354" t="s">
        <v>4262</v>
      </c>
      <c r="D1354" t="s">
        <v>1386</v>
      </c>
      <c r="E1354" t="str">
        <f>"00045393"</f>
        <v>00045393</v>
      </c>
      <c r="F1354">
        <v>0</v>
      </c>
      <c r="G1354" s="243">
        <v>35831</v>
      </c>
      <c r="H1354" t="s">
        <v>182</v>
      </c>
      <c r="I1354">
        <v>15</v>
      </c>
      <c r="J1354">
        <v>12</v>
      </c>
      <c r="K1354">
        <v>1</v>
      </c>
      <c r="L1354">
        <v>87431</v>
      </c>
      <c r="M1354" t="str">
        <f t="shared" si="194"/>
        <v>13</v>
      </c>
      <c r="N1354" t="s">
        <v>3323</v>
      </c>
      <c r="O1354" t="str">
        <f t="shared" ref="O1354:O1389" si="198">"55511"</f>
        <v>55511</v>
      </c>
      <c r="P1354" t="str">
        <f t="shared" si="197"/>
        <v>2100L</v>
      </c>
      <c r="Q1354" t="str">
        <f t="shared" si="195"/>
        <v>0101</v>
      </c>
      <c r="R1354">
        <v>2100</v>
      </c>
      <c r="S1354" t="str">
        <f t="shared" ref="S1354:S1389" si="199">"5550"</f>
        <v>5550</v>
      </c>
      <c r="T1354" t="s">
        <v>3541</v>
      </c>
      <c r="U1354" t="s">
        <v>4717</v>
      </c>
    </row>
    <row r="1355" spans="1:21" ht="15" customHeight="1" x14ac:dyDescent="0.3">
      <c r="A1355" t="s">
        <v>179</v>
      </c>
      <c r="B1355" t="str">
        <f>"00052213"</f>
        <v>00052213</v>
      </c>
      <c r="C1355" t="s">
        <v>4262</v>
      </c>
      <c r="D1355" t="s">
        <v>635</v>
      </c>
      <c r="E1355" t="str">
        <f>"00047604"</f>
        <v>00047604</v>
      </c>
      <c r="F1355">
        <v>0</v>
      </c>
      <c r="G1355" s="243">
        <v>33116</v>
      </c>
      <c r="H1355" t="s">
        <v>182</v>
      </c>
      <c r="I1355">
        <v>15</v>
      </c>
      <c r="J1355">
        <v>16</v>
      </c>
      <c r="K1355">
        <v>1</v>
      </c>
      <c r="L1355">
        <v>100839</v>
      </c>
      <c r="M1355" t="str">
        <f t="shared" si="194"/>
        <v>13</v>
      </c>
      <c r="N1355" t="s">
        <v>3323</v>
      </c>
      <c r="O1355" t="str">
        <f t="shared" si="198"/>
        <v>55511</v>
      </c>
      <c r="P1355" t="str">
        <f t="shared" si="197"/>
        <v>2100L</v>
      </c>
      <c r="Q1355" t="str">
        <f t="shared" si="195"/>
        <v>0101</v>
      </c>
      <c r="R1355">
        <v>2100</v>
      </c>
      <c r="S1355" t="str">
        <f t="shared" si="199"/>
        <v>5550</v>
      </c>
      <c r="T1355" t="s">
        <v>3541</v>
      </c>
      <c r="U1355" t="s">
        <v>4717</v>
      </c>
    </row>
    <row r="1356" spans="1:21" ht="15" customHeight="1" x14ac:dyDescent="0.3">
      <c r="A1356" t="s">
        <v>179</v>
      </c>
      <c r="B1356" t="str">
        <f>"00052281"</f>
        <v>00052281</v>
      </c>
      <c r="C1356" t="s">
        <v>4274</v>
      </c>
      <c r="D1356" t="s">
        <v>4718</v>
      </c>
      <c r="E1356" t="str">
        <f>"00029402"</f>
        <v>00029402</v>
      </c>
      <c r="F1356">
        <v>1</v>
      </c>
      <c r="G1356" s="243">
        <v>33147</v>
      </c>
      <c r="H1356" t="s">
        <v>182</v>
      </c>
      <c r="I1356">
        <v>4</v>
      </c>
      <c r="J1356">
        <v>9</v>
      </c>
      <c r="K1356">
        <v>0.875</v>
      </c>
      <c r="L1356">
        <v>28025.38</v>
      </c>
      <c r="M1356" t="str">
        <f t="shared" si="194"/>
        <v>13</v>
      </c>
      <c r="N1356" t="s">
        <v>3323</v>
      </c>
      <c r="O1356" t="str">
        <f t="shared" si="198"/>
        <v>55511</v>
      </c>
      <c r="P1356" t="str">
        <f>"2200L"</f>
        <v>2200L</v>
      </c>
      <c r="Q1356" t="str">
        <f t="shared" si="195"/>
        <v>0101</v>
      </c>
      <c r="R1356">
        <v>2200</v>
      </c>
      <c r="S1356" t="str">
        <f t="shared" si="199"/>
        <v>5550</v>
      </c>
      <c r="T1356" t="s">
        <v>3541</v>
      </c>
      <c r="U1356" t="s">
        <v>4717</v>
      </c>
    </row>
    <row r="1357" spans="1:21" ht="15" customHeight="1" x14ac:dyDescent="0.3">
      <c r="A1357" t="s">
        <v>179</v>
      </c>
      <c r="B1357" t="str">
        <f>"00052589"</f>
        <v>00052589</v>
      </c>
      <c r="C1357" t="s">
        <v>4257</v>
      </c>
      <c r="D1357" t="s">
        <v>1387</v>
      </c>
      <c r="E1357" t="str">
        <f>"00048613"</f>
        <v>00048613</v>
      </c>
      <c r="F1357">
        <v>0</v>
      </c>
      <c r="G1357" s="243">
        <v>34213</v>
      </c>
      <c r="H1357" t="s">
        <v>182</v>
      </c>
      <c r="I1357">
        <v>15</v>
      </c>
      <c r="J1357">
        <v>15</v>
      </c>
      <c r="K1357">
        <v>1</v>
      </c>
      <c r="L1357">
        <v>98285</v>
      </c>
      <c r="M1357" t="str">
        <f t="shared" si="194"/>
        <v>13</v>
      </c>
      <c r="N1357" t="s">
        <v>3323</v>
      </c>
      <c r="O1357" t="str">
        <f t="shared" si="198"/>
        <v>55511</v>
      </c>
      <c r="P1357" t="str">
        <f>"2100L"</f>
        <v>2100L</v>
      </c>
      <c r="Q1357" t="str">
        <f t="shared" si="195"/>
        <v>0101</v>
      </c>
      <c r="R1357">
        <v>2100</v>
      </c>
      <c r="S1357" t="str">
        <f t="shared" si="199"/>
        <v>5550</v>
      </c>
      <c r="T1357" t="s">
        <v>3541</v>
      </c>
      <c r="U1357" t="s">
        <v>4717</v>
      </c>
    </row>
    <row r="1358" spans="1:21" ht="15" customHeight="1" x14ac:dyDescent="0.3">
      <c r="A1358" t="s">
        <v>179</v>
      </c>
      <c r="B1358" t="str">
        <f>"00052668"</f>
        <v>00052668</v>
      </c>
      <c r="C1358" t="s">
        <v>4262</v>
      </c>
      <c r="D1358" t="s">
        <v>3327</v>
      </c>
      <c r="E1358" t="str">
        <f>"00065962"</f>
        <v>00065962</v>
      </c>
      <c r="F1358">
        <v>0</v>
      </c>
      <c r="G1358" s="243">
        <v>40755</v>
      </c>
      <c r="H1358" t="s">
        <v>182</v>
      </c>
      <c r="I1358">
        <v>15</v>
      </c>
      <c r="J1358">
        <v>1</v>
      </c>
      <c r="K1358">
        <v>1</v>
      </c>
      <c r="L1358">
        <v>54975</v>
      </c>
      <c r="M1358" t="str">
        <f t="shared" si="194"/>
        <v>13</v>
      </c>
      <c r="N1358" t="s">
        <v>3370</v>
      </c>
      <c r="O1358" t="str">
        <f t="shared" si="198"/>
        <v>55511</v>
      </c>
      <c r="P1358" t="str">
        <f>"2100L"</f>
        <v>2100L</v>
      </c>
      <c r="Q1358" t="str">
        <f t="shared" si="195"/>
        <v>0101</v>
      </c>
      <c r="R1358">
        <v>2100</v>
      </c>
      <c r="S1358" t="str">
        <f t="shared" si="199"/>
        <v>5550</v>
      </c>
      <c r="T1358" t="s">
        <v>3541</v>
      </c>
      <c r="U1358" t="s">
        <v>4717</v>
      </c>
    </row>
    <row r="1359" spans="1:21" ht="15" customHeight="1" x14ac:dyDescent="0.3">
      <c r="A1359" t="s">
        <v>179</v>
      </c>
      <c r="B1359" t="str">
        <f>"00053450"</f>
        <v>00053450</v>
      </c>
      <c r="C1359" t="s">
        <v>4272</v>
      </c>
      <c r="D1359" t="s">
        <v>1388</v>
      </c>
      <c r="E1359" t="str">
        <f>"00051503"</f>
        <v>00051503</v>
      </c>
      <c r="F1359">
        <v>0</v>
      </c>
      <c r="G1359" s="243">
        <v>32050</v>
      </c>
      <c r="H1359" t="s">
        <v>182</v>
      </c>
      <c r="I1359">
        <v>15</v>
      </c>
      <c r="J1359">
        <v>16</v>
      </c>
      <c r="K1359">
        <v>1</v>
      </c>
      <c r="L1359">
        <v>106540</v>
      </c>
      <c r="M1359" t="str">
        <f t="shared" si="194"/>
        <v>13</v>
      </c>
      <c r="N1359" t="s">
        <v>3323</v>
      </c>
      <c r="O1359" t="str">
        <f t="shared" si="198"/>
        <v>55511</v>
      </c>
      <c r="P1359" t="str">
        <f>"2200L"</f>
        <v>2200L</v>
      </c>
      <c r="Q1359" t="str">
        <f t="shared" si="195"/>
        <v>0101</v>
      </c>
      <c r="R1359">
        <v>2200</v>
      </c>
      <c r="S1359" t="str">
        <f t="shared" si="199"/>
        <v>5550</v>
      </c>
      <c r="T1359" t="s">
        <v>3541</v>
      </c>
      <c r="U1359" t="s">
        <v>4717</v>
      </c>
    </row>
    <row r="1360" spans="1:21" ht="15" customHeight="1" x14ac:dyDescent="0.3">
      <c r="A1360" t="s">
        <v>179</v>
      </c>
      <c r="B1360" t="str">
        <f>"00053455"</f>
        <v>00053455</v>
      </c>
      <c r="C1360" t="s">
        <v>4256</v>
      </c>
      <c r="D1360" t="s">
        <v>4719</v>
      </c>
      <c r="E1360" t="str">
        <f>"00045190"</f>
        <v>00045190</v>
      </c>
      <c r="F1360">
        <v>0</v>
      </c>
      <c r="G1360" s="243">
        <v>37124</v>
      </c>
      <c r="H1360" t="s">
        <v>182</v>
      </c>
      <c r="I1360">
        <v>15</v>
      </c>
      <c r="J1360">
        <v>16</v>
      </c>
      <c r="K1360">
        <v>1</v>
      </c>
      <c r="L1360">
        <v>106540</v>
      </c>
      <c r="M1360" t="str">
        <f t="shared" si="194"/>
        <v>13</v>
      </c>
      <c r="N1360" t="s">
        <v>3323</v>
      </c>
      <c r="O1360" t="str">
        <f t="shared" si="198"/>
        <v>55511</v>
      </c>
      <c r="P1360" t="str">
        <f>"2100L"</f>
        <v>2100L</v>
      </c>
      <c r="Q1360" t="str">
        <f t="shared" si="195"/>
        <v>0101</v>
      </c>
      <c r="R1360">
        <v>2100</v>
      </c>
      <c r="S1360" t="str">
        <f t="shared" si="199"/>
        <v>5550</v>
      </c>
      <c r="T1360" t="s">
        <v>3541</v>
      </c>
      <c r="U1360" t="s">
        <v>4717</v>
      </c>
    </row>
    <row r="1361" spans="1:21" ht="15" customHeight="1" x14ac:dyDescent="0.3">
      <c r="A1361" t="s">
        <v>179</v>
      </c>
      <c r="B1361" t="str">
        <f>"00053858"</f>
        <v>00053858</v>
      </c>
      <c r="C1361" t="s">
        <v>4360</v>
      </c>
      <c r="D1361" t="s">
        <v>4720</v>
      </c>
      <c r="E1361" t="str">
        <f>"00052645"</f>
        <v>00052645</v>
      </c>
      <c r="F1361">
        <v>0</v>
      </c>
      <c r="G1361" s="243">
        <v>26623</v>
      </c>
      <c r="H1361" t="s">
        <v>182</v>
      </c>
      <c r="I1361">
        <v>7</v>
      </c>
      <c r="J1361">
        <v>7</v>
      </c>
      <c r="K1361">
        <v>1</v>
      </c>
      <c r="L1361">
        <v>41514</v>
      </c>
      <c r="M1361" t="str">
        <f t="shared" si="194"/>
        <v>13</v>
      </c>
      <c r="N1361" t="s">
        <v>3323</v>
      </c>
      <c r="O1361" t="str">
        <f t="shared" si="198"/>
        <v>55511</v>
      </c>
      <c r="P1361" t="str">
        <f>"1502L"</f>
        <v>1502L</v>
      </c>
      <c r="Q1361" t="str">
        <f t="shared" si="195"/>
        <v>0101</v>
      </c>
      <c r="R1361">
        <v>1502</v>
      </c>
      <c r="S1361" t="str">
        <f t="shared" si="199"/>
        <v>5550</v>
      </c>
      <c r="T1361" t="s">
        <v>3541</v>
      </c>
      <c r="U1361" t="s">
        <v>4717</v>
      </c>
    </row>
    <row r="1362" spans="1:21" ht="15" customHeight="1" x14ac:dyDescent="0.3">
      <c r="A1362" t="s">
        <v>179</v>
      </c>
      <c r="B1362" t="str">
        <f>"00054398"</f>
        <v>00054398</v>
      </c>
      <c r="C1362" t="s">
        <v>3798</v>
      </c>
      <c r="D1362" t="s">
        <v>1418</v>
      </c>
      <c r="E1362" t="str">
        <f>"00046875"</f>
        <v>00046875</v>
      </c>
      <c r="F1362">
        <v>0</v>
      </c>
      <c r="G1362" s="243">
        <v>36415</v>
      </c>
      <c r="H1362" t="s">
        <v>182</v>
      </c>
      <c r="I1362">
        <v>61</v>
      </c>
      <c r="J1362">
        <v>2</v>
      </c>
      <c r="K1362">
        <v>1</v>
      </c>
      <c r="L1362">
        <v>105000</v>
      </c>
      <c r="M1362" t="str">
        <f t="shared" si="194"/>
        <v>13</v>
      </c>
      <c r="N1362" t="s">
        <v>3323</v>
      </c>
      <c r="O1362" t="str">
        <f t="shared" si="198"/>
        <v>55511</v>
      </c>
      <c r="P1362" t="str">
        <f>"1501L"</f>
        <v>1501L</v>
      </c>
      <c r="Q1362" t="str">
        <f t="shared" si="195"/>
        <v>0101</v>
      </c>
      <c r="R1362">
        <v>1501</v>
      </c>
      <c r="S1362" t="str">
        <f t="shared" si="199"/>
        <v>5550</v>
      </c>
      <c r="T1362" t="s">
        <v>3541</v>
      </c>
      <c r="U1362" t="s">
        <v>4717</v>
      </c>
    </row>
    <row r="1363" spans="1:21" ht="15" customHeight="1" x14ac:dyDescent="0.3">
      <c r="A1363" t="s">
        <v>179</v>
      </c>
      <c r="B1363" t="str">
        <f>"00054438"</f>
        <v>00054438</v>
      </c>
      <c r="C1363" t="s">
        <v>4262</v>
      </c>
      <c r="D1363" t="s">
        <v>192</v>
      </c>
      <c r="E1363" t="str">
        <f>"00053684"</f>
        <v>00053684</v>
      </c>
      <c r="F1363">
        <v>0</v>
      </c>
      <c r="G1363" s="243">
        <v>36207</v>
      </c>
      <c r="H1363" t="s">
        <v>182</v>
      </c>
      <c r="I1363">
        <v>15</v>
      </c>
      <c r="J1363">
        <v>13</v>
      </c>
      <c r="K1363">
        <v>1</v>
      </c>
      <c r="L1363">
        <v>81724</v>
      </c>
      <c r="M1363" t="str">
        <f t="shared" si="194"/>
        <v>13</v>
      </c>
      <c r="N1363" t="s">
        <v>3370</v>
      </c>
      <c r="O1363" t="str">
        <f t="shared" si="198"/>
        <v>55511</v>
      </c>
      <c r="P1363" t="str">
        <f>"2100L"</f>
        <v>2100L</v>
      </c>
      <c r="Q1363" t="str">
        <f t="shared" si="195"/>
        <v>0101</v>
      </c>
      <c r="R1363">
        <v>2100</v>
      </c>
      <c r="S1363" t="str">
        <f t="shared" si="199"/>
        <v>5550</v>
      </c>
      <c r="T1363" t="s">
        <v>3541</v>
      </c>
      <c r="U1363" t="s">
        <v>4717</v>
      </c>
    </row>
    <row r="1364" spans="1:21" ht="15" customHeight="1" x14ac:dyDescent="0.3">
      <c r="A1364" t="s">
        <v>179</v>
      </c>
      <c r="B1364" t="str">
        <f>"00054541"</f>
        <v>00054541</v>
      </c>
      <c r="C1364" t="s">
        <v>4272</v>
      </c>
      <c r="D1364" t="s">
        <v>1390</v>
      </c>
      <c r="E1364" t="str">
        <f>"00054181"</f>
        <v>00054181</v>
      </c>
      <c r="F1364">
        <v>0</v>
      </c>
      <c r="G1364" s="243">
        <v>32050</v>
      </c>
      <c r="H1364" t="s">
        <v>182</v>
      </c>
      <c r="I1364">
        <v>15</v>
      </c>
      <c r="J1364">
        <v>16</v>
      </c>
      <c r="K1364">
        <v>1</v>
      </c>
      <c r="L1364">
        <v>100839</v>
      </c>
      <c r="M1364" t="str">
        <f t="shared" si="194"/>
        <v>13</v>
      </c>
      <c r="N1364" t="s">
        <v>3323</v>
      </c>
      <c r="O1364" t="str">
        <f t="shared" si="198"/>
        <v>55511</v>
      </c>
      <c r="P1364" t="str">
        <f>"2100L"</f>
        <v>2100L</v>
      </c>
      <c r="Q1364" t="str">
        <f t="shared" si="195"/>
        <v>0101</v>
      </c>
      <c r="R1364">
        <v>2100</v>
      </c>
      <c r="S1364" t="str">
        <f t="shared" si="199"/>
        <v>5550</v>
      </c>
      <c r="T1364" t="s">
        <v>3541</v>
      </c>
      <c r="U1364" t="s">
        <v>4717</v>
      </c>
    </row>
    <row r="1365" spans="1:21" ht="15" customHeight="1" x14ac:dyDescent="0.3">
      <c r="A1365" t="s">
        <v>179</v>
      </c>
      <c r="B1365" t="str">
        <f>"00054715"</f>
        <v>00054715</v>
      </c>
      <c r="C1365" t="s">
        <v>4288</v>
      </c>
      <c r="D1365" t="s">
        <v>4721</v>
      </c>
      <c r="E1365" t="str">
        <f>"00054467"</f>
        <v>00054467</v>
      </c>
      <c r="F1365">
        <v>0</v>
      </c>
      <c r="G1365" s="243">
        <v>34008</v>
      </c>
      <c r="H1365" t="s">
        <v>182</v>
      </c>
      <c r="I1365">
        <v>4</v>
      </c>
      <c r="J1365">
        <v>10</v>
      </c>
      <c r="K1365">
        <v>1</v>
      </c>
      <c r="L1365">
        <v>28721</v>
      </c>
      <c r="M1365" t="str">
        <f t="shared" si="194"/>
        <v>13</v>
      </c>
      <c r="N1365" t="s">
        <v>3323</v>
      </c>
      <c r="O1365" t="str">
        <f t="shared" si="198"/>
        <v>55511</v>
      </c>
      <c r="P1365" t="str">
        <f>"2200L"</f>
        <v>2200L</v>
      </c>
      <c r="Q1365" t="str">
        <f t="shared" si="195"/>
        <v>0101</v>
      </c>
      <c r="R1365">
        <v>2200</v>
      </c>
      <c r="S1365" t="str">
        <f t="shared" si="199"/>
        <v>5550</v>
      </c>
      <c r="T1365" t="s">
        <v>3541</v>
      </c>
      <c r="U1365" t="s">
        <v>4717</v>
      </c>
    </row>
    <row r="1366" spans="1:21" ht="15" customHeight="1" x14ac:dyDescent="0.3">
      <c r="A1366" t="s">
        <v>179</v>
      </c>
      <c r="B1366" t="str">
        <f>"00054789"</f>
        <v>00054789</v>
      </c>
      <c r="C1366" t="s">
        <v>4274</v>
      </c>
      <c r="D1366" t="s">
        <v>4722</v>
      </c>
      <c r="E1366" t="str">
        <f>"00054631"</f>
        <v>00054631</v>
      </c>
      <c r="F1366">
        <v>0</v>
      </c>
      <c r="G1366" s="243">
        <v>34480</v>
      </c>
      <c r="H1366" t="s">
        <v>182</v>
      </c>
      <c r="I1366">
        <v>4</v>
      </c>
      <c r="J1366">
        <v>10</v>
      </c>
      <c r="K1366">
        <v>0.875</v>
      </c>
      <c r="L1366">
        <v>28721</v>
      </c>
      <c r="M1366" t="str">
        <f t="shared" si="194"/>
        <v>13</v>
      </c>
      <c r="N1366" t="s">
        <v>3323</v>
      </c>
      <c r="O1366" t="str">
        <f t="shared" si="198"/>
        <v>55511</v>
      </c>
      <c r="P1366" t="str">
        <f>"2200L"</f>
        <v>2200L</v>
      </c>
      <c r="Q1366" t="str">
        <f t="shared" si="195"/>
        <v>0101</v>
      </c>
      <c r="R1366">
        <v>2200</v>
      </c>
      <c r="S1366" t="str">
        <f t="shared" si="199"/>
        <v>5550</v>
      </c>
      <c r="T1366" t="s">
        <v>3541</v>
      </c>
      <c r="U1366" t="s">
        <v>4717</v>
      </c>
    </row>
    <row r="1367" spans="1:21" ht="15" customHeight="1" x14ac:dyDescent="0.3">
      <c r="A1367" t="s">
        <v>179</v>
      </c>
      <c r="B1367" t="str">
        <f>"00054875"</f>
        <v>00054875</v>
      </c>
      <c r="C1367" t="s">
        <v>4341</v>
      </c>
      <c r="D1367" t="s">
        <v>1391</v>
      </c>
      <c r="E1367" t="str">
        <f>"00054832"</f>
        <v>00054832</v>
      </c>
      <c r="F1367">
        <v>0</v>
      </c>
      <c r="G1367" s="243">
        <v>35011</v>
      </c>
      <c r="H1367" t="s">
        <v>182</v>
      </c>
      <c r="I1367">
        <v>10</v>
      </c>
      <c r="J1367">
        <v>7</v>
      </c>
      <c r="K1367">
        <v>1</v>
      </c>
      <c r="L1367">
        <v>81541</v>
      </c>
      <c r="M1367" t="str">
        <f t="shared" si="194"/>
        <v>13</v>
      </c>
      <c r="N1367" t="s">
        <v>3323</v>
      </c>
      <c r="O1367" t="str">
        <f t="shared" si="198"/>
        <v>55511</v>
      </c>
      <c r="P1367" t="str">
        <f t="shared" ref="P1367:P1372" si="200">"2100L"</f>
        <v>2100L</v>
      </c>
      <c r="Q1367" t="str">
        <f t="shared" si="195"/>
        <v>0101</v>
      </c>
      <c r="R1367">
        <v>2100</v>
      </c>
      <c r="S1367" t="str">
        <f t="shared" si="199"/>
        <v>5550</v>
      </c>
      <c r="T1367" t="s">
        <v>3541</v>
      </c>
      <c r="U1367" t="s">
        <v>4717</v>
      </c>
    </row>
    <row r="1368" spans="1:21" ht="15" customHeight="1" x14ac:dyDescent="0.3">
      <c r="A1368" t="s">
        <v>179</v>
      </c>
      <c r="B1368" t="str">
        <f>"00055106"</f>
        <v>00055106</v>
      </c>
      <c r="C1368" t="s">
        <v>4262</v>
      </c>
      <c r="D1368" t="s">
        <v>3542</v>
      </c>
      <c r="E1368" t="str">
        <f>"00049425"</f>
        <v>00049425</v>
      </c>
      <c r="F1368">
        <v>0</v>
      </c>
      <c r="G1368" s="243">
        <v>36390</v>
      </c>
      <c r="H1368" t="s">
        <v>182</v>
      </c>
      <c r="I1368">
        <v>15</v>
      </c>
      <c r="J1368">
        <v>14</v>
      </c>
      <c r="K1368">
        <v>1</v>
      </c>
      <c r="L1368">
        <v>96460</v>
      </c>
      <c r="M1368" t="str">
        <f t="shared" si="194"/>
        <v>13</v>
      </c>
      <c r="N1368" t="s">
        <v>3323</v>
      </c>
      <c r="O1368" t="str">
        <f t="shared" si="198"/>
        <v>55511</v>
      </c>
      <c r="P1368" t="str">
        <f t="shared" si="200"/>
        <v>2100L</v>
      </c>
      <c r="Q1368" t="str">
        <f t="shared" si="195"/>
        <v>0101</v>
      </c>
      <c r="R1368">
        <v>2100</v>
      </c>
      <c r="S1368" t="str">
        <f t="shared" si="199"/>
        <v>5550</v>
      </c>
      <c r="T1368" t="s">
        <v>3541</v>
      </c>
      <c r="U1368" t="s">
        <v>4717</v>
      </c>
    </row>
    <row r="1369" spans="1:21" ht="15" customHeight="1" x14ac:dyDescent="0.3">
      <c r="A1369" t="s">
        <v>179</v>
      </c>
      <c r="B1369" t="str">
        <f>"00055198"</f>
        <v>00055198</v>
      </c>
      <c r="C1369" t="s">
        <v>4258</v>
      </c>
      <c r="D1369" t="s">
        <v>1392</v>
      </c>
      <c r="E1369" t="str">
        <f>"00047263"</f>
        <v>00047263</v>
      </c>
      <c r="F1369">
        <v>0</v>
      </c>
      <c r="G1369" s="243">
        <v>37145</v>
      </c>
      <c r="H1369" t="s">
        <v>182</v>
      </c>
      <c r="I1369">
        <v>15</v>
      </c>
      <c r="J1369">
        <v>12</v>
      </c>
      <c r="K1369">
        <v>1</v>
      </c>
      <c r="L1369">
        <v>87431</v>
      </c>
      <c r="M1369" t="str">
        <f t="shared" si="194"/>
        <v>13</v>
      </c>
      <c r="N1369" t="s">
        <v>3323</v>
      </c>
      <c r="O1369" t="str">
        <f t="shared" si="198"/>
        <v>55511</v>
      </c>
      <c r="P1369" t="str">
        <f t="shared" si="200"/>
        <v>2100L</v>
      </c>
      <c r="Q1369" t="str">
        <f t="shared" si="195"/>
        <v>0101</v>
      </c>
      <c r="R1369">
        <v>2100</v>
      </c>
      <c r="S1369" t="str">
        <f t="shared" si="199"/>
        <v>5550</v>
      </c>
      <c r="T1369" t="s">
        <v>3541</v>
      </c>
      <c r="U1369" t="s">
        <v>4717</v>
      </c>
    </row>
    <row r="1370" spans="1:21" ht="15" customHeight="1" x14ac:dyDescent="0.3">
      <c r="A1370" t="s">
        <v>179</v>
      </c>
      <c r="B1370" t="str">
        <f>"00056815"</f>
        <v>00056815</v>
      </c>
      <c r="C1370" t="s">
        <v>4272</v>
      </c>
      <c r="D1370" t="s">
        <v>1393</v>
      </c>
      <c r="E1370" t="str">
        <f>"00051910"</f>
        <v>00051910</v>
      </c>
      <c r="F1370">
        <v>0</v>
      </c>
      <c r="G1370" s="243">
        <v>36206</v>
      </c>
      <c r="H1370" t="s">
        <v>182</v>
      </c>
      <c r="I1370">
        <v>15</v>
      </c>
      <c r="J1370">
        <v>6</v>
      </c>
      <c r="K1370">
        <v>1</v>
      </c>
      <c r="L1370">
        <v>66078</v>
      </c>
      <c r="M1370" t="str">
        <f t="shared" si="194"/>
        <v>13</v>
      </c>
      <c r="N1370" t="s">
        <v>3323</v>
      </c>
      <c r="O1370" t="str">
        <f t="shared" si="198"/>
        <v>55511</v>
      </c>
      <c r="P1370" t="str">
        <f t="shared" si="200"/>
        <v>2100L</v>
      </c>
      <c r="Q1370" t="str">
        <f t="shared" si="195"/>
        <v>0101</v>
      </c>
      <c r="R1370">
        <v>2100</v>
      </c>
      <c r="S1370" t="str">
        <f t="shared" si="199"/>
        <v>5550</v>
      </c>
      <c r="T1370" t="s">
        <v>3541</v>
      </c>
      <c r="U1370" t="s">
        <v>4717</v>
      </c>
    </row>
    <row r="1371" spans="1:21" ht="15" customHeight="1" x14ac:dyDescent="0.3">
      <c r="A1371" t="s">
        <v>179</v>
      </c>
      <c r="B1371" t="str">
        <f>"00056924"</f>
        <v>00056924</v>
      </c>
      <c r="C1371" t="s">
        <v>4272</v>
      </c>
      <c r="D1371" t="s">
        <v>1394</v>
      </c>
      <c r="E1371" t="str">
        <f>"00044719"</f>
        <v>00044719</v>
      </c>
      <c r="F1371">
        <v>0</v>
      </c>
      <c r="G1371" s="243">
        <v>32050</v>
      </c>
      <c r="H1371" t="s">
        <v>182</v>
      </c>
      <c r="I1371">
        <v>15</v>
      </c>
      <c r="J1371">
        <v>16</v>
      </c>
      <c r="K1371">
        <v>1</v>
      </c>
      <c r="L1371">
        <v>103347</v>
      </c>
      <c r="M1371" t="str">
        <f t="shared" si="194"/>
        <v>13</v>
      </c>
      <c r="N1371" t="s">
        <v>3323</v>
      </c>
      <c r="O1371" t="str">
        <f t="shared" si="198"/>
        <v>55511</v>
      </c>
      <c r="P1371" t="str">
        <f t="shared" si="200"/>
        <v>2100L</v>
      </c>
      <c r="Q1371" t="str">
        <f t="shared" si="195"/>
        <v>0101</v>
      </c>
      <c r="R1371">
        <v>2100</v>
      </c>
      <c r="S1371" t="str">
        <f t="shared" si="199"/>
        <v>5550</v>
      </c>
      <c r="T1371" t="s">
        <v>3541</v>
      </c>
      <c r="U1371" t="s">
        <v>4717</v>
      </c>
    </row>
    <row r="1372" spans="1:21" ht="15" customHeight="1" x14ac:dyDescent="0.3">
      <c r="A1372" t="s">
        <v>179</v>
      </c>
      <c r="B1372" t="str">
        <f>"00057242"</f>
        <v>00057242</v>
      </c>
      <c r="C1372" t="s">
        <v>4272</v>
      </c>
      <c r="D1372" t="s">
        <v>1395</v>
      </c>
      <c r="E1372" t="str">
        <f>"00054391"</f>
        <v>00054391</v>
      </c>
      <c r="F1372">
        <v>0</v>
      </c>
      <c r="G1372" s="243">
        <v>40404</v>
      </c>
      <c r="H1372" t="s">
        <v>182</v>
      </c>
      <c r="I1372">
        <v>15</v>
      </c>
      <c r="J1372">
        <v>4</v>
      </c>
      <c r="K1372">
        <v>1</v>
      </c>
      <c r="L1372">
        <v>61158</v>
      </c>
      <c r="M1372" t="str">
        <f t="shared" si="194"/>
        <v>13</v>
      </c>
      <c r="N1372" t="s">
        <v>3323</v>
      </c>
      <c r="O1372" t="str">
        <f t="shared" si="198"/>
        <v>55511</v>
      </c>
      <c r="P1372" t="str">
        <f t="shared" si="200"/>
        <v>2100L</v>
      </c>
      <c r="Q1372" t="str">
        <f t="shared" si="195"/>
        <v>0101</v>
      </c>
      <c r="R1372">
        <v>2100</v>
      </c>
      <c r="S1372" t="str">
        <f t="shared" si="199"/>
        <v>5550</v>
      </c>
      <c r="T1372" t="s">
        <v>3541</v>
      </c>
      <c r="U1372" t="s">
        <v>4717</v>
      </c>
    </row>
    <row r="1373" spans="1:21" ht="15" customHeight="1" x14ac:dyDescent="0.3">
      <c r="A1373" t="s">
        <v>179</v>
      </c>
      <c r="B1373" t="str">
        <f>"00057383"</f>
        <v>00057383</v>
      </c>
      <c r="C1373" t="s">
        <v>4260</v>
      </c>
      <c r="D1373" t="s">
        <v>1396</v>
      </c>
      <c r="E1373" t="str">
        <f>"00049561"</f>
        <v>00049561</v>
      </c>
      <c r="F1373">
        <v>0</v>
      </c>
      <c r="G1373" s="243">
        <v>36761</v>
      </c>
      <c r="H1373" t="s">
        <v>182</v>
      </c>
      <c r="I1373">
        <v>15</v>
      </c>
      <c r="J1373">
        <v>12</v>
      </c>
      <c r="K1373">
        <v>1</v>
      </c>
      <c r="L1373">
        <v>87431</v>
      </c>
      <c r="M1373" t="str">
        <f t="shared" si="194"/>
        <v>13</v>
      </c>
      <c r="N1373" t="s">
        <v>3323</v>
      </c>
      <c r="O1373" t="str">
        <f t="shared" si="198"/>
        <v>55511</v>
      </c>
      <c r="P1373" t="str">
        <f>"3030L"</f>
        <v>3030L</v>
      </c>
      <c r="Q1373" t="str">
        <f t="shared" si="195"/>
        <v>0101</v>
      </c>
      <c r="R1373">
        <v>3030</v>
      </c>
      <c r="S1373" t="str">
        <f t="shared" si="199"/>
        <v>5550</v>
      </c>
      <c r="T1373" t="s">
        <v>3541</v>
      </c>
      <c r="U1373" t="s">
        <v>4717</v>
      </c>
    </row>
    <row r="1374" spans="1:21" ht="15" customHeight="1" x14ac:dyDescent="0.3">
      <c r="A1374" t="s">
        <v>179</v>
      </c>
      <c r="B1374" t="str">
        <f>"00057528"</f>
        <v>00057528</v>
      </c>
      <c r="C1374" t="s">
        <v>4274</v>
      </c>
      <c r="D1374" t="s">
        <v>4723</v>
      </c>
      <c r="E1374" t="str">
        <f>"00027022"</f>
        <v>00027022</v>
      </c>
      <c r="F1374">
        <v>1</v>
      </c>
      <c r="G1374" s="243">
        <v>36776</v>
      </c>
      <c r="H1374" t="s">
        <v>182</v>
      </c>
      <c r="I1374">
        <v>4</v>
      </c>
      <c r="J1374">
        <v>9</v>
      </c>
      <c r="K1374">
        <v>0.875</v>
      </c>
      <c r="L1374">
        <v>28025.38</v>
      </c>
      <c r="M1374" t="str">
        <f t="shared" si="194"/>
        <v>13</v>
      </c>
      <c r="N1374" t="s">
        <v>3323</v>
      </c>
      <c r="O1374" t="str">
        <f t="shared" si="198"/>
        <v>55511</v>
      </c>
      <c r="P1374" t="str">
        <f>"2200L"</f>
        <v>2200L</v>
      </c>
      <c r="Q1374" t="str">
        <f t="shared" si="195"/>
        <v>0101</v>
      </c>
      <c r="R1374">
        <v>2200</v>
      </c>
      <c r="S1374" t="str">
        <f t="shared" si="199"/>
        <v>5550</v>
      </c>
      <c r="T1374" t="s">
        <v>3541</v>
      </c>
      <c r="U1374" t="s">
        <v>4717</v>
      </c>
    </row>
    <row r="1375" spans="1:21" ht="15" customHeight="1" x14ac:dyDescent="0.3">
      <c r="A1375" t="s">
        <v>179</v>
      </c>
      <c r="B1375" t="str">
        <f>"00058015"</f>
        <v>00058015</v>
      </c>
      <c r="C1375" t="s">
        <v>4272</v>
      </c>
      <c r="D1375" t="s">
        <v>1397</v>
      </c>
      <c r="E1375" t="str">
        <f>"00045003"</f>
        <v>00045003</v>
      </c>
      <c r="F1375">
        <v>0</v>
      </c>
      <c r="G1375" s="243">
        <v>37124</v>
      </c>
      <c r="H1375" t="s">
        <v>182</v>
      </c>
      <c r="I1375">
        <v>15</v>
      </c>
      <c r="J1375">
        <v>16</v>
      </c>
      <c r="K1375">
        <v>1</v>
      </c>
      <c r="L1375">
        <v>100839</v>
      </c>
      <c r="M1375" t="str">
        <f t="shared" si="194"/>
        <v>13</v>
      </c>
      <c r="N1375" t="s">
        <v>3323</v>
      </c>
      <c r="O1375" t="str">
        <f t="shared" si="198"/>
        <v>55511</v>
      </c>
      <c r="P1375" t="str">
        <f>"2200L"</f>
        <v>2200L</v>
      </c>
      <c r="Q1375" t="str">
        <f t="shared" si="195"/>
        <v>0101</v>
      </c>
      <c r="R1375">
        <v>2200</v>
      </c>
      <c r="S1375" t="str">
        <f t="shared" si="199"/>
        <v>5550</v>
      </c>
      <c r="T1375" t="s">
        <v>3541</v>
      </c>
      <c r="U1375" t="s">
        <v>4717</v>
      </c>
    </row>
    <row r="1376" spans="1:21" ht="15" customHeight="1" x14ac:dyDescent="0.3">
      <c r="A1376" t="s">
        <v>179</v>
      </c>
      <c r="B1376" t="str">
        <f>"00059009"</f>
        <v>00059009</v>
      </c>
      <c r="C1376" t="s">
        <v>4262</v>
      </c>
      <c r="D1376" t="s">
        <v>4724</v>
      </c>
      <c r="E1376" t="str">
        <f>"00069846"</f>
        <v>00069846</v>
      </c>
      <c r="F1376">
        <v>0</v>
      </c>
      <c r="G1376" s="243">
        <v>41133</v>
      </c>
      <c r="H1376" t="s">
        <v>182</v>
      </c>
      <c r="I1376">
        <v>15</v>
      </c>
      <c r="J1376">
        <v>1</v>
      </c>
      <c r="K1376">
        <v>1</v>
      </c>
      <c r="L1376">
        <v>51539</v>
      </c>
      <c r="M1376" t="str">
        <f t="shared" si="194"/>
        <v>13</v>
      </c>
      <c r="N1376" t="s">
        <v>3370</v>
      </c>
      <c r="O1376" t="str">
        <f t="shared" si="198"/>
        <v>55511</v>
      </c>
      <c r="P1376" t="str">
        <f t="shared" ref="P1376:P1381" si="201">"2100L"</f>
        <v>2100L</v>
      </c>
      <c r="Q1376" t="str">
        <f t="shared" si="195"/>
        <v>0101</v>
      </c>
      <c r="R1376">
        <v>2100</v>
      </c>
      <c r="S1376" t="str">
        <f t="shared" si="199"/>
        <v>5550</v>
      </c>
      <c r="T1376" t="s">
        <v>3541</v>
      </c>
      <c r="U1376" t="s">
        <v>4717</v>
      </c>
    </row>
    <row r="1377" spans="1:21" ht="15" customHeight="1" x14ac:dyDescent="0.3">
      <c r="A1377" t="s">
        <v>179</v>
      </c>
      <c r="B1377" t="str">
        <f>"00059573"</f>
        <v>00059573</v>
      </c>
      <c r="C1377" t="s">
        <v>4260</v>
      </c>
      <c r="D1377" t="s">
        <v>1411</v>
      </c>
      <c r="E1377" t="str">
        <f>"00053742"</f>
        <v>00053742</v>
      </c>
      <c r="F1377">
        <v>0</v>
      </c>
      <c r="G1377" s="243">
        <v>40769</v>
      </c>
      <c r="H1377" t="s">
        <v>182</v>
      </c>
      <c r="I1377">
        <v>15</v>
      </c>
      <c r="J1377">
        <v>7</v>
      </c>
      <c r="K1377">
        <v>1</v>
      </c>
      <c r="L1377">
        <v>63496</v>
      </c>
      <c r="M1377" t="str">
        <f t="shared" si="194"/>
        <v>13</v>
      </c>
      <c r="N1377" t="s">
        <v>3323</v>
      </c>
      <c r="O1377" t="str">
        <f t="shared" si="198"/>
        <v>55511</v>
      </c>
      <c r="P1377" t="str">
        <f t="shared" si="201"/>
        <v>2100L</v>
      </c>
      <c r="Q1377" t="str">
        <f t="shared" si="195"/>
        <v>0101</v>
      </c>
      <c r="R1377">
        <v>2100</v>
      </c>
      <c r="S1377" t="str">
        <f t="shared" si="199"/>
        <v>5550</v>
      </c>
      <c r="T1377" t="s">
        <v>3541</v>
      </c>
      <c r="U1377" t="s">
        <v>4717</v>
      </c>
    </row>
    <row r="1378" spans="1:21" ht="15" customHeight="1" x14ac:dyDescent="0.3">
      <c r="A1378" t="s">
        <v>179</v>
      </c>
      <c r="B1378" t="str">
        <f>"00059877"</f>
        <v>00059877</v>
      </c>
      <c r="C1378" t="s">
        <v>4262</v>
      </c>
      <c r="D1378" t="s">
        <v>1398</v>
      </c>
      <c r="E1378" t="str">
        <f>"00048984"</f>
        <v>00048984</v>
      </c>
      <c r="F1378">
        <v>0</v>
      </c>
      <c r="G1378" s="243">
        <v>32387</v>
      </c>
      <c r="H1378" t="s">
        <v>182</v>
      </c>
      <c r="I1378">
        <v>15</v>
      </c>
      <c r="J1378">
        <v>14</v>
      </c>
      <c r="K1378">
        <v>1</v>
      </c>
      <c r="L1378">
        <v>102160</v>
      </c>
      <c r="M1378" t="str">
        <f t="shared" ref="M1378:M1436" si="202">"13"</f>
        <v>13</v>
      </c>
      <c r="N1378" t="s">
        <v>3323</v>
      </c>
      <c r="O1378" t="str">
        <f t="shared" si="198"/>
        <v>55511</v>
      </c>
      <c r="P1378" t="str">
        <f t="shared" si="201"/>
        <v>2100L</v>
      </c>
      <c r="Q1378" t="str">
        <f t="shared" si="195"/>
        <v>0101</v>
      </c>
      <c r="R1378">
        <v>2100</v>
      </c>
      <c r="S1378" t="str">
        <f t="shared" si="199"/>
        <v>5550</v>
      </c>
      <c r="T1378" t="s">
        <v>3541</v>
      </c>
      <c r="U1378" t="s">
        <v>4717</v>
      </c>
    </row>
    <row r="1379" spans="1:21" ht="15" customHeight="1" x14ac:dyDescent="0.3">
      <c r="A1379" t="s">
        <v>179</v>
      </c>
      <c r="B1379" t="str">
        <f>"00062524"</f>
        <v>00062524</v>
      </c>
      <c r="C1379" t="s">
        <v>4262</v>
      </c>
      <c r="D1379" t="s">
        <v>1525</v>
      </c>
      <c r="E1379" t="str">
        <f>"00047724"</f>
        <v>00047724</v>
      </c>
      <c r="F1379">
        <v>0</v>
      </c>
      <c r="G1379" s="243">
        <v>39314</v>
      </c>
      <c r="H1379" t="s">
        <v>182</v>
      </c>
      <c r="I1379">
        <v>15</v>
      </c>
      <c r="J1379">
        <v>6</v>
      </c>
      <c r="K1379">
        <v>1</v>
      </c>
      <c r="L1379">
        <v>58599</v>
      </c>
      <c r="M1379" t="str">
        <f t="shared" si="202"/>
        <v>13</v>
      </c>
      <c r="N1379" t="s">
        <v>3323</v>
      </c>
      <c r="O1379" t="str">
        <f t="shared" si="198"/>
        <v>55511</v>
      </c>
      <c r="P1379" t="str">
        <f t="shared" si="201"/>
        <v>2100L</v>
      </c>
      <c r="Q1379" t="str">
        <f t="shared" si="195"/>
        <v>0101</v>
      </c>
      <c r="R1379">
        <v>2100</v>
      </c>
      <c r="S1379" t="str">
        <f t="shared" si="199"/>
        <v>5550</v>
      </c>
      <c r="T1379" t="s">
        <v>3541</v>
      </c>
      <c r="U1379" t="s">
        <v>4717</v>
      </c>
    </row>
    <row r="1380" spans="1:21" ht="15" customHeight="1" x14ac:dyDescent="0.3">
      <c r="A1380" t="s">
        <v>179</v>
      </c>
      <c r="B1380" t="str">
        <f>"00065862"</f>
        <v>00065862</v>
      </c>
      <c r="C1380" t="s">
        <v>4262</v>
      </c>
      <c r="D1380" t="s">
        <v>4725</v>
      </c>
      <c r="E1380" t="str">
        <f>"00069691"</f>
        <v>00069691</v>
      </c>
      <c r="F1380">
        <v>0</v>
      </c>
      <c r="G1380" s="243">
        <v>41133</v>
      </c>
      <c r="H1380" t="s">
        <v>182</v>
      </c>
      <c r="I1380">
        <v>15</v>
      </c>
      <c r="J1380">
        <v>1</v>
      </c>
      <c r="K1380">
        <v>1</v>
      </c>
      <c r="L1380">
        <v>51539</v>
      </c>
      <c r="M1380" t="str">
        <f t="shared" si="202"/>
        <v>13</v>
      </c>
      <c r="N1380" t="s">
        <v>3323</v>
      </c>
      <c r="O1380" t="str">
        <f t="shared" si="198"/>
        <v>55511</v>
      </c>
      <c r="P1380" t="str">
        <f t="shared" si="201"/>
        <v>2100L</v>
      </c>
      <c r="Q1380" t="str">
        <f t="shared" si="195"/>
        <v>0101</v>
      </c>
      <c r="R1380">
        <v>2100</v>
      </c>
      <c r="S1380" t="str">
        <f t="shared" si="199"/>
        <v>5550</v>
      </c>
      <c r="T1380" t="s">
        <v>3541</v>
      </c>
      <c r="U1380" t="s">
        <v>4717</v>
      </c>
    </row>
    <row r="1381" spans="1:21" ht="15" customHeight="1" x14ac:dyDescent="0.3">
      <c r="A1381" t="s">
        <v>179</v>
      </c>
      <c r="B1381" t="str">
        <f>"00065863"</f>
        <v>00065863</v>
      </c>
      <c r="C1381" t="s">
        <v>4262</v>
      </c>
      <c r="D1381" t="s">
        <v>1400</v>
      </c>
      <c r="E1381" t="str">
        <f>"00057597"</f>
        <v>00057597</v>
      </c>
      <c r="F1381">
        <v>0</v>
      </c>
      <c r="G1381" s="243">
        <v>40042</v>
      </c>
      <c r="H1381" t="s">
        <v>182</v>
      </c>
      <c r="I1381">
        <v>15</v>
      </c>
      <c r="J1381">
        <v>3</v>
      </c>
      <c r="K1381">
        <v>1</v>
      </c>
      <c r="L1381">
        <v>52777</v>
      </c>
      <c r="M1381" t="str">
        <f t="shared" si="202"/>
        <v>13</v>
      </c>
      <c r="N1381" t="s">
        <v>3323</v>
      </c>
      <c r="O1381" t="str">
        <f t="shared" si="198"/>
        <v>55511</v>
      </c>
      <c r="P1381" t="str">
        <f t="shared" si="201"/>
        <v>2100L</v>
      </c>
      <c r="Q1381" t="str">
        <f t="shared" si="195"/>
        <v>0101</v>
      </c>
      <c r="R1381">
        <v>2100</v>
      </c>
      <c r="S1381" t="str">
        <f t="shared" si="199"/>
        <v>5550</v>
      </c>
      <c r="T1381" t="s">
        <v>3541</v>
      </c>
      <c r="U1381" t="s">
        <v>4717</v>
      </c>
    </row>
    <row r="1382" spans="1:21" ht="15" customHeight="1" x14ac:dyDescent="0.3">
      <c r="A1382" t="s">
        <v>179</v>
      </c>
      <c r="B1382" t="str">
        <f>"00066120"</f>
        <v>00066120</v>
      </c>
      <c r="C1382" t="s">
        <v>4292</v>
      </c>
      <c r="D1382" t="s">
        <v>4726</v>
      </c>
      <c r="E1382" t="str">
        <f>"00048004"</f>
        <v>00048004</v>
      </c>
      <c r="F1382">
        <v>0</v>
      </c>
      <c r="G1382" s="243">
        <v>40042</v>
      </c>
      <c r="H1382" t="s">
        <v>182</v>
      </c>
      <c r="I1382">
        <v>4</v>
      </c>
      <c r="J1382">
        <v>9</v>
      </c>
      <c r="K1382">
        <v>1</v>
      </c>
      <c r="L1382">
        <v>28025.38</v>
      </c>
      <c r="M1382" t="str">
        <f t="shared" si="202"/>
        <v>13</v>
      </c>
      <c r="N1382" t="s">
        <v>3323</v>
      </c>
      <c r="O1382" t="str">
        <f t="shared" si="198"/>
        <v>55511</v>
      </c>
      <c r="P1382" t="str">
        <f>"2200L"</f>
        <v>2200L</v>
      </c>
      <c r="Q1382" t="str">
        <f t="shared" si="195"/>
        <v>0101</v>
      </c>
      <c r="R1382">
        <v>2200</v>
      </c>
      <c r="S1382" t="str">
        <f t="shared" si="199"/>
        <v>5550</v>
      </c>
      <c r="T1382" t="s">
        <v>3541</v>
      </c>
      <c r="U1382" t="s">
        <v>4717</v>
      </c>
    </row>
    <row r="1383" spans="1:21" ht="15" customHeight="1" x14ac:dyDescent="0.3">
      <c r="A1383" t="s">
        <v>179</v>
      </c>
      <c r="B1383" t="str">
        <f>"00066351"</f>
        <v>00066351</v>
      </c>
      <c r="C1383" t="s">
        <v>4252</v>
      </c>
      <c r="D1383" t="s">
        <v>1401</v>
      </c>
      <c r="E1383" t="str">
        <f>"00057022"</f>
        <v>00057022</v>
      </c>
      <c r="F1383">
        <v>0</v>
      </c>
      <c r="G1383" s="243">
        <v>40042</v>
      </c>
      <c r="H1383" t="s">
        <v>182</v>
      </c>
      <c r="I1383">
        <v>15</v>
      </c>
      <c r="J1383">
        <v>11</v>
      </c>
      <c r="K1383">
        <v>1</v>
      </c>
      <c r="L1383">
        <v>81335</v>
      </c>
      <c r="M1383" t="str">
        <f t="shared" si="202"/>
        <v>13</v>
      </c>
      <c r="N1383" t="s">
        <v>3323</v>
      </c>
      <c r="O1383" t="str">
        <f t="shared" si="198"/>
        <v>55511</v>
      </c>
      <c r="P1383" t="str">
        <f>"2100L"</f>
        <v>2100L</v>
      </c>
      <c r="Q1383" t="str">
        <f t="shared" si="195"/>
        <v>0101</v>
      </c>
      <c r="R1383">
        <v>2100</v>
      </c>
      <c r="S1383" t="str">
        <f t="shared" si="199"/>
        <v>5550</v>
      </c>
      <c r="T1383" t="s">
        <v>3541</v>
      </c>
      <c r="U1383" t="s">
        <v>4717</v>
      </c>
    </row>
    <row r="1384" spans="1:21" ht="15" customHeight="1" x14ac:dyDescent="0.3">
      <c r="A1384" t="s">
        <v>179</v>
      </c>
      <c r="B1384" t="str">
        <f>"00072124"</f>
        <v>00072124</v>
      </c>
      <c r="C1384" t="s">
        <v>4288</v>
      </c>
      <c r="D1384" t="s">
        <v>4727</v>
      </c>
      <c r="E1384" t="str">
        <f>"00046046"</f>
        <v>00046046</v>
      </c>
      <c r="F1384">
        <v>0</v>
      </c>
      <c r="G1384" s="243">
        <v>39888</v>
      </c>
      <c r="H1384" t="s">
        <v>182</v>
      </c>
      <c r="I1384">
        <v>4</v>
      </c>
      <c r="J1384">
        <v>3</v>
      </c>
      <c r="K1384">
        <v>1</v>
      </c>
      <c r="L1384">
        <v>23848.12</v>
      </c>
      <c r="M1384" t="str">
        <f t="shared" si="202"/>
        <v>13</v>
      </c>
      <c r="N1384" t="s">
        <v>3323</v>
      </c>
      <c r="O1384" t="str">
        <f t="shared" si="198"/>
        <v>55511</v>
      </c>
      <c r="P1384" t="str">
        <f>"2200L"</f>
        <v>2200L</v>
      </c>
      <c r="Q1384" t="str">
        <f t="shared" si="195"/>
        <v>0101</v>
      </c>
      <c r="R1384">
        <v>2200</v>
      </c>
      <c r="S1384" t="str">
        <f t="shared" si="199"/>
        <v>5550</v>
      </c>
      <c r="T1384" t="s">
        <v>3541</v>
      </c>
      <c r="U1384" t="s">
        <v>4717</v>
      </c>
    </row>
    <row r="1385" spans="1:21" ht="15" customHeight="1" x14ac:dyDescent="0.3">
      <c r="A1385" t="s">
        <v>179</v>
      </c>
      <c r="B1385" t="str">
        <f>"00072730"</f>
        <v>00072730</v>
      </c>
      <c r="C1385" t="s">
        <v>4254</v>
      </c>
      <c r="D1385" t="s">
        <v>1402</v>
      </c>
      <c r="E1385" t="str">
        <f>"00049204"</f>
        <v>00049204</v>
      </c>
      <c r="F1385">
        <v>0</v>
      </c>
      <c r="G1385" s="243">
        <v>35675</v>
      </c>
      <c r="H1385" t="s">
        <v>182</v>
      </c>
      <c r="I1385">
        <v>15</v>
      </c>
      <c r="J1385">
        <v>15</v>
      </c>
      <c r="K1385">
        <v>1</v>
      </c>
      <c r="L1385">
        <v>100792</v>
      </c>
      <c r="M1385" t="str">
        <f t="shared" si="202"/>
        <v>13</v>
      </c>
      <c r="N1385" t="s">
        <v>3323</v>
      </c>
      <c r="O1385" t="str">
        <f t="shared" si="198"/>
        <v>55511</v>
      </c>
      <c r="P1385" t="str">
        <f>"2100L"</f>
        <v>2100L</v>
      </c>
      <c r="Q1385" t="str">
        <f t="shared" ref="Q1385:Q1443" si="203">"0101"</f>
        <v>0101</v>
      </c>
      <c r="R1385">
        <v>2100</v>
      </c>
      <c r="S1385" t="str">
        <f t="shared" si="199"/>
        <v>5550</v>
      </c>
      <c r="T1385" t="s">
        <v>3541</v>
      </c>
      <c r="U1385" t="s">
        <v>4717</v>
      </c>
    </row>
    <row r="1386" spans="1:21" ht="15" customHeight="1" x14ac:dyDescent="0.3">
      <c r="A1386" t="s">
        <v>179</v>
      </c>
      <c r="B1386" t="str">
        <f>"00074222"</f>
        <v>00074222</v>
      </c>
      <c r="C1386" t="s">
        <v>4728</v>
      </c>
      <c r="D1386" t="s">
        <v>2673</v>
      </c>
      <c r="E1386" t="str">
        <f>"00053689"</f>
        <v>00053689</v>
      </c>
      <c r="F1386">
        <v>0</v>
      </c>
      <c r="G1386" s="243">
        <v>39324</v>
      </c>
      <c r="H1386" t="s">
        <v>182</v>
      </c>
      <c r="I1386">
        <v>9</v>
      </c>
      <c r="J1386">
        <v>7</v>
      </c>
      <c r="K1386">
        <v>1</v>
      </c>
      <c r="L1386">
        <v>39541</v>
      </c>
      <c r="M1386" t="str">
        <f t="shared" si="202"/>
        <v>13</v>
      </c>
      <c r="N1386" t="s">
        <v>3323</v>
      </c>
      <c r="O1386" t="str">
        <f t="shared" si="198"/>
        <v>55511</v>
      </c>
      <c r="P1386" t="str">
        <f>"2100L"</f>
        <v>2100L</v>
      </c>
      <c r="Q1386" t="str">
        <f t="shared" si="203"/>
        <v>0101</v>
      </c>
      <c r="R1386">
        <v>2100</v>
      </c>
      <c r="S1386" t="str">
        <f t="shared" si="199"/>
        <v>5550</v>
      </c>
      <c r="T1386" t="s">
        <v>3541</v>
      </c>
      <c r="U1386" t="s">
        <v>4717</v>
      </c>
    </row>
    <row r="1387" spans="1:21" ht="15" customHeight="1" x14ac:dyDescent="0.3">
      <c r="A1387" t="s">
        <v>179</v>
      </c>
      <c r="B1387" t="str">
        <f>"00074539"</f>
        <v>00074539</v>
      </c>
      <c r="C1387" t="s">
        <v>4265</v>
      </c>
      <c r="D1387" t="s">
        <v>4485</v>
      </c>
      <c r="E1387" t="str">
        <f>"00051502"</f>
        <v>00051502</v>
      </c>
      <c r="F1387">
        <v>0</v>
      </c>
      <c r="G1387" s="243">
        <v>31556</v>
      </c>
      <c r="H1387" t="s">
        <v>182</v>
      </c>
      <c r="I1387">
        <v>15</v>
      </c>
      <c r="J1387">
        <v>16</v>
      </c>
      <c r="K1387">
        <v>0.5</v>
      </c>
      <c r="L1387">
        <v>100839</v>
      </c>
      <c r="M1387" t="str">
        <f t="shared" si="202"/>
        <v>13</v>
      </c>
      <c r="N1387" t="s">
        <v>3323</v>
      </c>
      <c r="O1387" t="str">
        <f t="shared" si="198"/>
        <v>55511</v>
      </c>
      <c r="P1387" t="str">
        <f>"2100L"</f>
        <v>2100L</v>
      </c>
      <c r="Q1387" t="str">
        <f t="shared" si="203"/>
        <v>0101</v>
      </c>
      <c r="R1387">
        <v>2100</v>
      </c>
      <c r="S1387" t="str">
        <f t="shared" si="199"/>
        <v>5550</v>
      </c>
      <c r="T1387" t="s">
        <v>3418</v>
      </c>
      <c r="U1387" t="s">
        <v>24</v>
      </c>
    </row>
    <row r="1388" spans="1:21" ht="15" customHeight="1" x14ac:dyDescent="0.3">
      <c r="A1388" t="s">
        <v>179</v>
      </c>
      <c r="B1388" t="str">
        <f>"00075567"</f>
        <v>00075567</v>
      </c>
      <c r="C1388" t="s">
        <v>3670</v>
      </c>
      <c r="D1388" t="s">
        <v>4729</v>
      </c>
      <c r="E1388" t="str">
        <f>"00069322"</f>
        <v>00069322</v>
      </c>
      <c r="F1388">
        <v>0</v>
      </c>
      <c r="G1388" s="243">
        <v>41092</v>
      </c>
      <c r="H1388" t="s">
        <v>182</v>
      </c>
      <c r="I1388">
        <v>8</v>
      </c>
      <c r="J1388">
        <v>1</v>
      </c>
      <c r="K1388">
        <v>1</v>
      </c>
      <c r="L1388">
        <v>82397</v>
      </c>
      <c r="M1388" t="str">
        <f t="shared" si="202"/>
        <v>13</v>
      </c>
      <c r="N1388" t="s">
        <v>3370</v>
      </c>
      <c r="O1388" t="str">
        <f t="shared" si="198"/>
        <v>55511</v>
      </c>
      <c r="P1388" t="str">
        <f>"1501L"</f>
        <v>1501L</v>
      </c>
      <c r="Q1388" t="str">
        <f t="shared" si="203"/>
        <v>0101</v>
      </c>
      <c r="R1388">
        <v>1501</v>
      </c>
      <c r="S1388" t="str">
        <f t="shared" si="199"/>
        <v>5550</v>
      </c>
      <c r="T1388" t="s">
        <v>3541</v>
      </c>
      <c r="U1388" t="s">
        <v>4717</v>
      </c>
    </row>
    <row r="1389" spans="1:21" ht="15" customHeight="1" x14ac:dyDescent="0.3">
      <c r="A1389" t="s">
        <v>179</v>
      </c>
      <c r="B1389" t="str">
        <f>"00076662"</f>
        <v>00076662</v>
      </c>
      <c r="C1389" t="s">
        <v>4271</v>
      </c>
      <c r="H1389" t="s">
        <v>170</v>
      </c>
      <c r="I1389">
        <v>15</v>
      </c>
      <c r="J1389">
        <v>0</v>
      </c>
      <c r="K1389">
        <v>1</v>
      </c>
      <c r="L1389">
        <v>51539</v>
      </c>
      <c r="M1389" t="str">
        <f t="shared" si="202"/>
        <v>13</v>
      </c>
      <c r="N1389" t="s">
        <v>3370</v>
      </c>
      <c r="O1389" t="str">
        <f t="shared" si="198"/>
        <v>55511</v>
      </c>
      <c r="P1389" t="str">
        <f>"2100L"</f>
        <v>2100L</v>
      </c>
      <c r="Q1389" t="str">
        <f t="shared" si="203"/>
        <v>0101</v>
      </c>
      <c r="R1389">
        <v>2100</v>
      </c>
      <c r="S1389" t="str">
        <f t="shared" si="199"/>
        <v>5550</v>
      </c>
      <c r="T1389" t="s">
        <v>3541</v>
      </c>
      <c r="U1389" t="s">
        <v>4717</v>
      </c>
    </row>
    <row r="1390" spans="1:21" ht="15" customHeight="1" x14ac:dyDescent="0.3">
      <c r="A1390" t="s">
        <v>179</v>
      </c>
      <c r="B1390" t="str">
        <f>"00051754"</f>
        <v>00051754</v>
      </c>
      <c r="C1390" t="s">
        <v>4262</v>
      </c>
      <c r="D1390" t="s">
        <v>1419</v>
      </c>
      <c r="E1390" t="str">
        <f>"00045764"</f>
        <v>00045764</v>
      </c>
      <c r="F1390">
        <v>0</v>
      </c>
      <c r="G1390" s="243">
        <v>33526</v>
      </c>
      <c r="H1390" t="s">
        <v>182</v>
      </c>
      <c r="I1390">
        <v>15</v>
      </c>
      <c r="J1390">
        <v>16</v>
      </c>
      <c r="K1390">
        <v>1</v>
      </c>
      <c r="L1390">
        <v>106540</v>
      </c>
      <c r="M1390" t="str">
        <f t="shared" si="202"/>
        <v>13</v>
      </c>
      <c r="N1390" t="s">
        <v>3323</v>
      </c>
      <c r="O1390" t="str">
        <f t="shared" ref="O1390:O1417" si="204">"55611"</f>
        <v>55611</v>
      </c>
      <c r="P1390" t="str">
        <f>"2100L"</f>
        <v>2100L</v>
      </c>
      <c r="Q1390" t="str">
        <f t="shared" si="203"/>
        <v>0101</v>
      </c>
      <c r="R1390">
        <v>2100</v>
      </c>
      <c r="S1390" t="str">
        <f t="shared" ref="S1390:S1417" si="205">"5560"</f>
        <v>5560</v>
      </c>
      <c r="T1390" t="s">
        <v>3543</v>
      </c>
      <c r="U1390" t="s">
        <v>123</v>
      </c>
    </row>
    <row r="1391" spans="1:21" ht="15" customHeight="1" x14ac:dyDescent="0.3">
      <c r="A1391" t="s">
        <v>179</v>
      </c>
      <c r="B1391" t="str">
        <f>"00051887"</f>
        <v>00051887</v>
      </c>
      <c r="C1391" t="s">
        <v>4274</v>
      </c>
      <c r="D1391" t="s">
        <v>4730</v>
      </c>
      <c r="E1391" t="str">
        <f>"00051007"</f>
        <v>00051007</v>
      </c>
      <c r="F1391">
        <v>0</v>
      </c>
      <c r="G1391" s="243">
        <v>39882</v>
      </c>
      <c r="H1391" t="s">
        <v>182</v>
      </c>
      <c r="I1391">
        <v>4</v>
      </c>
      <c r="J1391">
        <v>10</v>
      </c>
      <c r="K1391">
        <v>0.875</v>
      </c>
      <c r="L1391">
        <v>28721</v>
      </c>
      <c r="M1391" t="str">
        <f t="shared" si="202"/>
        <v>13</v>
      </c>
      <c r="N1391" t="s">
        <v>3323</v>
      </c>
      <c r="O1391" t="str">
        <f t="shared" si="204"/>
        <v>55611</v>
      </c>
      <c r="P1391" t="str">
        <f>"2200L"</f>
        <v>2200L</v>
      </c>
      <c r="Q1391" t="str">
        <f t="shared" si="203"/>
        <v>0101</v>
      </c>
      <c r="R1391">
        <v>2200</v>
      </c>
      <c r="S1391" t="str">
        <f t="shared" si="205"/>
        <v>5560</v>
      </c>
      <c r="T1391" t="s">
        <v>3543</v>
      </c>
      <c r="U1391" t="s">
        <v>123</v>
      </c>
    </row>
    <row r="1392" spans="1:21" ht="15" customHeight="1" x14ac:dyDescent="0.3">
      <c r="A1392" t="s">
        <v>179</v>
      </c>
      <c r="B1392" t="str">
        <f>"00051931"</f>
        <v>00051931</v>
      </c>
      <c r="C1392" t="s">
        <v>4262</v>
      </c>
      <c r="D1392" t="s">
        <v>1420</v>
      </c>
      <c r="E1392" t="str">
        <f>"00046600"</f>
        <v>00046600</v>
      </c>
      <c r="F1392">
        <v>0</v>
      </c>
      <c r="G1392" s="243">
        <v>32538</v>
      </c>
      <c r="H1392" t="s">
        <v>182</v>
      </c>
      <c r="I1392">
        <v>15</v>
      </c>
      <c r="J1392">
        <v>16</v>
      </c>
      <c r="K1392">
        <v>1</v>
      </c>
      <c r="L1392">
        <v>100839</v>
      </c>
      <c r="M1392" t="str">
        <f t="shared" si="202"/>
        <v>13</v>
      </c>
      <c r="N1392" t="s">
        <v>3323</v>
      </c>
      <c r="O1392" t="str">
        <f t="shared" si="204"/>
        <v>55611</v>
      </c>
      <c r="P1392" t="str">
        <f>"2100L"</f>
        <v>2100L</v>
      </c>
      <c r="Q1392" t="str">
        <f t="shared" si="203"/>
        <v>0101</v>
      </c>
      <c r="R1392">
        <v>2100</v>
      </c>
      <c r="S1392" t="str">
        <f t="shared" si="205"/>
        <v>5560</v>
      </c>
      <c r="T1392" t="s">
        <v>3543</v>
      </c>
      <c r="U1392" t="s">
        <v>123</v>
      </c>
    </row>
    <row r="1393" spans="1:21" ht="15" customHeight="1" x14ac:dyDescent="0.3">
      <c r="A1393" t="s">
        <v>179</v>
      </c>
      <c r="B1393" t="str">
        <f>"00051996"</f>
        <v>00051996</v>
      </c>
      <c r="C1393" t="s">
        <v>4272</v>
      </c>
      <c r="D1393" t="s">
        <v>1421</v>
      </c>
      <c r="E1393" t="str">
        <f>"00046863"</f>
        <v>00046863</v>
      </c>
      <c r="F1393">
        <v>0</v>
      </c>
      <c r="G1393" s="243">
        <v>32387</v>
      </c>
      <c r="H1393" t="s">
        <v>182</v>
      </c>
      <c r="I1393">
        <v>15</v>
      </c>
      <c r="J1393">
        <v>16</v>
      </c>
      <c r="K1393">
        <v>1</v>
      </c>
      <c r="L1393">
        <v>100839</v>
      </c>
      <c r="M1393" t="str">
        <f t="shared" si="202"/>
        <v>13</v>
      </c>
      <c r="N1393" t="s">
        <v>3323</v>
      </c>
      <c r="O1393" t="str">
        <f t="shared" si="204"/>
        <v>55611</v>
      </c>
      <c r="P1393" t="str">
        <f>"2100L"</f>
        <v>2100L</v>
      </c>
      <c r="Q1393" t="str">
        <f t="shared" si="203"/>
        <v>0101</v>
      </c>
      <c r="R1393">
        <v>2100</v>
      </c>
      <c r="S1393" t="str">
        <f t="shared" si="205"/>
        <v>5560</v>
      </c>
      <c r="T1393" t="s">
        <v>3543</v>
      </c>
      <c r="U1393" t="s">
        <v>123</v>
      </c>
    </row>
    <row r="1394" spans="1:21" ht="15" customHeight="1" x14ac:dyDescent="0.3">
      <c r="A1394" t="s">
        <v>179</v>
      </c>
      <c r="B1394" t="str">
        <f>"00052032"</f>
        <v>00052032</v>
      </c>
      <c r="C1394" t="s">
        <v>4262</v>
      </c>
      <c r="D1394" t="s">
        <v>1422</v>
      </c>
      <c r="E1394" t="str">
        <f>"00047057"</f>
        <v>00047057</v>
      </c>
      <c r="F1394">
        <v>0</v>
      </c>
      <c r="G1394" s="243">
        <v>32050</v>
      </c>
      <c r="H1394" t="s">
        <v>182</v>
      </c>
      <c r="I1394">
        <v>15</v>
      </c>
      <c r="J1394">
        <v>16</v>
      </c>
      <c r="K1394">
        <v>1</v>
      </c>
      <c r="L1394">
        <v>103347</v>
      </c>
      <c r="M1394" t="str">
        <f t="shared" si="202"/>
        <v>13</v>
      </c>
      <c r="N1394" t="s">
        <v>3323</v>
      </c>
      <c r="O1394" t="str">
        <f t="shared" si="204"/>
        <v>55611</v>
      </c>
      <c r="P1394" t="str">
        <f>"2100L"</f>
        <v>2100L</v>
      </c>
      <c r="Q1394" t="str">
        <f t="shared" si="203"/>
        <v>0101</v>
      </c>
      <c r="R1394">
        <v>2100</v>
      </c>
      <c r="S1394" t="str">
        <f t="shared" si="205"/>
        <v>5560</v>
      </c>
      <c r="T1394" t="s">
        <v>3543</v>
      </c>
      <c r="U1394" t="s">
        <v>123</v>
      </c>
    </row>
    <row r="1395" spans="1:21" ht="15" customHeight="1" x14ac:dyDescent="0.3">
      <c r="A1395" t="s">
        <v>179</v>
      </c>
      <c r="B1395" t="str">
        <f>"00052162"</f>
        <v>00052162</v>
      </c>
      <c r="C1395" t="s">
        <v>4262</v>
      </c>
      <c r="D1395" t="s">
        <v>1423</v>
      </c>
      <c r="E1395" t="str">
        <f>"00062456"</f>
        <v>00062456</v>
      </c>
      <c r="F1395">
        <v>0</v>
      </c>
      <c r="G1395" s="243">
        <v>40406</v>
      </c>
      <c r="H1395" t="s">
        <v>182</v>
      </c>
      <c r="I1395">
        <v>15</v>
      </c>
      <c r="J1395">
        <v>6</v>
      </c>
      <c r="K1395">
        <v>1</v>
      </c>
      <c r="L1395">
        <v>66078</v>
      </c>
      <c r="M1395" t="str">
        <f t="shared" si="202"/>
        <v>13</v>
      </c>
      <c r="N1395" t="s">
        <v>3323</v>
      </c>
      <c r="O1395" t="str">
        <f t="shared" si="204"/>
        <v>55611</v>
      </c>
      <c r="P1395" t="str">
        <f>"2100L"</f>
        <v>2100L</v>
      </c>
      <c r="Q1395" t="str">
        <f t="shared" si="203"/>
        <v>0101</v>
      </c>
      <c r="R1395">
        <v>2100</v>
      </c>
      <c r="S1395" t="str">
        <f t="shared" si="205"/>
        <v>5560</v>
      </c>
      <c r="T1395" t="s">
        <v>3543</v>
      </c>
      <c r="U1395" t="s">
        <v>123</v>
      </c>
    </row>
    <row r="1396" spans="1:21" ht="15" customHeight="1" x14ac:dyDescent="0.3">
      <c r="A1396" t="s">
        <v>179</v>
      </c>
      <c r="B1396" t="str">
        <f>"00052385"</f>
        <v>00052385</v>
      </c>
      <c r="C1396" t="s">
        <v>4274</v>
      </c>
      <c r="D1396" t="s">
        <v>4731</v>
      </c>
      <c r="E1396" t="str">
        <f>"00048153"</f>
        <v>00048153</v>
      </c>
      <c r="F1396">
        <v>0</v>
      </c>
      <c r="G1396" s="243">
        <v>32756</v>
      </c>
      <c r="H1396" t="s">
        <v>182</v>
      </c>
      <c r="I1396">
        <v>4</v>
      </c>
      <c r="J1396">
        <v>10</v>
      </c>
      <c r="K1396">
        <v>0.875</v>
      </c>
      <c r="L1396">
        <v>28721</v>
      </c>
      <c r="M1396" t="str">
        <f t="shared" si="202"/>
        <v>13</v>
      </c>
      <c r="N1396" t="s">
        <v>3323</v>
      </c>
      <c r="O1396" t="str">
        <f t="shared" si="204"/>
        <v>55611</v>
      </c>
      <c r="P1396" t="str">
        <f>"2200L"</f>
        <v>2200L</v>
      </c>
      <c r="Q1396" t="str">
        <f t="shared" si="203"/>
        <v>0101</v>
      </c>
      <c r="R1396">
        <v>2200</v>
      </c>
      <c r="S1396" t="str">
        <f t="shared" si="205"/>
        <v>5560</v>
      </c>
      <c r="T1396" t="s">
        <v>3543</v>
      </c>
      <c r="U1396" t="s">
        <v>123</v>
      </c>
    </row>
    <row r="1397" spans="1:21" ht="15" customHeight="1" x14ac:dyDescent="0.3">
      <c r="A1397" t="s">
        <v>179</v>
      </c>
      <c r="B1397" t="str">
        <f>"00052699"</f>
        <v>00052699</v>
      </c>
      <c r="C1397" t="s">
        <v>4262</v>
      </c>
      <c r="D1397" t="s">
        <v>1424</v>
      </c>
      <c r="E1397" t="str">
        <f>"00048997"</f>
        <v>00048997</v>
      </c>
      <c r="F1397">
        <v>0</v>
      </c>
      <c r="G1397" s="243">
        <v>36227</v>
      </c>
      <c r="H1397" t="s">
        <v>182</v>
      </c>
      <c r="I1397">
        <v>15</v>
      </c>
      <c r="J1397">
        <v>16</v>
      </c>
      <c r="K1397">
        <v>1</v>
      </c>
      <c r="L1397">
        <v>100839</v>
      </c>
      <c r="M1397" t="str">
        <f t="shared" si="202"/>
        <v>13</v>
      </c>
      <c r="N1397" t="s">
        <v>3323</v>
      </c>
      <c r="O1397" t="str">
        <f t="shared" si="204"/>
        <v>55611</v>
      </c>
      <c r="P1397" t="str">
        <f>"2100L"</f>
        <v>2100L</v>
      </c>
      <c r="Q1397" t="str">
        <f t="shared" si="203"/>
        <v>0101</v>
      </c>
      <c r="R1397">
        <v>2100</v>
      </c>
      <c r="S1397" t="str">
        <f t="shared" si="205"/>
        <v>5560</v>
      </c>
      <c r="T1397" t="s">
        <v>3543</v>
      </c>
      <c r="U1397" t="s">
        <v>123</v>
      </c>
    </row>
    <row r="1398" spans="1:21" ht="15" customHeight="1" x14ac:dyDescent="0.3">
      <c r="A1398" t="s">
        <v>179</v>
      </c>
      <c r="B1398" t="str">
        <f>"00052715"</f>
        <v>00052715</v>
      </c>
      <c r="C1398" t="s">
        <v>4262</v>
      </c>
      <c r="D1398" t="s">
        <v>1425</v>
      </c>
      <c r="E1398" t="str">
        <f>"00049062"</f>
        <v>00049062</v>
      </c>
      <c r="F1398">
        <v>0</v>
      </c>
      <c r="G1398" s="243">
        <v>32090</v>
      </c>
      <c r="H1398" t="s">
        <v>182</v>
      </c>
      <c r="I1398">
        <v>15</v>
      </c>
      <c r="J1398">
        <v>16</v>
      </c>
      <c r="K1398">
        <v>1</v>
      </c>
      <c r="L1398">
        <v>106540</v>
      </c>
      <c r="M1398" t="str">
        <f t="shared" si="202"/>
        <v>13</v>
      </c>
      <c r="N1398" t="s">
        <v>3323</v>
      </c>
      <c r="O1398" t="str">
        <f t="shared" si="204"/>
        <v>55611</v>
      </c>
      <c r="P1398" t="str">
        <f>"2100L"</f>
        <v>2100L</v>
      </c>
      <c r="Q1398" t="str">
        <f t="shared" si="203"/>
        <v>0101</v>
      </c>
      <c r="R1398">
        <v>2100</v>
      </c>
      <c r="S1398" t="str">
        <f t="shared" si="205"/>
        <v>5560</v>
      </c>
      <c r="T1398" t="s">
        <v>3543</v>
      </c>
      <c r="U1398" t="s">
        <v>123</v>
      </c>
    </row>
    <row r="1399" spans="1:21" ht="15" customHeight="1" x14ac:dyDescent="0.3">
      <c r="A1399" t="s">
        <v>179</v>
      </c>
      <c r="B1399" t="str">
        <f>"00052922"</f>
        <v>00052922</v>
      </c>
      <c r="C1399" t="s">
        <v>4254</v>
      </c>
      <c r="D1399" t="s">
        <v>1426</v>
      </c>
      <c r="E1399" t="str">
        <f>"00050159"</f>
        <v>00050159</v>
      </c>
      <c r="F1399">
        <v>0</v>
      </c>
      <c r="G1399" s="243">
        <v>35843</v>
      </c>
      <c r="H1399" t="s">
        <v>182</v>
      </c>
      <c r="I1399">
        <v>15</v>
      </c>
      <c r="J1399">
        <v>16</v>
      </c>
      <c r="K1399">
        <v>1</v>
      </c>
      <c r="L1399">
        <v>100839</v>
      </c>
      <c r="M1399" t="str">
        <f t="shared" si="202"/>
        <v>13</v>
      </c>
      <c r="N1399" t="s">
        <v>3323</v>
      </c>
      <c r="O1399" t="str">
        <f t="shared" si="204"/>
        <v>55611</v>
      </c>
      <c r="P1399" t="str">
        <f>"2100L"</f>
        <v>2100L</v>
      </c>
      <c r="Q1399" t="str">
        <f t="shared" si="203"/>
        <v>0101</v>
      </c>
      <c r="R1399">
        <v>2100</v>
      </c>
      <c r="S1399" t="str">
        <f t="shared" si="205"/>
        <v>5560</v>
      </c>
      <c r="T1399" t="s">
        <v>3543</v>
      </c>
      <c r="U1399" t="s">
        <v>123</v>
      </c>
    </row>
    <row r="1400" spans="1:21" ht="15" customHeight="1" x14ac:dyDescent="0.3">
      <c r="A1400" t="s">
        <v>179</v>
      </c>
      <c r="B1400" t="str">
        <f>"00052971"</f>
        <v>00052971</v>
      </c>
      <c r="C1400" t="s">
        <v>4274</v>
      </c>
      <c r="D1400" t="s">
        <v>4732</v>
      </c>
      <c r="E1400" t="str">
        <f>"00050461"</f>
        <v>00050461</v>
      </c>
      <c r="F1400">
        <v>0</v>
      </c>
      <c r="G1400" s="243">
        <v>36185</v>
      </c>
      <c r="H1400" t="s">
        <v>182</v>
      </c>
      <c r="I1400">
        <v>4</v>
      </c>
      <c r="J1400">
        <v>9</v>
      </c>
      <c r="K1400">
        <v>0.875</v>
      </c>
      <c r="L1400">
        <v>28025.38</v>
      </c>
      <c r="M1400" t="str">
        <f t="shared" si="202"/>
        <v>13</v>
      </c>
      <c r="N1400" t="s">
        <v>3323</v>
      </c>
      <c r="O1400" t="str">
        <f t="shared" si="204"/>
        <v>55611</v>
      </c>
      <c r="P1400" t="str">
        <f>"2200L"</f>
        <v>2200L</v>
      </c>
      <c r="Q1400" t="str">
        <f t="shared" si="203"/>
        <v>0101</v>
      </c>
      <c r="R1400">
        <v>2200</v>
      </c>
      <c r="S1400" t="str">
        <f t="shared" si="205"/>
        <v>5560</v>
      </c>
      <c r="T1400" t="s">
        <v>3543</v>
      </c>
      <c r="U1400" t="s">
        <v>123</v>
      </c>
    </row>
    <row r="1401" spans="1:21" ht="15" customHeight="1" x14ac:dyDescent="0.3">
      <c r="A1401" t="s">
        <v>179</v>
      </c>
      <c r="B1401" t="str">
        <f>"00053371"</f>
        <v>00053371</v>
      </c>
      <c r="C1401" t="s">
        <v>4272</v>
      </c>
      <c r="D1401" t="s">
        <v>1427</v>
      </c>
      <c r="E1401" t="str">
        <f>"00051380"</f>
        <v>00051380</v>
      </c>
      <c r="F1401">
        <v>0</v>
      </c>
      <c r="G1401" s="243">
        <v>29627</v>
      </c>
      <c r="H1401" t="s">
        <v>182</v>
      </c>
      <c r="I1401">
        <v>15</v>
      </c>
      <c r="J1401">
        <v>16</v>
      </c>
      <c r="K1401">
        <v>1</v>
      </c>
      <c r="L1401">
        <v>106540</v>
      </c>
      <c r="M1401" t="str">
        <f t="shared" si="202"/>
        <v>13</v>
      </c>
      <c r="N1401" t="s">
        <v>3323</v>
      </c>
      <c r="O1401" t="str">
        <f t="shared" si="204"/>
        <v>55611</v>
      </c>
      <c r="P1401" t="str">
        <f>"2200L"</f>
        <v>2200L</v>
      </c>
      <c r="Q1401" t="str">
        <f t="shared" si="203"/>
        <v>0101</v>
      </c>
      <c r="R1401">
        <v>2200</v>
      </c>
      <c r="S1401" t="str">
        <f t="shared" si="205"/>
        <v>5560</v>
      </c>
      <c r="T1401" t="s">
        <v>3543</v>
      </c>
      <c r="U1401" t="s">
        <v>123</v>
      </c>
    </row>
    <row r="1402" spans="1:21" ht="15" customHeight="1" x14ac:dyDescent="0.3">
      <c r="A1402" t="s">
        <v>179</v>
      </c>
      <c r="B1402" t="str">
        <f>"00053886"</f>
        <v>00053886</v>
      </c>
      <c r="C1402" t="s">
        <v>4274</v>
      </c>
      <c r="D1402" t="s">
        <v>4733</v>
      </c>
      <c r="E1402" t="str">
        <f>"00052698"</f>
        <v>00052698</v>
      </c>
      <c r="F1402">
        <v>0</v>
      </c>
      <c r="G1402" s="243">
        <v>34065</v>
      </c>
      <c r="H1402" t="s">
        <v>182</v>
      </c>
      <c r="I1402">
        <v>4</v>
      </c>
      <c r="J1402">
        <v>10</v>
      </c>
      <c r="K1402">
        <v>0.875</v>
      </c>
      <c r="L1402">
        <v>28721</v>
      </c>
      <c r="M1402" t="str">
        <f t="shared" si="202"/>
        <v>13</v>
      </c>
      <c r="N1402" t="s">
        <v>3323</v>
      </c>
      <c r="O1402" t="str">
        <f t="shared" si="204"/>
        <v>55611</v>
      </c>
      <c r="P1402" t="str">
        <f>"2200L"</f>
        <v>2200L</v>
      </c>
      <c r="Q1402" t="str">
        <f t="shared" si="203"/>
        <v>0101</v>
      </c>
      <c r="R1402">
        <v>2200</v>
      </c>
      <c r="S1402" t="str">
        <f t="shared" si="205"/>
        <v>5560</v>
      </c>
      <c r="T1402" t="s">
        <v>3543</v>
      </c>
      <c r="U1402" t="s">
        <v>123</v>
      </c>
    </row>
    <row r="1403" spans="1:21" ht="15" customHeight="1" x14ac:dyDescent="0.3">
      <c r="A1403" t="s">
        <v>179</v>
      </c>
      <c r="B1403" t="str">
        <f>"00054016"</f>
        <v>00054016</v>
      </c>
      <c r="C1403" t="s">
        <v>4274</v>
      </c>
      <c r="D1403" t="s">
        <v>4734</v>
      </c>
      <c r="E1403" t="str">
        <f>"00052881"</f>
        <v>00052881</v>
      </c>
      <c r="F1403">
        <v>0</v>
      </c>
      <c r="G1403" s="243">
        <v>32525</v>
      </c>
      <c r="H1403" t="s">
        <v>182</v>
      </c>
      <c r="I1403">
        <v>4</v>
      </c>
      <c r="J1403">
        <v>10</v>
      </c>
      <c r="K1403">
        <v>0.875</v>
      </c>
      <c r="L1403">
        <v>28721</v>
      </c>
      <c r="M1403" t="str">
        <f t="shared" si="202"/>
        <v>13</v>
      </c>
      <c r="N1403" t="s">
        <v>3323</v>
      </c>
      <c r="O1403" t="str">
        <f t="shared" si="204"/>
        <v>55611</v>
      </c>
      <c r="P1403" t="str">
        <f>"2200L"</f>
        <v>2200L</v>
      </c>
      <c r="Q1403" t="str">
        <f t="shared" si="203"/>
        <v>0101</v>
      </c>
      <c r="R1403">
        <v>2200</v>
      </c>
      <c r="S1403" t="str">
        <f t="shared" si="205"/>
        <v>5560</v>
      </c>
      <c r="T1403" t="s">
        <v>3543</v>
      </c>
      <c r="U1403" t="s">
        <v>123</v>
      </c>
    </row>
    <row r="1404" spans="1:21" ht="15" customHeight="1" x14ac:dyDescent="0.3">
      <c r="A1404" t="s">
        <v>179</v>
      </c>
      <c r="B1404" t="str">
        <f>"00054171"</f>
        <v>00054171</v>
      </c>
      <c r="C1404" t="s">
        <v>4272</v>
      </c>
      <c r="D1404" t="s">
        <v>1428</v>
      </c>
      <c r="E1404" t="str">
        <f>"00053162"</f>
        <v>00053162</v>
      </c>
      <c r="F1404">
        <v>0</v>
      </c>
      <c r="G1404" s="243">
        <v>33212</v>
      </c>
      <c r="H1404" t="s">
        <v>182</v>
      </c>
      <c r="I1404">
        <v>15</v>
      </c>
      <c r="J1404">
        <v>16</v>
      </c>
      <c r="K1404">
        <v>1</v>
      </c>
      <c r="L1404">
        <v>100839</v>
      </c>
      <c r="M1404" t="str">
        <f t="shared" si="202"/>
        <v>13</v>
      </c>
      <c r="N1404" t="s">
        <v>3323</v>
      </c>
      <c r="O1404" t="str">
        <f t="shared" si="204"/>
        <v>55611</v>
      </c>
      <c r="P1404" t="str">
        <f>"2100L"</f>
        <v>2100L</v>
      </c>
      <c r="Q1404" t="str">
        <f t="shared" si="203"/>
        <v>0101</v>
      </c>
      <c r="R1404">
        <v>2100</v>
      </c>
      <c r="S1404" t="str">
        <f t="shared" si="205"/>
        <v>5560</v>
      </c>
      <c r="T1404" t="s">
        <v>3543</v>
      </c>
      <c r="U1404" t="s">
        <v>123</v>
      </c>
    </row>
    <row r="1405" spans="1:21" ht="15" customHeight="1" x14ac:dyDescent="0.3">
      <c r="A1405" t="s">
        <v>179</v>
      </c>
      <c r="B1405" t="str">
        <f>"00054446"</f>
        <v>00054446</v>
      </c>
      <c r="C1405" t="s">
        <v>4299</v>
      </c>
      <c r="D1405" t="s">
        <v>4735</v>
      </c>
      <c r="E1405" t="str">
        <f>"00054035"</f>
        <v>00054035</v>
      </c>
      <c r="F1405">
        <v>0</v>
      </c>
      <c r="G1405" s="243">
        <v>30658</v>
      </c>
      <c r="H1405" t="s">
        <v>182</v>
      </c>
      <c r="I1405">
        <v>7</v>
      </c>
      <c r="J1405">
        <v>5</v>
      </c>
      <c r="K1405">
        <v>1</v>
      </c>
      <c r="L1405">
        <v>40406</v>
      </c>
      <c r="M1405" t="str">
        <f t="shared" si="202"/>
        <v>13</v>
      </c>
      <c r="N1405" t="s">
        <v>3323</v>
      </c>
      <c r="O1405" t="str">
        <f t="shared" si="204"/>
        <v>55611</v>
      </c>
      <c r="P1405" t="str">
        <f>"1502L"</f>
        <v>1502L</v>
      </c>
      <c r="Q1405" t="str">
        <f t="shared" si="203"/>
        <v>0101</v>
      </c>
      <c r="R1405">
        <v>1502</v>
      </c>
      <c r="S1405" t="str">
        <f t="shared" si="205"/>
        <v>5560</v>
      </c>
      <c r="T1405" t="s">
        <v>3543</v>
      </c>
      <c r="U1405" t="s">
        <v>123</v>
      </c>
    </row>
    <row r="1406" spans="1:21" ht="15" customHeight="1" x14ac:dyDescent="0.3">
      <c r="A1406" t="s">
        <v>179</v>
      </c>
      <c r="B1406" t="str">
        <f>"00054640"</f>
        <v>00054640</v>
      </c>
      <c r="C1406" t="s">
        <v>4262</v>
      </c>
      <c r="D1406" t="s">
        <v>1429</v>
      </c>
      <c r="E1406" t="str">
        <f>"00054335"</f>
        <v>00054335</v>
      </c>
      <c r="F1406">
        <v>0</v>
      </c>
      <c r="G1406" s="243">
        <v>32050</v>
      </c>
      <c r="H1406" t="s">
        <v>182</v>
      </c>
      <c r="I1406">
        <v>15</v>
      </c>
      <c r="J1406">
        <v>16</v>
      </c>
      <c r="K1406">
        <v>1</v>
      </c>
      <c r="L1406">
        <v>100839</v>
      </c>
      <c r="M1406" t="str">
        <f t="shared" si="202"/>
        <v>13</v>
      </c>
      <c r="N1406" t="s">
        <v>3323</v>
      </c>
      <c r="O1406" t="str">
        <f t="shared" si="204"/>
        <v>55611</v>
      </c>
      <c r="P1406" t="str">
        <f>"2100L"</f>
        <v>2100L</v>
      </c>
      <c r="Q1406" t="str">
        <f t="shared" si="203"/>
        <v>0101</v>
      </c>
      <c r="R1406">
        <v>2100</v>
      </c>
      <c r="S1406" t="str">
        <f t="shared" si="205"/>
        <v>5560</v>
      </c>
      <c r="T1406" t="s">
        <v>3543</v>
      </c>
      <c r="U1406" t="s">
        <v>123</v>
      </c>
    </row>
    <row r="1407" spans="1:21" ht="15" customHeight="1" x14ac:dyDescent="0.3">
      <c r="A1407" t="s">
        <v>179</v>
      </c>
      <c r="B1407" t="str">
        <f>"00054762"</f>
        <v>00054762</v>
      </c>
      <c r="C1407" t="s">
        <v>4262</v>
      </c>
      <c r="D1407" t="s">
        <v>1430</v>
      </c>
      <c r="E1407" t="str">
        <f>"00054585"</f>
        <v>00054585</v>
      </c>
      <c r="F1407">
        <v>0</v>
      </c>
      <c r="G1407" s="243">
        <v>32050</v>
      </c>
      <c r="H1407" t="s">
        <v>182</v>
      </c>
      <c r="I1407">
        <v>15</v>
      </c>
      <c r="J1407">
        <v>16</v>
      </c>
      <c r="K1407">
        <v>1</v>
      </c>
      <c r="L1407">
        <v>103347</v>
      </c>
      <c r="M1407" t="str">
        <f t="shared" si="202"/>
        <v>13</v>
      </c>
      <c r="N1407" t="s">
        <v>3323</v>
      </c>
      <c r="O1407" t="str">
        <f t="shared" si="204"/>
        <v>55611</v>
      </c>
      <c r="P1407" t="str">
        <f>"2100L"</f>
        <v>2100L</v>
      </c>
      <c r="Q1407" t="str">
        <f t="shared" si="203"/>
        <v>0101</v>
      </c>
      <c r="R1407">
        <v>2100</v>
      </c>
      <c r="S1407" t="str">
        <f t="shared" si="205"/>
        <v>5560</v>
      </c>
      <c r="T1407" t="s">
        <v>3543</v>
      </c>
      <c r="U1407" t="s">
        <v>123</v>
      </c>
    </row>
    <row r="1408" spans="1:21" ht="15" customHeight="1" x14ac:dyDescent="0.3">
      <c r="A1408" t="s">
        <v>179</v>
      </c>
      <c r="B1408" t="str">
        <f>"00055100"</f>
        <v>00055100</v>
      </c>
      <c r="C1408" t="s">
        <v>4272</v>
      </c>
      <c r="D1408" t="s">
        <v>1431</v>
      </c>
      <c r="E1408" t="str">
        <f>"00053611"</f>
        <v>00053611</v>
      </c>
      <c r="F1408">
        <v>0</v>
      </c>
      <c r="G1408" s="243">
        <v>36390</v>
      </c>
      <c r="H1408" t="s">
        <v>182</v>
      </c>
      <c r="I1408">
        <v>15</v>
      </c>
      <c r="J1408">
        <v>14</v>
      </c>
      <c r="K1408">
        <v>1</v>
      </c>
      <c r="L1408">
        <v>96460</v>
      </c>
      <c r="M1408" t="str">
        <f t="shared" si="202"/>
        <v>13</v>
      </c>
      <c r="N1408" t="s">
        <v>3323</v>
      </c>
      <c r="O1408" t="str">
        <f t="shared" si="204"/>
        <v>55611</v>
      </c>
      <c r="P1408" t="str">
        <f>"2100L"</f>
        <v>2100L</v>
      </c>
      <c r="Q1408" t="str">
        <f t="shared" si="203"/>
        <v>0101</v>
      </c>
      <c r="R1408">
        <v>2100</v>
      </c>
      <c r="S1408" t="str">
        <f t="shared" si="205"/>
        <v>5560</v>
      </c>
      <c r="T1408" t="s">
        <v>3543</v>
      </c>
      <c r="U1408" t="s">
        <v>123</v>
      </c>
    </row>
    <row r="1409" spans="1:21" ht="15" customHeight="1" x14ac:dyDescent="0.3">
      <c r="A1409" t="s">
        <v>179</v>
      </c>
      <c r="B1409" t="str">
        <f>"00056895"</f>
        <v>00056895</v>
      </c>
      <c r="C1409" t="s">
        <v>4262</v>
      </c>
      <c r="D1409" t="s">
        <v>1432</v>
      </c>
      <c r="E1409" t="str">
        <f>"00044551"</f>
        <v>00044551</v>
      </c>
      <c r="F1409">
        <v>0</v>
      </c>
      <c r="G1409" s="243">
        <v>32387</v>
      </c>
      <c r="H1409" t="s">
        <v>182</v>
      </c>
      <c r="I1409">
        <v>15</v>
      </c>
      <c r="J1409">
        <v>13</v>
      </c>
      <c r="K1409">
        <v>1</v>
      </c>
      <c r="L1409">
        <v>81724</v>
      </c>
      <c r="M1409" t="str">
        <f t="shared" si="202"/>
        <v>13</v>
      </c>
      <c r="N1409" t="s">
        <v>3323</v>
      </c>
      <c r="O1409" t="str">
        <f t="shared" si="204"/>
        <v>55611</v>
      </c>
      <c r="P1409" t="str">
        <f>"2100L"</f>
        <v>2100L</v>
      </c>
      <c r="Q1409" t="str">
        <f t="shared" si="203"/>
        <v>0101</v>
      </c>
      <c r="R1409">
        <v>2100</v>
      </c>
      <c r="S1409" t="str">
        <f t="shared" si="205"/>
        <v>5560</v>
      </c>
      <c r="T1409" t="s">
        <v>3543</v>
      </c>
      <c r="U1409" t="s">
        <v>123</v>
      </c>
    </row>
    <row r="1410" spans="1:21" ht="15" customHeight="1" x14ac:dyDescent="0.3">
      <c r="A1410" t="s">
        <v>179</v>
      </c>
      <c r="B1410" t="str">
        <f>"00057209"</f>
        <v>00057209</v>
      </c>
      <c r="C1410" t="s">
        <v>3798</v>
      </c>
      <c r="D1410" t="s">
        <v>1433</v>
      </c>
      <c r="E1410" t="str">
        <f>"00049213"</f>
        <v>00049213</v>
      </c>
      <c r="F1410">
        <v>0</v>
      </c>
      <c r="G1410" s="243">
        <v>36608</v>
      </c>
      <c r="H1410" t="s">
        <v>182</v>
      </c>
      <c r="I1410">
        <v>62</v>
      </c>
      <c r="J1410">
        <v>10</v>
      </c>
      <c r="K1410">
        <v>1</v>
      </c>
      <c r="L1410">
        <v>140000</v>
      </c>
      <c r="M1410" t="str">
        <f t="shared" si="202"/>
        <v>13</v>
      </c>
      <c r="N1410" t="s">
        <v>3323</v>
      </c>
      <c r="O1410" t="str">
        <f t="shared" si="204"/>
        <v>55611</v>
      </c>
      <c r="P1410" t="str">
        <f>"1501L"</f>
        <v>1501L</v>
      </c>
      <c r="Q1410" t="str">
        <f t="shared" si="203"/>
        <v>0101</v>
      </c>
      <c r="R1410">
        <v>1501</v>
      </c>
      <c r="S1410" t="str">
        <f t="shared" si="205"/>
        <v>5560</v>
      </c>
      <c r="T1410" t="s">
        <v>3543</v>
      </c>
      <c r="U1410" t="s">
        <v>123</v>
      </c>
    </row>
    <row r="1411" spans="1:21" ht="15" customHeight="1" x14ac:dyDescent="0.3">
      <c r="A1411" t="s">
        <v>179</v>
      </c>
      <c r="B1411" t="str">
        <f>"00057640"</f>
        <v>00057640</v>
      </c>
      <c r="C1411" t="s">
        <v>4262</v>
      </c>
      <c r="D1411" t="s">
        <v>1434</v>
      </c>
      <c r="E1411" t="str">
        <f>"00045517"</f>
        <v>00045517</v>
      </c>
      <c r="F1411">
        <v>0</v>
      </c>
      <c r="G1411" s="243">
        <v>38587</v>
      </c>
      <c r="H1411" t="s">
        <v>182</v>
      </c>
      <c r="I1411">
        <v>15</v>
      </c>
      <c r="J1411">
        <v>8</v>
      </c>
      <c r="K1411">
        <v>1</v>
      </c>
      <c r="L1411">
        <v>74640</v>
      </c>
      <c r="M1411" t="str">
        <f t="shared" si="202"/>
        <v>13</v>
      </c>
      <c r="N1411" t="s">
        <v>3323</v>
      </c>
      <c r="O1411" t="str">
        <f t="shared" si="204"/>
        <v>55611</v>
      </c>
      <c r="P1411" t="str">
        <f>"2100L"</f>
        <v>2100L</v>
      </c>
      <c r="Q1411" t="str">
        <f t="shared" si="203"/>
        <v>0101</v>
      </c>
      <c r="R1411">
        <v>2100</v>
      </c>
      <c r="S1411" t="str">
        <f t="shared" si="205"/>
        <v>5560</v>
      </c>
      <c r="T1411" t="s">
        <v>3543</v>
      </c>
      <c r="U1411" t="s">
        <v>123</v>
      </c>
    </row>
    <row r="1412" spans="1:21" ht="15" customHeight="1" x14ac:dyDescent="0.3">
      <c r="A1412" t="s">
        <v>179</v>
      </c>
      <c r="B1412" t="str">
        <f>"00058038"</f>
        <v>00058038</v>
      </c>
      <c r="C1412" t="s">
        <v>4272</v>
      </c>
      <c r="D1412" t="s">
        <v>1435</v>
      </c>
      <c r="E1412" t="str">
        <f>"00051535"</f>
        <v>00051535</v>
      </c>
      <c r="F1412">
        <v>0</v>
      </c>
      <c r="G1412" s="243">
        <v>37124</v>
      </c>
      <c r="H1412" t="s">
        <v>182</v>
      </c>
      <c r="I1412">
        <v>15</v>
      </c>
      <c r="J1412">
        <v>13</v>
      </c>
      <c r="K1412">
        <v>1</v>
      </c>
      <c r="L1412">
        <v>95366</v>
      </c>
      <c r="M1412" t="str">
        <f t="shared" si="202"/>
        <v>13</v>
      </c>
      <c r="N1412" t="s">
        <v>3323</v>
      </c>
      <c r="O1412" t="str">
        <f t="shared" si="204"/>
        <v>55611</v>
      </c>
      <c r="P1412" t="str">
        <f>"2200L"</f>
        <v>2200L</v>
      </c>
      <c r="Q1412" t="str">
        <f t="shared" si="203"/>
        <v>0101</v>
      </c>
      <c r="R1412">
        <v>2200</v>
      </c>
      <c r="S1412" t="str">
        <f t="shared" si="205"/>
        <v>5560</v>
      </c>
      <c r="T1412" t="s">
        <v>3543</v>
      </c>
      <c r="U1412" t="s">
        <v>123</v>
      </c>
    </row>
    <row r="1413" spans="1:21" ht="15" customHeight="1" x14ac:dyDescent="0.3">
      <c r="A1413" t="s">
        <v>179</v>
      </c>
      <c r="B1413" t="str">
        <f>"00058040"</f>
        <v>00058040</v>
      </c>
      <c r="C1413" t="s">
        <v>4262</v>
      </c>
      <c r="D1413" t="s">
        <v>1436</v>
      </c>
      <c r="E1413" t="str">
        <f>"00049653"</f>
        <v>00049653</v>
      </c>
      <c r="F1413">
        <v>0</v>
      </c>
      <c r="G1413" s="243">
        <v>37124</v>
      </c>
      <c r="H1413" t="s">
        <v>182</v>
      </c>
      <c r="I1413">
        <v>15</v>
      </c>
      <c r="J1413">
        <v>12</v>
      </c>
      <c r="K1413">
        <v>1</v>
      </c>
      <c r="L1413">
        <v>87431</v>
      </c>
      <c r="M1413" t="str">
        <f t="shared" si="202"/>
        <v>13</v>
      </c>
      <c r="N1413" t="s">
        <v>3323</v>
      </c>
      <c r="O1413" t="str">
        <f t="shared" si="204"/>
        <v>55611</v>
      </c>
      <c r="P1413" t="str">
        <f>"2100L"</f>
        <v>2100L</v>
      </c>
      <c r="Q1413" t="str">
        <f t="shared" si="203"/>
        <v>0101</v>
      </c>
      <c r="R1413">
        <v>2100</v>
      </c>
      <c r="S1413" t="str">
        <f t="shared" si="205"/>
        <v>5560</v>
      </c>
      <c r="T1413" t="s">
        <v>3543</v>
      </c>
      <c r="U1413" t="s">
        <v>123</v>
      </c>
    </row>
    <row r="1414" spans="1:21" ht="15" customHeight="1" x14ac:dyDescent="0.3">
      <c r="A1414" t="s">
        <v>179</v>
      </c>
      <c r="B1414" t="str">
        <f>"00058163"</f>
        <v>00058163</v>
      </c>
      <c r="C1414" t="s">
        <v>4262</v>
      </c>
      <c r="D1414" t="s">
        <v>1437</v>
      </c>
      <c r="E1414" t="str">
        <f>"00049827"</f>
        <v>00049827</v>
      </c>
      <c r="F1414">
        <v>0</v>
      </c>
      <c r="G1414" s="243">
        <v>37124</v>
      </c>
      <c r="H1414" t="s">
        <v>182</v>
      </c>
      <c r="I1414">
        <v>15</v>
      </c>
      <c r="J1414">
        <v>13</v>
      </c>
      <c r="K1414">
        <v>1</v>
      </c>
      <c r="L1414">
        <v>101066</v>
      </c>
      <c r="M1414" t="str">
        <f t="shared" si="202"/>
        <v>13</v>
      </c>
      <c r="N1414" t="s">
        <v>3323</v>
      </c>
      <c r="O1414" t="str">
        <f t="shared" si="204"/>
        <v>55611</v>
      </c>
      <c r="P1414" t="str">
        <f>"2100L"</f>
        <v>2100L</v>
      </c>
      <c r="Q1414" t="str">
        <f t="shared" si="203"/>
        <v>0101</v>
      </c>
      <c r="R1414">
        <v>2100</v>
      </c>
      <c r="S1414" t="str">
        <f t="shared" si="205"/>
        <v>5560</v>
      </c>
      <c r="T1414" t="s">
        <v>3543</v>
      </c>
      <c r="U1414" t="s">
        <v>123</v>
      </c>
    </row>
    <row r="1415" spans="1:21" ht="15" customHeight="1" x14ac:dyDescent="0.3">
      <c r="A1415" t="s">
        <v>179</v>
      </c>
      <c r="B1415" t="str">
        <f>"00058453"</f>
        <v>00058453</v>
      </c>
      <c r="C1415" t="s">
        <v>4252</v>
      </c>
      <c r="D1415" t="s">
        <v>1438</v>
      </c>
      <c r="E1415" t="str">
        <f>"00054528"</f>
        <v>00054528</v>
      </c>
      <c r="F1415">
        <v>0</v>
      </c>
      <c r="G1415" s="243">
        <v>37186</v>
      </c>
      <c r="H1415" t="s">
        <v>182</v>
      </c>
      <c r="I1415">
        <v>15</v>
      </c>
      <c r="J1415">
        <v>12</v>
      </c>
      <c r="K1415">
        <v>1</v>
      </c>
      <c r="L1415">
        <v>87431</v>
      </c>
      <c r="M1415" t="str">
        <f t="shared" si="202"/>
        <v>13</v>
      </c>
      <c r="N1415" t="s">
        <v>3323</v>
      </c>
      <c r="O1415" t="str">
        <f t="shared" si="204"/>
        <v>55611</v>
      </c>
      <c r="P1415" t="str">
        <f>"2100L"</f>
        <v>2100L</v>
      </c>
      <c r="Q1415" t="str">
        <f t="shared" si="203"/>
        <v>0101</v>
      </c>
      <c r="R1415">
        <v>2100</v>
      </c>
      <c r="S1415" t="str">
        <f t="shared" si="205"/>
        <v>5560</v>
      </c>
      <c r="T1415" t="s">
        <v>3543</v>
      </c>
      <c r="U1415" t="s">
        <v>123</v>
      </c>
    </row>
    <row r="1416" spans="1:21" ht="15" customHeight="1" x14ac:dyDescent="0.3">
      <c r="A1416" t="s">
        <v>179</v>
      </c>
      <c r="B1416" t="str">
        <f>"00058530"</f>
        <v>00058530</v>
      </c>
      <c r="C1416" t="s">
        <v>4256</v>
      </c>
      <c r="D1416" t="s">
        <v>3544</v>
      </c>
      <c r="E1416" t="str">
        <f>"00047782"</f>
        <v>00047782</v>
      </c>
      <c r="F1416">
        <v>0</v>
      </c>
      <c r="G1416" s="243">
        <v>38951</v>
      </c>
      <c r="H1416" t="s">
        <v>182</v>
      </c>
      <c r="I1416">
        <v>15</v>
      </c>
      <c r="J1416">
        <v>15</v>
      </c>
      <c r="K1416">
        <v>1</v>
      </c>
      <c r="L1416">
        <v>100792</v>
      </c>
      <c r="M1416" t="str">
        <f t="shared" si="202"/>
        <v>13</v>
      </c>
      <c r="N1416" t="s">
        <v>3323</v>
      </c>
      <c r="O1416" t="str">
        <f t="shared" si="204"/>
        <v>55611</v>
      </c>
      <c r="P1416" t="str">
        <f>"2100L"</f>
        <v>2100L</v>
      </c>
      <c r="Q1416" t="str">
        <f t="shared" si="203"/>
        <v>0101</v>
      </c>
      <c r="R1416">
        <v>2100</v>
      </c>
      <c r="S1416" t="str">
        <f t="shared" si="205"/>
        <v>5560</v>
      </c>
      <c r="T1416" t="s">
        <v>3543</v>
      </c>
      <c r="U1416" t="s">
        <v>123</v>
      </c>
    </row>
    <row r="1417" spans="1:21" ht="15" customHeight="1" x14ac:dyDescent="0.3">
      <c r="A1417" t="s">
        <v>179</v>
      </c>
      <c r="B1417" t="str">
        <f>"00058543"</f>
        <v>00058543</v>
      </c>
      <c r="C1417" t="s">
        <v>4272</v>
      </c>
      <c r="D1417" t="s">
        <v>1439</v>
      </c>
      <c r="E1417" t="str">
        <f>"00049374"</f>
        <v>00049374</v>
      </c>
      <c r="F1417">
        <v>0</v>
      </c>
      <c r="G1417" s="243">
        <v>38951</v>
      </c>
      <c r="H1417" t="s">
        <v>182</v>
      </c>
      <c r="I1417">
        <v>15</v>
      </c>
      <c r="J1417">
        <v>10</v>
      </c>
      <c r="K1417">
        <v>1</v>
      </c>
      <c r="L1417">
        <v>78273</v>
      </c>
      <c r="M1417" t="str">
        <f t="shared" si="202"/>
        <v>13</v>
      </c>
      <c r="N1417" t="s">
        <v>3323</v>
      </c>
      <c r="O1417" t="str">
        <f t="shared" si="204"/>
        <v>55611</v>
      </c>
      <c r="P1417" t="str">
        <f>"2100L"</f>
        <v>2100L</v>
      </c>
      <c r="Q1417" t="str">
        <f t="shared" si="203"/>
        <v>0101</v>
      </c>
      <c r="R1417">
        <v>2100</v>
      </c>
      <c r="S1417" t="str">
        <f t="shared" si="205"/>
        <v>5560</v>
      </c>
      <c r="T1417" t="s">
        <v>3543</v>
      </c>
      <c r="U1417" t="s">
        <v>123</v>
      </c>
    </row>
    <row r="1418" spans="1:21" ht="15" customHeight="1" x14ac:dyDescent="0.3">
      <c r="A1418" t="s">
        <v>179</v>
      </c>
      <c r="B1418" t="str">
        <f>"00058544"</f>
        <v>00058544</v>
      </c>
      <c r="C1418" t="s">
        <v>4274</v>
      </c>
      <c r="D1418" t="s">
        <v>4736</v>
      </c>
      <c r="E1418" t="str">
        <f>"00051930"</f>
        <v>00051930</v>
      </c>
      <c r="F1418">
        <v>0</v>
      </c>
      <c r="G1418" s="243">
        <v>37245</v>
      </c>
      <c r="H1418" t="s">
        <v>182</v>
      </c>
      <c r="I1418">
        <v>4</v>
      </c>
      <c r="J1418">
        <v>7</v>
      </c>
      <c r="K1418">
        <v>0.875</v>
      </c>
      <c r="L1418">
        <v>26633.25</v>
      </c>
      <c r="M1418" t="str">
        <f t="shared" si="202"/>
        <v>13</v>
      </c>
      <c r="N1418" t="s">
        <v>3323</v>
      </c>
      <c r="O1418" t="str">
        <f t="shared" ref="O1418:O1447" si="206">"55611"</f>
        <v>55611</v>
      </c>
      <c r="P1418" t="str">
        <f>"2200L"</f>
        <v>2200L</v>
      </c>
      <c r="Q1418" t="str">
        <f t="shared" si="203"/>
        <v>0101</v>
      </c>
      <c r="R1418">
        <v>2200</v>
      </c>
      <c r="S1418" t="str">
        <f t="shared" ref="S1418:S1447" si="207">"5560"</f>
        <v>5560</v>
      </c>
      <c r="T1418" t="s">
        <v>3543</v>
      </c>
      <c r="U1418" t="s">
        <v>123</v>
      </c>
    </row>
    <row r="1419" spans="1:21" ht="15" customHeight="1" x14ac:dyDescent="0.3">
      <c r="A1419" t="s">
        <v>179</v>
      </c>
      <c r="B1419" t="str">
        <f>"00058922"</f>
        <v>00058922</v>
      </c>
      <c r="C1419" t="s">
        <v>4272</v>
      </c>
      <c r="D1419" t="s">
        <v>4737</v>
      </c>
      <c r="E1419" t="str">
        <f>"00049902"</f>
        <v>00049902</v>
      </c>
      <c r="F1419">
        <v>0</v>
      </c>
      <c r="G1419" s="243">
        <v>41133</v>
      </c>
      <c r="H1419" t="s">
        <v>182</v>
      </c>
      <c r="I1419">
        <v>15</v>
      </c>
      <c r="J1419">
        <v>4</v>
      </c>
      <c r="K1419">
        <v>1</v>
      </c>
      <c r="L1419">
        <v>61158</v>
      </c>
      <c r="M1419" t="str">
        <f t="shared" si="202"/>
        <v>13</v>
      </c>
      <c r="N1419" t="s">
        <v>3370</v>
      </c>
      <c r="O1419" t="str">
        <f t="shared" si="206"/>
        <v>55611</v>
      </c>
      <c r="P1419" t="str">
        <f>"2100L"</f>
        <v>2100L</v>
      </c>
      <c r="Q1419" t="str">
        <f t="shared" si="203"/>
        <v>0101</v>
      </c>
      <c r="R1419">
        <v>2100</v>
      </c>
      <c r="S1419" t="str">
        <f t="shared" si="207"/>
        <v>5560</v>
      </c>
      <c r="T1419" t="s">
        <v>3543</v>
      </c>
      <c r="U1419" t="s">
        <v>123</v>
      </c>
    </row>
    <row r="1420" spans="1:21" ht="15" customHeight="1" x14ac:dyDescent="0.3">
      <c r="A1420" t="s">
        <v>179</v>
      </c>
      <c r="B1420" t="str">
        <f>"00058928"</f>
        <v>00058928</v>
      </c>
      <c r="C1420" t="s">
        <v>4272</v>
      </c>
      <c r="D1420" t="s">
        <v>1440</v>
      </c>
      <c r="E1420" t="str">
        <f>"00045567"</f>
        <v>00045567</v>
      </c>
      <c r="F1420">
        <v>0</v>
      </c>
      <c r="G1420" s="243">
        <v>37493</v>
      </c>
      <c r="H1420" t="s">
        <v>182</v>
      </c>
      <c r="I1420">
        <v>15</v>
      </c>
      <c r="J1420">
        <v>15</v>
      </c>
      <c r="K1420">
        <v>1</v>
      </c>
      <c r="L1420">
        <v>98285</v>
      </c>
      <c r="M1420" t="str">
        <f t="shared" si="202"/>
        <v>13</v>
      </c>
      <c r="N1420" t="s">
        <v>3323</v>
      </c>
      <c r="O1420" t="str">
        <f t="shared" si="206"/>
        <v>55611</v>
      </c>
      <c r="P1420" t="str">
        <f>"2100L"</f>
        <v>2100L</v>
      </c>
      <c r="Q1420" t="str">
        <f t="shared" si="203"/>
        <v>0101</v>
      </c>
      <c r="R1420">
        <v>2100</v>
      </c>
      <c r="S1420" t="str">
        <f t="shared" si="207"/>
        <v>5560</v>
      </c>
      <c r="T1420" t="s">
        <v>3543</v>
      </c>
      <c r="U1420" t="s">
        <v>123</v>
      </c>
    </row>
    <row r="1421" spans="1:21" ht="15" customHeight="1" x14ac:dyDescent="0.3">
      <c r="A1421" t="s">
        <v>179</v>
      </c>
      <c r="B1421" t="str">
        <f>"00058966"</f>
        <v>00058966</v>
      </c>
      <c r="C1421" t="s">
        <v>4260</v>
      </c>
      <c r="D1421" t="s">
        <v>1283</v>
      </c>
      <c r="E1421" t="str">
        <f>"00057305"</f>
        <v>00057305</v>
      </c>
      <c r="F1421">
        <v>0</v>
      </c>
      <c r="G1421" s="243">
        <v>40042</v>
      </c>
      <c r="H1421" t="s">
        <v>182</v>
      </c>
      <c r="I1421">
        <v>15</v>
      </c>
      <c r="J1421">
        <v>4</v>
      </c>
      <c r="K1421">
        <v>1</v>
      </c>
      <c r="L1421">
        <v>61158</v>
      </c>
      <c r="M1421" t="str">
        <f t="shared" si="202"/>
        <v>13</v>
      </c>
      <c r="N1421" t="s">
        <v>3323</v>
      </c>
      <c r="O1421" t="str">
        <f t="shared" si="206"/>
        <v>55611</v>
      </c>
      <c r="P1421" t="str">
        <f>"3030L"</f>
        <v>3030L</v>
      </c>
      <c r="Q1421" t="str">
        <f t="shared" si="203"/>
        <v>0101</v>
      </c>
      <c r="R1421">
        <v>3030</v>
      </c>
      <c r="S1421" t="str">
        <f t="shared" si="207"/>
        <v>5560</v>
      </c>
      <c r="T1421" t="s">
        <v>3543</v>
      </c>
      <c r="U1421" t="s">
        <v>123</v>
      </c>
    </row>
    <row r="1422" spans="1:21" ht="15" customHeight="1" x14ac:dyDescent="0.3">
      <c r="A1422" t="s">
        <v>179</v>
      </c>
      <c r="B1422" t="str">
        <f>"00058975"</f>
        <v>00058975</v>
      </c>
      <c r="C1422" t="s">
        <v>4262</v>
      </c>
      <c r="D1422" t="s">
        <v>1442</v>
      </c>
      <c r="E1422" t="str">
        <f>"00053122"</f>
        <v>00053122</v>
      </c>
      <c r="F1422">
        <v>0</v>
      </c>
      <c r="G1422" s="243">
        <v>37493</v>
      </c>
      <c r="H1422" t="s">
        <v>182</v>
      </c>
      <c r="I1422">
        <v>15</v>
      </c>
      <c r="J1422">
        <v>14</v>
      </c>
      <c r="K1422">
        <v>1</v>
      </c>
      <c r="L1422">
        <v>98967</v>
      </c>
      <c r="M1422" t="str">
        <f t="shared" si="202"/>
        <v>13</v>
      </c>
      <c r="N1422" t="s">
        <v>3323</v>
      </c>
      <c r="O1422" t="str">
        <f t="shared" si="206"/>
        <v>55611</v>
      </c>
      <c r="P1422" t="str">
        <f>"2100L"</f>
        <v>2100L</v>
      </c>
      <c r="Q1422" t="str">
        <f t="shared" si="203"/>
        <v>0101</v>
      </c>
      <c r="R1422">
        <v>2100</v>
      </c>
      <c r="S1422" t="str">
        <f t="shared" si="207"/>
        <v>5560</v>
      </c>
      <c r="T1422" t="s">
        <v>3543</v>
      </c>
      <c r="U1422" t="s">
        <v>123</v>
      </c>
    </row>
    <row r="1423" spans="1:21" ht="15" customHeight="1" x14ac:dyDescent="0.3">
      <c r="A1423" t="s">
        <v>179</v>
      </c>
      <c r="B1423" t="str">
        <f>"00059153"</f>
        <v>00059153</v>
      </c>
      <c r="C1423" t="s">
        <v>4262</v>
      </c>
      <c r="D1423" t="s">
        <v>4738</v>
      </c>
      <c r="E1423" t="str">
        <f>"00069860"</f>
        <v>00069860</v>
      </c>
      <c r="F1423">
        <v>0</v>
      </c>
      <c r="G1423" s="243">
        <v>41133</v>
      </c>
      <c r="H1423" t="s">
        <v>182</v>
      </c>
      <c r="I1423">
        <v>15</v>
      </c>
      <c r="J1423">
        <v>9</v>
      </c>
      <c r="K1423">
        <v>1</v>
      </c>
      <c r="L1423">
        <v>80147</v>
      </c>
      <c r="M1423" t="str">
        <f t="shared" si="202"/>
        <v>13</v>
      </c>
      <c r="N1423" t="s">
        <v>3370</v>
      </c>
      <c r="O1423" t="str">
        <f t="shared" si="206"/>
        <v>55611</v>
      </c>
      <c r="P1423" t="str">
        <f>"3030L"</f>
        <v>3030L</v>
      </c>
      <c r="Q1423" t="str">
        <f t="shared" si="203"/>
        <v>0101</v>
      </c>
      <c r="R1423">
        <v>3030</v>
      </c>
      <c r="S1423" t="str">
        <f t="shared" si="207"/>
        <v>5560</v>
      </c>
      <c r="T1423" t="s">
        <v>3543</v>
      </c>
      <c r="U1423" t="s">
        <v>123</v>
      </c>
    </row>
    <row r="1424" spans="1:21" ht="15" customHeight="1" x14ac:dyDescent="0.3">
      <c r="A1424" t="s">
        <v>179</v>
      </c>
      <c r="B1424" t="str">
        <f>"00059195"</f>
        <v>00059195</v>
      </c>
      <c r="C1424" t="s">
        <v>4262</v>
      </c>
      <c r="D1424" t="s">
        <v>1443</v>
      </c>
      <c r="E1424" t="str">
        <f>"00050304"</f>
        <v>00050304</v>
      </c>
      <c r="F1424">
        <v>0</v>
      </c>
      <c r="G1424" s="243">
        <v>38587</v>
      </c>
      <c r="H1424" t="s">
        <v>182</v>
      </c>
      <c r="I1424">
        <v>15</v>
      </c>
      <c r="J1424">
        <v>13</v>
      </c>
      <c r="K1424">
        <v>1</v>
      </c>
      <c r="L1424">
        <v>97873</v>
      </c>
      <c r="M1424" t="str">
        <f t="shared" si="202"/>
        <v>13</v>
      </c>
      <c r="N1424" t="s">
        <v>3323</v>
      </c>
      <c r="O1424" t="str">
        <f t="shared" si="206"/>
        <v>55611</v>
      </c>
      <c r="P1424" t="str">
        <f>"2100L"</f>
        <v>2100L</v>
      </c>
      <c r="Q1424" t="str">
        <f t="shared" si="203"/>
        <v>0101</v>
      </c>
      <c r="R1424">
        <v>2100</v>
      </c>
      <c r="S1424" t="str">
        <f t="shared" si="207"/>
        <v>5560</v>
      </c>
      <c r="T1424" t="s">
        <v>3543</v>
      </c>
      <c r="U1424" t="s">
        <v>123</v>
      </c>
    </row>
    <row r="1425" spans="1:21" ht="15" customHeight="1" x14ac:dyDescent="0.3">
      <c r="A1425" t="s">
        <v>179</v>
      </c>
      <c r="B1425" t="str">
        <f>"00059223"</f>
        <v>00059223</v>
      </c>
      <c r="C1425" t="s">
        <v>4266</v>
      </c>
      <c r="D1425" t="s">
        <v>1444</v>
      </c>
      <c r="E1425" t="str">
        <f>"00048899"</f>
        <v>00048899</v>
      </c>
      <c r="F1425">
        <v>0</v>
      </c>
      <c r="G1425" s="243">
        <v>38587</v>
      </c>
      <c r="H1425" t="s">
        <v>182</v>
      </c>
      <c r="I1425">
        <v>15</v>
      </c>
      <c r="J1425">
        <v>11</v>
      </c>
      <c r="K1425">
        <v>1</v>
      </c>
      <c r="L1425">
        <v>81335</v>
      </c>
      <c r="M1425" t="str">
        <f t="shared" si="202"/>
        <v>13</v>
      </c>
      <c r="N1425" t="s">
        <v>3323</v>
      </c>
      <c r="O1425" t="str">
        <f t="shared" si="206"/>
        <v>55611</v>
      </c>
      <c r="P1425" t="str">
        <f>"2300L"</f>
        <v>2300L</v>
      </c>
      <c r="Q1425" t="str">
        <f t="shared" si="203"/>
        <v>0101</v>
      </c>
      <c r="R1425">
        <v>2300</v>
      </c>
      <c r="S1425" t="str">
        <f t="shared" si="207"/>
        <v>5560</v>
      </c>
      <c r="T1425" t="s">
        <v>3543</v>
      </c>
      <c r="U1425" t="s">
        <v>123</v>
      </c>
    </row>
    <row r="1426" spans="1:21" ht="15" customHeight="1" x14ac:dyDescent="0.3">
      <c r="A1426" t="s">
        <v>179</v>
      </c>
      <c r="B1426" t="str">
        <f>"00059314"</f>
        <v>00059314</v>
      </c>
      <c r="C1426" t="s">
        <v>4262</v>
      </c>
      <c r="D1426" t="s">
        <v>3545</v>
      </c>
      <c r="E1426" t="str">
        <f>"00062784"</f>
        <v>00062784</v>
      </c>
      <c r="F1426">
        <v>0</v>
      </c>
      <c r="G1426" s="243">
        <v>40408</v>
      </c>
      <c r="H1426" t="s">
        <v>182</v>
      </c>
      <c r="I1426">
        <v>15</v>
      </c>
      <c r="J1426">
        <v>2</v>
      </c>
      <c r="K1426">
        <v>1</v>
      </c>
      <c r="L1426">
        <v>51716</v>
      </c>
      <c r="M1426" t="str">
        <f t="shared" si="202"/>
        <v>13</v>
      </c>
      <c r="N1426" t="s">
        <v>3323</v>
      </c>
      <c r="O1426" t="str">
        <f t="shared" si="206"/>
        <v>55611</v>
      </c>
      <c r="P1426" t="str">
        <f>"2100L"</f>
        <v>2100L</v>
      </c>
      <c r="Q1426" t="str">
        <f t="shared" si="203"/>
        <v>0101</v>
      </c>
      <c r="R1426">
        <v>2100</v>
      </c>
      <c r="S1426" t="str">
        <f t="shared" si="207"/>
        <v>5560</v>
      </c>
      <c r="T1426" t="s">
        <v>3543</v>
      </c>
      <c r="U1426" t="s">
        <v>123</v>
      </c>
    </row>
    <row r="1427" spans="1:21" ht="15" customHeight="1" x14ac:dyDescent="0.3">
      <c r="A1427" t="s">
        <v>179</v>
      </c>
      <c r="B1427" t="str">
        <f>"00059324"</f>
        <v>00059324</v>
      </c>
      <c r="C1427" t="s">
        <v>4262</v>
      </c>
      <c r="D1427" t="s">
        <v>1446</v>
      </c>
      <c r="E1427" t="str">
        <f>"00046077"</f>
        <v>00046077</v>
      </c>
      <c r="F1427">
        <v>0</v>
      </c>
      <c r="G1427" s="243">
        <v>37861</v>
      </c>
      <c r="H1427" t="s">
        <v>182</v>
      </c>
      <c r="I1427">
        <v>15</v>
      </c>
      <c r="J1427">
        <v>15</v>
      </c>
      <c r="K1427">
        <v>1</v>
      </c>
      <c r="L1427">
        <v>98285</v>
      </c>
      <c r="M1427" t="str">
        <f t="shared" si="202"/>
        <v>13</v>
      </c>
      <c r="N1427" t="s">
        <v>3323</v>
      </c>
      <c r="O1427" t="str">
        <f t="shared" si="206"/>
        <v>55611</v>
      </c>
      <c r="P1427" t="str">
        <f>"2100L"</f>
        <v>2100L</v>
      </c>
      <c r="Q1427" t="str">
        <f t="shared" si="203"/>
        <v>0101</v>
      </c>
      <c r="R1427">
        <v>2100</v>
      </c>
      <c r="S1427" t="str">
        <f t="shared" si="207"/>
        <v>5560</v>
      </c>
      <c r="T1427" t="s">
        <v>3543</v>
      </c>
      <c r="U1427" t="s">
        <v>123</v>
      </c>
    </row>
    <row r="1428" spans="1:21" ht="15" customHeight="1" x14ac:dyDescent="0.3">
      <c r="A1428" t="s">
        <v>179</v>
      </c>
      <c r="B1428" t="str">
        <f>"00059396"</f>
        <v>00059396</v>
      </c>
      <c r="C1428" t="s">
        <v>4262</v>
      </c>
      <c r="D1428" t="s">
        <v>1447</v>
      </c>
      <c r="E1428" t="str">
        <f>"00050400"</f>
        <v>00050400</v>
      </c>
      <c r="F1428">
        <v>0</v>
      </c>
      <c r="G1428" s="243">
        <v>37861</v>
      </c>
      <c r="H1428" t="s">
        <v>182</v>
      </c>
      <c r="I1428">
        <v>15</v>
      </c>
      <c r="J1428">
        <v>10</v>
      </c>
      <c r="K1428">
        <v>1</v>
      </c>
      <c r="L1428">
        <v>78273</v>
      </c>
      <c r="M1428" t="str">
        <f t="shared" si="202"/>
        <v>13</v>
      </c>
      <c r="N1428" t="s">
        <v>3323</v>
      </c>
      <c r="O1428" t="str">
        <f t="shared" si="206"/>
        <v>55611</v>
      </c>
      <c r="P1428" t="str">
        <f>"2100L"</f>
        <v>2100L</v>
      </c>
      <c r="Q1428" t="str">
        <f t="shared" si="203"/>
        <v>0101</v>
      </c>
      <c r="R1428">
        <v>2100</v>
      </c>
      <c r="S1428" t="str">
        <f t="shared" si="207"/>
        <v>5560</v>
      </c>
      <c r="T1428" t="s">
        <v>3543</v>
      </c>
      <c r="U1428" t="s">
        <v>123</v>
      </c>
    </row>
    <row r="1429" spans="1:21" ht="15" customHeight="1" x14ac:dyDescent="0.3">
      <c r="A1429" t="s">
        <v>179</v>
      </c>
      <c r="B1429" t="str">
        <f>"00059511"</f>
        <v>00059511</v>
      </c>
      <c r="C1429" t="s">
        <v>4262</v>
      </c>
      <c r="D1429" t="s">
        <v>4739</v>
      </c>
      <c r="E1429" t="str">
        <f>"00044806"</f>
        <v>00044806</v>
      </c>
      <c r="F1429">
        <v>0</v>
      </c>
      <c r="G1429" s="243">
        <v>37921</v>
      </c>
      <c r="H1429" t="s">
        <v>182</v>
      </c>
      <c r="I1429">
        <v>15</v>
      </c>
      <c r="J1429">
        <v>13</v>
      </c>
      <c r="K1429">
        <v>1</v>
      </c>
      <c r="L1429">
        <v>95366</v>
      </c>
      <c r="M1429" t="str">
        <f t="shared" si="202"/>
        <v>13</v>
      </c>
      <c r="N1429" t="s">
        <v>3323</v>
      </c>
      <c r="O1429" t="str">
        <f t="shared" si="206"/>
        <v>55611</v>
      </c>
      <c r="P1429" t="str">
        <f>"2100L"</f>
        <v>2100L</v>
      </c>
      <c r="Q1429" t="str">
        <f t="shared" si="203"/>
        <v>0101</v>
      </c>
      <c r="R1429">
        <v>2100</v>
      </c>
      <c r="S1429" t="str">
        <f t="shared" si="207"/>
        <v>5560</v>
      </c>
      <c r="T1429" t="s">
        <v>3543</v>
      </c>
      <c r="U1429" t="s">
        <v>123</v>
      </c>
    </row>
    <row r="1430" spans="1:21" ht="15" customHeight="1" x14ac:dyDescent="0.3">
      <c r="A1430" t="s">
        <v>179</v>
      </c>
      <c r="B1430" t="str">
        <f>"00059541"</f>
        <v>00059541</v>
      </c>
      <c r="C1430" t="s">
        <v>4260</v>
      </c>
      <c r="D1430" t="s">
        <v>1448</v>
      </c>
      <c r="E1430" t="str">
        <f>"00050757"</f>
        <v>00050757</v>
      </c>
      <c r="F1430">
        <v>0</v>
      </c>
      <c r="G1430" s="243">
        <v>37910</v>
      </c>
      <c r="H1430" t="s">
        <v>182</v>
      </c>
      <c r="I1430">
        <v>15</v>
      </c>
      <c r="J1430">
        <v>12</v>
      </c>
      <c r="K1430">
        <v>1</v>
      </c>
      <c r="L1430">
        <v>89887</v>
      </c>
      <c r="M1430" t="str">
        <f t="shared" si="202"/>
        <v>13</v>
      </c>
      <c r="N1430" t="s">
        <v>3323</v>
      </c>
      <c r="O1430" t="str">
        <f t="shared" si="206"/>
        <v>55611</v>
      </c>
      <c r="P1430" t="str">
        <f>"2100L"</f>
        <v>2100L</v>
      </c>
      <c r="Q1430" t="str">
        <f t="shared" si="203"/>
        <v>0101</v>
      </c>
      <c r="R1430">
        <v>2100</v>
      </c>
      <c r="S1430" t="str">
        <f t="shared" si="207"/>
        <v>5560</v>
      </c>
      <c r="T1430" t="s">
        <v>3543</v>
      </c>
      <c r="U1430" t="s">
        <v>123</v>
      </c>
    </row>
    <row r="1431" spans="1:21" ht="15" customHeight="1" x14ac:dyDescent="0.3">
      <c r="A1431" t="s">
        <v>179</v>
      </c>
      <c r="B1431" t="str">
        <f>"00059600"</f>
        <v>00059600</v>
      </c>
      <c r="C1431" t="s">
        <v>4306</v>
      </c>
      <c r="D1431" t="s">
        <v>4740</v>
      </c>
      <c r="E1431" t="str">
        <f>"00053610"</f>
        <v>00053610</v>
      </c>
      <c r="F1431">
        <v>0</v>
      </c>
      <c r="G1431" s="243">
        <v>38005</v>
      </c>
      <c r="H1431" t="s">
        <v>182</v>
      </c>
      <c r="I1431">
        <v>9</v>
      </c>
      <c r="J1431">
        <v>4</v>
      </c>
      <c r="K1431">
        <v>1</v>
      </c>
      <c r="L1431">
        <v>36352</v>
      </c>
      <c r="M1431" t="str">
        <f t="shared" si="202"/>
        <v>13</v>
      </c>
      <c r="N1431" t="s">
        <v>3323</v>
      </c>
      <c r="O1431" t="str">
        <f t="shared" si="206"/>
        <v>55611</v>
      </c>
      <c r="P1431" t="str">
        <f>"1502L"</f>
        <v>1502L</v>
      </c>
      <c r="Q1431" t="str">
        <f t="shared" si="203"/>
        <v>0101</v>
      </c>
      <c r="R1431">
        <v>1502</v>
      </c>
      <c r="S1431" t="str">
        <f t="shared" si="207"/>
        <v>5560</v>
      </c>
      <c r="T1431" t="s">
        <v>3543</v>
      </c>
      <c r="U1431" t="s">
        <v>123</v>
      </c>
    </row>
    <row r="1432" spans="1:21" ht="15" customHeight="1" x14ac:dyDescent="0.3">
      <c r="A1432" t="s">
        <v>179</v>
      </c>
      <c r="B1432" t="str">
        <f>"00059738"</f>
        <v>00059738</v>
      </c>
      <c r="C1432" t="s">
        <v>4262</v>
      </c>
      <c r="D1432" t="s">
        <v>1449</v>
      </c>
      <c r="E1432" t="str">
        <f>"00044897"</f>
        <v>00044897</v>
      </c>
      <c r="F1432">
        <v>0</v>
      </c>
      <c r="G1432" s="243">
        <v>38226</v>
      </c>
      <c r="H1432" t="s">
        <v>182</v>
      </c>
      <c r="I1432">
        <v>15</v>
      </c>
      <c r="J1432">
        <v>12</v>
      </c>
      <c r="K1432">
        <v>1</v>
      </c>
      <c r="L1432">
        <v>89887</v>
      </c>
      <c r="M1432" t="str">
        <f t="shared" si="202"/>
        <v>13</v>
      </c>
      <c r="N1432" t="s">
        <v>3323</v>
      </c>
      <c r="O1432" t="str">
        <f t="shared" si="206"/>
        <v>55611</v>
      </c>
      <c r="P1432" t="str">
        <f>"2100L"</f>
        <v>2100L</v>
      </c>
      <c r="Q1432" t="str">
        <f t="shared" si="203"/>
        <v>0101</v>
      </c>
      <c r="R1432">
        <v>2100</v>
      </c>
      <c r="S1432" t="str">
        <f t="shared" si="207"/>
        <v>5560</v>
      </c>
      <c r="T1432" t="s">
        <v>3543</v>
      </c>
      <c r="U1432" t="s">
        <v>123</v>
      </c>
    </row>
    <row r="1433" spans="1:21" ht="15" customHeight="1" x14ac:dyDescent="0.3">
      <c r="A1433" t="s">
        <v>179</v>
      </c>
      <c r="B1433" t="str">
        <f>"00059876"</f>
        <v>00059876</v>
      </c>
      <c r="C1433" t="s">
        <v>4262</v>
      </c>
      <c r="D1433" t="s">
        <v>3546</v>
      </c>
      <c r="E1433" t="str">
        <f>"00065915"</f>
        <v>00065915</v>
      </c>
      <c r="F1433">
        <v>0</v>
      </c>
      <c r="G1433" s="243">
        <v>40764</v>
      </c>
      <c r="H1433" t="s">
        <v>182</v>
      </c>
      <c r="I1433">
        <v>15</v>
      </c>
      <c r="J1433">
        <v>2</v>
      </c>
      <c r="K1433">
        <v>1</v>
      </c>
      <c r="L1433">
        <v>56242</v>
      </c>
      <c r="M1433" t="str">
        <f t="shared" si="202"/>
        <v>13</v>
      </c>
      <c r="N1433" t="s">
        <v>3323</v>
      </c>
      <c r="O1433" t="str">
        <f t="shared" si="206"/>
        <v>55611</v>
      </c>
      <c r="P1433" t="str">
        <f>"2100L"</f>
        <v>2100L</v>
      </c>
      <c r="Q1433" t="str">
        <f t="shared" si="203"/>
        <v>0101</v>
      </c>
      <c r="R1433">
        <v>2100</v>
      </c>
      <c r="S1433" t="str">
        <f t="shared" si="207"/>
        <v>5560</v>
      </c>
      <c r="T1433" t="s">
        <v>3543</v>
      </c>
      <c r="U1433" t="s">
        <v>123</v>
      </c>
    </row>
    <row r="1434" spans="1:21" ht="15" customHeight="1" x14ac:dyDescent="0.3">
      <c r="A1434" t="s">
        <v>179</v>
      </c>
      <c r="B1434" t="str">
        <f>"00059879"</f>
        <v>00059879</v>
      </c>
      <c r="C1434" t="s">
        <v>4262</v>
      </c>
      <c r="D1434" t="s">
        <v>1450</v>
      </c>
      <c r="E1434" t="str">
        <f>"00054833"</f>
        <v>00054833</v>
      </c>
      <c r="F1434">
        <v>0</v>
      </c>
      <c r="G1434" s="243">
        <v>38226</v>
      </c>
      <c r="H1434" t="s">
        <v>182</v>
      </c>
      <c r="I1434">
        <v>15</v>
      </c>
      <c r="J1434">
        <v>9</v>
      </c>
      <c r="K1434">
        <v>1</v>
      </c>
      <c r="L1434">
        <v>75232</v>
      </c>
      <c r="M1434" t="str">
        <f t="shared" si="202"/>
        <v>13</v>
      </c>
      <c r="N1434" t="s">
        <v>3323</v>
      </c>
      <c r="O1434" t="str">
        <f t="shared" si="206"/>
        <v>55611</v>
      </c>
      <c r="P1434" t="str">
        <f>"2100L"</f>
        <v>2100L</v>
      </c>
      <c r="Q1434" t="str">
        <f t="shared" si="203"/>
        <v>0101</v>
      </c>
      <c r="R1434">
        <v>2100</v>
      </c>
      <c r="S1434" t="str">
        <f t="shared" si="207"/>
        <v>5560</v>
      </c>
      <c r="T1434" t="s">
        <v>3543</v>
      </c>
      <c r="U1434" t="s">
        <v>123</v>
      </c>
    </row>
    <row r="1435" spans="1:21" ht="15" customHeight="1" x14ac:dyDescent="0.3">
      <c r="A1435" t="s">
        <v>179</v>
      </c>
      <c r="B1435" t="str">
        <f>"00061074"</f>
        <v>00061074</v>
      </c>
      <c r="C1435" t="s">
        <v>4260</v>
      </c>
      <c r="D1435" t="s">
        <v>4741</v>
      </c>
      <c r="E1435" t="str">
        <f>"00069855"</f>
        <v>00069855</v>
      </c>
      <c r="F1435">
        <v>0</v>
      </c>
      <c r="G1435" s="243">
        <v>41133</v>
      </c>
      <c r="H1435" t="s">
        <v>182</v>
      </c>
      <c r="I1435">
        <v>15</v>
      </c>
      <c r="J1435">
        <v>3</v>
      </c>
      <c r="K1435">
        <v>1</v>
      </c>
      <c r="L1435">
        <v>61159</v>
      </c>
      <c r="M1435" t="str">
        <f t="shared" si="202"/>
        <v>13</v>
      </c>
      <c r="N1435" t="s">
        <v>3370</v>
      </c>
      <c r="O1435" t="str">
        <f t="shared" si="206"/>
        <v>55611</v>
      </c>
      <c r="P1435" t="str">
        <f>"3030L"</f>
        <v>3030L</v>
      </c>
      <c r="Q1435" t="str">
        <f t="shared" si="203"/>
        <v>0101</v>
      </c>
      <c r="R1435">
        <v>3030</v>
      </c>
      <c r="S1435" t="str">
        <f t="shared" si="207"/>
        <v>5560</v>
      </c>
      <c r="T1435" t="s">
        <v>3543</v>
      </c>
      <c r="U1435" t="s">
        <v>123</v>
      </c>
    </row>
    <row r="1436" spans="1:21" ht="15" customHeight="1" x14ac:dyDescent="0.3">
      <c r="A1436" t="s">
        <v>179</v>
      </c>
      <c r="B1436" t="str">
        <f>"00061353"</f>
        <v>00061353</v>
      </c>
      <c r="C1436" t="s">
        <v>4260</v>
      </c>
      <c r="D1436" t="s">
        <v>1451</v>
      </c>
      <c r="E1436" t="str">
        <f>"00044981"</f>
        <v>00044981</v>
      </c>
      <c r="F1436">
        <v>0</v>
      </c>
      <c r="G1436" s="243">
        <v>39315</v>
      </c>
      <c r="H1436" t="s">
        <v>182</v>
      </c>
      <c r="I1436">
        <v>15</v>
      </c>
      <c r="J1436">
        <v>9</v>
      </c>
      <c r="K1436">
        <v>1</v>
      </c>
      <c r="L1436">
        <v>75232</v>
      </c>
      <c r="M1436" t="str">
        <f t="shared" si="202"/>
        <v>13</v>
      </c>
      <c r="N1436" t="s">
        <v>3323</v>
      </c>
      <c r="O1436" t="str">
        <f t="shared" si="206"/>
        <v>55611</v>
      </c>
      <c r="P1436" t="str">
        <f>"3030L"</f>
        <v>3030L</v>
      </c>
      <c r="Q1436" t="str">
        <f t="shared" si="203"/>
        <v>0101</v>
      </c>
      <c r="R1436">
        <v>3030</v>
      </c>
      <c r="S1436" t="str">
        <f t="shared" si="207"/>
        <v>5560</v>
      </c>
      <c r="T1436" t="s">
        <v>3543</v>
      </c>
      <c r="U1436" t="s">
        <v>123</v>
      </c>
    </row>
    <row r="1437" spans="1:21" ht="15" customHeight="1" x14ac:dyDescent="0.3">
      <c r="A1437" t="s">
        <v>179</v>
      </c>
      <c r="B1437" t="str">
        <f>"00061536"</f>
        <v>00061536</v>
      </c>
      <c r="C1437" t="s">
        <v>4274</v>
      </c>
      <c r="D1437" t="s">
        <v>4742</v>
      </c>
      <c r="E1437" t="str">
        <f>"00048551"</f>
        <v>00048551</v>
      </c>
      <c r="F1437">
        <v>0</v>
      </c>
      <c r="G1437" s="243">
        <v>39342</v>
      </c>
      <c r="H1437" t="s">
        <v>182</v>
      </c>
      <c r="I1437">
        <v>4</v>
      </c>
      <c r="J1437">
        <v>10</v>
      </c>
      <c r="K1437">
        <v>0.875</v>
      </c>
      <c r="L1437">
        <v>28721</v>
      </c>
      <c r="M1437" t="str">
        <f t="shared" ref="M1437:M1492" si="208">"13"</f>
        <v>13</v>
      </c>
      <c r="N1437" t="s">
        <v>3323</v>
      </c>
      <c r="O1437" t="str">
        <f t="shared" si="206"/>
        <v>55611</v>
      </c>
      <c r="P1437" t="str">
        <f>"2200L"</f>
        <v>2200L</v>
      </c>
      <c r="Q1437" t="str">
        <f t="shared" si="203"/>
        <v>0101</v>
      </c>
      <c r="R1437">
        <v>2200</v>
      </c>
      <c r="S1437" t="str">
        <f t="shared" si="207"/>
        <v>5560</v>
      </c>
      <c r="T1437" t="s">
        <v>3543</v>
      </c>
      <c r="U1437" t="s">
        <v>123</v>
      </c>
    </row>
    <row r="1438" spans="1:21" ht="15" customHeight="1" x14ac:dyDescent="0.3">
      <c r="A1438" t="s">
        <v>179</v>
      </c>
      <c r="B1438" t="str">
        <f>"00061929"</f>
        <v>00061929</v>
      </c>
      <c r="C1438" t="s">
        <v>4262</v>
      </c>
      <c r="D1438" t="s">
        <v>1452</v>
      </c>
      <c r="E1438" t="str">
        <f>"00045842"</f>
        <v>00045842</v>
      </c>
      <c r="F1438">
        <v>0</v>
      </c>
      <c r="G1438" s="243">
        <v>39679</v>
      </c>
      <c r="H1438" t="s">
        <v>182</v>
      </c>
      <c r="I1438">
        <v>15</v>
      </c>
      <c r="J1438">
        <v>13</v>
      </c>
      <c r="K1438">
        <v>1</v>
      </c>
      <c r="L1438">
        <v>81724</v>
      </c>
      <c r="M1438" t="str">
        <f t="shared" si="208"/>
        <v>13</v>
      </c>
      <c r="N1438" t="s">
        <v>3323</v>
      </c>
      <c r="O1438" t="str">
        <f t="shared" si="206"/>
        <v>55611</v>
      </c>
      <c r="P1438" t="str">
        <f>"2100L"</f>
        <v>2100L</v>
      </c>
      <c r="Q1438" t="str">
        <f t="shared" si="203"/>
        <v>0101</v>
      </c>
      <c r="R1438">
        <v>2100</v>
      </c>
      <c r="S1438" t="str">
        <f t="shared" si="207"/>
        <v>5560</v>
      </c>
      <c r="T1438" t="s">
        <v>3543</v>
      </c>
      <c r="U1438" t="s">
        <v>123</v>
      </c>
    </row>
    <row r="1439" spans="1:21" ht="15" customHeight="1" x14ac:dyDescent="0.3">
      <c r="A1439" t="s">
        <v>179</v>
      </c>
      <c r="B1439" t="str">
        <f>"00061997"</f>
        <v>00061997</v>
      </c>
      <c r="C1439" t="s">
        <v>4257</v>
      </c>
      <c r="D1439" t="s">
        <v>1453</v>
      </c>
      <c r="E1439" t="str">
        <f>"00062380"</f>
        <v>00062380</v>
      </c>
      <c r="F1439">
        <v>0</v>
      </c>
      <c r="G1439" s="243">
        <v>40406</v>
      </c>
      <c r="H1439" t="s">
        <v>182</v>
      </c>
      <c r="I1439">
        <v>15</v>
      </c>
      <c r="J1439">
        <v>4</v>
      </c>
      <c r="K1439">
        <v>1</v>
      </c>
      <c r="L1439">
        <v>54725</v>
      </c>
      <c r="M1439" t="str">
        <f t="shared" si="208"/>
        <v>13</v>
      </c>
      <c r="N1439" t="s">
        <v>3323</v>
      </c>
      <c r="O1439" t="str">
        <f t="shared" si="206"/>
        <v>55611</v>
      </c>
      <c r="P1439" t="str">
        <f>"2100L"</f>
        <v>2100L</v>
      </c>
      <c r="Q1439" t="str">
        <f t="shared" si="203"/>
        <v>0101</v>
      </c>
      <c r="R1439">
        <v>2100</v>
      </c>
      <c r="S1439" t="str">
        <f t="shared" si="207"/>
        <v>5560</v>
      </c>
      <c r="T1439" t="s">
        <v>3543</v>
      </c>
      <c r="U1439" t="s">
        <v>123</v>
      </c>
    </row>
    <row r="1440" spans="1:21" ht="15" customHeight="1" x14ac:dyDescent="0.3">
      <c r="A1440" t="s">
        <v>179</v>
      </c>
      <c r="B1440" t="str">
        <f>"00065808"</f>
        <v>00065808</v>
      </c>
      <c r="C1440" t="s">
        <v>4262</v>
      </c>
      <c r="D1440" t="s">
        <v>3547</v>
      </c>
      <c r="E1440" t="str">
        <f>"00057376"</f>
        <v>00057376</v>
      </c>
      <c r="F1440">
        <v>0</v>
      </c>
      <c r="G1440" s="243">
        <v>40042</v>
      </c>
      <c r="H1440" t="s">
        <v>182</v>
      </c>
      <c r="I1440">
        <v>15</v>
      </c>
      <c r="J1440">
        <v>12</v>
      </c>
      <c r="K1440">
        <v>1</v>
      </c>
      <c r="L1440">
        <v>87431</v>
      </c>
      <c r="M1440" t="str">
        <f t="shared" si="208"/>
        <v>13</v>
      </c>
      <c r="N1440" t="s">
        <v>3323</v>
      </c>
      <c r="O1440" t="str">
        <f t="shared" si="206"/>
        <v>55611</v>
      </c>
      <c r="P1440" t="str">
        <f>"2100L"</f>
        <v>2100L</v>
      </c>
      <c r="Q1440" t="str">
        <f t="shared" si="203"/>
        <v>0101</v>
      </c>
      <c r="R1440">
        <v>2100</v>
      </c>
      <c r="S1440" t="str">
        <f t="shared" si="207"/>
        <v>5560</v>
      </c>
      <c r="T1440" t="s">
        <v>3543</v>
      </c>
      <c r="U1440" t="s">
        <v>123</v>
      </c>
    </row>
    <row r="1441" spans="1:21" ht="15" customHeight="1" x14ac:dyDescent="0.3">
      <c r="A1441" t="s">
        <v>179</v>
      </c>
      <c r="B1441" t="str">
        <f>"00065809"</f>
        <v>00065809</v>
      </c>
      <c r="C1441" t="s">
        <v>4272</v>
      </c>
      <c r="D1441" t="s">
        <v>1454</v>
      </c>
      <c r="E1441" t="str">
        <f>"00056938"</f>
        <v>00056938</v>
      </c>
      <c r="F1441">
        <v>0</v>
      </c>
      <c r="G1441" s="243">
        <v>40042</v>
      </c>
      <c r="H1441" t="s">
        <v>182</v>
      </c>
      <c r="I1441">
        <v>15</v>
      </c>
      <c r="J1441">
        <v>12</v>
      </c>
      <c r="K1441">
        <v>1</v>
      </c>
      <c r="L1441">
        <v>87431</v>
      </c>
      <c r="M1441" t="str">
        <f t="shared" si="208"/>
        <v>13</v>
      </c>
      <c r="N1441" t="s">
        <v>3323</v>
      </c>
      <c r="O1441" t="str">
        <f t="shared" si="206"/>
        <v>55611</v>
      </c>
      <c r="P1441" t="str">
        <f>"2100L"</f>
        <v>2100L</v>
      </c>
      <c r="Q1441" t="str">
        <f t="shared" si="203"/>
        <v>0101</v>
      </c>
      <c r="R1441">
        <v>2100</v>
      </c>
      <c r="S1441" t="str">
        <f t="shared" si="207"/>
        <v>5560</v>
      </c>
      <c r="T1441" t="s">
        <v>3543</v>
      </c>
      <c r="U1441" t="s">
        <v>123</v>
      </c>
    </row>
    <row r="1442" spans="1:21" ht="15" customHeight="1" x14ac:dyDescent="0.3">
      <c r="A1442" t="s">
        <v>179</v>
      </c>
      <c r="B1442" t="str">
        <f>"00066062"</f>
        <v>00066062</v>
      </c>
      <c r="C1442" t="s">
        <v>4274</v>
      </c>
      <c r="D1442" t="s">
        <v>4743</v>
      </c>
      <c r="E1442" t="str">
        <f>"00056926"</f>
        <v>00056926</v>
      </c>
      <c r="F1442">
        <v>0</v>
      </c>
      <c r="G1442" s="243">
        <v>40770</v>
      </c>
      <c r="H1442" t="s">
        <v>182</v>
      </c>
      <c r="I1442">
        <v>4</v>
      </c>
      <c r="J1442">
        <v>2</v>
      </c>
      <c r="K1442">
        <v>1</v>
      </c>
      <c r="L1442">
        <v>23151.63</v>
      </c>
      <c r="M1442" t="str">
        <f t="shared" si="208"/>
        <v>13</v>
      </c>
      <c r="N1442" t="s">
        <v>3323</v>
      </c>
      <c r="O1442" t="str">
        <f t="shared" si="206"/>
        <v>55611</v>
      </c>
      <c r="P1442" t="str">
        <f>"2200L"</f>
        <v>2200L</v>
      </c>
      <c r="Q1442" t="str">
        <f t="shared" si="203"/>
        <v>0101</v>
      </c>
      <c r="R1442">
        <v>2200</v>
      </c>
      <c r="S1442" t="str">
        <f t="shared" si="207"/>
        <v>5560</v>
      </c>
      <c r="T1442" t="s">
        <v>3543</v>
      </c>
      <c r="U1442" t="s">
        <v>123</v>
      </c>
    </row>
    <row r="1443" spans="1:21" ht="15" customHeight="1" x14ac:dyDescent="0.3">
      <c r="A1443" t="s">
        <v>179</v>
      </c>
      <c r="B1443" t="str">
        <f>"00066063"</f>
        <v>00066063</v>
      </c>
      <c r="C1443" t="s">
        <v>4290</v>
      </c>
      <c r="D1443" t="s">
        <v>4744</v>
      </c>
      <c r="E1443" t="str">
        <f>"00065732"</f>
        <v>00065732</v>
      </c>
      <c r="F1443">
        <v>0</v>
      </c>
      <c r="G1443" s="243">
        <v>40770</v>
      </c>
      <c r="H1443" t="s">
        <v>182</v>
      </c>
      <c r="I1443">
        <v>4</v>
      </c>
      <c r="J1443">
        <v>5</v>
      </c>
      <c r="K1443">
        <v>1</v>
      </c>
      <c r="L1443">
        <v>25239.37</v>
      </c>
      <c r="M1443" t="str">
        <f t="shared" si="208"/>
        <v>13</v>
      </c>
      <c r="N1443" t="s">
        <v>3323</v>
      </c>
      <c r="O1443" t="str">
        <f t="shared" si="206"/>
        <v>55611</v>
      </c>
      <c r="P1443" t="str">
        <f>"2200L"</f>
        <v>2200L</v>
      </c>
      <c r="Q1443" t="str">
        <f t="shared" si="203"/>
        <v>0101</v>
      </c>
      <c r="R1443">
        <v>2200</v>
      </c>
      <c r="S1443" t="str">
        <f t="shared" si="207"/>
        <v>5560</v>
      </c>
      <c r="T1443" t="s">
        <v>3543</v>
      </c>
      <c r="U1443" t="s">
        <v>123</v>
      </c>
    </row>
    <row r="1444" spans="1:21" ht="15" customHeight="1" x14ac:dyDescent="0.3">
      <c r="A1444" t="s">
        <v>179</v>
      </c>
      <c r="B1444" t="str">
        <f>"00066073"</f>
        <v>00066073</v>
      </c>
      <c r="C1444" t="s">
        <v>4292</v>
      </c>
      <c r="H1444" t="s">
        <v>170</v>
      </c>
      <c r="I1444">
        <v>4</v>
      </c>
      <c r="J1444">
        <v>1</v>
      </c>
      <c r="K1444">
        <v>1</v>
      </c>
      <c r="L1444">
        <v>25662</v>
      </c>
      <c r="M1444" t="str">
        <f t="shared" si="208"/>
        <v>13</v>
      </c>
      <c r="N1444" t="s">
        <v>3323</v>
      </c>
      <c r="O1444" t="str">
        <f t="shared" si="206"/>
        <v>55611</v>
      </c>
      <c r="P1444" t="str">
        <f>"2200L"</f>
        <v>2200L</v>
      </c>
      <c r="Q1444" t="str">
        <f t="shared" ref="Q1444:Q1499" si="209">"0101"</f>
        <v>0101</v>
      </c>
      <c r="R1444">
        <v>2200</v>
      </c>
      <c r="S1444" t="str">
        <f t="shared" si="207"/>
        <v>5560</v>
      </c>
      <c r="T1444" t="s">
        <v>3543</v>
      </c>
      <c r="U1444" t="s">
        <v>123</v>
      </c>
    </row>
    <row r="1445" spans="1:21" ht="15" customHeight="1" x14ac:dyDescent="0.3">
      <c r="A1445" t="s">
        <v>179</v>
      </c>
      <c r="B1445" t="str">
        <f>"00066207"</f>
        <v>00066207</v>
      </c>
      <c r="C1445" t="s">
        <v>4274</v>
      </c>
      <c r="D1445" t="s">
        <v>4745</v>
      </c>
      <c r="E1445" t="str">
        <f>"00053209"</f>
        <v>00053209</v>
      </c>
      <c r="F1445">
        <v>0</v>
      </c>
      <c r="G1445" s="243">
        <v>40042</v>
      </c>
      <c r="H1445" t="s">
        <v>182</v>
      </c>
      <c r="I1445">
        <v>4</v>
      </c>
      <c r="J1445">
        <v>10</v>
      </c>
      <c r="K1445">
        <v>1</v>
      </c>
      <c r="L1445">
        <v>28721</v>
      </c>
      <c r="M1445" t="str">
        <f t="shared" si="208"/>
        <v>13</v>
      </c>
      <c r="N1445" t="s">
        <v>3323</v>
      </c>
      <c r="O1445" t="str">
        <f t="shared" si="206"/>
        <v>55611</v>
      </c>
      <c r="P1445" t="str">
        <f>"2100L"</f>
        <v>2100L</v>
      </c>
      <c r="Q1445" t="str">
        <f t="shared" si="209"/>
        <v>0101</v>
      </c>
      <c r="R1445">
        <v>2100</v>
      </c>
      <c r="S1445" t="str">
        <f t="shared" si="207"/>
        <v>5560</v>
      </c>
      <c r="T1445" t="s">
        <v>3543</v>
      </c>
      <c r="U1445" t="s">
        <v>123</v>
      </c>
    </row>
    <row r="1446" spans="1:21" ht="15" customHeight="1" x14ac:dyDescent="0.3">
      <c r="A1446" t="s">
        <v>179</v>
      </c>
      <c r="B1446" t="str">
        <f>"00068154"</f>
        <v>00068154</v>
      </c>
      <c r="C1446" t="s">
        <v>4262</v>
      </c>
      <c r="D1446" t="s">
        <v>1455</v>
      </c>
      <c r="E1446" t="str">
        <f>"00062406"</f>
        <v>00062406</v>
      </c>
      <c r="F1446">
        <v>0</v>
      </c>
      <c r="G1446" s="243">
        <v>40406</v>
      </c>
      <c r="H1446" t="s">
        <v>182</v>
      </c>
      <c r="I1446">
        <v>15</v>
      </c>
      <c r="J1446">
        <v>9</v>
      </c>
      <c r="K1446">
        <v>1</v>
      </c>
      <c r="L1446">
        <v>75232</v>
      </c>
      <c r="M1446" t="str">
        <f t="shared" si="208"/>
        <v>13</v>
      </c>
      <c r="N1446" t="s">
        <v>3370</v>
      </c>
      <c r="O1446" t="str">
        <f t="shared" si="206"/>
        <v>55611</v>
      </c>
      <c r="P1446" t="str">
        <f>"2100L"</f>
        <v>2100L</v>
      </c>
      <c r="Q1446" t="str">
        <f t="shared" si="209"/>
        <v>0101</v>
      </c>
      <c r="R1446">
        <v>2100</v>
      </c>
      <c r="S1446" t="str">
        <f t="shared" si="207"/>
        <v>5560</v>
      </c>
      <c r="T1446" t="s">
        <v>3543</v>
      </c>
      <c r="U1446" t="s">
        <v>123</v>
      </c>
    </row>
    <row r="1447" spans="1:21" ht="15" customHeight="1" x14ac:dyDescent="0.3">
      <c r="A1447" t="s">
        <v>179</v>
      </c>
      <c r="B1447" t="str">
        <f>"00070810"</f>
        <v>00070810</v>
      </c>
      <c r="C1447" t="s">
        <v>3670</v>
      </c>
      <c r="D1447" t="s">
        <v>370</v>
      </c>
      <c r="E1447" t="str">
        <f>"00048375"</f>
        <v>00048375</v>
      </c>
      <c r="F1447">
        <v>0</v>
      </c>
      <c r="G1447" s="243">
        <v>38226</v>
      </c>
      <c r="H1447" t="s">
        <v>182</v>
      </c>
      <c r="I1447">
        <v>8</v>
      </c>
      <c r="J1447">
        <v>6</v>
      </c>
      <c r="K1447">
        <v>1</v>
      </c>
      <c r="L1447">
        <v>94825</v>
      </c>
      <c r="M1447" t="str">
        <f t="shared" si="208"/>
        <v>13</v>
      </c>
      <c r="N1447" t="s">
        <v>3323</v>
      </c>
      <c r="O1447" t="str">
        <f t="shared" si="206"/>
        <v>55611</v>
      </c>
      <c r="P1447" t="str">
        <f>"1501L"</f>
        <v>1501L</v>
      </c>
      <c r="Q1447" t="str">
        <f t="shared" si="209"/>
        <v>0101</v>
      </c>
      <c r="R1447">
        <v>1501</v>
      </c>
      <c r="S1447" t="str">
        <f t="shared" si="207"/>
        <v>5560</v>
      </c>
      <c r="T1447" t="s">
        <v>3543</v>
      </c>
      <c r="U1447" t="s">
        <v>123</v>
      </c>
    </row>
    <row r="1448" spans="1:21" ht="15" customHeight="1" x14ac:dyDescent="0.3">
      <c r="A1448" t="s">
        <v>179</v>
      </c>
      <c r="B1448" t="str">
        <f>"00072221"</f>
        <v>00072221</v>
      </c>
      <c r="C1448" t="s">
        <v>4272</v>
      </c>
      <c r="D1448" t="s">
        <v>1457</v>
      </c>
      <c r="E1448" t="str">
        <f>"00062765"</f>
        <v>00062765</v>
      </c>
      <c r="F1448">
        <v>0</v>
      </c>
      <c r="G1448" s="243">
        <v>40406</v>
      </c>
      <c r="H1448" t="s">
        <v>182</v>
      </c>
      <c r="I1448">
        <v>15</v>
      </c>
      <c r="J1448">
        <v>6</v>
      </c>
      <c r="K1448">
        <v>1</v>
      </c>
      <c r="L1448">
        <v>66078</v>
      </c>
      <c r="M1448" t="str">
        <f t="shared" si="208"/>
        <v>13</v>
      </c>
      <c r="N1448" t="s">
        <v>3323</v>
      </c>
      <c r="O1448" t="str">
        <f t="shared" ref="O1448:O1458" si="210">"55611"</f>
        <v>55611</v>
      </c>
      <c r="P1448" t="str">
        <f>"2100L"</f>
        <v>2100L</v>
      </c>
      <c r="Q1448" t="str">
        <f t="shared" si="209"/>
        <v>0101</v>
      </c>
      <c r="R1448">
        <v>2100</v>
      </c>
      <c r="S1448" t="str">
        <f t="shared" ref="S1448:S1458" si="211">"5560"</f>
        <v>5560</v>
      </c>
      <c r="T1448" t="s">
        <v>3543</v>
      </c>
      <c r="U1448" t="s">
        <v>123</v>
      </c>
    </row>
    <row r="1449" spans="1:21" ht="15" customHeight="1" x14ac:dyDescent="0.3">
      <c r="A1449" t="s">
        <v>179</v>
      </c>
      <c r="B1449" t="str">
        <f>"00073009"</f>
        <v>00073009</v>
      </c>
      <c r="C1449" t="s">
        <v>4260</v>
      </c>
      <c r="D1449" t="s">
        <v>1458</v>
      </c>
      <c r="E1449" t="str">
        <f>"00063113"</f>
        <v>00063113</v>
      </c>
      <c r="F1449">
        <v>0</v>
      </c>
      <c r="G1449" s="243">
        <v>40406</v>
      </c>
      <c r="H1449" t="s">
        <v>182</v>
      </c>
      <c r="I1449">
        <v>15</v>
      </c>
      <c r="J1449">
        <v>12</v>
      </c>
      <c r="K1449">
        <v>1</v>
      </c>
      <c r="L1449">
        <v>87431</v>
      </c>
      <c r="M1449" t="str">
        <f t="shared" si="208"/>
        <v>13</v>
      </c>
      <c r="N1449" t="s">
        <v>3323</v>
      </c>
      <c r="O1449" t="str">
        <f t="shared" si="210"/>
        <v>55611</v>
      </c>
      <c r="P1449" t="str">
        <f>"3030L"</f>
        <v>3030L</v>
      </c>
      <c r="Q1449" t="str">
        <f t="shared" si="209"/>
        <v>0101</v>
      </c>
      <c r="R1449">
        <v>3030</v>
      </c>
      <c r="S1449" t="str">
        <f t="shared" si="211"/>
        <v>5560</v>
      </c>
      <c r="T1449" t="s">
        <v>3543</v>
      </c>
      <c r="U1449" t="s">
        <v>123</v>
      </c>
    </row>
    <row r="1450" spans="1:21" ht="15" customHeight="1" x14ac:dyDescent="0.3">
      <c r="A1450" t="s">
        <v>179</v>
      </c>
      <c r="B1450" t="str">
        <f>"00073780"</f>
        <v>00073780</v>
      </c>
      <c r="C1450" t="s">
        <v>4252</v>
      </c>
      <c r="D1450" t="s">
        <v>1441</v>
      </c>
      <c r="E1450" t="str">
        <f>"00048754"</f>
        <v>00048754</v>
      </c>
      <c r="F1450">
        <v>0</v>
      </c>
      <c r="G1450" s="243">
        <v>37493</v>
      </c>
      <c r="H1450" t="s">
        <v>182</v>
      </c>
      <c r="I1450">
        <v>15</v>
      </c>
      <c r="J1450">
        <v>13</v>
      </c>
      <c r="K1450">
        <v>1</v>
      </c>
      <c r="L1450">
        <v>101066</v>
      </c>
      <c r="M1450" t="str">
        <f t="shared" si="208"/>
        <v>13</v>
      </c>
      <c r="N1450" t="s">
        <v>3323</v>
      </c>
      <c r="O1450" t="str">
        <f t="shared" si="210"/>
        <v>55611</v>
      </c>
      <c r="P1450" t="str">
        <f>"2100L"</f>
        <v>2100L</v>
      </c>
      <c r="Q1450" t="str">
        <f t="shared" si="209"/>
        <v>0101</v>
      </c>
      <c r="R1450">
        <v>2100</v>
      </c>
      <c r="S1450" t="str">
        <f t="shared" si="211"/>
        <v>5560</v>
      </c>
      <c r="T1450" t="s">
        <v>3543</v>
      </c>
      <c r="U1450" t="s">
        <v>123</v>
      </c>
    </row>
    <row r="1451" spans="1:21" ht="15" customHeight="1" x14ac:dyDescent="0.3">
      <c r="A1451" t="s">
        <v>179</v>
      </c>
      <c r="B1451" t="str">
        <f>"00074316"</f>
        <v>00074316</v>
      </c>
      <c r="C1451" t="s">
        <v>4254</v>
      </c>
      <c r="D1451" t="s">
        <v>1571</v>
      </c>
      <c r="E1451" t="str">
        <f>"00046260"</f>
        <v>00046260</v>
      </c>
      <c r="F1451">
        <v>0</v>
      </c>
      <c r="G1451" s="243">
        <v>39679</v>
      </c>
      <c r="H1451" t="s">
        <v>182</v>
      </c>
      <c r="I1451">
        <v>15</v>
      </c>
      <c r="J1451">
        <v>6</v>
      </c>
      <c r="K1451">
        <v>1</v>
      </c>
      <c r="L1451">
        <v>58599</v>
      </c>
      <c r="M1451" t="str">
        <f t="shared" si="208"/>
        <v>13</v>
      </c>
      <c r="N1451" t="s">
        <v>3323</v>
      </c>
      <c r="O1451" t="str">
        <f t="shared" si="210"/>
        <v>55611</v>
      </c>
      <c r="P1451" t="str">
        <f t="shared" ref="P1451:P1456" si="212">"2100L"</f>
        <v>2100L</v>
      </c>
      <c r="Q1451" t="str">
        <f t="shared" si="209"/>
        <v>0101</v>
      </c>
      <c r="R1451">
        <v>2100</v>
      </c>
      <c r="S1451" t="str">
        <f t="shared" si="211"/>
        <v>5560</v>
      </c>
      <c r="T1451" t="s">
        <v>3543</v>
      </c>
      <c r="U1451" t="s">
        <v>123</v>
      </c>
    </row>
    <row r="1452" spans="1:21" ht="15" customHeight="1" x14ac:dyDescent="0.3">
      <c r="A1452" t="s">
        <v>179</v>
      </c>
      <c r="B1452" t="str">
        <f>"00074556"</f>
        <v>00074556</v>
      </c>
      <c r="C1452" t="s">
        <v>4262</v>
      </c>
      <c r="D1452" t="s">
        <v>3548</v>
      </c>
      <c r="E1452" t="str">
        <f>"00065636"</f>
        <v>00065636</v>
      </c>
      <c r="F1452">
        <v>0</v>
      </c>
      <c r="G1452" s="243">
        <v>40755</v>
      </c>
      <c r="H1452" t="s">
        <v>182</v>
      </c>
      <c r="I1452">
        <v>15</v>
      </c>
      <c r="J1452">
        <v>2</v>
      </c>
      <c r="K1452">
        <v>1</v>
      </c>
      <c r="L1452">
        <v>56242</v>
      </c>
      <c r="M1452" t="str">
        <f t="shared" si="208"/>
        <v>13</v>
      </c>
      <c r="N1452" t="s">
        <v>3323</v>
      </c>
      <c r="O1452" t="str">
        <f t="shared" si="210"/>
        <v>55611</v>
      </c>
      <c r="P1452" t="str">
        <f t="shared" si="212"/>
        <v>2100L</v>
      </c>
      <c r="Q1452" t="str">
        <f t="shared" si="209"/>
        <v>0101</v>
      </c>
      <c r="R1452">
        <v>2100</v>
      </c>
      <c r="S1452" t="str">
        <f t="shared" si="211"/>
        <v>5560</v>
      </c>
      <c r="T1452" t="s">
        <v>3543</v>
      </c>
      <c r="U1452" t="s">
        <v>123</v>
      </c>
    </row>
    <row r="1453" spans="1:21" ht="15" customHeight="1" x14ac:dyDescent="0.3">
      <c r="A1453" t="s">
        <v>179</v>
      </c>
      <c r="B1453" t="str">
        <f>"00074570"</f>
        <v>00074570</v>
      </c>
      <c r="C1453" t="s">
        <v>4262</v>
      </c>
      <c r="D1453" t="s">
        <v>1445</v>
      </c>
      <c r="E1453" t="str">
        <f>"00045437"</f>
        <v>00045437</v>
      </c>
      <c r="F1453">
        <v>0</v>
      </c>
      <c r="G1453" s="243">
        <v>37861</v>
      </c>
      <c r="H1453" t="s">
        <v>182</v>
      </c>
      <c r="I1453">
        <v>15</v>
      </c>
      <c r="J1453">
        <v>10</v>
      </c>
      <c r="K1453">
        <v>1</v>
      </c>
      <c r="L1453">
        <v>78273</v>
      </c>
      <c r="M1453" t="str">
        <f t="shared" si="208"/>
        <v>13</v>
      </c>
      <c r="N1453" t="s">
        <v>3323</v>
      </c>
      <c r="O1453" t="str">
        <f t="shared" si="210"/>
        <v>55611</v>
      </c>
      <c r="P1453" t="str">
        <f t="shared" si="212"/>
        <v>2100L</v>
      </c>
      <c r="Q1453" t="str">
        <f t="shared" si="209"/>
        <v>0101</v>
      </c>
      <c r="R1453">
        <v>2100</v>
      </c>
      <c r="S1453" t="str">
        <f t="shared" si="211"/>
        <v>5560</v>
      </c>
      <c r="T1453" t="s">
        <v>3543</v>
      </c>
      <c r="U1453" t="s">
        <v>123</v>
      </c>
    </row>
    <row r="1454" spans="1:21" ht="15" customHeight="1" x14ac:dyDescent="0.3">
      <c r="A1454" t="s">
        <v>179</v>
      </c>
      <c r="B1454" t="str">
        <f>"00074581"</f>
        <v>00074581</v>
      </c>
      <c r="C1454" t="s">
        <v>4255</v>
      </c>
      <c r="D1454" t="s">
        <v>2813</v>
      </c>
      <c r="E1454" t="str">
        <f>"00045643"</f>
        <v>00045643</v>
      </c>
      <c r="F1454">
        <v>0</v>
      </c>
      <c r="G1454" s="243">
        <v>38951</v>
      </c>
      <c r="H1454" t="s">
        <v>182</v>
      </c>
      <c r="I1454">
        <v>15</v>
      </c>
      <c r="J1454">
        <v>7</v>
      </c>
      <c r="K1454">
        <v>1</v>
      </c>
      <c r="L1454">
        <v>69132</v>
      </c>
      <c r="M1454" t="str">
        <f t="shared" si="208"/>
        <v>13</v>
      </c>
      <c r="N1454" t="s">
        <v>3323</v>
      </c>
      <c r="O1454" t="str">
        <f t="shared" si="210"/>
        <v>55611</v>
      </c>
      <c r="P1454" t="str">
        <f t="shared" si="212"/>
        <v>2100L</v>
      </c>
      <c r="Q1454" t="str">
        <f t="shared" si="209"/>
        <v>0101</v>
      </c>
      <c r="R1454">
        <v>2100</v>
      </c>
      <c r="S1454" t="str">
        <f t="shared" si="211"/>
        <v>5560</v>
      </c>
      <c r="T1454" t="s">
        <v>3543</v>
      </c>
      <c r="U1454" t="s">
        <v>123</v>
      </c>
    </row>
    <row r="1455" spans="1:21" ht="15" customHeight="1" x14ac:dyDescent="0.3">
      <c r="A1455" t="s">
        <v>179</v>
      </c>
      <c r="B1455" t="str">
        <f>"00076140"</f>
        <v>00076140</v>
      </c>
      <c r="C1455" t="s">
        <v>4271</v>
      </c>
      <c r="D1455" t="s">
        <v>4746</v>
      </c>
      <c r="E1455" t="str">
        <f>"00047222"</f>
        <v>00047222</v>
      </c>
      <c r="F1455">
        <v>0</v>
      </c>
      <c r="G1455" s="243">
        <v>33273</v>
      </c>
      <c r="H1455" t="s">
        <v>182</v>
      </c>
      <c r="I1455">
        <v>15</v>
      </c>
      <c r="J1455">
        <v>16</v>
      </c>
      <c r="K1455">
        <v>0.8</v>
      </c>
      <c r="L1455">
        <v>106540</v>
      </c>
      <c r="M1455" t="str">
        <f t="shared" si="208"/>
        <v>13</v>
      </c>
      <c r="N1455" t="s">
        <v>3370</v>
      </c>
      <c r="O1455" t="str">
        <f t="shared" si="210"/>
        <v>55611</v>
      </c>
      <c r="P1455" t="str">
        <f t="shared" si="212"/>
        <v>2100L</v>
      </c>
      <c r="Q1455" t="str">
        <f t="shared" si="209"/>
        <v>0101</v>
      </c>
      <c r="R1455">
        <v>2100</v>
      </c>
      <c r="S1455" t="str">
        <f t="shared" si="211"/>
        <v>5560</v>
      </c>
      <c r="T1455" t="s">
        <v>3543</v>
      </c>
      <c r="U1455" t="s">
        <v>123</v>
      </c>
    </row>
    <row r="1456" spans="1:21" ht="15" customHeight="1" x14ac:dyDescent="0.3">
      <c r="A1456" t="s">
        <v>179</v>
      </c>
      <c r="B1456" t="str">
        <f>"00076141"</f>
        <v>00076141</v>
      </c>
      <c r="C1456" t="s">
        <v>4262</v>
      </c>
      <c r="D1456" t="s">
        <v>4747</v>
      </c>
      <c r="E1456" t="str">
        <f>"00069550"</f>
        <v>00069550</v>
      </c>
      <c r="F1456">
        <v>0</v>
      </c>
      <c r="G1456" s="243">
        <v>41133</v>
      </c>
      <c r="H1456" t="s">
        <v>182</v>
      </c>
      <c r="I1456">
        <v>15</v>
      </c>
      <c r="J1456">
        <v>10</v>
      </c>
      <c r="K1456">
        <v>1</v>
      </c>
      <c r="L1456">
        <v>78273</v>
      </c>
      <c r="M1456" t="str">
        <f t="shared" si="208"/>
        <v>13</v>
      </c>
      <c r="N1456" t="s">
        <v>3370</v>
      </c>
      <c r="O1456" t="str">
        <f t="shared" si="210"/>
        <v>55611</v>
      </c>
      <c r="P1456" t="str">
        <f t="shared" si="212"/>
        <v>2100L</v>
      </c>
      <c r="Q1456" t="str">
        <f t="shared" si="209"/>
        <v>0101</v>
      </c>
      <c r="R1456">
        <v>2100</v>
      </c>
      <c r="S1456" t="str">
        <f t="shared" si="211"/>
        <v>5560</v>
      </c>
      <c r="T1456" t="s">
        <v>3543</v>
      </c>
      <c r="U1456" t="s">
        <v>123</v>
      </c>
    </row>
    <row r="1457" spans="1:21" ht="15" customHeight="1" x14ac:dyDescent="0.3">
      <c r="A1457" t="s">
        <v>179</v>
      </c>
      <c r="B1457" t="str">
        <f>"00076806"</f>
        <v>00076806</v>
      </c>
      <c r="C1457" t="s">
        <v>4262</v>
      </c>
      <c r="D1457" t="s">
        <v>2348</v>
      </c>
      <c r="E1457" t="str">
        <f>"00049336"</f>
        <v>00049336</v>
      </c>
      <c r="F1457">
        <v>0</v>
      </c>
      <c r="G1457" s="243">
        <v>34941</v>
      </c>
      <c r="H1457" t="s">
        <v>182</v>
      </c>
      <c r="I1457">
        <v>15</v>
      </c>
      <c r="J1457">
        <v>16</v>
      </c>
      <c r="K1457">
        <v>1</v>
      </c>
      <c r="L1457">
        <v>103347</v>
      </c>
      <c r="M1457" t="str">
        <f t="shared" si="208"/>
        <v>13</v>
      </c>
      <c r="N1457" t="s">
        <v>3370</v>
      </c>
      <c r="O1457" t="str">
        <f t="shared" si="210"/>
        <v>55611</v>
      </c>
      <c r="P1457" t="str">
        <f>"2200L"</f>
        <v>2200L</v>
      </c>
      <c r="Q1457" t="str">
        <f t="shared" si="209"/>
        <v>0101</v>
      </c>
      <c r="R1457">
        <v>2200</v>
      </c>
      <c r="S1457" t="str">
        <f t="shared" si="211"/>
        <v>5560</v>
      </c>
      <c r="T1457" t="s">
        <v>3543</v>
      </c>
      <c r="U1457" t="s">
        <v>123</v>
      </c>
    </row>
    <row r="1458" spans="1:21" ht="15" customHeight="1" x14ac:dyDescent="0.3">
      <c r="A1458" t="s">
        <v>179</v>
      </c>
      <c r="B1458" t="str">
        <f>"00076915"</f>
        <v>00076915</v>
      </c>
      <c r="C1458" t="s">
        <v>4262</v>
      </c>
      <c r="D1458" t="s">
        <v>4748</v>
      </c>
      <c r="E1458" t="str">
        <f>"00070538"</f>
        <v>00070538</v>
      </c>
      <c r="F1458">
        <v>0</v>
      </c>
      <c r="G1458" s="243">
        <v>41175</v>
      </c>
      <c r="H1458" t="s">
        <v>182</v>
      </c>
      <c r="I1458">
        <v>15</v>
      </c>
      <c r="J1458">
        <v>1</v>
      </c>
      <c r="K1458">
        <v>1</v>
      </c>
      <c r="L1458">
        <v>54975</v>
      </c>
      <c r="M1458" t="str">
        <f t="shared" si="208"/>
        <v>13</v>
      </c>
      <c r="N1458" t="s">
        <v>3370</v>
      </c>
      <c r="O1458" t="str">
        <f t="shared" si="210"/>
        <v>55611</v>
      </c>
      <c r="P1458" t="str">
        <f>"2100L"</f>
        <v>2100L</v>
      </c>
      <c r="Q1458" t="str">
        <f t="shared" si="209"/>
        <v>0101</v>
      </c>
      <c r="R1458">
        <v>2100</v>
      </c>
      <c r="S1458" t="str">
        <f t="shared" si="211"/>
        <v>5560</v>
      </c>
      <c r="T1458" t="s">
        <v>3543</v>
      </c>
      <c r="U1458" t="s">
        <v>123</v>
      </c>
    </row>
    <row r="1459" spans="1:21" ht="15" customHeight="1" x14ac:dyDescent="0.3">
      <c r="A1459" t="s">
        <v>179</v>
      </c>
      <c r="B1459" t="str">
        <f>"00051994"</f>
        <v>00051994</v>
      </c>
      <c r="C1459" t="s">
        <v>4262</v>
      </c>
      <c r="D1459" t="s">
        <v>4749</v>
      </c>
      <c r="E1459" t="str">
        <f>"00046858"</f>
        <v>00046858</v>
      </c>
      <c r="F1459">
        <v>0</v>
      </c>
      <c r="G1459" s="243">
        <v>34240</v>
      </c>
      <c r="H1459" t="s">
        <v>182</v>
      </c>
      <c r="I1459">
        <v>15</v>
      </c>
      <c r="J1459">
        <v>14</v>
      </c>
      <c r="K1459">
        <v>1</v>
      </c>
      <c r="L1459">
        <v>96460</v>
      </c>
      <c r="M1459" t="str">
        <f t="shared" si="208"/>
        <v>13</v>
      </c>
      <c r="N1459" t="s">
        <v>3323</v>
      </c>
      <c r="O1459" t="str">
        <f t="shared" ref="O1459:O1486" si="213">"55711"</f>
        <v>55711</v>
      </c>
      <c r="P1459" t="str">
        <f>"2100L"</f>
        <v>2100L</v>
      </c>
      <c r="Q1459" t="str">
        <f t="shared" si="209"/>
        <v>0101</v>
      </c>
      <c r="R1459">
        <v>2100</v>
      </c>
      <c r="S1459" t="str">
        <f t="shared" ref="S1459:S1486" si="214">"5570"</f>
        <v>5570</v>
      </c>
      <c r="T1459" t="s">
        <v>3550</v>
      </c>
      <c r="U1459" t="s">
        <v>42</v>
      </c>
    </row>
    <row r="1460" spans="1:21" ht="15" customHeight="1" x14ac:dyDescent="0.3">
      <c r="A1460" t="s">
        <v>179</v>
      </c>
      <c r="B1460" t="str">
        <f>"00052096"</f>
        <v>00052096</v>
      </c>
      <c r="C1460" t="s">
        <v>4260</v>
      </c>
      <c r="D1460" t="s">
        <v>1459</v>
      </c>
      <c r="E1460" t="str">
        <f>"00047277"</f>
        <v>00047277</v>
      </c>
      <c r="F1460">
        <v>0</v>
      </c>
      <c r="G1460" s="243">
        <v>36034</v>
      </c>
      <c r="H1460" t="s">
        <v>182</v>
      </c>
      <c r="I1460">
        <v>15</v>
      </c>
      <c r="J1460">
        <v>12</v>
      </c>
      <c r="K1460">
        <v>1</v>
      </c>
      <c r="L1460">
        <v>87431</v>
      </c>
      <c r="M1460" t="str">
        <f t="shared" si="208"/>
        <v>13</v>
      </c>
      <c r="N1460" t="s">
        <v>3323</v>
      </c>
      <c r="O1460" t="str">
        <f t="shared" si="213"/>
        <v>55711</v>
      </c>
      <c r="P1460" t="str">
        <f>"3030L"</f>
        <v>3030L</v>
      </c>
      <c r="Q1460" t="str">
        <f t="shared" si="209"/>
        <v>0101</v>
      </c>
      <c r="R1460">
        <v>3030</v>
      </c>
      <c r="S1460" t="str">
        <f t="shared" si="214"/>
        <v>5570</v>
      </c>
      <c r="T1460" t="s">
        <v>3550</v>
      </c>
      <c r="U1460" t="s">
        <v>42</v>
      </c>
    </row>
    <row r="1461" spans="1:21" ht="15" customHeight="1" x14ac:dyDescent="0.3">
      <c r="A1461" t="s">
        <v>179</v>
      </c>
      <c r="B1461" t="str">
        <f>"00052298"</f>
        <v>00052298</v>
      </c>
      <c r="C1461" t="s">
        <v>4254</v>
      </c>
      <c r="D1461" t="s">
        <v>1460</v>
      </c>
      <c r="E1461" t="str">
        <f>"00062777"</f>
        <v>00062777</v>
      </c>
      <c r="F1461">
        <v>0</v>
      </c>
      <c r="G1461" s="243">
        <v>40406</v>
      </c>
      <c r="H1461" t="s">
        <v>182</v>
      </c>
      <c r="I1461">
        <v>15</v>
      </c>
      <c r="J1461">
        <v>12</v>
      </c>
      <c r="K1461">
        <v>1</v>
      </c>
      <c r="L1461">
        <v>87431</v>
      </c>
      <c r="M1461" t="str">
        <f t="shared" si="208"/>
        <v>13</v>
      </c>
      <c r="N1461" t="s">
        <v>3323</v>
      </c>
      <c r="O1461" t="str">
        <f t="shared" si="213"/>
        <v>55711</v>
      </c>
      <c r="P1461" t="str">
        <f>"2100L"</f>
        <v>2100L</v>
      </c>
      <c r="Q1461" t="str">
        <f t="shared" si="209"/>
        <v>0101</v>
      </c>
      <c r="R1461">
        <v>2100</v>
      </c>
      <c r="S1461" t="str">
        <f t="shared" si="214"/>
        <v>5570</v>
      </c>
      <c r="T1461" t="s">
        <v>3550</v>
      </c>
      <c r="U1461" t="s">
        <v>42</v>
      </c>
    </row>
    <row r="1462" spans="1:21" ht="15" customHeight="1" x14ac:dyDescent="0.3">
      <c r="A1462" t="s">
        <v>179</v>
      </c>
      <c r="B1462" t="str">
        <f>"00052353"</f>
        <v>00052353</v>
      </c>
      <c r="C1462" t="s">
        <v>3798</v>
      </c>
      <c r="D1462" t="s">
        <v>2119</v>
      </c>
      <c r="E1462" t="str">
        <f>"00050553"</f>
        <v>00050553</v>
      </c>
      <c r="F1462">
        <v>0</v>
      </c>
      <c r="G1462" s="243">
        <v>35675</v>
      </c>
      <c r="H1462" t="s">
        <v>182</v>
      </c>
      <c r="I1462">
        <v>62</v>
      </c>
      <c r="J1462">
        <v>6</v>
      </c>
      <c r="K1462">
        <v>1</v>
      </c>
      <c r="L1462">
        <v>128000</v>
      </c>
      <c r="M1462" t="str">
        <f t="shared" si="208"/>
        <v>13</v>
      </c>
      <c r="N1462" t="s">
        <v>3323</v>
      </c>
      <c r="O1462" t="str">
        <f t="shared" si="213"/>
        <v>55711</v>
      </c>
      <c r="P1462" t="str">
        <f>"1501L"</f>
        <v>1501L</v>
      </c>
      <c r="Q1462" t="str">
        <f t="shared" si="209"/>
        <v>0101</v>
      </c>
      <c r="R1462">
        <v>1501</v>
      </c>
      <c r="S1462" t="str">
        <f t="shared" si="214"/>
        <v>5570</v>
      </c>
      <c r="T1462" t="s">
        <v>3550</v>
      </c>
      <c r="U1462" t="s">
        <v>42</v>
      </c>
    </row>
    <row r="1463" spans="1:21" ht="15" customHeight="1" x14ac:dyDescent="0.3">
      <c r="A1463" t="s">
        <v>179</v>
      </c>
      <c r="B1463" t="str">
        <f>"00052430"</f>
        <v>00052430</v>
      </c>
      <c r="C1463" t="s">
        <v>4253</v>
      </c>
      <c r="D1463" t="s">
        <v>1462</v>
      </c>
      <c r="E1463" t="str">
        <f>"00048249"</f>
        <v>00048249</v>
      </c>
      <c r="F1463">
        <v>0</v>
      </c>
      <c r="G1463" s="243">
        <v>32538</v>
      </c>
      <c r="H1463" t="s">
        <v>182</v>
      </c>
      <c r="I1463">
        <v>15</v>
      </c>
      <c r="J1463">
        <v>16</v>
      </c>
      <c r="K1463">
        <v>1</v>
      </c>
      <c r="L1463">
        <v>100839</v>
      </c>
      <c r="M1463" t="str">
        <f t="shared" si="208"/>
        <v>13</v>
      </c>
      <c r="N1463" t="s">
        <v>3323</v>
      </c>
      <c r="O1463" t="str">
        <f t="shared" si="213"/>
        <v>55711</v>
      </c>
      <c r="P1463" t="str">
        <f t="shared" ref="P1463:P1469" si="215">"2100L"</f>
        <v>2100L</v>
      </c>
      <c r="Q1463" t="str">
        <f t="shared" si="209"/>
        <v>0101</v>
      </c>
      <c r="R1463">
        <v>2100</v>
      </c>
      <c r="S1463" t="str">
        <f t="shared" si="214"/>
        <v>5570</v>
      </c>
      <c r="T1463" t="s">
        <v>3550</v>
      </c>
      <c r="U1463" t="s">
        <v>42</v>
      </c>
    </row>
    <row r="1464" spans="1:21" ht="15" customHeight="1" x14ac:dyDescent="0.3">
      <c r="A1464" t="s">
        <v>179</v>
      </c>
      <c r="B1464" t="str">
        <f>"00052730"</f>
        <v>00052730</v>
      </c>
      <c r="C1464" t="s">
        <v>4272</v>
      </c>
      <c r="D1464" t="s">
        <v>3552</v>
      </c>
      <c r="E1464" t="str">
        <f>"00065608"</f>
        <v>00065608</v>
      </c>
      <c r="F1464">
        <v>0</v>
      </c>
      <c r="G1464" s="243">
        <v>40755</v>
      </c>
      <c r="H1464" t="s">
        <v>182</v>
      </c>
      <c r="I1464">
        <v>15</v>
      </c>
      <c r="J1464">
        <v>4</v>
      </c>
      <c r="K1464">
        <v>1</v>
      </c>
      <c r="L1464">
        <v>57147</v>
      </c>
      <c r="M1464" t="str">
        <f t="shared" si="208"/>
        <v>13</v>
      </c>
      <c r="N1464" t="s">
        <v>3323</v>
      </c>
      <c r="O1464" t="str">
        <f t="shared" si="213"/>
        <v>55711</v>
      </c>
      <c r="P1464" t="str">
        <f t="shared" si="215"/>
        <v>2100L</v>
      </c>
      <c r="Q1464" t="str">
        <f t="shared" si="209"/>
        <v>0101</v>
      </c>
      <c r="R1464">
        <v>2100</v>
      </c>
      <c r="S1464" t="str">
        <f t="shared" si="214"/>
        <v>5570</v>
      </c>
      <c r="T1464" t="s">
        <v>3550</v>
      </c>
      <c r="U1464" t="s">
        <v>42</v>
      </c>
    </row>
    <row r="1465" spans="1:21" ht="15" customHeight="1" x14ac:dyDescent="0.3">
      <c r="A1465" t="s">
        <v>179</v>
      </c>
      <c r="B1465" t="str">
        <f>"00052798"</f>
        <v>00052798</v>
      </c>
      <c r="C1465" t="s">
        <v>4262</v>
      </c>
      <c r="D1465" t="s">
        <v>1463</v>
      </c>
      <c r="E1465" t="str">
        <f>"00049511"</f>
        <v>00049511</v>
      </c>
      <c r="F1465">
        <v>0</v>
      </c>
      <c r="G1465" s="243">
        <v>32050</v>
      </c>
      <c r="H1465" t="s">
        <v>182</v>
      </c>
      <c r="I1465">
        <v>15</v>
      </c>
      <c r="J1465">
        <v>16</v>
      </c>
      <c r="K1465">
        <v>1</v>
      </c>
      <c r="L1465">
        <v>106540</v>
      </c>
      <c r="M1465" t="str">
        <f t="shared" si="208"/>
        <v>13</v>
      </c>
      <c r="N1465" t="s">
        <v>3323</v>
      </c>
      <c r="O1465" t="str">
        <f t="shared" si="213"/>
        <v>55711</v>
      </c>
      <c r="P1465" t="str">
        <f t="shared" si="215"/>
        <v>2100L</v>
      </c>
      <c r="Q1465" t="str">
        <f t="shared" si="209"/>
        <v>0101</v>
      </c>
      <c r="R1465">
        <v>2100</v>
      </c>
      <c r="S1465" t="str">
        <f t="shared" si="214"/>
        <v>5570</v>
      </c>
      <c r="T1465" t="s">
        <v>3550</v>
      </c>
      <c r="U1465" t="s">
        <v>42</v>
      </c>
    </row>
    <row r="1466" spans="1:21" ht="15" customHeight="1" x14ac:dyDescent="0.3">
      <c r="A1466" t="s">
        <v>179</v>
      </c>
      <c r="B1466" t="str">
        <f>"00053146"</f>
        <v>00053146</v>
      </c>
      <c r="C1466" t="s">
        <v>4262</v>
      </c>
      <c r="D1466" t="s">
        <v>1464</v>
      </c>
      <c r="E1466" t="str">
        <f>"00050629"</f>
        <v>00050629</v>
      </c>
      <c r="F1466">
        <v>0</v>
      </c>
      <c r="G1466" s="243">
        <v>37288</v>
      </c>
      <c r="H1466" t="s">
        <v>182</v>
      </c>
      <c r="I1466">
        <v>15</v>
      </c>
      <c r="J1466">
        <v>11</v>
      </c>
      <c r="K1466">
        <v>1</v>
      </c>
      <c r="L1466">
        <v>83774</v>
      </c>
      <c r="M1466" t="str">
        <f t="shared" si="208"/>
        <v>13</v>
      </c>
      <c r="N1466" t="s">
        <v>3323</v>
      </c>
      <c r="O1466" t="str">
        <f t="shared" si="213"/>
        <v>55711</v>
      </c>
      <c r="P1466" t="str">
        <f t="shared" si="215"/>
        <v>2100L</v>
      </c>
      <c r="Q1466" t="str">
        <f t="shared" si="209"/>
        <v>0101</v>
      </c>
      <c r="R1466">
        <v>2100</v>
      </c>
      <c r="S1466" t="str">
        <f t="shared" si="214"/>
        <v>5570</v>
      </c>
      <c r="T1466" t="s">
        <v>3550</v>
      </c>
      <c r="U1466" t="s">
        <v>42</v>
      </c>
    </row>
    <row r="1467" spans="1:21" ht="15" customHeight="1" x14ac:dyDescent="0.3">
      <c r="A1467" t="s">
        <v>179</v>
      </c>
      <c r="B1467" t="str">
        <f>"00053160"</f>
        <v>00053160</v>
      </c>
      <c r="C1467" t="s">
        <v>4272</v>
      </c>
      <c r="D1467" t="s">
        <v>3551</v>
      </c>
      <c r="E1467" t="str">
        <f>"00058293"</f>
        <v>00058293</v>
      </c>
      <c r="F1467">
        <v>0</v>
      </c>
      <c r="G1467" s="243">
        <v>40755</v>
      </c>
      <c r="H1467" t="s">
        <v>182</v>
      </c>
      <c r="I1467">
        <v>15</v>
      </c>
      <c r="J1467">
        <v>10</v>
      </c>
      <c r="K1467">
        <v>1</v>
      </c>
      <c r="L1467">
        <v>78273</v>
      </c>
      <c r="M1467" t="str">
        <f t="shared" si="208"/>
        <v>13</v>
      </c>
      <c r="N1467" t="s">
        <v>3323</v>
      </c>
      <c r="O1467" t="str">
        <f t="shared" si="213"/>
        <v>55711</v>
      </c>
      <c r="P1467" t="str">
        <f t="shared" si="215"/>
        <v>2100L</v>
      </c>
      <c r="Q1467" t="str">
        <f t="shared" si="209"/>
        <v>0101</v>
      </c>
      <c r="R1467">
        <v>2100</v>
      </c>
      <c r="S1467" t="str">
        <f t="shared" si="214"/>
        <v>5570</v>
      </c>
      <c r="T1467" t="s">
        <v>3550</v>
      </c>
      <c r="U1467" t="s">
        <v>42</v>
      </c>
    </row>
    <row r="1468" spans="1:21" ht="15" customHeight="1" x14ac:dyDescent="0.3">
      <c r="A1468" t="s">
        <v>179</v>
      </c>
      <c r="B1468" t="str">
        <f>"00053276"</f>
        <v>00053276</v>
      </c>
      <c r="C1468" t="s">
        <v>4262</v>
      </c>
      <c r="D1468" t="s">
        <v>1466</v>
      </c>
      <c r="E1468" t="str">
        <f>"00051212"</f>
        <v>00051212</v>
      </c>
      <c r="F1468">
        <v>0</v>
      </c>
      <c r="G1468" s="243">
        <v>32050</v>
      </c>
      <c r="H1468" t="s">
        <v>182</v>
      </c>
      <c r="I1468">
        <v>15</v>
      </c>
      <c r="J1468">
        <v>16</v>
      </c>
      <c r="K1468">
        <v>1</v>
      </c>
      <c r="L1468">
        <v>103347</v>
      </c>
      <c r="M1468" t="str">
        <f t="shared" si="208"/>
        <v>13</v>
      </c>
      <c r="N1468" t="s">
        <v>3323</v>
      </c>
      <c r="O1468" t="str">
        <f t="shared" si="213"/>
        <v>55711</v>
      </c>
      <c r="P1468" t="str">
        <f t="shared" si="215"/>
        <v>2100L</v>
      </c>
      <c r="Q1468" t="str">
        <f t="shared" si="209"/>
        <v>0101</v>
      </c>
      <c r="R1468">
        <v>2100</v>
      </c>
      <c r="S1468" t="str">
        <f t="shared" si="214"/>
        <v>5570</v>
      </c>
      <c r="T1468" t="s">
        <v>3550</v>
      </c>
      <c r="U1468" t="s">
        <v>42</v>
      </c>
    </row>
    <row r="1469" spans="1:21" ht="15" customHeight="1" x14ac:dyDescent="0.3">
      <c r="A1469" t="s">
        <v>179</v>
      </c>
      <c r="B1469" t="str">
        <f>"00053405"</f>
        <v>00053405</v>
      </c>
      <c r="C1469" t="s">
        <v>4290</v>
      </c>
      <c r="D1469" t="s">
        <v>4750</v>
      </c>
      <c r="E1469" t="str">
        <f>"00051428"</f>
        <v>00051428</v>
      </c>
      <c r="F1469">
        <v>0</v>
      </c>
      <c r="G1469" s="243">
        <v>29912</v>
      </c>
      <c r="H1469" t="s">
        <v>182</v>
      </c>
      <c r="I1469">
        <v>4</v>
      </c>
      <c r="J1469">
        <v>10</v>
      </c>
      <c r="K1469">
        <v>0.875</v>
      </c>
      <c r="L1469">
        <v>28721</v>
      </c>
      <c r="M1469" t="str">
        <f t="shared" si="208"/>
        <v>13</v>
      </c>
      <c r="N1469" t="s">
        <v>3323</v>
      </c>
      <c r="O1469" t="str">
        <f t="shared" si="213"/>
        <v>55711</v>
      </c>
      <c r="P1469" t="str">
        <f t="shared" si="215"/>
        <v>2100L</v>
      </c>
      <c r="Q1469" t="str">
        <f t="shared" si="209"/>
        <v>0101</v>
      </c>
      <c r="R1469">
        <v>2100</v>
      </c>
      <c r="S1469" t="str">
        <f t="shared" si="214"/>
        <v>5570</v>
      </c>
      <c r="T1469" t="s">
        <v>3550</v>
      </c>
      <c r="U1469" t="s">
        <v>42</v>
      </c>
    </row>
    <row r="1470" spans="1:21" ht="15" customHeight="1" x14ac:dyDescent="0.3">
      <c r="A1470" t="s">
        <v>179</v>
      </c>
      <c r="B1470" t="str">
        <f>"00053563"</f>
        <v>00053563</v>
      </c>
      <c r="C1470" t="s">
        <v>4360</v>
      </c>
      <c r="D1470" t="s">
        <v>4751</v>
      </c>
      <c r="E1470" t="str">
        <f>"00051770"</f>
        <v>00051770</v>
      </c>
      <c r="F1470">
        <v>0</v>
      </c>
      <c r="G1470" s="243">
        <v>35103</v>
      </c>
      <c r="H1470" t="s">
        <v>182</v>
      </c>
      <c r="I1470">
        <v>7</v>
      </c>
      <c r="J1470">
        <v>6</v>
      </c>
      <c r="K1470">
        <v>1</v>
      </c>
      <c r="L1470">
        <v>40407</v>
      </c>
      <c r="M1470" t="str">
        <f t="shared" si="208"/>
        <v>13</v>
      </c>
      <c r="N1470" t="s">
        <v>3323</v>
      </c>
      <c r="O1470" t="str">
        <f t="shared" si="213"/>
        <v>55711</v>
      </c>
      <c r="P1470" t="str">
        <f>"1502L"</f>
        <v>1502L</v>
      </c>
      <c r="Q1470" t="str">
        <f t="shared" si="209"/>
        <v>0101</v>
      </c>
      <c r="R1470">
        <v>1502</v>
      </c>
      <c r="S1470" t="str">
        <f t="shared" si="214"/>
        <v>5570</v>
      </c>
      <c r="T1470" t="s">
        <v>3550</v>
      </c>
      <c r="U1470" t="s">
        <v>42</v>
      </c>
    </row>
    <row r="1471" spans="1:21" ht="15" customHeight="1" x14ac:dyDescent="0.3">
      <c r="A1471" t="s">
        <v>179</v>
      </c>
      <c r="B1471" t="str">
        <f>"00053817"</f>
        <v>00053817</v>
      </c>
      <c r="C1471" t="s">
        <v>4274</v>
      </c>
      <c r="D1471" t="s">
        <v>4752</v>
      </c>
      <c r="E1471" t="str">
        <f>"00052576"</f>
        <v>00052576</v>
      </c>
      <c r="F1471">
        <v>0</v>
      </c>
      <c r="G1471" s="243">
        <v>34151</v>
      </c>
      <c r="H1471" t="s">
        <v>182</v>
      </c>
      <c r="I1471">
        <v>4</v>
      </c>
      <c r="J1471">
        <v>10</v>
      </c>
      <c r="K1471">
        <v>0.875</v>
      </c>
      <c r="L1471">
        <v>28721</v>
      </c>
      <c r="M1471" t="str">
        <f t="shared" si="208"/>
        <v>13</v>
      </c>
      <c r="N1471" t="s">
        <v>3323</v>
      </c>
      <c r="O1471" t="str">
        <f t="shared" si="213"/>
        <v>55711</v>
      </c>
      <c r="P1471" t="str">
        <f>"2200L"</f>
        <v>2200L</v>
      </c>
      <c r="Q1471" t="str">
        <f t="shared" si="209"/>
        <v>0101</v>
      </c>
      <c r="R1471">
        <v>2200</v>
      </c>
      <c r="S1471" t="str">
        <f t="shared" si="214"/>
        <v>5570</v>
      </c>
      <c r="T1471" t="s">
        <v>3550</v>
      </c>
      <c r="U1471" t="s">
        <v>42</v>
      </c>
    </row>
    <row r="1472" spans="1:21" ht="15" customHeight="1" x14ac:dyDescent="0.3">
      <c r="A1472" t="s">
        <v>179</v>
      </c>
      <c r="B1472" t="str">
        <f>"00053887"</f>
        <v>00053887</v>
      </c>
      <c r="C1472" t="s">
        <v>4259</v>
      </c>
      <c r="D1472" t="s">
        <v>1468</v>
      </c>
      <c r="E1472" t="str">
        <f>"00052699"</f>
        <v>00052699</v>
      </c>
      <c r="F1472">
        <v>0</v>
      </c>
      <c r="G1472" s="243">
        <v>32050</v>
      </c>
      <c r="H1472" t="s">
        <v>182</v>
      </c>
      <c r="I1472">
        <v>15</v>
      </c>
      <c r="J1472">
        <v>16</v>
      </c>
      <c r="K1472">
        <v>1</v>
      </c>
      <c r="L1472">
        <v>103347</v>
      </c>
      <c r="M1472" t="str">
        <f t="shared" si="208"/>
        <v>13</v>
      </c>
      <c r="N1472" t="s">
        <v>3323</v>
      </c>
      <c r="O1472" t="str">
        <f t="shared" si="213"/>
        <v>55711</v>
      </c>
      <c r="P1472" t="str">
        <f>"2100L"</f>
        <v>2100L</v>
      </c>
      <c r="Q1472" t="str">
        <f t="shared" si="209"/>
        <v>0101</v>
      </c>
      <c r="R1472">
        <v>2100</v>
      </c>
      <c r="S1472" t="str">
        <f t="shared" si="214"/>
        <v>5570</v>
      </c>
      <c r="T1472" t="s">
        <v>3550</v>
      </c>
      <c r="U1472" t="s">
        <v>42</v>
      </c>
    </row>
    <row r="1473" spans="1:21" ht="15" customHeight="1" x14ac:dyDescent="0.3">
      <c r="A1473" t="s">
        <v>179</v>
      </c>
      <c r="B1473" t="str">
        <f>"00054134"</f>
        <v>00054134</v>
      </c>
      <c r="C1473" t="s">
        <v>4274</v>
      </c>
      <c r="D1473" t="s">
        <v>4753</v>
      </c>
      <c r="E1473" t="str">
        <f>"00053091"</f>
        <v>00053091</v>
      </c>
      <c r="F1473">
        <v>0</v>
      </c>
      <c r="G1473" s="243">
        <v>35339</v>
      </c>
      <c r="H1473" t="s">
        <v>182</v>
      </c>
      <c r="I1473">
        <v>4</v>
      </c>
      <c r="J1473">
        <v>9</v>
      </c>
      <c r="K1473">
        <v>0.875</v>
      </c>
      <c r="L1473">
        <v>28025.38</v>
      </c>
      <c r="M1473" t="str">
        <f t="shared" si="208"/>
        <v>13</v>
      </c>
      <c r="N1473" t="s">
        <v>3323</v>
      </c>
      <c r="O1473" t="str">
        <f t="shared" si="213"/>
        <v>55711</v>
      </c>
      <c r="P1473" t="str">
        <f>"2200L"</f>
        <v>2200L</v>
      </c>
      <c r="Q1473" t="str">
        <f t="shared" si="209"/>
        <v>0101</v>
      </c>
      <c r="R1473">
        <v>2200</v>
      </c>
      <c r="S1473" t="str">
        <f t="shared" si="214"/>
        <v>5570</v>
      </c>
      <c r="T1473" t="s">
        <v>3550</v>
      </c>
      <c r="U1473" t="s">
        <v>42</v>
      </c>
    </row>
    <row r="1474" spans="1:21" ht="15" customHeight="1" x14ac:dyDescent="0.3">
      <c r="A1474" t="s">
        <v>179</v>
      </c>
      <c r="B1474" t="str">
        <f>"00054135"</f>
        <v>00054135</v>
      </c>
      <c r="C1474" t="s">
        <v>4288</v>
      </c>
      <c r="D1474" t="s">
        <v>4754</v>
      </c>
      <c r="E1474" t="str">
        <f>"00053092"</f>
        <v>00053092</v>
      </c>
      <c r="F1474">
        <v>0</v>
      </c>
      <c r="G1474" s="243">
        <v>33518</v>
      </c>
      <c r="H1474" t="s">
        <v>182</v>
      </c>
      <c r="I1474">
        <v>4</v>
      </c>
      <c r="J1474">
        <v>10</v>
      </c>
      <c r="K1474">
        <v>0.875</v>
      </c>
      <c r="L1474">
        <v>28721</v>
      </c>
      <c r="M1474" t="str">
        <f t="shared" si="208"/>
        <v>13</v>
      </c>
      <c r="N1474" t="s">
        <v>3323</v>
      </c>
      <c r="O1474" t="str">
        <f t="shared" si="213"/>
        <v>55711</v>
      </c>
      <c r="P1474" t="str">
        <f>"2200L"</f>
        <v>2200L</v>
      </c>
      <c r="Q1474" t="str">
        <f t="shared" si="209"/>
        <v>0101</v>
      </c>
      <c r="R1474">
        <v>2200</v>
      </c>
      <c r="S1474" t="str">
        <f t="shared" si="214"/>
        <v>5570</v>
      </c>
      <c r="T1474" t="s">
        <v>3550</v>
      </c>
      <c r="U1474" t="s">
        <v>42</v>
      </c>
    </row>
    <row r="1475" spans="1:21" ht="15" customHeight="1" x14ac:dyDescent="0.3">
      <c r="A1475" t="s">
        <v>179</v>
      </c>
      <c r="B1475" t="str">
        <f>"00054339"</f>
        <v>00054339</v>
      </c>
      <c r="C1475" t="s">
        <v>4262</v>
      </c>
      <c r="D1475" t="s">
        <v>1469</v>
      </c>
      <c r="E1475" t="str">
        <f>"00053678"</f>
        <v>00053678</v>
      </c>
      <c r="F1475">
        <v>0</v>
      </c>
      <c r="G1475" s="243">
        <v>34325</v>
      </c>
      <c r="H1475" t="s">
        <v>182</v>
      </c>
      <c r="I1475">
        <v>15</v>
      </c>
      <c r="J1475">
        <v>14</v>
      </c>
      <c r="K1475">
        <v>1</v>
      </c>
      <c r="L1475">
        <v>102160</v>
      </c>
      <c r="M1475" t="str">
        <f t="shared" si="208"/>
        <v>13</v>
      </c>
      <c r="N1475" t="s">
        <v>3323</v>
      </c>
      <c r="O1475" t="str">
        <f t="shared" si="213"/>
        <v>55711</v>
      </c>
      <c r="P1475" t="str">
        <f t="shared" ref="P1475:P1480" si="216">"2100L"</f>
        <v>2100L</v>
      </c>
      <c r="Q1475" t="str">
        <f t="shared" si="209"/>
        <v>0101</v>
      </c>
      <c r="R1475">
        <v>2100</v>
      </c>
      <c r="S1475" t="str">
        <f t="shared" si="214"/>
        <v>5570</v>
      </c>
      <c r="T1475" t="s">
        <v>3550</v>
      </c>
      <c r="U1475" t="s">
        <v>42</v>
      </c>
    </row>
    <row r="1476" spans="1:21" ht="15" customHeight="1" x14ac:dyDescent="0.3">
      <c r="A1476" t="s">
        <v>179</v>
      </c>
      <c r="B1476" t="str">
        <f>"00054483"</f>
        <v>00054483</v>
      </c>
      <c r="C1476" t="s">
        <v>4262</v>
      </c>
      <c r="D1476" t="s">
        <v>1470</v>
      </c>
      <c r="E1476" t="str">
        <f>"00054091"</f>
        <v>00054091</v>
      </c>
      <c r="F1476">
        <v>0</v>
      </c>
      <c r="G1476" s="243">
        <v>31337</v>
      </c>
      <c r="H1476" t="s">
        <v>182</v>
      </c>
      <c r="I1476">
        <v>15</v>
      </c>
      <c r="J1476">
        <v>15</v>
      </c>
      <c r="K1476">
        <v>1</v>
      </c>
      <c r="L1476">
        <v>98285</v>
      </c>
      <c r="M1476" t="str">
        <f t="shared" si="208"/>
        <v>13</v>
      </c>
      <c r="N1476" t="s">
        <v>3323</v>
      </c>
      <c r="O1476" t="str">
        <f t="shared" si="213"/>
        <v>55711</v>
      </c>
      <c r="P1476" t="str">
        <f t="shared" si="216"/>
        <v>2100L</v>
      </c>
      <c r="Q1476" t="str">
        <f t="shared" si="209"/>
        <v>0101</v>
      </c>
      <c r="R1476">
        <v>2100</v>
      </c>
      <c r="S1476" t="str">
        <f t="shared" si="214"/>
        <v>5570</v>
      </c>
      <c r="T1476" t="s">
        <v>3550</v>
      </c>
      <c r="U1476" t="s">
        <v>42</v>
      </c>
    </row>
    <row r="1477" spans="1:21" ht="15" customHeight="1" x14ac:dyDescent="0.3">
      <c r="A1477" t="s">
        <v>179</v>
      </c>
      <c r="B1477" t="str">
        <f>"00054614"</f>
        <v>00054614</v>
      </c>
      <c r="C1477" t="s">
        <v>4253</v>
      </c>
      <c r="D1477" t="s">
        <v>1471</v>
      </c>
      <c r="E1477" t="str">
        <f>"00054288"</f>
        <v>00054288</v>
      </c>
      <c r="F1477">
        <v>0</v>
      </c>
      <c r="G1477" s="243">
        <v>32050</v>
      </c>
      <c r="H1477" t="s">
        <v>182</v>
      </c>
      <c r="I1477">
        <v>15</v>
      </c>
      <c r="J1477">
        <v>16</v>
      </c>
      <c r="K1477">
        <v>1</v>
      </c>
      <c r="L1477">
        <v>100839</v>
      </c>
      <c r="M1477" t="str">
        <f t="shared" si="208"/>
        <v>13</v>
      </c>
      <c r="N1477" t="s">
        <v>3323</v>
      </c>
      <c r="O1477" t="str">
        <f t="shared" si="213"/>
        <v>55711</v>
      </c>
      <c r="P1477" t="str">
        <f t="shared" si="216"/>
        <v>2100L</v>
      </c>
      <c r="Q1477" t="str">
        <f t="shared" si="209"/>
        <v>0101</v>
      </c>
      <c r="R1477">
        <v>2100</v>
      </c>
      <c r="S1477" t="str">
        <f t="shared" si="214"/>
        <v>5570</v>
      </c>
      <c r="T1477" t="s">
        <v>3550</v>
      </c>
      <c r="U1477" t="s">
        <v>42</v>
      </c>
    </row>
    <row r="1478" spans="1:21" ht="15" customHeight="1" x14ac:dyDescent="0.3">
      <c r="A1478" t="s">
        <v>179</v>
      </c>
      <c r="B1478" t="str">
        <f>"00054902"</f>
        <v>00054902</v>
      </c>
      <c r="C1478" t="s">
        <v>4262</v>
      </c>
      <c r="D1478" t="s">
        <v>1472</v>
      </c>
      <c r="E1478" t="str">
        <f>"00054929"</f>
        <v>00054929</v>
      </c>
      <c r="F1478">
        <v>0</v>
      </c>
      <c r="G1478" s="243">
        <v>35675</v>
      </c>
      <c r="H1478" t="s">
        <v>182</v>
      </c>
      <c r="I1478">
        <v>15</v>
      </c>
      <c r="J1478">
        <v>15</v>
      </c>
      <c r="K1478">
        <v>1</v>
      </c>
      <c r="L1478">
        <v>100792</v>
      </c>
      <c r="M1478" t="str">
        <f t="shared" si="208"/>
        <v>13</v>
      </c>
      <c r="N1478" t="s">
        <v>3323</v>
      </c>
      <c r="O1478" t="str">
        <f t="shared" si="213"/>
        <v>55711</v>
      </c>
      <c r="P1478" t="str">
        <f t="shared" si="216"/>
        <v>2100L</v>
      </c>
      <c r="Q1478" t="str">
        <f t="shared" si="209"/>
        <v>0101</v>
      </c>
      <c r="R1478">
        <v>2100</v>
      </c>
      <c r="S1478" t="str">
        <f t="shared" si="214"/>
        <v>5570</v>
      </c>
      <c r="T1478" t="s">
        <v>3550</v>
      </c>
      <c r="U1478" t="s">
        <v>42</v>
      </c>
    </row>
    <row r="1479" spans="1:21" ht="15" customHeight="1" x14ac:dyDescent="0.3">
      <c r="A1479" t="s">
        <v>179</v>
      </c>
      <c r="B1479" t="str">
        <f>"00057372"</f>
        <v>00057372</v>
      </c>
      <c r="C1479" t="s">
        <v>4253</v>
      </c>
      <c r="D1479" t="s">
        <v>1473</v>
      </c>
      <c r="E1479" t="str">
        <f>"00052874"</f>
        <v>00052874</v>
      </c>
      <c r="F1479">
        <v>0</v>
      </c>
      <c r="G1479" s="243">
        <v>29458</v>
      </c>
      <c r="H1479" t="s">
        <v>182</v>
      </c>
      <c r="I1479">
        <v>15</v>
      </c>
      <c r="J1479">
        <v>12</v>
      </c>
      <c r="K1479">
        <v>1</v>
      </c>
      <c r="L1479">
        <v>89887</v>
      </c>
      <c r="M1479" t="str">
        <f t="shared" si="208"/>
        <v>13</v>
      </c>
      <c r="N1479" t="s">
        <v>3323</v>
      </c>
      <c r="O1479" t="str">
        <f t="shared" si="213"/>
        <v>55711</v>
      </c>
      <c r="P1479" t="str">
        <f t="shared" si="216"/>
        <v>2100L</v>
      </c>
      <c r="Q1479" t="str">
        <f t="shared" si="209"/>
        <v>0101</v>
      </c>
      <c r="R1479">
        <v>2100</v>
      </c>
      <c r="S1479" t="str">
        <f t="shared" si="214"/>
        <v>5570</v>
      </c>
      <c r="T1479" t="s">
        <v>3550</v>
      </c>
      <c r="U1479" t="s">
        <v>42</v>
      </c>
    </row>
    <row r="1480" spans="1:21" ht="15" customHeight="1" x14ac:dyDescent="0.3">
      <c r="A1480" t="s">
        <v>179</v>
      </c>
      <c r="B1480" t="str">
        <f>"00057381"</f>
        <v>00057381</v>
      </c>
      <c r="C1480" t="s">
        <v>4262</v>
      </c>
      <c r="D1480" t="s">
        <v>1474</v>
      </c>
      <c r="E1480" t="str">
        <f>"00051956"</f>
        <v>00051956</v>
      </c>
      <c r="F1480">
        <v>0</v>
      </c>
      <c r="G1480" s="243">
        <v>36761</v>
      </c>
      <c r="H1480" t="s">
        <v>182</v>
      </c>
      <c r="I1480">
        <v>15</v>
      </c>
      <c r="J1480">
        <v>12</v>
      </c>
      <c r="K1480">
        <v>1</v>
      </c>
      <c r="L1480">
        <v>89887</v>
      </c>
      <c r="M1480" t="str">
        <f t="shared" si="208"/>
        <v>13</v>
      </c>
      <c r="N1480" t="s">
        <v>3323</v>
      </c>
      <c r="O1480" t="str">
        <f t="shared" si="213"/>
        <v>55711</v>
      </c>
      <c r="P1480" t="str">
        <f t="shared" si="216"/>
        <v>2100L</v>
      </c>
      <c r="Q1480" t="str">
        <f t="shared" si="209"/>
        <v>0101</v>
      </c>
      <c r="R1480">
        <v>2100</v>
      </c>
      <c r="S1480" t="str">
        <f t="shared" si="214"/>
        <v>5570</v>
      </c>
      <c r="T1480" t="s">
        <v>3550</v>
      </c>
      <c r="U1480" t="s">
        <v>42</v>
      </c>
    </row>
    <row r="1481" spans="1:21" ht="15" customHeight="1" x14ac:dyDescent="0.3">
      <c r="A1481" t="s">
        <v>179</v>
      </c>
      <c r="B1481" t="str">
        <f>"00057425"</f>
        <v>00057425</v>
      </c>
      <c r="C1481" t="s">
        <v>4272</v>
      </c>
      <c r="D1481" t="s">
        <v>1154</v>
      </c>
      <c r="E1481" t="str">
        <f>"00053381"</f>
        <v>00053381</v>
      </c>
      <c r="F1481">
        <v>0</v>
      </c>
      <c r="G1481" s="243">
        <v>32756</v>
      </c>
      <c r="H1481" t="s">
        <v>182</v>
      </c>
      <c r="I1481">
        <v>15</v>
      </c>
      <c r="J1481">
        <v>16</v>
      </c>
      <c r="K1481">
        <v>1</v>
      </c>
      <c r="L1481">
        <v>100839</v>
      </c>
      <c r="M1481" t="str">
        <f t="shared" si="208"/>
        <v>13</v>
      </c>
      <c r="N1481" t="s">
        <v>3323</v>
      </c>
      <c r="O1481" t="str">
        <f t="shared" si="213"/>
        <v>55711</v>
      </c>
      <c r="P1481" t="str">
        <f>"2200L"</f>
        <v>2200L</v>
      </c>
      <c r="Q1481" t="str">
        <f t="shared" si="209"/>
        <v>0101</v>
      </c>
      <c r="R1481">
        <v>2200</v>
      </c>
      <c r="S1481" t="str">
        <f t="shared" si="214"/>
        <v>5570</v>
      </c>
      <c r="T1481" t="s">
        <v>3550</v>
      </c>
      <c r="U1481" t="s">
        <v>42</v>
      </c>
    </row>
    <row r="1482" spans="1:21" ht="15" customHeight="1" x14ac:dyDescent="0.3">
      <c r="A1482" t="s">
        <v>179</v>
      </c>
      <c r="B1482" t="str">
        <f>"00057464"</f>
        <v>00057464</v>
      </c>
      <c r="C1482" t="s">
        <v>4272</v>
      </c>
      <c r="D1482" t="s">
        <v>2735</v>
      </c>
      <c r="E1482" t="str">
        <f>"00047063"</f>
        <v>00047063</v>
      </c>
      <c r="F1482">
        <v>0</v>
      </c>
      <c r="G1482" s="243">
        <v>35759</v>
      </c>
      <c r="H1482" t="s">
        <v>182</v>
      </c>
      <c r="I1482">
        <v>15</v>
      </c>
      <c r="J1482">
        <v>14</v>
      </c>
      <c r="K1482">
        <v>1</v>
      </c>
      <c r="L1482">
        <v>96460</v>
      </c>
      <c r="M1482" t="str">
        <f t="shared" si="208"/>
        <v>13</v>
      </c>
      <c r="N1482" t="s">
        <v>3323</v>
      </c>
      <c r="O1482" t="str">
        <f t="shared" si="213"/>
        <v>55711</v>
      </c>
      <c r="P1482" t="str">
        <f>"2100L"</f>
        <v>2100L</v>
      </c>
      <c r="Q1482" t="str">
        <f t="shared" si="209"/>
        <v>0101</v>
      </c>
      <c r="R1482">
        <v>2100</v>
      </c>
      <c r="S1482" t="str">
        <f t="shared" si="214"/>
        <v>5570</v>
      </c>
      <c r="T1482" t="s">
        <v>3550</v>
      </c>
      <c r="U1482" t="s">
        <v>42</v>
      </c>
    </row>
    <row r="1483" spans="1:21" ht="15" customHeight="1" x14ac:dyDescent="0.3">
      <c r="A1483" t="s">
        <v>179</v>
      </c>
      <c r="B1483" t="str">
        <f>"00058068"</f>
        <v>00058068</v>
      </c>
      <c r="C1483" t="s">
        <v>4260</v>
      </c>
      <c r="D1483" t="s">
        <v>1476</v>
      </c>
      <c r="E1483" t="str">
        <f>"00047765"</f>
        <v>00047765</v>
      </c>
      <c r="F1483">
        <v>0</v>
      </c>
      <c r="G1483" s="243">
        <v>36563</v>
      </c>
      <c r="H1483" t="s">
        <v>182</v>
      </c>
      <c r="I1483">
        <v>15</v>
      </c>
      <c r="J1483">
        <v>16</v>
      </c>
      <c r="K1483">
        <v>1</v>
      </c>
      <c r="L1483">
        <v>106540</v>
      </c>
      <c r="M1483" t="str">
        <f t="shared" si="208"/>
        <v>13</v>
      </c>
      <c r="N1483" t="s">
        <v>3323</v>
      </c>
      <c r="O1483" t="str">
        <f t="shared" si="213"/>
        <v>55711</v>
      </c>
      <c r="P1483" t="str">
        <f>"3030L"</f>
        <v>3030L</v>
      </c>
      <c r="Q1483" t="str">
        <f t="shared" si="209"/>
        <v>0101</v>
      </c>
      <c r="R1483">
        <v>3030</v>
      </c>
      <c r="S1483" t="str">
        <f t="shared" si="214"/>
        <v>5570</v>
      </c>
      <c r="T1483" t="s">
        <v>3550</v>
      </c>
      <c r="U1483" t="s">
        <v>42</v>
      </c>
    </row>
    <row r="1484" spans="1:21" ht="15" customHeight="1" x14ac:dyDescent="0.3">
      <c r="A1484" t="s">
        <v>179</v>
      </c>
      <c r="B1484" t="str">
        <f>"00058160"</f>
        <v>00058160</v>
      </c>
      <c r="C1484" t="s">
        <v>200</v>
      </c>
      <c r="D1484" t="s">
        <v>1944</v>
      </c>
      <c r="E1484" t="str">
        <f>"00045572"</f>
        <v>00045572</v>
      </c>
      <c r="F1484">
        <v>0</v>
      </c>
      <c r="G1484" s="243">
        <v>32930</v>
      </c>
      <c r="H1484" t="s">
        <v>182</v>
      </c>
      <c r="I1484">
        <v>15</v>
      </c>
      <c r="J1484">
        <v>16</v>
      </c>
      <c r="K1484">
        <v>1</v>
      </c>
      <c r="L1484">
        <v>106540</v>
      </c>
      <c r="M1484" t="str">
        <f t="shared" si="208"/>
        <v>13</v>
      </c>
      <c r="N1484" t="s">
        <v>3323</v>
      </c>
      <c r="O1484" t="str">
        <f t="shared" si="213"/>
        <v>55711</v>
      </c>
      <c r="P1484" t="str">
        <f>"2100L"</f>
        <v>2100L</v>
      </c>
      <c r="Q1484" t="str">
        <f t="shared" si="209"/>
        <v>0101</v>
      </c>
      <c r="R1484">
        <v>2100</v>
      </c>
      <c r="S1484" t="str">
        <f t="shared" si="214"/>
        <v>5570</v>
      </c>
      <c r="T1484" t="s">
        <v>3550</v>
      </c>
      <c r="U1484" t="s">
        <v>42</v>
      </c>
    </row>
    <row r="1485" spans="1:21" ht="15" customHeight="1" x14ac:dyDescent="0.3">
      <c r="A1485" t="s">
        <v>179</v>
      </c>
      <c r="B1485" t="str">
        <f>"00058373"</f>
        <v>00058373</v>
      </c>
      <c r="C1485" t="s">
        <v>4262</v>
      </c>
      <c r="D1485" t="s">
        <v>1477</v>
      </c>
      <c r="E1485" t="str">
        <f>"00053704"</f>
        <v>00053704</v>
      </c>
      <c r="F1485">
        <v>0</v>
      </c>
      <c r="G1485" s="243">
        <v>37158</v>
      </c>
      <c r="H1485" t="s">
        <v>182</v>
      </c>
      <c r="I1485">
        <v>15</v>
      </c>
      <c r="J1485">
        <v>12</v>
      </c>
      <c r="K1485">
        <v>1</v>
      </c>
      <c r="L1485">
        <v>87431</v>
      </c>
      <c r="M1485" t="str">
        <f t="shared" si="208"/>
        <v>13</v>
      </c>
      <c r="N1485" t="s">
        <v>3323</v>
      </c>
      <c r="O1485" t="str">
        <f t="shared" si="213"/>
        <v>55711</v>
      </c>
      <c r="P1485" t="str">
        <f>"2100L"</f>
        <v>2100L</v>
      </c>
      <c r="Q1485" t="str">
        <f t="shared" si="209"/>
        <v>0101</v>
      </c>
      <c r="R1485">
        <v>2100</v>
      </c>
      <c r="S1485" t="str">
        <f t="shared" si="214"/>
        <v>5570</v>
      </c>
      <c r="T1485" t="s">
        <v>3550</v>
      </c>
      <c r="U1485" t="s">
        <v>42</v>
      </c>
    </row>
    <row r="1486" spans="1:21" ht="15" customHeight="1" x14ac:dyDescent="0.3">
      <c r="A1486" t="s">
        <v>179</v>
      </c>
      <c r="B1486" t="str">
        <f>"00058503"</f>
        <v>00058503</v>
      </c>
      <c r="C1486" t="s">
        <v>4262</v>
      </c>
      <c r="D1486" t="s">
        <v>1478</v>
      </c>
      <c r="E1486" t="str">
        <f>"00047025"</f>
        <v>00047025</v>
      </c>
      <c r="F1486">
        <v>0</v>
      </c>
      <c r="G1486" s="243">
        <v>37151</v>
      </c>
      <c r="H1486" t="s">
        <v>182</v>
      </c>
      <c r="I1486">
        <v>15</v>
      </c>
      <c r="J1486">
        <v>11</v>
      </c>
      <c r="K1486">
        <v>1</v>
      </c>
      <c r="L1486">
        <v>83774</v>
      </c>
      <c r="M1486" t="str">
        <f t="shared" si="208"/>
        <v>13</v>
      </c>
      <c r="N1486" t="s">
        <v>3323</v>
      </c>
      <c r="O1486" t="str">
        <f t="shared" si="213"/>
        <v>55711</v>
      </c>
      <c r="P1486" t="str">
        <f>"2100L"</f>
        <v>2100L</v>
      </c>
      <c r="Q1486" t="str">
        <f t="shared" si="209"/>
        <v>0101</v>
      </c>
      <c r="R1486">
        <v>2100</v>
      </c>
      <c r="S1486" t="str">
        <f t="shared" si="214"/>
        <v>5570</v>
      </c>
      <c r="T1486" t="s">
        <v>3550</v>
      </c>
      <c r="U1486" t="s">
        <v>42</v>
      </c>
    </row>
    <row r="1487" spans="1:21" ht="15" customHeight="1" x14ac:dyDescent="0.3">
      <c r="A1487" t="s">
        <v>179</v>
      </c>
      <c r="B1487" t="str">
        <f>"00060892"</f>
        <v>00060892</v>
      </c>
      <c r="C1487" t="s">
        <v>4272</v>
      </c>
      <c r="D1487" t="s">
        <v>1479</v>
      </c>
      <c r="E1487" t="str">
        <f>"00056753"</f>
        <v>00056753</v>
      </c>
      <c r="F1487">
        <v>0</v>
      </c>
      <c r="G1487" s="243">
        <v>40042</v>
      </c>
      <c r="H1487" t="s">
        <v>182</v>
      </c>
      <c r="I1487">
        <v>15</v>
      </c>
      <c r="J1487">
        <v>6</v>
      </c>
      <c r="K1487">
        <v>1</v>
      </c>
      <c r="L1487">
        <v>66078</v>
      </c>
      <c r="M1487" t="str">
        <f t="shared" si="208"/>
        <v>13</v>
      </c>
      <c r="N1487" t="s">
        <v>3323</v>
      </c>
      <c r="O1487" t="str">
        <f t="shared" ref="O1487:O1507" si="217">"55711"</f>
        <v>55711</v>
      </c>
      <c r="P1487" t="str">
        <f>"2200L"</f>
        <v>2200L</v>
      </c>
      <c r="Q1487" t="str">
        <f t="shared" si="209"/>
        <v>0101</v>
      </c>
      <c r="R1487">
        <v>2200</v>
      </c>
      <c r="S1487" t="str">
        <f t="shared" ref="S1487:S1507" si="218">"5570"</f>
        <v>5570</v>
      </c>
      <c r="T1487" t="s">
        <v>3550</v>
      </c>
      <c r="U1487" t="s">
        <v>42</v>
      </c>
    </row>
    <row r="1488" spans="1:21" ht="15" customHeight="1" x14ac:dyDescent="0.3">
      <c r="A1488" t="s">
        <v>179</v>
      </c>
      <c r="B1488" t="str">
        <f>"00062977"</f>
        <v>00062977</v>
      </c>
      <c r="C1488" t="s">
        <v>4262</v>
      </c>
      <c r="D1488" t="s">
        <v>1480</v>
      </c>
      <c r="E1488" t="str">
        <f>"00032297"</f>
        <v>00032297</v>
      </c>
      <c r="F1488">
        <v>1</v>
      </c>
      <c r="G1488" s="243">
        <v>39826</v>
      </c>
      <c r="H1488" t="s">
        <v>182</v>
      </c>
      <c r="I1488">
        <v>15</v>
      </c>
      <c r="J1488">
        <v>8</v>
      </c>
      <c r="K1488">
        <v>1</v>
      </c>
      <c r="L1488">
        <v>72171</v>
      </c>
      <c r="M1488" t="str">
        <f t="shared" si="208"/>
        <v>13</v>
      </c>
      <c r="N1488" t="s">
        <v>3323</v>
      </c>
      <c r="O1488" t="str">
        <f t="shared" si="217"/>
        <v>55711</v>
      </c>
      <c r="P1488" t="str">
        <f>"2100L"</f>
        <v>2100L</v>
      </c>
      <c r="Q1488" t="str">
        <f t="shared" si="209"/>
        <v>0101</v>
      </c>
      <c r="R1488">
        <v>2100</v>
      </c>
      <c r="S1488" t="str">
        <f t="shared" si="218"/>
        <v>5570</v>
      </c>
      <c r="T1488" t="s">
        <v>3550</v>
      </c>
      <c r="U1488" t="s">
        <v>42</v>
      </c>
    </row>
    <row r="1489" spans="1:21" ht="15" customHeight="1" x14ac:dyDescent="0.3">
      <c r="A1489" t="s">
        <v>179</v>
      </c>
      <c r="B1489" t="str">
        <f>"00063047"</f>
        <v>00063047</v>
      </c>
      <c r="C1489" t="s">
        <v>4256</v>
      </c>
      <c r="D1489" t="s">
        <v>1481</v>
      </c>
      <c r="E1489" t="str">
        <f>"00034077"</f>
        <v>00034077</v>
      </c>
      <c r="F1489">
        <v>1</v>
      </c>
      <c r="G1489" s="243">
        <v>39874</v>
      </c>
      <c r="H1489" t="s">
        <v>182</v>
      </c>
      <c r="I1489">
        <v>15</v>
      </c>
      <c r="J1489">
        <v>9</v>
      </c>
      <c r="K1489">
        <v>1</v>
      </c>
      <c r="L1489">
        <v>75232</v>
      </c>
      <c r="M1489" t="str">
        <f t="shared" si="208"/>
        <v>13</v>
      </c>
      <c r="N1489" t="s">
        <v>3323</v>
      </c>
      <c r="O1489" t="str">
        <f t="shared" si="217"/>
        <v>55711</v>
      </c>
      <c r="P1489" t="str">
        <f>"2100L"</f>
        <v>2100L</v>
      </c>
      <c r="Q1489" t="str">
        <f t="shared" si="209"/>
        <v>0101</v>
      </c>
      <c r="R1489">
        <v>2100</v>
      </c>
      <c r="S1489" t="str">
        <f t="shared" si="218"/>
        <v>5570</v>
      </c>
      <c r="T1489" t="s">
        <v>3550</v>
      </c>
      <c r="U1489" t="s">
        <v>42</v>
      </c>
    </row>
    <row r="1490" spans="1:21" ht="15" customHeight="1" x14ac:dyDescent="0.3">
      <c r="A1490" t="s">
        <v>179</v>
      </c>
      <c r="B1490" t="str">
        <f>"00063056"</f>
        <v>00063056</v>
      </c>
      <c r="C1490" t="s">
        <v>4272</v>
      </c>
      <c r="D1490" t="s">
        <v>1482</v>
      </c>
      <c r="E1490" t="str">
        <f>"00045912"</f>
        <v>00045912</v>
      </c>
      <c r="F1490">
        <v>0</v>
      </c>
      <c r="G1490" s="243">
        <v>39849</v>
      </c>
      <c r="H1490" t="s">
        <v>182</v>
      </c>
      <c r="I1490">
        <v>15</v>
      </c>
      <c r="J1490">
        <v>4</v>
      </c>
      <c r="K1490">
        <v>1</v>
      </c>
      <c r="L1490">
        <v>54725</v>
      </c>
      <c r="M1490" t="str">
        <f t="shared" si="208"/>
        <v>13</v>
      </c>
      <c r="N1490" t="s">
        <v>3323</v>
      </c>
      <c r="O1490" t="str">
        <f t="shared" si="217"/>
        <v>55711</v>
      </c>
      <c r="P1490" t="str">
        <f>"2100L"</f>
        <v>2100L</v>
      </c>
      <c r="Q1490" t="str">
        <f t="shared" si="209"/>
        <v>0101</v>
      </c>
      <c r="R1490">
        <v>2100</v>
      </c>
      <c r="S1490" t="str">
        <f t="shared" si="218"/>
        <v>5570</v>
      </c>
      <c r="T1490" t="s">
        <v>3550</v>
      </c>
      <c r="U1490" t="s">
        <v>42</v>
      </c>
    </row>
    <row r="1491" spans="1:21" ht="15" customHeight="1" x14ac:dyDescent="0.3">
      <c r="A1491" t="s">
        <v>179</v>
      </c>
      <c r="B1491" t="str">
        <f>"00066450"</f>
        <v>00066450</v>
      </c>
      <c r="C1491" t="s">
        <v>4272</v>
      </c>
      <c r="D1491" t="s">
        <v>1483</v>
      </c>
      <c r="E1491" t="str">
        <f>"00051386"</f>
        <v>00051386</v>
      </c>
      <c r="F1491">
        <v>0</v>
      </c>
      <c r="G1491" s="243">
        <v>31713</v>
      </c>
      <c r="H1491" t="s">
        <v>182</v>
      </c>
      <c r="I1491">
        <v>15</v>
      </c>
      <c r="J1491">
        <v>3</v>
      </c>
      <c r="K1491">
        <v>1</v>
      </c>
      <c r="L1491">
        <v>52777</v>
      </c>
      <c r="M1491" t="str">
        <f t="shared" si="208"/>
        <v>13</v>
      </c>
      <c r="N1491" t="s">
        <v>3323</v>
      </c>
      <c r="O1491" t="str">
        <f t="shared" si="217"/>
        <v>55711</v>
      </c>
      <c r="P1491" t="str">
        <f>"2100L"</f>
        <v>2100L</v>
      </c>
      <c r="Q1491" t="str">
        <f t="shared" si="209"/>
        <v>0101</v>
      </c>
      <c r="R1491">
        <v>2100</v>
      </c>
      <c r="S1491" t="str">
        <f t="shared" si="218"/>
        <v>5570</v>
      </c>
      <c r="T1491" t="s">
        <v>3550</v>
      </c>
      <c r="U1491" t="s">
        <v>42</v>
      </c>
    </row>
    <row r="1492" spans="1:21" ht="15" customHeight="1" x14ac:dyDescent="0.3">
      <c r="A1492" t="s">
        <v>179</v>
      </c>
      <c r="B1492" t="str">
        <f>"00066454"</f>
        <v>00066454</v>
      </c>
      <c r="C1492" t="s">
        <v>4253</v>
      </c>
      <c r="D1492" t="s">
        <v>1484</v>
      </c>
      <c r="E1492" t="str">
        <f>"00060347"</f>
        <v>00060347</v>
      </c>
      <c r="F1492">
        <v>0</v>
      </c>
      <c r="G1492" s="243">
        <v>40203</v>
      </c>
      <c r="H1492" t="s">
        <v>182</v>
      </c>
      <c r="I1492">
        <v>15</v>
      </c>
      <c r="J1492">
        <v>3</v>
      </c>
      <c r="K1492">
        <v>1</v>
      </c>
      <c r="L1492">
        <v>55210</v>
      </c>
      <c r="M1492" t="str">
        <f t="shared" si="208"/>
        <v>13</v>
      </c>
      <c r="N1492" t="s">
        <v>3323</v>
      </c>
      <c r="O1492" t="str">
        <f t="shared" si="217"/>
        <v>55711</v>
      </c>
      <c r="P1492" t="str">
        <f>"2100L"</f>
        <v>2100L</v>
      </c>
      <c r="Q1492" t="str">
        <f t="shared" si="209"/>
        <v>0101</v>
      </c>
      <c r="R1492">
        <v>2100</v>
      </c>
      <c r="S1492" t="str">
        <f t="shared" si="218"/>
        <v>5570</v>
      </c>
      <c r="T1492" t="s">
        <v>3550</v>
      </c>
      <c r="U1492" t="s">
        <v>42</v>
      </c>
    </row>
    <row r="1493" spans="1:21" ht="15" customHeight="1" x14ac:dyDescent="0.3">
      <c r="A1493" t="s">
        <v>179</v>
      </c>
      <c r="B1493" t="str">
        <f>"00066715"</f>
        <v>00066715</v>
      </c>
      <c r="C1493" t="s">
        <v>4274</v>
      </c>
      <c r="D1493" t="s">
        <v>4755</v>
      </c>
      <c r="E1493" t="str">
        <f>"00058704"</f>
        <v>00058704</v>
      </c>
      <c r="F1493">
        <v>0</v>
      </c>
      <c r="G1493" s="243">
        <v>40780</v>
      </c>
      <c r="H1493" t="s">
        <v>182</v>
      </c>
      <c r="I1493">
        <v>4</v>
      </c>
      <c r="J1493">
        <v>4</v>
      </c>
      <c r="K1493">
        <v>1</v>
      </c>
      <c r="L1493">
        <v>24543.75</v>
      </c>
      <c r="M1493" t="str">
        <f t="shared" ref="M1493:M1551" si="219">"13"</f>
        <v>13</v>
      </c>
      <c r="N1493" t="s">
        <v>3323</v>
      </c>
      <c r="O1493" t="str">
        <f t="shared" si="217"/>
        <v>55711</v>
      </c>
      <c r="P1493" t="str">
        <f>"2200L"</f>
        <v>2200L</v>
      </c>
      <c r="Q1493" t="str">
        <f t="shared" si="209"/>
        <v>0101</v>
      </c>
      <c r="R1493">
        <v>2200</v>
      </c>
      <c r="S1493" t="str">
        <f t="shared" si="218"/>
        <v>5570</v>
      </c>
      <c r="T1493" t="s">
        <v>3550</v>
      </c>
      <c r="U1493" t="s">
        <v>42</v>
      </c>
    </row>
    <row r="1494" spans="1:21" ht="15" customHeight="1" x14ac:dyDescent="0.3">
      <c r="A1494" t="s">
        <v>179</v>
      </c>
      <c r="B1494" t="str">
        <f>"00066724"</f>
        <v>00066724</v>
      </c>
      <c r="C1494" t="s">
        <v>4274</v>
      </c>
      <c r="H1494" t="s">
        <v>170</v>
      </c>
      <c r="I1494">
        <v>4</v>
      </c>
      <c r="J1494">
        <v>1</v>
      </c>
      <c r="K1494">
        <v>1</v>
      </c>
      <c r="L1494">
        <v>25662</v>
      </c>
      <c r="M1494" t="str">
        <f t="shared" si="219"/>
        <v>13</v>
      </c>
      <c r="N1494" t="s">
        <v>3323</v>
      </c>
      <c r="O1494" t="str">
        <f t="shared" si="217"/>
        <v>55711</v>
      </c>
      <c r="P1494" t="str">
        <f>"2200L"</f>
        <v>2200L</v>
      </c>
      <c r="Q1494" t="str">
        <f t="shared" si="209"/>
        <v>0101</v>
      </c>
      <c r="R1494">
        <v>2200</v>
      </c>
      <c r="S1494" t="str">
        <f t="shared" si="218"/>
        <v>5570</v>
      </c>
      <c r="T1494" t="s">
        <v>3550</v>
      </c>
      <c r="U1494" t="s">
        <v>42</v>
      </c>
    </row>
    <row r="1495" spans="1:21" ht="15" customHeight="1" x14ac:dyDescent="0.3">
      <c r="A1495" t="s">
        <v>179</v>
      </c>
      <c r="B1495" t="str">
        <f>"00066731"</f>
        <v>00066731</v>
      </c>
      <c r="C1495" t="s">
        <v>4288</v>
      </c>
      <c r="D1495" t="s">
        <v>4756</v>
      </c>
      <c r="E1495" t="str">
        <f>"00055068"</f>
        <v>00055068</v>
      </c>
      <c r="F1495">
        <v>0</v>
      </c>
      <c r="G1495" s="243">
        <v>40417</v>
      </c>
      <c r="H1495" t="s">
        <v>182</v>
      </c>
      <c r="I1495">
        <v>4</v>
      </c>
      <c r="J1495">
        <v>10</v>
      </c>
      <c r="K1495">
        <v>1</v>
      </c>
      <c r="L1495">
        <v>28721</v>
      </c>
      <c r="M1495" t="str">
        <f t="shared" si="219"/>
        <v>13</v>
      </c>
      <c r="N1495" t="s">
        <v>3370</v>
      </c>
      <c r="O1495" t="str">
        <f t="shared" si="217"/>
        <v>55711</v>
      </c>
      <c r="P1495" t="str">
        <f>"2200L"</f>
        <v>2200L</v>
      </c>
      <c r="Q1495" t="str">
        <f t="shared" si="209"/>
        <v>0101</v>
      </c>
      <c r="R1495">
        <v>2200</v>
      </c>
      <c r="S1495" t="str">
        <f t="shared" si="218"/>
        <v>5570</v>
      </c>
      <c r="T1495" t="s">
        <v>3550</v>
      </c>
      <c r="U1495" t="s">
        <v>42</v>
      </c>
    </row>
    <row r="1496" spans="1:21" ht="15" customHeight="1" x14ac:dyDescent="0.3">
      <c r="A1496" t="s">
        <v>179</v>
      </c>
      <c r="B1496" t="str">
        <f>"00067061"</f>
        <v>00067061</v>
      </c>
      <c r="C1496" t="s">
        <v>3670</v>
      </c>
      <c r="D1496" t="s">
        <v>1485</v>
      </c>
      <c r="E1496" t="str">
        <f>"00056887"</f>
        <v>00056887</v>
      </c>
      <c r="F1496">
        <v>0</v>
      </c>
      <c r="G1496" s="243">
        <v>40028</v>
      </c>
      <c r="H1496" t="s">
        <v>182</v>
      </c>
      <c r="I1496">
        <v>8</v>
      </c>
      <c r="J1496">
        <v>6</v>
      </c>
      <c r="K1496">
        <v>1</v>
      </c>
      <c r="L1496">
        <v>96453</v>
      </c>
      <c r="M1496" t="str">
        <f t="shared" si="219"/>
        <v>13</v>
      </c>
      <c r="N1496" t="s">
        <v>3323</v>
      </c>
      <c r="O1496" t="str">
        <f t="shared" si="217"/>
        <v>55711</v>
      </c>
      <c r="P1496" t="str">
        <f>"1501L"</f>
        <v>1501L</v>
      </c>
      <c r="Q1496" t="str">
        <f t="shared" si="209"/>
        <v>0101</v>
      </c>
      <c r="R1496">
        <v>1501</v>
      </c>
      <c r="S1496" t="str">
        <f t="shared" si="218"/>
        <v>5570</v>
      </c>
      <c r="T1496" t="s">
        <v>3550</v>
      </c>
      <c r="U1496" t="s">
        <v>42</v>
      </c>
    </row>
    <row r="1497" spans="1:21" ht="15" customHeight="1" x14ac:dyDescent="0.3">
      <c r="A1497" t="s">
        <v>179</v>
      </c>
      <c r="B1497" t="str">
        <f>"00071429"</f>
        <v>00071429</v>
      </c>
      <c r="C1497" t="s">
        <v>3549</v>
      </c>
      <c r="H1497" t="s">
        <v>170</v>
      </c>
      <c r="I1497">
        <v>21</v>
      </c>
      <c r="J1497">
        <v>0</v>
      </c>
      <c r="K1497">
        <v>0.5</v>
      </c>
      <c r="L1497">
        <v>72300.800000000003</v>
      </c>
      <c r="M1497" t="str">
        <f t="shared" si="219"/>
        <v>13</v>
      </c>
      <c r="N1497" t="s">
        <v>3370</v>
      </c>
      <c r="O1497" t="str">
        <f t="shared" si="217"/>
        <v>55711</v>
      </c>
      <c r="P1497" t="str">
        <f t="shared" ref="P1497:P1507" si="220">"2100L"</f>
        <v>2100L</v>
      </c>
      <c r="Q1497" t="str">
        <f t="shared" si="209"/>
        <v>0101</v>
      </c>
      <c r="R1497">
        <v>2100</v>
      </c>
      <c r="S1497" t="str">
        <f t="shared" si="218"/>
        <v>5570</v>
      </c>
      <c r="T1497" t="s">
        <v>3550</v>
      </c>
      <c r="U1497" t="s">
        <v>42</v>
      </c>
    </row>
    <row r="1498" spans="1:21" ht="15" customHeight="1" x14ac:dyDescent="0.3">
      <c r="A1498" t="s">
        <v>179</v>
      </c>
      <c r="B1498" t="str">
        <f>"00074160"</f>
        <v>00074160</v>
      </c>
      <c r="C1498" t="s">
        <v>200</v>
      </c>
      <c r="H1498" t="s">
        <v>170</v>
      </c>
      <c r="I1498">
        <v>15</v>
      </c>
      <c r="J1498">
        <v>1</v>
      </c>
      <c r="K1498">
        <v>1</v>
      </c>
      <c r="L1498">
        <v>60128</v>
      </c>
      <c r="M1498" t="str">
        <f t="shared" si="219"/>
        <v>13</v>
      </c>
      <c r="N1498" t="s">
        <v>3323</v>
      </c>
      <c r="O1498" t="str">
        <f t="shared" si="217"/>
        <v>55711</v>
      </c>
      <c r="P1498" t="str">
        <f t="shared" si="220"/>
        <v>2100L</v>
      </c>
      <c r="Q1498" t="str">
        <f t="shared" si="209"/>
        <v>0101</v>
      </c>
      <c r="R1498">
        <v>2100</v>
      </c>
      <c r="S1498" t="str">
        <f t="shared" si="218"/>
        <v>5570</v>
      </c>
      <c r="T1498" t="s">
        <v>3550</v>
      </c>
      <c r="U1498" t="s">
        <v>42</v>
      </c>
    </row>
    <row r="1499" spans="1:21" ht="15" customHeight="1" x14ac:dyDescent="0.3">
      <c r="A1499" t="s">
        <v>179</v>
      </c>
      <c r="B1499" t="str">
        <f>"00074327"</f>
        <v>00074327</v>
      </c>
      <c r="C1499" t="s">
        <v>4257</v>
      </c>
      <c r="H1499" t="s">
        <v>170</v>
      </c>
      <c r="I1499">
        <v>15</v>
      </c>
      <c r="J1499">
        <v>1</v>
      </c>
      <c r="K1499">
        <v>1</v>
      </c>
      <c r="L1499">
        <v>51539</v>
      </c>
      <c r="M1499" t="str">
        <f t="shared" si="219"/>
        <v>13</v>
      </c>
      <c r="N1499" t="s">
        <v>3323</v>
      </c>
      <c r="O1499" t="str">
        <f t="shared" si="217"/>
        <v>55711</v>
      </c>
      <c r="P1499" t="str">
        <f t="shared" si="220"/>
        <v>2100L</v>
      </c>
      <c r="Q1499" t="str">
        <f t="shared" si="209"/>
        <v>0101</v>
      </c>
      <c r="R1499">
        <v>2100</v>
      </c>
      <c r="S1499" t="str">
        <f t="shared" si="218"/>
        <v>5570</v>
      </c>
      <c r="T1499" t="s">
        <v>3550</v>
      </c>
      <c r="U1499" t="s">
        <v>42</v>
      </c>
    </row>
    <row r="1500" spans="1:21" ht="15" customHeight="1" x14ac:dyDescent="0.3">
      <c r="A1500" t="s">
        <v>179</v>
      </c>
      <c r="B1500" t="str">
        <f>"00076142"</f>
        <v>00076142</v>
      </c>
      <c r="C1500" t="s">
        <v>4271</v>
      </c>
      <c r="H1500" t="s">
        <v>170</v>
      </c>
      <c r="I1500">
        <v>15</v>
      </c>
      <c r="J1500">
        <v>0</v>
      </c>
      <c r="K1500">
        <v>0.5</v>
      </c>
      <c r="L1500">
        <v>60128</v>
      </c>
      <c r="M1500" t="str">
        <f t="shared" si="219"/>
        <v>13</v>
      </c>
      <c r="N1500" t="s">
        <v>3370</v>
      </c>
      <c r="O1500" t="str">
        <f t="shared" si="217"/>
        <v>55711</v>
      </c>
      <c r="P1500" t="str">
        <f t="shared" si="220"/>
        <v>2100L</v>
      </c>
      <c r="Q1500" t="str">
        <f t="shared" ref="Q1500:Q1557" si="221">"0101"</f>
        <v>0101</v>
      </c>
      <c r="R1500">
        <v>2100</v>
      </c>
      <c r="S1500" t="str">
        <f t="shared" si="218"/>
        <v>5570</v>
      </c>
      <c r="T1500" t="s">
        <v>3550</v>
      </c>
      <c r="U1500" t="s">
        <v>42</v>
      </c>
    </row>
    <row r="1501" spans="1:21" ht="15" customHeight="1" x14ac:dyDescent="0.3">
      <c r="A1501" t="s">
        <v>179</v>
      </c>
      <c r="B1501" t="str">
        <f>"00076145"</f>
        <v>00076145</v>
      </c>
      <c r="C1501" t="s">
        <v>4614</v>
      </c>
      <c r="D1501" t="s">
        <v>4757</v>
      </c>
      <c r="E1501" t="str">
        <f>"00058353"</f>
        <v>00058353</v>
      </c>
      <c r="F1501">
        <v>0</v>
      </c>
      <c r="G1501" s="243">
        <v>40073</v>
      </c>
      <c r="H1501" t="s">
        <v>182</v>
      </c>
      <c r="I1501">
        <v>7</v>
      </c>
      <c r="J1501">
        <v>1</v>
      </c>
      <c r="K1501">
        <v>1</v>
      </c>
      <c r="L1501">
        <v>34871</v>
      </c>
      <c r="M1501" t="str">
        <f t="shared" si="219"/>
        <v>13</v>
      </c>
      <c r="N1501" t="s">
        <v>3370</v>
      </c>
      <c r="O1501" t="str">
        <f t="shared" si="217"/>
        <v>55711</v>
      </c>
      <c r="P1501" t="str">
        <f t="shared" si="220"/>
        <v>2100L</v>
      </c>
      <c r="Q1501" t="str">
        <f t="shared" si="221"/>
        <v>0101</v>
      </c>
      <c r="R1501">
        <v>2100</v>
      </c>
      <c r="S1501" t="str">
        <f t="shared" si="218"/>
        <v>5570</v>
      </c>
      <c r="T1501" t="s">
        <v>3550</v>
      </c>
      <c r="U1501" t="s">
        <v>42</v>
      </c>
    </row>
    <row r="1502" spans="1:21" ht="15" customHeight="1" x14ac:dyDescent="0.3">
      <c r="A1502" t="s">
        <v>179</v>
      </c>
      <c r="B1502" t="str">
        <f>"00076146"</f>
        <v>00076146</v>
      </c>
      <c r="C1502" t="s">
        <v>4262</v>
      </c>
      <c r="D1502" t="s">
        <v>704</v>
      </c>
      <c r="E1502" t="str">
        <f>"00052928"</f>
        <v>00052928</v>
      </c>
      <c r="F1502">
        <v>0</v>
      </c>
      <c r="G1502" s="243">
        <v>32050</v>
      </c>
      <c r="H1502" t="s">
        <v>182</v>
      </c>
      <c r="I1502">
        <v>15</v>
      </c>
      <c r="J1502">
        <v>16</v>
      </c>
      <c r="K1502">
        <v>1</v>
      </c>
      <c r="L1502">
        <v>100839</v>
      </c>
      <c r="M1502" t="str">
        <f t="shared" si="219"/>
        <v>13</v>
      </c>
      <c r="N1502" t="s">
        <v>3370</v>
      </c>
      <c r="O1502" t="str">
        <f t="shared" si="217"/>
        <v>55711</v>
      </c>
      <c r="P1502" t="str">
        <f t="shared" si="220"/>
        <v>2100L</v>
      </c>
      <c r="Q1502" t="str">
        <f t="shared" si="221"/>
        <v>0101</v>
      </c>
      <c r="R1502">
        <v>2100</v>
      </c>
      <c r="S1502" t="str">
        <f t="shared" si="218"/>
        <v>5570</v>
      </c>
      <c r="T1502" t="s">
        <v>3550</v>
      </c>
      <c r="U1502" t="s">
        <v>42</v>
      </c>
    </row>
    <row r="1503" spans="1:21" ht="15" customHeight="1" x14ac:dyDescent="0.3">
      <c r="A1503" t="s">
        <v>179</v>
      </c>
      <c r="B1503" t="str">
        <f>"00076147"</f>
        <v>00076147</v>
      </c>
      <c r="C1503" t="s">
        <v>4262</v>
      </c>
      <c r="D1503" t="s">
        <v>546</v>
      </c>
      <c r="E1503" t="str">
        <f>"00046114"</f>
        <v>00046114</v>
      </c>
      <c r="F1503">
        <v>0</v>
      </c>
      <c r="G1503" s="243">
        <v>39314</v>
      </c>
      <c r="H1503" t="s">
        <v>182</v>
      </c>
      <c r="I1503">
        <v>15</v>
      </c>
      <c r="J1503">
        <v>12</v>
      </c>
      <c r="K1503">
        <v>1</v>
      </c>
      <c r="L1503">
        <v>75816</v>
      </c>
      <c r="M1503" t="str">
        <f t="shared" si="219"/>
        <v>13</v>
      </c>
      <c r="N1503" t="s">
        <v>3323</v>
      </c>
      <c r="O1503" t="str">
        <f t="shared" si="217"/>
        <v>55711</v>
      </c>
      <c r="P1503" t="str">
        <f t="shared" si="220"/>
        <v>2100L</v>
      </c>
      <c r="Q1503" t="str">
        <f t="shared" si="221"/>
        <v>0101</v>
      </c>
      <c r="R1503">
        <v>2100</v>
      </c>
      <c r="S1503" t="str">
        <f t="shared" si="218"/>
        <v>5570</v>
      </c>
      <c r="T1503" t="s">
        <v>3550</v>
      </c>
      <c r="U1503" t="s">
        <v>42</v>
      </c>
    </row>
    <row r="1504" spans="1:21" ht="15" customHeight="1" x14ac:dyDescent="0.3">
      <c r="A1504" t="s">
        <v>179</v>
      </c>
      <c r="B1504" t="str">
        <f>"00076148"</f>
        <v>00076148</v>
      </c>
      <c r="C1504" t="s">
        <v>4270</v>
      </c>
      <c r="H1504" t="s">
        <v>170</v>
      </c>
      <c r="I1504">
        <v>15</v>
      </c>
      <c r="J1504">
        <v>0</v>
      </c>
      <c r="K1504">
        <v>0.5</v>
      </c>
      <c r="L1504">
        <v>51539</v>
      </c>
      <c r="M1504" t="str">
        <f t="shared" si="219"/>
        <v>13</v>
      </c>
      <c r="N1504" t="s">
        <v>3323</v>
      </c>
      <c r="O1504" t="str">
        <f t="shared" si="217"/>
        <v>55711</v>
      </c>
      <c r="P1504" t="str">
        <f t="shared" si="220"/>
        <v>2100L</v>
      </c>
      <c r="Q1504" t="str">
        <f t="shared" si="221"/>
        <v>0101</v>
      </c>
      <c r="R1504">
        <v>2100</v>
      </c>
      <c r="S1504" t="str">
        <f t="shared" si="218"/>
        <v>5570</v>
      </c>
      <c r="T1504" t="s">
        <v>3550</v>
      </c>
      <c r="U1504" t="s">
        <v>42</v>
      </c>
    </row>
    <row r="1505" spans="1:21" ht="15" customHeight="1" x14ac:dyDescent="0.3">
      <c r="A1505" t="s">
        <v>179</v>
      </c>
      <c r="B1505" t="str">
        <f>"00076149"</f>
        <v>00076149</v>
      </c>
      <c r="C1505" t="s">
        <v>4270</v>
      </c>
      <c r="H1505" t="s">
        <v>170</v>
      </c>
      <c r="I1505">
        <v>15</v>
      </c>
      <c r="J1505">
        <v>0</v>
      </c>
      <c r="K1505">
        <v>0.5</v>
      </c>
      <c r="L1505">
        <v>51539</v>
      </c>
      <c r="M1505" t="str">
        <f t="shared" si="219"/>
        <v>13</v>
      </c>
      <c r="N1505" t="s">
        <v>3323</v>
      </c>
      <c r="O1505" t="str">
        <f t="shared" si="217"/>
        <v>55711</v>
      </c>
      <c r="P1505" t="str">
        <f t="shared" si="220"/>
        <v>2100L</v>
      </c>
      <c r="Q1505" t="str">
        <f t="shared" si="221"/>
        <v>0101</v>
      </c>
      <c r="R1505">
        <v>2100</v>
      </c>
      <c r="S1505" t="str">
        <f t="shared" si="218"/>
        <v>5570</v>
      </c>
      <c r="T1505" t="s">
        <v>3550</v>
      </c>
      <c r="U1505" t="s">
        <v>42</v>
      </c>
    </row>
    <row r="1506" spans="1:21" ht="15" customHeight="1" x14ac:dyDescent="0.3">
      <c r="A1506" t="s">
        <v>179</v>
      </c>
      <c r="B1506" t="str">
        <f>"00076150"</f>
        <v>00076150</v>
      </c>
      <c r="C1506" t="s">
        <v>4387</v>
      </c>
      <c r="D1506" t="s">
        <v>4758</v>
      </c>
      <c r="E1506" t="str">
        <f>"00057400"</f>
        <v>00057400</v>
      </c>
      <c r="F1506">
        <v>0</v>
      </c>
      <c r="G1506" s="243">
        <v>41183</v>
      </c>
      <c r="H1506" t="s">
        <v>182</v>
      </c>
      <c r="I1506">
        <v>10</v>
      </c>
      <c r="J1506">
        <v>9</v>
      </c>
      <c r="K1506">
        <v>0.5</v>
      </c>
      <c r="L1506">
        <v>84226</v>
      </c>
      <c r="M1506" t="str">
        <f t="shared" si="219"/>
        <v>13</v>
      </c>
      <c r="N1506" t="s">
        <v>3323</v>
      </c>
      <c r="O1506" t="str">
        <f t="shared" si="217"/>
        <v>55711</v>
      </c>
      <c r="P1506" t="str">
        <f t="shared" si="220"/>
        <v>2100L</v>
      </c>
      <c r="Q1506" t="str">
        <f t="shared" si="221"/>
        <v>0101</v>
      </c>
      <c r="R1506">
        <v>2100</v>
      </c>
      <c r="S1506" t="str">
        <f t="shared" si="218"/>
        <v>5570</v>
      </c>
      <c r="T1506" t="s">
        <v>3550</v>
      </c>
      <c r="U1506" t="s">
        <v>42</v>
      </c>
    </row>
    <row r="1507" spans="1:21" ht="15" customHeight="1" x14ac:dyDescent="0.3">
      <c r="A1507" t="s">
        <v>179</v>
      </c>
      <c r="B1507" t="str">
        <f>"00076151"</f>
        <v>00076151</v>
      </c>
      <c r="C1507" t="s">
        <v>4381</v>
      </c>
      <c r="D1507" t="s">
        <v>632</v>
      </c>
      <c r="E1507" t="str">
        <f>"00051987"</f>
        <v>00051987</v>
      </c>
      <c r="F1507">
        <v>0</v>
      </c>
      <c r="G1507" s="243">
        <v>39679</v>
      </c>
      <c r="H1507" t="s">
        <v>182</v>
      </c>
      <c r="J1507">
        <v>0</v>
      </c>
      <c r="K1507">
        <v>1</v>
      </c>
      <c r="L1507">
        <v>34226</v>
      </c>
      <c r="M1507" t="str">
        <f t="shared" si="219"/>
        <v>13</v>
      </c>
      <c r="N1507" t="s">
        <v>3323</v>
      </c>
      <c r="O1507" t="str">
        <f t="shared" si="217"/>
        <v>55711</v>
      </c>
      <c r="P1507" t="str">
        <f t="shared" si="220"/>
        <v>2100L</v>
      </c>
      <c r="Q1507" t="str">
        <f t="shared" si="221"/>
        <v>0101</v>
      </c>
      <c r="R1507">
        <v>2100</v>
      </c>
      <c r="S1507" t="str">
        <f t="shared" si="218"/>
        <v>5570</v>
      </c>
      <c r="T1507" t="s">
        <v>3550</v>
      </c>
      <c r="U1507" t="s">
        <v>42</v>
      </c>
    </row>
    <row r="1508" spans="1:21" ht="15" customHeight="1" x14ac:dyDescent="0.3">
      <c r="A1508" t="s">
        <v>179</v>
      </c>
      <c r="B1508" t="str">
        <f>"00051553"</f>
        <v>00051553</v>
      </c>
      <c r="C1508" t="s">
        <v>4266</v>
      </c>
      <c r="D1508" t="s">
        <v>1488</v>
      </c>
      <c r="E1508" t="str">
        <f>"00044845"</f>
        <v>00044845</v>
      </c>
      <c r="F1508">
        <v>0</v>
      </c>
      <c r="G1508" s="243">
        <v>35307</v>
      </c>
      <c r="H1508" t="s">
        <v>182</v>
      </c>
      <c r="I1508">
        <v>15</v>
      </c>
      <c r="J1508">
        <v>14</v>
      </c>
      <c r="K1508">
        <v>1</v>
      </c>
      <c r="L1508">
        <v>102160</v>
      </c>
      <c r="M1508" t="str">
        <f t="shared" si="219"/>
        <v>13</v>
      </c>
      <c r="N1508" t="s">
        <v>3323</v>
      </c>
      <c r="O1508" t="str">
        <f t="shared" ref="O1508:O1535" si="222">"55811"</f>
        <v>55811</v>
      </c>
      <c r="P1508" t="str">
        <f>"2300L"</f>
        <v>2300L</v>
      </c>
      <c r="Q1508" t="str">
        <f t="shared" si="221"/>
        <v>0101</v>
      </c>
      <c r="R1508">
        <v>2300</v>
      </c>
      <c r="S1508" t="str">
        <f t="shared" ref="S1508:S1535" si="223">"5580"</f>
        <v>5580</v>
      </c>
      <c r="T1508" t="s">
        <v>3553</v>
      </c>
      <c r="U1508" t="s">
        <v>1489</v>
      </c>
    </row>
    <row r="1509" spans="1:21" ht="15" customHeight="1" x14ac:dyDescent="0.3">
      <c r="A1509" t="s">
        <v>179</v>
      </c>
      <c r="B1509" t="str">
        <f>"00052672"</f>
        <v>00052672</v>
      </c>
      <c r="C1509" t="s">
        <v>4260</v>
      </c>
      <c r="D1509" t="s">
        <v>4759</v>
      </c>
      <c r="E1509" t="str">
        <f>"00063052"</f>
        <v>00063052</v>
      </c>
      <c r="F1509">
        <v>0</v>
      </c>
      <c r="G1509" s="243">
        <v>40406</v>
      </c>
      <c r="H1509" t="s">
        <v>182</v>
      </c>
      <c r="I1509">
        <v>15</v>
      </c>
      <c r="J1509">
        <v>5</v>
      </c>
      <c r="K1509">
        <v>1</v>
      </c>
      <c r="L1509">
        <v>63611</v>
      </c>
      <c r="M1509" t="str">
        <f t="shared" si="219"/>
        <v>13</v>
      </c>
      <c r="N1509" t="s">
        <v>3323</v>
      </c>
      <c r="O1509" t="str">
        <f t="shared" si="222"/>
        <v>55811</v>
      </c>
      <c r="P1509" t="str">
        <f>"3030L"</f>
        <v>3030L</v>
      </c>
      <c r="Q1509" t="str">
        <f t="shared" si="221"/>
        <v>0101</v>
      </c>
      <c r="R1509">
        <v>3030</v>
      </c>
      <c r="S1509" t="str">
        <f t="shared" si="223"/>
        <v>5580</v>
      </c>
      <c r="T1509" t="s">
        <v>3553</v>
      </c>
      <c r="U1509" t="s">
        <v>1489</v>
      </c>
    </row>
    <row r="1510" spans="1:21" ht="15" customHeight="1" x14ac:dyDescent="0.3">
      <c r="A1510" t="s">
        <v>179</v>
      </c>
      <c r="B1510" t="str">
        <f>"00052846"</f>
        <v>00052846</v>
      </c>
      <c r="C1510" t="s">
        <v>4272</v>
      </c>
      <c r="D1510" t="s">
        <v>1490</v>
      </c>
      <c r="E1510" t="str">
        <f>"00049676"</f>
        <v>00049676</v>
      </c>
      <c r="F1510">
        <v>0</v>
      </c>
      <c r="G1510" s="243">
        <v>32050</v>
      </c>
      <c r="H1510" t="s">
        <v>182</v>
      </c>
      <c r="I1510">
        <v>15</v>
      </c>
      <c r="J1510">
        <v>16</v>
      </c>
      <c r="K1510">
        <v>1</v>
      </c>
      <c r="L1510">
        <v>103347</v>
      </c>
      <c r="M1510" t="str">
        <f t="shared" si="219"/>
        <v>13</v>
      </c>
      <c r="N1510" t="s">
        <v>3323</v>
      </c>
      <c r="O1510" t="str">
        <f t="shared" si="222"/>
        <v>55811</v>
      </c>
      <c r="P1510" t="str">
        <f>"2200L"</f>
        <v>2200L</v>
      </c>
      <c r="Q1510" t="str">
        <f t="shared" si="221"/>
        <v>0101</v>
      </c>
      <c r="R1510">
        <v>2200</v>
      </c>
      <c r="S1510" t="str">
        <f t="shared" si="223"/>
        <v>5580</v>
      </c>
      <c r="T1510" t="s">
        <v>3553</v>
      </c>
      <c r="U1510" t="s">
        <v>1489</v>
      </c>
    </row>
    <row r="1511" spans="1:21" ht="15" customHeight="1" x14ac:dyDescent="0.3">
      <c r="A1511" t="s">
        <v>179</v>
      </c>
      <c r="B1511" t="str">
        <f>"00053361"</f>
        <v>00053361</v>
      </c>
      <c r="C1511" t="s">
        <v>4272</v>
      </c>
      <c r="D1511" t="s">
        <v>1491</v>
      </c>
      <c r="E1511" t="str">
        <f>"00051366"</f>
        <v>00051366</v>
      </c>
      <c r="F1511">
        <v>0</v>
      </c>
      <c r="G1511" s="243">
        <v>32756</v>
      </c>
      <c r="H1511" t="s">
        <v>182</v>
      </c>
      <c r="I1511">
        <v>15</v>
      </c>
      <c r="J1511">
        <v>16</v>
      </c>
      <c r="K1511">
        <v>1</v>
      </c>
      <c r="L1511">
        <v>106540</v>
      </c>
      <c r="M1511" t="str">
        <f t="shared" si="219"/>
        <v>13</v>
      </c>
      <c r="N1511" t="s">
        <v>3323</v>
      </c>
      <c r="O1511" t="str">
        <f t="shared" si="222"/>
        <v>55811</v>
      </c>
      <c r="P1511" t="str">
        <f>"2200L"</f>
        <v>2200L</v>
      </c>
      <c r="Q1511" t="str">
        <f t="shared" si="221"/>
        <v>0101</v>
      </c>
      <c r="R1511">
        <v>2200</v>
      </c>
      <c r="S1511" t="str">
        <f t="shared" si="223"/>
        <v>5580</v>
      </c>
      <c r="T1511" t="s">
        <v>3553</v>
      </c>
      <c r="U1511" t="s">
        <v>1489</v>
      </c>
    </row>
    <row r="1512" spans="1:21" ht="15" customHeight="1" x14ac:dyDescent="0.3">
      <c r="A1512" t="s">
        <v>179</v>
      </c>
      <c r="B1512" t="str">
        <f>"00053382"</f>
        <v>00053382</v>
      </c>
      <c r="C1512" t="s">
        <v>4272</v>
      </c>
      <c r="D1512" t="s">
        <v>1493</v>
      </c>
      <c r="E1512" t="str">
        <f>"00051396"</f>
        <v>00051396</v>
      </c>
      <c r="F1512">
        <v>0</v>
      </c>
      <c r="G1512" s="243">
        <v>32050</v>
      </c>
      <c r="H1512" t="s">
        <v>182</v>
      </c>
      <c r="I1512">
        <v>15</v>
      </c>
      <c r="J1512">
        <v>13</v>
      </c>
      <c r="K1512">
        <v>1</v>
      </c>
      <c r="L1512">
        <v>86613</v>
      </c>
      <c r="M1512" t="str">
        <f t="shared" si="219"/>
        <v>13</v>
      </c>
      <c r="N1512" t="s">
        <v>3323</v>
      </c>
      <c r="O1512" t="str">
        <f t="shared" si="222"/>
        <v>55811</v>
      </c>
      <c r="P1512" t="str">
        <f>"2100L"</f>
        <v>2100L</v>
      </c>
      <c r="Q1512" t="str">
        <f t="shared" si="221"/>
        <v>0101</v>
      </c>
      <c r="R1512">
        <v>2100</v>
      </c>
      <c r="S1512" t="str">
        <f t="shared" si="223"/>
        <v>5580</v>
      </c>
      <c r="T1512" t="s">
        <v>3553</v>
      </c>
      <c r="U1512" t="s">
        <v>1489</v>
      </c>
    </row>
    <row r="1513" spans="1:21" ht="15" customHeight="1" x14ac:dyDescent="0.3">
      <c r="A1513" t="s">
        <v>179</v>
      </c>
      <c r="B1513" t="str">
        <f>"00053549"</f>
        <v>00053549</v>
      </c>
      <c r="C1513" t="s">
        <v>4290</v>
      </c>
      <c r="D1513" t="s">
        <v>4760</v>
      </c>
      <c r="E1513" t="str">
        <f>"00051708"</f>
        <v>00051708</v>
      </c>
      <c r="F1513">
        <v>0</v>
      </c>
      <c r="G1513" s="243">
        <v>34973</v>
      </c>
      <c r="H1513" t="s">
        <v>182</v>
      </c>
      <c r="I1513">
        <v>4</v>
      </c>
      <c r="J1513">
        <v>10</v>
      </c>
      <c r="K1513">
        <v>0.875</v>
      </c>
      <c r="L1513">
        <v>28721</v>
      </c>
      <c r="M1513" t="str">
        <f t="shared" si="219"/>
        <v>13</v>
      </c>
      <c r="N1513" t="s">
        <v>3323</v>
      </c>
      <c r="O1513" t="str">
        <f t="shared" si="222"/>
        <v>55811</v>
      </c>
      <c r="P1513" t="str">
        <f>"2200L"</f>
        <v>2200L</v>
      </c>
      <c r="Q1513" t="str">
        <f t="shared" si="221"/>
        <v>0101</v>
      </c>
      <c r="R1513">
        <v>2200</v>
      </c>
      <c r="S1513" t="str">
        <f t="shared" si="223"/>
        <v>5580</v>
      </c>
      <c r="T1513" t="s">
        <v>3553</v>
      </c>
      <c r="U1513" t="s">
        <v>1489</v>
      </c>
    </row>
    <row r="1514" spans="1:21" ht="15" customHeight="1" x14ac:dyDescent="0.3">
      <c r="A1514" t="s">
        <v>179</v>
      </c>
      <c r="B1514" t="str">
        <f>"00053550"</f>
        <v>00053550</v>
      </c>
      <c r="C1514" t="s">
        <v>4262</v>
      </c>
      <c r="D1514" t="s">
        <v>1494</v>
      </c>
      <c r="E1514" t="str">
        <f>"00051709"</f>
        <v>00051709</v>
      </c>
      <c r="F1514">
        <v>0</v>
      </c>
      <c r="G1514" s="243">
        <v>33443</v>
      </c>
      <c r="H1514" t="s">
        <v>182</v>
      </c>
      <c r="I1514">
        <v>15</v>
      </c>
      <c r="J1514">
        <v>15</v>
      </c>
      <c r="K1514">
        <v>1</v>
      </c>
      <c r="L1514">
        <v>103985</v>
      </c>
      <c r="M1514" t="str">
        <f t="shared" si="219"/>
        <v>13</v>
      </c>
      <c r="N1514" t="s">
        <v>3323</v>
      </c>
      <c r="O1514" t="str">
        <f t="shared" si="222"/>
        <v>55811</v>
      </c>
      <c r="P1514" t="str">
        <f t="shared" ref="P1514:P1519" si="224">"2100L"</f>
        <v>2100L</v>
      </c>
      <c r="Q1514" t="str">
        <f t="shared" si="221"/>
        <v>0101</v>
      </c>
      <c r="R1514">
        <v>2100</v>
      </c>
      <c r="S1514" t="str">
        <f t="shared" si="223"/>
        <v>5580</v>
      </c>
      <c r="T1514" t="s">
        <v>3553</v>
      </c>
      <c r="U1514" t="s">
        <v>1489</v>
      </c>
    </row>
    <row r="1515" spans="1:21" ht="15" customHeight="1" x14ac:dyDescent="0.3">
      <c r="A1515" t="s">
        <v>179</v>
      </c>
      <c r="B1515" t="str">
        <f>"00053583"</f>
        <v>00053583</v>
      </c>
      <c r="C1515" t="s">
        <v>4262</v>
      </c>
      <c r="D1515" t="s">
        <v>4761</v>
      </c>
      <c r="E1515" t="str">
        <f>"00070025"</f>
        <v>00070025</v>
      </c>
      <c r="F1515">
        <v>0</v>
      </c>
      <c r="G1515" s="243">
        <v>41133</v>
      </c>
      <c r="H1515" t="s">
        <v>182</v>
      </c>
      <c r="I1515">
        <v>15</v>
      </c>
      <c r="J1515">
        <v>5</v>
      </c>
      <c r="K1515">
        <v>1</v>
      </c>
      <c r="L1515">
        <v>63611</v>
      </c>
      <c r="M1515" t="str">
        <f t="shared" si="219"/>
        <v>13</v>
      </c>
      <c r="N1515" t="s">
        <v>3370</v>
      </c>
      <c r="O1515" t="str">
        <f t="shared" si="222"/>
        <v>55811</v>
      </c>
      <c r="P1515" t="str">
        <f t="shared" si="224"/>
        <v>2100L</v>
      </c>
      <c r="Q1515" t="str">
        <f t="shared" si="221"/>
        <v>0101</v>
      </c>
      <c r="R1515">
        <v>2100</v>
      </c>
      <c r="S1515" t="str">
        <f t="shared" si="223"/>
        <v>5580</v>
      </c>
      <c r="T1515" t="s">
        <v>3553</v>
      </c>
      <c r="U1515" t="s">
        <v>1489</v>
      </c>
    </row>
    <row r="1516" spans="1:21" ht="15" customHeight="1" x14ac:dyDescent="0.3">
      <c r="A1516" t="s">
        <v>179</v>
      </c>
      <c r="B1516" t="str">
        <f>"00053980"</f>
        <v>00053980</v>
      </c>
      <c r="C1516" t="s">
        <v>4262</v>
      </c>
      <c r="D1516" t="s">
        <v>4762</v>
      </c>
      <c r="E1516" t="str">
        <f>"00070143"</f>
        <v>00070143</v>
      </c>
      <c r="F1516">
        <v>0</v>
      </c>
      <c r="G1516" s="243">
        <v>41147</v>
      </c>
      <c r="H1516" t="s">
        <v>182</v>
      </c>
      <c r="I1516">
        <v>15</v>
      </c>
      <c r="J1516">
        <v>7</v>
      </c>
      <c r="K1516">
        <v>1</v>
      </c>
      <c r="L1516">
        <v>74045</v>
      </c>
      <c r="M1516" t="str">
        <f t="shared" si="219"/>
        <v>13</v>
      </c>
      <c r="N1516" t="s">
        <v>3323</v>
      </c>
      <c r="O1516" t="str">
        <f t="shared" si="222"/>
        <v>55811</v>
      </c>
      <c r="P1516" t="str">
        <f t="shared" si="224"/>
        <v>2100L</v>
      </c>
      <c r="Q1516" t="str">
        <f t="shared" si="221"/>
        <v>0101</v>
      </c>
      <c r="R1516">
        <v>2100</v>
      </c>
      <c r="S1516" t="str">
        <f t="shared" si="223"/>
        <v>5580</v>
      </c>
      <c r="T1516" t="s">
        <v>3553</v>
      </c>
      <c r="U1516" t="s">
        <v>1489</v>
      </c>
    </row>
    <row r="1517" spans="1:21" ht="15" customHeight="1" x14ac:dyDescent="0.3">
      <c r="A1517" t="s">
        <v>179</v>
      </c>
      <c r="B1517" t="str">
        <f>"00054518"</f>
        <v>00054518</v>
      </c>
      <c r="C1517" t="s">
        <v>4262</v>
      </c>
      <c r="D1517" t="s">
        <v>1505</v>
      </c>
      <c r="E1517" t="str">
        <f>"00057074"</f>
        <v>00057074</v>
      </c>
      <c r="F1517">
        <v>0</v>
      </c>
      <c r="G1517" s="243">
        <v>40788</v>
      </c>
      <c r="H1517" t="s">
        <v>182</v>
      </c>
      <c r="I1517">
        <v>15</v>
      </c>
      <c r="J1517">
        <v>0</v>
      </c>
      <c r="K1517">
        <v>1</v>
      </c>
      <c r="L1517">
        <v>73988</v>
      </c>
      <c r="M1517" t="str">
        <f t="shared" si="219"/>
        <v>13</v>
      </c>
      <c r="N1517" t="s">
        <v>3323</v>
      </c>
      <c r="O1517" t="str">
        <f t="shared" si="222"/>
        <v>55811</v>
      </c>
      <c r="P1517" t="str">
        <f t="shared" si="224"/>
        <v>2100L</v>
      </c>
      <c r="Q1517" t="str">
        <f t="shared" si="221"/>
        <v>0101</v>
      </c>
      <c r="R1517">
        <v>2100</v>
      </c>
      <c r="S1517" t="str">
        <f t="shared" si="223"/>
        <v>5580</v>
      </c>
      <c r="T1517" t="s">
        <v>3553</v>
      </c>
      <c r="U1517" t="s">
        <v>1489</v>
      </c>
    </row>
    <row r="1518" spans="1:21" ht="15" customHeight="1" x14ac:dyDescent="0.3">
      <c r="A1518" t="s">
        <v>179</v>
      </c>
      <c r="B1518" t="str">
        <f>"00054791"</f>
        <v>00054791</v>
      </c>
      <c r="C1518" t="s">
        <v>4262</v>
      </c>
      <c r="D1518" t="s">
        <v>4763</v>
      </c>
      <c r="E1518" t="str">
        <f>"00069752"</f>
        <v>00069752</v>
      </c>
      <c r="F1518">
        <v>0</v>
      </c>
      <c r="G1518" s="243">
        <v>41133</v>
      </c>
      <c r="H1518" t="s">
        <v>182</v>
      </c>
      <c r="I1518">
        <v>15</v>
      </c>
      <c r="J1518">
        <v>1</v>
      </c>
      <c r="K1518">
        <v>1</v>
      </c>
      <c r="L1518">
        <v>51539</v>
      </c>
      <c r="M1518" t="str">
        <f t="shared" si="219"/>
        <v>13</v>
      </c>
      <c r="N1518" t="s">
        <v>3323</v>
      </c>
      <c r="O1518" t="str">
        <f t="shared" si="222"/>
        <v>55811</v>
      </c>
      <c r="P1518" t="str">
        <f t="shared" si="224"/>
        <v>2100L</v>
      </c>
      <c r="Q1518" t="str">
        <f t="shared" si="221"/>
        <v>0101</v>
      </c>
      <c r="R1518">
        <v>2100</v>
      </c>
      <c r="S1518" t="str">
        <f t="shared" si="223"/>
        <v>5580</v>
      </c>
      <c r="T1518" t="s">
        <v>3553</v>
      </c>
      <c r="U1518" t="s">
        <v>1489</v>
      </c>
    </row>
    <row r="1519" spans="1:21" ht="15" customHeight="1" x14ac:dyDescent="0.3">
      <c r="A1519" t="s">
        <v>179</v>
      </c>
      <c r="B1519" t="str">
        <f>"00055078"</f>
        <v>00055078</v>
      </c>
      <c r="C1519" t="s">
        <v>4262</v>
      </c>
      <c r="D1519" t="s">
        <v>1495</v>
      </c>
      <c r="E1519" t="str">
        <f>"00046415"</f>
        <v>00046415</v>
      </c>
      <c r="F1519">
        <v>0</v>
      </c>
      <c r="G1519" s="243">
        <v>36390</v>
      </c>
      <c r="H1519" t="s">
        <v>182</v>
      </c>
      <c r="I1519">
        <v>15</v>
      </c>
      <c r="J1519">
        <v>13</v>
      </c>
      <c r="K1519">
        <v>1</v>
      </c>
      <c r="L1519">
        <v>86613</v>
      </c>
      <c r="M1519" t="str">
        <f t="shared" si="219"/>
        <v>13</v>
      </c>
      <c r="N1519" t="s">
        <v>3323</v>
      </c>
      <c r="O1519" t="str">
        <f t="shared" si="222"/>
        <v>55811</v>
      </c>
      <c r="P1519" t="str">
        <f t="shared" si="224"/>
        <v>2100L</v>
      </c>
      <c r="Q1519" t="str">
        <f t="shared" si="221"/>
        <v>0101</v>
      </c>
      <c r="R1519">
        <v>2100</v>
      </c>
      <c r="S1519" t="str">
        <f t="shared" si="223"/>
        <v>5580</v>
      </c>
      <c r="T1519" t="s">
        <v>3553</v>
      </c>
      <c r="U1519" t="s">
        <v>1489</v>
      </c>
    </row>
    <row r="1520" spans="1:21" ht="15" customHeight="1" x14ac:dyDescent="0.3">
      <c r="A1520" t="s">
        <v>179</v>
      </c>
      <c r="B1520" t="str">
        <f>"00055164"</f>
        <v>00055164</v>
      </c>
      <c r="C1520" t="s">
        <v>4274</v>
      </c>
      <c r="D1520" t="s">
        <v>4764</v>
      </c>
      <c r="E1520" t="str">
        <f>"00045494"</f>
        <v>00045494</v>
      </c>
      <c r="F1520">
        <v>0</v>
      </c>
      <c r="G1520" s="243">
        <v>36799</v>
      </c>
      <c r="H1520" t="s">
        <v>182</v>
      </c>
      <c r="I1520">
        <v>4</v>
      </c>
      <c r="J1520">
        <v>10</v>
      </c>
      <c r="K1520">
        <v>0.875</v>
      </c>
      <c r="L1520">
        <v>28721</v>
      </c>
      <c r="M1520" t="str">
        <f t="shared" si="219"/>
        <v>13</v>
      </c>
      <c r="N1520" t="s">
        <v>3323</v>
      </c>
      <c r="O1520" t="str">
        <f t="shared" si="222"/>
        <v>55811</v>
      </c>
      <c r="P1520" t="str">
        <f>"2200L"</f>
        <v>2200L</v>
      </c>
      <c r="Q1520" t="str">
        <f t="shared" si="221"/>
        <v>0101</v>
      </c>
      <c r="R1520">
        <v>2200</v>
      </c>
      <c r="S1520" t="str">
        <f t="shared" si="223"/>
        <v>5580</v>
      </c>
      <c r="T1520" t="s">
        <v>3553</v>
      </c>
      <c r="U1520" t="s">
        <v>1489</v>
      </c>
    </row>
    <row r="1521" spans="1:21" ht="15" customHeight="1" x14ac:dyDescent="0.3">
      <c r="A1521" t="s">
        <v>179</v>
      </c>
      <c r="B1521" t="str">
        <f>"00056752"</f>
        <v>00056752</v>
      </c>
      <c r="C1521" t="s">
        <v>4288</v>
      </c>
      <c r="D1521" t="s">
        <v>4765</v>
      </c>
      <c r="E1521" t="str">
        <f>"00045413"</f>
        <v>00045413</v>
      </c>
      <c r="F1521">
        <v>0</v>
      </c>
      <c r="G1521" s="243">
        <v>38838</v>
      </c>
      <c r="H1521" t="s">
        <v>182</v>
      </c>
      <c r="I1521">
        <v>4</v>
      </c>
      <c r="J1521">
        <v>5</v>
      </c>
      <c r="K1521">
        <v>0.875</v>
      </c>
      <c r="L1521">
        <v>25239.37</v>
      </c>
      <c r="M1521" t="str">
        <f t="shared" si="219"/>
        <v>13</v>
      </c>
      <c r="N1521" t="s">
        <v>3323</v>
      </c>
      <c r="O1521" t="str">
        <f t="shared" si="222"/>
        <v>55811</v>
      </c>
      <c r="P1521" t="str">
        <f>"2100L"</f>
        <v>2100L</v>
      </c>
      <c r="Q1521" t="str">
        <f t="shared" si="221"/>
        <v>0101</v>
      </c>
      <c r="R1521">
        <v>2100</v>
      </c>
      <c r="S1521" t="str">
        <f t="shared" si="223"/>
        <v>5580</v>
      </c>
      <c r="T1521" t="s">
        <v>3553</v>
      </c>
      <c r="U1521" t="s">
        <v>1489</v>
      </c>
    </row>
    <row r="1522" spans="1:21" ht="15" customHeight="1" x14ac:dyDescent="0.3">
      <c r="A1522" t="s">
        <v>179</v>
      </c>
      <c r="B1522" t="str">
        <f>"00057247"</f>
        <v>00057247</v>
      </c>
      <c r="C1522" t="s">
        <v>4272</v>
      </c>
      <c r="D1522" t="s">
        <v>1496</v>
      </c>
      <c r="E1522" t="str">
        <f>"00053395"</f>
        <v>00053395</v>
      </c>
      <c r="F1522">
        <v>0</v>
      </c>
      <c r="G1522" s="243">
        <v>36647</v>
      </c>
      <c r="H1522" t="s">
        <v>182</v>
      </c>
      <c r="I1522">
        <v>15</v>
      </c>
      <c r="J1522">
        <v>12</v>
      </c>
      <c r="K1522">
        <v>1</v>
      </c>
      <c r="L1522">
        <v>87431</v>
      </c>
      <c r="M1522" t="str">
        <f t="shared" si="219"/>
        <v>13</v>
      </c>
      <c r="N1522" t="s">
        <v>3323</v>
      </c>
      <c r="O1522" t="str">
        <f t="shared" si="222"/>
        <v>55811</v>
      </c>
      <c r="P1522" t="str">
        <f>"2200L"</f>
        <v>2200L</v>
      </c>
      <c r="Q1522" t="str">
        <f t="shared" si="221"/>
        <v>0101</v>
      </c>
      <c r="R1522">
        <v>2200</v>
      </c>
      <c r="S1522" t="str">
        <f t="shared" si="223"/>
        <v>5580</v>
      </c>
      <c r="T1522" t="s">
        <v>3553</v>
      </c>
      <c r="U1522" t="s">
        <v>1489</v>
      </c>
    </row>
    <row r="1523" spans="1:21" ht="15" customHeight="1" x14ac:dyDescent="0.3">
      <c r="A1523" t="s">
        <v>179</v>
      </c>
      <c r="B1523" t="str">
        <f>"00057782"</f>
        <v>00057782</v>
      </c>
      <c r="C1523" t="s">
        <v>4258</v>
      </c>
      <c r="D1523" t="s">
        <v>1497</v>
      </c>
      <c r="E1523" t="str">
        <f>"00046957"</f>
        <v>00046957</v>
      </c>
      <c r="F1523">
        <v>0</v>
      </c>
      <c r="G1523" s="243">
        <v>36907</v>
      </c>
      <c r="H1523" t="s">
        <v>182</v>
      </c>
      <c r="I1523">
        <v>15</v>
      </c>
      <c r="J1523">
        <v>15</v>
      </c>
      <c r="K1523">
        <v>1</v>
      </c>
      <c r="L1523">
        <v>98285</v>
      </c>
      <c r="M1523" t="str">
        <f t="shared" si="219"/>
        <v>13</v>
      </c>
      <c r="N1523" t="s">
        <v>3323</v>
      </c>
      <c r="O1523" t="str">
        <f t="shared" si="222"/>
        <v>55811</v>
      </c>
      <c r="P1523" t="str">
        <f>"2100L"</f>
        <v>2100L</v>
      </c>
      <c r="Q1523" t="str">
        <f t="shared" si="221"/>
        <v>0101</v>
      </c>
      <c r="R1523">
        <v>2100</v>
      </c>
      <c r="S1523" t="str">
        <f t="shared" si="223"/>
        <v>5580</v>
      </c>
      <c r="T1523" t="s">
        <v>3755</v>
      </c>
      <c r="U1523" t="s">
        <v>2657</v>
      </c>
    </row>
    <row r="1524" spans="1:21" ht="15" customHeight="1" x14ac:dyDescent="0.3">
      <c r="A1524" t="s">
        <v>179</v>
      </c>
      <c r="B1524" t="str">
        <f>"00057820"</f>
        <v>00057820</v>
      </c>
      <c r="C1524" t="s">
        <v>3798</v>
      </c>
      <c r="D1524" t="s">
        <v>1498</v>
      </c>
      <c r="E1524" t="str">
        <f>"00053510"</f>
        <v>00053510</v>
      </c>
      <c r="F1524">
        <v>0</v>
      </c>
      <c r="G1524" s="243">
        <v>34578</v>
      </c>
      <c r="H1524" t="s">
        <v>182</v>
      </c>
      <c r="I1524">
        <v>62</v>
      </c>
      <c r="J1524">
        <v>7</v>
      </c>
      <c r="K1524">
        <v>1</v>
      </c>
      <c r="L1524">
        <v>131000</v>
      </c>
      <c r="M1524" t="str">
        <f t="shared" si="219"/>
        <v>13</v>
      </c>
      <c r="N1524" t="s">
        <v>3323</v>
      </c>
      <c r="O1524" t="str">
        <f t="shared" si="222"/>
        <v>55811</v>
      </c>
      <c r="P1524" t="str">
        <f>"1501L"</f>
        <v>1501L</v>
      </c>
      <c r="Q1524" t="str">
        <f t="shared" si="221"/>
        <v>0101</v>
      </c>
      <c r="R1524">
        <v>1501</v>
      </c>
      <c r="S1524" t="str">
        <f t="shared" si="223"/>
        <v>5580</v>
      </c>
      <c r="T1524" t="s">
        <v>3553</v>
      </c>
      <c r="U1524" t="s">
        <v>1489</v>
      </c>
    </row>
    <row r="1525" spans="1:21" ht="15" customHeight="1" x14ac:dyDescent="0.3">
      <c r="A1525" t="s">
        <v>179</v>
      </c>
      <c r="B1525" t="str">
        <f>"00058071"</f>
        <v>00058071</v>
      </c>
      <c r="C1525" t="s">
        <v>4253</v>
      </c>
      <c r="D1525" t="s">
        <v>3559</v>
      </c>
      <c r="E1525" t="str">
        <f>"00053017"</f>
        <v>00053017</v>
      </c>
      <c r="F1525">
        <v>0</v>
      </c>
      <c r="G1525" s="243">
        <v>40040</v>
      </c>
      <c r="H1525" t="s">
        <v>182</v>
      </c>
      <c r="I1525">
        <v>15</v>
      </c>
      <c r="J1525">
        <v>13</v>
      </c>
      <c r="K1525">
        <v>1</v>
      </c>
      <c r="L1525">
        <v>95366</v>
      </c>
      <c r="M1525" t="str">
        <f t="shared" si="219"/>
        <v>13</v>
      </c>
      <c r="N1525" t="s">
        <v>3323</v>
      </c>
      <c r="O1525" t="str">
        <f t="shared" si="222"/>
        <v>55811</v>
      </c>
      <c r="P1525" t="str">
        <f>"2100L"</f>
        <v>2100L</v>
      </c>
      <c r="Q1525" t="str">
        <f t="shared" si="221"/>
        <v>0101</v>
      </c>
      <c r="R1525">
        <v>2100</v>
      </c>
      <c r="S1525" t="str">
        <f t="shared" si="223"/>
        <v>5580</v>
      </c>
      <c r="T1525" t="s">
        <v>3553</v>
      </c>
      <c r="U1525" t="s">
        <v>1489</v>
      </c>
    </row>
    <row r="1526" spans="1:21" ht="15" customHeight="1" x14ac:dyDescent="0.3">
      <c r="A1526" t="s">
        <v>179</v>
      </c>
      <c r="B1526" t="str">
        <f>"00058110"</f>
        <v>00058110</v>
      </c>
      <c r="C1526" t="s">
        <v>4254</v>
      </c>
      <c r="H1526" t="s">
        <v>170</v>
      </c>
      <c r="I1526">
        <v>15</v>
      </c>
      <c r="J1526">
        <v>1</v>
      </c>
      <c r="K1526">
        <v>1</v>
      </c>
      <c r="L1526">
        <v>51539</v>
      </c>
      <c r="M1526" t="str">
        <f t="shared" si="219"/>
        <v>13</v>
      </c>
      <c r="N1526" t="s">
        <v>3323</v>
      </c>
      <c r="O1526" t="str">
        <f t="shared" si="222"/>
        <v>55811</v>
      </c>
      <c r="P1526" t="str">
        <f>"2100L"</f>
        <v>2100L</v>
      </c>
      <c r="Q1526" t="str">
        <f t="shared" si="221"/>
        <v>0101</v>
      </c>
      <c r="R1526">
        <v>2100</v>
      </c>
      <c r="S1526" t="str">
        <f t="shared" si="223"/>
        <v>5580</v>
      </c>
      <c r="T1526" t="s">
        <v>3553</v>
      </c>
      <c r="U1526" t="s">
        <v>1489</v>
      </c>
    </row>
    <row r="1527" spans="1:21" ht="15" customHeight="1" x14ac:dyDescent="0.3">
      <c r="A1527" t="s">
        <v>179</v>
      </c>
      <c r="B1527" t="str">
        <f>"00058115"</f>
        <v>00058115</v>
      </c>
      <c r="C1527" t="s">
        <v>4272</v>
      </c>
      <c r="D1527" t="s">
        <v>1500</v>
      </c>
      <c r="E1527" t="str">
        <f>"00049445"</f>
        <v>00049445</v>
      </c>
      <c r="F1527">
        <v>0</v>
      </c>
      <c r="G1527" s="243">
        <v>37124</v>
      </c>
      <c r="H1527" t="s">
        <v>182</v>
      </c>
      <c r="I1527">
        <v>15</v>
      </c>
      <c r="J1527">
        <v>12</v>
      </c>
      <c r="K1527">
        <v>1</v>
      </c>
      <c r="L1527">
        <v>87431</v>
      </c>
      <c r="M1527" t="str">
        <f t="shared" si="219"/>
        <v>13</v>
      </c>
      <c r="N1527" t="s">
        <v>3323</v>
      </c>
      <c r="O1527" t="str">
        <f t="shared" si="222"/>
        <v>55811</v>
      </c>
      <c r="P1527" t="str">
        <f>"2100L"</f>
        <v>2100L</v>
      </c>
      <c r="Q1527" t="str">
        <f t="shared" si="221"/>
        <v>0101</v>
      </c>
      <c r="R1527">
        <v>2100</v>
      </c>
      <c r="S1527" t="str">
        <f t="shared" si="223"/>
        <v>5580</v>
      </c>
      <c r="T1527" t="s">
        <v>3553</v>
      </c>
      <c r="U1527" t="s">
        <v>1489</v>
      </c>
    </row>
    <row r="1528" spans="1:21" ht="15" customHeight="1" x14ac:dyDescent="0.3">
      <c r="A1528" t="s">
        <v>179</v>
      </c>
      <c r="B1528" t="str">
        <f>"00059553"</f>
        <v>00059553</v>
      </c>
      <c r="C1528" t="s">
        <v>4260</v>
      </c>
      <c r="D1528" t="s">
        <v>3558</v>
      </c>
      <c r="E1528" t="str">
        <f>"00065592"</f>
        <v>00065592</v>
      </c>
      <c r="F1528">
        <v>0</v>
      </c>
      <c r="G1528" s="243">
        <v>40755</v>
      </c>
      <c r="H1528" t="s">
        <v>182</v>
      </c>
      <c r="I1528">
        <v>15</v>
      </c>
      <c r="J1528">
        <v>8</v>
      </c>
      <c r="K1528">
        <v>1</v>
      </c>
      <c r="L1528">
        <v>72171</v>
      </c>
      <c r="M1528" t="str">
        <f t="shared" si="219"/>
        <v>13</v>
      </c>
      <c r="N1528" t="s">
        <v>3323</v>
      </c>
      <c r="O1528" t="str">
        <f t="shared" si="222"/>
        <v>55811</v>
      </c>
      <c r="P1528" t="str">
        <f>"2100L"</f>
        <v>2100L</v>
      </c>
      <c r="Q1528" t="str">
        <f t="shared" si="221"/>
        <v>0101</v>
      </c>
      <c r="R1528">
        <v>2100</v>
      </c>
      <c r="S1528" t="str">
        <f t="shared" si="223"/>
        <v>5580</v>
      </c>
      <c r="T1528" t="s">
        <v>3553</v>
      </c>
      <c r="U1528" t="s">
        <v>1489</v>
      </c>
    </row>
    <row r="1529" spans="1:21" ht="15" customHeight="1" x14ac:dyDescent="0.3">
      <c r="A1529" t="s">
        <v>179</v>
      </c>
      <c r="B1529" t="str">
        <f>"00059769"</f>
        <v>00059769</v>
      </c>
      <c r="C1529" t="s">
        <v>4253</v>
      </c>
      <c r="D1529" t="s">
        <v>3556</v>
      </c>
      <c r="E1529" t="str">
        <f>"00066985"</f>
        <v>00066985</v>
      </c>
      <c r="F1529">
        <v>0</v>
      </c>
      <c r="G1529" s="243">
        <v>40833</v>
      </c>
      <c r="H1529" t="s">
        <v>182</v>
      </c>
      <c r="I1529">
        <v>15</v>
      </c>
      <c r="J1529">
        <v>1</v>
      </c>
      <c r="K1529">
        <v>1</v>
      </c>
      <c r="L1529">
        <v>51539</v>
      </c>
      <c r="M1529" t="str">
        <f t="shared" si="219"/>
        <v>13</v>
      </c>
      <c r="N1529" t="s">
        <v>3323</v>
      </c>
      <c r="O1529" t="str">
        <f t="shared" si="222"/>
        <v>55811</v>
      </c>
      <c r="P1529" t="str">
        <f>"2100L"</f>
        <v>2100L</v>
      </c>
      <c r="Q1529" t="str">
        <f t="shared" si="221"/>
        <v>0101</v>
      </c>
      <c r="R1529">
        <v>2100</v>
      </c>
      <c r="S1529" t="str">
        <f t="shared" si="223"/>
        <v>5580</v>
      </c>
      <c r="T1529" t="s">
        <v>3553</v>
      </c>
      <c r="U1529" t="s">
        <v>1489</v>
      </c>
    </row>
    <row r="1530" spans="1:21" ht="15" customHeight="1" x14ac:dyDescent="0.3">
      <c r="A1530" t="s">
        <v>179</v>
      </c>
      <c r="B1530" t="str">
        <f>"00059933"</f>
        <v>00059933</v>
      </c>
      <c r="C1530" t="s">
        <v>4274</v>
      </c>
      <c r="D1530" t="s">
        <v>4766</v>
      </c>
      <c r="E1530" t="str">
        <f>"00053827"</f>
        <v>00053827</v>
      </c>
      <c r="F1530">
        <v>0</v>
      </c>
      <c r="G1530" s="243">
        <v>38257</v>
      </c>
      <c r="H1530" t="s">
        <v>182</v>
      </c>
      <c r="I1530">
        <v>4</v>
      </c>
      <c r="J1530">
        <v>10</v>
      </c>
      <c r="K1530">
        <v>0.875</v>
      </c>
      <c r="L1530">
        <v>28721</v>
      </c>
      <c r="M1530" t="str">
        <f t="shared" si="219"/>
        <v>13</v>
      </c>
      <c r="N1530" t="s">
        <v>3323</v>
      </c>
      <c r="O1530" t="str">
        <f t="shared" si="222"/>
        <v>55811</v>
      </c>
      <c r="P1530" t="str">
        <f>"2200L"</f>
        <v>2200L</v>
      </c>
      <c r="Q1530" t="str">
        <f t="shared" si="221"/>
        <v>0101</v>
      </c>
      <c r="R1530">
        <v>2200</v>
      </c>
      <c r="S1530" t="str">
        <f t="shared" si="223"/>
        <v>5580</v>
      </c>
      <c r="T1530" t="s">
        <v>3553</v>
      </c>
      <c r="U1530" t="s">
        <v>1489</v>
      </c>
    </row>
    <row r="1531" spans="1:21" ht="15" customHeight="1" x14ac:dyDescent="0.3">
      <c r="A1531" t="s">
        <v>179</v>
      </c>
      <c r="B1531" t="str">
        <f>"00059959"</f>
        <v>00059959</v>
      </c>
      <c r="C1531" t="s">
        <v>4260</v>
      </c>
      <c r="D1531" t="s">
        <v>1502</v>
      </c>
      <c r="E1531" t="str">
        <f>"00053551"</f>
        <v>00053551</v>
      </c>
      <c r="F1531">
        <v>0</v>
      </c>
      <c r="G1531" s="243">
        <v>36244</v>
      </c>
      <c r="H1531" t="s">
        <v>182</v>
      </c>
      <c r="I1531">
        <v>15</v>
      </c>
      <c r="J1531">
        <v>7</v>
      </c>
      <c r="K1531">
        <v>1</v>
      </c>
      <c r="L1531">
        <v>69132</v>
      </c>
      <c r="M1531" t="str">
        <f t="shared" si="219"/>
        <v>13</v>
      </c>
      <c r="N1531" t="s">
        <v>3323</v>
      </c>
      <c r="O1531" t="str">
        <f t="shared" si="222"/>
        <v>55811</v>
      </c>
      <c r="P1531" t="str">
        <f>"2100L"</f>
        <v>2100L</v>
      </c>
      <c r="Q1531" t="str">
        <f t="shared" si="221"/>
        <v>0101</v>
      </c>
      <c r="R1531">
        <v>2100</v>
      </c>
      <c r="S1531" t="str">
        <f t="shared" si="223"/>
        <v>5580</v>
      </c>
      <c r="T1531" t="s">
        <v>3553</v>
      </c>
      <c r="U1531" t="s">
        <v>1489</v>
      </c>
    </row>
    <row r="1532" spans="1:21" ht="15" customHeight="1" x14ac:dyDescent="0.3">
      <c r="A1532" t="s">
        <v>179</v>
      </c>
      <c r="B1532" t="str">
        <f>"00060963"</f>
        <v>00060963</v>
      </c>
      <c r="C1532" t="s">
        <v>4260</v>
      </c>
      <c r="D1532" t="s">
        <v>4767</v>
      </c>
      <c r="E1532" t="str">
        <f>"00069700"</f>
        <v>00069700</v>
      </c>
      <c r="F1532">
        <v>0</v>
      </c>
      <c r="G1532" s="243">
        <v>41133</v>
      </c>
      <c r="H1532" t="s">
        <v>182</v>
      </c>
      <c r="I1532">
        <v>15</v>
      </c>
      <c r="J1532">
        <v>1</v>
      </c>
      <c r="K1532">
        <v>1</v>
      </c>
      <c r="L1532">
        <v>51539</v>
      </c>
      <c r="M1532" t="str">
        <f t="shared" si="219"/>
        <v>13</v>
      </c>
      <c r="N1532" t="s">
        <v>3370</v>
      </c>
      <c r="O1532" t="str">
        <f t="shared" si="222"/>
        <v>55811</v>
      </c>
      <c r="P1532" t="str">
        <f>"2100L"</f>
        <v>2100L</v>
      </c>
      <c r="Q1532" t="str">
        <f t="shared" si="221"/>
        <v>0101</v>
      </c>
      <c r="R1532">
        <v>2100</v>
      </c>
      <c r="S1532" t="str">
        <f t="shared" si="223"/>
        <v>5580</v>
      </c>
      <c r="T1532" t="s">
        <v>3553</v>
      </c>
      <c r="U1532" t="s">
        <v>1489</v>
      </c>
    </row>
    <row r="1533" spans="1:21" ht="15" customHeight="1" x14ac:dyDescent="0.3">
      <c r="A1533" t="s">
        <v>179</v>
      </c>
      <c r="B1533" t="str">
        <f>"00061173"</f>
        <v>00061173</v>
      </c>
      <c r="C1533" t="s">
        <v>4262</v>
      </c>
      <c r="D1533" t="s">
        <v>3555</v>
      </c>
      <c r="E1533" t="str">
        <f>"00057787"</f>
        <v>00057787</v>
      </c>
      <c r="F1533">
        <v>0</v>
      </c>
      <c r="G1533" s="243">
        <v>40798</v>
      </c>
      <c r="H1533" t="s">
        <v>182</v>
      </c>
      <c r="I1533">
        <v>15</v>
      </c>
      <c r="J1533">
        <v>6</v>
      </c>
      <c r="K1533">
        <v>1</v>
      </c>
      <c r="L1533">
        <v>66078</v>
      </c>
      <c r="M1533" t="str">
        <f t="shared" si="219"/>
        <v>13</v>
      </c>
      <c r="N1533" t="s">
        <v>3323</v>
      </c>
      <c r="O1533" t="str">
        <f t="shared" si="222"/>
        <v>55811</v>
      </c>
      <c r="P1533" t="str">
        <f>"2100L"</f>
        <v>2100L</v>
      </c>
      <c r="Q1533" t="str">
        <f t="shared" si="221"/>
        <v>0101</v>
      </c>
      <c r="R1533">
        <v>2100</v>
      </c>
      <c r="S1533" t="str">
        <f t="shared" si="223"/>
        <v>5580</v>
      </c>
      <c r="T1533" t="s">
        <v>3553</v>
      </c>
      <c r="U1533" t="s">
        <v>1489</v>
      </c>
    </row>
    <row r="1534" spans="1:21" ht="15" customHeight="1" x14ac:dyDescent="0.3">
      <c r="A1534" t="s">
        <v>179</v>
      </c>
      <c r="B1534" t="str">
        <f>"00061873"</f>
        <v>00061873</v>
      </c>
      <c r="C1534" t="s">
        <v>3670</v>
      </c>
      <c r="H1534" t="s">
        <v>170</v>
      </c>
      <c r="I1534">
        <v>8</v>
      </c>
      <c r="J1534">
        <v>1</v>
      </c>
      <c r="K1534">
        <v>1</v>
      </c>
      <c r="L1534">
        <v>82397</v>
      </c>
      <c r="M1534" t="str">
        <f t="shared" si="219"/>
        <v>13</v>
      </c>
      <c r="N1534" t="s">
        <v>3323</v>
      </c>
      <c r="O1534" t="str">
        <f t="shared" si="222"/>
        <v>55811</v>
      </c>
      <c r="P1534" t="str">
        <f>"1501L"</f>
        <v>1501L</v>
      </c>
      <c r="Q1534" t="str">
        <f t="shared" si="221"/>
        <v>0101</v>
      </c>
      <c r="R1534">
        <v>1501</v>
      </c>
      <c r="S1534" t="str">
        <f t="shared" si="223"/>
        <v>5580</v>
      </c>
      <c r="T1534" t="s">
        <v>3553</v>
      </c>
      <c r="U1534" t="s">
        <v>1489</v>
      </c>
    </row>
    <row r="1535" spans="1:21" ht="15" customHeight="1" x14ac:dyDescent="0.3">
      <c r="A1535" t="s">
        <v>179</v>
      </c>
      <c r="B1535" t="str">
        <f>"00061984"</f>
        <v>00061984</v>
      </c>
      <c r="C1535" t="s">
        <v>200</v>
      </c>
      <c r="D1535" t="s">
        <v>1504</v>
      </c>
      <c r="E1535" t="str">
        <f>"00030599"</f>
        <v>00030599</v>
      </c>
      <c r="F1535">
        <v>1</v>
      </c>
      <c r="G1535" s="243">
        <v>39691</v>
      </c>
      <c r="H1535" t="s">
        <v>182</v>
      </c>
      <c r="I1535">
        <v>15</v>
      </c>
      <c r="J1535">
        <v>12</v>
      </c>
      <c r="K1535">
        <v>1</v>
      </c>
      <c r="L1535">
        <v>87431</v>
      </c>
      <c r="M1535" t="str">
        <f t="shared" si="219"/>
        <v>13</v>
      </c>
      <c r="N1535" t="s">
        <v>3323</v>
      </c>
      <c r="O1535" t="str">
        <f t="shared" si="222"/>
        <v>55811</v>
      </c>
      <c r="P1535" t="str">
        <f>"3030L"</f>
        <v>3030L</v>
      </c>
      <c r="Q1535" t="str">
        <f t="shared" si="221"/>
        <v>0101</v>
      </c>
      <c r="R1535">
        <v>3030</v>
      </c>
      <c r="S1535" t="str">
        <f t="shared" si="223"/>
        <v>5580</v>
      </c>
      <c r="T1535" t="s">
        <v>3553</v>
      </c>
      <c r="U1535" t="s">
        <v>1489</v>
      </c>
    </row>
    <row r="1536" spans="1:21" ht="15" customHeight="1" x14ac:dyDescent="0.3">
      <c r="A1536" t="s">
        <v>179</v>
      </c>
      <c r="B1536" t="str">
        <f>"00065857"</f>
        <v>00065857</v>
      </c>
      <c r="C1536" t="s">
        <v>4253</v>
      </c>
      <c r="D1536" t="s">
        <v>4768</v>
      </c>
      <c r="E1536" t="str">
        <f>"00069826"</f>
        <v>00069826</v>
      </c>
      <c r="F1536">
        <v>0</v>
      </c>
      <c r="G1536" s="243">
        <v>41133</v>
      </c>
      <c r="H1536" t="s">
        <v>182</v>
      </c>
      <c r="I1536">
        <v>15</v>
      </c>
      <c r="J1536">
        <v>4</v>
      </c>
      <c r="K1536">
        <v>1</v>
      </c>
      <c r="L1536">
        <v>54725</v>
      </c>
      <c r="M1536" t="str">
        <f t="shared" si="219"/>
        <v>13</v>
      </c>
      <c r="N1536" t="s">
        <v>3370</v>
      </c>
      <c r="O1536" t="str">
        <f t="shared" ref="O1536:O1555" si="225">"55811"</f>
        <v>55811</v>
      </c>
      <c r="P1536" t="str">
        <f>"2100L"</f>
        <v>2100L</v>
      </c>
      <c r="Q1536" t="str">
        <f t="shared" si="221"/>
        <v>0101</v>
      </c>
      <c r="R1536">
        <v>2100</v>
      </c>
      <c r="S1536" t="str">
        <f t="shared" ref="S1536:S1555" si="226">"5580"</f>
        <v>5580</v>
      </c>
      <c r="T1536" t="s">
        <v>3553</v>
      </c>
      <c r="U1536" t="s">
        <v>1489</v>
      </c>
    </row>
    <row r="1537" spans="1:21" ht="15" customHeight="1" x14ac:dyDescent="0.3">
      <c r="A1537" t="s">
        <v>179</v>
      </c>
      <c r="B1537" t="str">
        <f>"00066231"</f>
        <v>00066231</v>
      </c>
      <c r="C1537" t="s">
        <v>4410</v>
      </c>
      <c r="D1537" t="s">
        <v>4769</v>
      </c>
      <c r="E1537" t="str">
        <f>"00066396"</f>
        <v>00066396</v>
      </c>
      <c r="F1537">
        <v>0</v>
      </c>
      <c r="G1537" s="243">
        <v>40770</v>
      </c>
      <c r="H1537" t="s">
        <v>182</v>
      </c>
      <c r="I1537">
        <v>5</v>
      </c>
      <c r="J1537">
        <v>6</v>
      </c>
      <c r="K1537">
        <v>1</v>
      </c>
      <c r="L1537">
        <v>32965</v>
      </c>
      <c r="M1537" t="str">
        <f t="shared" si="219"/>
        <v>13</v>
      </c>
      <c r="N1537" t="s">
        <v>3323</v>
      </c>
      <c r="O1537" t="str">
        <f t="shared" si="225"/>
        <v>55811</v>
      </c>
      <c r="P1537" t="str">
        <f>"2100L"</f>
        <v>2100L</v>
      </c>
      <c r="Q1537" t="str">
        <f t="shared" si="221"/>
        <v>0101</v>
      </c>
      <c r="R1537">
        <v>2100</v>
      </c>
      <c r="S1537" t="str">
        <f t="shared" si="226"/>
        <v>5580</v>
      </c>
      <c r="T1537" t="s">
        <v>3553</v>
      </c>
      <c r="U1537" t="s">
        <v>1489</v>
      </c>
    </row>
    <row r="1538" spans="1:21" ht="15" customHeight="1" x14ac:dyDescent="0.3">
      <c r="A1538" t="s">
        <v>179</v>
      </c>
      <c r="B1538" t="str">
        <f>"00066891"</f>
        <v>00066891</v>
      </c>
      <c r="C1538" t="s">
        <v>4253</v>
      </c>
      <c r="D1538" t="s">
        <v>3557</v>
      </c>
      <c r="E1538" t="str">
        <f>"00065937"</f>
        <v>00065937</v>
      </c>
      <c r="F1538">
        <v>0</v>
      </c>
      <c r="G1538" s="243">
        <v>40755</v>
      </c>
      <c r="H1538" t="s">
        <v>182</v>
      </c>
      <c r="I1538">
        <v>15</v>
      </c>
      <c r="J1538">
        <v>1</v>
      </c>
      <c r="K1538">
        <v>1</v>
      </c>
      <c r="L1538">
        <v>54975</v>
      </c>
      <c r="M1538" t="str">
        <f t="shared" si="219"/>
        <v>13</v>
      </c>
      <c r="N1538" t="s">
        <v>3323</v>
      </c>
      <c r="O1538" t="str">
        <f t="shared" si="225"/>
        <v>55811</v>
      </c>
      <c r="P1538" t="str">
        <f>"2100L"</f>
        <v>2100L</v>
      </c>
      <c r="Q1538" t="str">
        <f t="shared" si="221"/>
        <v>0101</v>
      </c>
      <c r="R1538">
        <v>2100</v>
      </c>
      <c r="S1538" t="str">
        <f t="shared" si="226"/>
        <v>5580</v>
      </c>
      <c r="T1538" t="s">
        <v>3553</v>
      </c>
      <c r="U1538" t="s">
        <v>1489</v>
      </c>
    </row>
    <row r="1539" spans="1:21" ht="15" customHeight="1" x14ac:dyDescent="0.3">
      <c r="A1539" t="s">
        <v>179</v>
      </c>
      <c r="B1539" t="str">
        <f>"00072528"</f>
        <v>00072528</v>
      </c>
      <c r="C1539" t="s">
        <v>4770</v>
      </c>
      <c r="H1539" t="s">
        <v>170</v>
      </c>
      <c r="I1539">
        <v>9</v>
      </c>
      <c r="J1539">
        <v>1</v>
      </c>
      <c r="K1539">
        <v>0.5</v>
      </c>
      <c r="L1539">
        <v>33163</v>
      </c>
      <c r="M1539" t="str">
        <f t="shared" si="219"/>
        <v>13</v>
      </c>
      <c r="N1539" t="s">
        <v>3323</v>
      </c>
      <c r="O1539" t="str">
        <f t="shared" si="225"/>
        <v>55811</v>
      </c>
      <c r="P1539" t="str">
        <f>"5920L"</f>
        <v>5920L</v>
      </c>
      <c r="Q1539" t="str">
        <f t="shared" si="221"/>
        <v>0101</v>
      </c>
      <c r="R1539">
        <v>5920</v>
      </c>
      <c r="S1539" t="str">
        <f t="shared" si="226"/>
        <v>5580</v>
      </c>
      <c r="T1539" t="s">
        <v>3553</v>
      </c>
      <c r="U1539" t="s">
        <v>1489</v>
      </c>
    </row>
    <row r="1540" spans="1:21" ht="15" customHeight="1" x14ac:dyDescent="0.3">
      <c r="A1540" t="s">
        <v>179</v>
      </c>
      <c r="B1540" t="str">
        <f>"00073819"</f>
        <v>00073819</v>
      </c>
      <c r="C1540" t="s">
        <v>4437</v>
      </c>
      <c r="D1540" t="s">
        <v>547</v>
      </c>
      <c r="E1540" t="str">
        <f>"00062869"</f>
        <v>00062869</v>
      </c>
      <c r="F1540">
        <v>0</v>
      </c>
      <c r="G1540" s="243">
        <v>40406</v>
      </c>
      <c r="H1540" t="s">
        <v>182</v>
      </c>
      <c r="I1540">
        <v>15</v>
      </c>
      <c r="J1540">
        <v>7</v>
      </c>
      <c r="K1540">
        <v>0.5</v>
      </c>
      <c r="L1540">
        <v>61068</v>
      </c>
      <c r="M1540" t="str">
        <f t="shared" si="219"/>
        <v>13</v>
      </c>
      <c r="N1540" t="s">
        <v>3323</v>
      </c>
      <c r="O1540" t="str">
        <f t="shared" si="225"/>
        <v>55811</v>
      </c>
      <c r="P1540" t="str">
        <f>"2100L"</f>
        <v>2100L</v>
      </c>
      <c r="Q1540" t="str">
        <f t="shared" si="221"/>
        <v>0101</v>
      </c>
      <c r="R1540">
        <v>2100</v>
      </c>
      <c r="S1540" t="str">
        <f t="shared" si="226"/>
        <v>5580</v>
      </c>
      <c r="T1540" t="s">
        <v>3395</v>
      </c>
      <c r="U1540" t="s">
        <v>522</v>
      </c>
    </row>
    <row r="1541" spans="1:21" ht="15" customHeight="1" x14ac:dyDescent="0.3">
      <c r="A1541" t="s">
        <v>179</v>
      </c>
      <c r="B1541" t="str">
        <f>"00074224"</f>
        <v>00074224</v>
      </c>
      <c r="C1541" t="s">
        <v>4253</v>
      </c>
      <c r="D1541" t="s">
        <v>1408</v>
      </c>
      <c r="E1541" t="str">
        <f>"00063107"</f>
        <v>00063107</v>
      </c>
      <c r="F1541">
        <v>0</v>
      </c>
      <c r="G1541" s="243">
        <v>40406</v>
      </c>
      <c r="H1541" t="s">
        <v>182</v>
      </c>
      <c r="I1541">
        <v>15</v>
      </c>
      <c r="J1541">
        <v>3</v>
      </c>
      <c r="K1541">
        <v>1</v>
      </c>
      <c r="L1541">
        <v>52777</v>
      </c>
      <c r="M1541" t="str">
        <f t="shared" si="219"/>
        <v>13</v>
      </c>
      <c r="N1541" t="s">
        <v>3323</v>
      </c>
      <c r="O1541" t="str">
        <f t="shared" si="225"/>
        <v>55811</v>
      </c>
      <c r="P1541" t="str">
        <f>"2100L"</f>
        <v>2100L</v>
      </c>
      <c r="Q1541" t="str">
        <f t="shared" si="221"/>
        <v>0101</v>
      </c>
      <c r="R1541">
        <v>2100</v>
      </c>
      <c r="S1541" t="str">
        <f t="shared" si="226"/>
        <v>5580</v>
      </c>
      <c r="T1541" t="s">
        <v>3553</v>
      </c>
      <c r="U1541" t="s">
        <v>1489</v>
      </c>
    </row>
    <row r="1542" spans="1:21" ht="15" customHeight="1" x14ac:dyDescent="0.3">
      <c r="A1542" t="s">
        <v>179</v>
      </c>
      <c r="B1542" t="str">
        <f>"00074225"</f>
        <v>00074225</v>
      </c>
      <c r="C1542" t="s">
        <v>4574</v>
      </c>
      <c r="D1542" t="s">
        <v>823</v>
      </c>
      <c r="E1542" t="str">
        <f>"00063130"</f>
        <v>00063130</v>
      </c>
      <c r="F1542">
        <v>0</v>
      </c>
      <c r="G1542" s="243">
        <v>40408</v>
      </c>
      <c r="H1542" t="s">
        <v>182</v>
      </c>
      <c r="I1542">
        <v>15</v>
      </c>
      <c r="J1542">
        <v>12</v>
      </c>
      <c r="K1542">
        <v>0.5</v>
      </c>
      <c r="L1542">
        <v>87431</v>
      </c>
      <c r="M1542" t="str">
        <f t="shared" si="219"/>
        <v>13</v>
      </c>
      <c r="N1542" t="s">
        <v>3323</v>
      </c>
      <c r="O1542" t="str">
        <f t="shared" si="225"/>
        <v>55811</v>
      </c>
      <c r="P1542" t="str">
        <f>"2100L"</f>
        <v>2100L</v>
      </c>
      <c r="Q1542" t="str">
        <f t="shared" si="221"/>
        <v>0101</v>
      </c>
      <c r="R1542">
        <v>2100</v>
      </c>
      <c r="S1542" t="str">
        <f t="shared" si="226"/>
        <v>5580</v>
      </c>
      <c r="T1542" t="s">
        <v>3553</v>
      </c>
      <c r="U1542" t="s">
        <v>1489</v>
      </c>
    </row>
    <row r="1543" spans="1:21" ht="15" customHeight="1" x14ac:dyDescent="0.3">
      <c r="A1543" t="s">
        <v>179</v>
      </c>
      <c r="B1543" t="str">
        <f>"00076155"</f>
        <v>00076155</v>
      </c>
      <c r="C1543" t="s">
        <v>4306</v>
      </c>
      <c r="D1543" t="s">
        <v>4771</v>
      </c>
      <c r="E1543" t="str">
        <f>"00053325"</f>
        <v>00053325</v>
      </c>
      <c r="F1543">
        <v>0</v>
      </c>
      <c r="G1543" s="243">
        <v>38587</v>
      </c>
      <c r="H1543" t="s">
        <v>182</v>
      </c>
      <c r="I1543">
        <v>9</v>
      </c>
      <c r="J1543">
        <v>8</v>
      </c>
      <c r="K1543">
        <v>1</v>
      </c>
      <c r="L1543">
        <v>40604</v>
      </c>
      <c r="M1543" t="str">
        <f t="shared" si="219"/>
        <v>13</v>
      </c>
      <c r="N1543" t="s">
        <v>3323</v>
      </c>
      <c r="O1543" t="str">
        <f t="shared" si="225"/>
        <v>55811</v>
      </c>
      <c r="P1543" t="str">
        <f>"1502L"</f>
        <v>1502L</v>
      </c>
      <c r="Q1543" t="str">
        <f t="shared" si="221"/>
        <v>0101</v>
      </c>
      <c r="R1543">
        <v>1502</v>
      </c>
      <c r="S1543" t="str">
        <f t="shared" si="226"/>
        <v>5580</v>
      </c>
      <c r="T1543" t="s">
        <v>3553</v>
      </c>
      <c r="U1543" t="s">
        <v>1489</v>
      </c>
    </row>
    <row r="1544" spans="1:21" ht="15" customHeight="1" x14ac:dyDescent="0.3">
      <c r="A1544" t="s">
        <v>179</v>
      </c>
      <c r="B1544" t="str">
        <f>"00076156"</f>
        <v>00076156</v>
      </c>
      <c r="C1544" t="s">
        <v>4271</v>
      </c>
      <c r="H1544" t="s">
        <v>170</v>
      </c>
      <c r="I1544">
        <v>15</v>
      </c>
      <c r="J1544">
        <v>0</v>
      </c>
      <c r="K1544">
        <v>0.5</v>
      </c>
      <c r="L1544">
        <v>60128</v>
      </c>
      <c r="M1544" t="str">
        <f t="shared" si="219"/>
        <v>13</v>
      </c>
      <c r="N1544" t="s">
        <v>3323</v>
      </c>
      <c r="O1544" t="str">
        <f t="shared" si="225"/>
        <v>55811</v>
      </c>
      <c r="P1544" t="str">
        <f t="shared" ref="P1544:P1551" si="227">"2100L"</f>
        <v>2100L</v>
      </c>
      <c r="Q1544" t="str">
        <f t="shared" si="221"/>
        <v>0101</v>
      </c>
      <c r="R1544">
        <v>2100</v>
      </c>
      <c r="S1544" t="str">
        <f t="shared" si="226"/>
        <v>5580</v>
      </c>
      <c r="T1544" t="s">
        <v>3553</v>
      </c>
      <c r="U1544" t="s">
        <v>1489</v>
      </c>
    </row>
    <row r="1545" spans="1:21" ht="15" customHeight="1" x14ac:dyDescent="0.3">
      <c r="A1545" t="s">
        <v>179</v>
      </c>
      <c r="B1545" t="str">
        <f>"00076157"</f>
        <v>00076157</v>
      </c>
      <c r="C1545" t="s">
        <v>4410</v>
      </c>
      <c r="D1545" t="s">
        <v>3524</v>
      </c>
      <c r="E1545" t="str">
        <f>"00047486"</f>
        <v>00047486</v>
      </c>
      <c r="F1545">
        <v>0</v>
      </c>
      <c r="G1545" s="243">
        <v>40770</v>
      </c>
      <c r="H1545" t="s">
        <v>182</v>
      </c>
      <c r="I1545">
        <v>5</v>
      </c>
      <c r="J1545">
        <v>8</v>
      </c>
      <c r="K1545">
        <v>1</v>
      </c>
      <c r="L1545">
        <v>34758</v>
      </c>
      <c r="M1545" t="str">
        <f t="shared" si="219"/>
        <v>13</v>
      </c>
      <c r="N1545" t="s">
        <v>3323</v>
      </c>
      <c r="O1545" t="str">
        <f t="shared" si="225"/>
        <v>55811</v>
      </c>
      <c r="P1545" t="str">
        <f t="shared" si="227"/>
        <v>2100L</v>
      </c>
      <c r="Q1545" t="str">
        <f t="shared" si="221"/>
        <v>0101</v>
      </c>
      <c r="R1545">
        <v>2100</v>
      </c>
      <c r="S1545" t="str">
        <f t="shared" si="226"/>
        <v>5580</v>
      </c>
      <c r="T1545" t="s">
        <v>3553</v>
      </c>
      <c r="U1545" t="s">
        <v>1489</v>
      </c>
    </row>
    <row r="1546" spans="1:21" ht="15" customHeight="1" x14ac:dyDescent="0.3">
      <c r="A1546" t="s">
        <v>179</v>
      </c>
      <c r="B1546" t="str">
        <f>"00076158"</f>
        <v>00076158</v>
      </c>
      <c r="C1546" t="s">
        <v>4262</v>
      </c>
      <c r="H1546" t="s">
        <v>170</v>
      </c>
      <c r="I1546">
        <v>15</v>
      </c>
      <c r="J1546">
        <v>0</v>
      </c>
      <c r="K1546">
        <v>0.5</v>
      </c>
      <c r="L1546">
        <v>54975</v>
      </c>
      <c r="M1546" t="str">
        <f t="shared" si="219"/>
        <v>13</v>
      </c>
      <c r="N1546" t="s">
        <v>3323</v>
      </c>
      <c r="O1546" t="str">
        <f t="shared" si="225"/>
        <v>55811</v>
      </c>
      <c r="P1546" t="str">
        <f t="shared" si="227"/>
        <v>2100L</v>
      </c>
      <c r="Q1546" t="str">
        <f t="shared" si="221"/>
        <v>0101</v>
      </c>
      <c r="R1546">
        <v>2100</v>
      </c>
      <c r="S1546" t="str">
        <f t="shared" si="226"/>
        <v>5580</v>
      </c>
      <c r="T1546" t="s">
        <v>3553</v>
      </c>
      <c r="U1546" t="s">
        <v>1489</v>
      </c>
    </row>
    <row r="1547" spans="1:21" ht="15" customHeight="1" x14ac:dyDescent="0.3">
      <c r="A1547" t="s">
        <v>179</v>
      </c>
      <c r="B1547" t="str">
        <f>"00076159"</f>
        <v>00076159</v>
      </c>
      <c r="C1547" t="s">
        <v>4270</v>
      </c>
      <c r="D1547" t="s">
        <v>280</v>
      </c>
      <c r="E1547" t="str">
        <f>"00059988"</f>
        <v>00059988</v>
      </c>
      <c r="F1547">
        <v>0</v>
      </c>
      <c r="G1547" s="243">
        <v>41133</v>
      </c>
      <c r="H1547" t="s">
        <v>182</v>
      </c>
      <c r="I1547">
        <v>15</v>
      </c>
      <c r="J1547">
        <v>10</v>
      </c>
      <c r="K1547">
        <v>0.5</v>
      </c>
      <c r="L1547">
        <v>83199</v>
      </c>
      <c r="M1547" t="str">
        <f t="shared" si="219"/>
        <v>13</v>
      </c>
      <c r="N1547" t="s">
        <v>3370</v>
      </c>
      <c r="O1547" t="str">
        <f t="shared" si="225"/>
        <v>55811</v>
      </c>
      <c r="P1547" t="str">
        <f t="shared" si="227"/>
        <v>2100L</v>
      </c>
      <c r="Q1547" t="str">
        <f t="shared" si="221"/>
        <v>0101</v>
      </c>
      <c r="R1547">
        <v>2100</v>
      </c>
      <c r="S1547" t="str">
        <f t="shared" si="226"/>
        <v>5580</v>
      </c>
      <c r="T1547" t="s">
        <v>3553</v>
      </c>
      <c r="U1547" t="s">
        <v>1489</v>
      </c>
    </row>
    <row r="1548" spans="1:21" ht="15" customHeight="1" x14ac:dyDescent="0.3">
      <c r="A1548" t="s">
        <v>179</v>
      </c>
      <c r="B1548" t="str">
        <f>"00076160"</f>
        <v>00076160</v>
      </c>
      <c r="C1548" t="s">
        <v>4270</v>
      </c>
      <c r="H1548" t="s">
        <v>170</v>
      </c>
      <c r="I1548">
        <v>15</v>
      </c>
      <c r="J1548">
        <v>0</v>
      </c>
      <c r="K1548">
        <v>0.5</v>
      </c>
      <c r="L1548">
        <v>54975</v>
      </c>
      <c r="M1548" t="str">
        <f t="shared" si="219"/>
        <v>13</v>
      </c>
      <c r="N1548" t="s">
        <v>3370</v>
      </c>
      <c r="O1548" t="str">
        <f t="shared" si="225"/>
        <v>55811</v>
      </c>
      <c r="P1548" t="str">
        <f t="shared" si="227"/>
        <v>2100L</v>
      </c>
      <c r="Q1548" t="str">
        <f t="shared" si="221"/>
        <v>0101</v>
      </c>
      <c r="R1548">
        <v>2100</v>
      </c>
      <c r="S1548" t="str">
        <f t="shared" si="226"/>
        <v>5580</v>
      </c>
      <c r="T1548" t="s">
        <v>3553</v>
      </c>
      <c r="U1548" t="s">
        <v>1489</v>
      </c>
    </row>
    <row r="1549" spans="1:21" ht="15" customHeight="1" x14ac:dyDescent="0.3">
      <c r="A1549" t="s">
        <v>179</v>
      </c>
      <c r="B1549" t="str">
        <f>"00076161"</f>
        <v>00076161</v>
      </c>
      <c r="C1549" t="s">
        <v>4270</v>
      </c>
      <c r="D1549" t="s">
        <v>4772</v>
      </c>
      <c r="E1549" t="str">
        <f>"00069648"</f>
        <v>00069648</v>
      </c>
      <c r="F1549">
        <v>0</v>
      </c>
      <c r="G1549" s="243">
        <v>41133</v>
      </c>
      <c r="H1549" t="s">
        <v>182</v>
      </c>
      <c r="I1549">
        <v>15</v>
      </c>
      <c r="J1549">
        <v>1</v>
      </c>
      <c r="K1549">
        <v>0.5</v>
      </c>
      <c r="L1549">
        <v>25769.5</v>
      </c>
      <c r="M1549" t="str">
        <f t="shared" si="219"/>
        <v>13</v>
      </c>
      <c r="N1549" t="s">
        <v>3370</v>
      </c>
      <c r="O1549" t="str">
        <f t="shared" si="225"/>
        <v>55811</v>
      </c>
      <c r="P1549" t="str">
        <f t="shared" si="227"/>
        <v>2100L</v>
      </c>
      <c r="Q1549" t="str">
        <f t="shared" si="221"/>
        <v>0101</v>
      </c>
      <c r="R1549">
        <v>2100</v>
      </c>
      <c r="S1549" t="str">
        <f t="shared" si="226"/>
        <v>5580</v>
      </c>
      <c r="T1549" t="s">
        <v>3553</v>
      </c>
      <c r="U1549" t="s">
        <v>1489</v>
      </c>
    </row>
    <row r="1550" spans="1:21" ht="15" customHeight="1" x14ac:dyDescent="0.3">
      <c r="A1550" t="s">
        <v>179</v>
      </c>
      <c r="B1550" t="str">
        <f>"00076162"</f>
        <v>00076162</v>
      </c>
      <c r="C1550" t="s">
        <v>4296</v>
      </c>
      <c r="D1550" t="s">
        <v>4773</v>
      </c>
      <c r="E1550" t="str">
        <f>"00069840"</f>
        <v>00069840</v>
      </c>
      <c r="F1550">
        <v>0</v>
      </c>
      <c r="G1550" s="243">
        <v>41133</v>
      </c>
      <c r="H1550" t="s">
        <v>182</v>
      </c>
      <c r="I1550">
        <v>15</v>
      </c>
      <c r="J1550">
        <v>7</v>
      </c>
      <c r="K1550">
        <v>0.5</v>
      </c>
      <c r="L1550">
        <v>34566</v>
      </c>
      <c r="M1550" t="str">
        <f t="shared" si="219"/>
        <v>13</v>
      </c>
      <c r="N1550" t="s">
        <v>3370</v>
      </c>
      <c r="O1550" t="str">
        <f t="shared" si="225"/>
        <v>55811</v>
      </c>
      <c r="P1550" t="str">
        <f t="shared" si="227"/>
        <v>2100L</v>
      </c>
      <c r="Q1550" t="str">
        <f t="shared" si="221"/>
        <v>0101</v>
      </c>
      <c r="R1550">
        <v>2100</v>
      </c>
      <c r="S1550" t="str">
        <f t="shared" si="226"/>
        <v>5580</v>
      </c>
      <c r="T1550" t="s">
        <v>3553</v>
      </c>
      <c r="U1550" t="s">
        <v>1489</v>
      </c>
    </row>
    <row r="1551" spans="1:21" ht="15" customHeight="1" x14ac:dyDescent="0.3">
      <c r="A1551" t="s">
        <v>179</v>
      </c>
      <c r="B1551" t="str">
        <f>"00076163"</f>
        <v>00076163</v>
      </c>
      <c r="C1551" t="s">
        <v>4262</v>
      </c>
      <c r="D1551" t="s">
        <v>4774</v>
      </c>
      <c r="E1551" t="str">
        <f>"00070475"</f>
        <v>00070475</v>
      </c>
      <c r="F1551">
        <v>0</v>
      </c>
      <c r="G1551" s="243">
        <v>41162</v>
      </c>
      <c r="H1551" t="s">
        <v>182</v>
      </c>
      <c r="I1551">
        <v>15</v>
      </c>
      <c r="J1551">
        <v>6</v>
      </c>
      <c r="K1551">
        <v>0.5</v>
      </c>
      <c r="L1551">
        <v>66078</v>
      </c>
      <c r="M1551" t="str">
        <f t="shared" si="219"/>
        <v>13</v>
      </c>
      <c r="N1551" t="s">
        <v>3323</v>
      </c>
      <c r="O1551" t="str">
        <f t="shared" si="225"/>
        <v>55811</v>
      </c>
      <c r="P1551" t="str">
        <f t="shared" si="227"/>
        <v>2100L</v>
      </c>
      <c r="Q1551" t="str">
        <f t="shared" si="221"/>
        <v>0101</v>
      </c>
      <c r="R1551">
        <v>2100</v>
      </c>
      <c r="S1551" t="str">
        <f t="shared" si="226"/>
        <v>5580</v>
      </c>
      <c r="T1551" t="s">
        <v>3553</v>
      </c>
      <c r="U1551" t="s">
        <v>1489</v>
      </c>
    </row>
    <row r="1552" spans="1:21" ht="15" customHeight="1" x14ac:dyDescent="0.3">
      <c r="A1552" t="s">
        <v>179</v>
      </c>
      <c r="B1552" t="str">
        <f>"00076166"</f>
        <v>00076166</v>
      </c>
      <c r="C1552" t="s">
        <v>4306</v>
      </c>
      <c r="D1552" t="s">
        <v>3554</v>
      </c>
      <c r="E1552" t="str">
        <f>"00067320"</f>
        <v>00067320</v>
      </c>
      <c r="F1552">
        <v>0</v>
      </c>
      <c r="G1552" s="243">
        <v>40875</v>
      </c>
      <c r="H1552" t="s">
        <v>182</v>
      </c>
      <c r="I1552">
        <v>9</v>
      </c>
      <c r="J1552">
        <v>5</v>
      </c>
      <c r="K1552">
        <v>1</v>
      </c>
      <c r="L1552">
        <v>37415</v>
      </c>
      <c r="M1552" t="str">
        <f t="shared" ref="M1552:M1607" si="228">"13"</f>
        <v>13</v>
      </c>
      <c r="N1552" t="s">
        <v>3370</v>
      </c>
      <c r="O1552" t="str">
        <f t="shared" si="225"/>
        <v>55811</v>
      </c>
      <c r="P1552" t="str">
        <f>"1502L"</f>
        <v>1502L</v>
      </c>
      <c r="Q1552" t="str">
        <f t="shared" si="221"/>
        <v>0101</v>
      </c>
      <c r="R1552">
        <v>1502</v>
      </c>
      <c r="S1552" t="str">
        <f t="shared" si="226"/>
        <v>5580</v>
      </c>
      <c r="T1552" t="s">
        <v>3553</v>
      </c>
      <c r="U1552" t="s">
        <v>1489</v>
      </c>
    </row>
    <row r="1553" spans="1:21" ht="15" customHeight="1" x14ac:dyDescent="0.3">
      <c r="A1553" t="s">
        <v>179</v>
      </c>
      <c r="B1553" t="str">
        <f>"00076451"</f>
        <v>00076451</v>
      </c>
      <c r="C1553" t="s">
        <v>4274</v>
      </c>
      <c r="D1553" t="s">
        <v>4775</v>
      </c>
      <c r="E1553" t="str">
        <f>"00047902"</f>
        <v>00047902</v>
      </c>
      <c r="F1553">
        <v>0</v>
      </c>
      <c r="G1553" s="243">
        <v>39122</v>
      </c>
      <c r="H1553" t="s">
        <v>182</v>
      </c>
      <c r="I1553">
        <v>4</v>
      </c>
      <c r="J1553">
        <v>7</v>
      </c>
      <c r="K1553">
        <v>0.71</v>
      </c>
      <c r="L1553">
        <v>26633.25</v>
      </c>
      <c r="M1553" t="str">
        <f t="shared" si="228"/>
        <v>13</v>
      </c>
      <c r="N1553" t="s">
        <v>3370</v>
      </c>
      <c r="O1553" t="str">
        <f t="shared" si="225"/>
        <v>55811</v>
      </c>
      <c r="P1553" t="str">
        <f>"2200L"</f>
        <v>2200L</v>
      </c>
      <c r="Q1553" t="str">
        <f t="shared" si="221"/>
        <v>0101</v>
      </c>
      <c r="R1553">
        <v>2200</v>
      </c>
      <c r="S1553" t="str">
        <f t="shared" si="226"/>
        <v>5580</v>
      </c>
      <c r="T1553" t="s">
        <v>3553</v>
      </c>
      <c r="U1553" t="s">
        <v>1489</v>
      </c>
    </row>
    <row r="1554" spans="1:21" ht="15" customHeight="1" x14ac:dyDescent="0.3">
      <c r="A1554" t="s">
        <v>179</v>
      </c>
      <c r="B1554" t="str">
        <f>"00076452"</f>
        <v>00076452</v>
      </c>
      <c r="C1554" t="s">
        <v>4288</v>
      </c>
      <c r="D1554" t="s">
        <v>4776</v>
      </c>
      <c r="E1554" t="str">
        <f>"00069533"</f>
        <v>00069533</v>
      </c>
      <c r="F1554">
        <v>0</v>
      </c>
      <c r="G1554" s="243">
        <v>41133</v>
      </c>
      <c r="H1554" t="s">
        <v>182</v>
      </c>
      <c r="I1554">
        <v>4</v>
      </c>
      <c r="J1554">
        <v>8</v>
      </c>
      <c r="K1554">
        <v>0.71</v>
      </c>
      <c r="L1554">
        <v>27329.75</v>
      </c>
      <c r="M1554" t="str">
        <f t="shared" si="228"/>
        <v>13</v>
      </c>
      <c r="N1554" t="s">
        <v>3370</v>
      </c>
      <c r="O1554" t="str">
        <f t="shared" si="225"/>
        <v>55811</v>
      </c>
      <c r="P1554" t="str">
        <f>"2200L"</f>
        <v>2200L</v>
      </c>
      <c r="Q1554" t="str">
        <f t="shared" si="221"/>
        <v>0101</v>
      </c>
      <c r="R1554">
        <v>2200</v>
      </c>
      <c r="S1554" t="str">
        <f t="shared" si="226"/>
        <v>5580</v>
      </c>
      <c r="T1554" t="s">
        <v>3553</v>
      </c>
      <c r="U1554" t="s">
        <v>1489</v>
      </c>
    </row>
    <row r="1555" spans="1:21" ht="15" customHeight="1" x14ac:dyDescent="0.3">
      <c r="A1555" t="s">
        <v>179</v>
      </c>
      <c r="B1555" t="str">
        <f>"00076524"</f>
        <v>00076524</v>
      </c>
      <c r="C1555" t="s">
        <v>4290</v>
      </c>
      <c r="H1555" t="s">
        <v>170</v>
      </c>
      <c r="I1555">
        <v>4</v>
      </c>
      <c r="J1555">
        <v>0</v>
      </c>
      <c r="K1555">
        <v>0.71</v>
      </c>
      <c r="L1555">
        <v>25662</v>
      </c>
      <c r="M1555" t="str">
        <f t="shared" si="228"/>
        <v>13</v>
      </c>
      <c r="N1555" t="s">
        <v>3370</v>
      </c>
      <c r="O1555" t="str">
        <f t="shared" si="225"/>
        <v>55811</v>
      </c>
      <c r="P1555" t="str">
        <f>"3030L"</f>
        <v>3030L</v>
      </c>
      <c r="Q1555" t="str">
        <f t="shared" si="221"/>
        <v>0101</v>
      </c>
      <c r="R1555">
        <v>3030</v>
      </c>
      <c r="S1555" t="str">
        <f t="shared" si="226"/>
        <v>5580</v>
      </c>
      <c r="T1555" t="s">
        <v>3553</v>
      </c>
      <c r="U1555" t="s">
        <v>1489</v>
      </c>
    </row>
    <row r="1556" spans="1:21" ht="15" customHeight="1" x14ac:dyDescent="0.3">
      <c r="A1556" t="s">
        <v>179</v>
      </c>
      <c r="B1556" t="str">
        <f>"00052158"</f>
        <v>00052158</v>
      </c>
      <c r="C1556" t="s">
        <v>4262</v>
      </c>
      <c r="H1556" t="s">
        <v>170</v>
      </c>
      <c r="I1556">
        <v>15</v>
      </c>
      <c r="J1556">
        <v>1</v>
      </c>
      <c r="K1556">
        <v>1</v>
      </c>
      <c r="L1556">
        <v>54975</v>
      </c>
      <c r="M1556" t="str">
        <f t="shared" si="228"/>
        <v>13</v>
      </c>
      <c r="N1556" t="s">
        <v>3370</v>
      </c>
      <c r="O1556" t="str">
        <f t="shared" ref="O1556:O1583" si="229">"55911"</f>
        <v>55911</v>
      </c>
      <c r="P1556" t="str">
        <f>"2100L"</f>
        <v>2100L</v>
      </c>
      <c r="Q1556" t="str">
        <f t="shared" si="221"/>
        <v>0101</v>
      </c>
      <c r="R1556">
        <v>2100</v>
      </c>
      <c r="S1556" t="str">
        <f t="shared" ref="S1556:S1583" si="230">"5590"</f>
        <v>5590</v>
      </c>
      <c r="T1556" t="s">
        <v>3560</v>
      </c>
      <c r="U1556" t="s">
        <v>44</v>
      </c>
    </row>
    <row r="1557" spans="1:21" ht="15" customHeight="1" x14ac:dyDescent="0.3">
      <c r="A1557" t="s">
        <v>179</v>
      </c>
      <c r="B1557" t="str">
        <f>"00052271"</f>
        <v>00052271</v>
      </c>
      <c r="C1557" t="s">
        <v>4260</v>
      </c>
      <c r="D1557" t="s">
        <v>1506</v>
      </c>
      <c r="E1557" t="str">
        <f>"00047874"</f>
        <v>00047874</v>
      </c>
      <c r="F1557">
        <v>0</v>
      </c>
      <c r="G1557" s="243">
        <v>34578</v>
      </c>
      <c r="H1557" t="s">
        <v>182</v>
      </c>
      <c r="I1557">
        <v>15</v>
      </c>
      <c r="J1557">
        <v>13</v>
      </c>
      <c r="K1557">
        <v>1</v>
      </c>
      <c r="L1557">
        <v>86613</v>
      </c>
      <c r="M1557" t="str">
        <f t="shared" si="228"/>
        <v>13</v>
      </c>
      <c r="N1557" t="s">
        <v>3323</v>
      </c>
      <c r="O1557" t="str">
        <f t="shared" si="229"/>
        <v>55911</v>
      </c>
      <c r="P1557" t="str">
        <f>"3030L"</f>
        <v>3030L</v>
      </c>
      <c r="Q1557" t="str">
        <f t="shared" si="221"/>
        <v>0101</v>
      </c>
      <c r="R1557">
        <v>3030</v>
      </c>
      <c r="S1557" t="str">
        <f t="shared" si="230"/>
        <v>5590</v>
      </c>
      <c r="T1557" t="s">
        <v>3560</v>
      </c>
      <c r="U1557" t="s">
        <v>44</v>
      </c>
    </row>
    <row r="1558" spans="1:21" ht="15" customHeight="1" x14ac:dyDescent="0.3">
      <c r="A1558" t="s">
        <v>179</v>
      </c>
      <c r="B1558" t="str">
        <f>"00052412"</f>
        <v>00052412</v>
      </c>
      <c r="C1558" t="s">
        <v>3798</v>
      </c>
      <c r="D1558" t="s">
        <v>1507</v>
      </c>
      <c r="E1558" t="str">
        <f>"00056617"</f>
        <v>00056617</v>
      </c>
      <c r="F1558">
        <v>0</v>
      </c>
      <c r="G1558" s="243">
        <v>40000</v>
      </c>
      <c r="H1558" t="s">
        <v>182</v>
      </c>
      <c r="I1558">
        <v>61</v>
      </c>
      <c r="J1558">
        <v>7</v>
      </c>
      <c r="K1558">
        <v>1</v>
      </c>
      <c r="L1558">
        <v>128000</v>
      </c>
      <c r="M1558" t="str">
        <f t="shared" si="228"/>
        <v>13</v>
      </c>
      <c r="N1558" t="s">
        <v>3323</v>
      </c>
      <c r="O1558" t="str">
        <f t="shared" si="229"/>
        <v>55911</v>
      </c>
      <c r="P1558" t="str">
        <f>"1501L"</f>
        <v>1501L</v>
      </c>
      <c r="Q1558" t="str">
        <f t="shared" ref="Q1558:Q1612" si="231">"0101"</f>
        <v>0101</v>
      </c>
      <c r="R1558">
        <v>1501</v>
      </c>
      <c r="S1558" t="str">
        <f t="shared" si="230"/>
        <v>5590</v>
      </c>
      <c r="T1558" t="s">
        <v>3560</v>
      </c>
      <c r="U1558" t="s">
        <v>44</v>
      </c>
    </row>
    <row r="1559" spans="1:21" ht="15" customHeight="1" x14ac:dyDescent="0.3">
      <c r="A1559" t="s">
        <v>179</v>
      </c>
      <c r="B1559" t="str">
        <f>"00052496"</f>
        <v>00052496</v>
      </c>
      <c r="C1559" t="s">
        <v>4272</v>
      </c>
      <c r="D1559" t="s">
        <v>1508</v>
      </c>
      <c r="E1559" t="str">
        <f>"00048402"</f>
        <v>00048402</v>
      </c>
      <c r="F1559">
        <v>0</v>
      </c>
      <c r="G1559" s="243">
        <v>32050</v>
      </c>
      <c r="H1559" t="s">
        <v>182</v>
      </c>
      <c r="I1559">
        <v>15</v>
      </c>
      <c r="J1559">
        <v>16</v>
      </c>
      <c r="K1559">
        <v>1</v>
      </c>
      <c r="L1559">
        <v>100839</v>
      </c>
      <c r="M1559" t="str">
        <f t="shared" si="228"/>
        <v>13</v>
      </c>
      <c r="N1559" t="s">
        <v>3323</v>
      </c>
      <c r="O1559" t="str">
        <f t="shared" si="229"/>
        <v>55911</v>
      </c>
      <c r="P1559" t="str">
        <f>"2200L"</f>
        <v>2200L</v>
      </c>
      <c r="Q1559" t="str">
        <f t="shared" si="231"/>
        <v>0101</v>
      </c>
      <c r="R1559">
        <v>2200</v>
      </c>
      <c r="S1559" t="str">
        <f t="shared" si="230"/>
        <v>5590</v>
      </c>
      <c r="T1559" t="s">
        <v>3560</v>
      </c>
      <c r="U1559" t="s">
        <v>44</v>
      </c>
    </row>
    <row r="1560" spans="1:21" ht="15" customHeight="1" x14ac:dyDescent="0.3">
      <c r="A1560" t="s">
        <v>179</v>
      </c>
      <c r="B1560" t="str">
        <f>"00052657"</f>
        <v>00052657</v>
      </c>
      <c r="C1560" t="s">
        <v>4260</v>
      </c>
      <c r="D1560" t="s">
        <v>1509</v>
      </c>
      <c r="E1560" t="str">
        <f>"00048809"</f>
        <v>00048809</v>
      </c>
      <c r="F1560">
        <v>0</v>
      </c>
      <c r="G1560" s="243">
        <v>32050</v>
      </c>
      <c r="H1560" t="s">
        <v>182</v>
      </c>
      <c r="I1560">
        <v>15</v>
      </c>
      <c r="J1560">
        <v>16</v>
      </c>
      <c r="K1560">
        <v>1</v>
      </c>
      <c r="L1560">
        <v>100839</v>
      </c>
      <c r="M1560" t="str">
        <f t="shared" si="228"/>
        <v>13</v>
      </c>
      <c r="N1560" t="s">
        <v>3323</v>
      </c>
      <c r="O1560" t="str">
        <f t="shared" si="229"/>
        <v>55911</v>
      </c>
      <c r="P1560" t="str">
        <f>"3030L"</f>
        <v>3030L</v>
      </c>
      <c r="Q1560" t="str">
        <f t="shared" si="231"/>
        <v>0101</v>
      </c>
      <c r="R1560">
        <v>3030</v>
      </c>
      <c r="S1560" t="str">
        <f t="shared" si="230"/>
        <v>5590</v>
      </c>
      <c r="T1560" t="s">
        <v>3560</v>
      </c>
      <c r="U1560" t="s">
        <v>44</v>
      </c>
    </row>
    <row r="1561" spans="1:21" ht="15" customHeight="1" x14ac:dyDescent="0.3">
      <c r="A1561" t="s">
        <v>179</v>
      </c>
      <c r="B1561" t="str">
        <f>"00053538"</f>
        <v>00053538</v>
      </c>
      <c r="C1561" t="s">
        <v>4257</v>
      </c>
      <c r="D1561" t="s">
        <v>1510</v>
      </c>
      <c r="E1561" t="str">
        <f>"00051694"</f>
        <v>00051694</v>
      </c>
      <c r="F1561">
        <v>0</v>
      </c>
      <c r="G1561" s="243">
        <v>31842</v>
      </c>
      <c r="H1561" t="s">
        <v>182</v>
      </c>
      <c r="I1561">
        <v>15</v>
      </c>
      <c r="J1561">
        <v>16</v>
      </c>
      <c r="K1561">
        <v>1</v>
      </c>
      <c r="L1561">
        <v>100839</v>
      </c>
      <c r="M1561" t="str">
        <f t="shared" si="228"/>
        <v>13</v>
      </c>
      <c r="N1561" t="s">
        <v>3323</v>
      </c>
      <c r="O1561" t="str">
        <f t="shared" si="229"/>
        <v>55911</v>
      </c>
      <c r="P1561" t="str">
        <f>"2100L"</f>
        <v>2100L</v>
      </c>
      <c r="Q1561" t="str">
        <f t="shared" si="231"/>
        <v>0101</v>
      </c>
      <c r="R1561">
        <v>2100</v>
      </c>
      <c r="S1561" t="str">
        <f t="shared" si="230"/>
        <v>5590</v>
      </c>
      <c r="T1561" t="s">
        <v>3560</v>
      </c>
      <c r="U1561" t="s">
        <v>44</v>
      </c>
    </row>
    <row r="1562" spans="1:21" ht="15" customHeight="1" x14ac:dyDescent="0.3">
      <c r="A1562" t="s">
        <v>179</v>
      </c>
      <c r="B1562" t="str">
        <f>"00054064"</f>
        <v>00054064</v>
      </c>
      <c r="C1562" t="s">
        <v>4262</v>
      </c>
      <c r="D1562" t="s">
        <v>1511</v>
      </c>
      <c r="E1562" t="str">
        <f>"00062964"</f>
        <v>00062964</v>
      </c>
      <c r="F1562">
        <v>0</v>
      </c>
      <c r="G1562" s="243">
        <v>40406</v>
      </c>
      <c r="H1562" t="s">
        <v>182</v>
      </c>
      <c r="I1562">
        <v>15</v>
      </c>
      <c r="J1562">
        <v>3</v>
      </c>
      <c r="K1562">
        <v>1</v>
      </c>
      <c r="L1562">
        <v>52777</v>
      </c>
      <c r="M1562" t="str">
        <f t="shared" si="228"/>
        <v>13</v>
      </c>
      <c r="N1562" t="s">
        <v>3323</v>
      </c>
      <c r="O1562" t="str">
        <f t="shared" si="229"/>
        <v>55911</v>
      </c>
      <c r="P1562" t="str">
        <f>"2100L"</f>
        <v>2100L</v>
      </c>
      <c r="Q1562" t="str">
        <f t="shared" si="231"/>
        <v>0101</v>
      </c>
      <c r="R1562">
        <v>2100</v>
      </c>
      <c r="S1562" t="str">
        <f t="shared" si="230"/>
        <v>5590</v>
      </c>
      <c r="T1562" t="s">
        <v>3560</v>
      </c>
      <c r="U1562" t="s">
        <v>44</v>
      </c>
    </row>
    <row r="1563" spans="1:21" ht="15" customHeight="1" x14ac:dyDescent="0.3">
      <c r="A1563" t="s">
        <v>179</v>
      </c>
      <c r="B1563" t="str">
        <f>"00054255"</f>
        <v>00054255</v>
      </c>
      <c r="C1563" t="s">
        <v>4262</v>
      </c>
      <c r="D1563" t="s">
        <v>1512</v>
      </c>
      <c r="E1563" t="str">
        <f>"00053376"</f>
        <v>00053376</v>
      </c>
      <c r="F1563">
        <v>0</v>
      </c>
      <c r="G1563" s="243">
        <v>34941</v>
      </c>
      <c r="H1563" t="s">
        <v>182</v>
      </c>
      <c r="I1563">
        <v>15</v>
      </c>
      <c r="J1563">
        <v>14</v>
      </c>
      <c r="K1563">
        <v>1</v>
      </c>
      <c r="L1563">
        <v>96460</v>
      </c>
      <c r="M1563" t="str">
        <f t="shared" si="228"/>
        <v>13</v>
      </c>
      <c r="N1563" t="s">
        <v>3323</v>
      </c>
      <c r="O1563" t="str">
        <f t="shared" si="229"/>
        <v>55911</v>
      </c>
      <c r="P1563" t="str">
        <f>"2100L"</f>
        <v>2100L</v>
      </c>
      <c r="Q1563" t="str">
        <f t="shared" si="231"/>
        <v>0101</v>
      </c>
      <c r="R1563">
        <v>2100</v>
      </c>
      <c r="S1563" t="str">
        <f t="shared" si="230"/>
        <v>5590</v>
      </c>
      <c r="T1563" t="s">
        <v>3560</v>
      </c>
      <c r="U1563" t="s">
        <v>44</v>
      </c>
    </row>
    <row r="1564" spans="1:21" ht="15" customHeight="1" x14ac:dyDescent="0.3">
      <c r="A1564" t="s">
        <v>179</v>
      </c>
      <c r="B1564" t="str">
        <f>"00054575"</f>
        <v>00054575</v>
      </c>
      <c r="C1564" t="s">
        <v>4272</v>
      </c>
      <c r="D1564" t="s">
        <v>1513</v>
      </c>
      <c r="E1564" t="str">
        <f>"00054223"</f>
        <v>00054223</v>
      </c>
      <c r="F1564">
        <v>0</v>
      </c>
      <c r="G1564" s="243">
        <v>32050</v>
      </c>
      <c r="H1564" t="s">
        <v>182</v>
      </c>
      <c r="I1564">
        <v>15</v>
      </c>
      <c r="J1564">
        <v>16</v>
      </c>
      <c r="K1564">
        <v>1</v>
      </c>
      <c r="L1564">
        <v>100839</v>
      </c>
      <c r="M1564" t="str">
        <f t="shared" si="228"/>
        <v>13</v>
      </c>
      <c r="N1564" t="s">
        <v>3323</v>
      </c>
      <c r="O1564" t="str">
        <f t="shared" si="229"/>
        <v>55911</v>
      </c>
      <c r="P1564" t="str">
        <f>"2100L"</f>
        <v>2100L</v>
      </c>
      <c r="Q1564" t="str">
        <f t="shared" si="231"/>
        <v>0101</v>
      </c>
      <c r="R1564">
        <v>2100</v>
      </c>
      <c r="S1564" t="str">
        <f t="shared" si="230"/>
        <v>5590</v>
      </c>
      <c r="T1564" t="s">
        <v>3560</v>
      </c>
      <c r="U1564" t="s">
        <v>44</v>
      </c>
    </row>
    <row r="1565" spans="1:21" ht="15" customHeight="1" x14ac:dyDescent="0.3">
      <c r="A1565" t="s">
        <v>179</v>
      </c>
      <c r="B1565" t="str">
        <f>"00054586"</f>
        <v>00054586</v>
      </c>
      <c r="C1565" t="s">
        <v>4272</v>
      </c>
      <c r="D1565" t="s">
        <v>1514</v>
      </c>
      <c r="E1565" t="str">
        <f>"00054240"</f>
        <v>00054240</v>
      </c>
      <c r="F1565">
        <v>0</v>
      </c>
      <c r="G1565" s="243">
        <v>32050</v>
      </c>
      <c r="H1565" t="s">
        <v>182</v>
      </c>
      <c r="I1565">
        <v>15</v>
      </c>
      <c r="J1565">
        <v>16</v>
      </c>
      <c r="K1565">
        <v>1</v>
      </c>
      <c r="L1565">
        <v>106540</v>
      </c>
      <c r="M1565" t="str">
        <f t="shared" si="228"/>
        <v>13</v>
      </c>
      <c r="N1565" t="s">
        <v>3323</v>
      </c>
      <c r="O1565" t="str">
        <f t="shared" si="229"/>
        <v>55911</v>
      </c>
      <c r="P1565" t="str">
        <f>"2100L"</f>
        <v>2100L</v>
      </c>
      <c r="Q1565" t="str">
        <f t="shared" si="231"/>
        <v>0101</v>
      </c>
      <c r="R1565">
        <v>2100</v>
      </c>
      <c r="S1565" t="str">
        <f t="shared" si="230"/>
        <v>5590</v>
      </c>
      <c r="T1565" t="s">
        <v>3560</v>
      </c>
      <c r="U1565" t="s">
        <v>44</v>
      </c>
    </row>
    <row r="1566" spans="1:21" ht="15" customHeight="1" x14ac:dyDescent="0.3">
      <c r="A1566" t="s">
        <v>179</v>
      </c>
      <c r="B1566" t="str">
        <f>"00054596"</f>
        <v>00054596</v>
      </c>
      <c r="C1566" t="s">
        <v>4272</v>
      </c>
      <c r="D1566" t="s">
        <v>867</v>
      </c>
      <c r="E1566" t="str">
        <f>"00049502"</f>
        <v>00049502</v>
      </c>
      <c r="F1566">
        <v>0</v>
      </c>
      <c r="G1566" s="243">
        <v>31998</v>
      </c>
      <c r="H1566" t="s">
        <v>182</v>
      </c>
      <c r="I1566">
        <v>15</v>
      </c>
      <c r="J1566">
        <v>13</v>
      </c>
      <c r="K1566">
        <v>1</v>
      </c>
      <c r="L1566">
        <v>86613</v>
      </c>
      <c r="M1566" t="str">
        <f t="shared" si="228"/>
        <v>13</v>
      </c>
      <c r="N1566" t="s">
        <v>3370</v>
      </c>
      <c r="O1566" t="str">
        <f t="shared" si="229"/>
        <v>55911</v>
      </c>
      <c r="P1566" t="str">
        <f>"2200L"</f>
        <v>2200L</v>
      </c>
      <c r="Q1566" t="str">
        <f t="shared" si="231"/>
        <v>0101</v>
      </c>
      <c r="R1566">
        <v>2200</v>
      </c>
      <c r="S1566" t="str">
        <f t="shared" si="230"/>
        <v>5590</v>
      </c>
      <c r="T1566" t="s">
        <v>3560</v>
      </c>
      <c r="U1566" t="s">
        <v>44</v>
      </c>
    </row>
    <row r="1567" spans="1:21" ht="15" customHeight="1" x14ac:dyDescent="0.3">
      <c r="A1567" t="s">
        <v>179</v>
      </c>
      <c r="B1567" t="str">
        <f>"00054828"</f>
        <v>00054828</v>
      </c>
      <c r="C1567" t="s">
        <v>4299</v>
      </c>
      <c r="D1567" t="s">
        <v>4777</v>
      </c>
      <c r="E1567" t="str">
        <f>"00054708"</f>
        <v>00054708</v>
      </c>
      <c r="F1567">
        <v>0</v>
      </c>
      <c r="G1567" s="243">
        <v>32405</v>
      </c>
      <c r="H1567" t="s">
        <v>182</v>
      </c>
      <c r="I1567">
        <v>7</v>
      </c>
      <c r="J1567">
        <v>9</v>
      </c>
      <c r="K1567">
        <v>1</v>
      </c>
      <c r="L1567">
        <v>44836</v>
      </c>
      <c r="M1567" t="str">
        <f t="shared" si="228"/>
        <v>13</v>
      </c>
      <c r="N1567" t="s">
        <v>3323</v>
      </c>
      <c r="O1567" t="str">
        <f t="shared" si="229"/>
        <v>55911</v>
      </c>
      <c r="P1567" t="str">
        <f>"1502L"</f>
        <v>1502L</v>
      </c>
      <c r="Q1567" t="str">
        <f t="shared" si="231"/>
        <v>0101</v>
      </c>
      <c r="R1567">
        <v>1502</v>
      </c>
      <c r="S1567" t="str">
        <f t="shared" si="230"/>
        <v>5590</v>
      </c>
      <c r="T1567" t="s">
        <v>3560</v>
      </c>
      <c r="U1567" t="s">
        <v>44</v>
      </c>
    </row>
    <row r="1568" spans="1:21" ht="15" customHeight="1" x14ac:dyDescent="0.3">
      <c r="A1568" t="s">
        <v>179</v>
      </c>
      <c r="B1568" t="str">
        <f>"00055166"</f>
        <v>00055166</v>
      </c>
      <c r="C1568" t="s">
        <v>4262</v>
      </c>
      <c r="D1568" t="s">
        <v>1516</v>
      </c>
      <c r="E1568" t="str">
        <f>"00052088"</f>
        <v>00052088</v>
      </c>
      <c r="F1568">
        <v>0</v>
      </c>
      <c r="G1568" s="243">
        <v>36390</v>
      </c>
      <c r="H1568" t="s">
        <v>182</v>
      </c>
      <c r="I1568">
        <v>15</v>
      </c>
      <c r="J1568">
        <v>13</v>
      </c>
      <c r="K1568">
        <v>1</v>
      </c>
      <c r="L1568">
        <v>81724</v>
      </c>
      <c r="M1568" t="str">
        <f t="shared" si="228"/>
        <v>13</v>
      </c>
      <c r="N1568" t="s">
        <v>3323</v>
      </c>
      <c r="O1568" t="str">
        <f t="shared" si="229"/>
        <v>55911</v>
      </c>
      <c r="P1568" t="str">
        <f>"2100L"</f>
        <v>2100L</v>
      </c>
      <c r="Q1568" t="str">
        <f t="shared" si="231"/>
        <v>0101</v>
      </c>
      <c r="R1568">
        <v>2100</v>
      </c>
      <c r="S1568" t="str">
        <f t="shared" si="230"/>
        <v>5590</v>
      </c>
      <c r="T1568" t="s">
        <v>3560</v>
      </c>
      <c r="U1568" t="s">
        <v>44</v>
      </c>
    </row>
    <row r="1569" spans="1:21" ht="15" customHeight="1" x14ac:dyDescent="0.3">
      <c r="A1569" t="s">
        <v>179</v>
      </c>
      <c r="B1569" t="str">
        <f>"00055167"</f>
        <v>00055167</v>
      </c>
      <c r="C1569" t="s">
        <v>4259</v>
      </c>
      <c r="D1569" t="s">
        <v>1517</v>
      </c>
      <c r="E1569" t="str">
        <f>"00051843"</f>
        <v>00051843</v>
      </c>
      <c r="F1569">
        <v>0</v>
      </c>
      <c r="G1569" s="243">
        <v>36390</v>
      </c>
      <c r="H1569" t="s">
        <v>182</v>
      </c>
      <c r="I1569">
        <v>15</v>
      </c>
      <c r="J1569">
        <v>12</v>
      </c>
      <c r="K1569">
        <v>1</v>
      </c>
      <c r="L1569">
        <v>87431</v>
      </c>
      <c r="M1569" t="str">
        <f t="shared" si="228"/>
        <v>13</v>
      </c>
      <c r="N1569" t="s">
        <v>3323</v>
      </c>
      <c r="O1569" t="str">
        <f t="shared" si="229"/>
        <v>55911</v>
      </c>
      <c r="P1569" t="str">
        <f>"2100L"</f>
        <v>2100L</v>
      </c>
      <c r="Q1569" t="str">
        <f t="shared" si="231"/>
        <v>0101</v>
      </c>
      <c r="R1569">
        <v>2100</v>
      </c>
      <c r="S1569" t="str">
        <f t="shared" si="230"/>
        <v>5590</v>
      </c>
      <c r="T1569" t="s">
        <v>3560</v>
      </c>
      <c r="U1569" t="s">
        <v>44</v>
      </c>
    </row>
    <row r="1570" spans="1:21" ht="15" customHeight="1" x14ac:dyDescent="0.3">
      <c r="A1570" t="s">
        <v>179</v>
      </c>
      <c r="B1570" t="str">
        <f>"00055194"</f>
        <v>00055194</v>
      </c>
      <c r="C1570" t="s">
        <v>4272</v>
      </c>
      <c r="D1570" t="s">
        <v>1518</v>
      </c>
      <c r="E1570" t="str">
        <f>"00045762"</f>
        <v>00045762</v>
      </c>
      <c r="F1570">
        <v>0</v>
      </c>
      <c r="G1570" s="243">
        <v>36390</v>
      </c>
      <c r="H1570" t="s">
        <v>182</v>
      </c>
      <c r="I1570">
        <v>15</v>
      </c>
      <c r="J1570">
        <v>14</v>
      </c>
      <c r="K1570">
        <v>1</v>
      </c>
      <c r="L1570">
        <v>96460</v>
      </c>
      <c r="M1570" t="str">
        <f t="shared" si="228"/>
        <v>13</v>
      </c>
      <c r="N1570" t="s">
        <v>3323</v>
      </c>
      <c r="O1570" t="str">
        <f t="shared" si="229"/>
        <v>55911</v>
      </c>
      <c r="P1570" t="str">
        <f>"2200L"</f>
        <v>2200L</v>
      </c>
      <c r="Q1570" t="str">
        <f t="shared" si="231"/>
        <v>0101</v>
      </c>
      <c r="R1570">
        <v>2200</v>
      </c>
      <c r="S1570" t="str">
        <f t="shared" si="230"/>
        <v>5590</v>
      </c>
      <c r="T1570" t="s">
        <v>3560</v>
      </c>
      <c r="U1570" t="s">
        <v>44</v>
      </c>
    </row>
    <row r="1571" spans="1:21" ht="15" customHeight="1" x14ac:dyDescent="0.3">
      <c r="A1571" t="s">
        <v>179</v>
      </c>
      <c r="B1571" t="str">
        <f>"00057243"</f>
        <v>00057243</v>
      </c>
      <c r="C1571" t="s">
        <v>4274</v>
      </c>
      <c r="D1571" t="s">
        <v>4778</v>
      </c>
      <c r="E1571" t="str">
        <f>"00046644"</f>
        <v>00046644</v>
      </c>
      <c r="F1571">
        <v>0</v>
      </c>
      <c r="G1571" s="243">
        <v>36145</v>
      </c>
      <c r="H1571" t="s">
        <v>182</v>
      </c>
      <c r="I1571">
        <v>4</v>
      </c>
      <c r="J1571">
        <v>9</v>
      </c>
      <c r="K1571">
        <v>0.875</v>
      </c>
      <c r="L1571">
        <v>28025.38</v>
      </c>
      <c r="M1571" t="str">
        <f t="shared" si="228"/>
        <v>13</v>
      </c>
      <c r="N1571" t="s">
        <v>3323</v>
      </c>
      <c r="O1571" t="str">
        <f t="shared" si="229"/>
        <v>55911</v>
      </c>
      <c r="P1571" t="str">
        <f>"2200L"</f>
        <v>2200L</v>
      </c>
      <c r="Q1571" t="str">
        <f t="shared" si="231"/>
        <v>0101</v>
      </c>
      <c r="R1571">
        <v>2200</v>
      </c>
      <c r="S1571" t="str">
        <f t="shared" si="230"/>
        <v>5590</v>
      </c>
      <c r="T1571" t="s">
        <v>3560</v>
      </c>
      <c r="U1571" t="s">
        <v>44</v>
      </c>
    </row>
    <row r="1572" spans="1:21" ht="15" customHeight="1" x14ac:dyDescent="0.3">
      <c r="A1572" t="s">
        <v>179</v>
      </c>
      <c r="B1572" t="str">
        <f>"00057531"</f>
        <v>00057531</v>
      </c>
      <c r="C1572" t="s">
        <v>4262</v>
      </c>
      <c r="D1572" t="s">
        <v>1519</v>
      </c>
      <c r="E1572" t="str">
        <f>"00050440"</f>
        <v>00050440</v>
      </c>
      <c r="F1572">
        <v>0</v>
      </c>
      <c r="G1572" s="243">
        <v>36781</v>
      </c>
      <c r="H1572" t="s">
        <v>182</v>
      </c>
      <c r="I1572">
        <v>15</v>
      </c>
      <c r="J1572">
        <v>9</v>
      </c>
      <c r="K1572">
        <v>1</v>
      </c>
      <c r="L1572">
        <v>65985</v>
      </c>
      <c r="M1572" t="str">
        <f t="shared" si="228"/>
        <v>13</v>
      </c>
      <c r="N1572" t="s">
        <v>3323</v>
      </c>
      <c r="O1572" t="str">
        <f t="shared" si="229"/>
        <v>55911</v>
      </c>
      <c r="P1572" t="str">
        <f>"2100L"</f>
        <v>2100L</v>
      </c>
      <c r="Q1572" t="str">
        <f t="shared" si="231"/>
        <v>0101</v>
      </c>
      <c r="R1572">
        <v>2100</v>
      </c>
      <c r="S1572" t="str">
        <f t="shared" si="230"/>
        <v>5590</v>
      </c>
      <c r="T1572" t="s">
        <v>3560</v>
      </c>
      <c r="U1572" t="s">
        <v>44</v>
      </c>
    </row>
    <row r="1573" spans="1:21" ht="15" customHeight="1" x14ac:dyDescent="0.3">
      <c r="A1573" t="s">
        <v>179</v>
      </c>
      <c r="B1573" t="str">
        <f>"00057711"</f>
        <v>00057711</v>
      </c>
      <c r="C1573" t="s">
        <v>4262</v>
      </c>
      <c r="D1573" t="s">
        <v>1520</v>
      </c>
      <c r="E1573" t="str">
        <f>"00050623"</f>
        <v>00050623</v>
      </c>
      <c r="F1573">
        <v>0</v>
      </c>
      <c r="G1573" s="243">
        <v>38587</v>
      </c>
      <c r="H1573" t="s">
        <v>182</v>
      </c>
      <c r="I1573">
        <v>15</v>
      </c>
      <c r="J1573">
        <v>9</v>
      </c>
      <c r="K1573">
        <v>1</v>
      </c>
      <c r="L1573">
        <v>75232</v>
      </c>
      <c r="M1573" t="str">
        <f t="shared" si="228"/>
        <v>13</v>
      </c>
      <c r="N1573" t="s">
        <v>3323</v>
      </c>
      <c r="O1573" t="str">
        <f t="shared" si="229"/>
        <v>55911</v>
      </c>
      <c r="P1573" t="str">
        <f>"2100L"</f>
        <v>2100L</v>
      </c>
      <c r="Q1573" t="str">
        <f t="shared" si="231"/>
        <v>0101</v>
      </c>
      <c r="R1573">
        <v>2100</v>
      </c>
      <c r="S1573" t="str">
        <f t="shared" si="230"/>
        <v>5590</v>
      </c>
      <c r="T1573" t="s">
        <v>3560</v>
      </c>
      <c r="U1573" t="s">
        <v>44</v>
      </c>
    </row>
    <row r="1574" spans="1:21" ht="15" customHeight="1" x14ac:dyDescent="0.3">
      <c r="A1574" t="s">
        <v>179</v>
      </c>
      <c r="B1574" t="str">
        <f>"00058606"</f>
        <v>00058606</v>
      </c>
      <c r="C1574" t="s">
        <v>4274</v>
      </c>
      <c r="D1574" t="s">
        <v>4779</v>
      </c>
      <c r="E1574" t="str">
        <f>"00051216"</f>
        <v>00051216</v>
      </c>
      <c r="F1574">
        <v>0</v>
      </c>
      <c r="G1574" s="243">
        <v>32029</v>
      </c>
      <c r="H1574" t="s">
        <v>182</v>
      </c>
      <c r="I1574">
        <v>4</v>
      </c>
      <c r="J1574">
        <v>10</v>
      </c>
      <c r="K1574">
        <v>0.875</v>
      </c>
      <c r="L1574">
        <v>28721</v>
      </c>
      <c r="M1574" t="str">
        <f t="shared" si="228"/>
        <v>13</v>
      </c>
      <c r="N1574" t="s">
        <v>3323</v>
      </c>
      <c r="O1574" t="str">
        <f t="shared" si="229"/>
        <v>55911</v>
      </c>
      <c r="P1574" t="str">
        <f>"2200L"</f>
        <v>2200L</v>
      </c>
      <c r="Q1574" t="str">
        <f t="shared" si="231"/>
        <v>0101</v>
      </c>
      <c r="R1574">
        <v>2200</v>
      </c>
      <c r="S1574" t="str">
        <f t="shared" si="230"/>
        <v>5590</v>
      </c>
      <c r="T1574" t="s">
        <v>3560</v>
      </c>
      <c r="U1574" t="s">
        <v>44</v>
      </c>
    </row>
    <row r="1575" spans="1:21" ht="15" customHeight="1" x14ac:dyDescent="0.3">
      <c r="A1575" t="s">
        <v>179</v>
      </c>
      <c r="B1575" t="str">
        <f>"00059472"</f>
        <v>00059472</v>
      </c>
      <c r="C1575" t="s">
        <v>4341</v>
      </c>
      <c r="H1575" t="s">
        <v>170</v>
      </c>
      <c r="I1575">
        <v>10</v>
      </c>
      <c r="J1575">
        <v>1</v>
      </c>
      <c r="K1575">
        <v>1</v>
      </c>
      <c r="L1575">
        <v>66247</v>
      </c>
      <c r="M1575" t="str">
        <f t="shared" si="228"/>
        <v>13</v>
      </c>
      <c r="N1575" t="s">
        <v>3323</v>
      </c>
      <c r="O1575" t="str">
        <f t="shared" si="229"/>
        <v>55911</v>
      </c>
      <c r="P1575" t="str">
        <f>"3030L"</f>
        <v>3030L</v>
      </c>
      <c r="Q1575" t="str">
        <f t="shared" si="231"/>
        <v>0101</v>
      </c>
      <c r="R1575">
        <v>3030</v>
      </c>
      <c r="S1575" t="str">
        <f t="shared" si="230"/>
        <v>5590</v>
      </c>
      <c r="T1575" t="s">
        <v>3560</v>
      </c>
      <c r="U1575" t="s">
        <v>44</v>
      </c>
    </row>
    <row r="1576" spans="1:21" ht="15" customHeight="1" x14ac:dyDescent="0.3">
      <c r="A1576" t="s">
        <v>179</v>
      </c>
      <c r="B1576" t="str">
        <f>"00060111"</f>
        <v>00060111</v>
      </c>
      <c r="C1576" t="s">
        <v>4262</v>
      </c>
      <c r="D1576" t="s">
        <v>1522</v>
      </c>
      <c r="E1576" t="str">
        <f>"00050655"</f>
        <v>00050655</v>
      </c>
      <c r="F1576">
        <v>0</v>
      </c>
      <c r="G1576" s="243">
        <v>38358</v>
      </c>
      <c r="H1576" t="s">
        <v>182</v>
      </c>
      <c r="I1576">
        <v>15</v>
      </c>
      <c r="J1576">
        <v>9</v>
      </c>
      <c r="K1576">
        <v>1</v>
      </c>
      <c r="L1576">
        <v>65985</v>
      </c>
      <c r="M1576" t="str">
        <f t="shared" si="228"/>
        <v>13</v>
      </c>
      <c r="N1576" t="s">
        <v>3323</v>
      </c>
      <c r="O1576" t="str">
        <f t="shared" si="229"/>
        <v>55911</v>
      </c>
      <c r="P1576" t="str">
        <f t="shared" ref="P1576:P1582" si="232">"2100L"</f>
        <v>2100L</v>
      </c>
      <c r="Q1576" t="str">
        <f t="shared" si="231"/>
        <v>0101</v>
      </c>
      <c r="R1576">
        <v>2100</v>
      </c>
      <c r="S1576" t="str">
        <f t="shared" si="230"/>
        <v>5590</v>
      </c>
      <c r="T1576" t="s">
        <v>3560</v>
      </c>
      <c r="U1576" t="s">
        <v>44</v>
      </c>
    </row>
    <row r="1577" spans="1:21" ht="15" customHeight="1" x14ac:dyDescent="0.3">
      <c r="A1577" t="s">
        <v>179</v>
      </c>
      <c r="B1577" t="str">
        <f>"00060276"</f>
        <v>00060276</v>
      </c>
      <c r="C1577" t="s">
        <v>4272</v>
      </c>
      <c r="D1577" t="s">
        <v>1523</v>
      </c>
      <c r="E1577" t="str">
        <f>"00045253"</f>
        <v>00045253</v>
      </c>
      <c r="F1577">
        <v>0</v>
      </c>
      <c r="G1577" s="243">
        <v>38587</v>
      </c>
      <c r="H1577" t="s">
        <v>182</v>
      </c>
      <c r="I1577">
        <v>15</v>
      </c>
      <c r="J1577">
        <v>7</v>
      </c>
      <c r="K1577">
        <v>1</v>
      </c>
      <c r="L1577">
        <v>69132</v>
      </c>
      <c r="M1577" t="str">
        <f t="shared" si="228"/>
        <v>13</v>
      </c>
      <c r="N1577" t="s">
        <v>3323</v>
      </c>
      <c r="O1577" t="str">
        <f t="shared" si="229"/>
        <v>55911</v>
      </c>
      <c r="P1577" t="str">
        <f t="shared" si="232"/>
        <v>2100L</v>
      </c>
      <c r="Q1577" t="str">
        <f t="shared" si="231"/>
        <v>0101</v>
      </c>
      <c r="R1577">
        <v>2100</v>
      </c>
      <c r="S1577" t="str">
        <f t="shared" si="230"/>
        <v>5590</v>
      </c>
      <c r="T1577" t="s">
        <v>3560</v>
      </c>
      <c r="U1577" t="s">
        <v>44</v>
      </c>
    </row>
    <row r="1578" spans="1:21" ht="15" customHeight="1" x14ac:dyDescent="0.3">
      <c r="A1578" t="s">
        <v>179</v>
      </c>
      <c r="B1578" t="str">
        <f>"00060479"</f>
        <v>00060479</v>
      </c>
      <c r="C1578" t="s">
        <v>4272</v>
      </c>
      <c r="D1578" t="s">
        <v>1524</v>
      </c>
      <c r="E1578" t="str">
        <f>"00049668"</f>
        <v>00049668</v>
      </c>
      <c r="F1578">
        <v>0</v>
      </c>
      <c r="G1578" s="243">
        <v>38663</v>
      </c>
      <c r="H1578" t="s">
        <v>182</v>
      </c>
      <c r="I1578">
        <v>15</v>
      </c>
      <c r="J1578">
        <v>13</v>
      </c>
      <c r="K1578">
        <v>1</v>
      </c>
      <c r="L1578">
        <v>81724</v>
      </c>
      <c r="M1578" t="str">
        <f t="shared" si="228"/>
        <v>13</v>
      </c>
      <c r="N1578" t="s">
        <v>3323</v>
      </c>
      <c r="O1578" t="str">
        <f t="shared" si="229"/>
        <v>55911</v>
      </c>
      <c r="P1578" t="str">
        <f t="shared" si="232"/>
        <v>2100L</v>
      </c>
      <c r="Q1578" t="str">
        <f t="shared" si="231"/>
        <v>0101</v>
      </c>
      <c r="R1578">
        <v>2100</v>
      </c>
      <c r="S1578" t="str">
        <f t="shared" si="230"/>
        <v>5590</v>
      </c>
      <c r="T1578" t="s">
        <v>3560</v>
      </c>
      <c r="U1578" t="s">
        <v>44</v>
      </c>
    </row>
    <row r="1579" spans="1:21" ht="15" customHeight="1" x14ac:dyDescent="0.3">
      <c r="A1579" t="s">
        <v>179</v>
      </c>
      <c r="B1579" t="str">
        <f>"00060920"</f>
        <v>00060920</v>
      </c>
      <c r="C1579" t="s">
        <v>4262</v>
      </c>
      <c r="D1579" t="s">
        <v>4780</v>
      </c>
      <c r="E1579" t="str">
        <f>"00069516"</f>
        <v>00069516</v>
      </c>
      <c r="F1579">
        <v>0</v>
      </c>
      <c r="G1579" s="243">
        <v>41133</v>
      </c>
      <c r="H1579" t="s">
        <v>182</v>
      </c>
      <c r="I1579">
        <v>15</v>
      </c>
      <c r="J1579">
        <v>4</v>
      </c>
      <c r="K1579">
        <v>1</v>
      </c>
      <c r="L1579">
        <v>57147</v>
      </c>
      <c r="M1579" t="str">
        <f t="shared" si="228"/>
        <v>13</v>
      </c>
      <c r="N1579" t="s">
        <v>3370</v>
      </c>
      <c r="O1579" t="str">
        <f t="shared" si="229"/>
        <v>55911</v>
      </c>
      <c r="P1579" t="str">
        <f t="shared" si="232"/>
        <v>2100L</v>
      </c>
      <c r="Q1579" t="str">
        <f t="shared" si="231"/>
        <v>0101</v>
      </c>
      <c r="R1579">
        <v>2100</v>
      </c>
      <c r="S1579" t="str">
        <f t="shared" si="230"/>
        <v>5590</v>
      </c>
      <c r="T1579" t="s">
        <v>3560</v>
      </c>
      <c r="U1579" t="s">
        <v>44</v>
      </c>
    </row>
    <row r="1580" spans="1:21" ht="15" customHeight="1" x14ac:dyDescent="0.3">
      <c r="A1580" t="s">
        <v>179</v>
      </c>
      <c r="B1580" t="str">
        <f>"00061110"</f>
        <v>00061110</v>
      </c>
      <c r="C1580" t="s">
        <v>4262</v>
      </c>
      <c r="D1580" t="s">
        <v>1526</v>
      </c>
      <c r="E1580" t="str">
        <f>"00048131"</f>
        <v>00048131</v>
      </c>
      <c r="F1580">
        <v>0</v>
      </c>
      <c r="G1580" s="243">
        <v>39314</v>
      </c>
      <c r="H1580" t="s">
        <v>182</v>
      </c>
      <c r="I1580">
        <v>15</v>
      </c>
      <c r="J1580">
        <v>6</v>
      </c>
      <c r="K1580">
        <v>1</v>
      </c>
      <c r="L1580">
        <v>58599</v>
      </c>
      <c r="M1580" t="str">
        <f t="shared" si="228"/>
        <v>13</v>
      </c>
      <c r="N1580" t="s">
        <v>3323</v>
      </c>
      <c r="O1580" t="str">
        <f t="shared" si="229"/>
        <v>55911</v>
      </c>
      <c r="P1580" t="str">
        <f t="shared" si="232"/>
        <v>2100L</v>
      </c>
      <c r="Q1580" t="str">
        <f t="shared" si="231"/>
        <v>0101</v>
      </c>
      <c r="R1580">
        <v>2100</v>
      </c>
      <c r="S1580" t="str">
        <f t="shared" si="230"/>
        <v>5590</v>
      </c>
      <c r="T1580" t="s">
        <v>3560</v>
      </c>
      <c r="U1580" t="s">
        <v>44</v>
      </c>
    </row>
    <row r="1581" spans="1:21" ht="15" customHeight="1" x14ac:dyDescent="0.3">
      <c r="A1581" t="s">
        <v>179</v>
      </c>
      <c r="B1581" t="str">
        <f>"00061902"</f>
        <v>00061902</v>
      </c>
      <c r="C1581" t="s">
        <v>4262</v>
      </c>
      <c r="D1581" t="s">
        <v>1527</v>
      </c>
      <c r="E1581" t="str">
        <f>"00053680"</f>
        <v>00053680</v>
      </c>
      <c r="F1581">
        <v>0</v>
      </c>
      <c r="G1581" s="243">
        <v>39677</v>
      </c>
      <c r="H1581" t="s">
        <v>182</v>
      </c>
      <c r="I1581">
        <v>15</v>
      </c>
      <c r="J1581">
        <v>10</v>
      </c>
      <c r="K1581">
        <v>1</v>
      </c>
      <c r="L1581">
        <v>78273</v>
      </c>
      <c r="M1581" t="str">
        <f t="shared" si="228"/>
        <v>13</v>
      </c>
      <c r="N1581" t="s">
        <v>3323</v>
      </c>
      <c r="O1581" t="str">
        <f t="shared" si="229"/>
        <v>55911</v>
      </c>
      <c r="P1581" t="str">
        <f t="shared" si="232"/>
        <v>2100L</v>
      </c>
      <c r="Q1581" t="str">
        <f t="shared" si="231"/>
        <v>0101</v>
      </c>
      <c r="R1581">
        <v>2100</v>
      </c>
      <c r="S1581" t="str">
        <f t="shared" si="230"/>
        <v>5590</v>
      </c>
      <c r="T1581" t="s">
        <v>3560</v>
      </c>
      <c r="U1581" t="s">
        <v>44</v>
      </c>
    </row>
    <row r="1582" spans="1:21" ht="15" customHeight="1" x14ac:dyDescent="0.3">
      <c r="A1582" t="s">
        <v>179</v>
      </c>
      <c r="B1582" t="str">
        <f>"00062305"</f>
        <v>00062305</v>
      </c>
      <c r="C1582" t="s">
        <v>200</v>
      </c>
      <c r="D1582" t="s">
        <v>1529</v>
      </c>
      <c r="E1582" t="str">
        <f>"00018056"</f>
        <v>00018056</v>
      </c>
      <c r="F1582">
        <v>1</v>
      </c>
      <c r="G1582" s="243">
        <v>39700</v>
      </c>
      <c r="H1582" t="s">
        <v>182</v>
      </c>
      <c r="I1582">
        <v>15</v>
      </c>
      <c r="J1582">
        <v>12</v>
      </c>
      <c r="K1582">
        <v>1</v>
      </c>
      <c r="L1582">
        <v>87431</v>
      </c>
      <c r="M1582" t="str">
        <f t="shared" si="228"/>
        <v>13</v>
      </c>
      <c r="N1582" t="s">
        <v>3323</v>
      </c>
      <c r="O1582" t="str">
        <f t="shared" si="229"/>
        <v>55911</v>
      </c>
      <c r="P1582" t="str">
        <f t="shared" si="232"/>
        <v>2100L</v>
      </c>
      <c r="Q1582" t="str">
        <f t="shared" si="231"/>
        <v>0101</v>
      </c>
      <c r="R1582">
        <v>2100</v>
      </c>
      <c r="S1582" t="str">
        <f t="shared" si="230"/>
        <v>5590</v>
      </c>
      <c r="T1582" t="s">
        <v>3560</v>
      </c>
      <c r="U1582" t="s">
        <v>44</v>
      </c>
    </row>
    <row r="1583" spans="1:21" ht="15" customHeight="1" x14ac:dyDescent="0.3">
      <c r="A1583" t="s">
        <v>179</v>
      </c>
      <c r="B1583" t="str">
        <f>"00063091"</f>
        <v>00063091</v>
      </c>
      <c r="C1583" t="s">
        <v>4288</v>
      </c>
      <c r="H1583" t="s">
        <v>170</v>
      </c>
      <c r="I1583">
        <v>4</v>
      </c>
      <c r="J1583">
        <v>1</v>
      </c>
      <c r="K1583">
        <v>0.875</v>
      </c>
      <c r="L1583">
        <v>25662</v>
      </c>
      <c r="M1583" t="str">
        <f t="shared" si="228"/>
        <v>13</v>
      </c>
      <c r="N1583" t="s">
        <v>3323</v>
      </c>
      <c r="O1583" t="str">
        <f t="shared" si="229"/>
        <v>55911</v>
      </c>
      <c r="P1583" t="str">
        <f>"2200L"</f>
        <v>2200L</v>
      </c>
      <c r="Q1583" t="str">
        <f t="shared" si="231"/>
        <v>0101</v>
      </c>
      <c r="R1583">
        <v>2200</v>
      </c>
      <c r="S1583" t="str">
        <f t="shared" si="230"/>
        <v>5590</v>
      </c>
      <c r="T1583" t="s">
        <v>3560</v>
      </c>
      <c r="U1583" t="s">
        <v>44</v>
      </c>
    </row>
    <row r="1584" spans="1:21" ht="15" customHeight="1" x14ac:dyDescent="0.3">
      <c r="A1584" t="s">
        <v>179</v>
      </c>
      <c r="B1584" t="str">
        <f>"00065614"</f>
        <v>00065614</v>
      </c>
      <c r="C1584" t="s">
        <v>4274</v>
      </c>
      <c r="D1584" t="s">
        <v>4781</v>
      </c>
      <c r="E1584" t="str">
        <f>"00062779"</f>
        <v>00062779</v>
      </c>
      <c r="F1584">
        <v>0</v>
      </c>
      <c r="G1584" s="243">
        <v>40406</v>
      </c>
      <c r="H1584" t="s">
        <v>182</v>
      </c>
      <c r="I1584">
        <v>4</v>
      </c>
      <c r="J1584">
        <v>5</v>
      </c>
      <c r="K1584">
        <v>1</v>
      </c>
      <c r="L1584">
        <v>25239.37</v>
      </c>
      <c r="M1584" t="str">
        <f t="shared" si="228"/>
        <v>13</v>
      </c>
      <c r="N1584" t="s">
        <v>3323</v>
      </c>
      <c r="O1584" t="str">
        <f t="shared" ref="O1584:O1606" si="233">"55911"</f>
        <v>55911</v>
      </c>
      <c r="P1584" t="str">
        <f>"2200L"</f>
        <v>2200L</v>
      </c>
      <c r="Q1584" t="str">
        <f t="shared" si="231"/>
        <v>0101</v>
      </c>
      <c r="R1584">
        <v>2200</v>
      </c>
      <c r="S1584" t="str">
        <f t="shared" ref="S1584:S1606" si="234">"5590"</f>
        <v>5590</v>
      </c>
      <c r="T1584" t="s">
        <v>3560</v>
      </c>
      <c r="U1584" t="s">
        <v>44</v>
      </c>
    </row>
    <row r="1585" spans="1:21" ht="15" customHeight="1" x14ac:dyDescent="0.3">
      <c r="A1585" t="s">
        <v>179</v>
      </c>
      <c r="B1585" t="str">
        <f>"00065625"</f>
        <v>00065625</v>
      </c>
      <c r="C1585" t="s">
        <v>4288</v>
      </c>
      <c r="D1585" t="s">
        <v>4782</v>
      </c>
      <c r="E1585" t="str">
        <f>"00066438"</f>
        <v>00066438</v>
      </c>
      <c r="F1585">
        <v>0</v>
      </c>
      <c r="G1585" s="243">
        <v>40770</v>
      </c>
      <c r="H1585" t="s">
        <v>182</v>
      </c>
      <c r="I1585">
        <v>4</v>
      </c>
      <c r="J1585">
        <v>5</v>
      </c>
      <c r="K1585">
        <v>1</v>
      </c>
      <c r="L1585">
        <v>25239.37</v>
      </c>
      <c r="M1585" t="str">
        <f t="shared" si="228"/>
        <v>13</v>
      </c>
      <c r="N1585" t="s">
        <v>3370</v>
      </c>
      <c r="O1585" t="str">
        <f t="shared" si="233"/>
        <v>55911</v>
      </c>
      <c r="P1585" t="str">
        <f>"2200L"</f>
        <v>2200L</v>
      </c>
      <c r="Q1585" t="str">
        <f t="shared" si="231"/>
        <v>0101</v>
      </c>
      <c r="R1585">
        <v>2200</v>
      </c>
      <c r="S1585" t="str">
        <f t="shared" si="234"/>
        <v>5590</v>
      </c>
      <c r="T1585" t="s">
        <v>3560</v>
      </c>
      <c r="U1585" t="s">
        <v>44</v>
      </c>
    </row>
    <row r="1586" spans="1:21" ht="15" customHeight="1" x14ac:dyDescent="0.3">
      <c r="A1586" t="s">
        <v>179</v>
      </c>
      <c r="B1586" t="str">
        <f>"00066458"</f>
        <v>00066458</v>
      </c>
      <c r="C1586" t="s">
        <v>4254</v>
      </c>
      <c r="D1586" t="s">
        <v>1530</v>
      </c>
      <c r="E1586" t="str">
        <f>"00057513"</f>
        <v>00057513</v>
      </c>
      <c r="F1586">
        <v>0</v>
      </c>
      <c r="G1586" s="243">
        <v>40042</v>
      </c>
      <c r="H1586" t="s">
        <v>182</v>
      </c>
      <c r="I1586">
        <v>15</v>
      </c>
      <c r="J1586">
        <v>4</v>
      </c>
      <c r="K1586">
        <v>1</v>
      </c>
      <c r="L1586">
        <v>54725</v>
      </c>
      <c r="M1586" t="str">
        <f t="shared" si="228"/>
        <v>13</v>
      </c>
      <c r="N1586" t="s">
        <v>3323</v>
      </c>
      <c r="O1586" t="str">
        <f t="shared" si="233"/>
        <v>55911</v>
      </c>
      <c r="P1586" t="str">
        <f>"2100L"</f>
        <v>2100L</v>
      </c>
      <c r="Q1586" t="str">
        <f t="shared" si="231"/>
        <v>0101</v>
      </c>
      <c r="R1586">
        <v>2100</v>
      </c>
      <c r="S1586" t="str">
        <f t="shared" si="234"/>
        <v>5590</v>
      </c>
      <c r="T1586" t="s">
        <v>3560</v>
      </c>
      <c r="U1586" t="s">
        <v>44</v>
      </c>
    </row>
    <row r="1587" spans="1:21" ht="15" customHeight="1" x14ac:dyDescent="0.3">
      <c r="A1587" t="s">
        <v>179</v>
      </c>
      <c r="B1587" t="str">
        <f>"00066463"</f>
        <v>00066463</v>
      </c>
      <c r="C1587" t="s">
        <v>4262</v>
      </c>
      <c r="D1587" t="s">
        <v>1531</v>
      </c>
      <c r="E1587" t="str">
        <f>"00062776"</f>
        <v>00062776</v>
      </c>
      <c r="F1587">
        <v>0</v>
      </c>
      <c r="G1587" s="243">
        <v>40406</v>
      </c>
      <c r="H1587" t="s">
        <v>182</v>
      </c>
      <c r="I1587">
        <v>15</v>
      </c>
      <c r="J1587">
        <v>2</v>
      </c>
      <c r="K1587">
        <v>1</v>
      </c>
      <c r="L1587">
        <v>51716</v>
      </c>
      <c r="M1587" t="str">
        <f t="shared" si="228"/>
        <v>13</v>
      </c>
      <c r="N1587" t="s">
        <v>3323</v>
      </c>
      <c r="O1587" t="str">
        <f t="shared" si="233"/>
        <v>55911</v>
      </c>
      <c r="P1587" t="str">
        <f>"2100L"</f>
        <v>2100L</v>
      </c>
      <c r="Q1587" t="str">
        <f t="shared" si="231"/>
        <v>0101</v>
      </c>
      <c r="R1587">
        <v>2100</v>
      </c>
      <c r="S1587" t="str">
        <f t="shared" si="234"/>
        <v>5590</v>
      </c>
      <c r="T1587" t="s">
        <v>3560</v>
      </c>
      <c r="U1587" t="s">
        <v>44</v>
      </c>
    </row>
    <row r="1588" spans="1:21" ht="15" customHeight="1" x14ac:dyDescent="0.3">
      <c r="A1588" t="s">
        <v>179</v>
      </c>
      <c r="B1588" t="str">
        <f>"00072222"</f>
        <v>00072222</v>
      </c>
      <c r="C1588" t="s">
        <v>4257</v>
      </c>
      <c r="D1588" t="s">
        <v>1532</v>
      </c>
      <c r="E1588" t="str">
        <f>"00062644"</f>
        <v>00062644</v>
      </c>
      <c r="F1588">
        <v>0</v>
      </c>
      <c r="G1588" s="243">
        <v>40406</v>
      </c>
      <c r="H1588" t="s">
        <v>182</v>
      </c>
      <c r="I1588">
        <v>15</v>
      </c>
      <c r="J1588">
        <v>3</v>
      </c>
      <c r="K1588">
        <v>1</v>
      </c>
      <c r="L1588">
        <v>52777</v>
      </c>
      <c r="M1588" t="str">
        <f t="shared" si="228"/>
        <v>13</v>
      </c>
      <c r="N1588" t="s">
        <v>3323</v>
      </c>
      <c r="O1588" t="str">
        <f t="shared" si="233"/>
        <v>55911</v>
      </c>
      <c r="P1588" t="str">
        <f>"2100L"</f>
        <v>2100L</v>
      </c>
      <c r="Q1588" t="str">
        <f t="shared" si="231"/>
        <v>0101</v>
      </c>
      <c r="R1588">
        <v>2100</v>
      </c>
      <c r="S1588" t="str">
        <f t="shared" si="234"/>
        <v>5590</v>
      </c>
      <c r="T1588" t="s">
        <v>3560</v>
      </c>
      <c r="U1588" t="s">
        <v>44</v>
      </c>
    </row>
    <row r="1589" spans="1:21" ht="15" customHeight="1" x14ac:dyDescent="0.3">
      <c r="A1589" t="s">
        <v>179</v>
      </c>
      <c r="B1589" t="str">
        <f>"00072330"</f>
        <v>00072330</v>
      </c>
      <c r="C1589" t="s">
        <v>4262</v>
      </c>
      <c r="D1589" t="s">
        <v>1533</v>
      </c>
      <c r="E1589" t="str">
        <f>"00062682"</f>
        <v>00062682</v>
      </c>
      <c r="F1589">
        <v>0</v>
      </c>
      <c r="G1589" s="243">
        <v>40406</v>
      </c>
      <c r="H1589" t="s">
        <v>182</v>
      </c>
      <c r="I1589">
        <v>15</v>
      </c>
      <c r="J1589">
        <v>7</v>
      </c>
      <c r="K1589">
        <v>1</v>
      </c>
      <c r="L1589">
        <v>69132</v>
      </c>
      <c r="M1589" t="str">
        <f t="shared" si="228"/>
        <v>13</v>
      </c>
      <c r="N1589" t="s">
        <v>3323</v>
      </c>
      <c r="O1589" t="str">
        <f t="shared" si="233"/>
        <v>55911</v>
      </c>
      <c r="P1589" t="str">
        <f>"2100L"</f>
        <v>2100L</v>
      </c>
      <c r="Q1589" t="str">
        <f t="shared" si="231"/>
        <v>0101</v>
      </c>
      <c r="R1589">
        <v>2100</v>
      </c>
      <c r="S1589" t="str">
        <f t="shared" si="234"/>
        <v>5590</v>
      </c>
      <c r="T1589" t="s">
        <v>3560</v>
      </c>
      <c r="U1589" t="s">
        <v>44</v>
      </c>
    </row>
    <row r="1590" spans="1:21" ht="15" customHeight="1" x14ac:dyDescent="0.3">
      <c r="A1590" t="s">
        <v>179</v>
      </c>
      <c r="B1590" t="str">
        <f>"00072433"</f>
        <v>00072433</v>
      </c>
      <c r="C1590" t="s">
        <v>4614</v>
      </c>
      <c r="D1590" t="s">
        <v>1534</v>
      </c>
      <c r="E1590" t="str">
        <f>"00057426"</f>
        <v>00057426</v>
      </c>
      <c r="F1590">
        <v>0</v>
      </c>
      <c r="G1590" s="243">
        <v>40042</v>
      </c>
      <c r="H1590" t="s">
        <v>182</v>
      </c>
      <c r="I1590">
        <v>7</v>
      </c>
      <c r="J1590">
        <v>2</v>
      </c>
      <c r="K1590">
        <v>1</v>
      </c>
      <c r="L1590">
        <v>35977</v>
      </c>
      <c r="M1590" t="str">
        <f t="shared" si="228"/>
        <v>13</v>
      </c>
      <c r="N1590" t="s">
        <v>3323</v>
      </c>
      <c r="O1590" t="str">
        <f t="shared" si="233"/>
        <v>55911</v>
      </c>
      <c r="P1590" t="str">
        <f>"2100L"</f>
        <v>2100L</v>
      </c>
      <c r="Q1590" t="str">
        <f t="shared" si="231"/>
        <v>0101</v>
      </c>
      <c r="R1590">
        <v>2100</v>
      </c>
      <c r="S1590" t="str">
        <f t="shared" si="234"/>
        <v>5590</v>
      </c>
      <c r="T1590" t="s">
        <v>3560</v>
      </c>
      <c r="U1590" t="s">
        <v>44</v>
      </c>
    </row>
    <row r="1591" spans="1:21" ht="15" customHeight="1" x14ac:dyDescent="0.3">
      <c r="A1591" t="s">
        <v>179</v>
      </c>
      <c r="B1591" t="str">
        <f>"00072469"</f>
        <v>00072469</v>
      </c>
      <c r="C1591" t="s">
        <v>4274</v>
      </c>
      <c r="D1591" t="s">
        <v>4783</v>
      </c>
      <c r="E1591" t="str">
        <f>"00051231"</f>
        <v>00051231</v>
      </c>
      <c r="F1591">
        <v>0</v>
      </c>
      <c r="G1591" s="243">
        <v>36768</v>
      </c>
      <c r="H1591" t="s">
        <v>182</v>
      </c>
      <c r="I1591">
        <v>4</v>
      </c>
      <c r="J1591">
        <v>10</v>
      </c>
      <c r="K1591">
        <v>0.71</v>
      </c>
      <c r="L1591">
        <v>28721</v>
      </c>
      <c r="M1591" t="str">
        <f t="shared" si="228"/>
        <v>13</v>
      </c>
      <c r="N1591" t="s">
        <v>3370</v>
      </c>
      <c r="O1591" t="str">
        <f t="shared" si="233"/>
        <v>55911</v>
      </c>
      <c r="P1591" t="str">
        <f>"2200L"</f>
        <v>2200L</v>
      </c>
      <c r="Q1591" t="str">
        <f t="shared" si="231"/>
        <v>0101</v>
      </c>
      <c r="R1591">
        <v>2200</v>
      </c>
      <c r="S1591" t="str">
        <f t="shared" si="234"/>
        <v>5590</v>
      </c>
      <c r="T1591" t="s">
        <v>3560</v>
      </c>
      <c r="U1591" t="s">
        <v>44</v>
      </c>
    </row>
    <row r="1592" spans="1:21" ht="15" customHeight="1" x14ac:dyDescent="0.3">
      <c r="A1592" t="s">
        <v>179</v>
      </c>
      <c r="B1592" t="str">
        <f>"00072471"</f>
        <v>00072471</v>
      </c>
      <c r="C1592" t="s">
        <v>4288</v>
      </c>
      <c r="D1592" t="s">
        <v>4784</v>
      </c>
      <c r="E1592" t="str">
        <f>"00053303"</f>
        <v>00053303</v>
      </c>
      <c r="F1592">
        <v>0</v>
      </c>
      <c r="G1592" s="243">
        <v>39335</v>
      </c>
      <c r="H1592" t="s">
        <v>182</v>
      </c>
      <c r="I1592">
        <v>4</v>
      </c>
      <c r="J1592">
        <v>7</v>
      </c>
      <c r="K1592">
        <v>0.71</v>
      </c>
      <c r="L1592">
        <v>26633.25</v>
      </c>
      <c r="M1592" t="str">
        <f t="shared" si="228"/>
        <v>13</v>
      </c>
      <c r="N1592" t="s">
        <v>3323</v>
      </c>
      <c r="O1592" t="str">
        <f t="shared" si="233"/>
        <v>55911</v>
      </c>
      <c r="P1592" t="str">
        <f>"2200L"</f>
        <v>2200L</v>
      </c>
      <c r="Q1592" t="str">
        <f t="shared" si="231"/>
        <v>0101</v>
      </c>
      <c r="R1592">
        <v>2200</v>
      </c>
      <c r="S1592" t="str">
        <f t="shared" si="234"/>
        <v>5590</v>
      </c>
      <c r="T1592" t="s">
        <v>3560</v>
      </c>
      <c r="U1592" t="s">
        <v>44</v>
      </c>
    </row>
    <row r="1593" spans="1:21" ht="15" customHeight="1" x14ac:dyDescent="0.3">
      <c r="A1593" t="s">
        <v>179</v>
      </c>
      <c r="B1593" t="str">
        <f>"00072733"</f>
        <v>00072733</v>
      </c>
      <c r="C1593" t="s">
        <v>4260</v>
      </c>
      <c r="D1593" t="s">
        <v>1537</v>
      </c>
      <c r="E1593" t="str">
        <f>"00052957"</f>
        <v>00052957</v>
      </c>
      <c r="F1593">
        <v>0</v>
      </c>
      <c r="G1593" s="243">
        <v>30488</v>
      </c>
      <c r="H1593" t="s">
        <v>182</v>
      </c>
      <c r="I1593">
        <v>15</v>
      </c>
      <c r="J1593">
        <v>16</v>
      </c>
      <c r="K1593">
        <v>1</v>
      </c>
      <c r="L1593">
        <v>103347</v>
      </c>
      <c r="M1593" t="str">
        <f t="shared" si="228"/>
        <v>13</v>
      </c>
      <c r="N1593" t="s">
        <v>3323</v>
      </c>
      <c r="O1593" t="str">
        <f t="shared" si="233"/>
        <v>55911</v>
      </c>
      <c r="P1593" t="str">
        <f>"2100L"</f>
        <v>2100L</v>
      </c>
      <c r="Q1593" t="str">
        <f t="shared" si="231"/>
        <v>0101</v>
      </c>
      <c r="R1593">
        <v>2100</v>
      </c>
      <c r="S1593" t="str">
        <f t="shared" si="234"/>
        <v>5590</v>
      </c>
      <c r="T1593" t="s">
        <v>3560</v>
      </c>
      <c r="U1593" t="s">
        <v>44</v>
      </c>
    </row>
    <row r="1594" spans="1:21" ht="15" customHeight="1" x14ac:dyDescent="0.3">
      <c r="A1594" t="s">
        <v>179</v>
      </c>
      <c r="B1594" t="str">
        <f>"00073888"</f>
        <v>00073888</v>
      </c>
      <c r="C1594" t="s">
        <v>4410</v>
      </c>
      <c r="D1594" t="s">
        <v>1535</v>
      </c>
      <c r="E1594" t="str">
        <f>"00062614"</f>
        <v>00062614</v>
      </c>
      <c r="F1594">
        <v>0</v>
      </c>
      <c r="G1594" s="243">
        <v>40406</v>
      </c>
      <c r="H1594" t="s">
        <v>182</v>
      </c>
      <c r="I1594">
        <v>5</v>
      </c>
      <c r="J1594">
        <v>5</v>
      </c>
      <c r="K1594">
        <v>1</v>
      </c>
      <c r="L1594">
        <v>32070</v>
      </c>
      <c r="M1594" t="str">
        <f t="shared" si="228"/>
        <v>13</v>
      </c>
      <c r="N1594" t="s">
        <v>3323</v>
      </c>
      <c r="O1594" t="str">
        <f t="shared" si="233"/>
        <v>55911</v>
      </c>
      <c r="P1594" t="str">
        <f>"2100L"</f>
        <v>2100L</v>
      </c>
      <c r="Q1594" t="str">
        <f t="shared" si="231"/>
        <v>0101</v>
      </c>
      <c r="R1594">
        <v>2100</v>
      </c>
      <c r="S1594" t="str">
        <f t="shared" si="234"/>
        <v>5590</v>
      </c>
      <c r="T1594" t="s">
        <v>3560</v>
      </c>
      <c r="U1594" t="s">
        <v>44</v>
      </c>
    </row>
    <row r="1595" spans="1:21" ht="15" customHeight="1" x14ac:dyDescent="0.3">
      <c r="A1595" t="s">
        <v>179</v>
      </c>
      <c r="B1595" t="str">
        <f>"00073889"</f>
        <v>00073889</v>
      </c>
      <c r="C1595" t="s">
        <v>4410</v>
      </c>
      <c r="H1595" t="s">
        <v>170</v>
      </c>
      <c r="I1595">
        <v>5</v>
      </c>
      <c r="J1595">
        <v>1</v>
      </c>
      <c r="K1595">
        <v>1</v>
      </c>
      <c r="L1595">
        <v>28486</v>
      </c>
      <c r="M1595" t="str">
        <f t="shared" si="228"/>
        <v>13</v>
      </c>
      <c r="N1595" t="s">
        <v>3323</v>
      </c>
      <c r="O1595" t="str">
        <f t="shared" si="233"/>
        <v>55911</v>
      </c>
      <c r="P1595" t="str">
        <f>"2100L"</f>
        <v>2100L</v>
      </c>
      <c r="Q1595" t="str">
        <f t="shared" si="231"/>
        <v>0101</v>
      </c>
      <c r="R1595">
        <v>2100</v>
      </c>
      <c r="S1595" t="str">
        <f t="shared" si="234"/>
        <v>5590</v>
      </c>
      <c r="T1595" t="s">
        <v>3560</v>
      </c>
      <c r="U1595" t="s">
        <v>44</v>
      </c>
    </row>
    <row r="1596" spans="1:21" ht="15" customHeight="1" x14ac:dyDescent="0.3">
      <c r="A1596" t="s">
        <v>179</v>
      </c>
      <c r="B1596" t="str">
        <f>"00074841"</f>
        <v>00074841</v>
      </c>
      <c r="C1596" t="s">
        <v>4272</v>
      </c>
      <c r="D1596" t="s">
        <v>3561</v>
      </c>
      <c r="E1596" t="str">
        <f>"00066345"</f>
        <v>00066345</v>
      </c>
      <c r="F1596">
        <v>0</v>
      </c>
      <c r="G1596" s="243">
        <v>40755</v>
      </c>
      <c r="H1596" t="s">
        <v>182</v>
      </c>
      <c r="I1596">
        <v>15</v>
      </c>
      <c r="J1596">
        <v>5</v>
      </c>
      <c r="K1596">
        <v>1</v>
      </c>
      <c r="L1596">
        <v>56655</v>
      </c>
      <c r="M1596" t="str">
        <f t="shared" si="228"/>
        <v>13</v>
      </c>
      <c r="N1596" t="s">
        <v>3323</v>
      </c>
      <c r="O1596" t="str">
        <f t="shared" si="233"/>
        <v>55911</v>
      </c>
      <c r="P1596" t="str">
        <f>"2200L"</f>
        <v>2200L</v>
      </c>
      <c r="Q1596" t="str">
        <f t="shared" si="231"/>
        <v>0101</v>
      </c>
      <c r="R1596">
        <v>2200</v>
      </c>
      <c r="S1596" t="str">
        <f t="shared" si="234"/>
        <v>5590</v>
      </c>
      <c r="T1596" t="s">
        <v>3560</v>
      </c>
      <c r="U1596" t="s">
        <v>44</v>
      </c>
    </row>
    <row r="1597" spans="1:21" ht="15" customHeight="1" x14ac:dyDescent="0.3">
      <c r="A1597" t="s">
        <v>179</v>
      </c>
      <c r="B1597" t="str">
        <f>"00074842"</f>
        <v>00074842</v>
      </c>
      <c r="C1597" t="s">
        <v>4274</v>
      </c>
      <c r="D1597" t="s">
        <v>4785</v>
      </c>
      <c r="E1597" t="str">
        <f>"00051566"</f>
        <v>00051566</v>
      </c>
      <c r="F1597">
        <v>0</v>
      </c>
      <c r="G1597" s="243">
        <v>40788</v>
      </c>
      <c r="H1597" t="s">
        <v>182</v>
      </c>
      <c r="I1597">
        <v>4</v>
      </c>
      <c r="J1597">
        <v>10</v>
      </c>
      <c r="K1597">
        <v>0.71</v>
      </c>
      <c r="L1597">
        <v>28721</v>
      </c>
      <c r="M1597" t="str">
        <f t="shared" si="228"/>
        <v>13</v>
      </c>
      <c r="N1597" t="s">
        <v>3323</v>
      </c>
      <c r="O1597" t="str">
        <f t="shared" si="233"/>
        <v>55911</v>
      </c>
      <c r="P1597" t="str">
        <f>"2200L"</f>
        <v>2200L</v>
      </c>
      <c r="Q1597" t="str">
        <f t="shared" si="231"/>
        <v>0101</v>
      </c>
      <c r="R1597">
        <v>2200</v>
      </c>
      <c r="S1597" t="str">
        <f t="shared" si="234"/>
        <v>5590</v>
      </c>
      <c r="T1597" t="s">
        <v>3560</v>
      </c>
      <c r="U1597" t="s">
        <v>44</v>
      </c>
    </row>
    <row r="1598" spans="1:21" ht="15" customHeight="1" x14ac:dyDescent="0.3">
      <c r="A1598" t="s">
        <v>179</v>
      </c>
      <c r="B1598" t="str">
        <f>"00075229"</f>
        <v>00075229</v>
      </c>
      <c r="C1598" t="s">
        <v>4262</v>
      </c>
      <c r="D1598" t="s">
        <v>3562</v>
      </c>
      <c r="E1598" t="str">
        <f>"00057345"</f>
        <v>00057345</v>
      </c>
      <c r="F1598">
        <v>0</v>
      </c>
      <c r="G1598" s="243">
        <v>40911</v>
      </c>
      <c r="H1598" t="s">
        <v>182</v>
      </c>
      <c r="I1598">
        <v>15</v>
      </c>
      <c r="J1598">
        <v>2</v>
      </c>
      <c r="K1598">
        <v>1</v>
      </c>
      <c r="L1598">
        <v>51716</v>
      </c>
      <c r="M1598" t="str">
        <f t="shared" si="228"/>
        <v>13</v>
      </c>
      <c r="N1598" t="s">
        <v>3323</v>
      </c>
      <c r="O1598" t="str">
        <f t="shared" si="233"/>
        <v>55911</v>
      </c>
      <c r="P1598" t="str">
        <f t="shared" ref="P1598:P1604" si="235">"2100L"</f>
        <v>2100L</v>
      </c>
      <c r="Q1598" t="str">
        <f t="shared" si="231"/>
        <v>0101</v>
      </c>
      <c r="R1598">
        <v>2100</v>
      </c>
      <c r="S1598" t="str">
        <f t="shared" si="234"/>
        <v>5590</v>
      </c>
      <c r="T1598" t="s">
        <v>3560</v>
      </c>
      <c r="U1598" t="s">
        <v>44</v>
      </c>
    </row>
    <row r="1599" spans="1:21" ht="15" customHeight="1" x14ac:dyDescent="0.3">
      <c r="A1599" t="s">
        <v>179</v>
      </c>
      <c r="B1599" t="str">
        <f>"00075558"</f>
        <v>00075558</v>
      </c>
      <c r="C1599" t="s">
        <v>3670</v>
      </c>
      <c r="H1599" t="s">
        <v>170</v>
      </c>
      <c r="I1599">
        <v>8</v>
      </c>
      <c r="J1599">
        <v>0</v>
      </c>
      <c r="K1599">
        <v>1</v>
      </c>
      <c r="L1599">
        <v>82397</v>
      </c>
      <c r="M1599" t="str">
        <f t="shared" si="228"/>
        <v>13</v>
      </c>
      <c r="N1599" t="s">
        <v>3370</v>
      </c>
      <c r="O1599" t="str">
        <f t="shared" si="233"/>
        <v>55911</v>
      </c>
      <c r="P1599" t="str">
        <f t="shared" si="235"/>
        <v>2100L</v>
      </c>
      <c r="Q1599" t="str">
        <f t="shared" si="231"/>
        <v>0101</v>
      </c>
      <c r="R1599">
        <v>2100</v>
      </c>
      <c r="S1599" t="str">
        <f t="shared" si="234"/>
        <v>5590</v>
      </c>
      <c r="T1599" t="s">
        <v>3560</v>
      </c>
      <c r="U1599" t="s">
        <v>44</v>
      </c>
    </row>
    <row r="1600" spans="1:21" ht="15" customHeight="1" x14ac:dyDescent="0.3">
      <c r="A1600" t="s">
        <v>179</v>
      </c>
      <c r="B1600" t="str">
        <f>"00076164"</f>
        <v>00076164</v>
      </c>
      <c r="C1600" t="s">
        <v>4271</v>
      </c>
      <c r="D1600" t="s">
        <v>4786</v>
      </c>
      <c r="E1600" t="str">
        <f>"00044682"</f>
        <v>00044682</v>
      </c>
      <c r="F1600">
        <v>0</v>
      </c>
      <c r="G1600" s="243">
        <v>36612</v>
      </c>
      <c r="H1600" t="s">
        <v>182</v>
      </c>
      <c r="I1600">
        <v>15</v>
      </c>
      <c r="J1600">
        <v>10</v>
      </c>
      <c r="K1600">
        <v>0.5</v>
      </c>
      <c r="L1600">
        <v>83199</v>
      </c>
      <c r="M1600" t="str">
        <f t="shared" si="228"/>
        <v>13</v>
      </c>
      <c r="N1600" t="s">
        <v>3370</v>
      </c>
      <c r="O1600" t="str">
        <f t="shared" si="233"/>
        <v>55911</v>
      </c>
      <c r="P1600" t="str">
        <f t="shared" si="235"/>
        <v>2100L</v>
      </c>
      <c r="Q1600" t="str">
        <f t="shared" si="231"/>
        <v>0101</v>
      </c>
      <c r="R1600">
        <v>2100</v>
      </c>
      <c r="S1600" t="str">
        <f t="shared" si="234"/>
        <v>5590</v>
      </c>
      <c r="T1600" t="s">
        <v>3560</v>
      </c>
      <c r="U1600" t="s">
        <v>44</v>
      </c>
    </row>
    <row r="1601" spans="1:21" ht="15" customHeight="1" x14ac:dyDescent="0.3">
      <c r="A1601" t="s">
        <v>179</v>
      </c>
      <c r="B1601" t="str">
        <f>"00076165"</f>
        <v>00076165</v>
      </c>
      <c r="C1601" t="s">
        <v>4262</v>
      </c>
      <c r="D1601" t="s">
        <v>190</v>
      </c>
      <c r="E1601" t="str">
        <f>"00049016"</f>
        <v>00049016</v>
      </c>
      <c r="F1601">
        <v>0</v>
      </c>
      <c r="G1601" s="243">
        <v>39696</v>
      </c>
      <c r="H1601" t="s">
        <v>182</v>
      </c>
      <c r="I1601">
        <v>15</v>
      </c>
      <c r="J1601">
        <v>12</v>
      </c>
      <c r="K1601">
        <v>1</v>
      </c>
      <c r="L1601">
        <v>87431</v>
      </c>
      <c r="M1601" t="str">
        <f t="shared" si="228"/>
        <v>13</v>
      </c>
      <c r="N1601" t="s">
        <v>3370</v>
      </c>
      <c r="O1601" t="str">
        <f t="shared" si="233"/>
        <v>55911</v>
      </c>
      <c r="P1601" t="str">
        <f t="shared" si="235"/>
        <v>2100L</v>
      </c>
      <c r="Q1601" t="str">
        <f t="shared" si="231"/>
        <v>0101</v>
      </c>
      <c r="R1601">
        <v>2100</v>
      </c>
      <c r="S1601" t="str">
        <f t="shared" si="234"/>
        <v>5590</v>
      </c>
      <c r="T1601" t="s">
        <v>3560</v>
      </c>
      <c r="U1601" t="s">
        <v>44</v>
      </c>
    </row>
    <row r="1602" spans="1:21" ht="15" customHeight="1" x14ac:dyDescent="0.3">
      <c r="A1602" t="s">
        <v>179</v>
      </c>
      <c r="B1602" t="str">
        <f>"00076167"</f>
        <v>00076167</v>
      </c>
      <c r="C1602" t="s">
        <v>4395</v>
      </c>
      <c r="D1602" t="s">
        <v>1521</v>
      </c>
      <c r="E1602" t="str">
        <f>"00047901"</f>
        <v>00047901</v>
      </c>
      <c r="F1602">
        <v>0</v>
      </c>
      <c r="G1602" s="243">
        <v>31670</v>
      </c>
      <c r="H1602" t="s">
        <v>182</v>
      </c>
      <c r="I1602">
        <v>10</v>
      </c>
      <c r="J1602">
        <v>9</v>
      </c>
      <c r="K1602">
        <v>1</v>
      </c>
      <c r="L1602">
        <v>84226</v>
      </c>
      <c r="M1602" t="str">
        <f t="shared" si="228"/>
        <v>13</v>
      </c>
      <c r="N1602" t="s">
        <v>3370</v>
      </c>
      <c r="O1602" t="str">
        <f t="shared" si="233"/>
        <v>55911</v>
      </c>
      <c r="P1602" t="str">
        <f t="shared" si="235"/>
        <v>2100L</v>
      </c>
      <c r="Q1602" t="str">
        <f t="shared" si="231"/>
        <v>0101</v>
      </c>
      <c r="R1602">
        <v>2100</v>
      </c>
      <c r="S1602" t="str">
        <f t="shared" si="234"/>
        <v>5590</v>
      </c>
      <c r="T1602" t="s">
        <v>3560</v>
      </c>
      <c r="U1602" t="s">
        <v>44</v>
      </c>
    </row>
    <row r="1603" spans="1:21" ht="15" customHeight="1" x14ac:dyDescent="0.3">
      <c r="A1603" t="s">
        <v>179</v>
      </c>
      <c r="B1603" t="str">
        <f>"00076168"</f>
        <v>00076168</v>
      </c>
      <c r="C1603" t="s">
        <v>4770</v>
      </c>
      <c r="D1603" t="s">
        <v>1536</v>
      </c>
      <c r="E1603" t="str">
        <f>"00057031"</f>
        <v>00057031</v>
      </c>
      <c r="F1603">
        <v>0</v>
      </c>
      <c r="G1603" s="243">
        <v>40042</v>
      </c>
      <c r="H1603" t="s">
        <v>182</v>
      </c>
      <c r="I1603">
        <v>9</v>
      </c>
      <c r="J1603">
        <v>1</v>
      </c>
      <c r="K1603">
        <v>0.5</v>
      </c>
      <c r="L1603">
        <v>16581.5</v>
      </c>
      <c r="M1603" t="str">
        <f t="shared" si="228"/>
        <v>13</v>
      </c>
      <c r="N1603" t="s">
        <v>3370</v>
      </c>
      <c r="O1603" t="str">
        <f t="shared" si="233"/>
        <v>55911</v>
      </c>
      <c r="P1603" t="str">
        <f t="shared" si="235"/>
        <v>2100L</v>
      </c>
      <c r="Q1603" t="str">
        <f t="shared" si="231"/>
        <v>0101</v>
      </c>
      <c r="R1603">
        <v>2100</v>
      </c>
      <c r="S1603" t="str">
        <f t="shared" si="234"/>
        <v>5590</v>
      </c>
      <c r="T1603" t="s">
        <v>3560</v>
      </c>
      <c r="U1603" t="s">
        <v>44</v>
      </c>
    </row>
    <row r="1604" spans="1:21" ht="15" customHeight="1" x14ac:dyDescent="0.3">
      <c r="A1604" t="s">
        <v>179</v>
      </c>
      <c r="B1604" t="str">
        <f>"00076169"</f>
        <v>00076169</v>
      </c>
      <c r="C1604" t="s">
        <v>4262</v>
      </c>
      <c r="D1604" t="s">
        <v>4787</v>
      </c>
      <c r="E1604" t="str">
        <f>"00051527"</f>
        <v>00051527</v>
      </c>
      <c r="F1604">
        <v>0</v>
      </c>
      <c r="G1604" s="243">
        <v>40945</v>
      </c>
      <c r="H1604" t="s">
        <v>182</v>
      </c>
      <c r="I1604">
        <v>15</v>
      </c>
      <c r="J1604">
        <v>6</v>
      </c>
      <c r="K1604">
        <v>1</v>
      </c>
      <c r="L1604">
        <v>68537</v>
      </c>
      <c r="M1604" t="str">
        <f t="shared" si="228"/>
        <v>13</v>
      </c>
      <c r="N1604" t="s">
        <v>3323</v>
      </c>
      <c r="O1604" t="str">
        <f t="shared" si="233"/>
        <v>55911</v>
      </c>
      <c r="P1604" t="str">
        <f t="shared" si="235"/>
        <v>2100L</v>
      </c>
      <c r="Q1604" t="str">
        <f t="shared" si="231"/>
        <v>0101</v>
      </c>
      <c r="R1604">
        <v>2100</v>
      </c>
      <c r="S1604" t="str">
        <f t="shared" si="234"/>
        <v>5590</v>
      </c>
      <c r="T1604" t="s">
        <v>3560</v>
      </c>
      <c r="U1604" t="s">
        <v>44</v>
      </c>
    </row>
    <row r="1605" spans="1:21" ht="15" customHeight="1" x14ac:dyDescent="0.3">
      <c r="A1605" t="s">
        <v>179</v>
      </c>
      <c r="B1605" t="str">
        <f>"00076453"</f>
        <v>00076453</v>
      </c>
      <c r="C1605" t="s">
        <v>4274</v>
      </c>
      <c r="D1605" t="s">
        <v>4788</v>
      </c>
      <c r="E1605" t="str">
        <f>"00067241"</f>
        <v>00067241</v>
      </c>
      <c r="F1605">
        <v>0</v>
      </c>
      <c r="G1605" s="243">
        <v>41133</v>
      </c>
      <c r="H1605" t="s">
        <v>182</v>
      </c>
      <c r="I1605">
        <v>4</v>
      </c>
      <c r="J1605">
        <v>3</v>
      </c>
      <c r="K1605">
        <v>0.71</v>
      </c>
      <c r="L1605">
        <v>23848.12</v>
      </c>
      <c r="M1605" t="str">
        <f t="shared" si="228"/>
        <v>13</v>
      </c>
      <c r="N1605" t="s">
        <v>3370</v>
      </c>
      <c r="O1605" t="str">
        <f t="shared" si="233"/>
        <v>55911</v>
      </c>
      <c r="P1605" t="str">
        <f>"2200L"</f>
        <v>2200L</v>
      </c>
      <c r="Q1605" t="str">
        <f t="shared" si="231"/>
        <v>0101</v>
      </c>
      <c r="R1605">
        <v>2200</v>
      </c>
      <c r="S1605" t="str">
        <f t="shared" si="234"/>
        <v>5590</v>
      </c>
      <c r="T1605" t="s">
        <v>3560</v>
      </c>
      <c r="U1605" t="s">
        <v>44</v>
      </c>
    </row>
    <row r="1606" spans="1:21" ht="15" customHeight="1" x14ac:dyDescent="0.3">
      <c r="A1606" t="s">
        <v>179</v>
      </c>
      <c r="B1606" t="str">
        <f>"00076455"</f>
        <v>00076455</v>
      </c>
      <c r="C1606" t="s">
        <v>4274</v>
      </c>
      <c r="D1606" t="s">
        <v>4789</v>
      </c>
      <c r="E1606" t="str">
        <f>"00062840"</f>
        <v>00062840</v>
      </c>
      <c r="F1606">
        <v>0</v>
      </c>
      <c r="G1606" s="243">
        <v>40406</v>
      </c>
      <c r="H1606" t="s">
        <v>182</v>
      </c>
      <c r="I1606">
        <v>4</v>
      </c>
      <c r="J1606">
        <v>4</v>
      </c>
      <c r="K1606">
        <v>0.71</v>
      </c>
      <c r="L1606">
        <v>24543.75</v>
      </c>
      <c r="M1606" t="str">
        <f t="shared" si="228"/>
        <v>13</v>
      </c>
      <c r="N1606" t="s">
        <v>3370</v>
      </c>
      <c r="O1606" t="str">
        <f t="shared" si="233"/>
        <v>55911</v>
      </c>
      <c r="P1606" t="str">
        <f>"2200L"</f>
        <v>2200L</v>
      </c>
      <c r="Q1606" t="str">
        <f t="shared" si="231"/>
        <v>0101</v>
      </c>
      <c r="R1606">
        <v>2200</v>
      </c>
      <c r="S1606" t="str">
        <f t="shared" si="234"/>
        <v>5590</v>
      </c>
      <c r="T1606" t="s">
        <v>3560</v>
      </c>
      <c r="U1606" t="s">
        <v>44</v>
      </c>
    </row>
    <row r="1607" spans="1:21" ht="15" customHeight="1" x14ac:dyDescent="0.3">
      <c r="A1607" t="s">
        <v>179</v>
      </c>
      <c r="B1607" t="str">
        <f>"00051605"</f>
        <v>00051605</v>
      </c>
      <c r="C1607" t="s">
        <v>4262</v>
      </c>
      <c r="D1607" t="s">
        <v>1538</v>
      </c>
      <c r="E1607" t="str">
        <f>"00045050"</f>
        <v>00045050</v>
      </c>
      <c r="F1607">
        <v>0</v>
      </c>
      <c r="G1607" s="243">
        <v>36034</v>
      </c>
      <c r="H1607" t="s">
        <v>182</v>
      </c>
      <c r="I1607">
        <v>15</v>
      </c>
      <c r="J1607">
        <v>14</v>
      </c>
      <c r="K1607">
        <v>1</v>
      </c>
      <c r="L1607">
        <v>96460</v>
      </c>
      <c r="M1607" t="str">
        <f t="shared" si="228"/>
        <v>13</v>
      </c>
      <c r="N1607" t="s">
        <v>3323</v>
      </c>
      <c r="O1607" t="str">
        <f t="shared" ref="O1607:O1634" si="236">"56011"</f>
        <v>56011</v>
      </c>
      <c r="P1607" t="str">
        <f>"2100L"</f>
        <v>2100L</v>
      </c>
      <c r="Q1607" t="str">
        <f t="shared" si="231"/>
        <v>0101</v>
      </c>
      <c r="R1607">
        <v>2100</v>
      </c>
      <c r="S1607" t="str">
        <f t="shared" ref="S1607:S1634" si="237">"5600"</f>
        <v>5600</v>
      </c>
      <c r="T1607" t="s">
        <v>3564</v>
      </c>
      <c r="U1607" t="s">
        <v>45</v>
      </c>
    </row>
    <row r="1608" spans="1:21" ht="15" customHeight="1" x14ac:dyDescent="0.3">
      <c r="A1608" t="s">
        <v>179</v>
      </c>
      <c r="B1608" t="str">
        <f>"00053531"</f>
        <v>00053531</v>
      </c>
      <c r="C1608" t="s">
        <v>4290</v>
      </c>
      <c r="D1608" t="s">
        <v>4790</v>
      </c>
      <c r="E1608" t="str">
        <f>"00051676"</f>
        <v>00051676</v>
      </c>
      <c r="F1608">
        <v>0</v>
      </c>
      <c r="G1608" s="243">
        <v>31413</v>
      </c>
      <c r="H1608" t="s">
        <v>182</v>
      </c>
      <c r="I1608">
        <v>4</v>
      </c>
      <c r="J1608">
        <v>10</v>
      </c>
      <c r="K1608">
        <v>0.875</v>
      </c>
      <c r="L1608">
        <v>28721</v>
      </c>
      <c r="M1608" t="str">
        <f t="shared" ref="M1608:M1662" si="238">"13"</f>
        <v>13</v>
      </c>
      <c r="N1608" t="s">
        <v>3323</v>
      </c>
      <c r="O1608" t="str">
        <f t="shared" si="236"/>
        <v>56011</v>
      </c>
      <c r="P1608" t="str">
        <f>"2200L"</f>
        <v>2200L</v>
      </c>
      <c r="Q1608" t="str">
        <f t="shared" si="231"/>
        <v>0101</v>
      </c>
      <c r="R1608">
        <v>2200</v>
      </c>
      <c r="S1608" t="str">
        <f t="shared" si="237"/>
        <v>5600</v>
      </c>
      <c r="T1608" t="s">
        <v>3564</v>
      </c>
      <c r="U1608" t="s">
        <v>45</v>
      </c>
    </row>
    <row r="1609" spans="1:21" ht="15" customHeight="1" x14ac:dyDescent="0.3">
      <c r="A1609" t="s">
        <v>179</v>
      </c>
      <c r="B1609" t="str">
        <f>"00054100"</f>
        <v>00054100</v>
      </c>
      <c r="C1609" t="s">
        <v>4262</v>
      </c>
      <c r="D1609" t="s">
        <v>1539</v>
      </c>
      <c r="E1609" t="str">
        <f>"00053020"</f>
        <v>00053020</v>
      </c>
      <c r="F1609">
        <v>0</v>
      </c>
      <c r="G1609" s="243">
        <v>36164</v>
      </c>
      <c r="H1609" t="s">
        <v>182</v>
      </c>
      <c r="I1609">
        <v>15</v>
      </c>
      <c r="J1609">
        <v>12</v>
      </c>
      <c r="K1609">
        <v>1</v>
      </c>
      <c r="L1609">
        <v>87431</v>
      </c>
      <c r="M1609" t="str">
        <f t="shared" si="238"/>
        <v>13</v>
      </c>
      <c r="N1609" t="s">
        <v>3323</v>
      </c>
      <c r="O1609" t="str">
        <f t="shared" si="236"/>
        <v>56011</v>
      </c>
      <c r="P1609" t="str">
        <f>"2100L"</f>
        <v>2100L</v>
      </c>
      <c r="Q1609" t="str">
        <f t="shared" si="231"/>
        <v>0101</v>
      </c>
      <c r="R1609">
        <v>2100</v>
      </c>
      <c r="S1609" t="str">
        <f t="shared" si="237"/>
        <v>5600</v>
      </c>
      <c r="T1609" t="s">
        <v>3564</v>
      </c>
      <c r="U1609" t="s">
        <v>45</v>
      </c>
    </row>
    <row r="1610" spans="1:21" ht="15" customHeight="1" x14ac:dyDescent="0.3">
      <c r="A1610" t="s">
        <v>179</v>
      </c>
      <c r="B1610" t="str">
        <f>"00054670"</f>
        <v>00054670</v>
      </c>
      <c r="C1610" t="s">
        <v>4272</v>
      </c>
      <c r="D1610" t="s">
        <v>1540</v>
      </c>
      <c r="E1610" t="str">
        <f>"00054380"</f>
        <v>00054380</v>
      </c>
      <c r="F1610">
        <v>0</v>
      </c>
      <c r="G1610" s="243">
        <v>32756</v>
      </c>
      <c r="H1610" t="s">
        <v>182</v>
      </c>
      <c r="I1610">
        <v>15</v>
      </c>
      <c r="J1610">
        <v>16</v>
      </c>
      <c r="K1610">
        <v>1</v>
      </c>
      <c r="L1610">
        <v>100839</v>
      </c>
      <c r="M1610" t="str">
        <f t="shared" si="238"/>
        <v>13</v>
      </c>
      <c r="N1610" t="s">
        <v>3323</v>
      </c>
      <c r="O1610" t="str">
        <f t="shared" si="236"/>
        <v>56011</v>
      </c>
      <c r="P1610" t="str">
        <f>"2100L"</f>
        <v>2100L</v>
      </c>
      <c r="Q1610" t="str">
        <f t="shared" si="231"/>
        <v>0101</v>
      </c>
      <c r="R1610">
        <v>2100</v>
      </c>
      <c r="S1610" t="str">
        <f t="shared" si="237"/>
        <v>5600</v>
      </c>
      <c r="T1610" t="s">
        <v>3564</v>
      </c>
      <c r="U1610" t="s">
        <v>45</v>
      </c>
    </row>
    <row r="1611" spans="1:21" ht="15" customHeight="1" x14ac:dyDescent="0.3">
      <c r="A1611" t="s">
        <v>179</v>
      </c>
      <c r="B1611" t="str">
        <f>"00056929"</f>
        <v>00056929</v>
      </c>
      <c r="C1611" t="s">
        <v>4262</v>
      </c>
      <c r="D1611" t="s">
        <v>1541</v>
      </c>
      <c r="E1611" t="str">
        <f>"00044544"</f>
        <v>00044544</v>
      </c>
      <c r="F1611">
        <v>0</v>
      </c>
      <c r="G1611" s="243">
        <v>36390</v>
      </c>
      <c r="H1611" t="s">
        <v>182</v>
      </c>
      <c r="I1611">
        <v>15</v>
      </c>
      <c r="J1611">
        <v>12</v>
      </c>
      <c r="K1611">
        <v>1</v>
      </c>
      <c r="L1611">
        <v>87431</v>
      </c>
      <c r="M1611" t="str">
        <f t="shared" si="238"/>
        <v>13</v>
      </c>
      <c r="N1611" t="s">
        <v>3323</v>
      </c>
      <c r="O1611" t="str">
        <f t="shared" si="236"/>
        <v>56011</v>
      </c>
      <c r="P1611" t="str">
        <f>"2100L"</f>
        <v>2100L</v>
      </c>
      <c r="Q1611" t="str">
        <f t="shared" si="231"/>
        <v>0101</v>
      </c>
      <c r="R1611">
        <v>2100</v>
      </c>
      <c r="S1611" t="str">
        <f t="shared" si="237"/>
        <v>5600</v>
      </c>
      <c r="T1611" t="s">
        <v>3564</v>
      </c>
      <c r="U1611" t="s">
        <v>45</v>
      </c>
    </row>
    <row r="1612" spans="1:21" ht="15" customHeight="1" x14ac:dyDescent="0.3">
      <c r="A1612" t="s">
        <v>179</v>
      </c>
      <c r="B1612" t="str">
        <f>"00057967"</f>
        <v>00057967</v>
      </c>
      <c r="C1612" t="s">
        <v>4272</v>
      </c>
      <c r="D1612" t="s">
        <v>1542</v>
      </c>
      <c r="E1612" t="str">
        <f>"00048688"</f>
        <v>00048688</v>
      </c>
      <c r="F1612">
        <v>0</v>
      </c>
      <c r="G1612" s="243">
        <v>37124</v>
      </c>
      <c r="H1612" t="s">
        <v>182</v>
      </c>
      <c r="I1612">
        <v>15</v>
      </c>
      <c r="J1612">
        <v>14</v>
      </c>
      <c r="K1612">
        <v>1</v>
      </c>
      <c r="L1612">
        <v>96460</v>
      </c>
      <c r="M1612" t="str">
        <f t="shared" si="238"/>
        <v>13</v>
      </c>
      <c r="N1612" t="s">
        <v>3323</v>
      </c>
      <c r="O1612" t="str">
        <f t="shared" si="236"/>
        <v>56011</v>
      </c>
      <c r="P1612" t="str">
        <f>"2100L"</f>
        <v>2100L</v>
      </c>
      <c r="Q1612" t="str">
        <f t="shared" si="231"/>
        <v>0101</v>
      </c>
      <c r="R1612">
        <v>2100</v>
      </c>
      <c r="S1612" t="str">
        <f t="shared" si="237"/>
        <v>5600</v>
      </c>
      <c r="T1612" t="s">
        <v>3564</v>
      </c>
      <c r="U1612" t="s">
        <v>45</v>
      </c>
    </row>
    <row r="1613" spans="1:21" ht="15" customHeight="1" x14ac:dyDescent="0.3">
      <c r="A1613" t="s">
        <v>179</v>
      </c>
      <c r="B1613" t="str">
        <f>"00058976"</f>
        <v>00058976</v>
      </c>
      <c r="C1613" t="s">
        <v>4262</v>
      </c>
      <c r="D1613" t="s">
        <v>1543</v>
      </c>
      <c r="E1613" t="str">
        <f>"00054844"</f>
        <v>00054844</v>
      </c>
      <c r="F1613">
        <v>0</v>
      </c>
      <c r="G1613" s="243">
        <v>37493</v>
      </c>
      <c r="H1613" t="s">
        <v>182</v>
      </c>
      <c r="I1613">
        <v>15</v>
      </c>
      <c r="J1613">
        <v>15</v>
      </c>
      <c r="K1613">
        <v>1</v>
      </c>
      <c r="L1613">
        <v>98285</v>
      </c>
      <c r="M1613" t="str">
        <f t="shared" si="238"/>
        <v>13</v>
      </c>
      <c r="N1613" t="s">
        <v>3323</v>
      </c>
      <c r="O1613" t="str">
        <f t="shared" si="236"/>
        <v>56011</v>
      </c>
      <c r="P1613" t="str">
        <f>"2100L"</f>
        <v>2100L</v>
      </c>
      <c r="Q1613" t="str">
        <f t="shared" ref="Q1613:Q1668" si="239">"0101"</f>
        <v>0101</v>
      </c>
      <c r="R1613">
        <v>2100</v>
      </c>
      <c r="S1613" t="str">
        <f t="shared" si="237"/>
        <v>5600</v>
      </c>
      <c r="T1613" t="s">
        <v>3564</v>
      </c>
      <c r="U1613" t="s">
        <v>45</v>
      </c>
    </row>
    <row r="1614" spans="1:21" ht="15" customHeight="1" x14ac:dyDescent="0.3">
      <c r="A1614" t="s">
        <v>179</v>
      </c>
      <c r="B1614" t="str">
        <f>"00060486"</f>
        <v>00060486</v>
      </c>
      <c r="C1614" t="s">
        <v>4290</v>
      </c>
      <c r="D1614" t="s">
        <v>4791</v>
      </c>
      <c r="E1614" t="str">
        <f>"00051375"</f>
        <v>00051375</v>
      </c>
      <c r="F1614">
        <v>0</v>
      </c>
      <c r="G1614" s="243">
        <v>31287</v>
      </c>
      <c r="H1614" t="s">
        <v>182</v>
      </c>
      <c r="I1614">
        <v>4</v>
      </c>
      <c r="J1614">
        <v>10</v>
      </c>
      <c r="K1614">
        <v>0.875</v>
      </c>
      <c r="L1614">
        <v>28721</v>
      </c>
      <c r="M1614" t="str">
        <f t="shared" si="238"/>
        <v>13</v>
      </c>
      <c r="N1614" t="s">
        <v>3323</v>
      </c>
      <c r="O1614" t="str">
        <f t="shared" si="236"/>
        <v>56011</v>
      </c>
      <c r="P1614" t="str">
        <f>"3030L"</f>
        <v>3030L</v>
      </c>
      <c r="Q1614" t="str">
        <f t="shared" si="239"/>
        <v>0101</v>
      </c>
      <c r="R1614">
        <v>3030</v>
      </c>
      <c r="S1614" t="str">
        <f t="shared" si="237"/>
        <v>5600</v>
      </c>
      <c r="T1614" t="s">
        <v>3564</v>
      </c>
      <c r="U1614" t="s">
        <v>45</v>
      </c>
    </row>
    <row r="1615" spans="1:21" ht="15" customHeight="1" x14ac:dyDescent="0.3">
      <c r="A1615" t="s">
        <v>179</v>
      </c>
      <c r="B1615" t="str">
        <f>"00061214"</f>
        <v>00061214</v>
      </c>
      <c r="C1615" t="s">
        <v>4272</v>
      </c>
      <c r="D1615" t="s">
        <v>1544</v>
      </c>
      <c r="E1615" t="str">
        <f>"00049178"</f>
        <v>00049178</v>
      </c>
      <c r="F1615">
        <v>0</v>
      </c>
      <c r="G1615" s="243">
        <v>39315</v>
      </c>
      <c r="H1615" t="s">
        <v>182</v>
      </c>
      <c r="I1615">
        <v>15</v>
      </c>
      <c r="J1615">
        <v>12</v>
      </c>
      <c r="K1615">
        <v>1</v>
      </c>
      <c r="L1615">
        <v>87431</v>
      </c>
      <c r="M1615" t="str">
        <f t="shared" si="238"/>
        <v>13</v>
      </c>
      <c r="N1615" t="s">
        <v>3323</v>
      </c>
      <c r="O1615" t="str">
        <f t="shared" si="236"/>
        <v>56011</v>
      </c>
      <c r="P1615" t="str">
        <f>"2100L"</f>
        <v>2100L</v>
      </c>
      <c r="Q1615" t="str">
        <f t="shared" si="239"/>
        <v>0101</v>
      </c>
      <c r="R1615">
        <v>2100</v>
      </c>
      <c r="S1615" t="str">
        <f t="shared" si="237"/>
        <v>5600</v>
      </c>
      <c r="T1615" t="s">
        <v>3564</v>
      </c>
      <c r="U1615" t="s">
        <v>45</v>
      </c>
    </row>
    <row r="1616" spans="1:21" ht="15" customHeight="1" x14ac:dyDescent="0.3">
      <c r="A1616" t="s">
        <v>179</v>
      </c>
      <c r="B1616" t="str">
        <f>"00061855"</f>
        <v>00061855</v>
      </c>
      <c r="C1616" t="s">
        <v>3798</v>
      </c>
      <c r="D1616" t="s">
        <v>1545</v>
      </c>
      <c r="E1616" t="str">
        <f>"00045241"</f>
        <v>00045241</v>
      </c>
      <c r="F1616">
        <v>0</v>
      </c>
      <c r="G1616" s="243">
        <v>39643</v>
      </c>
      <c r="H1616" t="s">
        <v>182</v>
      </c>
      <c r="I1616">
        <v>61</v>
      </c>
      <c r="J1616">
        <v>7</v>
      </c>
      <c r="K1616">
        <v>1</v>
      </c>
      <c r="L1616">
        <v>128000</v>
      </c>
      <c r="M1616" t="str">
        <f t="shared" si="238"/>
        <v>13</v>
      </c>
      <c r="N1616" t="s">
        <v>3323</v>
      </c>
      <c r="O1616" t="str">
        <f t="shared" si="236"/>
        <v>56011</v>
      </c>
      <c r="P1616" t="str">
        <f>"1501L"</f>
        <v>1501L</v>
      </c>
      <c r="Q1616" t="str">
        <f t="shared" si="239"/>
        <v>0101</v>
      </c>
      <c r="R1616">
        <v>1501</v>
      </c>
      <c r="S1616" t="str">
        <f t="shared" si="237"/>
        <v>5600</v>
      </c>
      <c r="T1616" t="s">
        <v>3564</v>
      </c>
      <c r="U1616" t="s">
        <v>45</v>
      </c>
    </row>
    <row r="1617" spans="1:21" ht="15" customHeight="1" x14ac:dyDescent="0.3">
      <c r="A1617" t="s">
        <v>179</v>
      </c>
      <c r="B1617" t="str">
        <f>"00062266"</f>
        <v>00062266</v>
      </c>
      <c r="C1617" t="s">
        <v>4260</v>
      </c>
      <c r="H1617" t="s">
        <v>170</v>
      </c>
      <c r="I1617">
        <v>15</v>
      </c>
      <c r="J1617">
        <v>1</v>
      </c>
      <c r="K1617">
        <v>1</v>
      </c>
      <c r="L1617">
        <v>54975</v>
      </c>
      <c r="M1617" t="str">
        <f t="shared" si="238"/>
        <v>13</v>
      </c>
      <c r="N1617" t="s">
        <v>3323</v>
      </c>
      <c r="O1617" t="str">
        <f t="shared" si="236"/>
        <v>56011</v>
      </c>
      <c r="P1617" t="str">
        <f>"3030L"</f>
        <v>3030L</v>
      </c>
      <c r="Q1617" t="str">
        <f t="shared" si="239"/>
        <v>0101</v>
      </c>
      <c r="R1617">
        <v>3030</v>
      </c>
      <c r="S1617" t="str">
        <f t="shared" si="237"/>
        <v>5600</v>
      </c>
      <c r="T1617" t="s">
        <v>3564</v>
      </c>
      <c r="U1617" t="s">
        <v>45</v>
      </c>
    </row>
    <row r="1618" spans="1:21" ht="15" customHeight="1" x14ac:dyDescent="0.3">
      <c r="A1618" t="s">
        <v>179</v>
      </c>
      <c r="B1618" t="str">
        <f>"00062915"</f>
        <v>00062915</v>
      </c>
      <c r="C1618" t="s">
        <v>4260</v>
      </c>
      <c r="D1618" t="s">
        <v>3574</v>
      </c>
      <c r="E1618" t="str">
        <f>"00066331"</f>
        <v>00066331</v>
      </c>
      <c r="F1618">
        <v>0</v>
      </c>
      <c r="G1618" s="243">
        <v>40780</v>
      </c>
      <c r="H1618" t="s">
        <v>182</v>
      </c>
      <c r="I1618">
        <v>15</v>
      </c>
      <c r="J1618">
        <v>11</v>
      </c>
      <c r="K1618">
        <v>1</v>
      </c>
      <c r="L1618">
        <v>81335</v>
      </c>
      <c r="M1618" t="str">
        <f t="shared" si="238"/>
        <v>13</v>
      </c>
      <c r="N1618" t="s">
        <v>3323</v>
      </c>
      <c r="O1618" t="str">
        <f t="shared" si="236"/>
        <v>56011</v>
      </c>
      <c r="P1618" t="str">
        <f>"3030L"</f>
        <v>3030L</v>
      </c>
      <c r="Q1618" t="str">
        <f t="shared" si="239"/>
        <v>0101</v>
      </c>
      <c r="R1618">
        <v>3030</v>
      </c>
      <c r="S1618" t="str">
        <f t="shared" si="237"/>
        <v>5600</v>
      </c>
      <c r="T1618" t="s">
        <v>3564</v>
      </c>
      <c r="U1618" t="s">
        <v>45</v>
      </c>
    </row>
    <row r="1619" spans="1:21" ht="15" customHeight="1" x14ac:dyDescent="0.3">
      <c r="A1619" t="s">
        <v>179</v>
      </c>
      <c r="B1619" t="str">
        <f>"00062992"</f>
        <v>00062992</v>
      </c>
      <c r="C1619" t="s">
        <v>4260</v>
      </c>
      <c r="D1619" t="s">
        <v>1550</v>
      </c>
      <c r="E1619" t="str">
        <f>"00046484"</f>
        <v>00046484</v>
      </c>
      <c r="F1619">
        <v>0</v>
      </c>
      <c r="G1619" s="243">
        <v>37145</v>
      </c>
      <c r="H1619" t="s">
        <v>182</v>
      </c>
      <c r="I1619">
        <v>15</v>
      </c>
      <c r="J1619">
        <v>15</v>
      </c>
      <c r="K1619">
        <v>1</v>
      </c>
      <c r="L1619">
        <v>98285</v>
      </c>
      <c r="M1619" t="str">
        <f t="shared" si="238"/>
        <v>13</v>
      </c>
      <c r="N1619" t="s">
        <v>3323</v>
      </c>
      <c r="O1619" t="str">
        <f t="shared" si="236"/>
        <v>56011</v>
      </c>
      <c r="P1619" t="str">
        <f>"3030L"</f>
        <v>3030L</v>
      </c>
      <c r="Q1619" t="str">
        <f t="shared" si="239"/>
        <v>0101</v>
      </c>
      <c r="R1619">
        <v>3030</v>
      </c>
      <c r="S1619" t="str">
        <f t="shared" si="237"/>
        <v>5600</v>
      </c>
      <c r="T1619" t="s">
        <v>3564</v>
      </c>
      <c r="U1619" t="s">
        <v>45</v>
      </c>
    </row>
    <row r="1620" spans="1:21" ht="15" customHeight="1" x14ac:dyDescent="0.3">
      <c r="A1620" t="s">
        <v>179</v>
      </c>
      <c r="B1620" t="str">
        <f>"00066162"</f>
        <v>00066162</v>
      </c>
      <c r="C1620" t="s">
        <v>4274</v>
      </c>
      <c r="D1620" t="s">
        <v>4792</v>
      </c>
      <c r="E1620" t="str">
        <f>"00065654"</f>
        <v>00065654</v>
      </c>
      <c r="F1620">
        <v>0</v>
      </c>
      <c r="G1620" s="243">
        <v>40770</v>
      </c>
      <c r="H1620" t="s">
        <v>182</v>
      </c>
      <c r="I1620">
        <v>4</v>
      </c>
      <c r="J1620">
        <v>8</v>
      </c>
      <c r="K1620">
        <v>1</v>
      </c>
      <c r="L1620">
        <v>27329.75</v>
      </c>
      <c r="M1620" t="str">
        <f t="shared" si="238"/>
        <v>13</v>
      </c>
      <c r="N1620" t="s">
        <v>3370</v>
      </c>
      <c r="O1620" t="str">
        <f t="shared" si="236"/>
        <v>56011</v>
      </c>
      <c r="P1620" t="str">
        <f>"2200L"</f>
        <v>2200L</v>
      </c>
      <c r="Q1620" t="str">
        <f t="shared" si="239"/>
        <v>0101</v>
      </c>
      <c r="R1620">
        <v>2200</v>
      </c>
      <c r="S1620" t="str">
        <f t="shared" si="237"/>
        <v>5600</v>
      </c>
      <c r="T1620" t="s">
        <v>3564</v>
      </c>
      <c r="U1620" t="s">
        <v>45</v>
      </c>
    </row>
    <row r="1621" spans="1:21" ht="15" customHeight="1" x14ac:dyDescent="0.3">
      <c r="A1621" t="s">
        <v>179</v>
      </c>
      <c r="B1621" t="str">
        <f>"00066163"</f>
        <v>00066163</v>
      </c>
      <c r="C1621" t="s">
        <v>4290</v>
      </c>
      <c r="H1621" t="s">
        <v>170</v>
      </c>
      <c r="I1621">
        <v>4</v>
      </c>
      <c r="J1621">
        <v>1</v>
      </c>
      <c r="K1621">
        <v>1</v>
      </c>
      <c r="L1621">
        <v>25662</v>
      </c>
      <c r="M1621" t="str">
        <f t="shared" si="238"/>
        <v>13</v>
      </c>
      <c r="N1621" t="s">
        <v>3370</v>
      </c>
      <c r="O1621" t="str">
        <f t="shared" si="236"/>
        <v>56011</v>
      </c>
      <c r="P1621" t="str">
        <f>"3030L"</f>
        <v>3030L</v>
      </c>
      <c r="Q1621" t="str">
        <f t="shared" si="239"/>
        <v>0101</v>
      </c>
      <c r="R1621">
        <v>3030</v>
      </c>
      <c r="S1621" t="str">
        <f t="shared" si="237"/>
        <v>5600</v>
      </c>
      <c r="T1621" t="s">
        <v>3564</v>
      </c>
      <c r="U1621" t="s">
        <v>45</v>
      </c>
    </row>
    <row r="1622" spans="1:21" ht="15" customHeight="1" x14ac:dyDescent="0.3">
      <c r="A1622" t="s">
        <v>179</v>
      </c>
      <c r="B1622" t="str">
        <f>"00066490"</f>
        <v>00066490</v>
      </c>
      <c r="C1622" t="s">
        <v>4253</v>
      </c>
      <c r="D1622" t="s">
        <v>3567</v>
      </c>
      <c r="E1622" t="str">
        <f>"00065758"</f>
        <v>00065758</v>
      </c>
      <c r="F1622">
        <v>0</v>
      </c>
      <c r="G1622" s="243">
        <v>40755</v>
      </c>
      <c r="H1622" t="s">
        <v>182</v>
      </c>
      <c r="I1622">
        <v>15</v>
      </c>
      <c r="J1622">
        <v>2</v>
      </c>
      <c r="K1622">
        <v>1</v>
      </c>
      <c r="L1622">
        <v>54099</v>
      </c>
      <c r="M1622" t="str">
        <f t="shared" si="238"/>
        <v>13</v>
      </c>
      <c r="N1622" t="s">
        <v>3323</v>
      </c>
      <c r="O1622" t="str">
        <f t="shared" si="236"/>
        <v>56011</v>
      </c>
      <c r="P1622" t="str">
        <f>"2100L"</f>
        <v>2100L</v>
      </c>
      <c r="Q1622" t="str">
        <f t="shared" si="239"/>
        <v>0101</v>
      </c>
      <c r="R1622">
        <v>2100</v>
      </c>
      <c r="S1622" t="str">
        <f t="shared" si="237"/>
        <v>5600</v>
      </c>
      <c r="T1622" t="s">
        <v>3564</v>
      </c>
      <c r="U1622" t="s">
        <v>45</v>
      </c>
    </row>
    <row r="1623" spans="1:21" ht="15" customHeight="1" x14ac:dyDescent="0.3">
      <c r="A1623" t="s">
        <v>179</v>
      </c>
      <c r="B1623" t="str">
        <f>"00066624"</f>
        <v>00066624</v>
      </c>
      <c r="C1623" t="s">
        <v>4260</v>
      </c>
      <c r="D1623" t="s">
        <v>3568</v>
      </c>
      <c r="E1623" t="str">
        <f>"00057086"</f>
        <v>00057086</v>
      </c>
      <c r="F1623">
        <v>0</v>
      </c>
      <c r="G1623" s="243">
        <v>40042</v>
      </c>
      <c r="H1623" t="s">
        <v>182</v>
      </c>
      <c r="I1623">
        <v>15</v>
      </c>
      <c r="J1623">
        <v>4</v>
      </c>
      <c r="K1623">
        <v>1</v>
      </c>
      <c r="L1623">
        <v>61158</v>
      </c>
      <c r="M1623" t="str">
        <f t="shared" si="238"/>
        <v>13</v>
      </c>
      <c r="N1623" t="s">
        <v>3323</v>
      </c>
      <c r="O1623" t="str">
        <f t="shared" si="236"/>
        <v>56011</v>
      </c>
      <c r="P1623" t="str">
        <f>"3030L"</f>
        <v>3030L</v>
      </c>
      <c r="Q1623" t="str">
        <f t="shared" si="239"/>
        <v>0101</v>
      </c>
      <c r="R1623">
        <v>3030</v>
      </c>
      <c r="S1623" t="str">
        <f t="shared" si="237"/>
        <v>5600</v>
      </c>
      <c r="T1623" t="s">
        <v>3564</v>
      </c>
      <c r="U1623" t="s">
        <v>45</v>
      </c>
    </row>
    <row r="1624" spans="1:21" ht="15" customHeight="1" x14ac:dyDescent="0.3">
      <c r="A1624" t="s">
        <v>179</v>
      </c>
      <c r="B1624" t="str">
        <f>"00066625"</f>
        <v>00066625</v>
      </c>
      <c r="C1624" t="s">
        <v>4260</v>
      </c>
      <c r="D1624" t="s">
        <v>1546</v>
      </c>
      <c r="E1624" t="str">
        <f>"00057962"</f>
        <v>00057962</v>
      </c>
      <c r="F1624">
        <v>0</v>
      </c>
      <c r="G1624" s="243">
        <v>40049</v>
      </c>
      <c r="H1624" t="s">
        <v>182</v>
      </c>
      <c r="I1624">
        <v>15</v>
      </c>
      <c r="J1624">
        <v>8</v>
      </c>
      <c r="K1624">
        <v>1</v>
      </c>
      <c r="L1624">
        <v>72171</v>
      </c>
      <c r="M1624" t="str">
        <f t="shared" si="238"/>
        <v>13</v>
      </c>
      <c r="N1624" t="s">
        <v>3323</v>
      </c>
      <c r="O1624" t="str">
        <f t="shared" si="236"/>
        <v>56011</v>
      </c>
      <c r="P1624" t="str">
        <f>"3030L"</f>
        <v>3030L</v>
      </c>
      <c r="Q1624" t="str">
        <f t="shared" si="239"/>
        <v>0101</v>
      </c>
      <c r="R1624">
        <v>3030</v>
      </c>
      <c r="S1624" t="str">
        <f t="shared" si="237"/>
        <v>5600</v>
      </c>
      <c r="T1624" t="s">
        <v>3564</v>
      </c>
      <c r="U1624" t="s">
        <v>45</v>
      </c>
    </row>
    <row r="1625" spans="1:21" ht="15" customHeight="1" x14ac:dyDescent="0.3">
      <c r="A1625" t="s">
        <v>179</v>
      </c>
      <c r="B1625" t="str">
        <f>"00066626"</f>
        <v>00066626</v>
      </c>
      <c r="C1625" t="s">
        <v>4257</v>
      </c>
      <c r="H1625" t="s">
        <v>170</v>
      </c>
      <c r="I1625">
        <v>15</v>
      </c>
      <c r="J1625">
        <v>1</v>
      </c>
      <c r="K1625">
        <v>1</v>
      </c>
      <c r="L1625">
        <v>56693</v>
      </c>
      <c r="M1625" t="str">
        <f t="shared" si="238"/>
        <v>13</v>
      </c>
      <c r="N1625" t="s">
        <v>3323</v>
      </c>
      <c r="O1625" t="str">
        <f t="shared" si="236"/>
        <v>56011</v>
      </c>
      <c r="P1625" t="str">
        <f>"2100L"</f>
        <v>2100L</v>
      </c>
      <c r="Q1625" t="str">
        <f t="shared" si="239"/>
        <v>0101</v>
      </c>
      <c r="R1625">
        <v>2100</v>
      </c>
      <c r="S1625" t="str">
        <f t="shared" si="237"/>
        <v>5600</v>
      </c>
      <c r="T1625" t="s">
        <v>3564</v>
      </c>
      <c r="U1625" t="s">
        <v>45</v>
      </c>
    </row>
    <row r="1626" spans="1:21" ht="15" customHeight="1" x14ac:dyDescent="0.3">
      <c r="A1626" t="s">
        <v>179</v>
      </c>
      <c r="B1626" t="str">
        <f>"00067520"</f>
        <v>00067520</v>
      </c>
      <c r="C1626" t="s">
        <v>4272</v>
      </c>
      <c r="D1626" t="s">
        <v>1547</v>
      </c>
      <c r="E1626" t="str">
        <f>"00057470"</f>
        <v>00057470</v>
      </c>
      <c r="F1626">
        <v>0</v>
      </c>
      <c r="G1626" s="243">
        <v>40042</v>
      </c>
      <c r="H1626" t="s">
        <v>182</v>
      </c>
      <c r="I1626">
        <v>15</v>
      </c>
      <c r="J1626">
        <v>13</v>
      </c>
      <c r="K1626">
        <v>1</v>
      </c>
      <c r="L1626">
        <v>81724</v>
      </c>
      <c r="M1626" t="str">
        <f t="shared" si="238"/>
        <v>13</v>
      </c>
      <c r="N1626" t="s">
        <v>3323</v>
      </c>
      <c r="O1626" t="str">
        <f t="shared" si="236"/>
        <v>56011</v>
      </c>
      <c r="P1626" t="str">
        <f>"2200L"</f>
        <v>2200L</v>
      </c>
      <c r="Q1626" t="str">
        <f t="shared" si="239"/>
        <v>0101</v>
      </c>
      <c r="R1626">
        <v>2200</v>
      </c>
      <c r="S1626" t="str">
        <f t="shared" si="237"/>
        <v>5600</v>
      </c>
      <c r="T1626" t="s">
        <v>3564</v>
      </c>
      <c r="U1626" t="s">
        <v>45</v>
      </c>
    </row>
    <row r="1627" spans="1:21" ht="15" customHeight="1" x14ac:dyDescent="0.3">
      <c r="A1627" t="s">
        <v>179</v>
      </c>
      <c r="B1627" t="str">
        <f>"00067521"</f>
        <v>00067521</v>
      </c>
      <c r="C1627" t="s">
        <v>4272</v>
      </c>
      <c r="D1627" t="s">
        <v>3569</v>
      </c>
      <c r="E1627" t="str">
        <f>"00062645"</f>
        <v>00062645</v>
      </c>
      <c r="F1627">
        <v>0</v>
      </c>
      <c r="G1627" s="243">
        <v>40406</v>
      </c>
      <c r="H1627" t="s">
        <v>182</v>
      </c>
      <c r="I1627">
        <v>15</v>
      </c>
      <c r="J1627">
        <v>4</v>
      </c>
      <c r="K1627">
        <v>1</v>
      </c>
      <c r="L1627">
        <v>63611</v>
      </c>
      <c r="M1627" t="str">
        <f t="shared" si="238"/>
        <v>13</v>
      </c>
      <c r="N1627" t="s">
        <v>3323</v>
      </c>
      <c r="O1627" t="str">
        <f t="shared" si="236"/>
        <v>56011</v>
      </c>
      <c r="P1627" t="str">
        <f>"2100L"</f>
        <v>2100L</v>
      </c>
      <c r="Q1627" t="str">
        <f t="shared" si="239"/>
        <v>0101</v>
      </c>
      <c r="R1627">
        <v>2100</v>
      </c>
      <c r="S1627" t="str">
        <f t="shared" si="237"/>
        <v>5600</v>
      </c>
      <c r="T1627" t="s">
        <v>3564</v>
      </c>
      <c r="U1627" t="s">
        <v>45</v>
      </c>
    </row>
    <row r="1628" spans="1:21" ht="15" customHeight="1" x14ac:dyDescent="0.3">
      <c r="A1628" t="s">
        <v>179</v>
      </c>
      <c r="B1628" t="str">
        <f>"00068013"</f>
        <v>00068013</v>
      </c>
      <c r="C1628" t="s">
        <v>4274</v>
      </c>
      <c r="D1628" t="s">
        <v>4793</v>
      </c>
      <c r="E1628" t="str">
        <f>"00062839"</f>
        <v>00062839</v>
      </c>
      <c r="F1628">
        <v>0</v>
      </c>
      <c r="G1628" s="243">
        <v>40413</v>
      </c>
      <c r="H1628" t="s">
        <v>182</v>
      </c>
      <c r="I1628">
        <v>4</v>
      </c>
      <c r="J1628">
        <v>5</v>
      </c>
      <c r="K1628">
        <v>1</v>
      </c>
      <c r="L1628">
        <v>25239.37</v>
      </c>
      <c r="M1628" t="str">
        <f t="shared" si="238"/>
        <v>13</v>
      </c>
      <c r="N1628" t="s">
        <v>3370</v>
      </c>
      <c r="O1628" t="str">
        <f t="shared" si="236"/>
        <v>56011</v>
      </c>
      <c r="P1628" t="str">
        <f>"2100L"</f>
        <v>2100L</v>
      </c>
      <c r="Q1628" t="str">
        <f t="shared" si="239"/>
        <v>0101</v>
      </c>
      <c r="R1628">
        <v>2100</v>
      </c>
      <c r="S1628" t="str">
        <f t="shared" si="237"/>
        <v>5600</v>
      </c>
      <c r="T1628" t="s">
        <v>3564</v>
      </c>
      <c r="U1628" t="s">
        <v>45</v>
      </c>
    </row>
    <row r="1629" spans="1:21" ht="15" customHeight="1" x14ac:dyDescent="0.3">
      <c r="A1629" t="s">
        <v>179</v>
      </c>
      <c r="B1629" t="str">
        <f>"00070807"</f>
        <v>00070807</v>
      </c>
      <c r="C1629" t="s">
        <v>4288</v>
      </c>
      <c r="D1629" t="s">
        <v>4794</v>
      </c>
      <c r="E1629" t="str">
        <f>"00067898"</f>
        <v>00067898</v>
      </c>
      <c r="F1629">
        <v>0</v>
      </c>
      <c r="G1629" s="243">
        <v>40973</v>
      </c>
      <c r="H1629" t="s">
        <v>182</v>
      </c>
      <c r="I1629">
        <v>4</v>
      </c>
      <c r="J1629">
        <v>4</v>
      </c>
      <c r="K1629">
        <v>0.71</v>
      </c>
      <c r="L1629">
        <v>24543.75</v>
      </c>
      <c r="M1629" t="str">
        <f t="shared" si="238"/>
        <v>13</v>
      </c>
      <c r="N1629" t="s">
        <v>3370</v>
      </c>
      <c r="O1629" t="str">
        <f t="shared" si="236"/>
        <v>56011</v>
      </c>
      <c r="P1629" t="str">
        <f>"3030L"</f>
        <v>3030L</v>
      </c>
      <c r="Q1629" t="str">
        <f t="shared" si="239"/>
        <v>0101</v>
      </c>
      <c r="R1629">
        <v>3030</v>
      </c>
      <c r="S1629" t="str">
        <f t="shared" si="237"/>
        <v>5600</v>
      </c>
      <c r="T1629" t="s">
        <v>3564</v>
      </c>
      <c r="U1629" t="s">
        <v>45</v>
      </c>
    </row>
    <row r="1630" spans="1:21" ht="15" customHeight="1" x14ac:dyDescent="0.3">
      <c r="A1630" t="s">
        <v>179</v>
      </c>
      <c r="B1630" t="str">
        <f>"00071420"</f>
        <v>00071420</v>
      </c>
      <c r="C1630" t="s">
        <v>4387</v>
      </c>
      <c r="D1630" t="s">
        <v>3563</v>
      </c>
      <c r="E1630" t="str">
        <f>"00064973"</f>
        <v>00064973</v>
      </c>
      <c r="F1630">
        <v>0</v>
      </c>
      <c r="G1630" s="243">
        <v>40694</v>
      </c>
      <c r="H1630" t="s">
        <v>182</v>
      </c>
      <c r="I1630">
        <v>10</v>
      </c>
      <c r="J1630">
        <v>5</v>
      </c>
      <c r="K1630">
        <v>1</v>
      </c>
      <c r="L1630">
        <v>72387</v>
      </c>
      <c r="M1630" t="str">
        <f t="shared" si="238"/>
        <v>13</v>
      </c>
      <c r="N1630" t="s">
        <v>3370</v>
      </c>
      <c r="O1630" t="str">
        <f t="shared" si="236"/>
        <v>56011</v>
      </c>
      <c r="P1630" t="str">
        <f>"2100L"</f>
        <v>2100L</v>
      </c>
      <c r="Q1630" t="str">
        <f t="shared" si="239"/>
        <v>0101</v>
      </c>
      <c r="R1630">
        <v>2100</v>
      </c>
      <c r="S1630" t="str">
        <f t="shared" si="237"/>
        <v>5600</v>
      </c>
      <c r="T1630" t="s">
        <v>3564</v>
      </c>
      <c r="U1630" t="s">
        <v>45</v>
      </c>
    </row>
    <row r="1631" spans="1:21" ht="15" customHeight="1" x14ac:dyDescent="0.3">
      <c r="A1631" t="s">
        <v>179</v>
      </c>
      <c r="B1631" t="str">
        <f>"00072090"</f>
        <v>00072090</v>
      </c>
      <c r="C1631" t="s">
        <v>4288</v>
      </c>
      <c r="D1631" t="s">
        <v>4795</v>
      </c>
      <c r="E1631" t="str">
        <f>"00058019"</f>
        <v>00058019</v>
      </c>
      <c r="F1631">
        <v>0</v>
      </c>
      <c r="G1631" s="243">
        <v>40056</v>
      </c>
      <c r="H1631" t="s">
        <v>182</v>
      </c>
      <c r="I1631">
        <v>4</v>
      </c>
      <c r="J1631">
        <v>5</v>
      </c>
      <c r="K1631">
        <v>1</v>
      </c>
      <c r="L1631">
        <v>25239.37</v>
      </c>
      <c r="M1631" t="str">
        <f t="shared" si="238"/>
        <v>13</v>
      </c>
      <c r="N1631" t="s">
        <v>3323</v>
      </c>
      <c r="O1631" t="str">
        <f t="shared" si="236"/>
        <v>56011</v>
      </c>
      <c r="P1631" t="str">
        <f>"2200L"</f>
        <v>2200L</v>
      </c>
      <c r="Q1631" t="str">
        <f t="shared" si="239"/>
        <v>0101</v>
      </c>
      <c r="R1631">
        <v>2200</v>
      </c>
      <c r="S1631" t="str">
        <f t="shared" si="237"/>
        <v>5600</v>
      </c>
      <c r="T1631" t="s">
        <v>3564</v>
      </c>
      <c r="U1631" t="s">
        <v>45</v>
      </c>
    </row>
    <row r="1632" spans="1:21" ht="15" customHeight="1" x14ac:dyDescent="0.3">
      <c r="A1632" t="s">
        <v>179</v>
      </c>
      <c r="B1632" t="str">
        <f>"00072223"</f>
        <v>00072223</v>
      </c>
      <c r="C1632" t="s">
        <v>4272</v>
      </c>
      <c r="D1632" t="s">
        <v>1548</v>
      </c>
      <c r="E1632" t="str">
        <f>"00062600"</f>
        <v>00062600</v>
      </c>
      <c r="F1632">
        <v>0</v>
      </c>
      <c r="G1632" s="243">
        <v>40406</v>
      </c>
      <c r="H1632" t="s">
        <v>182</v>
      </c>
      <c r="I1632">
        <v>15</v>
      </c>
      <c r="J1632">
        <v>3</v>
      </c>
      <c r="K1632">
        <v>1</v>
      </c>
      <c r="L1632">
        <v>52777</v>
      </c>
      <c r="M1632" t="str">
        <f t="shared" si="238"/>
        <v>13</v>
      </c>
      <c r="N1632" t="s">
        <v>3323</v>
      </c>
      <c r="O1632" t="str">
        <f t="shared" si="236"/>
        <v>56011</v>
      </c>
      <c r="P1632" t="str">
        <f>"2100L"</f>
        <v>2100L</v>
      </c>
      <c r="Q1632" t="str">
        <f t="shared" si="239"/>
        <v>0101</v>
      </c>
      <c r="R1632">
        <v>2100</v>
      </c>
      <c r="S1632" t="str">
        <f t="shared" si="237"/>
        <v>5600</v>
      </c>
      <c r="T1632" t="s">
        <v>3564</v>
      </c>
      <c r="U1632" t="s">
        <v>45</v>
      </c>
    </row>
    <row r="1633" spans="1:21" ht="15" customHeight="1" x14ac:dyDescent="0.3">
      <c r="A1633" t="s">
        <v>179</v>
      </c>
      <c r="B1633" t="str">
        <f>"00072331"</f>
        <v>00072331</v>
      </c>
      <c r="C1633" t="s">
        <v>4262</v>
      </c>
      <c r="D1633" t="s">
        <v>3570</v>
      </c>
      <c r="E1633" t="str">
        <f>"00064455"</f>
        <v>00064455</v>
      </c>
      <c r="F1633">
        <v>0</v>
      </c>
      <c r="G1633" s="243">
        <v>40553</v>
      </c>
      <c r="H1633" t="s">
        <v>182</v>
      </c>
      <c r="I1633">
        <v>15</v>
      </c>
      <c r="J1633">
        <v>8</v>
      </c>
      <c r="K1633">
        <v>1</v>
      </c>
      <c r="L1633">
        <v>65957</v>
      </c>
      <c r="M1633" t="str">
        <f t="shared" si="238"/>
        <v>13</v>
      </c>
      <c r="N1633" t="s">
        <v>3323</v>
      </c>
      <c r="O1633" t="str">
        <f t="shared" si="236"/>
        <v>56011</v>
      </c>
      <c r="P1633" t="str">
        <f>"2100L"</f>
        <v>2100L</v>
      </c>
      <c r="Q1633" t="str">
        <f t="shared" si="239"/>
        <v>0101</v>
      </c>
      <c r="R1633">
        <v>2100</v>
      </c>
      <c r="S1633" t="str">
        <f t="shared" si="237"/>
        <v>5600</v>
      </c>
      <c r="T1633" t="s">
        <v>3564</v>
      </c>
      <c r="U1633" t="s">
        <v>45</v>
      </c>
    </row>
    <row r="1634" spans="1:21" ht="15" customHeight="1" x14ac:dyDescent="0.3">
      <c r="A1634" t="s">
        <v>179</v>
      </c>
      <c r="B1634" t="str">
        <f>"00072387"</f>
        <v>00072387</v>
      </c>
      <c r="C1634" t="s">
        <v>4260</v>
      </c>
      <c r="H1634" t="s">
        <v>170</v>
      </c>
      <c r="I1634">
        <v>15</v>
      </c>
      <c r="J1634">
        <v>1</v>
      </c>
      <c r="K1634">
        <v>1</v>
      </c>
      <c r="L1634">
        <v>56693</v>
      </c>
      <c r="M1634" t="str">
        <f t="shared" si="238"/>
        <v>13</v>
      </c>
      <c r="N1634" t="s">
        <v>3323</v>
      </c>
      <c r="O1634" t="str">
        <f t="shared" si="236"/>
        <v>56011</v>
      </c>
      <c r="P1634" t="str">
        <f>"2100L"</f>
        <v>2100L</v>
      </c>
      <c r="Q1634" t="str">
        <f t="shared" si="239"/>
        <v>0101</v>
      </c>
      <c r="R1634">
        <v>2100</v>
      </c>
      <c r="S1634" t="str">
        <f t="shared" si="237"/>
        <v>5600</v>
      </c>
      <c r="T1634" t="s">
        <v>3564</v>
      </c>
      <c r="U1634" t="s">
        <v>45</v>
      </c>
    </row>
    <row r="1635" spans="1:21" ht="15" customHeight="1" x14ac:dyDescent="0.3">
      <c r="A1635" t="s">
        <v>179</v>
      </c>
      <c r="B1635" t="str">
        <f>"00072412"</f>
        <v>00072412</v>
      </c>
      <c r="C1635" t="s">
        <v>4410</v>
      </c>
      <c r="D1635" t="s">
        <v>1549</v>
      </c>
      <c r="E1635" t="str">
        <f>"00062800"</f>
        <v>00062800</v>
      </c>
      <c r="F1635">
        <v>0</v>
      </c>
      <c r="G1635" s="243">
        <v>40406</v>
      </c>
      <c r="H1635" t="s">
        <v>182</v>
      </c>
      <c r="I1635">
        <v>5</v>
      </c>
      <c r="J1635">
        <v>10</v>
      </c>
      <c r="K1635">
        <v>1</v>
      </c>
      <c r="L1635">
        <v>36549</v>
      </c>
      <c r="M1635" t="str">
        <f t="shared" si="238"/>
        <v>13</v>
      </c>
      <c r="N1635" t="s">
        <v>3323</v>
      </c>
      <c r="O1635" t="str">
        <f t="shared" ref="O1635:O1654" si="240">"56011"</f>
        <v>56011</v>
      </c>
      <c r="P1635" t="str">
        <f>"2100L"</f>
        <v>2100L</v>
      </c>
      <c r="Q1635" t="str">
        <f t="shared" si="239"/>
        <v>0101</v>
      </c>
      <c r="R1635">
        <v>2100</v>
      </c>
      <c r="S1635" t="str">
        <f t="shared" ref="S1635:S1654" si="241">"5600"</f>
        <v>5600</v>
      </c>
      <c r="T1635" t="s">
        <v>3564</v>
      </c>
      <c r="U1635" t="s">
        <v>45</v>
      </c>
    </row>
    <row r="1636" spans="1:21" ht="15" customHeight="1" x14ac:dyDescent="0.3">
      <c r="A1636" t="s">
        <v>179</v>
      </c>
      <c r="B1636" t="str">
        <f>"00072608"</f>
        <v>00072608</v>
      </c>
      <c r="C1636" t="s">
        <v>4274</v>
      </c>
      <c r="D1636" t="s">
        <v>4796</v>
      </c>
      <c r="E1636" t="str">
        <f>"00062101"</f>
        <v>00062101</v>
      </c>
      <c r="F1636">
        <v>0</v>
      </c>
      <c r="G1636" s="243">
        <v>40348</v>
      </c>
      <c r="H1636" t="s">
        <v>182</v>
      </c>
      <c r="I1636">
        <v>4</v>
      </c>
      <c r="J1636">
        <v>4</v>
      </c>
      <c r="K1636">
        <v>0.71</v>
      </c>
      <c r="L1636">
        <v>24543.75</v>
      </c>
      <c r="M1636" t="str">
        <f t="shared" si="238"/>
        <v>13</v>
      </c>
      <c r="N1636" t="s">
        <v>3323</v>
      </c>
      <c r="O1636" t="str">
        <f t="shared" si="240"/>
        <v>56011</v>
      </c>
      <c r="P1636" t="str">
        <f>"2200L"</f>
        <v>2200L</v>
      </c>
      <c r="Q1636" t="str">
        <f t="shared" si="239"/>
        <v>0101</v>
      </c>
      <c r="R1636">
        <v>2200</v>
      </c>
      <c r="S1636" t="str">
        <f t="shared" si="241"/>
        <v>5600</v>
      </c>
      <c r="T1636" t="s">
        <v>3564</v>
      </c>
      <c r="U1636" t="s">
        <v>45</v>
      </c>
    </row>
    <row r="1637" spans="1:21" ht="15" customHeight="1" x14ac:dyDescent="0.3">
      <c r="A1637" t="s">
        <v>179</v>
      </c>
      <c r="B1637" t="str">
        <f>"00072609"</f>
        <v>00072609</v>
      </c>
      <c r="C1637" t="s">
        <v>4274</v>
      </c>
      <c r="D1637" t="s">
        <v>4797</v>
      </c>
      <c r="E1637" t="str">
        <f>"00052692"</f>
        <v>00052692</v>
      </c>
      <c r="F1637">
        <v>0</v>
      </c>
      <c r="G1637" s="243">
        <v>31473</v>
      </c>
      <c r="H1637" t="s">
        <v>182</v>
      </c>
      <c r="I1637">
        <v>4</v>
      </c>
      <c r="J1637">
        <v>10</v>
      </c>
      <c r="K1637">
        <v>0.71</v>
      </c>
      <c r="L1637">
        <v>28721</v>
      </c>
      <c r="M1637" t="str">
        <f t="shared" si="238"/>
        <v>13</v>
      </c>
      <c r="N1637" t="s">
        <v>3370</v>
      </c>
      <c r="O1637" t="str">
        <f t="shared" si="240"/>
        <v>56011</v>
      </c>
      <c r="P1637" t="str">
        <f>"2200L"</f>
        <v>2200L</v>
      </c>
      <c r="Q1637" t="str">
        <f t="shared" si="239"/>
        <v>0101</v>
      </c>
      <c r="R1637">
        <v>2200</v>
      </c>
      <c r="S1637" t="str">
        <f t="shared" si="241"/>
        <v>5600</v>
      </c>
      <c r="T1637" t="s">
        <v>3564</v>
      </c>
      <c r="U1637" t="s">
        <v>45</v>
      </c>
    </row>
    <row r="1638" spans="1:21" ht="15" customHeight="1" x14ac:dyDescent="0.3">
      <c r="A1638" t="s">
        <v>179</v>
      </c>
      <c r="B1638" t="str">
        <f>"00073071"</f>
        <v>00073071</v>
      </c>
      <c r="C1638" t="s">
        <v>4260</v>
      </c>
      <c r="D1638" t="s">
        <v>3571</v>
      </c>
      <c r="E1638" t="str">
        <f>"00067321"</f>
        <v>00067321</v>
      </c>
      <c r="F1638">
        <v>0</v>
      </c>
      <c r="G1638" s="243">
        <v>40868</v>
      </c>
      <c r="H1638" t="s">
        <v>182</v>
      </c>
      <c r="I1638">
        <v>15</v>
      </c>
      <c r="J1638">
        <v>11</v>
      </c>
      <c r="K1638">
        <v>1</v>
      </c>
      <c r="L1638">
        <v>70891</v>
      </c>
      <c r="M1638" t="str">
        <f t="shared" si="238"/>
        <v>13</v>
      </c>
      <c r="N1638" t="s">
        <v>3323</v>
      </c>
      <c r="O1638" t="str">
        <f t="shared" si="240"/>
        <v>56011</v>
      </c>
      <c r="P1638" t="str">
        <f>"3030L"</f>
        <v>3030L</v>
      </c>
      <c r="Q1638" t="str">
        <f t="shared" si="239"/>
        <v>0101</v>
      </c>
      <c r="R1638">
        <v>3030</v>
      </c>
      <c r="S1638" t="str">
        <f t="shared" si="241"/>
        <v>5600</v>
      </c>
      <c r="T1638" t="s">
        <v>3564</v>
      </c>
      <c r="U1638" t="s">
        <v>45</v>
      </c>
    </row>
    <row r="1639" spans="1:21" ht="15" customHeight="1" x14ac:dyDescent="0.3">
      <c r="A1639" t="s">
        <v>179</v>
      </c>
      <c r="B1639" t="str">
        <f>"00073891"</f>
        <v>00073891</v>
      </c>
      <c r="C1639" t="s">
        <v>4274</v>
      </c>
      <c r="D1639" t="s">
        <v>4798</v>
      </c>
      <c r="E1639" t="str">
        <f>"00063144"</f>
        <v>00063144</v>
      </c>
      <c r="F1639">
        <v>0</v>
      </c>
      <c r="G1639" s="243">
        <v>40422</v>
      </c>
      <c r="H1639" t="s">
        <v>182</v>
      </c>
      <c r="I1639">
        <v>4</v>
      </c>
      <c r="J1639">
        <v>4</v>
      </c>
      <c r="K1639">
        <v>0.71</v>
      </c>
      <c r="L1639">
        <v>24543.75</v>
      </c>
      <c r="M1639" t="str">
        <f t="shared" si="238"/>
        <v>13</v>
      </c>
      <c r="N1639" t="s">
        <v>3323</v>
      </c>
      <c r="O1639" t="str">
        <f t="shared" si="240"/>
        <v>56011</v>
      </c>
      <c r="P1639" t="str">
        <f>"2100L"</f>
        <v>2100L</v>
      </c>
      <c r="Q1639" t="str">
        <f t="shared" si="239"/>
        <v>0101</v>
      </c>
      <c r="R1639">
        <v>2100</v>
      </c>
      <c r="S1639" t="str">
        <f t="shared" si="241"/>
        <v>5600</v>
      </c>
      <c r="T1639" t="s">
        <v>3564</v>
      </c>
      <c r="U1639" t="s">
        <v>45</v>
      </c>
    </row>
    <row r="1640" spans="1:21" ht="15" customHeight="1" x14ac:dyDescent="0.3">
      <c r="A1640" t="s">
        <v>179</v>
      </c>
      <c r="B1640" t="str">
        <f>"00074226"</f>
        <v>00074226</v>
      </c>
      <c r="C1640" t="s">
        <v>4728</v>
      </c>
      <c r="D1640" t="s">
        <v>3565</v>
      </c>
      <c r="E1640" t="str">
        <f>"00058307"</f>
        <v>00058307</v>
      </c>
      <c r="F1640">
        <v>0</v>
      </c>
      <c r="G1640" s="243">
        <v>40064</v>
      </c>
      <c r="H1640" t="s">
        <v>182</v>
      </c>
      <c r="I1640">
        <v>9</v>
      </c>
      <c r="J1640">
        <v>2</v>
      </c>
      <c r="K1640">
        <v>1</v>
      </c>
      <c r="L1640">
        <v>34226</v>
      </c>
      <c r="M1640" t="str">
        <f t="shared" si="238"/>
        <v>13</v>
      </c>
      <c r="N1640" t="s">
        <v>3323</v>
      </c>
      <c r="O1640" t="str">
        <f t="shared" si="240"/>
        <v>56011</v>
      </c>
      <c r="P1640" t="str">
        <f>"2100L"</f>
        <v>2100L</v>
      </c>
      <c r="Q1640" t="str">
        <f t="shared" si="239"/>
        <v>0101</v>
      </c>
      <c r="R1640">
        <v>2100</v>
      </c>
      <c r="S1640" t="str">
        <f t="shared" si="241"/>
        <v>5600</v>
      </c>
      <c r="T1640" t="s">
        <v>3564</v>
      </c>
      <c r="U1640" t="s">
        <v>45</v>
      </c>
    </row>
    <row r="1641" spans="1:21" ht="15" customHeight="1" x14ac:dyDescent="0.3">
      <c r="A1641" t="s">
        <v>179</v>
      </c>
      <c r="B1641" t="str">
        <f>"00074228"</f>
        <v>00074228</v>
      </c>
      <c r="C1641" t="s">
        <v>4260</v>
      </c>
      <c r="H1641" t="s">
        <v>170</v>
      </c>
      <c r="I1641">
        <v>15</v>
      </c>
      <c r="J1641">
        <v>1</v>
      </c>
      <c r="K1641">
        <v>1</v>
      </c>
      <c r="L1641">
        <v>54975</v>
      </c>
      <c r="M1641" t="str">
        <f t="shared" si="238"/>
        <v>13</v>
      </c>
      <c r="N1641" t="s">
        <v>3323</v>
      </c>
      <c r="O1641" t="str">
        <f t="shared" si="240"/>
        <v>56011</v>
      </c>
      <c r="P1641" t="str">
        <f>"2100L"</f>
        <v>2100L</v>
      </c>
      <c r="Q1641" t="str">
        <f t="shared" si="239"/>
        <v>0101</v>
      </c>
      <c r="R1641">
        <v>2100</v>
      </c>
      <c r="S1641" t="str">
        <f t="shared" si="241"/>
        <v>5600</v>
      </c>
      <c r="T1641" t="s">
        <v>3564</v>
      </c>
      <c r="U1641" t="s">
        <v>45</v>
      </c>
    </row>
    <row r="1642" spans="1:21" ht="15" customHeight="1" x14ac:dyDescent="0.3">
      <c r="A1642" t="s">
        <v>179</v>
      </c>
      <c r="B1642" t="str">
        <f>"00074229"</f>
        <v>00074229</v>
      </c>
      <c r="C1642" t="s">
        <v>4272</v>
      </c>
      <c r="D1642" t="s">
        <v>3572</v>
      </c>
      <c r="E1642" t="str">
        <f>"00065814"</f>
        <v>00065814</v>
      </c>
      <c r="F1642">
        <v>0</v>
      </c>
      <c r="G1642" s="243">
        <v>40755</v>
      </c>
      <c r="H1642" t="s">
        <v>182</v>
      </c>
      <c r="I1642">
        <v>15</v>
      </c>
      <c r="J1642">
        <v>2</v>
      </c>
      <c r="K1642">
        <v>1</v>
      </c>
      <c r="L1642">
        <v>51716</v>
      </c>
      <c r="M1642" t="str">
        <f t="shared" si="238"/>
        <v>13</v>
      </c>
      <c r="N1642" t="s">
        <v>3323</v>
      </c>
      <c r="O1642" t="str">
        <f t="shared" si="240"/>
        <v>56011</v>
      </c>
      <c r="P1642" t="str">
        <f>"2100L"</f>
        <v>2100L</v>
      </c>
      <c r="Q1642" t="str">
        <f t="shared" si="239"/>
        <v>0101</v>
      </c>
      <c r="R1642">
        <v>2100</v>
      </c>
      <c r="S1642" t="str">
        <f t="shared" si="241"/>
        <v>5600</v>
      </c>
      <c r="T1642" t="s">
        <v>3564</v>
      </c>
      <c r="U1642" t="s">
        <v>45</v>
      </c>
    </row>
    <row r="1643" spans="1:21" ht="15" customHeight="1" x14ac:dyDescent="0.3">
      <c r="A1643" t="s">
        <v>179</v>
      </c>
      <c r="B1643" t="str">
        <f>"00074230"</f>
        <v>00074230</v>
      </c>
      <c r="C1643" t="s">
        <v>4265</v>
      </c>
      <c r="H1643" t="s">
        <v>170</v>
      </c>
      <c r="I1643">
        <v>15</v>
      </c>
      <c r="J1643">
        <v>1</v>
      </c>
      <c r="K1643">
        <v>1</v>
      </c>
      <c r="L1643">
        <v>54975</v>
      </c>
      <c r="M1643" t="str">
        <f t="shared" si="238"/>
        <v>13</v>
      </c>
      <c r="N1643" t="s">
        <v>3323</v>
      </c>
      <c r="O1643" t="str">
        <f t="shared" si="240"/>
        <v>56011</v>
      </c>
      <c r="P1643" t="str">
        <f>"2100L"</f>
        <v>2100L</v>
      </c>
      <c r="Q1643" t="str">
        <f t="shared" si="239"/>
        <v>0101</v>
      </c>
      <c r="R1643">
        <v>2100</v>
      </c>
      <c r="S1643" t="str">
        <f t="shared" si="241"/>
        <v>5600</v>
      </c>
      <c r="T1643" t="s">
        <v>3564</v>
      </c>
      <c r="U1643" t="s">
        <v>45</v>
      </c>
    </row>
    <row r="1644" spans="1:21" ht="15" customHeight="1" x14ac:dyDescent="0.3">
      <c r="A1644" t="s">
        <v>179</v>
      </c>
      <c r="B1644" t="str">
        <f>"00074438"</f>
        <v>00074438</v>
      </c>
      <c r="C1644" t="s">
        <v>4262</v>
      </c>
      <c r="D1644" t="s">
        <v>3573</v>
      </c>
      <c r="E1644" t="str">
        <f>"00067427"</f>
        <v>00067427</v>
      </c>
      <c r="F1644">
        <v>0</v>
      </c>
      <c r="G1644" s="243">
        <v>40911</v>
      </c>
      <c r="H1644" t="s">
        <v>182</v>
      </c>
      <c r="I1644">
        <v>15</v>
      </c>
      <c r="J1644">
        <v>1</v>
      </c>
      <c r="K1644">
        <v>1</v>
      </c>
      <c r="L1644">
        <v>51539</v>
      </c>
      <c r="M1644" t="str">
        <f t="shared" si="238"/>
        <v>13</v>
      </c>
      <c r="N1644" t="s">
        <v>3323</v>
      </c>
      <c r="O1644" t="str">
        <f t="shared" si="240"/>
        <v>56011</v>
      </c>
      <c r="P1644" t="str">
        <f>"3030L"</f>
        <v>3030L</v>
      </c>
      <c r="Q1644" t="str">
        <f t="shared" si="239"/>
        <v>0101</v>
      </c>
      <c r="R1644">
        <v>3030</v>
      </c>
      <c r="S1644" t="str">
        <f t="shared" si="241"/>
        <v>5600</v>
      </c>
      <c r="T1644" t="s">
        <v>3564</v>
      </c>
      <c r="U1644" t="s">
        <v>45</v>
      </c>
    </row>
    <row r="1645" spans="1:21" ht="15" customHeight="1" x14ac:dyDescent="0.3">
      <c r="A1645" t="s">
        <v>179</v>
      </c>
      <c r="B1645" t="str">
        <f>"00076170"</f>
        <v>00076170</v>
      </c>
      <c r="C1645" t="s">
        <v>4262</v>
      </c>
      <c r="D1645" t="s">
        <v>3333</v>
      </c>
      <c r="E1645" t="str">
        <f>"00066344"</f>
        <v>00066344</v>
      </c>
      <c r="F1645">
        <v>0</v>
      </c>
      <c r="G1645" s="243">
        <v>40779</v>
      </c>
      <c r="H1645" t="s">
        <v>182</v>
      </c>
      <c r="I1645">
        <v>15</v>
      </c>
      <c r="J1645">
        <v>1</v>
      </c>
      <c r="K1645">
        <v>1</v>
      </c>
      <c r="L1645">
        <v>51539</v>
      </c>
      <c r="M1645" t="str">
        <f t="shared" si="238"/>
        <v>13</v>
      </c>
      <c r="N1645" t="s">
        <v>3370</v>
      </c>
      <c r="O1645" t="str">
        <f t="shared" si="240"/>
        <v>56011</v>
      </c>
      <c r="P1645" t="str">
        <f t="shared" ref="P1645:P1650" si="242">"2100L"</f>
        <v>2100L</v>
      </c>
      <c r="Q1645" t="str">
        <f t="shared" si="239"/>
        <v>0101</v>
      </c>
      <c r="R1645">
        <v>2100</v>
      </c>
      <c r="S1645" t="str">
        <f t="shared" si="241"/>
        <v>5600</v>
      </c>
      <c r="T1645" t="s">
        <v>3564</v>
      </c>
      <c r="U1645" t="s">
        <v>45</v>
      </c>
    </row>
    <row r="1646" spans="1:21" ht="15" customHeight="1" x14ac:dyDescent="0.3">
      <c r="A1646" t="s">
        <v>179</v>
      </c>
      <c r="B1646" t="str">
        <f>"00076171"</f>
        <v>00076171</v>
      </c>
      <c r="C1646" t="s">
        <v>4372</v>
      </c>
      <c r="D1646" t="s">
        <v>4799</v>
      </c>
      <c r="E1646" t="str">
        <f>"00056935"</f>
        <v>00056935</v>
      </c>
      <c r="F1646">
        <v>0</v>
      </c>
      <c r="G1646" s="243">
        <v>40042</v>
      </c>
      <c r="H1646" t="s">
        <v>182</v>
      </c>
      <c r="I1646">
        <v>4</v>
      </c>
      <c r="J1646">
        <v>5</v>
      </c>
      <c r="K1646">
        <v>1</v>
      </c>
      <c r="L1646">
        <v>28845</v>
      </c>
      <c r="M1646" t="str">
        <f t="shared" si="238"/>
        <v>13</v>
      </c>
      <c r="N1646" t="s">
        <v>3370</v>
      </c>
      <c r="O1646" t="str">
        <f t="shared" si="240"/>
        <v>56011</v>
      </c>
      <c r="P1646" t="str">
        <f t="shared" si="242"/>
        <v>2100L</v>
      </c>
      <c r="Q1646" t="str">
        <f t="shared" si="239"/>
        <v>0101</v>
      </c>
      <c r="R1646">
        <v>2100</v>
      </c>
      <c r="S1646" t="str">
        <f t="shared" si="241"/>
        <v>5600</v>
      </c>
      <c r="T1646" t="s">
        <v>3564</v>
      </c>
      <c r="U1646" t="s">
        <v>45</v>
      </c>
    </row>
    <row r="1647" spans="1:21" ht="15" customHeight="1" x14ac:dyDescent="0.3">
      <c r="A1647" t="s">
        <v>179</v>
      </c>
      <c r="B1647" t="str">
        <f>"00076172"</f>
        <v>00076172</v>
      </c>
      <c r="C1647" t="s">
        <v>4271</v>
      </c>
      <c r="H1647" t="s">
        <v>170</v>
      </c>
      <c r="I1647">
        <v>15</v>
      </c>
      <c r="J1647">
        <v>0</v>
      </c>
      <c r="K1647">
        <v>0.5</v>
      </c>
      <c r="L1647">
        <v>51539</v>
      </c>
      <c r="M1647" t="str">
        <f t="shared" si="238"/>
        <v>13</v>
      </c>
      <c r="N1647" t="s">
        <v>3370</v>
      </c>
      <c r="O1647" t="str">
        <f t="shared" si="240"/>
        <v>56011</v>
      </c>
      <c r="P1647" t="str">
        <f t="shared" si="242"/>
        <v>2100L</v>
      </c>
      <c r="Q1647" t="str">
        <f t="shared" si="239"/>
        <v>0101</v>
      </c>
      <c r="R1647">
        <v>2100</v>
      </c>
      <c r="S1647" t="str">
        <f t="shared" si="241"/>
        <v>5600</v>
      </c>
      <c r="T1647" t="s">
        <v>3564</v>
      </c>
      <c r="U1647" t="s">
        <v>45</v>
      </c>
    </row>
    <row r="1648" spans="1:21" ht="15" customHeight="1" x14ac:dyDescent="0.3">
      <c r="A1648" t="s">
        <v>179</v>
      </c>
      <c r="B1648" t="str">
        <f>"00076173"</f>
        <v>00076173</v>
      </c>
      <c r="C1648" t="s">
        <v>4265</v>
      </c>
      <c r="D1648" t="s">
        <v>3566</v>
      </c>
      <c r="E1648" t="str">
        <f>"00066034"</f>
        <v>00066034</v>
      </c>
      <c r="F1648">
        <v>0</v>
      </c>
      <c r="G1648" s="243">
        <v>40769</v>
      </c>
      <c r="H1648" t="s">
        <v>182</v>
      </c>
      <c r="I1648">
        <v>15</v>
      </c>
      <c r="J1648">
        <v>11</v>
      </c>
      <c r="K1648">
        <v>0.5</v>
      </c>
      <c r="L1648">
        <v>40667.5</v>
      </c>
      <c r="M1648" t="str">
        <f t="shared" si="238"/>
        <v>13</v>
      </c>
      <c r="N1648" t="s">
        <v>3370</v>
      </c>
      <c r="O1648" t="str">
        <f t="shared" si="240"/>
        <v>56011</v>
      </c>
      <c r="P1648" t="str">
        <f t="shared" si="242"/>
        <v>2100L</v>
      </c>
      <c r="Q1648" t="str">
        <f t="shared" si="239"/>
        <v>0101</v>
      </c>
      <c r="R1648">
        <v>2100</v>
      </c>
      <c r="S1648" t="str">
        <f t="shared" si="241"/>
        <v>5600</v>
      </c>
      <c r="T1648" t="s">
        <v>3564</v>
      </c>
      <c r="U1648" t="s">
        <v>45</v>
      </c>
    </row>
    <row r="1649" spans="1:21" ht="15" customHeight="1" x14ac:dyDescent="0.3">
      <c r="A1649" t="s">
        <v>179</v>
      </c>
      <c r="B1649" t="str">
        <f>"00076174"</f>
        <v>00076174</v>
      </c>
      <c r="C1649" t="s">
        <v>4395</v>
      </c>
      <c r="D1649" t="s">
        <v>1114</v>
      </c>
      <c r="E1649" t="str">
        <f>"00063103"</f>
        <v>00063103</v>
      </c>
      <c r="F1649">
        <v>0</v>
      </c>
      <c r="G1649" s="243">
        <v>40406</v>
      </c>
      <c r="H1649" t="s">
        <v>182</v>
      </c>
      <c r="I1649">
        <v>10</v>
      </c>
      <c r="J1649">
        <v>9</v>
      </c>
      <c r="K1649">
        <v>1</v>
      </c>
      <c r="L1649">
        <v>86183</v>
      </c>
      <c r="M1649" t="str">
        <f t="shared" si="238"/>
        <v>13</v>
      </c>
      <c r="N1649" t="s">
        <v>3370</v>
      </c>
      <c r="O1649" t="str">
        <f t="shared" si="240"/>
        <v>56011</v>
      </c>
      <c r="P1649" t="str">
        <f t="shared" si="242"/>
        <v>2100L</v>
      </c>
      <c r="Q1649" t="str">
        <f t="shared" si="239"/>
        <v>0101</v>
      </c>
      <c r="R1649">
        <v>2100</v>
      </c>
      <c r="S1649" t="str">
        <f t="shared" si="241"/>
        <v>5600</v>
      </c>
      <c r="T1649" t="s">
        <v>3564</v>
      </c>
      <c r="U1649" t="s">
        <v>45</v>
      </c>
    </row>
    <row r="1650" spans="1:21" ht="15" customHeight="1" x14ac:dyDescent="0.3">
      <c r="A1650" t="s">
        <v>179</v>
      </c>
      <c r="B1650" t="str">
        <f>"00076175"</f>
        <v>00076175</v>
      </c>
      <c r="C1650" t="s">
        <v>4800</v>
      </c>
      <c r="H1650" t="s">
        <v>170</v>
      </c>
      <c r="I1650">
        <v>10</v>
      </c>
      <c r="J1650">
        <v>0</v>
      </c>
      <c r="K1650">
        <v>0.5</v>
      </c>
      <c r="L1650">
        <v>62794</v>
      </c>
      <c r="M1650" t="str">
        <f t="shared" si="238"/>
        <v>13</v>
      </c>
      <c r="N1650" t="s">
        <v>3370</v>
      </c>
      <c r="O1650" t="str">
        <f t="shared" si="240"/>
        <v>56011</v>
      </c>
      <c r="P1650" t="str">
        <f t="shared" si="242"/>
        <v>2100L</v>
      </c>
      <c r="Q1650" t="str">
        <f t="shared" si="239"/>
        <v>0101</v>
      </c>
      <c r="R1650">
        <v>2100</v>
      </c>
      <c r="S1650" t="str">
        <f t="shared" si="241"/>
        <v>5600</v>
      </c>
      <c r="T1650" t="s">
        <v>3564</v>
      </c>
      <c r="U1650" t="s">
        <v>45</v>
      </c>
    </row>
    <row r="1651" spans="1:21" ht="15" customHeight="1" x14ac:dyDescent="0.3">
      <c r="A1651" t="s">
        <v>179</v>
      </c>
      <c r="B1651" t="str">
        <f>"00076188"</f>
        <v>00076188</v>
      </c>
      <c r="C1651" t="s">
        <v>4294</v>
      </c>
      <c r="D1651" t="s">
        <v>4801</v>
      </c>
      <c r="E1651" t="str">
        <f>"00067073"</f>
        <v>00067073</v>
      </c>
      <c r="F1651">
        <v>0</v>
      </c>
      <c r="G1651" s="243">
        <v>40847</v>
      </c>
      <c r="H1651" t="s">
        <v>182</v>
      </c>
      <c r="I1651">
        <v>7</v>
      </c>
      <c r="J1651">
        <v>10</v>
      </c>
      <c r="K1651">
        <v>1</v>
      </c>
      <c r="L1651">
        <v>44837</v>
      </c>
      <c r="M1651" t="str">
        <f t="shared" si="238"/>
        <v>13</v>
      </c>
      <c r="N1651" t="s">
        <v>3370</v>
      </c>
      <c r="O1651" t="str">
        <f t="shared" si="240"/>
        <v>56011</v>
      </c>
      <c r="P1651" t="str">
        <f>"1502L"</f>
        <v>1502L</v>
      </c>
      <c r="Q1651" t="str">
        <f t="shared" si="239"/>
        <v>0101</v>
      </c>
      <c r="R1651">
        <v>1502</v>
      </c>
      <c r="S1651" t="str">
        <f t="shared" si="241"/>
        <v>5600</v>
      </c>
      <c r="T1651" t="s">
        <v>3564</v>
      </c>
      <c r="U1651" t="s">
        <v>45</v>
      </c>
    </row>
    <row r="1652" spans="1:21" ht="15" customHeight="1" x14ac:dyDescent="0.3">
      <c r="A1652" t="s">
        <v>179</v>
      </c>
      <c r="B1652" t="str">
        <f>"00076525"</f>
        <v>00076525</v>
      </c>
      <c r="C1652" t="s">
        <v>4290</v>
      </c>
      <c r="H1652" t="s">
        <v>170</v>
      </c>
      <c r="I1652">
        <v>4</v>
      </c>
      <c r="J1652">
        <v>0</v>
      </c>
      <c r="K1652">
        <v>0.71</v>
      </c>
      <c r="L1652">
        <v>25662</v>
      </c>
      <c r="M1652" t="str">
        <f t="shared" si="238"/>
        <v>13</v>
      </c>
      <c r="N1652" t="s">
        <v>3370</v>
      </c>
      <c r="O1652" t="str">
        <f t="shared" si="240"/>
        <v>56011</v>
      </c>
      <c r="P1652" t="str">
        <f>"3030L"</f>
        <v>3030L</v>
      </c>
      <c r="Q1652" t="str">
        <f t="shared" si="239"/>
        <v>0101</v>
      </c>
      <c r="R1652">
        <v>3030</v>
      </c>
      <c r="S1652" t="str">
        <f t="shared" si="241"/>
        <v>5600</v>
      </c>
      <c r="T1652" t="s">
        <v>3564</v>
      </c>
      <c r="U1652" t="s">
        <v>45</v>
      </c>
    </row>
    <row r="1653" spans="1:21" ht="15" customHeight="1" x14ac:dyDescent="0.3">
      <c r="A1653" t="s">
        <v>179</v>
      </c>
      <c r="B1653" t="str">
        <f>"00076526"</f>
        <v>00076526</v>
      </c>
      <c r="C1653" t="s">
        <v>4290</v>
      </c>
      <c r="H1653" t="s">
        <v>170</v>
      </c>
      <c r="I1653">
        <v>4</v>
      </c>
      <c r="J1653">
        <v>0</v>
      </c>
      <c r="K1653">
        <v>0.71</v>
      </c>
      <c r="L1653">
        <v>25662</v>
      </c>
      <c r="M1653" t="str">
        <f t="shared" si="238"/>
        <v>13</v>
      </c>
      <c r="N1653" t="s">
        <v>3370</v>
      </c>
      <c r="O1653" t="str">
        <f t="shared" si="240"/>
        <v>56011</v>
      </c>
      <c r="P1653" t="str">
        <f>"3030L"</f>
        <v>3030L</v>
      </c>
      <c r="Q1653" t="str">
        <f t="shared" si="239"/>
        <v>0101</v>
      </c>
      <c r="R1653">
        <v>3030</v>
      </c>
      <c r="S1653" t="str">
        <f t="shared" si="241"/>
        <v>5600</v>
      </c>
      <c r="T1653" t="s">
        <v>3564</v>
      </c>
      <c r="U1653" t="s">
        <v>45</v>
      </c>
    </row>
    <row r="1654" spans="1:21" ht="15" customHeight="1" x14ac:dyDescent="0.3">
      <c r="A1654" t="s">
        <v>179</v>
      </c>
      <c r="B1654" t="str">
        <f>"00076527"</f>
        <v>00076527</v>
      </c>
      <c r="C1654" t="s">
        <v>4290</v>
      </c>
      <c r="D1654" t="s">
        <v>4802</v>
      </c>
      <c r="E1654" t="str">
        <f>"00067075"</f>
        <v>00067075</v>
      </c>
      <c r="F1654">
        <v>0</v>
      </c>
      <c r="G1654" s="243">
        <v>40847</v>
      </c>
      <c r="H1654" t="s">
        <v>182</v>
      </c>
      <c r="I1654">
        <v>4</v>
      </c>
      <c r="J1654">
        <v>4</v>
      </c>
      <c r="K1654">
        <v>0.71</v>
      </c>
      <c r="L1654">
        <v>24543.75</v>
      </c>
      <c r="M1654" t="str">
        <f t="shared" si="238"/>
        <v>13</v>
      </c>
      <c r="N1654" t="s">
        <v>3323</v>
      </c>
      <c r="O1654" t="str">
        <f t="shared" si="240"/>
        <v>56011</v>
      </c>
      <c r="P1654" t="str">
        <f>"3030L"</f>
        <v>3030L</v>
      </c>
      <c r="Q1654" t="str">
        <f t="shared" si="239"/>
        <v>0101</v>
      </c>
      <c r="R1654">
        <v>3030</v>
      </c>
      <c r="S1654" t="str">
        <f t="shared" si="241"/>
        <v>5600</v>
      </c>
      <c r="T1654" t="s">
        <v>3564</v>
      </c>
      <c r="U1654" t="s">
        <v>45</v>
      </c>
    </row>
    <row r="1655" spans="1:21" ht="15" customHeight="1" x14ac:dyDescent="0.3">
      <c r="A1655" t="s">
        <v>179</v>
      </c>
      <c r="B1655" t="str">
        <f>"00051659"</f>
        <v>00051659</v>
      </c>
      <c r="C1655" t="s">
        <v>4260</v>
      </c>
      <c r="D1655" t="s">
        <v>3580</v>
      </c>
      <c r="E1655" t="str">
        <f>"00065855"</f>
        <v>00065855</v>
      </c>
      <c r="F1655">
        <v>0</v>
      </c>
      <c r="G1655" s="243">
        <v>40763</v>
      </c>
      <c r="H1655" t="s">
        <v>182</v>
      </c>
      <c r="I1655">
        <v>15</v>
      </c>
      <c r="J1655">
        <v>2</v>
      </c>
      <c r="K1655">
        <v>1</v>
      </c>
      <c r="L1655">
        <v>51716</v>
      </c>
      <c r="M1655" t="str">
        <f t="shared" si="238"/>
        <v>13</v>
      </c>
      <c r="N1655" t="s">
        <v>3323</v>
      </c>
      <c r="O1655" t="str">
        <f t="shared" ref="O1655:O1680" si="243">"56111"</f>
        <v>56111</v>
      </c>
      <c r="P1655" t="str">
        <f>"2100L"</f>
        <v>2100L</v>
      </c>
      <c r="Q1655" t="str">
        <f t="shared" si="239"/>
        <v>0101</v>
      </c>
      <c r="R1655">
        <v>2100</v>
      </c>
      <c r="S1655" t="str">
        <f t="shared" ref="S1655:S1680" si="244">"5610"</f>
        <v>5610</v>
      </c>
      <c r="T1655" t="s">
        <v>3576</v>
      </c>
      <c r="U1655" t="s">
        <v>46</v>
      </c>
    </row>
    <row r="1656" spans="1:21" ht="15" customHeight="1" x14ac:dyDescent="0.3">
      <c r="A1656" t="s">
        <v>179</v>
      </c>
      <c r="B1656" t="str">
        <f>"00051818"</f>
        <v>00051818</v>
      </c>
      <c r="C1656" t="s">
        <v>4260</v>
      </c>
      <c r="D1656" t="s">
        <v>3581</v>
      </c>
      <c r="E1656" t="str">
        <f>"00065790"</f>
        <v>00065790</v>
      </c>
      <c r="F1656">
        <v>0</v>
      </c>
      <c r="G1656" s="243">
        <v>40755</v>
      </c>
      <c r="H1656" t="s">
        <v>182</v>
      </c>
      <c r="I1656">
        <v>15</v>
      </c>
      <c r="J1656">
        <v>1</v>
      </c>
      <c r="K1656">
        <v>1</v>
      </c>
      <c r="L1656">
        <v>51539</v>
      </c>
      <c r="M1656" t="str">
        <f t="shared" si="238"/>
        <v>13</v>
      </c>
      <c r="N1656" t="s">
        <v>3323</v>
      </c>
      <c r="O1656" t="str">
        <f t="shared" si="243"/>
        <v>56111</v>
      </c>
      <c r="P1656" t="str">
        <f>"3030L"</f>
        <v>3030L</v>
      </c>
      <c r="Q1656" t="str">
        <f t="shared" si="239"/>
        <v>0101</v>
      </c>
      <c r="R1656">
        <v>3030</v>
      </c>
      <c r="S1656" t="str">
        <f t="shared" si="244"/>
        <v>5610</v>
      </c>
      <c r="T1656" t="s">
        <v>3576</v>
      </c>
      <c r="U1656" t="s">
        <v>46</v>
      </c>
    </row>
    <row r="1657" spans="1:21" ht="15" customHeight="1" x14ac:dyDescent="0.3">
      <c r="A1657" t="s">
        <v>179</v>
      </c>
      <c r="B1657" t="str">
        <f>"00053257"</f>
        <v>00053257</v>
      </c>
      <c r="C1657" t="s">
        <v>4293</v>
      </c>
      <c r="H1657" t="s">
        <v>170</v>
      </c>
      <c r="I1657">
        <v>15</v>
      </c>
      <c r="J1657">
        <v>1</v>
      </c>
      <c r="K1657">
        <v>1</v>
      </c>
      <c r="L1657">
        <v>54975</v>
      </c>
      <c r="M1657" t="str">
        <f t="shared" si="238"/>
        <v>13</v>
      </c>
      <c r="N1657" t="s">
        <v>3323</v>
      </c>
      <c r="O1657" t="str">
        <f t="shared" si="243"/>
        <v>56111</v>
      </c>
      <c r="P1657" t="str">
        <f>"2100L"</f>
        <v>2100L</v>
      </c>
      <c r="Q1657" t="str">
        <f t="shared" si="239"/>
        <v>0101</v>
      </c>
      <c r="R1657">
        <v>2100</v>
      </c>
      <c r="S1657" t="str">
        <f t="shared" si="244"/>
        <v>5610</v>
      </c>
      <c r="T1657" t="s">
        <v>3576</v>
      </c>
      <c r="U1657" t="s">
        <v>46</v>
      </c>
    </row>
    <row r="1658" spans="1:21" ht="15" customHeight="1" x14ac:dyDescent="0.3">
      <c r="A1658" t="s">
        <v>179</v>
      </c>
      <c r="B1658" t="str">
        <f>"00053589"</f>
        <v>00053589</v>
      </c>
      <c r="C1658" t="s">
        <v>4262</v>
      </c>
      <c r="D1658" t="s">
        <v>826</v>
      </c>
      <c r="E1658" t="str">
        <f>"00047497"</f>
        <v>00047497</v>
      </c>
      <c r="F1658">
        <v>0</v>
      </c>
      <c r="G1658" s="243">
        <v>38587</v>
      </c>
      <c r="H1658" t="s">
        <v>182</v>
      </c>
      <c r="I1658">
        <v>15</v>
      </c>
      <c r="J1658">
        <v>8</v>
      </c>
      <c r="K1658">
        <v>1</v>
      </c>
      <c r="L1658">
        <v>72171</v>
      </c>
      <c r="M1658" t="str">
        <f t="shared" si="238"/>
        <v>13</v>
      </c>
      <c r="N1658" t="s">
        <v>3370</v>
      </c>
      <c r="O1658" t="str">
        <f t="shared" si="243"/>
        <v>56111</v>
      </c>
      <c r="P1658" t="str">
        <f>"2100L"</f>
        <v>2100L</v>
      </c>
      <c r="Q1658" t="str">
        <f t="shared" si="239"/>
        <v>0101</v>
      </c>
      <c r="R1658">
        <v>2100</v>
      </c>
      <c r="S1658" t="str">
        <f t="shared" si="244"/>
        <v>5610</v>
      </c>
      <c r="T1658" t="s">
        <v>3576</v>
      </c>
      <c r="U1658" t="s">
        <v>46</v>
      </c>
    </row>
    <row r="1659" spans="1:21" ht="15" customHeight="1" x14ac:dyDescent="0.3">
      <c r="A1659" t="s">
        <v>179</v>
      </c>
      <c r="B1659" t="str">
        <f>"00054674"</f>
        <v>00054674</v>
      </c>
      <c r="C1659" t="s">
        <v>4274</v>
      </c>
      <c r="D1659" t="s">
        <v>4803</v>
      </c>
      <c r="E1659" t="str">
        <f>"00054388"</f>
        <v>00054388</v>
      </c>
      <c r="F1659">
        <v>0</v>
      </c>
      <c r="G1659" s="243">
        <v>31432</v>
      </c>
      <c r="H1659" t="s">
        <v>182</v>
      </c>
      <c r="I1659">
        <v>4</v>
      </c>
      <c r="J1659">
        <v>10</v>
      </c>
      <c r="K1659">
        <v>0.875</v>
      </c>
      <c r="L1659">
        <v>28721</v>
      </c>
      <c r="M1659" t="str">
        <f t="shared" si="238"/>
        <v>13</v>
      </c>
      <c r="N1659" t="s">
        <v>3323</v>
      </c>
      <c r="O1659" t="str">
        <f t="shared" si="243"/>
        <v>56111</v>
      </c>
      <c r="P1659" t="str">
        <f>"2200L"</f>
        <v>2200L</v>
      </c>
      <c r="Q1659" t="str">
        <f t="shared" si="239"/>
        <v>0101</v>
      </c>
      <c r="R1659">
        <v>2200</v>
      </c>
      <c r="S1659" t="str">
        <f t="shared" si="244"/>
        <v>5610</v>
      </c>
      <c r="T1659" t="s">
        <v>3576</v>
      </c>
      <c r="U1659" t="s">
        <v>46</v>
      </c>
    </row>
    <row r="1660" spans="1:21" ht="15" customHeight="1" x14ac:dyDescent="0.3">
      <c r="A1660" t="s">
        <v>179</v>
      </c>
      <c r="B1660" t="str">
        <f>"00057830"</f>
        <v>00057830</v>
      </c>
      <c r="C1660" t="s">
        <v>3798</v>
      </c>
      <c r="D1660" t="s">
        <v>3577</v>
      </c>
      <c r="E1660" t="str">
        <f>"00065484"</f>
        <v>00065484</v>
      </c>
      <c r="F1660">
        <v>0</v>
      </c>
      <c r="G1660" s="243">
        <v>40728</v>
      </c>
      <c r="H1660" t="s">
        <v>182</v>
      </c>
      <c r="I1660">
        <v>61</v>
      </c>
      <c r="J1660">
        <v>6</v>
      </c>
      <c r="K1660">
        <v>1</v>
      </c>
      <c r="L1660">
        <v>125000</v>
      </c>
      <c r="M1660" t="str">
        <f t="shared" si="238"/>
        <v>13</v>
      </c>
      <c r="N1660" t="s">
        <v>3323</v>
      </c>
      <c r="O1660" t="str">
        <f t="shared" si="243"/>
        <v>56111</v>
      </c>
      <c r="P1660" t="str">
        <f>"1501L"</f>
        <v>1501L</v>
      </c>
      <c r="Q1660" t="str">
        <f t="shared" si="239"/>
        <v>0101</v>
      </c>
      <c r="R1660">
        <v>1501</v>
      </c>
      <c r="S1660" t="str">
        <f t="shared" si="244"/>
        <v>5610</v>
      </c>
      <c r="T1660" t="s">
        <v>3576</v>
      </c>
      <c r="U1660" t="s">
        <v>46</v>
      </c>
    </row>
    <row r="1661" spans="1:21" ht="15" customHeight="1" x14ac:dyDescent="0.3">
      <c r="A1661" t="s">
        <v>179</v>
      </c>
      <c r="B1661" t="str">
        <f>"00057932"</f>
        <v>00057932</v>
      </c>
      <c r="C1661" t="s">
        <v>4272</v>
      </c>
      <c r="D1661" t="s">
        <v>3579</v>
      </c>
      <c r="E1661" t="str">
        <f>"00065941"</f>
        <v>00065941</v>
      </c>
      <c r="F1661">
        <v>0</v>
      </c>
      <c r="G1661" s="243">
        <v>40755</v>
      </c>
      <c r="H1661" t="s">
        <v>182</v>
      </c>
      <c r="I1661">
        <v>15</v>
      </c>
      <c r="J1661">
        <v>3</v>
      </c>
      <c r="K1661">
        <v>1</v>
      </c>
      <c r="L1661">
        <v>55210</v>
      </c>
      <c r="M1661" t="str">
        <f t="shared" si="238"/>
        <v>13</v>
      </c>
      <c r="N1661" t="s">
        <v>3323</v>
      </c>
      <c r="O1661" t="str">
        <f t="shared" si="243"/>
        <v>56111</v>
      </c>
      <c r="P1661" t="str">
        <f>"2100L"</f>
        <v>2100L</v>
      </c>
      <c r="Q1661" t="str">
        <f t="shared" si="239"/>
        <v>0101</v>
      </c>
      <c r="R1661">
        <v>2100</v>
      </c>
      <c r="S1661" t="str">
        <f t="shared" si="244"/>
        <v>5610</v>
      </c>
      <c r="T1661" t="s">
        <v>3576</v>
      </c>
      <c r="U1661" t="s">
        <v>46</v>
      </c>
    </row>
    <row r="1662" spans="1:21" ht="15" customHeight="1" x14ac:dyDescent="0.3">
      <c r="A1662" t="s">
        <v>179</v>
      </c>
      <c r="B1662" t="str">
        <f>"00057968"</f>
        <v>00057968</v>
      </c>
      <c r="C1662" t="s">
        <v>4272</v>
      </c>
      <c r="H1662" t="s">
        <v>170</v>
      </c>
      <c r="I1662">
        <v>15</v>
      </c>
      <c r="J1662">
        <v>1</v>
      </c>
      <c r="K1662">
        <v>1</v>
      </c>
      <c r="L1662">
        <v>54975</v>
      </c>
      <c r="M1662" t="str">
        <f t="shared" si="238"/>
        <v>13</v>
      </c>
      <c r="N1662" t="s">
        <v>3323</v>
      </c>
      <c r="O1662" t="str">
        <f t="shared" si="243"/>
        <v>56111</v>
      </c>
      <c r="P1662" t="str">
        <f>"2200L"</f>
        <v>2200L</v>
      </c>
      <c r="Q1662" t="str">
        <f t="shared" si="239"/>
        <v>0101</v>
      </c>
      <c r="R1662">
        <v>2200</v>
      </c>
      <c r="S1662" t="str">
        <f t="shared" si="244"/>
        <v>5610</v>
      </c>
      <c r="T1662" t="s">
        <v>3576</v>
      </c>
      <c r="U1662" t="s">
        <v>46</v>
      </c>
    </row>
    <row r="1663" spans="1:21" ht="15" customHeight="1" x14ac:dyDescent="0.3">
      <c r="A1663" t="s">
        <v>179</v>
      </c>
      <c r="B1663" t="str">
        <f>"00057988"</f>
        <v>00057988</v>
      </c>
      <c r="C1663" t="s">
        <v>4262</v>
      </c>
      <c r="D1663" t="s">
        <v>4804</v>
      </c>
      <c r="E1663" t="str">
        <f>"00069534"</f>
        <v>00069534</v>
      </c>
      <c r="F1663">
        <v>0</v>
      </c>
      <c r="G1663" s="243">
        <v>41133</v>
      </c>
      <c r="H1663" t="s">
        <v>182</v>
      </c>
      <c r="I1663">
        <v>15</v>
      </c>
      <c r="J1663">
        <v>1</v>
      </c>
      <c r="K1663">
        <v>1</v>
      </c>
      <c r="L1663">
        <v>54975</v>
      </c>
      <c r="M1663" t="str">
        <f t="shared" ref="M1663:M1719" si="245">"13"</f>
        <v>13</v>
      </c>
      <c r="N1663" t="s">
        <v>3370</v>
      </c>
      <c r="O1663" t="str">
        <f t="shared" si="243"/>
        <v>56111</v>
      </c>
      <c r="P1663" t="str">
        <f>"2100L"</f>
        <v>2100L</v>
      </c>
      <c r="Q1663" t="str">
        <f t="shared" si="239"/>
        <v>0101</v>
      </c>
      <c r="R1663">
        <v>2100</v>
      </c>
      <c r="S1663" t="str">
        <f t="shared" si="244"/>
        <v>5610</v>
      </c>
      <c r="T1663" t="s">
        <v>3576</v>
      </c>
      <c r="U1663" t="s">
        <v>46</v>
      </c>
    </row>
    <row r="1664" spans="1:21" ht="15" customHeight="1" x14ac:dyDescent="0.3">
      <c r="A1664" t="s">
        <v>179</v>
      </c>
      <c r="B1664" t="str">
        <f>"00058240"</f>
        <v>00058240</v>
      </c>
      <c r="C1664" t="s">
        <v>4262</v>
      </c>
      <c r="D1664" t="s">
        <v>2524</v>
      </c>
      <c r="E1664" t="str">
        <f>"00052643"</f>
        <v>00052643</v>
      </c>
      <c r="F1664">
        <v>0</v>
      </c>
      <c r="G1664" s="243">
        <v>37493</v>
      </c>
      <c r="H1664" t="s">
        <v>182</v>
      </c>
      <c r="I1664">
        <v>15</v>
      </c>
      <c r="J1664">
        <v>11</v>
      </c>
      <c r="K1664">
        <v>1</v>
      </c>
      <c r="L1664">
        <v>83774</v>
      </c>
      <c r="M1664" t="str">
        <f t="shared" si="245"/>
        <v>13</v>
      </c>
      <c r="N1664" t="s">
        <v>3370</v>
      </c>
      <c r="O1664" t="str">
        <f t="shared" si="243"/>
        <v>56111</v>
      </c>
      <c r="P1664" t="str">
        <f>"2100L"</f>
        <v>2100L</v>
      </c>
      <c r="Q1664" t="str">
        <f t="shared" si="239"/>
        <v>0101</v>
      </c>
      <c r="R1664">
        <v>2100</v>
      </c>
      <c r="S1664" t="str">
        <f t="shared" si="244"/>
        <v>5610</v>
      </c>
      <c r="T1664" t="s">
        <v>3576</v>
      </c>
      <c r="U1664" t="s">
        <v>46</v>
      </c>
    </row>
    <row r="1665" spans="1:21" ht="15" customHeight="1" x14ac:dyDescent="0.3">
      <c r="A1665" t="s">
        <v>179</v>
      </c>
      <c r="B1665" t="str">
        <f>"00058608"</f>
        <v>00058608</v>
      </c>
      <c r="C1665" t="s">
        <v>4262</v>
      </c>
      <c r="D1665" t="s">
        <v>4805</v>
      </c>
      <c r="E1665" t="str">
        <f>"00069713"</f>
        <v>00069713</v>
      </c>
      <c r="F1665">
        <v>0</v>
      </c>
      <c r="G1665" s="243">
        <v>41133</v>
      </c>
      <c r="H1665" t="s">
        <v>182</v>
      </c>
      <c r="I1665">
        <v>15</v>
      </c>
      <c r="J1665">
        <v>6</v>
      </c>
      <c r="K1665">
        <v>1</v>
      </c>
      <c r="L1665">
        <v>58599</v>
      </c>
      <c r="M1665" t="str">
        <f t="shared" si="245"/>
        <v>13</v>
      </c>
      <c r="N1665" t="s">
        <v>3370</v>
      </c>
      <c r="O1665" t="str">
        <f t="shared" si="243"/>
        <v>56111</v>
      </c>
      <c r="P1665" t="str">
        <f>"2100L"</f>
        <v>2100L</v>
      </c>
      <c r="Q1665" t="str">
        <f t="shared" si="239"/>
        <v>0101</v>
      </c>
      <c r="R1665">
        <v>2100</v>
      </c>
      <c r="S1665" t="str">
        <f t="shared" si="244"/>
        <v>5610</v>
      </c>
      <c r="T1665" t="s">
        <v>3576</v>
      </c>
      <c r="U1665" t="s">
        <v>46</v>
      </c>
    </row>
    <row r="1666" spans="1:21" ht="15" customHeight="1" x14ac:dyDescent="0.3">
      <c r="A1666" t="s">
        <v>179</v>
      </c>
      <c r="B1666" t="str">
        <f>"00061792"</f>
        <v>00061792</v>
      </c>
      <c r="C1666" t="s">
        <v>4292</v>
      </c>
      <c r="H1666" t="s">
        <v>170</v>
      </c>
      <c r="I1666">
        <v>4</v>
      </c>
      <c r="J1666">
        <v>1</v>
      </c>
      <c r="K1666">
        <v>0.875</v>
      </c>
      <c r="L1666">
        <v>25662</v>
      </c>
      <c r="M1666" t="str">
        <f t="shared" si="245"/>
        <v>13</v>
      </c>
      <c r="N1666" t="s">
        <v>3323</v>
      </c>
      <c r="O1666" t="str">
        <f t="shared" si="243"/>
        <v>56111</v>
      </c>
      <c r="P1666" t="str">
        <f>"2100L"</f>
        <v>2100L</v>
      </c>
      <c r="Q1666" t="str">
        <f t="shared" si="239"/>
        <v>0101</v>
      </c>
      <c r="R1666">
        <v>2100</v>
      </c>
      <c r="S1666" t="str">
        <f t="shared" si="244"/>
        <v>5610</v>
      </c>
      <c r="T1666" t="s">
        <v>3576</v>
      </c>
      <c r="U1666" t="s">
        <v>46</v>
      </c>
    </row>
    <row r="1667" spans="1:21" ht="15" customHeight="1" x14ac:dyDescent="0.3">
      <c r="A1667" t="s">
        <v>179</v>
      </c>
      <c r="B1667" t="str">
        <f>"00062605"</f>
        <v>00062605</v>
      </c>
      <c r="C1667" t="s">
        <v>4274</v>
      </c>
      <c r="H1667" t="s">
        <v>170</v>
      </c>
      <c r="I1667">
        <v>4</v>
      </c>
      <c r="J1667">
        <v>1</v>
      </c>
      <c r="K1667">
        <v>0.875</v>
      </c>
      <c r="L1667">
        <v>25662</v>
      </c>
      <c r="M1667" t="str">
        <f t="shared" si="245"/>
        <v>13</v>
      </c>
      <c r="N1667" t="s">
        <v>3323</v>
      </c>
      <c r="O1667" t="str">
        <f t="shared" si="243"/>
        <v>56111</v>
      </c>
      <c r="P1667" t="str">
        <f>"2200L"</f>
        <v>2200L</v>
      </c>
      <c r="Q1667" t="str">
        <f t="shared" si="239"/>
        <v>0101</v>
      </c>
      <c r="R1667">
        <v>2200</v>
      </c>
      <c r="S1667" t="str">
        <f t="shared" si="244"/>
        <v>5610</v>
      </c>
      <c r="T1667" t="s">
        <v>3576</v>
      </c>
      <c r="U1667" t="s">
        <v>46</v>
      </c>
    </row>
    <row r="1668" spans="1:21" ht="15" customHeight="1" x14ac:dyDescent="0.3">
      <c r="A1668" t="s">
        <v>179</v>
      </c>
      <c r="B1668" t="str">
        <f>"00065781"</f>
        <v>00065781</v>
      </c>
      <c r="C1668" t="s">
        <v>4272</v>
      </c>
      <c r="D1668" t="s">
        <v>1155</v>
      </c>
      <c r="E1668" t="str">
        <f>"00054058"</f>
        <v>00054058</v>
      </c>
      <c r="F1668">
        <v>0</v>
      </c>
      <c r="G1668" s="243">
        <v>31509</v>
      </c>
      <c r="H1668" t="s">
        <v>182</v>
      </c>
      <c r="I1668">
        <v>15</v>
      </c>
      <c r="J1668">
        <v>16</v>
      </c>
      <c r="K1668">
        <v>1</v>
      </c>
      <c r="L1668">
        <v>106540</v>
      </c>
      <c r="M1668" t="str">
        <f t="shared" si="245"/>
        <v>13</v>
      </c>
      <c r="N1668" t="s">
        <v>3323</v>
      </c>
      <c r="O1668" t="str">
        <f t="shared" si="243"/>
        <v>56111</v>
      </c>
      <c r="P1668" t="str">
        <f>"2200L"</f>
        <v>2200L</v>
      </c>
      <c r="Q1668" t="str">
        <f t="shared" si="239"/>
        <v>0101</v>
      </c>
      <c r="R1668">
        <v>2200</v>
      </c>
      <c r="S1668" t="str">
        <f t="shared" si="244"/>
        <v>5610</v>
      </c>
      <c r="T1668" t="s">
        <v>3576</v>
      </c>
      <c r="U1668" t="s">
        <v>46</v>
      </c>
    </row>
    <row r="1669" spans="1:21" ht="15" customHeight="1" x14ac:dyDescent="0.3">
      <c r="A1669" t="s">
        <v>179</v>
      </c>
      <c r="B1669" t="str">
        <f>"00066140"</f>
        <v>00066140</v>
      </c>
      <c r="C1669" t="s">
        <v>4410</v>
      </c>
      <c r="H1669" t="s">
        <v>170</v>
      </c>
      <c r="I1669">
        <v>5</v>
      </c>
      <c r="J1669">
        <v>1</v>
      </c>
      <c r="K1669">
        <v>1</v>
      </c>
      <c r="L1669">
        <v>28486</v>
      </c>
      <c r="M1669" t="str">
        <f t="shared" si="245"/>
        <v>13</v>
      </c>
      <c r="N1669" t="s">
        <v>3323</v>
      </c>
      <c r="O1669" t="str">
        <f t="shared" si="243"/>
        <v>56111</v>
      </c>
      <c r="P1669" t="str">
        <f>"2100L"</f>
        <v>2100L</v>
      </c>
      <c r="Q1669" t="str">
        <f t="shared" ref="Q1669:Q1726" si="246">"0101"</f>
        <v>0101</v>
      </c>
      <c r="R1669">
        <v>2100</v>
      </c>
      <c r="S1669" t="str">
        <f t="shared" si="244"/>
        <v>5610</v>
      </c>
      <c r="T1669" t="s">
        <v>3576</v>
      </c>
      <c r="U1669" t="s">
        <v>46</v>
      </c>
    </row>
    <row r="1670" spans="1:21" ht="15" customHeight="1" x14ac:dyDescent="0.3">
      <c r="A1670" t="s">
        <v>179</v>
      </c>
      <c r="B1670" t="str">
        <f>"00066874"</f>
        <v>00066874</v>
      </c>
      <c r="C1670" t="s">
        <v>4272</v>
      </c>
      <c r="D1670" t="s">
        <v>3578</v>
      </c>
      <c r="E1670" t="str">
        <f>"00057586"</f>
        <v>00057586</v>
      </c>
      <c r="F1670">
        <v>0</v>
      </c>
      <c r="G1670" s="243">
        <v>40042</v>
      </c>
      <c r="H1670" t="s">
        <v>182</v>
      </c>
      <c r="I1670">
        <v>15</v>
      </c>
      <c r="J1670">
        <v>3</v>
      </c>
      <c r="K1670">
        <v>1</v>
      </c>
      <c r="L1670">
        <v>52777</v>
      </c>
      <c r="M1670" t="str">
        <f t="shared" si="245"/>
        <v>13</v>
      </c>
      <c r="N1670" t="s">
        <v>3323</v>
      </c>
      <c r="O1670" t="str">
        <f t="shared" si="243"/>
        <v>56111</v>
      </c>
      <c r="P1670" t="str">
        <f>"2100L"</f>
        <v>2100L</v>
      </c>
      <c r="Q1670" t="str">
        <f t="shared" si="246"/>
        <v>0101</v>
      </c>
      <c r="R1670">
        <v>2100</v>
      </c>
      <c r="S1670" t="str">
        <f t="shared" si="244"/>
        <v>5610</v>
      </c>
      <c r="T1670" t="s">
        <v>3576</v>
      </c>
      <c r="U1670" t="s">
        <v>46</v>
      </c>
    </row>
    <row r="1671" spans="1:21" ht="15" customHeight="1" x14ac:dyDescent="0.3">
      <c r="A1671" t="s">
        <v>179</v>
      </c>
      <c r="B1671" t="str">
        <f>"00067011"</f>
        <v>00067011</v>
      </c>
      <c r="C1671" t="s">
        <v>4288</v>
      </c>
      <c r="D1671" t="s">
        <v>4806</v>
      </c>
      <c r="E1671" t="str">
        <f>"00064638"</f>
        <v>00064638</v>
      </c>
      <c r="F1671">
        <v>0</v>
      </c>
      <c r="G1671" s="243">
        <v>40596</v>
      </c>
      <c r="H1671" t="s">
        <v>182</v>
      </c>
      <c r="I1671">
        <v>4</v>
      </c>
      <c r="J1671">
        <v>7</v>
      </c>
      <c r="K1671">
        <v>1</v>
      </c>
      <c r="L1671">
        <v>26633.25</v>
      </c>
      <c r="M1671" t="str">
        <f t="shared" si="245"/>
        <v>13</v>
      </c>
      <c r="N1671" t="s">
        <v>3323</v>
      </c>
      <c r="O1671" t="str">
        <f t="shared" si="243"/>
        <v>56111</v>
      </c>
      <c r="P1671" t="str">
        <f>"2200L"</f>
        <v>2200L</v>
      </c>
      <c r="Q1671" t="str">
        <f t="shared" si="246"/>
        <v>0101</v>
      </c>
      <c r="R1671">
        <v>2200</v>
      </c>
      <c r="S1671" t="str">
        <f t="shared" si="244"/>
        <v>5610</v>
      </c>
      <c r="T1671" t="s">
        <v>3576</v>
      </c>
      <c r="U1671" t="s">
        <v>46</v>
      </c>
    </row>
    <row r="1672" spans="1:21" ht="15" customHeight="1" x14ac:dyDescent="0.3">
      <c r="A1672" t="s">
        <v>179</v>
      </c>
      <c r="B1672" t="str">
        <f>"00071431"</f>
        <v>00071431</v>
      </c>
      <c r="C1672" t="s">
        <v>4387</v>
      </c>
      <c r="D1672" t="s">
        <v>3575</v>
      </c>
      <c r="E1672" t="str">
        <f>"00066070"</f>
        <v>00066070</v>
      </c>
      <c r="F1672">
        <v>0</v>
      </c>
      <c r="G1672" s="243">
        <v>40770</v>
      </c>
      <c r="H1672" t="s">
        <v>182</v>
      </c>
      <c r="I1672">
        <v>10</v>
      </c>
      <c r="J1672">
        <v>8</v>
      </c>
      <c r="K1672">
        <v>1</v>
      </c>
      <c r="L1672">
        <v>80981</v>
      </c>
      <c r="M1672" t="str">
        <f t="shared" si="245"/>
        <v>13</v>
      </c>
      <c r="N1672" t="s">
        <v>3370</v>
      </c>
      <c r="O1672" t="str">
        <f t="shared" si="243"/>
        <v>56111</v>
      </c>
      <c r="P1672" t="str">
        <f>"2100L"</f>
        <v>2100L</v>
      </c>
      <c r="Q1672" t="str">
        <f t="shared" si="246"/>
        <v>0101</v>
      </c>
      <c r="R1672">
        <v>2100</v>
      </c>
      <c r="S1672" t="str">
        <f t="shared" si="244"/>
        <v>5610</v>
      </c>
      <c r="T1672" t="s">
        <v>3576</v>
      </c>
      <c r="U1672" t="s">
        <v>46</v>
      </c>
    </row>
    <row r="1673" spans="1:21" ht="15" customHeight="1" x14ac:dyDescent="0.3">
      <c r="A1673" t="s">
        <v>179</v>
      </c>
      <c r="B1673" t="str">
        <f>"00072125"</f>
        <v>00072125</v>
      </c>
      <c r="C1673" t="s">
        <v>4274</v>
      </c>
      <c r="D1673" t="s">
        <v>4807</v>
      </c>
      <c r="E1673" t="str">
        <f>"00054493"</f>
        <v>00054493</v>
      </c>
      <c r="F1673">
        <v>0</v>
      </c>
      <c r="G1673" s="243">
        <v>32756</v>
      </c>
      <c r="H1673" t="s">
        <v>182</v>
      </c>
      <c r="I1673">
        <v>4</v>
      </c>
      <c r="J1673">
        <v>10</v>
      </c>
      <c r="K1673">
        <v>1</v>
      </c>
      <c r="L1673">
        <v>28721</v>
      </c>
      <c r="M1673" t="str">
        <f t="shared" si="245"/>
        <v>13</v>
      </c>
      <c r="N1673" t="s">
        <v>3323</v>
      </c>
      <c r="O1673" t="str">
        <f t="shared" si="243"/>
        <v>56111</v>
      </c>
      <c r="P1673" t="str">
        <f>"2200L"</f>
        <v>2200L</v>
      </c>
      <c r="Q1673" t="str">
        <f t="shared" si="246"/>
        <v>0101</v>
      </c>
      <c r="R1673">
        <v>2200</v>
      </c>
      <c r="S1673" t="str">
        <f t="shared" si="244"/>
        <v>5610</v>
      </c>
      <c r="T1673" t="s">
        <v>3576</v>
      </c>
      <c r="U1673" t="s">
        <v>46</v>
      </c>
    </row>
    <row r="1674" spans="1:21" ht="15" customHeight="1" x14ac:dyDescent="0.3">
      <c r="A1674" t="s">
        <v>179</v>
      </c>
      <c r="B1674" t="str">
        <f>"00072274"</f>
        <v>00072274</v>
      </c>
      <c r="C1674" t="s">
        <v>4272</v>
      </c>
      <c r="D1674" t="s">
        <v>2127</v>
      </c>
      <c r="E1674" t="str">
        <f>"00046268"</f>
        <v>00046268</v>
      </c>
      <c r="F1674">
        <v>0</v>
      </c>
      <c r="G1674" s="243">
        <v>40042</v>
      </c>
      <c r="H1674" t="s">
        <v>182</v>
      </c>
      <c r="I1674">
        <v>15</v>
      </c>
      <c r="J1674">
        <v>9</v>
      </c>
      <c r="K1674">
        <v>1</v>
      </c>
      <c r="L1674">
        <v>68414</v>
      </c>
      <c r="M1674" t="str">
        <f t="shared" si="245"/>
        <v>13</v>
      </c>
      <c r="N1674" t="s">
        <v>3370</v>
      </c>
      <c r="O1674" t="str">
        <f t="shared" si="243"/>
        <v>56111</v>
      </c>
      <c r="P1674" t="str">
        <f t="shared" ref="P1674:P1679" si="247">"2100L"</f>
        <v>2100L</v>
      </c>
      <c r="Q1674" t="str">
        <f t="shared" si="246"/>
        <v>0101</v>
      </c>
      <c r="R1674">
        <v>2100</v>
      </c>
      <c r="S1674" t="str">
        <f t="shared" si="244"/>
        <v>5610</v>
      </c>
      <c r="T1674" t="s">
        <v>3576</v>
      </c>
      <c r="U1674" t="s">
        <v>46</v>
      </c>
    </row>
    <row r="1675" spans="1:21" ht="15" customHeight="1" x14ac:dyDescent="0.3">
      <c r="A1675" t="s">
        <v>179</v>
      </c>
      <c r="B1675" t="str">
        <f>"00072334"</f>
        <v>00072334</v>
      </c>
      <c r="C1675" t="s">
        <v>314</v>
      </c>
      <c r="H1675" t="s">
        <v>170</v>
      </c>
      <c r="I1675">
        <v>16</v>
      </c>
      <c r="J1675">
        <v>1</v>
      </c>
      <c r="K1675">
        <v>0.5</v>
      </c>
      <c r="L1675">
        <v>48755.199999999997</v>
      </c>
      <c r="M1675" t="str">
        <f t="shared" si="245"/>
        <v>13</v>
      </c>
      <c r="N1675" t="s">
        <v>3323</v>
      </c>
      <c r="O1675" t="str">
        <f t="shared" si="243"/>
        <v>56111</v>
      </c>
      <c r="P1675" t="str">
        <f t="shared" si="247"/>
        <v>2100L</v>
      </c>
      <c r="Q1675" t="str">
        <f t="shared" si="246"/>
        <v>0101</v>
      </c>
      <c r="R1675">
        <v>2100</v>
      </c>
      <c r="S1675" t="str">
        <f t="shared" si="244"/>
        <v>5610</v>
      </c>
      <c r="T1675" t="s">
        <v>3576</v>
      </c>
      <c r="U1675" t="s">
        <v>46</v>
      </c>
    </row>
    <row r="1676" spans="1:21" ht="15" customHeight="1" x14ac:dyDescent="0.3">
      <c r="A1676" t="s">
        <v>179</v>
      </c>
      <c r="B1676" t="str">
        <f>"00072738"</f>
        <v>00072738</v>
      </c>
      <c r="C1676" t="s">
        <v>200</v>
      </c>
      <c r="D1676" t="s">
        <v>4808</v>
      </c>
      <c r="E1676" t="str">
        <f>"00058831"</f>
        <v>00058831</v>
      </c>
      <c r="F1676">
        <v>0</v>
      </c>
      <c r="G1676" s="243">
        <v>40099</v>
      </c>
      <c r="H1676" t="s">
        <v>182</v>
      </c>
      <c r="I1676">
        <v>15</v>
      </c>
      <c r="J1676">
        <v>4</v>
      </c>
      <c r="K1676">
        <v>1</v>
      </c>
      <c r="L1676">
        <v>61158</v>
      </c>
      <c r="M1676" t="str">
        <f t="shared" si="245"/>
        <v>13</v>
      </c>
      <c r="N1676" t="s">
        <v>3323</v>
      </c>
      <c r="O1676" t="str">
        <f t="shared" si="243"/>
        <v>56111</v>
      </c>
      <c r="P1676" t="str">
        <f t="shared" si="247"/>
        <v>2100L</v>
      </c>
      <c r="Q1676" t="str">
        <f t="shared" si="246"/>
        <v>0101</v>
      </c>
      <c r="R1676">
        <v>2100</v>
      </c>
      <c r="S1676" t="str">
        <f t="shared" si="244"/>
        <v>5610</v>
      </c>
      <c r="T1676" t="s">
        <v>3576</v>
      </c>
      <c r="U1676" t="s">
        <v>46</v>
      </c>
    </row>
    <row r="1677" spans="1:21" ht="15" customHeight="1" x14ac:dyDescent="0.3">
      <c r="A1677" t="s">
        <v>179</v>
      </c>
      <c r="B1677" t="str">
        <f>"00072740"</f>
        <v>00072740</v>
      </c>
      <c r="C1677" t="s">
        <v>4262</v>
      </c>
      <c r="D1677" t="s">
        <v>4809</v>
      </c>
      <c r="E1677" t="str">
        <f>"00069693"</f>
        <v>00069693</v>
      </c>
      <c r="F1677">
        <v>0</v>
      </c>
      <c r="G1677" s="243">
        <v>41133</v>
      </c>
      <c r="H1677" t="s">
        <v>182</v>
      </c>
      <c r="I1677">
        <v>15</v>
      </c>
      <c r="J1677">
        <v>1</v>
      </c>
      <c r="K1677">
        <v>1</v>
      </c>
      <c r="L1677">
        <v>51539</v>
      </c>
      <c r="M1677" t="str">
        <f t="shared" si="245"/>
        <v>13</v>
      </c>
      <c r="N1677" t="s">
        <v>3370</v>
      </c>
      <c r="O1677" t="str">
        <f t="shared" si="243"/>
        <v>56111</v>
      </c>
      <c r="P1677" t="str">
        <f t="shared" si="247"/>
        <v>2100L</v>
      </c>
      <c r="Q1677" t="str">
        <f t="shared" si="246"/>
        <v>0101</v>
      </c>
      <c r="R1677">
        <v>2100</v>
      </c>
      <c r="S1677" t="str">
        <f t="shared" si="244"/>
        <v>5610</v>
      </c>
      <c r="T1677" t="s">
        <v>3576</v>
      </c>
      <c r="U1677" t="s">
        <v>46</v>
      </c>
    </row>
    <row r="1678" spans="1:21" ht="15" customHeight="1" x14ac:dyDescent="0.3">
      <c r="A1678" t="s">
        <v>179</v>
      </c>
      <c r="B1678" t="str">
        <f>"00074232"</f>
        <v>00074232</v>
      </c>
      <c r="C1678" t="s">
        <v>4260</v>
      </c>
      <c r="H1678" t="s">
        <v>170</v>
      </c>
      <c r="I1678">
        <v>15</v>
      </c>
      <c r="J1678">
        <v>1</v>
      </c>
      <c r="K1678">
        <v>1</v>
      </c>
      <c r="L1678">
        <v>56693</v>
      </c>
      <c r="M1678" t="str">
        <f t="shared" si="245"/>
        <v>13</v>
      </c>
      <c r="N1678" t="s">
        <v>3323</v>
      </c>
      <c r="O1678" t="str">
        <f t="shared" si="243"/>
        <v>56111</v>
      </c>
      <c r="P1678" t="str">
        <f t="shared" si="247"/>
        <v>2100L</v>
      </c>
      <c r="Q1678" t="str">
        <f t="shared" si="246"/>
        <v>0101</v>
      </c>
      <c r="R1678">
        <v>2100</v>
      </c>
      <c r="S1678" t="str">
        <f t="shared" si="244"/>
        <v>5610</v>
      </c>
      <c r="T1678" t="s">
        <v>3576</v>
      </c>
      <c r="U1678" t="s">
        <v>46</v>
      </c>
    </row>
    <row r="1679" spans="1:21" ht="15" customHeight="1" x14ac:dyDescent="0.3">
      <c r="A1679" t="s">
        <v>179</v>
      </c>
      <c r="B1679" t="str">
        <f>"00074234"</f>
        <v>00074234</v>
      </c>
      <c r="C1679" t="s">
        <v>4337</v>
      </c>
      <c r="H1679" t="s">
        <v>170</v>
      </c>
      <c r="I1679">
        <v>15</v>
      </c>
      <c r="J1679">
        <v>1</v>
      </c>
      <c r="K1679">
        <v>0.5</v>
      </c>
      <c r="L1679">
        <v>51539</v>
      </c>
      <c r="M1679" t="str">
        <f t="shared" si="245"/>
        <v>13</v>
      </c>
      <c r="N1679" t="s">
        <v>3323</v>
      </c>
      <c r="O1679" t="str">
        <f t="shared" si="243"/>
        <v>56111</v>
      </c>
      <c r="P1679" t="str">
        <f t="shared" si="247"/>
        <v>2100L</v>
      </c>
      <c r="Q1679" t="str">
        <f t="shared" si="246"/>
        <v>0101</v>
      </c>
      <c r="R1679">
        <v>2100</v>
      </c>
      <c r="S1679" t="str">
        <f t="shared" si="244"/>
        <v>5610</v>
      </c>
      <c r="T1679" t="s">
        <v>3576</v>
      </c>
      <c r="U1679" t="s">
        <v>46</v>
      </c>
    </row>
    <row r="1680" spans="1:21" ht="15" customHeight="1" x14ac:dyDescent="0.3">
      <c r="A1680" t="s">
        <v>179</v>
      </c>
      <c r="B1680" t="str">
        <f>"00074969"</f>
        <v>00074969</v>
      </c>
      <c r="C1680" t="s">
        <v>3670</v>
      </c>
      <c r="H1680" t="s">
        <v>170</v>
      </c>
      <c r="I1680">
        <v>8</v>
      </c>
      <c r="J1680">
        <v>1</v>
      </c>
      <c r="K1680">
        <v>1</v>
      </c>
      <c r="L1680">
        <v>82397</v>
      </c>
      <c r="M1680" t="str">
        <f t="shared" si="245"/>
        <v>13</v>
      </c>
      <c r="N1680" t="s">
        <v>3323</v>
      </c>
      <c r="O1680" t="str">
        <f t="shared" si="243"/>
        <v>56111</v>
      </c>
      <c r="P1680" t="str">
        <f>"1501L"</f>
        <v>1501L</v>
      </c>
      <c r="Q1680" t="str">
        <f t="shared" si="246"/>
        <v>0101</v>
      </c>
      <c r="R1680">
        <v>1501</v>
      </c>
      <c r="S1680" t="str">
        <f t="shared" si="244"/>
        <v>5610</v>
      </c>
      <c r="T1680" t="s">
        <v>3576</v>
      </c>
      <c r="U1680" t="s">
        <v>46</v>
      </c>
    </row>
    <row r="1681" spans="1:21" ht="15" customHeight="1" x14ac:dyDescent="0.3">
      <c r="A1681" t="s">
        <v>179</v>
      </c>
      <c r="B1681" t="str">
        <f>"00076190"</f>
        <v>00076190</v>
      </c>
      <c r="C1681" t="s">
        <v>4262</v>
      </c>
      <c r="D1681" t="s">
        <v>792</v>
      </c>
      <c r="E1681" t="str">
        <f>"00045577"</f>
        <v>00045577</v>
      </c>
      <c r="F1681">
        <v>0</v>
      </c>
      <c r="G1681" s="243">
        <v>36390</v>
      </c>
      <c r="H1681" t="s">
        <v>182</v>
      </c>
      <c r="I1681">
        <v>15</v>
      </c>
      <c r="J1681">
        <v>12</v>
      </c>
      <c r="K1681">
        <v>1</v>
      </c>
      <c r="L1681">
        <v>75816</v>
      </c>
      <c r="M1681" t="str">
        <f t="shared" si="245"/>
        <v>13</v>
      </c>
      <c r="N1681" t="s">
        <v>3370</v>
      </c>
      <c r="O1681" t="str">
        <f t="shared" ref="O1681:O1694" si="248">"56111"</f>
        <v>56111</v>
      </c>
      <c r="P1681" t="str">
        <f t="shared" ref="P1681:P1691" si="249">"2100L"</f>
        <v>2100L</v>
      </c>
      <c r="Q1681" t="str">
        <f t="shared" si="246"/>
        <v>0101</v>
      </c>
      <c r="R1681">
        <v>2100</v>
      </c>
      <c r="S1681" t="str">
        <f t="shared" ref="S1681:S1694" si="250">"5610"</f>
        <v>5610</v>
      </c>
      <c r="T1681" t="s">
        <v>3576</v>
      </c>
      <c r="U1681" t="s">
        <v>46</v>
      </c>
    </row>
    <row r="1682" spans="1:21" ht="15" customHeight="1" x14ac:dyDescent="0.3">
      <c r="A1682" t="s">
        <v>179</v>
      </c>
      <c r="B1682" t="str">
        <f>"00076191"</f>
        <v>00076191</v>
      </c>
      <c r="C1682" t="s">
        <v>4262</v>
      </c>
      <c r="D1682" t="s">
        <v>4810</v>
      </c>
      <c r="E1682" t="str">
        <f>"00069575"</f>
        <v>00069575</v>
      </c>
      <c r="F1682">
        <v>0</v>
      </c>
      <c r="G1682" s="243">
        <v>41133</v>
      </c>
      <c r="H1682" t="s">
        <v>182</v>
      </c>
      <c r="I1682">
        <v>15</v>
      </c>
      <c r="J1682">
        <v>10</v>
      </c>
      <c r="K1682">
        <v>1</v>
      </c>
      <c r="L1682">
        <v>68431</v>
      </c>
      <c r="M1682" t="str">
        <f t="shared" si="245"/>
        <v>13</v>
      </c>
      <c r="N1682" t="s">
        <v>3370</v>
      </c>
      <c r="O1682" t="str">
        <f t="shared" si="248"/>
        <v>56111</v>
      </c>
      <c r="P1682" t="str">
        <f t="shared" si="249"/>
        <v>2100L</v>
      </c>
      <c r="Q1682" t="str">
        <f t="shared" si="246"/>
        <v>0101</v>
      </c>
      <c r="R1682">
        <v>2100</v>
      </c>
      <c r="S1682" t="str">
        <f t="shared" si="250"/>
        <v>5610</v>
      </c>
      <c r="T1682" t="s">
        <v>3576</v>
      </c>
      <c r="U1682" t="s">
        <v>46</v>
      </c>
    </row>
    <row r="1683" spans="1:21" ht="15" customHeight="1" x14ac:dyDescent="0.3">
      <c r="A1683" t="s">
        <v>179</v>
      </c>
      <c r="B1683" t="str">
        <f>"00076192"</f>
        <v>00076192</v>
      </c>
      <c r="C1683" t="s">
        <v>4372</v>
      </c>
      <c r="D1683" t="s">
        <v>4811</v>
      </c>
      <c r="E1683" t="str">
        <f>"00063214"</f>
        <v>00063214</v>
      </c>
      <c r="F1683">
        <v>0</v>
      </c>
      <c r="G1683" s="243">
        <v>40420</v>
      </c>
      <c r="H1683" t="s">
        <v>182</v>
      </c>
      <c r="I1683">
        <v>4</v>
      </c>
      <c r="J1683">
        <v>4</v>
      </c>
      <c r="K1683">
        <v>1</v>
      </c>
      <c r="L1683">
        <v>29640</v>
      </c>
      <c r="M1683" t="str">
        <f t="shared" si="245"/>
        <v>13</v>
      </c>
      <c r="N1683" t="s">
        <v>3370</v>
      </c>
      <c r="O1683" t="str">
        <f t="shared" si="248"/>
        <v>56111</v>
      </c>
      <c r="P1683" t="str">
        <f t="shared" si="249"/>
        <v>2100L</v>
      </c>
      <c r="Q1683" t="str">
        <f t="shared" si="246"/>
        <v>0101</v>
      </c>
      <c r="R1683">
        <v>2100</v>
      </c>
      <c r="S1683" t="str">
        <f t="shared" si="250"/>
        <v>5610</v>
      </c>
      <c r="T1683" t="s">
        <v>3576</v>
      </c>
      <c r="U1683" t="s">
        <v>46</v>
      </c>
    </row>
    <row r="1684" spans="1:21" ht="15" customHeight="1" x14ac:dyDescent="0.3">
      <c r="A1684" t="s">
        <v>179</v>
      </c>
      <c r="B1684" t="str">
        <f>"00076193"</f>
        <v>00076193</v>
      </c>
      <c r="C1684" t="s">
        <v>4262</v>
      </c>
      <c r="D1684" t="s">
        <v>4812</v>
      </c>
      <c r="E1684" t="str">
        <f>"00069913"</f>
        <v>00069913</v>
      </c>
      <c r="F1684">
        <v>0</v>
      </c>
      <c r="G1684" s="243">
        <v>41133</v>
      </c>
      <c r="H1684" t="s">
        <v>182</v>
      </c>
      <c r="I1684">
        <v>15</v>
      </c>
      <c r="J1684">
        <v>8</v>
      </c>
      <c r="K1684">
        <v>1</v>
      </c>
      <c r="L1684">
        <v>72171</v>
      </c>
      <c r="M1684" t="str">
        <f t="shared" si="245"/>
        <v>13</v>
      </c>
      <c r="N1684" t="s">
        <v>3370</v>
      </c>
      <c r="O1684" t="str">
        <f t="shared" si="248"/>
        <v>56111</v>
      </c>
      <c r="P1684" t="str">
        <f t="shared" si="249"/>
        <v>2100L</v>
      </c>
      <c r="Q1684" t="str">
        <f t="shared" si="246"/>
        <v>0101</v>
      </c>
      <c r="R1684">
        <v>2100</v>
      </c>
      <c r="S1684" t="str">
        <f t="shared" si="250"/>
        <v>5610</v>
      </c>
      <c r="T1684" t="s">
        <v>3576</v>
      </c>
      <c r="U1684" t="s">
        <v>46</v>
      </c>
    </row>
    <row r="1685" spans="1:21" ht="15" customHeight="1" x14ac:dyDescent="0.3">
      <c r="A1685" t="s">
        <v>179</v>
      </c>
      <c r="B1685" t="str">
        <f>"00076194"</f>
        <v>00076194</v>
      </c>
      <c r="C1685" t="s">
        <v>4262</v>
      </c>
      <c r="D1685" t="s">
        <v>2125</v>
      </c>
      <c r="E1685" t="str">
        <f>"00052155"</f>
        <v>00052155</v>
      </c>
      <c r="F1685">
        <v>0</v>
      </c>
      <c r="G1685" s="243">
        <v>39679</v>
      </c>
      <c r="H1685" t="s">
        <v>182</v>
      </c>
      <c r="I1685">
        <v>15</v>
      </c>
      <c r="J1685">
        <v>5</v>
      </c>
      <c r="K1685">
        <v>1</v>
      </c>
      <c r="L1685">
        <v>56655</v>
      </c>
      <c r="M1685" t="str">
        <f t="shared" si="245"/>
        <v>13</v>
      </c>
      <c r="N1685" t="s">
        <v>3370</v>
      </c>
      <c r="O1685" t="str">
        <f t="shared" si="248"/>
        <v>56111</v>
      </c>
      <c r="P1685" t="str">
        <f t="shared" si="249"/>
        <v>2100L</v>
      </c>
      <c r="Q1685" t="str">
        <f t="shared" si="246"/>
        <v>0101</v>
      </c>
      <c r="R1685">
        <v>2100</v>
      </c>
      <c r="S1685" t="str">
        <f t="shared" si="250"/>
        <v>5610</v>
      </c>
      <c r="T1685" t="s">
        <v>3576</v>
      </c>
      <c r="U1685" t="s">
        <v>46</v>
      </c>
    </row>
    <row r="1686" spans="1:21" ht="15" customHeight="1" x14ac:dyDescent="0.3">
      <c r="A1686" t="s">
        <v>179</v>
      </c>
      <c r="B1686" t="str">
        <f>"00076195"</f>
        <v>00076195</v>
      </c>
      <c r="C1686" t="s">
        <v>4265</v>
      </c>
      <c r="H1686" t="s">
        <v>170</v>
      </c>
      <c r="I1686">
        <v>15</v>
      </c>
      <c r="J1686">
        <v>0</v>
      </c>
      <c r="K1686">
        <v>0.5</v>
      </c>
      <c r="L1686">
        <v>54975</v>
      </c>
      <c r="M1686" t="str">
        <f t="shared" si="245"/>
        <v>13</v>
      </c>
      <c r="N1686" t="s">
        <v>3370</v>
      </c>
      <c r="O1686" t="str">
        <f t="shared" si="248"/>
        <v>56111</v>
      </c>
      <c r="P1686" t="str">
        <f t="shared" si="249"/>
        <v>2100L</v>
      </c>
      <c r="Q1686" t="str">
        <f t="shared" si="246"/>
        <v>0101</v>
      </c>
      <c r="R1686">
        <v>2100</v>
      </c>
      <c r="S1686" t="str">
        <f t="shared" si="250"/>
        <v>5610</v>
      </c>
      <c r="T1686" t="s">
        <v>3576</v>
      </c>
      <c r="U1686" t="s">
        <v>46</v>
      </c>
    </row>
    <row r="1687" spans="1:21" ht="15" customHeight="1" x14ac:dyDescent="0.3">
      <c r="A1687" t="s">
        <v>179</v>
      </c>
      <c r="B1687" t="str">
        <f>"00076196"</f>
        <v>00076196</v>
      </c>
      <c r="C1687" t="s">
        <v>4395</v>
      </c>
      <c r="D1687" t="s">
        <v>1389</v>
      </c>
      <c r="E1687" t="str">
        <f>"00063048"</f>
        <v>00063048</v>
      </c>
      <c r="F1687">
        <v>0</v>
      </c>
      <c r="G1687" s="243">
        <v>40406</v>
      </c>
      <c r="H1687" t="s">
        <v>182</v>
      </c>
      <c r="I1687">
        <v>10</v>
      </c>
      <c r="J1687">
        <v>9</v>
      </c>
      <c r="K1687">
        <v>1</v>
      </c>
      <c r="L1687">
        <v>86183</v>
      </c>
      <c r="M1687" t="str">
        <f t="shared" si="245"/>
        <v>13</v>
      </c>
      <c r="N1687" t="s">
        <v>3370</v>
      </c>
      <c r="O1687" t="str">
        <f t="shared" si="248"/>
        <v>56111</v>
      </c>
      <c r="P1687" t="str">
        <f t="shared" si="249"/>
        <v>2100L</v>
      </c>
      <c r="Q1687" t="str">
        <f t="shared" si="246"/>
        <v>0101</v>
      </c>
      <c r="R1687">
        <v>2100</v>
      </c>
      <c r="S1687" t="str">
        <f t="shared" si="250"/>
        <v>5610</v>
      </c>
      <c r="T1687" t="s">
        <v>3576</v>
      </c>
      <c r="U1687" t="s">
        <v>46</v>
      </c>
    </row>
    <row r="1688" spans="1:21" ht="15" customHeight="1" x14ac:dyDescent="0.3">
      <c r="A1688" t="s">
        <v>179</v>
      </c>
      <c r="B1688" t="str">
        <f>"00076197"</f>
        <v>00076197</v>
      </c>
      <c r="C1688" t="s">
        <v>4271</v>
      </c>
      <c r="D1688" t="s">
        <v>4813</v>
      </c>
      <c r="E1688" t="str">
        <f>"00049182"</f>
        <v>00049182</v>
      </c>
      <c r="F1688">
        <v>0</v>
      </c>
      <c r="G1688" s="243">
        <v>32050</v>
      </c>
      <c r="H1688" t="s">
        <v>182</v>
      </c>
      <c r="I1688">
        <v>15</v>
      </c>
      <c r="J1688">
        <v>16</v>
      </c>
      <c r="K1688">
        <v>0.5</v>
      </c>
      <c r="L1688">
        <v>103347</v>
      </c>
      <c r="M1688" t="str">
        <f t="shared" si="245"/>
        <v>13</v>
      </c>
      <c r="N1688" t="s">
        <v>3323</v>
      </c>
      <c r="O1688" t="str">
        <f t="shared" si="248"/>
        <v>56111</v>
      </c>
      <c r="P1688" t="str">
        <f t="shared" si="249"/>
        <v>2100L</v>
      </c>
      <c r="Q1688" t="str">
        <f t="shared" si="246"/>
        <v>0101</v>
      </c>
      <c r="R1688">
        <v>2100</v>
      </c>
      <c r="S1688" t="str">
        <f t="shared" si="250"/>
        <v>5610</v>
      </c>
      <c r="T1688" t="s">
        <v>3576</v>
      </c>
      <c r="U1688" t="s">
        <v>46</v>
      </c>
    </row>
    <row r="1689" spans="1:21" ht="15" customHeight="1" x14ac:dyDescent="0.3">
      <c r="A1689" t="s">
        <v>179</v>
      </c>
      <c r="B1689" t="str">
        <f>"00076198"</f>
        <v>00076198</v>
      </c>
      <c r="C1689" t="s">
        <v>4262</v>
      </c>
      <c r="D1689" t="s">
        <v>4814</v>
      </c>
      <c r="E1689" t="str">
        <f>"00069557"</f>
        <v>00069557</v>
      </c>
      <c r="F1689">
        <v>0</v>
      </c>
      <c r="G1689" s="243">
        <v>41133</v>
      </c>
      <c r="H1689" t="s">
        <v>182</v>
      </c>
      <c r="I1689">
        <v>15</v>
      </c>
      <c r="J1689">
        <v>1</v>
      </c>
      <c r="K1689">
        <v>1</v>
      </c>
      <c r="L1689">
        <v>54975</v>
      </c>
      <c r="M1689" t="str">
        <f t="shared" si="245"/>
        <v>13</v>
      </c>
      <c r="N1689" t="s">
        <v>3370</v>
      </c>
      <c r="O1689" t="str">
        <f t="shared" si="248"/>
        <v>56111</v>
      </c>
      <c r="P1689" t="str">
        <f t="shared" si="249"/>
        <v>2100L</v>
      </c>
      <c r="Q1689" t="str">
        <f t="shared" si="246"/>
        <v>0101</v>
      </c>
      <c r="R1689">
        <v>2100</v>
      </c>
      <c r="S1689" t="str">
        <f t="shared" si="250"/>
        <v>5610</v>
      </c>
      <c r="T1689" t="s">
        <v>3576</v>
      </c>
      <c r="U1689" t="s">
        <v>46</v>
      </c>
    </row>
    <row r="1690" spans="1:21" ht="15" customHeight="1" x14ac:dyDescent="0.3">
      <c r="A1690" t="s">
        <v>179</v>
      </c>
      <c r="B1690" t="str">
        <f>"00076200"</f>
        <v>00076200</v>
      </c>
      <c r="C1690" t="s">
        <v>4262</v>
      </c>
      <c r="D1690" t="s">
        <v>2121</v>
      </c>
      <c r="E1690" t="str">
        <f>"00005902"</f>
        <v>00005902</v>
      </c>
      <c r="F1690">
        <v>2</v>
      </c>
      <c r="G1690" s="243">
        <v>38587</v>
      </c>
      <c r="H1690" t="s">
        <v>182</v>
      </c>
      <c r="I1690">
        <v>15</v>
      </c>
      <c r="J1690">
        <v>8</v>
      </c>
      <c r="K1690">
        <v>1</v>
      </c>
      <c r="L1690">
        <v>72171</v>
      </c>
      <c r="M1690" t="str">
        <f t="shared" si="245"/>
        <v>13</v>
      </c>
      <c r="N1690" t="s">
        <v>3323</v>
      </c>
      <c r="O1690" t="str">
        <f t="shared" si="248"/>
        <v>56111</v>
      </c>
      <c r="P1690" t="str">
        <f t="shared" si="249"/>
        <v>2100L</v>
      </c>
      <c r="Q1690" t="str">
        <f t="shared" si="246"/>
        <v>0101</v>
      </c>
      <c r="R1690">
        <v>2100</v>
      </c>
      <c r="S1690" t="str">
        <f t="shared" si="250"/>
        <v>5610</v>
      </c>
      <c r="T1690" t="s">
        <v>3576</v>
      </c>
      <c r="U1690" t="s">
        <v>46</v>
      </c>
    </row>
    <row r="1691" spans="1:21" ht="15" customHeight="1" x14ac:dyDescent="0.3">
      <c r="A1691" t="s">
        <v>179</v>
      </c>
      <c r="B1691" t="str">
        <f>"00076201"</f>
        <v>00076201</v>
      </c>
      <c r="C1691" t="s">
        <v>4262</v>
      </c>
      <c r="D1691" t="s">
        <v>1152</v>
      </c>
      <c r="E1691" t="str">
        <f>"00047508"</f>
        <v>00047508</v>
      </c>
      <c r="F1691">
        <v>0</v>
      </c>
      <c r="G1691" s="243">
        <v>41133</v>
      </c>
      <c r="H1691" t="s">
        <v>182</v>
      </c>
      <c r="I1691">
        <v>15</v>
      </c>
      <c r="J1691">
        <v>13</v>
      </c>
      <c r="K1691">
        <v>1</v>
      </c>
      <c r="L1691">
        <v>86613</v>
      </c>
      <c r="M1691" t="str">
        <f t="shared" si="245"/>
        <v>13</v>
      </c>
      <c r="N1691" t="s">
        <v>3370</v>
      </c>
      <c r="O1691" t="str">
        <f t="shared" si="248"/>
        <v>56111</v>
      </c>
      <c r="P1691" t="str">
        <f t="shared" si="249"/>
        <v>2100L</v>
      </c>
      <c r="Q1691" t="str">
        <f t="shared" si="246"/>
        <v>0101</v>
      </c>
      <c r="R1691">
        <v>2100</v>
      </c>
      <c r="S1691" t="str">
        <f t="shared" si="250"/>
        <v>5610</v>
      </c>
      <c r="T1691" t="s">
        <v>3576</v>
      </c>
      <c r="U1691" t="s">
        <v>46</v>
      </c>
    </row>
    <row r="1692" spans="1:21" ht="15" customHeight="1" x14ac:dyDescent="0.3">
      <c r="A1692" t="s">
        <v>179</v>
      </c>
      <c r="B1692" t="str">
        <f>"00076255"</f>
        <v>00076255</v>
      </c>
      <c r="C1692" t="s">
        <v>4306</v>
      </c>
      <c r="H1692" t="s">
        <v>170</v>
      </c>
      <c r="I1692">
        <v>9</v>
      </c>
      <c r="J1692">
        <v>0</v>
      </c>
      <c r="K1692">
        <v>1</v>
      </c>
      <c r="L1692">
        <v>33163</v>
      </c>
      <c r="M1692" t="str">
        <f t="shared" si="245"/>
        <v>13</v>
      </c>
      <c r="N1692" t="s">
        <v>3323</v>
      </c>
      <c r="O1692" t="str">
        <f t="shared" si="248"/>
        <v>56111</v>
      </c>
      <c r="P1692" t="str">
        <f>"2100L"</f>
        <v>2100L</v>
      </c>
      <c r="Q1692" t="str">
        <f t="shared" si="246"/>
        <v>0101</v>
      </c>
      <c r="R1692">
        <v>2100</v>
      </c>
      <c r="S1692" t="str">
        <f t="shared" si="250"/>
        <v>5610</v>
      </c>
      <c r="T1692" t="s">
        <v>3576</v>
      </c>
      <c r="U1692" t="s">
        <v>46</v>
      </c>
    </row>
    <row r="1693" spans="1:21" ht="15" customHeight="1" x14ac:dyDescent="0.3">
      <c r="A1693" t="s">
        <v>179</v>
      </c>
      <c r="B1693" t="str">
        <f>"00076456"</f>
        <v>00076456</v>
      </c>
      <c r="C1693" t="s">
        <v>4288</v>
      </c>
      <c r="H1693" t="s">
        <v>170</v>
      </c>
      <c r="I1693">
        <v>4</v>
      </c>
      <c r="J1693">
        <v>0</v>
      </c>
      <c r="K1693">
        <v>0.71</v>
      </c>
      <c r="L1693">
        <v>25662</v>
      </c>
      <c r="M1693" t="str">
        <f t="shared" si="245"/>
        <v>13</v>
      </c>
      <c r="N1693" t="s">
        <v>3370</v>
      </c>
      <c r="O1693" t="str">
        <f t="shared" si="248"/>
        <v>56111</v>
      </c>
      <c r="P1693" t="str">
        <f>"2200L"</f>
        <v>2200L</v>
      </c>
      <c r="Q1693" t="str">
        <f t="shared" si="246"/>
        <v>0101</v>
      </c>
      <c r="R1693">
        <v>2200</v>
      </c>
      <c r="S1693" t="str">
        <f t="shared" si="250"/>
        <v>5610</v>
      </c>
      <c r="T1693" t="s">
        <v>3576</v>
      </c>
      <c r="U1693" t="s">
        <v>46</v>
      </c>
    </row>
    <row r="1694" spans="1:21" ht="15" customHeight="1" x14ac:dyDescent="0.3">
      <c r="A1694" t="s">
        <v>179</v>
      </c>
      <c r="B1694" t="str">
        <f>"00076528"</f>
        <v>00076528</v>
      </c>
      <c r="C1694" t="s">
        <v>4290</v>
      </c>
      <c r="D1694" t="s">
        <v>4815</v>
      </c>
      <c r="E1694" t="str">
        <f>"00057551"</f>
        <v>00057551</v>
      </c>
      <c r="F1694">
        <v>0</v>
      </c>
      <c r="G1694" s="243">
        <v>40042</v>
      </c>
      <c r="H1694" t="s">
        <v>182</v>
      </c>
      <c r="I1694">
        <v>4</v>
      </c>
      <c r="J1694">
        <v>4</v>
      </c>
      <c r="K1694">
        <v>0.71</v>
      </c>
      <c r="L1694">
        <v>24543.75</v>
      </c>
      <c r="M1694" t="str">
        <f t="shared" si="245"/>
        <v>13</v>
      </c>
      <c r="N1694" t="s">
        <v>3323</v>
      </c>
      <c r="O1694" t="str">
        <f t="shared" si="248"/>
        <v>56111</v>
      </c>
      <c r="P1694" t="str">
        <f>"3030L"</f>
        <v>3030L</v>
      </c>
      <c r="Q1694" t="str">
        <f t="shared" si="246"/>
        <v>0101</v>
      </c>
      <c r="R1694">
        <v>3030</v>
      </c>
      <c r="S1694" t="str">
        <f t="shared" si="250"/>
        <v>5610</v>
      </c>
      <c r="T1694" t="s">
        <v>3576</v>
      </c>
      <c r="U1694" t="s">
        <v>46</v>
      </c>
    </row>
    <row r="1695" spans="1:21" ht="15" customHeight="1" x14ac:dyDescent="0.3">
      <c r="A1695" t="s">
        <v>179</v>
      </c>
      <c r="B1695" t="str">
        <f>"00051682"</f>
        <v>00051682</v>
      </c>
      <c r="C1695" t="s">
        <v>4253</v>
      </c>
      <c r="D1695" t="s">
        <v>1606</v>
      </c>
      <c r="E1695" t="str">
        <f>"00045461"</f>
        <v>00045461</v>
      </c>
      <c r="F1695">
        <v>0</v>
      </c>
      <c r="G1695" s="243">
        <v>30262</v>
      </c>
      <c r="H1695" t="s">
        <v>182</v>
      </c>
      <c r="I1695">
        <v>15</v>
      </c>
      <c r="J1695">
        <v>16</v>
      </c>
      <c r="K1695">
        <v>1</v>
      </c>
      <c r="L1695">
        <v>100839</v>
      </c>
      <c r="M1695" t="str">
        <f t="shared" si="245"/>
        <v>13</v>
      </c>
      <c r="N1695" t="s">
        <v>3323</v>
      </c>
      <c r="O1695" t="str">
        <f t="shared" ref="O1695:O1735" si="251">"56211"</f>
        <v>56211</v>
      </c>
      <c r="P1695" t="str">
        <f>"2100L"</f>
        <v>2100L</v>
      </c>
      <c r="Q1695" t="str">
        <f t="shared" si="246"/>
        <v>0101</v>
      </c>
      <c r="R1695">
        <v>2100</v>
      </c>
      <c r="S1695" t="str">
        <f t="shared" ref="S1695:S1735" si="252">"5620"</f>
        <v>5620</v>
      </c>
      <c r="T1695" t="s">
        <v>3583</v>
      </c>
      <c r="U1695" t="s">
        <v>124</v>
      </c>
    </row>
    <row r="1696" spans="1:21" ht="15" customHeight="1" x14ac:dyDescent="0.3">
      <c r="A1696" t="s">
        <v>179</v>
      </c>
      <c r="B1696" t="str">
        <f>"00051804"</f>
        <v>00051804</v>
      </c>
      <c r="C1696" t="s">
        <v>200</v>
      </c>
      <c r="D1696" t="s">
        <v>1607</v>
      </c>
      <c r="E1696" t="str">
        <f>"00046000"</f>
        <v>00046000</v>
      </c>
      <c r="F1696">
        <v>0</v>
      </c>
      <c r="G1696" s="243">
        <v>33484</v>
      </c>
      <c r="H1696" t="s">
        <v>182</v>
      </c>
      <c r="I1696">
        <v>15</v>
      </c>
      <c r="J1696">
        <v>16</v>
      </c>
      <c r="K1696">
        <v>1</v>
      </c>
      <c r="L1696">
        <v>103347</v>
      </c>
      <c r="M1696" t="str">
        <f t="shared" si="245"/>
        <v>13</v>
      </c>
      <c r="N1696" t="s">
        <v>3323</v>
      </c>
      <c r="O1696" t="str">
        <f t="shared" si="251"/>
        <v>56211</v>
      </c>
      <c r="P1696" t="str">
        <f>"2100L"</f>
        <v>2100L</v>
      </c>
      <c r="Q1696" t="str">
        <f t="shared" si="246"/>
        <v>0101</v>
      </c>
      <c r="R1696">
        <v>2100</v>
      </c>
      <c r="S1696" t="str">
        <f t="shared" si="252"/>
        <v>5620</v>
      </c>
      <c r="T1696" t="s">
        <v>3583</v>
      </c>
      <c r="U1696" t="s">
        <v>124</v>
      </c>
    </row>
    <row r="1697" spans="1:21" ht="15" customHeight="1" x14ac:dyDescent="0.3">
      <c r="A1697" t="s">
        <v>179</v>
      </c>
      <c r="B1697" t="str">
        <f>"00052706"</f>
        <v>00052706</v>
      </c>
      <c r="C1697" t="s">
        <v>4266</v>
      </c>
      <c r="D1697" t="s">
        <v>1608</v>
      </c>
      <c r="E1697" t="str">
        <f>"00049035"</f>
        <v>00049035</v>
      </c>
      <c r="F1697">
        <v>0</v>
      </c>
      <c r="G1697" s="243">
        <v>35010</v>
      </c>
      <c r="H1697" t="s">
        <v>182</v>
      </c>
      <c r="I1697">
        <v>15</v>
      </c>
      <c r="J1697">
        <v>14</v>
      </c>
      <c r="K1697">
        <v>1</v>
      </c>
      <c r="L1697">
        <v>96460</v>
      </c>
      <c r="M1697" t="str">
        <f t="shared" si="245"/>
        <v>13</v>
      </c>
      <c r="N1697" t="s">
        <v>3323</v>
      </c>
      <c r="O1697" t="str">
        <f t="shared" si="251"/>
        <v>56211</v>
      </c>
      <c r="P1697" t="str">
        <f>"2300L"</f>
        <v>2300L</v>
      </c>
      <c r="Q1697" t="str">
        <f t="shared" si="246"/>
        <v>0101</v>
      </c>
      <c r="R1697">
        <v>2300</v>
      </c>
      <c r="S1697" t="str">
        <f t="shared" si="252"/>
        <v>5620</v>
      </c>
      <c r="T1697" t="s">
        <v>3583</v>
      </c>
      <c r="U1697" t="s">
        <v>124</v>
      </c>
    </row>
    <row r="1698" spans="1:21" ht="15" customHeight="1" x14ac:dyDescent="0.3">
      <c r="A1698" t="s">
        <v>179</v>
      </c>
      <c r="B1698" t="str">
        <f>"00052731"</f>
        <v>00052731</v>
      </c>
      <c r="C1698" t="s">
        <v>4260</v>
      </c>
      <c r="D1698" t="s">
        <v>1609</v>
      </c>
      <c r="E1698" t="str">
        <f>"00049180"</f>
        <v>00049180</v>
      </c>
      <c r="F1698">
        <v>0</v>
      </c>
      <c r="G1698" s="243">
        <v>32094</v>
      </c>
      <c r="H1698" t="s">
        <v>182</v>
      </c>
      <c r="I1698">
        <v>15</v>
      </c>
      <c r="J1698">
        <v>16</v>
      </c>
      <c r="K1698">
        <v>1</v>
      </c>
      <c r="L1698">
        <v>106540</v>
      </c>
      <c r="M1698" t="str">
        <f t="shared" si="245"/>
        <v>13</v>
      </c>
      <c r="N1698" t="s">
        <v>3323</v>
      </c>
      <c r="O1698" t="str">
        <f t="shared" si="251"/>
        <v>56211</v>
      </c>
      <c r="P1698" t="str">
        <f t="shared" ref="P1698:P1705" si="253">"2100L"</f>
        <v>2100L</v>
      </c>
      <c r="Q1698" t="str">
        <f t="shared" si="246"/>
        <v>0101</v>
      </c>
      <c r="R1698">
        <v>2100</v>
      </c>
      <c r="S1698" t="str">
        <f t="shared" si="252"/>
        <v>5620</v>
      </c>
      <c r="T1698" t="s">
        <v>3583</v>
      </c>
      <c r="U1698" t="s">
        <v>124</v>
      </c>
    </row>
    <row r="1699" spans="1:21" ht="15" customHeight="1" x14ac:dyDescent="0.3">
      <c r="A1699" t="s">
        <v>179</v>
      </c>
      <c r="B1699" t="str">
        <f>"00053360"</f>
        <v>00053360</v>
      </c>
      <c r="C1699" t="s">
        <v>4337</v>
      </c>
      <c r="H1699" t="s">
        <v>170</v>
      </c>
      <c r="I1699">
        <v>15</v>
      </c>
      <c r="J1699">
        <v>1</v>
      </c>
      <c r="K1699">
        <v>1</v>
      </c>
      <c r="L1699">
        <v>51539</v>
      </c>
      <c r="M1699" t="str">
        <f t="shared" si="245"/>
        <v>13</v>
      </c>
      <c r="N1699" t="s">
        <v>3323</v>
      </c>
      <c r="O1699" t="str">
        <f t="shared" si="251"/>
        <v>56211</v>
      </c>
      <c r="P1699" t="str">
        <f t="shared" si="253"/>
        <v>2100L</v>
      </c>
      <c r="Q1699" t="str">
        <f t="shared" si="246"/>
        <v>0101</v>
      </c>
      <c r="R1699">
        <v>2100</v>
      </c>
      <c r="S1699" t="str">
        <f t="shared" si="252"/>
        <v>5620</v>
      </c>
      <c r="T1699" t="s">
        <v>3583</v>
      </c>
      <c r="U1699" t="s">
        <v>124</v>
      </c>
    </row>
    <row r="1700" spans="1:21" ht="15" customHeight="1" x14ac:dyDescent="0.3">
      <c r="A1700" t="s">
        <v>179</v>
      </c>
      <c r="B1700" t="str">
        <f>"00054449"</f>
        <v>00054449</v>
      </c>
      <c r="C1700" t="s">
        <v>4262</v>
      </c>
      <c r="D1700" t="s">
        <v>4816</v>
      </c>
      <c r="E1700" t="str">
        <f>"00069667"</f>
        <v>00069667</v>
      </c>
      <c r="F1700">
        <v>0</v>
      </c>
      <c r="G1700" s="243">
        <v>41133</v>
      </c>
      <c r="H1700" t="s">
        <v>182</v>
      </c>
      <c r="I1700">
        <v>15</v>
      </c>
      <c r="J1700">
        <v>1</v>
      </c>
      <c r="K1700">
        <v>1</v>
      </c>
      <c r="L1700">
        <v>54975</v>
      </c>
      <c r="M1700" t="str">
        <f t="shared" si="245"/>
        <v>13</v>
      </c>
      <c r="N1700" t="s">
        <v>3370</v>
      </c>
      <c r="O1700" t="str">
        <f t="shared" si="251"/>
        <v>56211</v>
      </c>
      <c r="P1700" t="str">
        <f t="shared" si="253"/>
        <v>2100L</v>
      </c>
      <c r="Q1700" t="str">
        <f t="shared" si="246"/>
        <v>0101</v>
      </c>
      <c r="R1700">
        <v>2100</v>
      </c>
      <c r="S1700" t="str">
        <f t="shared" si="252"/>
        <v>5620</v>
      </c>
      <c r="T1700" t="s">
        <v>3583</v>
      </c>
      <c r="U1700" t="s">
        <v>124</v>
      </c>
    </row>
    <row r="1701" spans="1:21" ht="15" customHeight="1" x14ac:dyDescent="0.3">
      <c r="A1701" t="s">
        <v>179</v>
      </c>
      <c r="B1701" t="str">
        <f>"00056567"</f>
        <v>00056567</v>
      </c>
      <c r="C1701" t="s">
        <v>4259</v>
      </c>
      <c r="D1701" t="s">
        <v>1610</v>
      </c>
      <c r="E1701" t="str">
        <f>"00050170"</f>
        <v>00050170</v>
      </c>
      <c r="F1701">
        <v>0</v>
      </c>
      <c r="G1701" s="243">
        <v>38587</v>
      </c>
      <c r="H1701" t="s">
        <v>182</v>
      </c>
      <c r="I1701">
        <v>15</v>
      </c>
      <c r="J1701">
        <v>12</v>
      </c>
      <c r="K1701">
        <v>1</v>
      </c>
      <c r="L1701">
        <v>87431</v>
      </c>
      <c r="M1701" t="str">
        <f t="shared" si="245"/>
        <v>13</v>
      </c>
      <c r="N1701" t="s">
        <v>3323</v>
      </c>
      <c r="O1701" t="str">
        <f t="shared" si="251"/>
        <v>56211</v>
      </c>
      <c r="P1701" t="str">
        <f t="shared" si="253"/>
        <v>2100L</v>
      </c>
      <c r="Q1701" t="str">
        <f t="shared" si="246"/>
        <v>0101</v>
      </c>
      <c r="R1701">
        <v>2100</v>
      </c>
      <c r="S1701" t="str">
        <f t="shared" si="252"/>
        <v>5620</v>
      </c>
      <c r="T1701" t="s">
        <v>3583</v>
      </c>
      <c r="U1701" t="s">
        <v>124</v>
      </c>
    </row>
    <row r="1702" spans="1:21" ht="15" customHeight="1" x14ac:dyDescent="0.3">
      <c r="A1702" t="s">
        <v>179</v>
      </c>
      <c r="B1702" t="str">
        <f>"00056886"</f>
        <v>00056886</v>
      </c>
      <c r="C1702" t="s">
        <v>4256</v>
      </c>
      <c r="D1702" t="s">
        <v>1611</v>
      </c>
      <c r="E1702" t="str">
        <f>"00044073"</f>
        <v>00044073</v>
      </c>
      <c r="F1702">
        <v>1</v>
      </c>
      <c r="G1702" s="243">
        <v>36801</v>
      </c>
      <c r="H1702" t="s">
        <v>182</v>
      </c>
      <c r="I1702">
        <v>15</v>
      </c>
      <c r="J1702">
        <v>12</v>
      </c>
      <c r="K1702">
        <v>1</v>
      </c>
      <c r="L1702">
        <v>87431</v>
      </c>
      <c r="M1702" t="str">
        <f t="shared" si="245"/>
        <v>13</v>
      </c>
      <c r="N1702" t="s">
        <v>3323</v>
      </c>
      <c r="O1702" t="str">
        <f t="shared" si="251"/>
        <v>56211</v>
      </c>
      <c r="P1702" t="str">
        <f t="shared" si="253"/>
        <v>2100L</v>
      </c>
      <c r="Q1702" t="str">
        <f t="shared" si="246"/>
        <v>0101</v>
      </c>
      <c r="R1702">
        <v>2100</v>
      </c>
      <c r="S1702" t="str">
        <f t="shared" si="252"/>
        <v>5620</v>
      </c>
      <c r="T1702" t="s">
        <v>3583</v>
      </c>
      <c r="U1702" t="s">
        <v>124</v>
      </c>
    </row>
    <row r="1703" spans="1:21" ht="15" customHeight="1" x14ac:dyDescent="0.3">
      <c r="A1703" t="s">
        <v>179</v>
      </c>
      <c r="B1703" t="str">
        <f>"00056971"</f>
        <v>00056971</v>
      </c>
      <c r="C1703" t="s">
        <v>4258</v>
      </c>
      <c r="D1703" t="s">
        <v>1612</v>
      </c>
      <c r="E1703" t="str">
        <f>"00047385"</f>
        <v>00047385</v>
      </c>
      <c r="F1703">
        <v>0</v>
      </c>
      <c r="G1703" s="243">
        <v>36034</v>
      </c>
      <c r="H1703" t="s">
        <v>182</v>
      </c>
      <c r="I1703">
        <v>15</v>
      </c>
      <c r="J1703">
        <v>14</v>
      </c>
      <c r="K1703">
        <v>1</v>
      </c>
      <c r="L1703">
        <v>96460</v>
      </c>
      <c r="M1703" t="str">
        <f t="shared" si="245"/>
        <v>13</v>
      </c>
      <c r="N1703" t="s">
        <v>3323</v>
      </c>
      <c r="O1703" t="str">
        <f t="shared" si="251"/>
        <v>56211</v>
      </c>
      <c r="P1703" t="str">
        <f t="shared" si="253"/>
        <v>2100L</v>
      </c>
      <c r="Q1703" t="str">
        <f t="shared" si="246"/>
        <v>0101</v>
      </c>
      <c r="R1703">
        <v>2100</v>
      </c>
      <c r="S1703" t="str">
        <f t="shared" si="252"/>
        <v>5620</v>
      </c>
      <c r="T1703" t="s">
        <v>3583</v>
      </c>
      <c r="U1703" t="s">
        <v>124</v>
      </c>
    </row>
    <row r="1704" spans="1:21" ht="15" customHeight="1" x14ac:dyDescent="0.3">
      <c r="A1704" t="s">
        <v>179</v>
      </c>
      <c r="B1704" t="str">
        <f>"00057020"</f>
        <v>00057020</v>
      </c>
      <c r="C1704" t="s">
        <v>4266</v>
      </c>
      <c r="H1704" t="s">
        <v>170</v>
      </c>
      <c r="I1704">
        <v>15</v>
      </c>
      <c r="J1704">
        <v>1</v>
      </c>
      <c r="K1704">
        <v>1</v>
      </c>
      <c r="L1704">
        <v>54975</v>
      </c>
      <c r="M1704" t="str">
        <f t="shared" si="245"/>
        <v>13</v>
      </c>
      <c r="N1704" t="s">
        <v>3323</v>
      </c>
      <c r="O1704" t="str">
        <f t="shared" si="251"/>
        <v>56211</v>
      </c>
      <c r="P1704" t="str">
        <f t="shared" si="253"/>
        <v>2100L</v>
      </c>
      <c r="Q1704" t="str">
        <f t="shared" si="246"/>
        <v>0101</v>
      </c>
      <c r="R1704">
        <v>2100</v>
      </c>
      <c r="S1704" t="str">
        <f t="shared" si="252"/>
        <v>5620</v>
      </c>
      <c r="T1704" t="s">
        <v>3583</v>
      </c>
      <c r="U1704" t="s">
        <v>124</v>
      </c>
    </row>
    <row r="1705" spans="1:21" ht="15" customHeight="1" x14ac:dyDescent="0.3">
      <c r="A1705" t="s">
        <v>179</v>
      </c>
      <c r="B1705" t="str">
        <f>"00057557"</f>
        <v>00057557</v>
      </c>
      <c r="C1705" t="s">
        <v>4272</v>
      </c>
      <c r="D1705" t="s">
        <v>3586</v>
      </c>
      <c r="E1705" t="str">
        <f>"00066400"</f>
        <v>00066400</v>
      </c>
      <c r="F1705">
        <v>0</v>
      </c>
      <c r="G1705" s="243">
        <v>40755</v>
      </c>
      <c r="H1705" t="s">
        <v>182</v>
      </c>
      <c r="I1705">
        <v>15</v>
      </c>
      <c r="J1705">
        <v>7</v>
      </c>
      <c r="K1705">
        <v>1</v>
      </c>
      <c r="L1705">
        <v>69132</v>
      </c>
      <c r="M1705" t="str">
        <f t="shared" si="245"/>
        <v>13</v>
      </c>
      <c r="N1705" t="s">
        <v>3323</v>
      </c>
      <c r="O1705" t="str">
        <f t="shared" si="251"/>
        <v>56211</v>
      </c>
      <c r="P1705" t="str">
        <f t="shared" si="253"/>
        <v>2100L</v>
      </c>
      <c r="Q1705" t="str">
        <f t="shared" si="246"/>
        <v>0101</v>
      </c>
      <c r="R1705">
        <v>2100</v>
      </c>
      <c r="S1705" t="str">
        <f t="shared" si="252"/>
        <v>5620</v>
      </c>
      <c r="T1705" t="s">
        <v>3583</v>
      </c>
      <c r="U1705" t="s">
        <v>124</v>
      </c>
    </row>
    <row r="1706" spans="1:21" ht="15" customHeight="1" x14ac:dyDescent="0.3">
      <c r="A1706" t="s">
        <v>179</v>
      </c>
      <c r="B1706" t="str">
        <f>"00057821"</f>
        <v>00057821</v>
      </c>
      <c r="C1706" t="s">
        <v>3798</v>
      </c>
      <c r="D1706" t="s">
        <v>1613</v>
      </c>
      <c r="E1706" t="str">
        <f>"00048930"</f>
        <v>00048930</v>
      </c>
      <c r="F1706">
        <v>0</v>
      </c>
      <c r="G1706" s="243">
        <v>38534</v>
      </c>
      <c r="H1706" t="s">
        <v>182</v>
      </c>
      <c r="I1706">
        <v>61</v>
      </c>
      <c r="J1706">
        <v>10</v>
      </c>
      <c r="K1706">
        <v>1</v>
      </c>
      <c r="L1706">
        <v>137000</v>
      </c>
      <c r="M1706" t="str">
        <f t="shared" si="245"/>
        <v>13</v>
      </c>
      <c r="N1706" t="s">
        <v>3323</v>
      </c>
      <c r="O1706" t="str">
        <f t="shared" si="251"/>
        <v>56211</v>
      </c>
      <c r="P1706" t="str">
        <f>"1501L"</f>
        <v>1501L</v>
      </c>
      <c r="Q1706" t="str">
        <f t="shared" si="246"/>
        <v>0101</v>
      </c>
      <c r="R1706">
        <v>1501</v>
      </c>
      <c r="S1706" t="str">
        <f t="shared" si="252"/>
        <v>5620</v>
      </c>
      <c r="T1706" t="s">
        <v>3583</v>
      </c>
      <c r="U1706" t="s">
        <v>124</v>
      </c>
    </row>
    <row r="1707" spans="1:21" ht="15" customHeight="1" x14ac:dyDescent="0.3">
      <c r="A1707" t="s">
        <v>179</v>
      </c>
      <c r="B1707" t="str">
        <f>"00059363"</f>
        <v>00059363</v>
      </c>
      <c r="C1707" t="s">
        <v>4262</v>
      </c>
      <c r="D1707" t="s">
        <v>3584</v>
      </c>
      <c r="E1707" t="str">
        <f>"00050427"</f>
        <v>00050427</v>
      </c>
      <c r="F1707">
        <v>0</v>
      </c>
      <c r="G1707" s="243">
        <v>37861</v>
      </c>
      <c r="H1707" t="s">
        <v>182</v>
      </c>
      <c r="I1707">
        <v>15</v>
      </c>
      <c r="J1707">
        <v>13</v>
      </c>
      <c r="K1707">
        <v>1</v>
      </c>
      <c r="L1707">
        <v>95366</v>
      </c>
      <c r="M1707" t="str">
        <f t="shared" si="245"/>
        <v>13</v>
      </c>
      <c r="N1707" t="s">
        <v>3323</v>
      </c>
      <c r="O1707" t="str">
        <f t="shared" si="251"/>
        <v>56211</v>
      </c>
      <c r="P1707" t="str">
        <f>"2100L"</f>
        <v>2100L</v>
      </c>
      <c r="Q1707" t="str">
        <f t="shared" si="246"/>
        <v>0101</v>
      </c>
      <c r="R1707">
        <v>2100</v>
      </c>
      <c r="S1707" t="str">
        <f t="shared" si="252"/>
        <v>5620</v>
      </c>
      <c r="T1707" t="s">
        <v>3583</v>
      </c>
      <c r="U1707" t="s">
        <v>124</v>
      </c>
    </row>
    <row r="1708" spans="1:21" ht="15" customHeight="1" x14ac:dyDescent="0.3">
      <c r="A1708" t="s">
        <v>179</v>
      </c>
      <c r="B1708" t="str">
        <f>"00059550"</f>
        <v>00059550</v>
      </c>
      <c r="C1708" t="s">
        <v>4262</v>
      </c>
      <c r="D1708" t="s">
        <v>1614</v>
      </c>
      <c r="E1708" t="str">
        <f>"00062992"</f>
        <v>00062992</v>
      </c>
      <c r="F1708">
        <v>0</v>
      </c>
      <c r="G1708" s="243">
        <v>40406</v>
      </c>
      <c r="H1708" t="s">
        <v>182</v>
      </c>
      <c r="I1708">
        <v>15</v>
      </c>
      <c r="J1708">
        <v>9</v>
      </c>
      <c r="K1708">
        <v>1</v>
      </c>
      <c r="L1708">
        <v>75232</v>
      </c>
      <c r="M1708" t="str">
        <f t="shared" si="245"/>
        <v>13</v>
      </c>
      <c r="N1708" t="s">
        <v>3323</v>
      </c>
      <c r="O1708" t="str">
        <f t="shared" si="251"/>
        <v>56211</v>
      </c>
      <c r="P1708" t="str">
        <f>"2100L"</f>
        <v>2100L</v>
      </c>
      <c r="Q1708" t="str">
        <f t="shared" si="246"/>
        <v>0101</v>
      </c>
      <c r="R1708">
        <v>2100</v>
      </c>
      <c r="S1708" t="str">
        <f t="shared" si="252"/>
        <v>5620</v>
      </c>
      <c r="T1708" t="s">
        <v>3583</v>
      </c>
      <c r="U1708" t="s">
        <v>124</v>
      </c>
    </row>
    <row r="1709" spans="1:21" ht="15" customHeight="1" x14ac:dyDescent="0.3">
      <c r="A1709" t="s">
        <v>179</v>
      </c>
      <c r="B1709" t="str">
        <f>"00060569"</f>
        <v>00060569</v>
      </c>
      <c r="C1709" t="s">
        <v>4262</v>
      </c>
      <c r="H1709" t="s">
        <v>170</v>
      </c>
      <c r="I1709">
        <v>15</v>
      </c>
      <c r="J1709">
        <v>1</v>
      </c>
      <c r="K1709">
        <v>1</v>
      </c>
      <c r="L1709">
        <v>51539</v>
      </c>
      <c r="M1709" t="str">
        <f t="shared" si="245"/>
        <v>13</v>
      </c>
      <c r="N1709" t="s">
        <v>3323</v>
      </c>
      <c r="O1709" t="str">
        <f t="shared" si="251"/>
        <v>56211</v>
      </c>
      <c r="P1709" t="str">
        <f>"2100L"</f>
        <v>2100L</v>
      </c>
      <c r="Q1709" t="str">
        <f t="shared" si="246"/>
        <v>0101</v>
      </c>
      <c r="R1709">
        <v>2100</v>
      </c>
      <c r="S1709" t="str">
        <f t="shared" si="252"/>
        <v>5620</v>
      </c>
      <c r="T1709" t="s">
        <v>3583</v>
      </c>
      <c r="U1709" t="s">
        <v>124</v>
      </c>
    </row>
    <row r="1710" spans="1:21" ht="15" customHeight="1" x14ac:dyDescent="0.3">
      <c r="A1710" t="s">
        <v>179</v>
      </c>
      <c r="B1710" t="str">
        <f>"00060967"</f>
        <v>00060967</v>
      </c>
      <c r="C1710" t="s">
        <v>4272</v>
      </c>
      <c r="D1710" t="s">
        <v>1615</v>
      </c>
      <c r="E1710" t="str">
        <f>"00049734"</f>
        <v>00049734</v>
      </c>
      <c r="F1710">
        <v>0</v>
      </c>
      <c r="G1710" s="243">
        <v>39315</v>
      </c>
      <c r="H1710" t="s">
        <v>182</v>
      </c>
      <c r="I1710">
        <v>15</v>
      </c>
      <c r="J1710">
        <v>13</v>
      </c>
      <c r="K1710">
        <v>1</v>
      </c>
      <c r="L1710">
        <v>101066</v>
      </c>
      <c r="M1710" t="str">
        <f t="shared" si="245"/>
        <v>13</v>
      </c>
      <c r="N1710" t="s">
        <v>3323</v>
      </c>
      <c r="O1710" t="str">
        <f t="shared" si="251"/>
        <v>56211</v>
      </c>
      <c r="P1710" t="str">
        <f>"2200L"</f>
        <v>2200L</v>
      </c>
      <c r="Q1710" t="str">
        <f t="shared" si="246"/>
        <v>0101</v>
      </c>
      <c r="R1710">
        <v>2200</v>
      </c>
      <c r="S1710" t="str">
        <f t="shared" si="252"/>
        <v>5620</v>
      </c>
      <c r="T1710" t="s">
        <v>3583</v>
      </c>
      <c r="U1710" t="s">
        <v>124</v>
      </c>
    </row>
    <row r="1711" spans="1:21" ht="15" customHeight="1" x14ac:dyDescent="0.3">
      <c r="A1711" t="s">
        <v>179</v>
      </c>
      <c r="B1711" t="str">
        <f>"00061141"</f>
        <v>00061141</v>
      </c>
      <c r="C1711" t="s">
        <v>4262</v>
      </c>
      <c r="D1711" t="s">
        <v>1616</v>
      </c>
      <c r="E1711" t="str">
        <f>"00045099"</f>
        <v>00045099</v>
      </c>
      <c r="F1711">
        <v>0</v>
      </c>
      <c r="G1711" s="243">
        <v>39315</v>
      </c>
      <c r="H1711" t="s">
        <v>182</v>
      </c>
      <c r="I1711">
        <v>15</v>
      </c>
      <c r="J1711">
        <v>9</v>
      </c>
      <c r="K1711">
        <v>1</v>
      </c>
      <c r="L1711">
        <v>75232</v>
      </c>
      <c r="M1711" t="str">
        <f t="shared" si="245"/>
        <v>13</v>
      </c>
      <c r="N1711" t="s">
        <v>3323</v>
      </c>
      <c r="O1711" t="str">
        <f t="shared" si="251"/>
        <v>56211</v>
      </c>
      <c r="P1711" t="str">
        <f t="shared" ref="P1711:P1716" si="254">"2100L"</f>
        <v>2100L</v>
      </c>
      <c r="Q1711" t="str">
        <f t="shared" si="246"/>
        <v>0101</v>
      </c>
      <c r="R1711">
        <v>2100</v>
      </c>
      <c r="S1711" t="str">
        <f t="shared" si="252"/>
        <v>5620</v>
      </c>
      <c r="T1711" t="s">
        <v>3583</v>
      </c>
      <c r="U1711" t="s">
        <v>124</v>
      </c>
    </row>
    <row r="1712" spans="1:21" ht="15" customHeight="1" x14ac:dyDescent="0.3">
      <c r="A1712" t="s">
        <v>179</v>
      </c>
      <c r="B1712" t="str">
        <f>"00065736"</f>
        <v>00065736</v>
      </c>
      <c r="C1712" t="s">
        <v>4274</v>
      </c>
      <c r="D1712" t="s">
        <v>4817</v>
      </c>
      <c r="E1712" t="str">
        <f>"00066160"</f>
        <v>00066160</v>
      </c>
      <c r="F1712">
        <v>0</v>
      </c>
      <c r="G1712" s="243">
        <v>40770</v>
      </c>
      <c r="H1712" t="s">
        <v>182</v>
      </c>
      <c r="I1712">
        <v>4</v>
      </c>
      <c r="J1712">
        <v>4</v>
      </c>
      <c r="K1712">
        <v>1</v>
      </c>
      <c r="L1712">
        <v>24543.75</v>
      </c>
      <c r="M1712" t="str">
        <f t="shared" si="245"/>
        <v>13</v>
      </c>
      <c r="N1712" t="s">
        <v>3323</v>
      </c>
      <c r="O1712" t="str">
        <f t="shared" si="251"/>
        <v>56211</v>
      </c>
      <c r="P1712" t="str">
        <f t="shared" si="254"/>
        <v>2100L</v>
      </c>
      <c r="Q1712" t="str">
        <f t="shared" si="246"/>
        <v>0101</v>
      </c>
      <c r="R1712">
        <v>2100</v>
      </c>
      <c r="S1712" t="str">
        <f t="shared" si="252"/>
        <v>5620</v>
      </c>
      <c r="T1712" t="s">
        <v>3583</v>
      </c>
      <c r="U1712" t="s">
        <v>124</v>
      </c>
    </row>
    <row r="1713" spans="1:21" ht="15" customHeight="1" x14ac:dyDescent="0.3">
      <c r="A1713" t="s">
        <v>179</v>
      </c>
      <c r="B1713" t="str">
        <f>"00065784"</f>
        <v>00065784</v>
      </c>
      <c r="C1713" t="s">
        <v>4262</v>
      </c>
      <c r="D1713" t="s">
        <v>3585</v>
      </c>
      <c r="E1713" t="str">
        <f>"00057221"</f>
        <v>00057221</v>
      </c>
      <c r="F1713">
        <v>0</v>
      </c>
      <c r="G1713" s="243">
        <v>40755</v>
      </c>
      <c r="H1713" t="s">
        <v>182</v>
      </c>
      <c r="I1713">
        <v>15</v>
      </c>
      <c r="J1713">
        <v>5</v>
      </c>
      <c r="K1713">
        <v>1</v>
      </c>
      <c r="L1713">
        <v>63611</v>
      </c>
      <c r="M1713" t="str">
        <f t="shared" si="245"/>
        <v>13</v>
      </c>
      <c r="N1713" t="s">
        <v>3323</v>
      </c>
      <c r="O1713" t="str">
        <f t="shared" si="251"/>
        <v>56211</v>
      </c>
      <c r="P1713" t="str">
        <f t="shared" si="254"/>
        <v>2100L</v>
      </c>
      <c r="Q1713" t="str">
        <f t="shared" si="246"/>
        <v>0101</v>
      </c>
      <c r="R1713">
        <v>2100</v>
      </c>
      <c r="S1713" t="str">
        <f t="shared" si="252"/>
        <v>5620</v>
      </c>
      <c r="T1713" t="s">
        <v>3583</v>
      </c>
      <c r="U1713" t="s">
        <v>124</v>
      </c>
    </row>
    <row r="1714" spans="1:21" ht="15" customHeight="1" x14ac:dyDescent="0.3">
      <c r="A1714" t="s">
        <v>179</v>
      </c>
      <c r="B1714" t="str">
        <f>"00065785"</f>
        <v>00065785</v>
      </c>
      <c r="C1714" t="s">
        <v>4262</v>
      </c>
      <c r="D1714" t="s">
        <v>1618</v>
      </c>
      <c r="E1714" t="str">
        <f>"00057028"</f>
        <v>00057028</v>
      </c>
      <c r="F1714">
        <v>0</v>
      </c>
      <c r="G1714" s="243">
        <v>40042</v>
      </c>
      <c r="H1714" t="s">
        <v>182</v>
      </c>
      <c r="I1714">
        <v>15</v>
      </c>
      <c r="J1714">
        <v>7</v>
      </c>
      <c r="K1714">
        <v>1</v>
      </c>
      <c r="L1714">
        <v>69132</v>
      </c>
      <c r="M1714" t="str">
        <f t="shared" si="245"/>
        <v>13</v>
      </c>
      <c r="N1714" t="s">
        <v>3323</v>
      </c>
      <c r="O1714" t="str">
        <f t="shared" si="251"/>
        <v>56211</v>
      </c>
      <c r="P1714" t="str">
        <f t="shared" si="254"/>
        <v>2100L</v>
      </c>
      <c r="Q1714" t="str">
        <f t="shared" si="246"/>
        <v>0101</v>
      </c>
      <c r="R1714">
        <v>2100</v>
      </c>
      <c r="S1714" t="str">
        <f t="shared" si="252"/>
        <v>5620</v>
      </c>
      <c r="T1714" t="s">
        <v>3583</v>
      </c>
      <c r="U1714" t="s">
        <v>124</v>
      </c>
    </row>
    <row r="1715" spans="1:21" ht="15" customHeight="1" x14ac:dyDescent="0.3">
      <c r="A1715" t="s">
        <v>179</v>
      </c>
      <c r="B1715" t="str">
        <f>"00065787"</f>
        <v>00065787</v>
      </c>
      <c r="C1715" t="s">
        <v>4262</v>
      </c>
      <c r="D1715" t="s">
        <v>4818</v>
      </c>
      <c r="E1715" t="str">
        <f>"00069720"</f>
        <v>00069720</v>
      </c>
      <c r="F1715">
        <v>0</v>
      </c>
      <c r="G1715" s="243">
        <v>41133</v>
      </c>
      <c r="H1715" t="s">
        <v>182</v>
      </c>
      <c r="I1715">
        <v>15</v>
      </c>
      <c r="J1715">
        <v>1</v>
      </c>
      <c r="K1715">
        <v>1</v>
      </c>
      <c r="L1715">
        <v>51539</v>
      </c>
      <c r="M1715" t="str">
        <f t="shared" si="245"/>
        <v>13</v>
      </c>
      <c r="N1715" t="s">
        <v>3370</v>
      </c>
      <c r="O1715" t="str">
        <f t="shared" si="251"/>
        <v>56211</v>
      </c>
      <c r="P1715" t="str">
        <f t="shared" si="254"/>
        <v>2100L</v>
      </c>
      <c r="Q1715" t="str">
        <f t="shared" si="246"/>
        <v>0101</v>
      </c>
      <c r="R1715">
        <v>2100</v>
      </c>
      <c r="S1715" t="str">
        <f t="shared" si="252"/>
        <v>5620</v>
      </c>
      <c r="T1715" t="s">
        <v>3583</v>
      </c>
      <c r="U1715" t="s">
        <v>124</v>
      </c>
    </row>
    <row r="1716" spans="1:21" ht="15" customHeight="1" x14ac:dyDescent="0.3">
      <c r="A1716" t="s">
        <v>179</v>
      </c>
      <c r="B1716" t="str">
        <f>"00065788"</f>
        <v>00065788</v>
      </c>
      <c r="C1716" t="s">
        <v>4262</v>
      </c>
      <c r="D1716" t="s">
        <v>1619</v>
      </c>
      <c r="E1716" t="str">
        <f>"00057295"</f>
        <v>00057295</v>
      </c>
      <c r="F1716">
        <v>0</v>
      </c>
      <c r="G1716" s="243">
        <v>40042</v>
      </c>
      <c r="H1716" t="s">
        <v>182</v>
      </c>
      <c r="I1716">
        <v>15</v>
      </c>
      <c r="J1716">
        <v>5</v>
      </c>
      <c r="K1716">
        <v>1</v>
      </c>
      <c r="L1716">
        <v>59087</v>
      </c>
      <c r="M1716" t="str">
        <f t="shared" si="245"/>
        <v>13</v>
      </c>
      <c r="N1716" t="s">
        <v>3323</v>
      </c>
      <c r="O1716" t="str">
        <f t="shared" si="251"/>
        <v>56211</v>
      </c>
      <c r="P1716" t="str">
        <f t="shared" si="254"/>
        <v>2100L</v>
      </c>
      <c r="Q1716" t="str">
        <f t="shared" si="246"/>
        <v>0101</v>
      </c>
      <c r="R1716">
        <v>2100</v>
      </c>
      <c r="S1716" t="str">
        <f t="shared" si="252"/>
        <v>5620</v>
      </c>
      <c r="T1716" t="s">
        <v>3583</v>
      </c>
      <c r="U1716" t="s">
        <v>124</v>
      </c>
    </row>
    <row r="1717" spans="1:21" ht="15" customHeight="1" x14ac:dyDescent="0.3">
      <c r="A1717" t="s">
        <v>179</v>
      </c>
      <c r="B1717" t="str">
        <f>"00066053"</f>
        <v>00066053</v>
      </c>
      <c r="C1717" t="s">
        <v>4274</v>
      </c>
      <c r="H1717" t="s">
        <v>170</v>
      </c>
      <c r="I1717">
        <v>4</v>
      </c>
      <c r="J1717">
        <v>1</v>
      </c>
      <c r="K1717">
        <v>1</v>
      </c>
      <c r="L1717">
        <v>25662</v>
      </c>
      <c r="M1717" t="str">
        <f t="shared" si="245"/>
        <v>13</v>
      </c>
      <c r="N1717" t="s">
        <v>3323</v>
      </c>
      <c r="O1717" t="str">
        <f t="shared" si="251"/>
        <v>56211</v>
      </c>
      <c r="P1717" t="str">
        <f>"2200L"</f>
        <v>2200L</v>
      </c>
      <c r="Q1717" t="str">
        <f t="shared" si="246"/>
        <v>0101</v>
      </c>
      <c r="R1717">
        <v>2200</v>
      </c>
      <c r="S1717" t="str">
        <f t="shared" si="252"/>
        <v>5620</v>
      </c>
      <c r="T1717" t="s">
        <v>3583</v>
      </c>
      <c r="U1717" t="s">
        <v>124</v>
      </c>
    </row>
    <row r="1718" spans="1:21" ht="15" customHeight="1" x14ac:dyDescent="0.3">
      <c r="A1718" t="s">
        <v>179</v>
      </c>
      <c r="B1718" t="str">
        <f>"00066055"</f>
        <v>00066055</v>
      </c>
      <c r="C1718" t="s">
        <v>4292</v>
      </c>
      <c r="D1718" t="s">
        <v>4819</v>
      </c>
      <c r="E1718" t="str">
        <f>"00067837"</f>
        <v>00067837</v>
      </c>
      <c r="F1718">
        <v>0</v>
      </c>
      <c r="G1718" s="243">
        <v>40966</v>
      </c>
      <c r="H1718" t="s">
        <v>182</v>
      </c>
      <c r="I1718">
        <v>4</v>
      </c>
      <c r="J1718">
        <v>2</v>
      </c>
      <c r="K1718">
        <v>1</v>
      </c>
      <c r="L1718">
        <v>23151.63</v>
      </c>
      <c r="M1718" t="str">
        <f t="shared" si="245"/>
        <v>13</v>
      </c>
      <c r="N1718" t="s">
        <v>3323</v>
      </c>
      <c r="O1718" t="str">
        <f t="shared" si="251"/>
        <v>56211</v>
      </c>
      <c r="P1718" t="str">
        <f>"2200L"</f>
        <v>2200L</v>
      </c>
      <c r="Q1718" t="str">
        <f t="shared" si="246"/>
        <v>0101</v>
      </c>
      <c r="R1718">
        <v>2200</v>
      </c>
      <c r="S1718" t="str">
        <f t="shared" si="252"/>
        <v>5620</v>
      </c>
      <c r="T1718" t="s">
        <v>3583</v>
      </c>
      <c r="U1718" t="s">
        <v>124</v>
      </c>
    </row>
    <row r="1719" spans="1:21" ht="15" customHeight="1" x14ac:dyDescent="0.3">
      <c r="A1719" t="s">
        <v>179</v>
      </c>
      <c r="B1719" t="str">
        <f>"00066057"</f>
        <v>00066057</v>
      </c>
      <c r="C1719" t="s">
        <v>4274</v>
      </c>
      <c r="D1719" t="s">
        <v>4820</v>
      </c>
      <c r="E1719" t="str">
        <f>"00056924"</f>
        <v>00056924</v>
      </c>
      <c r="F1719">
        <v>0</v>
      </c>
      <c r="G1719" s="243">
        <v>40042</v>
      </c>
      <c r="H1719" t="s">
        <v>182</v>
      </c>
      <c r="I1719">
        <v>4</v>
      </c>
      <c r="J1719">
        <v>4</v>
      </c>
      <c r="K1719">
        <v>1</v>
      </c>
      <c r="L1719">
        <v>24543.75</v>
      </c>
      <c r="M1719" t="str">
        <f t="shared" si="245"/>
        <v>13</v>
      </c>
      <c r="N1719" t="s">
        <v>3323</v>
      </c>
      <c r="O1719" t="str">
        <f t="shared" si="251"/>
        <v>56211</v>
      </c>
      <c r="P1719" t="str">
        <f>"2200L"</f>
        <v>2200L</v>
      </c>
      <c r="Q1719" t="str">
        <f t="shared" si="246"/>
        <v>0101</v>
      </c>
      <c r="R1719">
        <v>2200</v>
      </c>
      <c r="S1719" t="str">
        <f t="shared" si="252"/>
        <v>5620</v>
      </c>
      <c r="T1719" t="s">
        <v>3583</v>
      </c>
      <c r="U1719" t="s">
        <v>124</v>
      </c>
    </row>
    <row r="1720" spans="1:21" ht="15" customHeight="1" x14ac:dyDescent="0.3">
      <c r="A1720" t="s">
        <v>179</v>
      </c>
      <c r="B1720" t="str">
        <f>"00066058"</f>
        <v>00066058</v>
      </c>
      <c r="C1720" t="s">
        <v>4274</v>
      </c>
      <c r="D1720" t="s">
        <v>4821</v>
      </c>
      <c r="E1720" t="str">
        <f>"00069878"</f>
        <v>00069878</v>
      </c>
      <c r="F1720">
        <v>0</v>
      </c>
      <c r="G1720" s="243">
        <v>41133</v>
      </c>
      <c r="H1720" t="s">
        <v>182</v>
      </c>
      <c r="I1720">
        <v>4</v>
      </c>
      <c r="J1720">
        <v>7</v>
      </c>
      <c r="K1720">
        <v>1</v>
      </c>
      <c r="L1720">
        <v>26633.25</v>
      </c>
      <c r="M1720" t="str">
        <f t="shared" ref="M1720:M1776" si="255">"13"</f>
        <v>13</v>
      </c>
      <c r="N1720" t="s">
        <v>3370</v>
      </c>
      <c r="O1720" t="str">
        <f t="shared" si="251"/>
        <v>56211</v>
      </c>
      <c r="P1720" t="str">
        <f>"2200L"</f>
        <v>2200L</v>
      </c>
      <c r="Q1720" t="str">
        <f t="shared" si="246"/>
        <v>0101</v>
      </c>
      <c r="R1720">
        <v>2200</v>
      </c>
      <c r="S1720" t="str">
        <f t="shared" si="252"/>
        <v>5620</v>
      </c>
      <c r="T1720" t="s">
        <v>3583</v>
      </c>
      <c r="U1720" t="s">
        <v>124</v>
      </c>
    </row>
    <row r="1721" spans="1:21" ht="15" customHeight="1" x14ac:dyDescent="0.3">
      <c r="A1721" t="s">
        <v>179</v>
      </c>
      <c r="B1721" t="str">
        <f>"00066876"</f>
        <v>00066876</v>
      </c>
      <c r="C1721" t="s">
        <v>4272</v>
      </c>
      <c r="D1721" t="s">
        <v>1620</v>
      </c>
      <c r="E1721" t="str">
        <f>"00053606"</f>
        <v>00053606</v>
      </c>
      <c r="F1721">
        <v>0</v>
      </c>
      <c r="G1721" s="243">
        <v>40042</v>
      </c>
      <c r="H1721" t="s">
        <v>182</v>
      </c>
      <c r="I1721">
        <v>15</v>
      </c>
      <c r="J1721">
        <v>7</v>
      </c>
      <c r="K1721">
        <v>1</v>
      </c>
      <c r="L1721">
        <v>69132</v>
      </c>
      <c r="M1721" t="str">
        <f t="shared" si="255"/>
        <v>13</v>
      </c>
      <c r="N1721" t="s">
        <v>3323</v>
      </c>
      <c r="O1721" t="str">
        <f t="shared" si="251"/>
        <v>56211</v>
      </c>
      <c r="P1721" t="str">
        <f t="shared" ref="P1721:P1729" si="256">"2100L"</f>
        <v>2100L</v>
      </c>
      <c r="Q1721" t="str">
        <f t="shared" si="246"/>
        <v>0101</v>
      </c>
      <c r="R1721">
        <v>2100</v>
      </c>
      <c r="S1721" t="str">
        <f t="shared" si="252"/>
        <v>5620</v>
      </c>
      <c r="T1721" t="s">
        <v>3583</v>
      </c>
      <c r="U1721" t="s">
        <v>124</v>
      </c>
    </row>
    <row r="1722" spans="1:21" ht="15" customHeight="1" x14ac:dyDescent="0.3">
      <c r="A1722" t="s">
        <v>179</v>
      </c>
      <c r="B1722" t="str">
        <f>"00067914"</f>
        <v>00067914</v>
      </c>
      <c r="C1722" t="s">
        <v>4262</v>
      </c>
      <c r="D1722" t="s">
        <v>1621</v>
      </c>
      <c r="E1722" t="str">
        <f>"00044648"</f>
        <v>00044648</v>
      </c>
      <c r="F1722">
        <v>0</v>
      </c>
      <c r="G1722" s="243">
        <v>40042</v>
      </c>
      <c r="H1722" t="s">
        <v>182</v>
      </c>
      <c r="I1722">
        <v>15</v>
      </c>
      <c r="J1722">
        <v>4</v>
      </c>
      <c r="K1722">
        <v>1</v>
      </c>
      <c r="L1722">
        <v>61158</v>
      </c>
      <c r="M1722" t="str">
        <f t="shared" si="255"/>
        <v>13</v>
      </c>
      <c r="N1722" t="s">
        <v>3323</v>
      </c>
      <c r="O1722" t="str">
        <f t="shared" si="251"/>
        <v>56211</v>
      </c>
      <c r="P1722" t="str">
        <f t="shared" si="256"/>
        <v>2100L</v>
      </c>
      <c r="Q1722" t="str">
        <f t="shared" si="246"/>
        <v>0101</v>
      </c>
      <c r="R1722">
        <v>2100</v>
      </c>
      <c r="S1722" t="str">
        <f t="shared" si="252"/>
        <v>5620</v>
      </c>
      <c r="T1722" t="s">
        <v>3583</v>
      </c>
      <c r="U1722" t="s">
        <v>124</v>
      </c>
    </row>
    <row r="1723" spans="1:21" ht="15" customHeight="1" x14ac:dyDescent="0.3">
      <c r="A1723" t="s">
        <v>179</v>
      </c>
      <c r="B1723" t="str">
        <f>"00068156"</f>
        <v>00068156</v>
      </c>
      <c r="C1723" t="s">
        <v>4262</v>
      </c>
      <c r="D1723" t="s">
        <v>1622</v>
      </c>
      <c r="E1723" t="str">
        <f>"00044616"</f>
        <v>00044616</v>
      </c>
      <c r="F1723">
        <v>0</v>
      </c>
      <c r="G1723" s="243">
        <v>39769</v>
      </c>
      <c r="H1723" t="s">
        <v>182</v>
      </c>
      <c r="I1723">
        <v>15</v>
      </c>
      <c r="J1723">
        <v>7</v>
      </c>
      <c r="K1723">
        <v>1</v>
      </c>
      <c r="L1723">
        <v>69132</v>
      </c>
      <c r="M1723" t="str">
        <f t="shared" si="255"/>
        <v>13</v>
      </c>
      <c r="N1723" t="s">
        <v>3323</v>
      </c>
      <c r="O1723" t="str">
        <f t="shared" si="251"/>
        <v>56211</v>
      </c>
      <c r="P1723" t="str">
        <f t="shared" si="256"/>
        <v>2100L</v>
      </c>
      <c r="Q1723" t="str">
        <f t="shared" si="246"/>
        <v>0101</v>
      </c>
      <c r="R1723">
        <v>2100</v>
      </c>
      <c r="S1723" t="str">
        <f t="shared" si="252"/>
        <v>5620</v>
      </c>
      <c r="T1723" t="s">
        <v>3583</v>
      </c>
      <c r="U1723" t="s">
        <v>124</v>
      </c>
    </row>
    <row r="1724" spans="1:21" ht="15" customHeight="1" x14ac:dyDescent="0.3">
      <c r="A1724" t="s">
        <v>179</v>
      </c>
      <c r="B1724" t="str">
        <f>"00072717"</f>
        <v>00072717</v>
      </c>
      <c r="C1724" t="s">
        <v>4266</v>
      </c>
      <c r="D1724" t="s">
        <v>425</v>
      </c>
      <c r="E1724" t="str">
        <f>"00060447"</f>
        <v>00060447</v>
      </c>
      <c r="F1724">
        <v>0</v>
      </c>
      <c r="G1724" s="243">
        <v>40239</v>
      </c>
      <c r="H1724" t="s">
        <v>182</v>
      </c>
      <c r="I1724">
        <v>15</v>
      </c>
      <c r="J1724">
        <v>11</v>
      </c>
      <c r="K1724">
        <v>0.5</v>
      </c>
      <c r="L1724">
        <v>81335</v>
      </c>
      <c r="M1724" t="str">
        <f t="shared" si="255"/>
        <v>13</v>
      </c>
      <c r="N1724" t="s">
        <v>3323</v>
      </c>
      <c r="O1724" t="str">
        <f t="shared" si="251"/>
        <v>56211</v>
      </c>
      <c r="P1724" t="str">
        <f t="shared" si="256"/>
        <v>2100L</v>
      </c>
      <c r="Q1724" t="str">
        <f t="shared" si="246"/>
        <v>0101</v>
      </c>
      <c r="R1724">
        <v>2100</v>
      </c>
      <c r="S1724" t="str">
        <f t="shared" si="252"/>
        <v>5620</v>
      </c>
      <c r="T1724" t="s">
        <v>3583</v>
      </c>
      <c r="U1724" t="s">
        <v>124</v>
      </c>
    </row>
    <row r="1725" spans="1:21" ht="15" customHeight="1" x14ac:dyDescent="0.3">
      <c r="A1725" t="s">
        <v>179</v>
      </c>
      <c r="B1725" t="str">
        <f>"00072718"</f>
        <v>00072718</v>
      </c>
      <c r="C1725" t="s">
        <v>4270</v>
      </c>
      <c r="H1725" t="s">
        <v>170</v>
      </c>
      <c r="I1725">
        <v>15</v>
      </c>
      <c r="J1725">
        <v>1</v>
      </c>
      <c r="K1725">
        <v>0.5</v>
      </c>
      <c r="L1725">
        <v>54975</v>
      </c>
      <c r="M1725" t="str">
        <f t="shared" si="255"/>
        <v>13</v>
      </c>
      <c r="N1725" t="s">
        <v>3323</v>
      </c>
      <c r="O1725" t="str">
        <f t="shared" si="251"/>
        <v>56211</v>
      </c>
      <c r="P1725" t="str">
        <f t="shared" si="256"/>
        <v>2100L</v>
      </c>
      <c r="Q1725" t="str">
        <f t="shared" si="246"/>
        <v>0101</v>
      </c>
      <c r="R1725">
        <v>2100</v>
      </c>
      <c r="S1725" t="str">
        <f t="shared" si="252"/>
        <v>5620</v>
      </c>
      <c r="T1725" t="s">
        <v>3583</v>
      </c>
      <c r="U1725" t="s">
        <v>124</v>
      </c>
    </row>
    <row r="1726" spans="1:21" ht="15" customHeight="1" x14ac:dyDescent="0.3">
      <c r="A1726" t="s">
        <v>179</v>
      </c>
      <c r="B1726" t="str">
        <f>"00073892"</f>
        <v>00073892</v>
      </c>
      <c r="C1726" t="s">
        <v>4257</v>
      </c>
      <c r="D1726" t="s">
        <v>1617</v>
      </c>
      <c r="E1726" t="str">
        <f>"00049918"</f>
        <v>00049918</v>
      </c>
      <c r="F1726">
        <v>0</v>
      </c>
      <c r="G1726" s="243">
        <v>39701</v>
      </c>
      <c r="H1726" t="s">
        <v>182</v>
      </c>
      <c r="I1726">
        <v>15</v>
      </c>
      <c r="J1726">
        <v>10</v>
      </c>
      <c r="K1726">
        <v>1</v>
      </c>
      <c r="L1726">
        <v>78273</v>
      </c>
      <c r="M1726" t="str">
        <f t="shared" si="255"/>
        <v>13</v>
      </c>
      <c r="N1726" t="s">
        <v>3323</v>
      </c>
      <c r="O1726" t="str">
        <f t="shared" si="251"/>
        <v>56211</v>
      </c>
      <c r="P1726" t="str">
        <f t="shared" si="256"/>
        <v>2100L</v>
      </c>
      <c r="Q1726" t="str">
        <f t="shared" si="246"/>
        <v>0101</v>
      </c>
      <c r="R1726">
        <v>2100</v>
      </c>
      <c r="S1726" t="str">
        <f t="shared" si="252"/>
        <v>5620</v>
      </c>
      <c r="T1726" t="s">
        <v>3583</v>
      </c>
      <c r="U1726" t="s">
        <v>124</v>
      </c>
    </row>
    <row r="1727" spans="1:21" ht="15" customHeight="1" x14ac:dyDescent="0.3">
      <c r="A1727" t="s">
        <v>179</v>
      </c>
      <c r="B1727" t="str">
        <f>"00076204"</f>
        <v>00076204</v>
      </c>
      <c r="C1727" t="s">
        <v>4262</v>
      </c>
      <c r="D1727" t="s">
        <v>4822</v>
      </c>
      <c r="E1727" t="str">
        <f>"00067556"</f>
        <v>00067556</v>
      </c>
      <c r="F1727">
        <v>0</v>
      </c>
      <c r="G1727" s="243">
        <v>40925</v>
      </c>
      <c r="H1727" t="s">
        <v>182</v>
      </c>
      <c r="I1727">
        <v>15</v>
      </c>
      <c r="J1727">
        <v>3</v>
      </c>
      <c r="K1727">
        <v>1</v>
      </c>
      <c r="L1727">
        <v>52777</v>
      </c>
      <c r="M1727" t="str">
        <f t="shared" si="255"/>
        <v>13</v>
      </c>
      <c r="N1727" t="s">
        <v>3370</v>
      </c>
      <c r="O1727" t="str">
        <f t="shared" si="251"/>
        <v>56211</v>
      </c>
      <c r="P1727" t="str">
        <f t="shared" si="256"/>
        <v>2100L</v>
      </c>
      <c r="Q1727" t="str">
        <f t="shared" ref="Q1727:Q1783" si="257">"0101"</f>
        <v>0101</v>
      </c>
      <c r="R1727">
        <v>2100</v>
      </c>
      <c r="S1727" t="str">
        <f t="shared" si="252"/>
        <v>5620</v>
      </c>
      <c r="T1727" t="s">
        <v>3583</v>
      </c>
      <c r="U1727" t="s">
        <v>124</v>
      </c>
    </row>
    <row r="1728" spans="1:21" ht="15" customHeight="1" x14ac:dyDescent="0.3">
      <c r="A1728" t="s">
        <v>179</v>
      </c>
      <c r="B1728" t="str">
        <f>"00076205"</f>
        <v>00076205</v>
      </c>
      <c r="C1728" t="s">
        <v>4270</v>
      </c>
      <c r="D1728" t="s">
        <v>2725</v>
      </c>
      <c r="E1728" t="str">
        <f>"00057034"</f>
        <v>00057034</v>
      </c>
      <c r="F1728">
        <v>0</v>
      </c>
      <c r="G1728" s="243">
        <v>41133</v>
      </c>
      <c r="H1728" t="s">
        <v>182</v>
      </c>
      <c r="I1728">
        <v>15</v>
      </c>
      <c r="J1728">
        <v>5</v>
      </c>
      <c r="K1728">
        <v>0.5</v>
      </c>
      <c r="L1728">
        <v>28327.5</v>
      </c>
      <c r="M1728" t="str">
        <f t="shared" si="255"/>
        <v>13</v>
      </c>
      <c r="N1728" t="s">
        <v>3370</v>
      </c>
      <c r="O1728" t="str">
        <f t="shared" si="251"/>
        <v>56211</v>
      </c>
      <c r="P1728" t="str">
        <f t="shared" si="256"/>
        <v>2100L</v>
      </c>
      <c r="Q1728" t="str">
        <f t="shared" si="257"/>
        <v>0101</v>
      </c>
      <c r="R1728">
        <v>2100</v>
      </c>
      <c r="S1728" t="str">
        <f t="shared" si="252"/>
        <v>5620</v>
      </c>
      <c r="T1728" t="s">
        <v>3583</v>
      </c>
      <c r="U1728" t="s">
        <v>124</v>
      </c>
    </row>
    <row r="1729" spans="1:21" ht="15" customHeight="1" x14ac:dyDescent="0.3">
      <c r="A1729" t="s">
        <v>179</v>
      </c>
      <c r="B1729" t="str">
        <f>"00076206"</f>
        <v>00076206</v>
      </c>
      <c r="C1729" t="s">
        <v>4271</v>
      </c>
      <c r="D1729" t="s">
        <v>4823</v>
      </c>
      <c r="E1729" t="str">
        <f>"00069697"</f>
        <v>00069697</v>
      </c>
      <c r="F1729">
        <v>0</v>
      </c>
      <c r="G1729" s="243">
        <v>41133</v>
      </c>
      <c r="H1729" t="s">
        <v>182</v>
      </c>
      <c r="I1729">
        <v>15</v>
      </c>
      <c r="J1729">
        <v>1</v>
      </c>
      <c r="K1729">
        <v>0.1</v>
      </c>
      <c r="L1729">
        <v>60128</v>
      </c>
      <c r="M1729" t="str">
        <f t="shared" si="255"/>
        <v>13</v>
      </c>
      <c r="N1729" t="s">
        <v>3370</v>
      </c>
      <c r="O1729" t="str">
        <f t="shared" si="251"/>
        <v>56211</v>
      </c>
      <c r="P1729" t="str">
        <f t="shared" si="256"/>
        <v>2100L</v>
      </c>
      <c r="Q1729" t="str">
        <f t="shared" si="257"/>
        <v>0101</v>
      </c>
      <c r="R1729">
        <v>2100</v>
      </c>
      <c r="S1729" t="str">
        <f t="shared" si="252"/>
        <v>5620</v>
      </c>
      <c r="T1729" t="s">
        <v>3583</v>
      </c>
      <c r="U1729" t="s">
        <v>124</v>
      </c>
    </row>
    <row r="1730" spans="1:21" ht="15" customHeight="1" x14ac:dyDescent="0.3">
      <c r="A1730" t="s">
        <v>179</v>
      </c>
      <c r="B1730" t="str">
        <f>"00076457"</f>
        <v>00076457</v>
      </c>
      <c r="C1730" t="s">
        <v>4274</v>
      </c>
      <c r="H1730" t="s">
        <v>170</v>
      </c>
      <c r="I1730">
        <v>4</v>
      </c>
      <c r="J1730">
        <v>0</v>
      </c>
      <c r="K1730">
        <v>0.71</v>
      </c>
      <c r="L1730">
        <v>25662</v>
      </c>
      <c r="M1730" t="str">
        <f t="shared" si="255"/>
        <v>13</v>
      </c>
      <c r="N1730" t="s">
        <v>3370</v>
      </c>
      <c r="O1730" t="str">
        <f t="shared" si="251"/>
        <v>56211</v>
      </c>
      <c r="P1730" t="str">
        <f>"2200L"</f>
        <v>2200L</v>
      </c>
      <c r="Q1730" t="str">
        <f t="shared" si="257"/>
        <v>0101</v>
      </c>
      <c r="R1730">
        <v>2200</v>
      </c>
      <c r="S1730" t="str">
        <f t="shared" si="252"/>
        <v>5620</v>
      </c>
      <c r="T1730" t="s">
        <v>3583</v>
      </c>
      <c r="U1730" t="s">
        <v>124</v>
      </c>
    </row>
    <row r="1731" spans="1:21" ht="15" customHeight="1" x14ac:dyDescent="0.3">
      <c r="A1731" t="s">
        <v>179</v>
      </c>
      <c r="B1731" t="str">
        <f>"00076808"</f>
        <v>00076808</v>
      </c>
      <c r="C1731" t="s">
        <v>4262</v>
      </c>
      <c r="D1731" t="s">
        <v>4824</v>
      </c>
      <c r="E1731" t="str">
        <f>"00070084"</f>
        <v>00070084</v>
      </c>
      <c r="F1731">
        <v>0</v>
      </c>
      <c r="G1731" s="243">
        <v>41141</v>
      </c>
      <c r="H1731" t="s">
        <v>182</v>
      </c>
      <c r="I1731">
        <v>15</v>
      </c>
      <c r="J1731">
        <v>2</v>
      </c>
      <c r="K1731">
        <v>1</v>
      </c>
      <c r="L1731">
        <v>56242</v>
      </c>
      <c r="M1731" t="str">
        <f t="shared" si="255"/>
        <v>13</v>
      </c>
      <c r="N1731" t="s">
        <v>3370</v>
      </c>
      <c r="O1731" t="str">
        <f t="shared" si="251"/>
        <v>56211</v>
      </c>
      <c r="P1731" t="str">
        <f>"2100L"</f>
        <v>2100L</v>
      </c>
      <c r="Q1731" t="str">
        <f t="shared" si="257"/>
        <v>0101</v>
      </c>
      <c r="R1731">
        <v>2100</v>
      </c>
      <c r="S1731" t="str">
        <f t="shared" si="252"/>
        <v>5620</v>
      </c>
      <c r="T1731" t="s">
        <v>3583</v>
      </c>
      <c r="U1731" t="s">
        <v>124</v>
      </c>
    </row>
    <row r="1732" spans="1:21" ht="15" customHeight="1" x14ac:dyDescent="0.3">
      <c r="A1732" t="s">
        <v>179</v>
      </c>
      <c r="B1732" t="str">
        <f>"00076809"</f>
        <v>00076809</v>
      </c>
      <c r="C1732" t="s">
        <v>4262</v>
      </c>
      <c r="D1732" t="s">
        <v>4825</v>
      </c>
      <c r="E1732" t="str">
        <f>"00066732"</f>
        <v>00066732</v>
      </c>
      <c r="F1732">
        <v>0</v>
      </c>
      <c r="G1732" s="243">
        <v>40777</v>
      </c>
      <c r="H1732" t="s">
        <v>182</v>
      </c>
      <c r="I1732">
        <v>15</v>
      </c>
      <c r="J1732">
        <v>1</v>
      </c>
      <c r="K1732">
        <v>1</v>
      </c>
      <c r="L1732">
        <v>54975</v>
      </c>
      <c r="M1732" t="str">
        <f t="shared" si="255"/>
        <v>13</v>
      </c>
      <c r="N1732" t="s">
        <v>3370</v>
      </c>
      <c r="O1732" t="str">
        <f t="shared" si="251"/>
        <v>56211</v>
      </c>
      <c r="P1732" t="str">
        <f>"2100L"</f>
        <v>2100L</v>
      </c>
      <c r="Q1732" t="str">
        <f t="shared" si="257"/>
        <v>0101</v>
      </c>
      <c r="R1732">
        <v>2100</v>
      </c>
      <c r="S1732" t="str">
        <f t="shared" si="252"/>
        <v>5620</v>
      </c>
      <c r="T1732" t="s">
        <v>3583</v>
      </c>
      <c r="U1732" t="s">
        <v>124</v>
      </c>
    </row>
    <row r="1733" spans="1:21" ht="15" customHeight="1" x14ac:dyDescent="0.3">
      <c r="A1733" t="s">
        <v>179</v>
      </c>
      <c r="B1733" t="str">
        <f>"00076835"</f>
        <v>00076835</v>
      </c>
      <c r="C1733" t="s">
        <v>4262</v>
      </c>
      <c r="H1733" t="s">
        <v>170</v>
      </c>
      <c r="I1733">
        <v>15</v>
      </c>
      <c r="J1733">
        <v>0</v>
      </c>
      <c r="K1733">
        <v>1</v>
      </c>
      <c r="L1733">
        <v>51539</v>
      </c>
      <c r="M1733" t="str">
        <f t="shared" si="255"/>
        <v>13</v>
      </c>
      <c r="N1733" t="s">
        <v>3370</v>
      </c>
      <c r="O1733" t="str">
        <f t="shared" si="251"/>
        <v>56211</v>
      </c>
      <c r="P1733" t="str">
        <f>"1501L"</f>
        <v>1501L</v>
      </c>
      <c r="Q1733" t="str">
        <f t="shared" si="257"/>
        <v>0101</v>
      </c>
      <c r="R1733">
        <v>1501</v>
      </c>
      <c r="S1733" t="str">
        <f t="shared" si="252"/>
        <v>5620</v>
      </c>
      <c r="T1733" t="s">
        <v>3583</v>
      </c>
      <c r="U1733" t="s">
        <v>124</v>
      </c>
    </row>
    <row r="1734" spans="1:21" ht="15" customHeight="1" x14ac:dyDescent="0.3">
      <c r="A1734" t="s">
        <v>179</v>
      </c>
      <c r="B1734" t="str">
        <f>"00076839"</f>
        <v>00076839</v>
      </c>
      <c r="C1734" t="s">
        <v>4266</v>
      </c>
      <c r="H1734" t="s">
        <v>170</v>
      </c>
      <c r="I1734">
        <v>15</v>
      </c>
      <c r="J1734">
        <v>1</v>
      </c>
      <c r="K1734">
        <v>0.5</v>
      </c>
      <c r="L1734">
        <v>54975</v>
      </c>
      <c r="M1734" t="str">
        <f t="shared" si="255"/>
        <v>13</v>
      </c>
      <c r="N1734" t="s">
        <v>3323</v>
      </c>
      <c r="O1734" t="str">
        <f t="shared" si="251"/>
        <v>56211</v>
      </c>
      <c r="P1734" t="str">
        <f>"2100L"</f>
        <v>2100L</v>
      </c>
      <c r="Q1734" t="str">
        <f t="shared" si="257"/>
        <v>0101</v>
      </c>
      <c r="R1734">
        <v>2100</v>
      </c>
      <c r="S1734" t="str">
        <f t="shared" si="252"/>
        <v>5620</v>
      </c>
      <c r="T1734" t="s">
        <v>3583</v>
      </c>
      <c r="U1734" t="s">
        <v>124</v>
      </c>
    </row>
    <row r="1735" spans="1:21" ht="15" customHeight="1" x14ac:dyDescent="0.3">
      <c r="A1735" t="s">
        <v>179</v>
      </c>
      <c r="B1735" t="str">
        <f>"00076840"</f>
        <v>00076840</v>
      </c>
      <c r="C1735" t="s">
        <v>4262</v>
      </c>
      <c r="H1735" t="s">
        <v>170</v>
      </c>
      <c r="I1735">
        <v>15</v>
      </c>
      <c r="J1735">
        <v>1</v>
      </c>
      <c r="K1735">
        <v>1</v>
      </c>
      <c r="L1735">
        <v>54975</v>
      </c>
      <c r="M1735" t="str">
        <f t="shared" si="255"/>
        <v>13</v>
      </c>
      <c r="N1735" t="s">
        <v>3323</v>
      </c>
      <c r="O1735" t="str">
        <f t="shared" si="251"/>
        <v>56211</v>
      </c>
      <c r="P1735" t="str">
        <f>"2100L"</f>
        <v>2100L</v>
      </c>
      <c r="Q1735" t="str">
        <f t="shared" si="257"/>
        <v>0101</v>
      </c>
      <c r="R1735">
        <v>2100</v>
      </c>
      <c r="S1735" t="str">
        <f t="shared" si="252"/>
        <v>5620</v>
      </c>
      <c r="T1735" t="s">
        <v>3583</v>
      </c>
      <c r="U1735" t="s">
        <v>124</v>
      </c>
    </row>
    <row r="1736" spans="1:21" ht="15" customHeight="1" x14ac:dyDescent="0.3">
      <c r="A1736" t="s">
        <v>179</v>
      </c>
      <c r="B1736" t="str">
        <f>"00052079"</f>
        <v>00052079</v>
      </c>
      <c r="C1736" t="s">
        <v>4262</v>
      </c>
      <c r="D1736" t="s">
        <v>4826</v>
      </c>
      <c r="E1736" t="str">
        <f>"00070083"</f>
        <v>00070083</v>
      </c>
      <c r="F1736">
        <v>0</v>
      </c>
      <c r="G1736" s="243">
        <v>41133</v>
      </c>
      <c r="H1736" t="s">
        <v>182</v>
      </c>
      <c r="I1736">
        <v>15</v>
      </c>
      <c r="J1736">
        <v>4</v>
      </c>
      <c r="K1736">
        <v>1</v>
      </c>
      <c r="L1736">
        <v>54725</v>
      </c>
      <c r="M1736" t="str">
        <f t="shared" si="255"/>
        <v>13</v>
      </c>
      <c r="N1736" t="s">
        <v>3323</v>
      </c>
      <c r="O1736" t="str">
        <f t="shared" ref="O1736:O1759" si="258">"56311"</f>
        <v>56311</v>
      </c>
      <c r="P1736" t="str">
        <f>"2100L"</f>
        <v>2100L</v>
      </c>
      <c r="Q1736" t="str">
        <f t="shared" si="257"/>
        <v>0101</v>
      </c>
      <c r="R1736">
        <v>2100</v>
      </c>
      <c r="S1736" t="str">
        <f t="shared" ref="S1736:S1759" si="259">"5630"</f>
        <v>5630</v>
      </c>
      <c r="T1736" t="s">
        <v>3587</v>
      </c>
      <c r="U1736" t="s">
        <v>1623</v>
      </c>
    </row>
    <row r="1737" spans="1:21" ht="15" customHeight="1" x14ac:dyDescent="0.3">
      <c r="A1737" t="s">
        <v>179</v>
      </c>
      <c r="B1737" t="str">
        <f>"00052489"</f>
        <v>00052489</v>
      </c>
      <c r="C1737" t="s">
        <v>4262</v>
      </c>
      <c r="D1737" t="s">
        <v>4827</v>
      </c>
      <c r="E1737" t="str">
        <f>"00069872"</f>
        <v>00069872</v>
      </c>
      <c r="F1737">
        <v>0</v>
      </c>
      <c r="G1737" s="243">
        <v>41133</v>
      </c>
      <c r="H1737" t="s">
        <v>182</v>
      </c>
      <c r="I1737">
        <v>15</v>
      </c>
      <c r="J1737">
        <v>1</v>
      </c>
      <c r="K1737">
        <v>1</v>
      </c>
      <c r="L1737">
        <v>51539</v>
      </c>
      <c r="M1737" t="str">
        <f t="shared" si="255"/>
        <v>13</v>
      </c>
      <c r="N1737" t="s">
        <v>3323</v>
      </c>
      <c r="O1737" t="str">
        <f t="shared" si="258"/>
        <v>56311</v>
      </c>
      <c r="P1737" t="str">
        <f>"2100L"</f>
        <v>2100L</v>
      </c>
      <c r="Q1737" t="str">
        <f t="shared" si="257"/>
        <v>0101</v>
      </c>
      <c r="R1737">
        <v>2100</v>
      </c>
      <c r="S1737" t="str">
        <f t="shared" si="259"/>
        <v>5630</v>
      </c>
      <c r="T1737" t="s">
        <v>3587</v>
      </c>
      <c r="U1737" t="s">
        <v>1623</v>
      </c>
    </row>
    <row r="1738" spans="1:21" ht="15" customHeight="1" x14ac:dyDescent="0.3">
      <c r="A1738" t="s">
        <v>179</v>
      </c>
      <c r="B1738" t="str">
        <f>"00053372"</f>
        <v>00053372</v>
      </c>
      <c r="C1738" t="s">
        <v>4272</v>
      </c>
      <c r="D1738" t="s">
        <v>1624</v>
      </c>
      <c r="E1738" t="str">
        <f>"00051381"</f>
        <v>00051381</v>
      </c>
      <c r="F1738">
        <v>0</v>
      </c>
      <c r="G1738" s="243">
        <v>32050</v>
      </c>
      <c r="H1738" t="s">
        <v>182</v>
      </c>
      <c r="I1738">
        <v>15</v>
      </c>
      <c r="J1738">
        <v>16</v>
      </c>
      <c r="K1738">
        <v>1</v>
      </c>
      <c r="L1738">
        <v>106540</v>
      </c>
      <c r="M1738" t="str">
        <f t="shared" si="255"/>
        <v>13</v>
      </c>
      <c r="N1738" t="s">
        <v>3323</v>
      </c>
      <c r="O1738" t="str">
        <f t="shared" si="258"/>
        <v>56311</v>
      </c>
      <c r="P1738" t="str">
        <f>"2200L"</f>
        <v>2200L</v>
      </c>
      <c r="Q1738" t="str">
        <f t="shared" si="257"/>
        <v>0101</v>
      </c>
      <c r="R1738">
        <v>2200</v>
      </c>
      <c r="S1738" t="str">
        <f t="shared" si="259"/>
        <v>5630</v>
      </c>
      <c r="T1738" t="s">
        <v>3587</v>
      </c>
      <c r="U1738" t="s">
        <v>1623</v>
      </c>
    </row>
    <row r="1739" spans="1:21" ht="15" customHeight="1" x14ac:dyDescent="0.3">
      <c r="A1739" t="s">
        <v>179</v>
      </c>
      <c r="B1739" t="str">
        <f>"00053629"</f>
        <v>00053629</v>
      </c>
      <c r="C1739" t="s">
        <v>4258</v>
      </c>
      <c r="D1739" t="s">
        <v>1625</v>
      </c>
      <c r="E1739" t="str">
        <f>"00051962"</f>
        <v>00051962</v>
      </c>
      <c r="F1739">
        <v>0</v>
      </c>
      <c r="G1739" s="243">
        <v>35031</v>
      </c>
      <c r="H1739" t="s">
        <v>182</v>
      </c>
      <c r="I1739">
        <v>15</v>
      </c>
      <c r="J1739">
        <v>13</v>
      </c>
      <c r="K1739">
        <v>1</v>
      </c>
      <c r="L1739">
        <v>81724</v>
      </c>
      <c r="M1739" t="str">
        <f t="shared" si="255"/>
        <v>13</v>
      </c>
      <c r="N1739" t="s">
        <v>3323</v>
      </c>
      <c r="O1739" t="str">
        <f t="shared" si="258"/>
        <v>56311</v>
      </c>
      <c r="P1739" t="str">
        <f>"2100L"</f>
        <v>2100L</v>
      </c>
      <c r="Q1739" t="str">
        <f t="shared" si="257"/>
        <v>0101</v>
      </c>
      <c r="R1739">
        <v>2100</v>
      </c>
      <c r="S1739" t="str">
        <f t="shared" si="259"/>
        <v>5630</v>
      </c>
      <c r="T1739" t="s">
        <v>3587</v>
      </c>
      <c r="U1739" t="s">
        <v>1623</v>
      </c>
    </row>
    <row r="1740" spans="1:21" ht="15" customHeight="1" x14ac:dyDescent="0.3">
      <c r="A1740" t="s">
        <v>179</v>
      </c>
      <c r="B1740" t="str">
        <f>"00053880"</f>
        <v>00053880</v>
      </c>
      <c r="C1740" t="s">
        <v>4262</v>
      </c>
      <c r="D1740" t="s">
        <v>3588</v>
      </c>
      <c r="E1740" t="str">
        <f>"00066409"</f>
        <v>00066409</v>
      </c>
      <c r="F1740">
        <v>0</v>
      </c>
      <c r="G1740" s="243">
        <v>40755</v>
      </c>
      <c r="H1740" t="s">
        <v>182</v>
      </c>
      <c r="I1740">
        <v>15</v>
      </c>
      <c r="J1740">
        <v>9</v>
      </c>
      <c r="K1740">
        <v>1</v>
      </c>
      <c r="L1740">
        <v>75232</v>
      </c>
      <c r="M1740" t="str">
        <f t="shared" si="255"/>
        <v>13</v>
      </c>
      <c r="N1740" t="s">
        <v>3323</v>
      </c>
      <c r="O1740" t="str">
        <f t="shared" si="258"/>
        <v>56311</v>
      </c>
      <c r="P1740" t="str">
        <f>"2200L"</f>
        <v>2200L</v>
      </c>
      <c r="Q1740" t="str">
        <f t="shared" si="257"/>
        <v>0101</v>
      </c>
      <c r="R1740">
        <v>2200</v>
      </c>
      <c r="S1740" t="str">
        <f t="shared" si="259"/>
        <v>5630</v>
      </c>
      <c r="T1740" t="s">
        <v>3587</v>
      </c>
      <c r="U1740" t="s">
        <v>1623</v>
      </c>
    </row>
    <row r="1741" spans="1:21" ht="15" customHeight="1" x14ac:dyDescent="0.3">
      <c r="A1741" t="s">
        <v>179</v>
      </c>
      <c r="B1741" t="str">
        <f>"00054406"</f>
        <v>00054406</v>
      </c>
      <c r="C1741" t="s">
        <v>4262</v>
      </c>
      <c r="D1741" t="s">
        <v>4828</v>
      </c>
      <c r="E1741" t="str">
        <f>"00069887"</f>
        <v>00069887</v>
      </c>
      <c r="F1741">
        <v>0</v>
      </c>
      <c r="G1741" s="243">
        <v>41133</v>
      </c>
      <c r="H1741" t="s">
        <v>182</v>
      </c>
      <c r="I1741">
        <v>15</v>
      </c>
      <c r="J1741">
        <v>1</v>
      </c>
      <c r="K1741">
        <v>1</v>
      </c>
      <c r="L1741">
        <v>51539</v>
      </c>
      <c r="M1741" t="str">
        <f t="shared" si="255"/>
        <v>13</v>
      </c>
      <c r="N1741" t="s">
        <v>3370</v>
      </c>
      <c r="O1741" t="str">
        <f t="shared" si="258"/>
        <v>56311</v>
      </c>
      <c r="P1741" t="str">
        <f>"2300L"</f>
        <v>2300L</v>
      </c>
      <c r="Q1741" t="str">
        <f t="shared" si="257"/>
        <v>0101</v>
      </c>
      <c r="R1741">
        <v>2300</v>
      </c>
      <c r="S1741" t="str">
        <f t="shared" si="259"/>
        <v>5630</v>
      </c>
      <c r="T1741" t="s">
        <v>3587</v>
      </c>
      <c r="U1741" t="s">
        <v>1623</v>
      </c>
    </row>
    <row r="1742" spans="1:21" ht="15" customHeight="1" x14ac:dyDescent="0.3">
      <c r="A1742" t="s">
        <v>179</v>
      </c>
      <c r="B1742" t="str">
        <f>"00054488"</f>
        <v>00054488</v>
      </c>
      <c r="C1742" t="s">
        <v>4272</v>
      </c>
      <c r="D1742" t="s">
        <v>1626</v>
      </c>
      <c r="E1742" t="str">
        <f>"00054101"</f>
        <v>00054101</v>
      </c>
      <c r="F1742">
        <v>0</v>
      </c>
      <c r="G1742" s="243">
        <v>32050</v>
      </c>
      <c r="H1742" t="s">
        <v>182</v>
      </c>
      <c r="I1742">
        <v>15</v>
      </c>
      <c r="J1742">
        <v>16</v>
      </c>
      <c r="K1742">
        <v>1</v>
      </c>
      <c r="L1742">
        <v>106540</v>
      </c>
      <c r="M1742" t="str">
        <f t="shared" si="255"/>
        <v>13</v>
      </c>
      <c r="N1742" t="s">
        <v>3323</v>
      </c>
      <c r="O1742" t="str">
        <f t="shared" si="258"/>
        <v>56311</v>
      </c>
      <c r="P1742" t="str">
        <f>"2200L"</f>
        <v>2200L</v>
      </c>
      <c r="Q1742" t="str">
        <f t="shared" si="257"/>
        <v>0101</v>
      </c>
      <c r="R1742">
        <v>2200</v>
      </c>
      <c r="S1742" t="str">
        <f t="shared" si="259"/>
        <v>5630</v>
      </c>
      <c r="T1742" t="s">
        <v>3587</v>
      </c>
      <c r="U1742" t="s">
        <v>1623</v>
      </c>
    </row>
    <row r="1743" spans="1:21" ht="15" customHeight="1" x14ac:dyDescent="0.3">
      <c r="A1743" t="s">
        <v>179</v>
      </c>
      <c r="B1743" t="str">
        <f>"00056921"</f>
        <v>00056921</v>
      </c>
      <c r="C1743" t="s">
        <v>4288</v>
      </c>
      <c r="D1743" t="s">
        <v>4829</v>
      </c>
      <c r="E1743" t="str">
        <f>"00044711"</f>
        <v>00044711</v>
      </c>
      <c r="F1743">
        <v>0</v>
      </c>
      <c r="G1743" s="243">
        <v>33907</v>
      </c>
      <c r="H1743" t="s">
        <v>182</v>
      </c>
      <c r="I1743">
        <v>4</v>
      </c>
      <c r="J1743">
        <v>10</v>
      </c>
      <c r="K1743">
        <v>0.875</v>
      </c>
      <c r="L1743">
        <v>28721</v>
      </c>
      <c r="M1743" t="str">
        <f t="shared" si="255"/>
        <v>13</v>
      </c>
      <c r="N1743" t="s">
        <v>3323</v>
      </c>
      <c r="O1743" t="str">
        <f t="shared" si="258"/>
        <v>56311</v>
      </c>
      <c r="P1743" t="str">
        <f>"2200L"</f>
        <v>2200L</v>
      </c>
      <c r="Q1743" t="str">
        <f t="shared" si="257"/>
        <v>0101</v>
      </c>
      <c r="R1743">
        <v>2200</v>
      </c>
      <c r="S1743" t="str">
        <f t="shared" si="259"/>
        <v>5630</v>
      </c>
      <c r="T1743" t="s">
        <v>3587</v>
      </c>
      <c r="U1743" t="s">
        <v>1623</v>
      </c>
    </row>
    <row r="1744" spans="1:21" ht="15" customHeight="1" x14ac:dyDescent="0.3">
      <c r="A1744" t="s">
        <v>179</v>
      </c>
      <c r="B1744" t="str">
        <f>"00057843"</f>
        <v>00057843</v>
      </c>
      <c r="C1744" t="s">
        <v>4274</v>
      </c>
      <c r="D1744" t="s">
        <v>4830</v>
      </c>
      <c r="E1744" t="str">
        <f>"00053574"</f>
        <v>00053574</v>
      </c>
      <c r="F1744">
        <v>0</v>
      </c>
      <c r="G1744" s="243">
        <v>36962</v>
      </c>
      <c r="H1744" t="s">
        <v>182</v>
      </c>
      <c r="I1744">
        <v>4</v>
      </c>
      <c r="J1744">
        <v>8</v>
      </c>
      <c r="K1744">
        <v>0.875</v>
      </c>
      <c r="L1744">
        <v>27329.75</v>
      </c>
      <c r="M1744" t="str">
        <f t="shared" si="255"/>
        <v>13</v>
      </c>
      <c r="N1744" t="s">
        <v>3323</v>
      </c>
      <c r="O1744" t="str">
        <f t="shared" si="258"/>
        <v>56311</v>
      </c>
      <c r="P1744" t="str">
        <f>"2200L"</f>
        <v>2200L</v>
      </c>
      <c r="Q1744" t="str">
        <f t="shared" si="257"/>
        <v>0101</v>
      </c>
      <c r="R1744">
        <v>2200</v>
      </c>
      <c r="S1744" t="str">
        <f t="shared" si="259"/>
        <v>5630</v>
      </c>
      <c r="T1744" t="s">
        <v>3587</v>
      </c>
      <c r="U1744" t="s">
        <v>1623</v>
      </c>
    </row>
    <row r="1745" spans="1:21" ht="15" customHeight="1" x14ac:dyDescent="0.3">
      <c r="A1745" t="s">
        <v>179</v>
      </c>
      <c r="B1745" t="str">
        <f>"00058090"</f>
        <v>00058090</v>
      </c>
      <c r="C1745" t="s">
        <v>4260</v>
      </c>
      <c r="D1745" t="s">
        <v>1628</v>
      </c>
      <c r="E1745" t="str">
        <f>"00053502"</f>
        <v>00053502</v>
      </c>
      <c r="F1745">
        <v>0</v>
      </c>
      <c r="G1745" s="243">
        <v>37124</v>
      </c>
      <c r="H1745" t="s">
        <v>182</v>
      </c>
      <c r="I1745">
        <v>15</v>
      </c>
      <c r="J1745">
        <v>12</v>
      </c>
      <c r="K1745">
        <v>1</v>
      </c>
      <c r="L1745">
        <v>89887</v>
      </c>
      <c r="M1745" t="str">
        <f t="shared" si="255"/>
        <v>13</v>
      </c>
      <c r="N1745" t="s">
        <v>3323</v>
      </c>
      <c r="O1745" t="str">
        <f t="shared" si="258"/>
        <v>56311</v>
      </c>
      <c r="P1745" t="str">
        <f>"2100L"</f>
        <v>2100L</v>
      </c>
      <c r="Q1745" t="str">
        <f t="shared" si="257"/>
        <v>0101</v>
      </c>
      <c r="R1745">
        <v>2100</v>
      </c>
      <c r="S1745" t="str">
        <f t="shared" si="259"/>
        <v>5630</v>
      </c>
      <c r="T1745" t="s">
        <v>3587</v>
      </c>
      <c r="U1745" t="s">
        <v>1623</v>
      </c>
    </row>
    <row r="1746" spans="1:21" ht="15" customHeight="1" x14ac:dyDescent="0.3">
      <c r="A1746" t="s">
        <v>179</v>
      </c>
      <c r="B1746" t="str">
        <f>"00061816"</f>
        <v>00061816</v>
      </c>
      <c r="C1746" t="s">
        <v>3798</v>
      </c>
      <c r="D1746" t="s">
        <v>1103</v>
      </c>
      <c r="E1746" t="str">
        <f>"00051600"</f>
        <v>00051600</v>
      </c>
      <c r="F1746">
        <v>0</v>
      </c>
      <c r="G1746" s="243">
        <v>34516</v>
      </c>
      <c r="H1746" t="s">
        <v>182</v>
      </c>
      <c r="I1746">
        <v>61</v>
      </c>
      <c r="J1746">
        <v>3</v>
      </c>
      <c r="K1746">
        <v>1</v>
      </c>
      <c r="L1746">
        <v>110000</v>
      </c>
      <c r="M1746" t="str">
        <f t="shared" si="255"/>
        <v>13</v>
      </c>
      <c r="N1746" t="s">
        <v>3323</v>
      </c>
      <c r="O1746" t="str">
        <f t="shared" si="258"/>
        <v>56311</v>
      </c>
      <c r="P1746" t="str">
        <f>"1501L"</f>
        <v>1501L</v>
      </c>
      <c r="Q1746" t="str">
        <f t="shared" si="257"/>
        <v>0101</v>
      </c>
      <c r="R1746">
        <v>1501</v>
      </c>
      <c r="S1746" t="str">
        <f t="shared" si="259"/>
        <v>5630</v>
      </c>
      <c r="T1746" t="s">
        <v>3587</v>
      </c>
      <c r="U1746" t="s">
        <v>1623</v>
      </c>
    </row>
    <row r="1747" spans="1:21" ht="15" customHeight="1" x14ac:dyDescent="0.3">
      <c r="A1747" t="s">
        <v>179</v>
      </c>
      <c r="B1747" t="str">
        <f>"00061882"</f>
        <v>00061882</v>
      </c>
      <c r="C1747" t="s">
        <v>4272</v>
      </c>
      <c r="D1747" t="s">
        <v>1630</v>
      </c>
      <c r="E1747" t="str">
        <f>"00050052"</f>
        <v>00050052</v>
      </c>
      <c r="F1747">
        <v>0</v>
      </c>
      <c r="G1747" s="243">
        <v>39679</v>
      </c>
      <c r="H1747" t="s">
        <v>182</v>
      </c>
      <c r="I1747">
        <v>15</v>
      </c>
      <c r="J1747">
        <v>5</v>
      </c>
      <c r="K1747">
        <v>1</v>
      </c>
      <c r="L1747">
        <v>63611</v>
      </c>
      <c r="M1747" t="str">
        <f t="shared" si="255"/>
        <v>13</v>
      </c>
      <c r="N1747" t="s">
        <v>3323</v>
      </c>
      <c r="O1747" t="str">
        <f t="shared" si="258"/>
        <v>56311</v>
      </c>
      <c r="P1747" t="str">
        <f>"2100L"</f>
        <v>2100L</v>
      </c>
      <c r="Q1747" t="str">
        <f t="shared" si="257"/>
        <v>0101</v>
      </c>
      <c r="R1747">
        <v>2100</v>
      </c>
      <c r="S1747" t="str">
        <f t="shared" si="259"/>
        <v>5630</v>
      </c>
      <c r="T1747" t="s">
        <v>3587</v>
      </c>
      <c r="U1747" t="s">
        <v>1623</v>
      </c>
    </row>
    <row r="1748" spans="1:21" ht="15" customHeight="1" x14ac:dyDescent="0.3">
      <c r="A1748" t="s">
        <v>179</v>
      </c>
      <c r="B1748" t="str">
        <f>"00065960"</f>
        <v>00065960</v>
      </c>
      <c r="C1748" t="s">
        <v>4288</v>
      </c>
      <c r="H1748" t="s">
        <v>170</v>
      </c>
      <c r="I1748">
        <v>4</v>
      </c>
      <c r="J1748">
        <v>1</v>
      </c>
      <c r="K1748">
        <v>1</v>
      </c>
      <c r="L1748">
        <v>25662</v>
      </c>
      <c r="M1748" t="str">
        <f t="shared" si="255"/>
        <v>13</v>
      </c>
      <c r="N1748" t="s">
        <v>3370</v>
      </c>
      <c r="O1748" t="str">
        <f t="shared" si="258"/>
        <v>56311</v>
      </c>
      <c r="P1748" t="str">
        <f>"2200L"</f>
        <v>2200L</v>
      </c>
      <c r="Q1748" t="str">
        <f t="shared" si="257"/>
        <v>0101</v>
      </c>
      <c r="R1748">
        <v>2200</v>
      </c>
      <c r="S1748" t="str">
        <f t="shared" si="259"/>
        <v>5630</v>
      </c>
      <c r="T1748" t="s">
        <v>3587</v>
      </c>
      <c r="U1748" t="s">
        <v>1623</v>
      </c>
    </row>
    <row r="1749" spans="1:21" ht="15" customHeight="1" x14ac:dyDescent="0.3">
      <c r="A1749" t="s">
        <v>179</v>
      </c>
      <c r="B1749" t="str">
        <f>"00065971"</f>
        <v>00065971</v>
      </c>
      <c r="C1749" t="s">
        <v>4288</v>
      </c>
      <c r="D1749" t="s">
        <v>4831</v>
      </c>
      <c r="E1749" t="str">
        <f>"00048586"</f>
        <v>00048586</v>
      </c>
      <c r="F1749">
        <v>0</v>
      </c>
      <c r="G1749" s="243">
        <v>39700</v>
      </c>
      <c r="H1749" t="s">
        <v>182</v>
      </c>
      <c r="I1749">
        <v>4</v>
      </c>
      <c r="J1749">
        <v>6</v>
      </c>
      <c r="K1749">
        <v>1</v>
      </c>
      <c r="L1749">
        <v>25935.88</v>
      </c>
      <c r="M1749" t="str">
        <f t="shared" si="255"/>
        <v>13</v>
      </c>
      <c r="N1749" t="s">
        <v>3323</v>
      </c>
      <c r="O1749" t="str">
        <f t="shared" si="258"/>
        <v>56311</v>
      </c>
      <c r="P1749" t="str">
        <f>"2200L"</f>
        <v>2200L</v>
      </c>
      <c r="Q1749" t="str">
        <f t="shared" si="257"/>
        <v>0101</v>
      </c>
      <c r="R1749">
        <v>2200</v>
      </c>
      <c r="S1749" t="str">
        <f t="shared" si="259"/>
        <v>5630</v>
      </c>
      <c r="T1749" t="s">
        <v>3587</v>
      </c>
      <c r="U1749" t="s">
        <v>1623</v>
      </c>
    </row>
    <row r="1750" spans="1:21" ht="15" customHeight="1" x14ac:dyDescent="0.3">
      <c r="A1750" t="s">
        <v>179</v>
      </c>
      <c r="B1750" t="str">
        <f>"00066386"</f>
        <v>00066386</v>
      </c>
      <c r="C1750" t="s">
        <v>4291</v>
      </c>
      <c r="D1750" t="s">
        <v>1829</v>
      </c>
      <c r="E1750" t="str">
        <f>"00054855"</f>
        <v>00054855</v>
      </c>
      <c r="F1750">
        <v>1</v>
      </c>
      <c r="G1750" s="243">
        <v>41133</v>
      </c>
      <c r="H1750" t="s">
        <v>182</v>
      </c>
      <c r="I1750">
        <v>15</v>
      </c>
      <c r="J1750">
        <v>4</v>
      </c>
      <c r="K1750">
        <v>1</v>
      </c>
      <c r="L1750">
        <v>27362.5</v>
      </c>
      <c r="M1750" t="str">
        <f t="shared" si="255"/>
        <v>13</v>
      </c>
      <c r="N1750" t="s">
        <v>3323</v>
      </c>
      <c r="O1750" t="str">
        <f t="shared" si="258"/>
        <v>56311</v>
      </c>
      <c r="P1750" t="str">
        <f>"2100L"</f>
        <v>2100L</v>
      </c>
      <c r="Q1750" t="str">
        <f t="shared" si="257"/>
        <v>0101</v>
      </c>
      <c r="R1750">
        <v>2100</v>
      </c>
      <c r="S1750" t="str">
        <f t="shared" si="259"/>
        <v>5630</v>
      </c>
      <c r="T1750" t="s">
        <v>3587</v>
      </c>
      <c r="U1750" t="s">
        <v>1623</v>
      </c>
    </row>
    <row r="1751" spans="1:21" ht="15" customHeight="1" x14ac:dyDescent="0.3">
      <c r="A1751" t="s">
        <v>179</v>
      </c>
      <c r="B1751" t="str">
        <f>"00066841"</f>
        <v>00066841</v>
      </c>
      <c r="C1751" t="s">
        <v>4272</v>
      </c>
      <c r="D1751" t="s">
        <v>1631</v>
      </c>
      <c r="E1751" t="str">
        <f>"00063012"</f>
        <v>00063012</v>
      </c>
      <c r="F1751">
        <v>0</v>
      </c>
      <c r="G1751" s="243">
        <v>40406</v>
      </c>
      <c r="H1751" t="s">
        <v>182</v>
      </c>
      <c r="I1751">
        <v>15</v>
      </c>
      <c r="J1751">
        <v>4</v>
      </c>
      <c r="K1751">
        <v>1</v>
      </c>
      <c r="L1751">
        <v>61158</v>
      </c>
      <c r="M1751" t="str">
        <f t="shared" si="255"/>
        <v>13</v>
      </c>
      <c r="N1751" t="s">
        <v>3323</v>
      </c>
      <c r="O1751" t="str">
        <f t="shared" si="258"/>
        <v>56311</v>
      </c>
      <c r="P1751" t="str">
        <f>"2100L"</f>
        <v>2100L</v>
      </c>
      <c r="Q1751" t="str">
        <f t="shared" si="257"/>
        <v>0101</v>
      </c>
      <c r="R1751">
        <v>2100</v>
      </c>
      <c r="S1751" t="str">
        <f t="shared" si="259"/>
        <v>5630</v>
      </c>
      <c r="T1751" t="s">
        <v>3587</v>
      </c>
      <c r="U1751" t="s">
        <v>1623</v>
      </c>
    </row>
    <row r="1752" spans="1:21" ht="15" customHeight="1" x14ac:dyDescent="0.3">
      <c r="A1752" t="s">
        <v>179</v>
      </c>
      <c r="B1752" t="str">
        <f>"00072743"</f>
        <v>00072743</v>
      </c>
      <c r="C1752" t="s">
        <v>4262</v>
      </c>
      <c r="D1752" t="s">
        <v>1632</v>
      </c>
      <c r="E1752" t="str">
        <f>"00046397"</f>
        <v>00046397</v>
      </c>
      <c r="F1752">
        <v>0</v>
      </c>
      <c r="G1752" s="243">
        <v>36034</v>
      </c>
      <c r="H1752" t="s">
        <v>182</v>
      </c>
      <c r="I1752">
        <v>15</v>
      </c>
      <c r="J1752">
        <v>14</v>
      </c>
      <c r="K1752">
        <v>1</v>
      </c>
      <c r="L1752">
        <v>102160</v>
      </c>
      <c r="M1752" t="str">
        <f t="shared" si="255"/>
        <v>13</v>
      </c>
      <c r="N1752" t="s">
        <v>3323</v>
      </c>
      <c r="O1752" t="str">
        <f t="shared" si="258"/>
        <v>56311</v>
      </c>
      <c r="P1752" t="str">
        <f t="shared" ref="P1752:P1758" si="260">"2100L"</f>
        <v>2100L</v>
      </c>
      <c r="Q1752" t="str">
        <f t="shared" si="257"/>
        <v>0101</v>
      </c>
      <c r="R1752">
        <v>2100</v>
      </c>
      <c r="S1752" t="str">
        <f t="shared" si="259"/>
        <v>5630</v>
      </c>
      <c r="T1752" t="s">
        <v>3587</v>
      </c>
      <c r="U1752" t="s">
        <v>1623</v>
      </c>
    </row>
    <row r="1753" spans="1:21" ht="15" customHeight="1" x14ac:dyDescent="0.3">
      <c r="A1753" t="s">
        <v>179</v>
      </c>
      <c r="B1753" t="str">
        <f>"00073785"</f>
        <v>00073785</v>
      </c>
      <c r="C1753" t="s">
        <v>4256</v>
      </c>
      <c r="H1753" t="s">
        <v>170</v>
      </c>
      <c r="I1753">
        <v>15</v>
      </c>
      <c r="J1753">
        <v>1</v>
      </c>
      <c r="K1753">
        <v>0.5</v>
      </c>
      <c r="L1753">
        <v>54975</v>
      </c>
      <c r="M1753" t="str">
        <f t="shared" si="255"/>
        <v>13</v>
      </c>
      <c r="N1753" t="s">
        <v>3323</v>
      </c>
      <c r="O1753" t="str">
        <f t="shared" si="258"/>
        <v>56311</v>
      </c>
      <c r="P1753" t="str">
        <f t="shared" si="260"/>
        <v>2100L</v>
      </c>
      <c r="Q1753" t="str">
        <f t="shared" si="257"/>
        <v>0101</v>
      </c>
      <c r="R1753">
        <v>2100</v>
      </c>
      <c r="S1753" t="str">
        <f t="shared" si="259"/>
        <v>5630</v>
      </c>
      <c r="T1753" t="s">
        <v>3587</v>
      </c>
      <c r="U1753" t="s">
        <v>1623</v>
      </c>
    </row>
    <row r="1754" spans="1:21" ht="15" customHeight="1" x14ac:dyDescent="0.3">
      <c r="A1754" t="s">
        <v>179</v>
      </c>
      <c r="B1754" t="str">
        <f>"00073962"</f>
        <v>00073962</v>
      </c>
      <c r="C1754" t="s">
        <v>200</v>
      </c>
      <c r="D1754" t="s">
        <v>4832</v>
      </c>
      <c r="E1754" t="str">
        <f>"00069801"</f>
        <v>00069801</v>
      </c>
      <c r="F1754">
        <v>0</v>
      </c>
      <c r="G1754" s="243">
        <v>41152</v>
      </c>
      <c r="H1754" t="s">
        <v>182</v>
      </c>
      <c r="I1754">
        <v>15</v>
      </c>
      <c r="J1754">
        <v>4</v>
      </c>
      <c r="K1754">
        <v>1</v>
      </c>
      <c r="L1754">
        <v>61158</v>
      </c>
      <c r="M1754" t="str">
        <f t="shared" si="255"/>
        <v>13</v>
      </c>
      <c r="N1754" t="s">
        <v>3370</v>
      </c>
      <c r="O1754" t="str">
        <f t="shared" si="258"/>
        <v>56311</v>
      </c>
      <c r="P1754" t="str">
        <f t="shared" si="260"/>
        <v>2100L</v>
      </c>
      <c r="Q1754" t="str">
        <f t="shared" si="257"/>
        <v>0101</v>
      </c>
      <c r="R1754">
        <v>2100</v>
      </c>
      <c r="S1754" t="str">
        <f t="shared" si="259"/>
        <v>5630</v>
      </c>
      <c r="T1754" t="s">
        <v>3587</v>
      </c>
      <c r="U1754" t="s">
        <v>1623</v>
      </c>
    </row>
    <row r="1755" spans="1:21" ht="15" customHeight="1" x14ac:dyDescent="0.3">
      <c r="A1755" t="s">
        <v>179</v>
      </c>
      <c r="B1755" t="str">
        <f>"00074235"</f>
        <v>00074235</v>
      </c>
      <c r="C1755" t="s">
        <v>4274</v>
      </c>
      <c r="D1755" t="s">
        <v>4833</v>
      </c>
      <c r="E1755" t="str">
        <f>"00066190"</f>
        <v>00066190</v>
      </c>
      <c r="F1755">
        <v>0</v>
      </c>
      <c r="G1755" s="243">
        <v>40770</v>
      </c>
      <c r="H1755" t="s">
        <v>182</v>
      </c>
      <c r="I1755">
        <v>4</v>
      </c>
      <c r="J1755">
        <v>4</v>
      </c>
      <c r="K1755">
        <v>0.71</v>
      </c>
      <c r="L1755">
        <v>24543.75</v>
      </c>
      <c r="M1755" t="str">
        <f t="shared" si="255"/>
        <v>13</v>
      </c>
      <c r="N1755" t="s">
        <v>3323</v>
      </c>
      <c r="O1755" t="str">
        <f t="shared" si="258"/>
        <v>56311</v>
      </c>
      <c r="P1755" t="str">
        <f t="shared" si="260"/>
        <v>2100L</v>
      </c>
      <c r="Q1755" t="str">
        <f t="shared" si="257"/>
        <v>0101</v>
      </c>
      <c r="R1755">
        <v>2100</v>
      </c>
      <c r="S1755" t="str">
        <f t="shared" si="259"/>
        <v>5630</v>
      </c>
      <c r="T1755" t="s">
        <v>3587</v>
      </c>
      <c r="U1755" t="s">
        <v>1623</v>
      </c>
    </row>
    <row r="1756" spans="1:21" ht="15" customHeight="1" x14ac:dyDescent="0.3">
      <c r="A1756" t="s">
        <v>179</v>
      </c>
      <c r="B1756" t="str">
        <f>"00076213"</f>
        <v>00076213</v>
      </c>
      <c r="C1756" t="s">
        <v>4271</v>
      </c>
      <c r="H1756" t="s">
        <v>170</v>
      </c>
      <c r="I1756">
        <v>15</v>
      </c>
      <c r="J1756">
        <v>0</v>
      </c>
      <c r="K1756">
        <v>0.5</v>
      </c>
      <c r="L1756">
        <v>51539</v>
      </c>
      <c r="M1756" t="str">
        <f t="shared" si="255"/>
        <v>13</v>
      </c>
      <c r="N1756" t="s">
        <v>3370</v>
      </c>
      <c r="O1756" t="str">
        <f t="shared" si="258"/>
        <v>56311</v>
      </c>
      <c r="P1756" t="str">
        <f t="shared" si="260"/>
        <v>2100L</v>
      </c>
      <c r="Q1756" t="str">
        <f t="shared" si="257"/>
        <v>0101</v>
      </c>
      <c r="R1756">
        <v>2100</v>
      </c>
      <c r="S1756" t="str">
        <f t="shared" si="259"/>
        <v>5630</v>
      </c>
      <c r="T1756" t="s">
        <v>3587</v>
      </c>
      <c r="U1756" t="s">
        <v>1623</v>
      </c>
    </row>
    <row r="1757" spans="1:21" ht="15" customHeight="1" x14ac:dyDescent="0.3">
      <c r="A1757" t="s">
        <v>179</v>
      </c>
      <c r="B1757" t="str">
        <f>"00076214"</f>
        <v>00076214</v>
      </c>
      <c r="C1757" t="s">
        <v>4262</v>
      </c>
      <c r="D1757" t="s">
        <v>4834</v>
      </c>
      <c r="E1757" t="str">
        <f>"00069795"</f>
        <v>00069795</v>
      </c>
      <c r="F1757">
        <v>0</v>
      </c>
      <c r="G1757" s="243">
        <v>41133</v>
      </c>
      <c r="H1757" t="s">
        <v>182</v>
      </c>
      <c r="I1757">
        <v>15</v>
      </c>
      <c r="J1757">
        <v>9</v>
      </c>
      <c r="K1757">
        <v>1</v>
      </c>
      <c r="L1757">
        <v>75232</v>
      </c>
      <c r="M1757" t="str">
        <f t="shared" si="255"/>
        <v>13</v>
      </c>
      <c r="N1757" t="s">
        <v>3370</v>
      </c>
      <c r="O1757" t="str">
        <f t="shared" si="258"/>
        <v>56311</v>
      </c>
      <c r="P1757" t="str">
        <f t="shared" si="260"/>
        <v>2100L</v>
      </c>
      <c r="Q1757" t="str">
        <f t="shared" si="257"/>
        <v>0101</v>
      </c>
      <c r="R1757">
        <v>2100</v>
      </c>
      <c r="S1757" t="str">
        <f t="shared" si="259"/>
        <v>5630</v>
      </c>
      <c r="T1757" t="s">
        <v>3587</v>
      </c>
      <c r="U1757" t="s">
        <v>1623</v>
      </c>
    </row>
    <row r="1758" spans="1:21" ht="15" customHeight="1" x14ac:dyDescent="0.3">
      <c r="A1758" t="s">
        <v>179</v>
      </c>
      <c r="B1758" t="str">
        <f>"00076215"</f>
        <v>00076215</v>
      </c>
      <c r="C1758" t="s">
        <v>4270</v>
      </c>
      <c r="H1758" t="s">
        <v>170</v>
      </c>
      <c r="I1758">
        <v>15</v>
      </c>
      <c r="J1758">
        <v>0</v>
      </c>
      <c r="K1758">
        <v>0.5</v>
      </c>
      <c r="L1758">
        <v>51539</v>
      </c>
      <c r="M1758" t="str">
        <f t="shared" si="255"/>
        <v>13</v>
      </c>
      <c r="N1758" t="s">
        <v>3370</v>
      </c>
      <c r="O1758" t="str">
        <f t="shared" si="258"/>
        <v>56311</v>
      </c>
      <c r="P1758" t="str">
        <f t="shared" si="260"/>
        <v>2100L</v>
      </c>
      <c r="Q1758" t="str">
        <f t="shared" si="257"/>
        <v>0101</v>
      </c>
      <c r="R1758">
        <v>2100</v>
      </c>
      <c r="S1758" t="str">
        <f t="shared" si="259"/>
        <v>5630</v>
      </c>
      <c r="T1758" t="s">
        <v>3587</v>
      </c>
      <c r="U1758" t="s">
        <v>1623</v>
      </c>
    </row>
    <row r="1759" spans="1:21" ht="15" customHeight="1" x14ac:dyDescent="0.3">
      <c r="A1759" t="s">
        <v>179</v>
      </c>
      <c r="B1759" t="str">
        <f>"00076288"</f>
        <v>00076288</v>
      </c>
      <c r="C1759" t="s">
        <v>4306</v>
      </c>
      <c r="D1759" t="s">
        <v>4835</v>
      </c>
      <c r="E1759" t="str">
        <f>"00062824"</f>
        <v>00062824</v>
      </c>
      <c r="F1759">
        <v>0</v>
      </c>
      <c r="G1759" s="243">
        <v>40409</v>
      </c>
      <c r="H1759" t="s">
        <v>182</v>
      </c>
      <c r="I1759">
        <v>9</v>
      </c>
      <c r="J1759">
        <v>2</v>
      </c>
      <c r="K1759">
        <v>1</v>
      </c>
      <c r="L1759">
        <v>34226</v>
      </c>
      <c r="M1759" t="str">
        <f t="shared" si="255"/>
        <v>13</v>
      </c>
      <c r="N1759" t="s">
        <v>3323</v>
      </c>
      <c r="O1759" t="str">
        <f t="shared" si="258"/>
        <v>56311</v>
      </c>
      <c r="P1759" t="str">
        <f>"1502L"</f>
        <v>1502L</v>
      </c>
      <c r="Q1759" t="str">
        <f t="shared" si="257"/>
        <v>0101</v>
      </c>
      <c r="R1759">
        <v>1502</v>
      </c>
      <c r="S1759" t="str">
        <f t="shared" si="259"/>
        <v>5630</v>
      </c>
      <c r="T1759" t="s">
        <v>3587</v>
      </c>
      <c r="U1759" t="s">
        <v>1623</v>
      </c>
    </row>
    <row r="1760" spans="1:21" ht="15" customHeight="1" x14ac:dyDescent="0.3">
      <c r="A1760" t="s">
        <v>179</v>
      </c>
      <c r="B1760" t="str">
        <f>"00052189"</f>
        <v>00052189</v>
      </c>
      <c r="C1760" t="s">
        <v>4252</v>
      </c>
      <c r="H1760" t="s">
        <v>170</v>
      </c>
      <c r="I1760">
        <v>15</v>
      </c>
      <c r="J1760">
        <v>1</v>
      </c>
      <c r="K1760">
        <v>1</v>
      </c>
      <c r="L1760">
        <v>60128</v>
      </c>
      <c r="M1760" t="str">
        <f t="shared" si="255"/>
        <v>13</v>
      </c>
      <c r="N1760" t="s">
        <v>3323</v>
      </c>
      <c r="O1760" t="str">
        <f t="shared" ref="O1760:O1800" si="261">"56411"</f>
        <v>56411</v>
      </c>
      <c r="P1760" t="str">
        <f>"2100L"</f>
        <v>2100L</v>
      </c>
      <c r="Q1760" t="str">
        <f t="shared" si="257"/>
        <v>0101</v>
      </c>
      <c r="R1760">
        <v>2100</v>
      </c>
      <c r="S1760" t="str">
        <f t="shared" ref="S1760:S1800" si="262">"5640"</f>
        <v>5640</v>
      </c>
      <c r="T1760" t="s">
        <v>3589</v>
      </c>
      <c r="U1760" t="s">
        <v>48</v>
      </c>
    </row>
    <row r="1761" spans="1:21" ht="15" customHeight="1" x14ac:dyDescent="0.3">
      <c r="A1761" t="s">
        <v>179</v>
      </c>
      <c r="B1761" t="str">
        <f>"00052226"</f>
        <v>00052226</v>
      </c>
      <c r="C1761" t="s">
        <v>4262</v>
      </c>
      <c r="D1761" t="s">
        <v>1634</v>
      </c>
      <c r="E1761" t="str">
        <f>"00047694"</f>
        <v>00047694</v>
      </c>
      <c r="F1761">
        <v>0</v>
      </c>
      <c r="G1761" s="243">
        <v>33280</v>
      </c>
      <c r="H1761" t="s">
        <v>182</v>
      </c>
      <c r="I1761">
        <v>15</v>
      </c>
      <c r="J1761">
        <v>16</v>
      </c>
      <c r="K1761">
        <v>1</v>
      </c>
      <c r="L1761">
        <v>100839</v>
      </c>
      <c r="M1761" t="str">
        <f t="shared" si="255"/>
        <v>13</v>
      </c>
      <c r="N1761" t="s">
        <v>3323</v>
      </c>
      <c r="O1761" t="str">
        <f t="shared" si="261"/>
        <v>56411</v>
      </c>
      <c r="P1761" t="str">
        <f>"2100L"</f>
        <v>2100L</v>
      </c>
      <c r="Q1761" t="str">
        <f t="shared" si="257"/>
        <v>0101</v>
      </c>
      <c r="R1761">
        <v>2100</v>
      </c>
      <c r="S1761" t="str">
        <f t="shared" si="262"/>
        <v>5640</v>
      </c>
      <c r="T1761" t="s">
        <v>3589</v>
      </c>
      <c r="U1761" t="s">
        <v>48</v>
      </c>
    </row>
    <row r="1762" spans="1:21" ht="15" customHeight="1" x14ac:dyDescent="0.3">
      <c r="A1762" t="s">
        <v>179</v>
      </c>
      <c r="B1762" t="str">
        <f>"00052399"</f>
        <v>00052399</v>
      </c>
      <c r="C1762" t="s">
        <v>4272</v>
      </c>
      <c r="D1762" t="s">
        <v>1635</v>
      </c>
      <c r="E1762" t="str">
        <f>"00048173"</f>
        <v>00048173</v>
      </c>
      <c r="F1762">
        <v>0</v>
      </c>
      <c r="G1762" s="243">
        <v>31712</v>
      </c>
      <c r="H1762" t="s">
        <v>182</v>
      </c>
      <c r="I1762">
        <v>15</v>
      </c>
      <c r="J1762">
        <v>16</v>
      </c>
      <c r="K1762">
        <v>1</v>
      </c>
      <c r="L1762">
        <v>100839</v>
      </c>
      <c r="M1762" t="str">
        <f t="shared" si="255"/>
        <v>13</v>
      </c>
      <c r="N1762" t="s">
        <v>3323</v>
      </c>
      <c r="O1762" t="str">
        <f t="shared" si="261"/>
        <v>56411</v>
      </c>
      <c r="P1762" t="str">
        <f>"2100L"</f>
        <v>2100L</v>
      </c>
      <c r="Q1762" t="str">
        <f t="shared" si="257"/>
        <v>0101</v>
      </c>
      <c r="R1762">
        <v>2100</v>
      </c>
      <c r="S1762" t="str">
        <f t="shared" si="262"/>
        <v>5640</v>
      </c>
      <c r="T1762" t="s">
        <v>3589</v>
      </c>
      <c r="U1762" t="s">
        <v>48</v>
      </c>
    </row>
    <row r="1763" spans="1:21" ht="15" customHeight="1" x14ac:dyDescent="0.3">
      <c r="A1763" t="s">
        <v>179</v>
      </c>
      <c r="B1763" t="str">
        <f>"00052964"</f>
        <v>00052964</v>
      </c>
      <c r="C1763" t="s">
        <v>4272</v>
      </c>
      <c r="D1763" t="s">
        <v>1636</v>
      </c>
      <c r="E1763" t="str">
        <f>"00050448"</f>
        <v>00050448</v>
      </c>
      <c r="F1763">
        <v>0</v>
      </c>
      <c r="G1763" s="243">
        <v>34941</v>
      </c>
      <c r="H1763" t="s">
        <v>182</v>
      </c>
      <c r="I1763">
        <v>15</v>
      </c>
      <c r="J1763">
        <v>14</v>
      </c>
      <c r="K1763">
        <v>1</v>
      </c>
      <c r="L1763">
        <v>96460</v>
      </c>
      <c r="M1763" t="str">
        <f t="shared" si="255"/>
        <v>13</v>
      </c>
      <c r="N1763" t="s">
        <v>3323</v>
      </c>
      <c r="O1763" t="str">
        <f t="shared" si="261"/>
        <v>56411</v>
      </c>
      <c r="P1763" t="str">
        <f>"2200L"</f>
        <v>2200L</v>
      </c>
      <c r="Q1763" t="str">
        <f t="shared" si="257"/>
        <v>0101</v>
      </c>
      <c r="R1763">
        <v>2200</v>
      </c>
      <c r="S1763" t="str">
        <f t="shared" si="262"/>
        <v>5640</v>
      </c>
      <c r="T1763" t="s">
        <v>3589</v>
      </c>
      <c r="U1763" t="s">
        <v>48</v>
      </c>
    </row>
    <row r="1764" spans="1:21" ht="15" customHeight="1" x14ac:dyDescent="0.3">
      <c r="A1764" t="s">
        <v>179</v>
      </c>
      <c r="B1764" t="str">
        <f>"00053207"</f>
        <v>00053207</v>
      </c>
      <c r="C1764" t="s">
        <v>3798</v>
      </c>
      <c r="D1764" t="s">
        <v>1637</v>
      </c>
      <c r="E1764" t="str">
        <f>"00057407"</f>
        <v>00057407</v>
      </c>
      <c r="F1764">
        <v>0</v>
      </c>
      <c r="G1764" s="243">
        <v>40028</v>
      </c>
      <c r="H1764" t="s">
        <v>182</v>
      </c>
      <c r="I1764">
        <v>61</v>
      </c>
      <c r="J1764">
        <v>7</v>
      </c>
      <c r="K1764">
        <v>1</v>
      </c>
      <c r="L1764">
        <v>128000</v>
      </c>
      <c r="M1764" t="str">
        <f t="shared" si="255"/>
        <v>13</v>
      </c>
      <c r="N1764" t="s">
        <v>3323</v>
      </c>
      <c r="O1764" t="str">
        <f t="shared" si="261"/>
        <v>56411</v>
      </c>
      <c r="P1764" t="str">
        <f>"1501L"</f>
        <v>1501L</v>
      </c>
      <c r="Q1764" t="str">
        <f t="shared" si="257"/>
        <v>0101</v>
      </c>
      <c r="R1764">
        <v>1501</v>
      </c>
      <c r="S1764" t="str">
        <f t="shared" si="262"/>
        <v>5640</v>
      </c>
      <c r="T1764" t="s">
        <v>3589</v>
      </c>
      <c r="U1764" t="s">
        <v>48</v>
      </c>
    </row>
    <row r="1765" spans="1:21" ht="15" customHeight="1" x14ac:dyDescent="0.3">
      <c r="A1765" t="s">
        <v>179</v>
      </c>
      <c r="B1765" t="str">
        <f>"00053334"</f>
        <v>00053334</v>
      </c>
      <c r="C1765" t="s">
        <v>4272</v>
      </c>
      <c r="D1765" t="s">
        <v>1638</v>
      </c>
      <c r="E1765" t="str">
        <f>"00051320"</f>
        <v>00051320</v>
      </c>
      <c r="F1765">
        <v>0</v>
      </c>
      <c r="G1765" s="243">
        <v>31701</v>
      </c>
      <c r="H1765" t="s">
        <v>182</v>
      </c>
      <c r="I1765">
        <v>15</v>
      </c>
      <c r="J1765">
        <v>16</v>
      </c>
      <c r="K1765">
        <v>1</v>
      </c>
      <c r="L1765">
        <v>100839</v>
      </c>
      <c r="M1765" t="str">
        <f t="shared" si="255"/>
        <v>13</v>
      </c>
      <c r="N1765" t="s">
        <v>3323</v>
      </c>
      <c r="O1765" t="str">
        <f t="shared" si="261"/>
        <v>56411</v>
      </c>
      <c r="P1765" t="str">
        <f>"2200L"</f>
        <v>2200L</v>
      </c>
      <c r="Q1765" t="str">
        <f t="shared" si="257"/>
        <v>0101</v>
      </c>
      <c r="R1765">
        <v>2200</v>
      </c>
      <c r="S1765" t="str">
        <f t="shared" si="262"/>
        <v>5640</v>
      </c>
      <c r="T1765" t="s">
        <v>3589</v>
      </c>
      <c r="U1765" t="s">
        <v>48</v>
      </c>
    </row>
    <row r="1766" spans="1:21" ht="15" customHeight="1" x14ac:dyDescent="0.3">
      <c r="A1766" t="s">
        <v>179</v>
      </c>
      <c r="B1766" t="str">
        <f>"00054149"</f>
        <v>00054149</v>
      </c>
      <c r="C1766" t="s">
        <v>4272</v>
      </c>
      <c r="D1766" t="s">
        <v>1639</v>
      </c>
      <c r="E1766" t="str">
        <f>"00053123"</f>
        <v>00053123</v>
      </c>
      <c r="F1766">
        <v>0</v>
      </c>
      <c r="G1766" s="243">
        <v>33848</v>
      </c>
      <c r="H1766" t="s">
        <v>182</v>
      </c>
      <c r="I1766">
        <v>15</v>
      </c>
      <c r="J1766">
        <v>16</v>
      </c>
      <c r="K1766">
        <v>1</v>
      </c>
      <c r="L1766">
        <v>100839</v>
      </c>
      <c r="M1766" t="str">
        <f t="shared" si="255"/>
        <v>13</v>
      </c>
      <c r="N1766" t="s">
        <v>3323</v>
      </c>
      <c r="O1766" t="str">
        <f t="shared" si="261"/>
        <v>56411</v>
      </c>
      <c r="P1766" t="str">
        <f>"2100L"</f>
        <v>2100L</v>
      </c>
      <c r="Q1766" t="str">
        <f t="shared" si="257"/>
        <v>0101</v>
      </c>
      <c r="R1766">
        <v>2100</v>
      </c>
      <c r="S1766" t="str">
        <f t="shared" si="262"/>
        <v>5640</v>
      </c>
      <c r="T1766" t="s">
        <v>3589</v>
      </c>
      <c r="U1766" t="s">
        <v>48</v>
      </c>
    </row>
    <row r="1767" spans="1:21" ht="15" customHeight="1" x14ac:dyDescent="0.3">
      <c r="A1767" t="s">
        <v>179</v>
      </c>
      <c r="B1767" t="str">
        <f>"00054292"</f>
        <v>00054292</v>
      </c>
      <c r="C1767" t="s">
        <v>4272</v>
      </c>
      <c r="D1767" t="s">
        <v>1640</v>
      </c>
      <c r="E1767" t="str">
        <f>"00053477"</f>
        <v>00053477</v>
      </c>
      <c r="F1767">
        <v>0</v>
      </c>
      <c r="G1767" s="243">
        <v>36165</v>
      </c>
      <c r="H1767" t="s">
        <v>182</v>
      </c>
      <c r="I1767">
        <v>15</v>
      </c>
      <c r="J1767">
        <v>12</v>
      </c>
      <c r="K1767">
        <v>1</v>
      </c>
      <c r="L1767">
        <v>75816</v>
      </c>
      <c r="M1767" t="str">
        <f t="shared" si="255"/>
        <v>13</v>
      </c>
      <c r="N1767" t="s">
        <v>3323</v>
      </c>
      <c r="O1767" t="str">
        <f t="shared" si="261"/>
        <v>56411</v>
      </c>
      <c r="P1767" t="str">
        <f>"2200L"</f>
        <v>2200L</v>
      </c>
      <c r="Q1767" t="str">
        <f t="shared" si="257"/>
        <v>0101</v>
      </c>
      <c r="R1767">
        <v>2200</v>
      </c>
      <c r="S1767" t="str">
        <f t="shared" si="262"/>
        <v>5640</v>
      </c>
      <c r="T1767" t="s">
        <v>3589</v>
      </c>
      <c r="U1767" t="s">
        <v>48</v>
      </c>
    </row>
    <row r="1768" spans="1:21" ht="15" customHeight="1" x14ac:dyDescent="0.3">
      <c r="A1768" t="s">
        <v>179</v>
      </c>
      <c r="B1768" t="str">
        <f>"00054745"</f>
        <v>00054745</v>
      </c>
      <c r="C1768" t="s">
        <v>4262</v>
      </c>
      <c r="D1768" t="s">
        <v>1641</v>
      </c>
      <c r="E1768" t="str">
        <f>"00054535"</f>
        <v>00054535</v>
      </c>
      <c r="F1768">
        <v>0</v>
      </c>
      <c r="G1768" s="243">
        <v>33644</v>
      </c>
      <c r="H1768" t="s">
        <v>182</v>
      </c>
      <c r="I1768">
        <v>15</v>
      </c>
      <c r="J1768">
        <v>16</v>
      </c>
      <c r="K1768">
        <v>1</v>
      </c>
      <c r="L1768">
        <v>100839</v>
      </c>
      <c r="M1768" t="str">
        <f t="shared" si="255"/>
        <v>13</v>
      </c>
      <c r="N1768" t="s">
        <v>3323</v>
      </c>
      <c r="O1768" t="str">
        <f t="shared" si="261"/>
        <v>56411</v>
      </c>
      <c r="P1768" t="str">
        <f>"2100L"</f>
        <v>2100L</v>
      </c>
      <c r="Q1768" t="str">
        <f t="shared" si="257"/>
        <v>0101</v>
      </c>
      <c r="R1768">
        <v>2100</v>
      </c>
      <c r="S1768" t="str">
        <f t="shared" si="262"/>
        <v>5640</v>
      </c>
      <c r="T1768" t="s">
        <v>3589</v>
      </c>
      <c r="U1768" t="s">
        <v>48</v>
      </c>
    </row>
    <row r="1769" spans="1:21" ht="15" customHeight="1" x14ac:dyDescent="0.3">
      <c r="A1769" t="s">
        <v>179</v>
      </c>
      <c r="B1769" t="str">
        <f>"00055202"</f>
        <v>00055202</v>
      </c>
      <c r="C1769" t="s">
        <v>4272</v>
      </c>
      <c r="D1769" t="s">
        <v>1642</v>
      </c>
      <c r="E1769" t="str">
        <f>"00045510"</f>
        <v>00045510</v>
      </c>
      <c r="F1769">
        <v>0</v>
      </c>
      <c r="G1769" s="243">
        <v>40161</v>
      </c>
      <c r="H1769" t="s">
        <v>182</v>
      </c>
      <c r="I1769">
        <v>15</v>
      </c>
      <c r="J1769">
        <v>9</v>
      </c>
      <c r="K1769">
        <v>1</v>
      </c>
      <c r="L1769">
        <v>75232</v>
      </c>
      <c r="M1769" t="str">
        <f t="shared" si="255"/>
        <v>13</v>
      </c>
      <c r="N1769" t="s">
        <v>3323</v>
      </c>
      <c r="O1769" t="str">
        <f t="shared" si="261"/>
        <v>56411</v>
      </c>
      <c r="P1769" t="str">
        <f>"2200L"</f>
        <v>2200L</v>
      </c>
      <c r="Q1769" t="str">
        <f t="shared" si="257"/>
        <v>0101</v>
      </c>
      <c r="R1769">
        <v>2200</v>
      </c>
      <c r="S1769" t="str">
        <f t="shared" si="262"/>
        <v>5640</v>
      </c>
      <c r="T1769" t="s">
        <v>3589</v>
      </c>
      <c r="U1769" t="s">
        <v>48</v>
      </c>
    </row>
    <row r="1770" spans="1:21" ht="15" customHeight="1" x14ac:dyDescent="0.3">
      <c r="A1770" t="s">
        <v>179</v>
      </c>
      <c r="B1770" t="str">
        <f>"00055241"</f>
        <v>00055241</v>
      </c>
      <c r="C1770" t="s">
        <v>4292</v>
      </c>
      <c r="D1770" t="s">
        <v>4836</v>
      </c>
      <c r="E1770" t="str">
        <f>"00053165"</f>
        <v>00053165</v>
      </c>
      <c r="F1770">
        <v>0</v>
      </c>
      <c r="G1770" s="243">
        <v>36397</v>
      </c>
      <c r="H1770" t="s">
        <v>182</v>
      </c>
      <c r="I1770">
        <v>4</v>
      </c>
      <c r="J1770">
        <v>9</v>
      </c>
      <c r="K1770">
        <v>0.75</v>
      </c>
      <c r="L1770">
        <v>24021.75</v>
      </c>
      <c r="M1770" t="str">
        <f t="shared" si="255"/>
        <v>13</v>
      </c>
      <c r="N1770" t="s">
        <v>3323</v>
      </c>
      <c r="O1770" t="str">
        <f t="shared" si="261"/>
        <v>56411</v>
      </c>
      <c r="P1770" t="str">
        <f>"2200L"</f>
        <v>2200L</v>
      </c>
      <c r="Q1770" t="str">
        <f t="shared" si="257"/>
        <v>0101</v>
      </c>
      <c r="R1770">
        <v>2200</v>
      </c>
      <c r="S1770" t="str">
        <f t="shared" si="262"/>
        <v>5640</v>
      </c>
      <c r="T1770" t="s">
        <v>3589</v>
      </c>
      <c r="U1770" t="s">
        <v>48</v>
      </c>
    </row>
    <row r="1771" spans="1:21" ht="15" customHeight="1" x14ac:dyDescent="0.3">
      <c r="A1771" t="s">
        <v>179</v>
      </c>
      <c r="B1771" t="str">
        <f>"00056538"</f>
        <v>00056538</v>
      </c>
      <c r="C1771" t="s">
        <v>4262</v>
      </c>
      <c r="D1771" t="s">
        <v>2746</v>
      </c>
      <c r="E1771" t="str">
        <f>"00045710"</f>
        <v>00045710</v>
      </c>
      <c r="F1771">
        <v>0</v>
      </c>
      <c r="G1771" s="243">
        <v>36532</v>
      </c>
      <c r="H1771" t="s">
        <v>182</v>
      </c>
      <c r="I1771">
        <v>15</v>
      </c>
      <c r="J1771">
        <v>12</v>
      </c>
      <c r="K1771">
        <v>1</v>
      </c>
      <c r="L1771">
        <v>87431</v>
      </c>
      <c r="M1771" t="str">
        <f t="shared" si="255"/>
        <v>13</v>
      </c>
      <c r="N1771" t="s">
        <v>3323</v>
      </c>
      <c r="O1771" t="str">
        <f t="shared" si="261"/>
        <v>56411</v>
      </c>
      <c r="P1771" t="str">
        <f>"2100L"</f>
        <v>2100L</v>
      </c>
      <c r="Q1771" t="str">
        <f t="shared" si="257"/>
        <v>0101</v>
      </c>
      <c r="R1771">
        <v>2100</v>
      </c>
      <c r="S1771" t="str">
        <f t="shared" si="262"/>
        <v>5640</v>
      </c>
      <c r="T1771" t="s">
        <v>3589</v>
      </c>
      <c r="U1771" t="s">
        <v>48</v>
      </c>
    </row>
    <row r="1772" spans="1:21" ht="15" customHeight="1" x14ac:dyDescent="0.3">
      <c r="A1772" t="s">
        <v>179</v>
      </c>
      <c r="B1772" t="str">
        <f>"00057445"</f>
        <v>00057445</v>
      </c>
      <c r="C1772" t="s">
        <v>4262</v>
      </c>
      <c r="D1772" t="s">
        <v>3592</v>
      </c>
      <c r="E1772" t="str">
        <f>"00065588"</f>
        <v>00065588</v>
      </c>
      <c r="F1772">
        <v>0</v>
      </c>
      <c r="G1772" s="243">
        <v>40755</v>
      </c>
      <c r="H1772" t="s">
        <v>182</v>
      </c>
      <c r="I1772">
        <v>15</v>
      </c>
      <c r="J1772">
        <v>11</v>
      </c>
      <c r="K1772">
        <v>1</v>
      </c>
      <c r="L1772">
        <v>81335</v>
      </c>
      <c r="M1772" t="str">
        <f t="shared" si="255"/>
        <v>13</v>
      </c>
      <c r="N1772" t="s">
        <v>3323</v>
      </c>
      <c r="O1772" t="str">
        <f t="shared" si="261"/>
        <v>56411</v>
      </c>
      <c r="P1772" t="str">
        <f>"2100L"</f>
        <v>2100L</v>
      </c>
      <c r="Q1772" t="str">
        <f t="shared" si="257"/>
        <v>0101</v>
      </c>
      <c r="R1772">
        <v>2100</v>
      </c>
      <c r="S1772" t="str">
        <f t="shared" si="262"/>
        <v>5640</v>
      </c>
      <c r="T1772" t="s">
        <v>3589</v>
      </c>
      <c r="U1772" t="s">
        <v>48</v>
      </c>
    </row>
    <row r="1773" spans="1:21" ht="15" customHeight="1" x14ac:dyDescent="0.3">
      <c r="A1773" t="s">
        <v>179</v>
      </c>
      <c r="B1773" t="str">
        <f>"00058411"</f>
        <v>00058411</v>
      </c>
      <c r="C1773" t="s">
        <v>4292</v>
      </c>
      <c r="D1773" t="s">
        <v>4837</v>
      </c>
      <c r="E1773" t="str">
        <f>"00046045"</f>
        <v>00046045</v>
      </c>
      <c r="F1773">
        <v>0</v>
      </c>
      <c r="G1773" s="243">
        <v>37193</v>
      </c>
      <c r="H1773" t="s">
        <v>182</v>
      </c>
      <c r="I1773">
        <v>4</v>
      </c>
      <c r="J1773">
        <v>8</v>
      </c>
      <c r="K1773">
        <v>0.875</v>
      </c>
      <c r="L1773">
        <v>27329.75</v>
      </c>
      <c r="M1773" t="str">
        <f t="shared" si="255"/>
        <v>13</v>
      </c>
      <c r="N1773" t="s">
        <v>3323</v>
      </c>
      <c r="O1773" t="str">
        <f t="shared" si="261"/>
        <v>56411</v>
      </c>
      <c r="P1773" t="str">
        <f>"2200L"</f>
        <v>2200L</v>
      </c>
      <c r="Q1773" t="str">
        <f t="shared" si="257"/>
        <v>0101</v>
      </c>
      <c r="R1773">
        <v>2200</v>
      </c>
      <c r="S1773" t="str">
        <f t="shared" si="262"/>
        <v>5640</v>
      </c>
      <c r="T1773" t="s">
        <v>3589</v>
      </c>
      <c r="U1773" t="s">
        <v>48</v>
      </c>
    </row>
    <row r="1774" spans="1:21" ht="15" customHeight="1" x14ac:dyDescent="0.3">
      <c r="A1774" t="s">
        <v>179</v>
      </c>
      <c r="B1774" t="str">
        <f>"00059946"</f>
        <v>00059946</v>
      </c>
      <c r="C1774" t="s">
        <v>4262</v>
      </c>
      <c r="D1774" t="s">
        <v>1644</v>
      </c>
      <c r="E1774" t="str">
        <f>"00062571"</f>
        <v>00062571</v>
      </c>
      <c r="F1774">
        <v>0</v>
      </c>
      <c r="G1774" s="243">
        <v>40406</v>
      </c>
      <c r="H1774" t="s">
        <v>182</v>
      </c>
      <c r="I1774">
        <v>15</v>
      </c>
      <c r="J1774">
        <v>5</v>
      </c>
      <c r="K1774">
        <v>1</v>
      </c>
      <c r="L1774">
        <v>59087</v>
      </c>
      <c r="M1774" t="str">
        <f t="shared" si="255"/>
        <v>13</v>
      </c>
      <c r="N1774" t="s">
        <v>3323</v>
      </c>
      <c r="O1774" t="str">
        <f t="shared" si="261"/>
        <v>56411</v>
      </c>
      <c r="P1774" t="str">
        <f>"2100L"</f>
        <v>2100L</v>
      </c>
      <c r="Q1774" t="str">
        <f t="shared" si="257"/>
        <v>0101</v>
      </c>
      <c r="R1774">
        <v>2100</v>
      </c>
      <c r="S1774" t="str">
        <f t="shared" si="262"/>
        <v>5640</v>
      </c>
      <c r="T1774" t="s">
        <v>3589</v>
      </c>
      <c r="U1774" t="s">
        <v>48</v>
      </c>
    </row>
    <row r="1775" spans="1:21" ht="15" customHeight="1" x14ac:dyDescent="0.3">
      <c r="A1775" t="s">
        <v>179</v>
      </c>
      <c r="B1775" t="str">
        <f>"00060893"</f>
        <v>00060893</v>
      </c>
      <c r="C1775" t="s">
        <v>4262</v>
      </c>
      <c r="D1775" t="s">
        <v>4838</v>
      </c>
      <c r="E1775" t="str">
        <f>"00066233"</f>
        <v>00066233</v>
      </c>
      <c r="F1775">
        <v>0</v>
      </c>
      <c r="G1775" s="243">
        <v>40769</v>
      </c>
      <c r="H1775" t="s">
        <v>182</v>
      </c>
      <c r="I1775">
        <v>15</v>
      </c>
      <c r="J1775">
        <v>2</v>
      </c>
      <c r="K1775">
        <v>1</v>
      </c>
      <c r="L1775">
        <v>51716</v>
      </c>
      <c r="M1775" t="str">
        <f t="shared" si="255"/>
        <v>13</v>
      </c>
      <c r="N1775" t="s">
        <v>3323</v>
      </c>
      <c r="O1775" t="str">
        <f t="shared" si="261"/>
        <v>56411</v>
      </c>
      <c r="P1775" t="str">
        <f>"2100L"</f>
        <v>2100L</v>
      </c>
      <c r="Q1775" t="str">
        <f t="shared" si="257"/>
        <v>0101</v>
      </c>
      <c r="R1775">
        <v>2100</v>
      </c>
      <c r="S1775" t="str">
        <f t="shared" si="262"/>
        <v>5640</v>
      </c>
      <c r="T1775" t="s">
        <v>3589</v>
      </c>
      <c r="U1775" t="s">
        <v>48</v>
      </c>
    </row>
    <row r="1776" spans="1:21" ht="15" customHeight="1" x14ac:dyDescent="0.3">
      <c r="A1776" t="s">
        <v>179</v>
      </c>
      <c r="B1776" t="str">
        <f>"00060951"</f>
        <v>00060951</v>
      </c>
      <c r="C1776" t="s">
        <v>4262</v>
      </c>
      <c r="D1776" t="s">
        <v>4242</v>
      </c>
      <c r="E1776" t="str">
        <f>"00045907"</f>
        <v>00045907</v>
      </c>
      <c r="F1776">
        <v>0</v>
      </c>
      <c r="G1776" s="243">
        <v>39677</v>
      </c>
      <c r="H1776" t="s">
        <v>182</v>
      </c>
      <c r="I1776">
        <v>15</v>
      </c>
      <c r="J1776">
        <v>3</v>
      </c>
      <c r="K1776">
        <v>1</v>
      </c>
      <c r="L1776">
        <v>52777</v>
      </c>
      <c r="M1776" t="str">
        <f t="shared" si="255"/>
        <v>13</v>
      </c>
      <c r="N1776" t="s">
        <v>3323</v>
      </c>
      <c r="O1776" t="str">
        <f t="shared" si="261"/>
        <v>56411</v>
      </c>
      <c r="P1776" t="str">
        <f>"2100L"</f>
        <v>2100L</v>
      </c>
      <c r="Q1776" t="str">
        <f t="shared" si="257"/>
        <v>0101</v>
      </c>
      <c r="R1776">
        <v>2100</v>
      </c>
      <c r="S1776" t="str">
        <f t="shared" si="262"/>
        <v>5640</v>
      </c>
      <c r="T1776" t="s">
        <v>3589</v>
      </c>
      <c r="U1776" t="s">
        <v>48</v>
      </c>
    </row>
    <row r="1777" spans="1:21" ht="15" customHeight="1" x14ac:dyDescent="0.3">
      <c r="A1777" t="s">
        <v>179</v>
      </c>
      <c r="B1777" t="str">
        <f>"00061276"</f>
        <v>00061276</v>
      </c>
      <c r="C1777" t="s">
        <v>4256</v>
      </c>
      <c r="D1777" t="s">
        <v>1645</v>
      </c>
      <c r="E1777" t="str">
        <f>"00046540"</f>
        <v>00046540</v>
      </c>
      <c r="F1777">
        <v>0</v>
      </c>
      <c r="G1777" s="243">
        <v>39314</v>
      </c>
      <c r="H1777" t="s">
        <v>182</v>
      </c>
      <c r="I1777">
        <v>15</v>
      </c>
      <c r="J1777">
        <v>6</v>
      </c>
      <c r="K1777">
        <v>1</v>
      </c>
      <c r="L1777">
        <v>66078</v>
      </c>
      <c r="M1777" t="str">
        <f t="shared" ref="M1777:M1833" si="263">"13"</f>
        <v>13</v>
      </c>
      <c r="N1777" t="s">
        <v>3323</v>
      </c>
      <c r="O1777" t="str">
        <f t="shared" si="261"/>
        <v>56411</v>
      </c>
      <c r="P1777" t="str">
        <f>"2100L"</f>
        <v>2100L</v>
      </c>
      <c r="Q1777" t="str">
        <f t="shared" si="257"/>
        <v>0101</v>
      </c>
      <c r="R1777">
        <v>2100</v>
      </c>
      <c r="S1777" t="str">
        <f t="shared" si="262"/>
        <v>5640</v>
      </c>
      <c r="T1777" t="s">
        <v>3589</v>
      </c>
      <c r="U1777" t="s">
        <v>48</v>
      </c>
    </row>
    <row r="1778" spans="1:21" ht="15" customHeight="1" x14ac:dyDescent="0.3">
      <c r="A1778" t="s">
        <v>179</v>
      </c>
      <c r="B1778" t="str">
        <f>"00061905"</f>
        <v>00061905</v>
      </c>
      <c r="C1778" t="s">
        <v>4274</v>
      </c>
      <c r="D1778" t="s">
        <v>4839</v>
      </c>
      <c r="E1778" t="str">
        <f>"00053700"</f>
        <v>00053700</v>
      </c>
      <c r="F1778">
        <v>0</v>
      </c>
      <c r="G1778" s="243">
        <v>39677</v>
      </c>
      <c r="H1778" t="s">
        <v>182</v>
      </c>
      <c r="I1778">
        <v>4</v>
      </c>
      <c r="J1778">
        <v>7</v>
      </c>
      <c r="K1778">
        <v>0.875</v>
      </c>
      <c r="L1778">
        <v>26633.25</v>
      </c>
      <c r="M1778" t="str">
        <f t="shared" si="263"/>
        <v>13</v>
      </c>
      <c r="N1778" t="s">
        <v>3323</v>
      </c>
      <c r="O1778" t="str">
        <f t="shared" si="261"/>
        <v>56411</v>
      </c>
      <c r="P1778" t="str">
        <f>"2200L"</f>
        <v>2200L</v>
      </c>
      <c r="Q1778" t="str">
        <f t="shared" si="257"/>
        <v>0101</v>
      </c>
      <c r="R1778">
        <v>2200</v>
      </c>
      <c r="S1778" t="str">
        <f t="shared" si="262"/>
        <v>5640</v>
      </c>
      <c r="T1778" t="s">
        <v>3589</v>
      </c>
      <c r="U1778" t="s">
        <v>48</v>
      </c>
    </row>
    <row r="1779" spans="1:21" ht="15" customHeight="1" x14ac:dyDescent="0.3">
      <c r="A1779" t="s">
        <v>179</v>
      </c>
      <c r="B1779" t="str">
        <f>"00061907"</f>
        <v>00061907</v>
      </c>
      <c r="C1779" t="s">
        <v>4257</v>
      </c>
      <c r="H1779" t="s">
        <v>170</v>
      </c>
      <c r="I1779">
        <v>15</v>
      </c>
      <c r="J1779">
        <v>1</v>
      </c>
      <c r="K1779">
        <v>1</v>
      </c>
      <c r="L1779">
        <v>54975</v>
      </c>
      <c r="M1779" t="str">
        <f t="shared" si="263"/>
        <v>13</v>
      </c>
      <c r="N1779" t="s">
        <v>3323</v>
      </c>
      <c r="O1779" t="str">
        <f t="shared" si="261"/>
        <v>56411</v>
      </c>
      <c r="P1779" t="str">
        <f>"2100L"</f>
        <v>2100L</v>
      </c>
      <c r="Q1779" t="str">
        <f t="shared" si="257"/>
        <v>0101</v>
      </c>
      <c r="R1779">
        <v>2100</v>
      </c>
      <c r="S1779" t="str">
        <f t="shared" si="262"/>
        <v>5640</v>
      </c>
      <c r="T1779" t="s">
        <v>3589</v>
      </c>
      <c r="U1779" t="s">
        <v>48</v>
      </c>
    </row>
    <row r="1780" spans="1:21" ht="15" customHeight="1" x14ac:dyDescent="0.3">
      <c r="A1780" t="s">
        <v>179</v>
      </c>
      <c r="B1780" t="str">
        <f>"00061908"</f>
        <v>00061908</v>
      </c>
      <c r="C1780" t="s">
        <v>4274</v>
      </c>
      <c r="D1780" t="s">
        <v>4840</v>
      </c>
      <c r="E1780" t="str">
        <f>"00053459"</f>
        <v>00053459</v>
      </c>
      <c r="F1780">
        <v>0</v>
      </c>
      <c r="G1780" s="243">
        <v>39677</v>
      </c>
      <c r="H1780" t="s">
        <v>182</v>
      </c>
      <c r="I1780">
        <v>4</v>
      </c>
      <c r="J1780">
        <v>9</v>
      </c>
      <c r="K1780">
        <v>0.875</v>
      </c>
      <c r="L1780">
        <v>28025.38</v>
      </c>
      <c r="M1780" t="str">
        <f t="shared" si="263"/>
        <v>13</v>
      </c>
      <c r="N1780" t="s">
        <v>3323</v>
      </c>
      <c r="O1780" t="str">
        <f t="shared" si="261"/>
        <v>56411</v>
      </c>
      <c r="P1780" t="str">
        <f>"2200L"</f>
        <v>2200L</v>
      </c>
      <c r="Q1780" t="str">
        <f t="shared" si="257"/>
        <v>0101</v>
      </c>
      <c r="R1780">
        <v>2200</v>
      </c>
      <c r="S1780" t="str">
        <f t="shared" si="262"/>
        <v>5640</v>
      </c>
      <c r="T1780" t="s">
        <v>3589</v>
      </c>
      <c r="U1780" t="s">
        <v>48</v>
      </c>
    </row>
    <row r="1781" spans="1:21" ht="15" customHeight="1" x14ac:dyDescent="0.3">
      <c r="A1781" t="s">
        <v>179</v>
      </c>
      <c r="B1781" t="str">
        <f>"00062064"</f>
        <v>00062064</v>
      </c>
      <c r="C1781" t="s">
        <v>4274</v>
      </c>
      <c r="D1781" t="s">
        <v>4841</v>
      </c>
      <c r="E1781" t="str">
        <f>"00062837"</f>
        <v>00062837</v>
      </c>
      <c r="F1781">
        <v>0</v>
      </c>
      <c r="G1781" s="243">
        <v>40406</v>
      </c>
      <c r="H1781" t="s">
        <v>182</v>
      </c>
      <c r="I1781">
        <v>4</v>
      </c>
      <c r="J1781">
        <v>6</v>
      </c>
      <c r="K1781">
        <v>0.875</v>
      </c>
      <c r="L1781">
        <v>25935.88</v>
      </c>
      <c r="M1781" t="str">
        <f t="shared" si="263"/>
        <v>13</v>
      </c>
      <c r="N1781" t="s">
        <v>3323</v>
      </c>
      <c r="O1781" t="str">
        <f t="shared" si="261"/>
        <v>56411</v>
      </c>
      <c r="P1781" t="str">
        <f>"2200L"</f>
        <v>2200L</v>
      </c>
      <c r="Q1781" t="str">
        <f t="shared" si="257"/>
        <v>0101</v>
      </c>
      <c r="R1781">
        <v>2200</v>
      </c>
      <c r="S1781" t="str">
        <f t="shared" si="262"/>
        <v>5640</v>
      </c>
      <c r="T1781" t="s">
        <v>3589</v>
      </c>
      <c r="U1781" t="s">
        <v>48</v>
      </c>
    </row>
    <row r="1782" spans="1:21" ht="15" customHeight="1" x14ac:dyDescent="0.3">
      <c r="A1782" t="s">
        <v>179</v>
      </c>
      <c r="B1782" t="str">
        <f>"00062348"</f>
        <v>00062348</v>
      </c>
      <c r="C1782" t="s">
        <v>4274</v>
      </c>
      <c r="D1782" t="s">
        <v>4842</v>
      </c>
      <c r="E1782" t="str">
        <f>"00053841"</f>
        <v>00053841</v>
      </c>
      <c r="F1782">
        <v>0</v>
      </c>
      <c r="G1782" s="243">
        <v>39679</v>
      </c>
      <c r="H1782" t="s">
        <v>182</v>
      </c>
      <c r="I1782">
        <v>4</v>
      </c>
      <c r="J1782">
        <v>9</v>
      </c>
      <c r="K1782">
        <v>0.875</v>
      </c>
      <c r="L1782">
        <v>28025.38</v>
      </c>
      <c r="M1782" t="str">
        <f t="shared" si="263"/>
        <v>13</v>
      </c>
      <c r="N1782" t="s">
        <v>3323</v>
      </c>
      <c r="O1782" t="str">
        <f t="shared" si="261"/>
        <v>56411</v>
      </c>
      <c r="P1782" t="str">
        <f>"2200L"</f>
        <v>2200L</v>
      </c>
      <c r="Q1782" t="str">
        <f t="shared" si="257"/>
        <v>0101</v>
      </c>
      <c r="R1782">
        <v>2200</v>
      </c>
      <c r="S1782" t="str">
        <f t="shared" si="262"/>
        <v>5640</v>
      </c>
      <c r="T1782" t="s">
        <v>3589</v>
      </c>
      <c r="U1782" t="s">
        <v>48</v>
      </c>
    </row>
    <row r="1783" spans="1:21" ht="15" customHeight="1" x14ac:dyDescent="0.3">
      <c r="A1783" t="s">
        <v>179</v>
      </c>
      <c r="B1783" t="str">
        <f>"00062351"</f>
        <v>00062351</v>
      </c>
      <c r="C1783" t="s">
        <v>4262</v>
      </c>
      <c r="D1783" t="s">
        <v>1646</v>
      </c>
      <c r="E1783" t="str">
        <f>"00062860"</f>
        <v>00062860</v>
      </c>
      <c r="F1783">
        <v>0</v>
      </c>
      <c r="G1783" s="243">
        <v>40406</v>
      </c>
      <c r="H1783" t="s">
        <v>182</v>
      </c>
      <c r="I1783">
        <v>15</v>
      </c>
      <c r="J1783">
        <v>5</v>
      </c>
      <c r="K1783">
        <v>1</v>
      </c>
      <c r="L1783">
        <v>63611</v>
      </c>
      <c r="M1783" t="str">
        <f t="shared" si="263"/>
        <v>13</v>
      </c>
      <c r="N1783" t="s">
        <v>3323</v>
      </c>
      <c r="O1783" t="str">
        <f t="shared" si="261"/>
        <v>56411</v>
      </c>
      <c r="P1783" t="str">
        <f>"2100L"</f>
        <v>2100L</v>
      </c>
      <c r="Q1783" t="str">
        <f t="shared" si="257"/>
        <v>0101</v>
      </c>
      <c r="R1783">
        <v>2100</v>
      </c>
      <c r="S1783" t="str">
        <f t="shared" si="262"/>
        <v>5640</v>
      </c>
      <c r="T1783" t="s">
        <v>3589</v>
      </c>
      <c r="U1783" t="s">
        <v>48</v>
      </c>
    </row>
    <row r="1784" spans="1:21" ht="15" customHeight="1" x14ac:dyDescent="0.3">
      <c r="A1784" t="s">
        <v>179</v>
      </c>
      <c r="B1784" t="str">
        <f>"00065666"</f>
        <v>00065666</v>
      </c>
      <c r="C1784" t="s">
        <v>4274</v>
      </c>
      <c r="D1784" t="s">
        <v>4843</v>
      </c>
      <c r="E1784" t="str">
        <f>"00066908"</f>
        <v>00066908</v>
      </c>
      <c r="F1784">
        <v>0</v>
      </c>
      <c r="G1784" s="243">
        <v>40805</v>
      </c>
      <c r="H1784" t="s">
        <v>182</v>
      </c>
      <c r="I1784">
        <v>4</v>
      </c>
      <c r="J1784">
        <v>6</v>
      </c>
      <c r="K1784">
        <v>1</v>
      </c>
      <c r="L1784">
        <v>25935.88</v>
      </c>
      <c r="M1784" t="str">
        <f t="shared" si="263"/>
        <v>13</v>
      </c>
      <c r="N1784" t="s">
        <v>3323</v>
      </c>
      <c r="O1784" t="str">
        <f t="shared" si="261"/>
        <v>56411</v>
      </c>
      <c r="P1784" t="str">
        <f>"2200L"</f>
        <v>2200L</v>
      </c>
      <c r="Q1784" t="str">
        <f t="shared" ref="Q1784:Q1840" si="264">"0101"</f>
        <v>0101</v>
      </c>
      <c r="R1784">
        <v>2200</v>
      </c>
      <c r="S1784" t="str">
        <f t="shared" si="262"/>
        <v>5640</v>
      </c>
      <c r="T1784" t="s">
        <v>3589</v>
      </c>
      <c r="U1784" t="s">
        <v>48</v>
      </c>
    </row>
    <row r="1785" spans="1:21" ht="15" customHeight="1" x14ac:dyDescent="0.3">
      <c r="A1785" t="s">
        <v>179</v>
      </c>
      <c r="B1785" t="str">
        <f>"00065671"</f>
        <v>00065671</v>
      </c>
      <c r="C1785" t="s">
        <v>4288</v>
      </c>
      <c r="D1785" t="s">
        <v>4844</v>
      </c>
      <c r="E1785" t="str">
        <f>"00057145"</f>
        <v>00057145</v>
      </c>
      <c r="F1785">
        <v>0</v>
      </c>
      <c r="G1785" s="243">
        <v>40042</v>
      </c>
      <c r="H1785" t="s">
        <v>182</v>
      </c>
      <c r="I1785">
        <v>4</v>
      </c>
      <c r="J1785">
        <v>5</v>
      </c>
      <c r="K1785">
        <v>1</v>
      </c>
      <c r="L1785">
        <v>25239.37</v>
      </c>
      <c r="M1785" t="str">
        <f t="shared" si="263"/>
        <v>13</v>
      </c>
      <c r="N1785" t="s">
        <v>3323</v>
      </c>
      <c r="O1785" t="str">
        <f t="shared" si="261"/>
        <v>56411</v>
      </c>
      <c r="P1785" t="str">
        <f>"2200L"</f>
        <v>2200L</v>
      </c>
      <c r="Q1785" t="str">
        <f t="shared" si="264"/>
        <v>0101</v>
      </c>
      <c r="R1785">
        <v>2200</v>
      </c>
      <c r="S1785" t="str">
        <f t="shared" si="262"/>
        <v>5640</v>
      </c>
      <c r="T1785" t="s">
        <v>3589</v>
      </c>
      <c r="U1785" t="s">
        <v>48</v>
      </c>
    </row>
    <row r="1786" spans="1:21" ht="15" customHeight="1" x14ac:dyDescent="0.3">
      <c r="A1786" t="s">
        <v>179</v>
      </c>
      <c r="B1786" t="str">
        <f>"00066033"</f>
        <v>00066033</v>
      </c>
      <c r="C1786" t="s">
        <v>4262</v>
      </c>
      <c r="D1786" t="s">
        <v>1651</v>
      </c>
      <c r="E1786" t="str">
        <f>"00057987"</f>
        <v>00057987</v>
      </c>
      <c r="F1786">
        <v>0</v>
      </c>
      <c r="G1786" s="243">
        <v>40042</v>
      </c>
      <c r="H1786" t="s">
        <v>182</v>
      </c>
      <c r="I1786">
        <v>15</v>
      </c>
      <c r="J1786">
        <v>2</v>
      </c>
      <c r="K1786">
        <v>1</v>
      </c>
      <c r="L1786">
        <v>28121</v>
      </c>
      <c r="M1786" t="str">
        <f t="shared" si="263"/>
        <v>13</v>
      </c>
      <c r="N1786" t="s">
        <v>3323</v>
      </c>
      <c r="O1786" t="str">
        <f t="shared" si="261"/>
        <v>56411</v>
      </c>
      <c r="P1786" t="str">
        <f>"2100L"</f>
        <v>2100L</v>
      </c>
      <c r="Q1786" t="str">
        <f t="shared" si="264"/>
        <v>0101</v>
      </c>
      <c r="R1786">
        <v>2100</v>
      </c>
      <c r="S1786" t="str">
        <f t="shared" si="262"/>
        <v>5640</v>
      </c>
      <c r="T1786" t="s">
        <v>3589</v>
      </c>
      <c r="U1786" t="s">
        <v>48</v>
      </c>
    </row>
    <row r="1787" spans="1:21" ht="15" customHeight="1" x14ac:dyDescent="0.3">
      <c r="A1787" t="s">
        <v>179</v>
      </c>
      <c r="B1787" t="str">
        <f>"00066491"</f>
        <v>00066491</v>
      </c>
      <c r="C1787" t="s">
        <v>4260</v>
      </c>
      <c r="D1787" t="s">
        <v>2714</v>
      </c>
      <c r="E1787" t="str">
        <f>"00048229"</f>
        <v>00048229</v>
      </c>
      <c r="F1787">
        <v>0</v>
      </c>
      <c r="G1787" s="243">
        <v>39679</v>
      </c>
      <c r="H1787" t="s">
        <v>182</v>
      </c>
      <c r="I1787">
        <v>15</v>
      </c>
      <c r="J1787">
        <v>5</v>
      </c>
      <c r="K1787">
        <v>1</v>
      </c>
      <c r="L1787">
        <v>63611</v>
      </c>
      <c r="M1787" t="str">
        <f t="shared" si="263"/>
        <v>13</v>
      </c>
      <c r="N1787" t="s">
        <v>3323</v>
      </c>
      <c r="O1787" t="str">
        <f t="shared" si="261"/>
        <v>56411</v>
      </c>
      <c r="P1787" t="str">
        <f>"2100L"</f>
        <v>2100L</v>
      </c>
      <c r="Q1787" t="str">
        <f t="shared" si="264"/>
        <v>0101</v>
      </c>
      <c r="R1787">
        <v>2100</v>
      </c>
      <c r="S1787" t="str">
        <f t="shared" si="262"/>
        <v>5640</v>
      </c>
      <c r="T1787" t="s">
        <v>3589</v>
      </c>
      <c r="U1787" t="s">
        <v>48</v>
      </c>
    </row>
    <row r="1788" spans="1:21" ht="15" customHeight="1" x14ac:dyDescent="0.3">
      <c r="A1788" t="s">
        <v>179</v>
      </c>
      <c r="B1788" t="str">
        <f>"00066491"</f>
        <v>00066491</v>
      </c>
      <c r="C1788" t="s">
        <v>4260</v>
      </c>
      <c r="D1788" t="s">
        <v>1648</v>
      </c>
      <c r="E1788" t="str">
        <f>"00056954"</f>
        <v>00056954</v>
      </c>
      <c r="F1788">
        <v>0</v>
      </c>
      <c r="G1788" s="243">
        <v>40042</v>
      </c>
      <c r="H1788" t="s">
        <v>182</v>
      </c>
      <c r="I1788">
        <v>15</v>
      </c>
      <c r="J1788">
        <v>4</v>
      </c>
      <c r="K1788">
        <v>1</v>
      </c>
      <c r="L1788">
        <v>57147</v>
      </c>
      <c r="M1788" t="str">
        <f t="shared" si="263"/>
        <v>13</v>
      </c>
      <c r="N1788" t="s">
        <v>3323</v>
      </c>
      <c r="O1788" t="str">
        <f t="shared" si="261"/>
        <v>56411</v>
      </c>
      <c r="P1788" t="str">
        <f>"2100L"</f>
        <v>2100L</v>
      </c>
      <c r="Q1788" t="str">
        <f t="shared" si="264"/>
        <v>0101</v>
      </c>
      <c r="R1788">
        <v>2100</v>
      </c>
      <c r="S1788" t="str">
        <f t="shared" si="262"/>
        <v>5640</v>
      </c>
      <c r="T1788" t="s">
        <v>3589</v>
      </c>
      <c r="U1788" t="s">
        <v>48</v>
      </c>
    </row>
    <row r="1789" spans="1:21" ht="15" customHeight="1" x14ac:dyDescent="0.3">
      <c r="A1789" t="s">
        <v>179</v>
      </c>
      <c r="B1789" t="str">
        <f>"00067472"</f>
        <v>00067472</v>
      </c>
      <c r="C1789" t="s">
        <v>4262</v>
      </c>
      <c r="D1789" t="s">
        <v>1649</v>
      </c>
      <c r="E1789" t="str">
        <f>"00057100"</f>
        <v>00057100</v>
      </c>
      <c r="F1789">
        <v>0</v>
      </c>
      <c r="G1789" s="243">
        <v>40042</v>
      </c>
      <c r="H1789" t="s">
        <v>182</v>
      </c>
      <c r="I1789">
        <v>15</v>
      </c>
      <c r="J1789">
        <v>4</v>
      </c>
      <c r="K1789">
        <v>1</v>
      </c>
      <c r="L1789">
        <v>61158</v>
      </c>
      <c r="M1789" t="str">
        <f t="shared" si="263"/>
        <v>13</v>
      </c>
      <c r="N1789" t="s">
        <v>3323</v>
      </c>
      <c r="O1789" t="str">
        <f t="shared" si="261"/>
        <v>56411</v>
      </c>
      <c r="P1789" t="str">
        <f>"2200L"</f>
        <v>2200L</v>
      </c>
      <c r="Q1789" t="str">
        <f t="shared" si="264"/>
        <v>0101</v>
      </c>
      <c r="R1789">
        <v>2200</v>
      </c>
      <c r="S1789" t="str">
        <f t="shared" si="262"/>
        <v>5640</v>
      </c>
      <c r="T1789" t="s">
        <v>3589</v>
      </c>
      <c r="U1789" t="s">
        <v>48</v>
      </c>
    </row>
    <row r="1790" spans="1:21" ht="15" customHeight="1" x14ac:dyDescent="0.3">
      <c r="A1790" t="s">
        <v>179</v>
      </c>
      <c r="B1790" t="str">
        <f>"00067901"</f>
        <v>00067901</v>
      </c>
      <c r="C1790" t="s">
        <v>4272</v>
      </c>
      <c r="D1790" t="s">
        <v>1650</v>
      </c>
      <c r="E1790" t="str">
        <f>"00057742"</f>
        <v>00057742</v>
      </c>
      <c r="F1790">
        <v>0</v>
      </c>
      <c r="G1790" s="243">
        <v>40042</v>
      </c>
      <c r="H1790" t="s">
        <v>182</v>
      </c>
      <c r="I1790">
        <v>15</v>
      </c>
      <c r="J1790">
        <v>7</v>
      </c>
      <c r="K1790">
        <v>1</v>
      </c>
      <c r="L1790">
        <v>69132</v>
      </c>
      <c r="M1790" t="str">
        <f t="shared" si="263"/>
        <v>13</v>
      </c>
      <c r="N1790" t="s">
        <v>3323</v>
      </c>
      <c r="O1790" t="str">
        <f t="shared" si="261"/>
        <v>56411</v>
      </c>
      <c r="P1790" t="str">
        <f>"2100L"</f>
        <v>2100L</v>
      </c>
      <c r="Q1790" t="str">
        <f t="shared" si="264"/>
        <v>0101</v>
      </c>
      <c r="R1790">
        <v>2100</v>
      </c>
      <c r="S1790" t="str">
        <f t="shared" si="262"/>
        <v>5640</v>
      </c>
      <c r="T1790" t="s">
        <v>3589</v>
      </c>
      <c r="U1790" t="s">
        <v>48</v>
      </c>
    </row>
    <row r="1791" spans="1:21" ht="15" customHeight="1" x14ac:dyDescent="0.3">
      <c r="A1791" t="s">
        <v>179</v>
      </c>
      <c r="B1791" t="str">
        <f>"00068147"</f>
        <v>00068147</v>
      </c>
      <c r="C1791" t="s">
        <v>4274</v>
      </c>
      <c r="D1791" t="s">
        <v>4845</v>
      </c>
      <c r="E1791" t="str">
        <f>"00046390"</f>
        <v>00046390</v>
      </c>
      <c r="F1791">
        <v>0</v>
      </c>
      <c r="G1791" s="243">
        <v>38817</v>
      </c>
      <c r="H1791" t="s">
        <v>182</v>
      </c>
      <c r="I1791">
        <v>4</v>
      </c>
      <c r="J1791">
        <v>10</v>
      </c>
      <c r="K1791">
        <v>0.71</v>
      </c>
      <c r="L1791">
        <v>28721</v>
      </c>
      <c r="M1791" t="str">
        <f t="shared" si="263"/>
        <v>13</v>
      </c>
      <c r="N1791" t="s">
        <v>3323</v>
      </c>
      <c r="O1791" t="str">
        <f t="shared" si="261"/>
        <v>56411</v>
      </c>
      <c r="P1791" t="str">
        <f>"2200L"</f>
        <v>2200L</v>
      </c>
      <c r="Q1791" t="str">
        <f t="shared" si="264"/>
        <v>0101</v>
      </c>
      <c r="R1791">
        <v>2200</v>
      </c>
      <c r="S1791" t="str">
        <f t="shared" si="262"/>
        <v>5640</v>
      </c>
      <c r="T1791" t="s">
        <v>3589</v>
      </c>
      <c r="U1791" t="s">
        <v>48</v>
      </c>
    </row>
    <row r="1792" spans="1:21" ht="15" customHeight="1" x14ac:dyDescent="0.3">
      <c r="A1792" t="s">
        <v>179</v>
      </c>
      <c r="B1792" t="str">
        <f>"00068271"</f>
        <v>00068271</v>
      </c>
      <c r="C1792" t="s">
        <v>4258</v>
      </c>
      <c r="D1792" t="s">
        <v>3590</v>
      </c>
      <c r="E1792" t="str">
        <f>"00065566"</f>
        <v>00065566</v>
      </c>
      <c r="F1792">
        <v>0</v>
      </c>
      <c r="G1792" s="243">
        <v>40756</v>
      </c>
      <c r="H1792" t="s">
        <v>182</v>
      </c>
      <c r="I1792">
        <v>15</v>
      </c>
      <c r="J1792">
        <v>2</v>
      </c>
      <c r="K1792">
        <v>1</v>
      </c>
      <c r="L1792">
        <v>56242</v>
      </c>
      <c r="M1792" t="str">
        <f t="shared" si="263"/>
        <v>13</v>
      </c>
      <c r="N1792" t="s">
        <v>3323</v>
      </c>
      <c r="O1792" t="str">
        <f t="shared" si="261"/>
        <v>56411</v>
      </c>
      <c r="P1792" t="str">
        <f t="shared" ref="P1792:P1797" si="265">"2100L"</f>
        <v>2100L</v>
      </c>
      <c r="Q1792" t="str">
        <f t="shared" si="264"/>
        <v>0101</v>
      </c>
      <c r="R1792">
        <v>2100</v>
      </c>
      <c r="S1792" t="str">
        <f t="shared" si="262"/>
        <v>5640</v>
      </c>
      <c r="T1792" t="s">
        <v>3589</v>
      </c>
      <c r="U1792" t="s">
        <v>48</v>
      </c>
    </row>
    <row r="1793" spans="1:21" ht="15" customHeight="1" x14ac:dyDescent="0.3">
      <c r="A1793" t="s">
        <v>179</v>
      </c>
      <c r="B1793" t="str">
        <f>"00071585"</f>
        <v>00071585</v>
      </c>
      <c r="C1793" t="s">
        <v>4260</v>
      </c>
      <c r="D1793" t="s">
        <v>3591</v>
      </c>
      <c r="E1793" t="str">
        <f>"00066243"</f>
        <v>00066243</v>
      </c>
      <c r="F1793">
        <v>0</v>
      </c>
      <c r="G1793" s="243">
        <v>40755</v>
      </c>
      <c r="H1793" t="s">
        <v>182</v>
      </c>
      <c r="I1793">
        <v>15</v>
      </c>
      <c r="J1793">
        <v>2</v>
      </c>
      <c r="K1793">
        <v>1</v>
      </c>
      <c r="L1793">
        <v>51716</v>
      </c>
      <c r="M1793" t="str">
        <f t="shared" si="263"/>
        <v>13</v>
      </c>
      <c r="N1793" t="s">
        <v>3323</v>
      </c>
      <c r="O1793" t="str">
        <f t="shared" si="261"/>
        <v>56411</v>
      </c>
      <c r="P1793" t="str">
        <f t="shared" si="265"/>
        <v>2100L</v>
      </c>
      <c r="Q1793" t="str">
        <f t="shared" si="264"/>
        <v>0101</v>
      </c>
      <c r="R1793">
        <v>2100</v>
      </c>
      <c r="S1793" t="str">
        <f t="shared" si="262"/>
        <v>5640</v>
      </c>
      <c r="T1793" t="s">
        <v>3589</v>
      </c>
      <c r="U1793" t="s">
        <v>48</v>
      </c>
    </row>
    <row r="1794" spans="1:21" ht="15" customHeight="1" x14ac:dyDescent="0.3">
      <c r="A1794" t="s">
        <v>179</v>
      </c>
      <c r="B1794" t="str">
        <f>"00072336"</f>
        <v>00072336</v>
      </c>
      <c r="C1794" t="s">
        <v>4272</v>
      </c>
      <c r="D1794" t="s">
        <v>466</v>
      </c>
      <c r="E1794" t="str">
        <f>"00044582"</f>
        <v>00044582</v>
      </c>
      <c r="F1794">
        <v>0</v>
      </c>
      <c r="G1794" s="243">
        <v>37165</v>
      </c>
      <c r="H1794" t="s">
        <v>182</v>
      </c>
      <c r="I1794">
        <v>15</v>
      </c>
      <c r="J1794">
        <v>12</v>
      </c>
      <c r="K1794">
        <v>1</v>
      </c>
      <c r="L1794">
        <v>87431</v>
      </c>
      <c r="M1794" t="str">
        <f t="shared" si="263"/>
        <v>13</v>
      </c>
      <c r="N1794" t="s">
        <v>3323</v>
      </c>
      <c r="O1794" t="str">
        <f t="shared" si="261"/>
        <v>56411</v>
      </c>
      <c r="P1794" t="str">
        <f t="shared" si="265"/>
        <v>2100L</v>
      </c>
      <c r="Q1794" t="str">
        <f t="shared" si="264"/>
        <v>0101</v>
      </c>
      <c r="R1794">
        <v>2100</v>
      </c>
      <c r="S1794" t="str">
        <f t="shared" si="262"/>
        <v>5640</v>
      </c>
      <c r="T1794" t="s">
        <v>3589</v>
      </c>
      <c r="U1794" t="s">
        <v>48</v>
      </c>
    </row>
    <row r="1795" spans="1:21" ht="15" customHeight="1" x14ac:dyDescent="0.3">
      <c r="A1795" t="s">
        <v>179</v>
      </c>
      <c r="B1795" t="str">
        <f>"00072648"</f>
        <v>00072648</v>
      </c>
      <c r="C1795" t="s">
        <v>4499</v>
      </c>
      <c r="H1795" t="s">
        <v>170</v>
      </c>
      <c r="I1795">
        <v>10</v>
      </c>
      <c r="J1795">
        <v>1</v>
      </c>
      <c r="K1795">
        <v>0.5</v>
      </c>
      <c r="L1795">
        <v>62794</v>
      </c>
      <c r="M1795" t="str">
        <f t="shared" si="263"/>
        <v>13</v>
      </c>
      <c r="N1795" t="s">
        <v>3323</v>
      </c>
      <c r="O1795" t="str">
        <f t="shared" si="261"/>
        <v>56411</v>
      </c>
      <c r="P1795" t="str">
        <f t="shared" si="265"/>
        <v>2100L</v>
      </c>
      <c r="Q1795" t="str">
        <f t="shared" si="264"/>
        <v>0101</v>
      </c>
      <c r="R1795">
        <v>2100</v>
      </c>
      <c r="S1795" t="str">
        <f t="shared" si="262"/>
        <v>5640</v>
      </c>
      <c r="T1795" t="s">
        <v>3589</v>
      </c>
      <c r="U1795" t="s">
        <v>48</v>
      </c>
    </row>
    <row r="1796" spans="1:21" ht="15" customHeight="1" x14ac:dyDescent="0.3">
      <c r="A1796" t="s">
        <v>179</v>
      </c>
      <c r="B1796" t="str">
        <f>"00073753"</f>
        <v>00073753</v>
      </c>
      <c r="C1796" t="s">
        <v>4265</v>
      </c>
      <c r="D1796" t="s">
        <v>3504</v>
      </c>
      <c r="E1796" t="str">
        <f>"00047566"</f>
        <v>00047566</v>
      </c>
      <c r="F1796">
        <v>0</v>
      </c>
      <c r="G1796" s="243">
        <v>38825</v>
      </c>
      <c r="H1796" t="s">
        <v>182</v>
      </c>
      <c r="I1796">
        <v>15</v>
      </c>
      <c r="J1796">
        <v>13</v>
      </c>
      <c r="K1796">
        <v>0.5</v>
      </c>
      <c r="L1796">
        <v>95366</v>
      </c>
      <c r="M1796" t="str">
        <f t="shared" si="263"/>
        <v>13</v>
      </c>
      <c r="N1796" t="s">
        <v>3323</v>
      </c>
      <c r="O1796" t="str">
        <f t="shared" si="261"/>
        <v>56411</v>
      </c>
      <c r="P1796" t="str">
        <f t="shared" si="265"/>
        <v>2100L</v>
      </c>
      <c r="Q1796" t="str">
        <f t="shared" si="264"/>
        <v>0101</v>
      </c>
      <c r="R1796">
        <v>2100</v>
      </c>
      <c r="S1796" t="str">
        <f t="shared" si="262"/>
        <v>5640</v>
      </c>
      <c r="T1796" t="s">
        <v>3503</v>
      </c>
      <c r="U1796" t="s">
        <v>37</v>
      </c>
    </row>
    <row r="1797" spans="1:21" ht="15" customHeight="1" x14ac:dyDescent="0.3">
      <c r="A1797" t="s">
        <v>179</v>
      </c>
      <c r="B1797" t="str">
        <f>"00073894"</f>
        <v>00073894</v>
      </c>
      <c r="C1797" t="s">
        <v>4254</v>
      </c>
      <c r="D1797" t="s">
        <v>1633</v>
      </c>
      <c r="E1797" t="str">
        <f>"00063017"</f>
        <v>00063017</v>
      </c>
      <c r="F1797">
        <v>0</v>
      </c>
      <c r="G1797" s="243">
        <v>40406</v>
      </c>
      <c r="H1797" t="s">
        <v>182</v>
      </c>
      <c r="I1797">
        <v>15</v>
      </c>
      <c r="J1797">
        <v>3</v>
      </c>
      <c r="K1797">
        <v>1</v>
      </c>
      <c r="L1797">
        <v>58699</v>
      </c>
      <c r="M1797" t="str">
        <f t="shared" si="263"/>
        <v>13</v>
      </c>
      <c r="N1797" t="s">
        <v>3323</v>
      </c>
      <c r="O1797" t="str">
        <f t="shared" si="261"/>
        <v>56411</v>
      </c>
      <c r="P1797" t="str">
        <f t="shared" si="265"/>
        <v>2100L</v>
      </c>
      <c r="Q1797" t="str">
        <f t="shared" si="264"/>
        <v>0101</v>
      </c>
      <c r="R1797">
        <v>2100</v>
      </c>
      <c r="S1797" t="str">
        <f t="shared" si="262"/>
        <v>5640</v>
      </c>
      <c r="T1797" t="s">
        <v>3589</v>
      </c>
      <c r="U1797" t="s">
        <v>48</v>
      </c>
    </row>
    <row r="1798" spans="1:21" ht="15" customHeight="1" x14ac:dyDescent="0.3">
      <c r="A1798" t="s">
        <v>179</v>
      </c>
      <c r="B1798" t="str">
        <f>"00074239"</f>
        <v>00074239</v>
      </c>
      <c r="C1798" t="s">
        <v>4257</v>
      </c>
      <c r="D1798" t="s">
        <v>2059</v>
      </c>
      <c r="E1798" t="str">
        <f>"00063060"</f>
        <v>00063060</v>
      </c>
      <c r="F1798">
        <v>0</v>
      </c>
      <c r="G1798" s="243">
        <v>40406</v>
      </c>
      <c r="H1798" t="s">
        <v>182</v>
      </c>
      <c r="I1798">
        <v>15</v>
      </c>
      <c r="J1798">
        <v>3</v>
      </c>
      <c r="K1798">
        <v>1</v>
      </c>
      <c r="L1798">
        <v>58699</v>
      </c>
      <c r="M1798" t="str">
        <f t="shared" si="263"/>
        <v>13</v>
      </c>
      <c r="N1798" t="s">
        <v>3323</v>
      </c>
      <c r="O1798" t="str">
        <f t="shared" si="261"/>
        <v>56411</v>
      </c>
      <c r="P1798" t="str">
        <f>"2100L"</f>
        <v>2100L</v>
      </c>
      <c r="Q1798" t="str">
        <f t="shared" si="264"/>
        <v>0101</v>
      </c>
      <c r="R1798">
        <v>2100</v>
      </c>
      <c r="S1798" t="str">
        <f t="shared" si="262"/>
        <v>5640</v>
      </c>
      <c r="T1798" t="s">
        <v>3589</v>
      </c>
      <c r="U1798" t="s">
        <v>48</v>
      </c>
    </row>
    <row r="1799" spans="1:21" ht="15" customHeight="1" x14ac:dyDescent="0.3">
      <c r="A1799" t="s">
        <v>179</v>
      </c>
      <c r="B1799" t="str">
        <f>"00076216"</f>
        <v>00076216</v>
      </c>
      <c r="C1799" t="s">
        <v>4271</v>
      </c>
      <c r="D1799" t="s">
        <v>2485</v>
      </c>
      <c r="E1799" t="str">
        <f>"00051960"</f>
        <v>00051960</v>
      </c>
      <c r="F1799">
        <v>0</v>
      </c>
      <c r="G1799" s="243">
        <v>34228</v>
      </c>
      <c r="H1799" t="s">
        <v>182</v>
      </c>
      <c r="I1799">
        <v>15</v>
      </c>
      <c r="J1799">
        <v>12</v>
      </c>
      <c r="K1799">
        <v>1</v>
      </c>
      <c r="L1799">
        <v>87431</v>
      </c>
      <c r="M1799" t="str">
        <f t="shared" si="263"/>
        <v>13</v>
      </c>
      <c r="N1799" t="s">
        <v>3323</v>
      </c>
      <c r="O1799" t="str">
        <f t="shared" si="261"/>
        <v>56411</v>
      </c>
      <c r="P1799" t="str">
        <f>"2100L"</f>
        <v>2100L</v>
      </c>
      <c r="Q1799" t="str">
        <f t="shared" si="264"/>
        <v>0101</v>
      </c>
      <c r="R1799">
        <v>2100</v>
      </c>
      <c r="S1799" t="str">
        <f t="shared" si="262"/>
        <v>5640</v>
      </c>
      <c r="T1799" t="s">
        <v>3589</v>
      </c>
      <c r="U1799" t="s">
        <v>48</v>
      </c>
    </row>
    <row r="1800" spans="1:21" ht="15" customHeight="1" x14ac:dyDescent="0.3">
      <c r="A1800" t="s">
        <v>179</v>
      </c>
      <c r="B1800" t="str">
        <f>"00076810"</f>
        <v>00076810</v>
      </c>
      <c r="C1800" t="s">
        <v>200</v>
      </c>
      <c r="D1800" t="s">
        <v>4846</v>
      </c>
      <c r="E1800" t="str">
        <f>"00070086"</f>
        <v>00070086</v>
      </c>
      <c r="F1800">
        <v>0</v>
      </c>
      <c r="G1800" s="243">
        <v>41133</v>
      </c>
      <c r="H1800" t="s">
        <v>182</v>
      </c>
      <c r="I1800">
        <v>15</v>
      </c>
      <c r="J1800">
        <v>4</v>
      </c>
      <c r="K1800">
        <v>1</v>
      </c>
      <c r="L1800">
        <v>61158</v>
      </c>
      <c r="M1800" t="str">
        <f t="shared" si="263"/>
        <v>13</v>
      </c>
      <c r="N1800" t="s">
        <v>3370</v>
      </c>
      <c r="O1800" t="str">
        <f t="shared" si="261"/>
        <v>56411</v>
      </c>
      <c r="P1800" t="str">
        <f>"2100L"</f>
        <v>2100L</v>
      </c>
      <c r="Q1800" t="str">
        <f t="shared" si="264"/>
        <v>0101</v>
      </c>
      <c r="R1800">
        <v>2100</v>
      </c>
      <c r="S1800" t="str">
        <f t="shared" si="262"/>
        <v>5640</v>
      </c>
      <c r="T1800" t="s">
        <v>3589</v>
      </c>
      <c r="U1800" t="s">
        <v>48</v>
      </c>
    </row>
    <row r="1801" spans="1:21" ht="15" customHeight="1" x14ac:dyDescent="0.3">
      <c r="A1801" t="s">
        <v>179</v>
      </c>
      <c r="B1801" t="str">
        <f>"00052120"</f>
        <v>00052120</v>
      </c>
      <c r="C1801" t="s">
        <v>4260</v>
      </c>
      <c r="D1801" t="s">
        <v>1701</v>
      </c>
      <c r="E1801" t="str">
        <f>"00047348"</f>
        <v>00047348</v>
      </c>
      <c r="F1801">
        <v>0</v>
      </c>
      <c r="G1801" s="243">
        <v>35787</v>
      </c>
      <c r="H1801" t="s">
        <v>182</v>
      </c>
      <c r="I1801">
        <v>15</v>
      </c>
      <c r="J1801">
        <v>16</v>
      </c>
      <c r="K1801">
        <v>1</v>
      </c>
      <c r="L1801">
        <v>100839</v>
      </c>
      <c r="M1801" t="str">
        <f t="shared" si="263"/>
        <v>13</v>
      </c>
      <c r="N1801" t="s">
        <v>3323</v>
      </c>
      <c r="O1801" t="str">
        <f t="shared" ref="O1801:O1828" si="266">"56911"</f>
        <v>56911</v>
      </c>
      <c r="P1801" t="str">
        <f>"3030L"</f>
        <v>3030L</v>
      </c>
      <c r="Q1801" t="str">
        <f t="shared" si="264"/>
        <v>0101</v>
      </c>
      <c r="R1801">
        <v>3030</v>
      </c>
      <c r="S1801" t="str">
        <f t="shared" ref="S1801:S1828" si="267">"5690"</f>
        <v>5690</v>
      </c>
      <c r="T1801" t="s">
        <v>3593</v>
      </c>
      <c r="U1801" t="s">
        <v>49</v>
      </c>
    </row>
    <row r="1802" spans="1:21" ht="15" customHeight="1" x14ac:dyDescent="0.3">
      <c r="A1802" t="s">
        <v>179</v>
      </c>
      <c r="B1802" t="str">
        <f>"00052217"</f>
        <v>00052217</v>
      </c>
      <c r="C1802" t="s">
        <v>4272</v>
      </c>
      <c r="D1802" t="s">
        <v>1702</v>
      </c>
      <c r="E1802" t="str">
        <f>"00047674"</f>
        <v>00047674</v>
      </c>
      <c r="F1802">
        <v>0</v>
      </c>
      <c r="G1802" s="243">
        <v>25082</v>
      </c>
      <c r="H1802" t="s">
        <v>182</v>
      </c>
      <c r="I1802">
        <v>15</v>
      </c>
      <c r="J1802">
        <v>16</v>
      </c>
      <c r="K1802">
        <v>1</v>
      </c>
      <c r="L1802">
        <v>100839</v>
      </c>
      <c r="M1802" t="str">
        <f t="shared" si="263"/>
        <v>13</v>
      </c>
      <c r="N1802" t="s">
        <v>3323</v>
      </c>
      <c r="O1802" t="str">
        <f t="shared" si="266"/>
        <v>56911</v>
      </c>
      <c r="P1802" t="str">
        <f t="shared" ref="P1802:P1808" si="268">"2100L"</f>
        <v>2100L</v>
      </c>
      <c r="Q1802" t="str">
        <f t="shared" si="264"/>
        <v>0101</v>
      </c>
      <c r="R1802">
        <v>2100</v>
      </c>
      <c r="S1802" t="str">
        <f t="shared" si="267"/>
        <v>5690</v>
      </c>
      <c r="T1802" t="s">
        <v>3593</v>
      </c>
      <c r="U1802" t="s">
        <v>49</v>
      </c>
    </row>
    <row r="1803" spans="1:21" ht="15" customHeight="1" x14ac:dyDescent="0.3">
      <c r="A1803" t="s">
        <v>179</v>
      </c>
      <c r="B1803" t="str">
        <f>"00052250"</f>
        <v>00052250</v>
      </c>
      <c r="C1803" t="s">
        <v>4272</v>
      </c>
      <c r="D1803" t="s">
        <v>1703</v>
      </c>
      <c r="E1803" t="str">
        <f>"00047791"</f>
        <v>00047791</v>
      </c>
      <c r="F1803">
        <v>0</v>
      </c>
      <c r="G1803" s="243">
        <v>33484</v>
      </c>
      <c r="H1803" t="s">
        <v>182</v>
      </c>
      <c r="I1803">
        <v>15</v>
      </c>
      <c r="J1803">
        <v>16</v>
      </c>
      <c r="K1803">
        <v>1</v>
      </c>
      <c r="L1803">
        <v>100839</v>
      </c>
      <c r="M1803" t="str">
        <f t="shared" si="263"/>
        <v>13</v>
      </c>
      <c r="N1803" t="s">
        <v>3323</v>
      </c>
      <c r="O1803" t="str">
        <f t="shared" si="266"/>
        <v>56911</v>
      </c>
      <c r="P1803" t="str">
        <f t="shared" si="268"/>
        <v>2100L</v>
      </c>
      <c r="Q1803" t="str">
        <f t="shared" si="264"/>
        <v>0101</v>
      </c>
      <c r="R1803">
        <v>2100</v>
      </c>
      <c r="S1803" t="str">
        <f t="shared" si="267"/>
        <v>5690</v>
      </c>
      <c r="T1803" t="s">
        <v>3593</v>
      </c>
      <c r="U1803" t="s">
        <v>49</v>
      </c>
    </row>
    <row r="1804" spans="1:21" ht="15" customHeight="1" x14ac:dyDescent="0.3">
      <c r="A1804" t="s">
        <v>179</v>
      </c>
      <c r="B1804" t="str">
        <f>"00052324"</f>
        <v>00052324</v>
      </c>
      <c r="C1804" t="s">
        <v>4288</v>
      </c>
      <c r="D1804" t="s">
        <v>4847</v>
      </c>
      <c r="E1804" t="str">
        <f>"00056777"</f>
        <v>00056777</v>
      </c>
      <c r="F1804">
        <v>0</v>
      </c>
      <c r="G1804" s="243">
        <v>40768</v>
      </c>
      <c r="H1804" t="s">
        <v>182</v>
      </c>
      <c r="I1804">
        <v>4</v>
      </c>
      <c r="J1804">
        <v>9</v>
      </c>
      <c r="K1804">
        <v>0.875</v>
      </c>
      <c r="L1804">
        <v>28025.38</v>
      </c>
      <c r="M1804" t="str">
        <f t="shared" si="263"/>
        <v>13</v>
      </c>
      <c r="N1804" t="s">
        <v>3323</v>
      </c>
      <c r="O1804" t="str">
        <f t="shared" si="266"/>
        <v>56911</v>
      </c>
      <c r="P1804" t="str">
        <f t="shared" si="268"/>
        <v>2100L</v>
      </c>
      <c r="Q1804" t="str">
        <f t="shared" si="264"/>
        <v>0101</v>
      </c>
      <c r="R1804">
        <v>2100</v>
      </c>
      <c r="S1804" t="str">
        <f t="shared" si="267"/>
        <v>5690</v>
      </c>
      <c r="T1804" t="s">
        <v>3593</v>
      </c>
      <c r="U1804" t="s">
        <v>49</v>
      </c>
    </row>
    <row r="1805" spans="1:21" ht="15" customHeight="1" x14ac:dyDescent="0.3">
      <c r="A1805" t="s">
        <v>179</v>
      </c>
      <c r="B1805" t="str">
        <f>"00052878"</f>
        <v>00052878</v>
      </c>
      <c r="C1805" t="s">
        <v>4262</v>
      </c>
      <c r="D1805" t="s">
        <v>1704</v>
      </c>
      <c r="E1805" t="str">
        <f>"00049843"</f>
        <v>00049843</v>
      </c>
      <c r="F1805">
        <v>0</v>
      </c>
      <c r="G1805" s="243">
        <v>33567</v>
      </c>
      <c r="H1805" t="s">
        <v>182</v>
      </c>
      <c r="I1805">
        <v>15</v>
      </c>
      <c r="J1805">
        <v>15</v>
      </c>
      <c r="K1805">
        <v>1</v>
      </c>
      <c r="L1805">
        <v>103985</v>
      </c>
      <c r="M1805" t="str">
        <f t="shared" si="263"/>
        <v>13</v>
      </c>
      <c r="N1805" t="s">
        <v>3323</v>
      </c>
      <c r="O1805" t="str">
        <f t="shared" si="266"/>
        <v>56911</v>
      </c>
      <c r="P1805" t="str">
        <f t="shared" si="268"/>
        <v>2100L</v>
      </c>
      <c r="Q1805" t="str">
        <f t="shared" si="264"/>
        <v>0101</v>
      </c>
      <c r="R1805">
        <v>2100</v>
      </c>
      <c r="S1805" t="str">
        <f t="shared" si="267"/>
        <v>5690</v>
      </c>
      <c r="T1805" t="s">
        <v>3593</v>
      </c>
      <c r="U1805" t="s">
        <v>49</v>
      </c>
    </row>
    <row r="1806" spans="1:21" ht="15" customHeight="1" x14ac:dyDescent="0.3">
      <c r="A1806" t="s">
        <v>179</v>
      </c>
      <c r="B1806" t="str">
        <f>"00053164"</f>
        <v>00053164</v>
      </c>
      <c r="C1806" t="s">
        <v>4272</v>
      </c>
      <c r="D1806" t="s">
        <v>1705</v>
      </c>
      <c r="E1806" t="str">
        <f>"00051048"</f>
        <v>00051048</v>
      </c>
      <c r="F1806">
        <v>0</v>
      </c>
      <c r="G1806" s="243">
        <v>35780</v>
      </c>
      <c r="H1806" t="s">
        <v>182</v>
      </c>
      <c r="I1806">
        <v>15</v>
      </c>
      <c r="J1806">
        <v>12</v>
      </c>
      <c r="K1806">
        <v>1</v>
      </c>
      <c r="L1806">
        <v>87431</v>
      </c>
      <c r="M1806" t="str">
        <f t="shared" si="263"/>
        <v>13</v>
      </c>
      <c r="N1806" t="s">
        <v>3323</v>
      </c>
      <c r="O1806" t="str">
        <f t="shared" si="266"/>
        <v>56911</v>
      </c>
      <c r="P1806" t="str">
        <f t="shared" si="268"/>
        <v>2100L</v>
      </c>
      <c r="Q1806" t="str">
        <f t="shared" si="264"/>
        <v>0101</v>
      </c>
      <c r="R1806">
        <v>2100</v>
      </c>
      <c r="S1806" t="str">
        <f t="shared" si="267"/>
        <v>5690</v>
      </c>
      <c r="T1806" t="s">
        <v>3593</v>
      </c>
      <c r="U1806" t="s">
        <v>49</v>
      </c>
    </row>
    <row r="1807" spans="1:21" ht="15" customHeight="1" x14ac:dyDescent="0.3">
      <c r="A1807" t="s">
        <v>179</v>
      </c>
      <c r="B1807" t="str">
        <f>"00053192"</f>
        <v>00053192</v>
      </c>
      <c r="C1807" t="s">
        <v>4262</v>
      </c>
      <c r="D1807" t="s">
        <v>1706</v>
      </c>
      <c r="E1807" t="str">
        <f>"00047441"</f>
        <v>00047441</v>
      </c>
      <c r="F1807">
        <v>0</v>
      </c>
      <c r="G1807" s="243">
        <v>39818</v>
      </c>
      <c r="H1807" t="s">
        <v>182</v>
      </c>
      <c r="I1807">
        <v>15</v>
      </c>
      <c r="J1807">
        <v>4</v>
      </c>
      <c r="K1807">
        <v>1</v>
      </c>
      <c r="L1807">
        <v>61158</v>
      </c>
      <c r="M1807" t="str">
        <f t="shared" si="263"/>
        <v>13</v>
      </c>
      <c r="N1807" t="s">
        <v>3323</v>
      </c>
      <c r="O1807" t="str">
        <f t="shared" si="266"/>
        <v>56911</v>
      </c>
      <c r="P1807" t="str">
        <f t="shared" si="268"/>
        <v>2100L</v>
      </c>
      <c r="Q1807" t="str">
        <f t="shared" si="264"/>
        <v>0101</v>
      </c>
      <c r="R1807">
        <v>2100</v>
      </c>
      <c r="S1807" t="str">
        <f t="shared" si="267"/>
        <v>5690</v>
      </c>
      <c r="T1807" t="s">
        <v>3593</v>
      </c>
      <c r="U1807" t="s">
        <v>49</v>
      </c>
    </row>
    <row r="1808" spans="1:21" ht="15" customHeight="1" x14ac:dyDescent="0.3">
      <c r="A1808" t="s">
        <v>179</v>
      </c>
      <c r="B1808" t="str">
        <f>"00053435"</f>
        <v>00053435</v>
      </c>
      <c r="C1808" t="s">
        <v>4260</v>
      </c>
      <c r="D1808" t="s">
        <v>1707</v>
      </c>
      <c r="E1808" t="str">
        <f>"00051478"</f>
        <v>00051478</v>
      </c>
      <c r="F1808">
        <v>0</v>
      </c>
      <c r="G1808" s="243">
        <v>29493</v>
      </c>
      <c r="H1808" t="s">
        <v>182</v>
      </c>
      <c r="I1808">
        <v>15</v>
      </c>
      <c r="J1808">
        <v>16</v>
      </c>
      <c r="K1808">
        <v>1</v>
      </c>
      <c r="L1808">
        <v>100839</v>
      </c>
      <c r="M1808" t="str">
        <f t="shared" si="263"/>
        <v>13</v>
      </c>
      <c r="N1808" t="s">
        <v>3323</v>
      </c>
      <c r="O1808" t="str">
        <f t="shared" si="266"/>
        <v>56911</v>
      </c>
      <c r="P1808" t="str">
        <f t="shared" si="268"/>
        <v>2100L</v>
      </c>
      <c r="Q1808" t="str">
        <f t="shared" si="264"/>
        <v>0101</v>
      </c>
      <c r="R1808">
        <v>2100</v>
      </c>
      <c r="S1808" t="str">
        <f t="shared" si="267"/>
        <v>5690</v>
      </c>
      <c r="T1808" t="s">
        <v>3593</v>
      </c>
      <c r="U1808" t="s">
        <v>49</v>
      </c>
    </row>
    <row r="1809" spans="1:21" ht="15" customHeight="1" x14ac:dyDescent="0.3">
      <c r="A1809" t="s">
        <v>179</v>
      </c>
      <c r="B1809" t="str">
        <f>"00053457"</f>
        <v>00053457</v>
      </c>
      <c r="C1809" t="s">
        <v>4274</v>
      </c>
      <c r="D1809" t="s">
        <v>4848</v>
      </c>
      <c r="E1809" t="str">
        <f>"00051521"</f>
        <v>00051521</v>
      </c>
      <c r="F1809">
        <v>0</v>
      </c>
      <c r="G1809" s="243">
        <v>34975</v>
      </c>
      <c r="H1809" t="s">
        <v>182</v>
      </c>
      <c r="I1809">
        <v>4</v>
      </c>
      <c r="J1809">
        <v>10</v>
      </c>
      <c r="K1809">
        <v>0.875</v>
      </c>
      <c r="L1809">
        <v>28721</v>
      </c>
      <c r="M1809" t="str">
        <f t="shared" si="263"/>
        <v>13</v>
      </c>
      <c r="N1809" t="s">
        <v>3323</v>
      </c>
      <c r="O1809" t="str">
        <f t="shared" si="266"/>
        <v>56911</v>
      </c>
      <c r="P1809" t="str">
        <f>"2200L"</f>
        <v>2200L</v>
      </c>
      <c r="Q1809" t="str">
        <f t="shared" si="264"/>
        <v>0101</v>
      </c>
      <c r="R1809">
        <v>2200</v>
      </c>
      <c r="S1809" t="str">
        <f t="shared" si="267"/>
        <v>5690</v>
      </c>
      <c r="T1809" t="s">
        <v>3593</v>
      </c>
      <c r="U1809" t="s">
        <v>49</v>
      </c>
    </row>
    <row r="1810" spans="1:21" ht="15" customHeight="1" x14ac:dyDescent="0.3">
      <c r="A1810" t="s">
        <v>179</v>
      </c>
      <c r="B1810" t="str">
        <f>"00053525"</f>
        <v>00053525</v>
      </c>
      <c r="C1810" t="s">
        <v>4272</v>
      </c>
      <c r="D1810" t="s">
        <v>1708</v>
      </c>
      <c r="E1810" t="str">
        <f>"00051659"</f>
        <v>00051659</v>
      </c>
      <c r="F1810">
        <v>0</v>
      </c>
      <c r="G1810" s="243">
        <v>33540</v>
      </c>
      <c r="H1810" t="s">
        <v>182</v>
      </c>
      <c r="I1810">
        <v>15</v>
      </c>
      <c r="J1810">
        <v>16</v>
      </c>
      <c r="K1810">
        <v>1</v>
      </c>
      <c r="L1810">
        <v>100839</v>
      </c>
      <c r="M1810" t="str">
        <f t="shared" si="263"/>
        <v>13</v>
      </c>
      <c r="N1810" t="s">
        <v>3323</v>
      </c>
      <c r="O1810" t="str">
        <f t="shared" si="266"/>
        <v>56911</v>
      </c>
      <c r="P1810" t="str">
        <f>"2200L"</f>
        <v>2200L</v>
      </c>
      <c r="Q1810" t="str">
        <f t="shared" si="264"/>
        <v>0101</v>
      </c>
      <c r="R1810">
        <v>2200</v>
      </c>
      <c r="S1810" t="str">
        <f t="shared" si="267"/>
        <v>5690</v>
      </c>
      <c r="T1810" t="s">
        <v>3593</v>
      </c>
      <c r="U1810" t="s">
        <v>49</v>
      </c>
    </row>
    <row r="1811" spans="1:21" ht="15" customHeight="1" x14ac:dyDescent="0.3">
      <c r="A1811" t="s">
        <v>179</v>
      </c>
      <c r="B1811" t="str">
        <f>"00053904"</f>
        <v>00053904</v>
      </c>
      <c r="C1811" t="s">
        <v>4849</v>
      </c>
      <c r="D1811" t="s">
        <v>1740</v>
      </c>
      <c r="E1811" t="str">
        <f>"00056465"</f>
        <v>00056465</v>
      </c>
      <c r="F1811">
        <v>0</v>
      </c>
      <c r="G1811" s="243">
        <v>40042</v>
      </c>
      <c r="H1811" t="s">
        <v>182</v>
      </c>
      <c r="I1811">
        <v>15</v>
      </c>
      <c r="J1811">
        <v>2</v>
      </c>
      <c r="K1811">
        <v>0.8</v>
      </c>
      <c r="L1811">
        <v>58699</v>
      </c>
      <c r="M1811" t="str">
        <f t="shared" si="263"/>
        <v>13</v>
      </c>
      <c r="N1811" t="s">
        <v>3323</v>
      </c>
      <c r="O1811" t="str">
        <f t="shared" si="266"/>
        <v>56911</v>
      </c>
      <c r="P1811" t="str">
        <f>"2200L"</f>
        <v>2200L</v>
      </c>
      <c r="Q1811" t="str">
        <f t="shared" si="264"/>
        <v>0101</v>
      </c>
      <c r="R1811">
        <v>2200</v>
      </c>
      <c r="S1811" t="str">
        <f t="shared" si="267"/>
        <v>5690</v>
      </c>
      <c r="T1811" t="s">
        <v>3593</v>
      </c>
      <c r="U1811" t="s">
        <v>49</v>
      </c>
    </row>
    <row r="1812" spans="1:21" ht="15" customHeight="1" x14ac:dyDescent="0.3">
      <c r="A1812" t="s">
        <v>179</v>
      </c>
      <c r="B1812" t="str">
        <f>"00053967"</f>
        <v>00053967</v>
      </c>
      <c r="C1812" t="s">
        <v>4274</v>
      </c>
      <c r="D1812" t="s">
        <v>4850</v>
      </c>
      <c r="E1812" t="str">
        <f>"00029334"</f>
        <v>00029334</v>
      </c>
      <c r="F1812">
        <v>1</v>
      </c>
      <c r="G1812" s="243">
        <v>33158</v>
      </c>
      <c r="H1812" t="s">
        <v>182</v>
      </c>
      <c r="I1812">
        <v>4</v>
      </c>
      <c r="J1812">
        <v>10</v>
      </c>
      <c r="K1812">
        <v>0.875</v>
      </c>
      <c r="L1812">
        <v>28721</v>
      </c>
      <c r="M1812" t="str">
        <f t="shared" si="263"/>
        <v>13</v>
      </c>
      <c r="N1812" t="s">
        <v>3323</v>
      </c>
      <c r="O1812" t="str">
        <f t="shared" si="266"/>
        <v>56911</v>
      </c>
      <c r="P1812" t="str">
        <f>"2200L"</f>
        <v>2200L</v>
      </c>
      <c r="Q1812" t="str">
        <f t="shared" si="264"/>
        <v>0101</v>
      </c>
      <c r="R1812">
        <v>2200</v>
      </c>
      <c r="S1812" t="str">
        <f t="shared" si="267"/>
        <v>5690</v>
      </c>
      <c r="T1812" t="s">
        <v>3593</v>
      </c>
      <c r="U1812" t="s">
        <v>49</v>
      </c>
    </row>
    <row r="1813" spans="1:21" ht="15" customHeight="1" x14ac:dyDescent="0.3">
      <c r="A1813" t="s">
        <v>179</v>
      </c>
      <c r="B1813" t="str">
        <f>"00054340"</f>
        <v>00054340</v>
      </c>
      <c r="C1813" t="s">
        <v>4274</v>
      </c>
      <c r="D1813" t="s">
        <v>4851</v>
      </c>
      <c r="E1813" t="str">
        <f>"00053679"</f>
        <v>00053679</v>
      </c>
      <c r="F1813">
        <v>0</v>
      </c>
      <c r="G1813" s="243">
        <v>35346</v>
      </c>
      <c r="H1813" t="s">
        <v>182</v>
      </c>
      <c r="I1813">
        <v>4</v>
      </c>
      <c r="J1813">
        <v>10</v>
      </c>
      <c r="K1813">
        <v>0.875</v>
      </c>
      <c r="L1813">
        <v>28721</v>
      </c>
      <c r="M1813" t="str">
        <f t="shared" si="263"/>
        <v>13</v>
      </c>
      <c r="N1813" t="s">
        <v>3323</v>
      </c>
      <c r="O1813" t="str">
        <f t="shared" si="266"/>
        <v>56911</v>
      </c>
      <c r="P1813" t="str">
        <f>"2200L"</f>
        <v>2200L</v>
      </c>
      <c r="Q1813" t="str">
        <f t="shared" si="264"/>
        <v>0101</v>
      </c>
      <c r="R1813">
        <v>2200</v>
      </c>
      <c r="S1813" t="str">
        <f t="shared" si="267"/>
        <v>5690</v>
      </c>
      <c r="T1813" t="s">
        <v>3593</v>
      </c>
      <c r="U1813" t="s">
        <v>49</v>
      </c>
    </row>
    <row r="1814" spans="1:21" ht="15" customHeight="1" x14ac:dyDescent="0.3">
      <c r="A1814" t="s">
        <v>179</v>
      </c>
      <c r="B1814" t="str">
        <f>"00054377"</f>
        <v>00054377</v>
      </c>
      <c r="C1814" t="s">
        <v>3670</v>
      </c>
      <c r="D1814" t="s">
        <v>1709</v>
      </c>
      <c r="E1814" t="str">
        <f>"00053916"</f>
        <v>00053916</v>
      </c>
      <c r="F1814">
        <v>0</v>
      </c>
      <c r="G1814" s="243">
        <v>32050</v>
      </c>
      <c r="H1814" t="s">
        <v>182</v>
      </c>
      <c r="I1814">
        <v>8</v>
      </c>
      <c r="J1814">
        <v>8</v>
      </c>
      <c r="K1814">
        <v>1</v>
      </c>
      <c r="L1814">
        <v>101078</v>
      </c>
      <c r="M1814" t="str">
        <f t="shared" si="263"/>
        <v>13</v>
      </c>
      <c r="N1814" t="s">
        <v>3323</v>
      </c>
      <c r="O1814" t="str">
        <f t="shared" si="266"/>
        <v>56911</v>
      </c>
      <c r="P1814" t="str">
        <f>"1501L"</f>
        <v>1501L</v>
      </c>
      <c r="Q1814" t="str">
        <f t="shared" si="264"/>
        <v>0101</v>
      </c>
      <c r="R1814">
        <v>1501</v>
      </c>
      <c r="S1814" t="str">
        <f t="shared" si="267"/>
        <v>5690</v>
      </c>
      <c r="T1814" t="s">
        <v>3593</v>
      </c>
      <c r="U1814" t="s">
        <v>49</v>
      </c>
    </row>
    <row r="1815" spans="1:21" ht="15" customHeight="1" x14ac:dyDescent="0.3">
      <c r="A1815" t="s">
        <v>179</v>
      </c>
      <c r="B1815" t="str">
        <f>"00054533"</f>
        <v>00054533</v>
      </c>
      <c r="C1815" t="s">
        <v>4262</v>
      </c>
      <c r="D1815" t="s">
        <v>1710</v>
      </c>
      <c r="E1815" t="str">
        <f>"00054166"</f>
        <v>00054166</v>
      </c>
      <c r="F1815">
        <v>0</v>
      </c>
      <c r="G1815" s="243">
        <v>35675</v>
      </c>
      <c r="H1815" t="s">
        <v>182</v>
      </c>
      <c r="I1815">
        <v>15</v>
      </c>
      <c r="J1815">
        <v>14</v>
      </c>
      <c r="K1815">
        <v>1</v>
      </c>
      <c r="L1815">
        <v>96460</v>
      </c>
      <c r="M1815" t="str">
        <f t="shared" si="263"/>
        <v>13</v>
      </c>
      <c r="N1815" t="s">
        <v>3323</v>
      </c>
      <c r="O1815" t="str">
        <f t="shared" si="266"/>
        <v>56911</v>
      </c>
      <c r="P1815" t="str">
        <f>"2100L"</f>
        <v>2100L</v>
      </c>
      <c r="Q1815" t="str">
        <f t="shared" si="264"/>
        <v>0101</v>
      </c>
      <c r="R1815">
        <v>2100</v>
      </c>
      <c r="S1815" t="str">
        <f t="shared" si="267"/>
        <v>5690</v>
      </c>
      <c r="T1815" t="s">
        <v>3593</v>
      </c>
      <c r="U1815" t="s">
        <v>49</v>
      </c>
    </row>
    <row r="1816" spans="1:21" ht="15" customHeight="1" x14ac:dyDescent="0.3">
      <c r="A1816" t="s">
        <v>179</v>
      </c>
      <c r="B1816" t="str">
        <f>"00054579"</f>
        <v>00054579</v>
      </c>
      <c r="C1816" t="s">
        <v>4274</v>
      </c>
      <c r="D1816" t="s">
        <v>4852</v>
      </c>
      <c r="E1816" t="str">
        <f>"00054227"</f>
        <v>00054227</v>
      </c>
      <c r="F1816">
        <v>0</v>
      </c>
      <c r="G1816" s="243">
        <v>30887</v>
      </c>
      <c r="H1816" t="s">
        <v>182</v>
      </c>
      <c r="I1816">
        <v>4</v>
      </c>
      <c r="J1816">
        <v>10</v>
      </c>
      <c r="K1816">
        <v>1</v>
      </c>
      <c r="L1816">
        <v>32824</v>
      </c>
      <c r="M1816" t="str">
        <f t="shared" si="263"/>
        <v>13</v>
      </c>
      <c r="N1816" t="s">
        <v>3323</v>
      </c>
      <c r="O1816" t="str">
        <f t="shared" si="266"/>
        <v>56911</v>
      </c>
      <c r="P1816" t="str">
        <f>"3030L"</f>
        <v>3030L</v>
      </c>
      <c r="Q1816" t="str">
        <f t="shared" si="264"/>
        <v>0101</v>
      </c>
      <c r="R1816">
        <v>3030</v>
      </c>
      <c r="S1816" t="str">
        <f t="shared" si="267"/>
        <v>5690</v>
      </c>
      <c r="T1816" t="s">
        <v>3593</v>
      </c>
      <c r="U1816" t="s">
        <v>49</v>
      </c>
    </row>
    <row r="1817" spans="1:21" ht="15" customHeight="1" x14ac:dyDescent="0.3">
      <c r="A1817" t="s">
        <v>179</v>
      </c>
      <c r="B1817" t="str">
        <f>"00054604"</f>
        <v>00054604</v>
      </c>
      <c r="C1817" t="s">
        <v>4257</v>
      </c>
      <c r="D1817" t="s">
        <v>1711</v>
      </c>
      <c r="E1817" t="str">
        <f>"00054269"</f>
        <v>00054269</v>
      </c>
      <c r="F1817">
        <v>0</v>
      </c>
      <c r="G1817" s="243">
        <v>34296</v>
      </c>
      <c r="H1817" t="s">
        <v>182</v>
      </c>
      <c r="I1817">
        <v>15</v>
      </c>
      <c r="J1817">
        <v>15</v>
      </c>
      <c r="K1817">
        <v>1</v>
      </c>
      <c r="L1817">
        <v>98285</v>
      </c>
      <c r="M1817" t="str">
        <f t="shared" si="263"/>
        <v>13</v>
      </c>
      <c r="N1817" t="s">
        <v>3323</v>
      </c>
      <c r="O1817" t="str">
        <f t="shared" si="266"/>
        <v>56911</v>
      </c>
      <c r="P1817" t="str">
        <f>"2100L"</f>
        <v>2100L</v>
      </c>
      <c r="Q1817" t="str">
        <f t="shared" si="264"/>
        <v>0101</v>
      </c>
      <c r="R1817">
        <v>2100</v>
      </c>
      <c r="S1817" t="str">
        <f t="shared" si="267"/>
        <v>5690</v>
      </c>
      <c r="T1817" t="s">
        <v>3593</v>
      </c>
      <c r="U1817" t="s">
        <v>49</v>
      </c>
    </row>
    <row r="1818" spans="1:21" ht="15" customHeight="1" x14ac:dyDescent="0.3">
      <c r="A1818" t="s">
        <v>179</v>
      </c>
      <c r="B1818" t="str">
        <f>"00054610"</f>
        <v>00054610</v>
      </c>
      <c r="C1818" t="s">
        <v>4253</v>
      </c>
      <c r="D1818" t="s">
        <v>1712</v>
      </c>
      <c r="E1818" t="str">
        <f>"00054282"</f>
        <v>00054282</v>
      </c>
      <c r="F1818">
        <v>0</v>
      </c>
      <c r="G1818" s="243">
        <v>33261</v>
      </c>
      <c r="H1818" t="s">
        <v>182</v>
      </c>
      <c r="I1818">
        <v>15</v>
      </c>
      <c r="J1818">
        <v>16</v>
      </c>
      <c r="K1818">
        <v>1</v>
      </c>
      <c r="L1818">
        <v>103347</v>
      </c>
      <c r="M1818" t="str">
        <f t="shared" si="263"/>
        <v>13</v>
      </c>
      <c r="N1818" t="s">
        <v>3323</v>
      </c>
      <c r="O1818" t="str">
        <f t="shared" si="266"/>
        <v>56911</v>
      </c>
      <c r="P1818" t="str">
        <f>"2100L"</f>
        <v>2100L</v>
      </c>
      <c r="Q1818" t="str">
        <f t="shared" si="264"/>
        <v>0101</v>
      </c>
      <c r="R1818">
        <v>2100</v>
      </c>
      <c r="S1818" t="str">
        <f t="shared" si="267"/>
        <v>5690</v>
      </c>
      <c r="T1818" t="s">
        <v>3593</v>
      </c>
      <c r="U1818" t="s">
        <v>49</v>
      </c>
    </row>
    <row r="1819" spans="1:21" ht="15" customHeight="1" x14ac:dyDescent="0.3">
      <c r="A1819" t="s">
        <v>179</v>
      </c>
      <c r="B1819" t="str">
        <f>"00054625"</f>
        <v>00054625</v>
      </c>
      <c r="C1819" t="s">
        <v>4260</v>
      </c>
      <c r="D1819" t="s">
        <v>1713</v>
      </c>
      <c r="E1819" t="str">
        <f>"00054308"</f>
        <v>00054308</v>
      </c>
      <c r="F1819">
        <v>0</v>
      </c>
      <c r="G1819" s="243">
        <v>34516</v>
      </c>
      <c r="H1819" t="s">
        <v>182</v>
      </c>
      <c r="I1819">
        <v>15</v>
      </c>
      <c r="J1819">
        <v>16</v>
      </c>
      <c r="K1819">
        <v>1</v>
      </c>
      <c r="L1819">
        <v>106540</v>
      </c>
      <c r="M1819" t="str">
        <f t="shared" si="263"/>
        <v>13</v>
      </c>
      <c r="N1819" t="s">
        <v>3323</v>
      </c>
      <c r="O1819" t="str">
        <f t="shared" si="266"/>
        <v>56911</v>
      </c>
      <c r="P1819" t="str">
        <f>"3030L"</f>
        <v>3030L</v>
      </c>
      <c r="Q1819" t="str">
        <f t="shared" si="264"/>
        <v>0101</v>
      </c>
      <c r="R1819">
        <v>3030</v>
      </c>
      <c r="S1819" t="str">
        <f t="shared" si="267"/>
        <v>5690</v>
      </c>
      <c r="T1819" t="s">
        <v>3593</v>
      </c>
      <c r="U1819" t="s">
        <v>49</v>
      </c>
    </row>
    <row r="1820" spans="1:21" ht="15" customHeight="1" x14ac:dyDescent="0.3">
      <c r="A1820" t="s">
        <v>179</v>
      </c>
      <c r="B1820" t="str">
        <f>"00054811"</f>
        <v>00054811</v>
      </c>
      <c r="C1820" t="s">
        <v>3798</v>
      </c>
      <c r="D1820" t="s">
        <v>1714</v>
      </c>
      <c r="E1820" t="str">
        <f>"00054678"</f>
        <v>00054678</v>
      </c>
      <c r="F1820">
        <v>0</v>
      </c>
      <c r="G1820" s="243">
        <v>35675</v>
      </c>
      <c r="H1820" t="s">
        <v>182</v>
      </c>
      <c r="I1820">
        <v>61</v>
      </c>
      <c r="J1820">
        <v>6</v>
      </c>
      <c r="K1820">
        <v>1</v>
      </c>
      <c r="L1820">
        <v>125000</v>
      </c>
      <c r="M1820" t="str">
        <f t="shared" si="263"/>
        <v>13</v>
      </c>
      <c r="N1820" t="s">
        <v>3323</v>
      </c>
      <c r="O1820" t="str">
        <f t="shared" si="266"/>
        <v>56911</v>
      </c>
      <c r="P1820" t="str">
        <f>"1501L"</f>
        <v>1501L</v>
      </c>
      <c r="Q1820" t="str">
        <f t="shared" si="264"/>
        <v>0101</v>
      </c>
      <c r="R1820">
        <v>1501</v>
      </c>
      <c r="S1820" t="str">
        <f t="shared" si="267"/>
        <v>5690</v>
      </c>
      <c r="T1820" t="s">
        <v>3593</v>
      </c>
      <c r="U1820" t="s">
        <v>49</v>
      </c>
    </row>
    <row r="1821" spans="1:21" ht="15" customHeight="1" x14ac:dyDescent="0.3">
      <c r="A1821" t="s">
        <v>179</v>
      </c>
      <c r="B1821" t="str">
        <f>"00055267"</f>
        <v>00055267</v>
      </c>
      <c r="C1821" t="s">
        <v>4272</v>
      </c>
      <c r="D1821" t="s">
        <v>1715</v>
      </c>
      <c r="E1821" t="str">
        <f>"00044487"</f>
        <v>00044487</v>
      </c>
      <c r="F1821">
        <v>0</v>
      </c>
      <c r="G1821" s="243">
        <v>36390</v>
      </c>
      <c r="H1821" t="s">
        <v>182</v>
      </c>
      <c r="I1821">
        <v>15</v>
      </c>
      <c r="J1821">
        <v>16</v>
      </c>
      <c r="K1821">
        <v>1</v>
      </c>
      <c r="L1821">
        <v>103347</v>
      </c>
      <c r="M1821" t="str">
        <f t="shared" si="263"/>
        <v>13</v>
      </c>
      <c r="N1821" t="s">
        <v>3323</v>
      </c>
      <c r="O1821" t="str">
        <f t="shared" si="266"/>
        <v>56911</v>
      </c>
      <c r="P1821" t="str">
        <f>"2100L"</f>
        <v>2100L</v>
      </c>
      <c r="Q1821" t="str">
        <f t="shared" si="264"/>
        <v>0101</v>
      </c>
      <c r="R1821">
        <v>2100</v>
      </c>
      <c r="S1821" t="str">
        <f t="shared" si="267"/>
        <v>5690</v>
      </c>
      <c r="T1821" t="s">
        <v>3593</v>
      </c>
      <c r="U1821" t="s">
        <v>49</v>
      </c>
    </row>
    <row r="1822" spans="1:21" ht="15" customHeight="1" x14ac:dyDescent="0.3">
      <c r="A1822" t="s">
        <v>179</v>
      </c>
      <c r="B1822" t="str">
        <f>"00055275"</f>
        <v>00055275</v>
      </c>
      <c r="C1822" t="s">
        <v>4274</v>
      </c>
      <c r="D1822" t="s">
        <v>4853</v>
      </c>
      <c r="E1822" t="str">
        <f>"00051058"</f>
        <v>00051058</v>
      </c>
      <c r="F1822">
        <v>0</v>
      </c>
      <c r="G1822" s="243">
        <v>37703</v>
      </c>
      <c r="H1822" t="s">
        <v>182</v>
      </c>
      <c r="I1822">
        <v>4</v>
      </c>
      <c r="J1822">
        <v>9</v>
      </c>
      <c r="K1822">
        <v>0.875</v>
      </c>
      <c r="L1822">
        <v>28025.38</v>
      </c>
      <c r="M1822" t="str">
        <f t="shared" si="263"/>
        <v>13</v>
      </c>
      <c r="N1822" t="s">
        <v>3323</v>
      </c>
      <c r="O1822" t="str">
        <f t="shared" si="266"/>
        <v>56911</v>
      </c>
      <c r="P1822" t="str">
        <f>"2200L"</f>
        <v>2200L</v>
      </c>
      <c r="Q1822" t="str">
        <f t="shared" si="264"/>
        <v>0101</v>
      </c>
      <c r="R1822">
        <v>2200</v>
      </c>
      <c r="S1822" t="str">
        <f t="shared" si="267"/>
        <v>5690</v>
      </c>
      <c r="T1822" t="s">
        <v>3593</v>
      </c>
      <c r="U1822" t="s">
        <v>49</v>
      </c>
    </row>
    <row r="1823" spans="1:21" ht="15" customHeight="1" x14ac:dyDescent="0.3">
      <c r="A1823" t="s">
        <v>179</v>
      </c>
      <c r="B1823" t="str">
        <f>"00056919"</f>
        <v>00056919</v>
      </c>
      <c r="C1823" t="s">
        <v>4262</v>
      </c>
      <c r="D1823" t="s">
        <v>1716</v>
      </c>
      <c r="E1823" t="str">
        <f>"00044704"</f>
        <v>00044704</v>
      </c>
      <c r="F1823">
        <v>0</v>
      </c>
      <c r="G1823" s="243">
        <v>32756</v>
      </c>
      <c r="H1823" t="s">
        <v>182</v>
      </c>
      <c r="I1823">
        <v>15</v>
      </c>
      <c r="J1823">
        <v>16</v>
      </c>
      <c r="K1823">
        <v>1</v>
      </c>
      <c r="L1823">
        <v>100839</v>
      </c>
      <c r="M1823" t="str">
        <f t="shared" si="263"/>
        <v>13</v>
      </c>
      <c r="N1823" t="s">
        <v>3323</v>
      </c>
      <c r="O1823" t="str">
        <f t="shared" si="266"/>
        <v>56911</v>
      </c>
      <c r="P1823" t="str">
        <f>"2100L"</f>
        <v>2100L</v>
      </c>
      <c r="Q1823" t="str">
        <f t="shared" si="264"/>
        <v>0101</v>
      </c>
      <c r="R1823">
        <v>2100</v>
      </c>
      <c r="S1823" t="str">
        <f t="shared" si="267"/>
        <v>5690</v>
      </c>
      <c r="T1823" t="s">
        <v>3593</v>
      </c>
      <c r="U1823" t="s">
        <v>49</v>
      </c>
    </row>
    <row r="1824" spans="1:21" ht="15" customHeight="1" x14ac:dyDescent="0.3">
      <c r="A1824" t="s">
        <v>179</v>
      </c>
      <c r="B1824" t="str">
        <f>"00056949"</f>
        <v>00056949</v>
      </c>
      <c r="C1824" t="s">
        <v>4290</v>
      </c>
      <c r="H1824" t="s">
        <v>170</v>
      </c>
      <c r="I1824">
        <v>4</v>
      </c>
      <c r="J1824">
        <v>1</v>
      </c>
      <c r="K1824">
        <v>0.875</v>
      </c>
      <c r="L1824">
        <v>25662</v>
      </c>
      <c r="M1824" t="str">
        <f t="shared" si="263"/>
        <v>13</v>
      </c>
      <c r="N1824" t="s">
        <v>3323</v>
      </c>
      <c r="O1824" t="str">
        <f t="shared" si="266"/>
        <v>56911</v>
      </c>
      <c r="P1824" t="str">
        <f>"3030L"</f>
        <v>3030L</v>
      </c>
      <c r="Q1824" t="str">
        <f t="shared" si="264"/>
        <v>0101</v>
      </c>
      <c r="R1824">
        <v>3030</v>
      </c>
      <c r="S1824" t="str">
        <f t="shared" si="267"/>
        <v>5690</v>
      </c>
      <c r="T1824" t="s">
        <v>3593</v>
      </c>
      <c r="U1824" t="s">
        <v>49</v>
      </c>
    </row>
    <row r="1825" spans="1:21" ht="15" customHeight="1" x14ac:dyDescent="0.3">
      <c r="A1825" t="s">
        <v>179</v>
      </c>
      <c r="B1825" t="str">
        <f>"00057856"</f>
        <v>00057856</v>
      </c>
      <c r="C1825" t="s">
        <v>4262</v>
      </c>
      <c r="D1825" t="s">
        <v>2110</v>
      </c>
      <c r="E1825" t="str">
        <f>"00045157"</f>
        <v>00045157</v>
      </c>
      <c r="F1825">
        <v>0</v>
      </c>
      <c r="G1825" s="243">
        <v>37893</v>
      </c>
      <c r="H1825" t="s">
        <v>182</v>
      </c>
      <c r="I1825">
        <v>15</v>
      </c>
      <c r="J1825">
        <v>14</v>
      </c>
      <c r="K1825">
        <v>1</v>
      </c>
      <c r="L1825">
        <v>96460</v>
      </c>
      <c r="M1825" t="str">
        <f t="shared" si="263"/>
        <v>13</v>
      </c>
      <c r="N1825" t="s">
        <v>3323</v>
      </c>
      <c r="O1825" t="str">
        <f t="shared" si="266"/>
        <v>56911</v>
      </c>
      <c r="P1825" t="str">
        <f>"2100L"</f>
        <v>2100L</v>
      </c>
      <c r="Q1825" t="str">
        <f t="shared" si="264"/>
        <v>0101</v>
      </c>
      <c r="R1825">
        <v>2100</v>
      </c>
      <c r="S1825" t="str">
        <f t="shared" si="267"/>
        <v>5690</v>
      </c>
      <c r="T1825" t="s">
        <v>3593</v>
      </c>
      <c r="U1825" t="s">
        <v>49</v>
      </c>
    </row>
    <row r="1826" spans="1:21" ht="15" customHeight="1" x14ac:dyDescent="0.3">
      <c r="A1826" t="s">
        <v>179</v>
      </c>
      <c r="B1826" t="str">
        <f>"00058167"</f>
        <v>00058167</v>
      </c>
      <c r="C1826" t="s">
        <v>4262</v>
      </c>
      <c r="D1826" t="s">
        <v>1718</v>
      </c>
      <c r="E1826" t="str">
        <f>"00049085"</f>
        <v>00049085</v>
      </c>
      <c r="F1826">
        <v>0</v>
      </c>
      <c r="G1826" s="243">
        <v>37124</v>
      </c>
      <c r="H1826" t="s">
        <v>182</v>
      </c>
      <c r="I1826">
        <v>15</v>
      </c>
      <c r="J1826">
        <v>12</v>
      </c>
      <c r="K1826">
        <v>1</v>
      </c>
      <c r="L1826">
        <v>78261</v>
      </c>
      <c r="M1826" t="str">
        <f t="shared" si="263"/>
        <v>13</v>
      </c>
      <c r="N1826" t="s">
        <v>3323</v>
      </c>
      <c r="O1826" t="str">
        <f t="shared" si="266"/>
        <v>56911</v>
      </c>
      <c r="P1826" t="str">
        <f>"2100L"</f>
        <v>2100L</v>
      </c>
      <c r="Q1826" t="str">
        <f t="shared" si="264"/>
        <v>0101</v>
      </c>
      <c r="R1826">
        <v>2100</v>
      </c>
      <c r="S1826" t="str">
        <f t="shared" si="267"/>
        <v>5690</v>
      </c>
      <c r="T1826" t="s">
        <v>3593</v>
      </c>
      <c r="U1826" t="s">
        <v>49</v>
      </c>
    </row>
    <row r="1827" spans="1:21" ht="15" customHeight="1" x14ac:dyDescent="0.3">
      <c r="A1827" t="s">
        <v>179</v>
      </c>
      <c r="B1827" t="str">
        <f>"00058236"</f>
        <v>00058236</v>
      </c>
      <c r="C1827" t="s">
        <v>4260</v>
      </c>
      <c r="H1827" t="s">
        <v>170</v>
      </c>
      <c r="I1827">
        <v>15</v>
      </c>
      <c r="J1827">
        <v>1</v>
      </c>
      <c r="K1827">
        <v>1</v>
      </c>
      <c r="L1827">
        <v>54975</v>
      </c>
      <c r="M1827" t="str">
        <f t="shared" si="263"/>
        <v>13</v>
      </c>
      <c r="N1827" t="s">
        <v>3323</v>
      </c>
      <c r="O1827" t="str">
        <f t="shared" si="266"/>
        <v>56911</v>
      </c>
      <c r="P1827" t="str">
        <f>"3030L"</f>
        <v>3030L</v>
      </c>
      <c r="Q1827" t="str">
        <f t="shared" si="264"/>
        <v>0101</v>
      </c>
      <c r="R1827">
        <v>3030</v>
      </c>
      <c r="S1827" t="str">
        <f t="shared" si="267"/>
        <v>5690</v>
      </c>
      <c r="T1827" t="s">
        <v>3593</v>
      </c>
      <c r="U1827" t="s">
        <v>49</v>
      </c>
    </row>
    <row r="1828" spans="1:21" ht="15" customHeight="1" x14ac:dyDescent="0.3">
      <c r="A1828" t="s">
        <v>179</v>
      </c>
      <c r="B1828" t="str">
        <f>"00058334"</f>
        <v>00058334</v>
      </c>
      <c r="C1828" t="s">
        <v>4262</v>
      </c>
      <c r="D1828" t="s">
        <v>1719</v>
      </c>
      <c r="E1828" t="str">
        <f>"00045354"</f>
        <v>00045354</v>
      </c>
      <c r="F1828">
        <v>0</v>
      </c>
      <c r="G1828" s="243">
        <v>41133</v>
      </c>
      <c r="H1828" t="s">
        <v>182</v>
      </c>
      <c r="I1828">
        <v>15</v>
      </c>
      <c r="J1828">
        <v>7</v>
      </c>
      <c r="K1828">
        <v>1</v>
      </c>
      <c r="L1828">
        <v>61068</v>
      </c>
      <c r="M1828" t="str">
        <f t="shared" si="263"/>
        <v>13</v>
      </c>
      <c r="N1828" t="s">
        <v>3370</v>
      </c>
      <c r="O1828" t="str">
        <f t="shared" si="266"/>
        <v>56911</v>
      </c>
      <c r="P1828" t="str">
        <f>"2100L"</f>
        <v>2100L</v>
      </c>
      <c r="Q1828" t="str">
        <f t="shared" si="264"/>
        <v>0101</v>
      </c>
      <c r="R1828">
        <v>2100</v>
      </c>
      <c r="S1828" t="str">
        <f t="shared" si="267"/>
        <v>5690</v>
      </c>
      <c r="T1828" t="s">
        <v>3593</v>
      </c>
      <c r="U1828" t="s">
        <v>49</v>
      </c>
    </row>
    <row r="1829" spans="1:21" ht="15" customHeight="1" x14ac:dyDescent="0.3">
      <c r="A1829" t="s">
        <v>179</v>
      </c>
      <c r="B1829" t="str">
        <f>"00058365"</f>
        <v>00058365</v>
      </c>
      <c r="C1829" t="s">
        <v>4262</v>
      </c>
      <c r="D1829" t="s">
        <v>1720</v>
      </c>
      <c r="E1829" t="str">
        <f>"00047408"</f>
        <v>00047408</v>
      </c>
      <c r="F1829">
        <v>0</v>
      </c>
      <c r="G1829" s="243">
        <v>37132</v>
      </c>
      <c r="H1829" t="s">
        <v>182</v>
      </c>
      <c r="I1829">
        <v>15</v>
      </c>
      <c r="J1829">
        <v>12</v>
      </c>
      <c r="K1829">
        <v>1</v>
      </c>
      <c r="L1829">
        <v>87431</v>
      </c>
      <c r="M1829" t="str">
        <f t="shared" si="263"/>
        <v>13</v>
      </c>
      <c r="N1829" t="s">
        <v>3323</v>
      </c>
      <c r="O1829" t="str">
        <f t="shared" ref="O1829:O1858" si="269">"56911"</f>
        <v>56911</v>
      </c>
      <c r="P1829" t="str">
        <f>"2100L"</f>
        <v>2100L</v>
      </c>
      <c r="Q1829" t="str">
        <f t="shared" si="264"/>
        <v>0101</v>
      </c>
      <c r="R1829">
        <v>2100</v>
      </c>
      <c r="S1829" t="str">
        <f t="shared" ref="S1829:S1858" si="270">"5690"</f>
        <v>5690</v>
      </c>
      <c r="T1829" t="s">
        <v>3593</v>
      </c>
      <c r="U1829" t="s">
        <v>49</v>
      </c>
    </row>
    <row r="1830" spans="1:21" ht="15" customHeight="1" x14ac:dyDescent="0.3">
      <c r="A1830" t="s">
        <v>179</v>
      </c>
      <c r="B1830" t="str">
        <f>"00058467"</f>
        <v>00058467</v>
      </c>
      <c r="C1830" t="s">
        <v>4290</v>
      </c>
      <c r="D1830" t="s">
        <v>4854</v>
      </c>
      <c r="E1830" t="str">
        <f>"00048456"</f>
        <v>00048456</v>
      </c>
      <c r="F1830">
        <v>0</v>
      </c>
      <c r="G1830" s="243">
        <v>37186</v>
      </c>
      <c r="H1830" t="s">
        <v>182</v>
      </c>
      <c r="I1830">
        <v>4</v>
      </c>
      <c r="J1830">
        <v>8</v>
      </c>
      <c r="K1830">
        <v>0.875</v>
      </c>
      <c r="L1830">
        <v>27329.75</v>
      </c>
      <c r="M1830" t="str">
        <f t="shared" si="263"/>
        <v>13</v>
      </c>
      <c r="N1830" t="s">
        <v>3323</v>
      </c>
      <c r="O1830" t="str">
        <f t="shared" si="269"/>
        <v>56911</v>
      </c>
      <c r="P1830" t="str">
        <f>"3030L"</f>
        <v>3030L</v>
      </c>
      <c r="Q1830" t="str">
        <f t="shared" si="264"/>
        <v>0101</v>
      </c>
      <c r="R1830">
        <v>3030</v>
      </c>
      <c r="S1830" t="str">
        <f t="shared" si="270"/>
        <v>5690</v>
      </c>
      <c r="T1830" t="s">
        <v>3593</v>
      </c>
      <c r="U1830" t="s">
        <v>49</v>
      </c>
    </row>
    <row r="1831" spans="1:21" ht="15" customHeight="1" x14ac:dyDescent="0.3">
      <c r="A1831" t="s">
        <v>179</v>
      </c>
      <c r="B1831" t="str">
        <f>"00059193"</f>
        <v>00059193</v>
      </c>
      <c r="C1831" t="s">
        <v>4262</v>
      </c>
      <c r="D1831" t="s">
        <v>1721</v>
      </c>
      <c r="E1831" t="str">
        <f>"00044691"</f>
        <v>00044691</v>
      </c>
      <c r="F1831">
        <v>0</v>
      </c>
      <c r="G1831" s="243">
        <v>36164</v>
      </c>
      <c r="H1831" t="s">
        <v>182</v>
      </c>
      <c r="I1831">
        <v>15</v>
      </c>
      <c r="J1831">
        <v>12</v>
      </c>
      <c r="K1831">
        <v>1</v>
      </c>
      <c r="L1831">
        <v>78261</v>
      </c>
      <c r="M1831" t="str">
        <f t="shared" si="263"/>
        <v>13</v>
      </c>
      <c r="N1831" t="s">
        <v>3323</v>
      </c>
      <c r="O1831" t="str">
        <f t="shared" si="269"/>
        <v>56911</v>
      </c>
      <c r="P1831" t="str">
        <f>"2100L"</f>
        <v>2100L</v>
      </c>
      <c r="Q1831" t="str">
        <f t="shared" si="264"/>
        <v>0101</v>
      </c>
      <c r="R1831">
        <v>2100</v>
      </c>
      <c r="S1831" t="str">
        <f t="shared" si="270"/>
        <v>5690</v>
      </c>
      <c r="T1831" t="s">
        <v>3593</v>
      </c>
      <c r="U1831" t="s">
        <v>49</v>
      </c>
    </row>
    <row r="1832" spans="1:21" ht="15" customHeight="1" x14ac:dyDescent="0.3">
      <c r="A1832" t="s">
        <v>179</v>
      </c>
      <c r="B1832" t="str">
        <f>"00059341"</f>
        <v>00059341</v>
      </c>
      <c r="C1832" t="s">
        <v>4259</v>
      </c>
      <c r="H1832" t="s">
        <v>170</v>
      </c>
      <c r="I1832">
        <v>15</v>
      </c>
      <c r="J1832">
        <v>1</v>
      </c>
      <c r="K1832">
        <v>1</v>
      </c>
      <c r="L1832">
        <v>54975</v>
      </c>
      <c r="M1832" t="str">
        <f t="shared" si="263"/>
        <v>13</v>
      </c>
      <c r="N1832" t="s">
        <v>3323</v>
      </c>
      <c r="O1832" t="str">
        <f t="shared" si="269"/>
        <v>56911</v>
      </c>
      <c r="P1832" t="str">
        <f>"2100L"</f>
        <v>2100L</v>
      </c>
      <c r="Q1832" t="str">
        <f t="shared" si="264"/>
        <v>0101</v>
      </c>
      <c r="R1832">
        <v>2100</v>
      </c>
      <c r="S1832" t="str">
        <f t="shared" si="270"/>
        <v>5690</v>
      </c>
      <c r="T1832" t="s">
        <v>3593</v>
      </c>
      <c r="U1832" t="s">
        <v>49</v>
      </c>
    </row>
    <row r="1833" spans="1:21" ht="15" customHeight="1" x14ac:dyDescent="0.3">
      <c r="A1833" t="s">
        <v>179</v>
      </c>
      <c r="B1833" t="str">
        <f>"00059499"</f>
        <v>00059499</v>
      </c>
      <c r="C1833" t="s">
        <v>4260</v>
      </c>
      <c r="D1833" t="s">
        <v>1723</v>
      </c>
      <c r="E1833" t="str">
        <f>"00055266"</f>
        <v>00055266</v>
      </c>
      <c r="F1833">
        <v>0</v>
      </c>
      <c r="G1833" s="243">
        <v>37921</v>
      </c>
      <c r="H1833" t="s">
        <v>182</v>
      </c>
      <c r="I1833">
        <v>15</v>
      </c>
      <c r="J1833">
        <v>14</v>
      </c>
      <c r="K1833">
        <v>1</v>
      </c>
      <c r="L1833">
        <v>96460</v>
      </c>
      <c r="M1833" t="str">
        <f t="shared" si="263"/>
        <v>13</v>
      </c>
      <c r="N1833" t="s">
        <v>3323</v>
      </c>
      <c r="O1833" t="str">
        <f t="shared" si="269"/>
        <v>56911</v>
      </c>
      <c r="P1833" t="str">
        <f>"3030L"</f>
        <v>3030L</v>
      </c>
      <c r="Q1833" t="str">
        <f t="shared" si="264"/>
        <v>0101</v>
      </c>
      <c r="R1833">
        <v>3030</v>
      </c>
      <c r="S1833" t="str">
        <f t="shared" si="270"/>
        <v>5690</v>
      </c>
      <c r="T1833" t="s">
        <v>3593</v>
      </c>
      <c r="U1833" t="s">
        <v>49</v>
      </c>
    </row>
    <row r="1834" spans="1:21" ht="15" customHeight="1" x14ac:dyDescent="0.3">
      <c r="A1834" t="s">
        <v>179</v>
      </c>
      <c r="B1834" t="str">
        <f>"00059791"</f>
        <v>00059791</v>
      </c>
      <c r="C1834" t="s">
        <v>4272</v>
      </c>
      <c r="D1834" t="s">
        <v>1724</v>
      </c>
      <c r="E1834" t="str">
        <f>"00047607"</f>
        <v>00047607</v>
      </c>
      <c r="F1834">
        <v>0</v>
      </c>
      <c r="G1834" s="243">
        <v>38226</v>
      </c>
      <c r="H1834" t="s">
        <v>182</v>
      </c>
      <c r="I1834">
        <v>15</v>
      </c>
      <c r="J1834">
        <v>12</v>
      </c>
      <c r="K1834">
        <v>1</v>
      </c>
      <c r="L1834">
        <v>87431</v>
      </c>
      <c r="M1834" t="str">
        <f t="shared" ref="M1834:M1888" si="271">"13"</f>
        <v>13</v>
      </c>
      <c r="N1834" t="s">
        <v>3323</v>
      </c>
      <c r="O1834" t="str">
        <f t="shared" si="269"/>
        <v>56911</v>
      </c>
      <c r="P1834" t="str">
        <f>"2200L"</f>
        <v>2200L</v>
      </c>
      <c r="Q1834" t="str">
        <f t="shared" si="264"/>
        <v>0101</v>
      </c>
      <c r="R1834">
        <v>2200</v>
      </c>
      <c r="S1834" t="str">
        <f t="shared" si="270"/>
        <v>5690</v>
      </c>
      <c r="T1834" t="s">
        <v>3593</v>
      </c>
      <c r="U1834" t="s">
        <v>49</v>
      </c>
    </row>
    <row r="1835" spans="1:21" ht="15" customHeight="1" x14ac:dyDescent="0.3">
      <c r="A1835" t="s">
        <v>179</v>
      </c>
      <c r="B1835" t="str">
        <f>"00059792"</f>
        <v>00059792</v>
      </c>
      <c r="C1835" t="s">
        <v>4260</v>
      </c>
      <c r="H1835" t="s">
        <v>170</v>
      </c>
      <c r="I1835">
        <v>15</v>
      </c>
      <c r="J1835">
        <v>1</v>
      </c>
      <c r="K1835">
        <v>1</v>
      </c>
      <c r="L1835">
        <v>54975</v>
      </c>
      <c r="M1835" t="str">
        <f t="shared" si="271"/>
        <v>13</v>
      </c>
      <c r="N1835" t="s">
        <v>3323</v>
      </c>
      <c r="O1835" t="str">
        <f t="shared" si="269"/>
        <v>56911</v>
      </c>
      <c r="P1835" t="str">
        <f>"3030L"</f>
        <v>3030L</v>
      </c>
      <c r="Q1835" t="str">
        <f t="shared" si="264"/>
        <v>0101</v>
      </c>
      <c r="R1835">
        <v>3030</v>
      </c>
      <c r="S1835" t="str">
        <f t="shared" si="270"/>
        <v>5690</v>
      </c>
      <c r="T1835" t="s">
        <v>3593</v>
      </c>
      <c r="U1835" t="s">
        <v>49</v>
      </c>
    </row>
    <row r="1836" spans="1:21" ht="15" customHeight="1" x14ac:dyDescent="0.3">
      <c r="A1836" t="s">
        <v>179</v>
      </c>
      <c r="B1836" t="str">
        <f>"00059826"</f>
        <v>00059826</v>
      </c>
      <c r="C1836" t="s">
        <v>4260</v>
      </c>
      <c r="H1836" t="s">
        <v>170</v>
      </c>
      <c r="I1836">
        <v>15</v>
      </c>
      <c r="J1836">
        <v>1</v>
      </c>
      <c r="K1836">
        <v>1</v>
      </c>
      <c r="L1836">
        <v>54975</v>
      </c>
      <c r="M1836" t="str">
        <f t="shared" si="271"/>
        <v>13</v>
      </c>
      <c r="N1836" t="s">
        <v>3323</v>
      </c>
      <c r="O1836" t="str">
        <f t="shared" si="269"/>
        <v>56911</v>
      </c>
      <c r="P1836" t="str">
        <f>"3030L"</f>
        <v>3030L</v>
      </c>
      <c r="Q1836" t="str">
        <f t="shared" si="264"/>
        <v>0101</v>
      </c>
      <c r="R1836">
        <v>3030</v>
      </c>
      <c r="S1836" t="str">
        <f t="shared" si="270"/>
        <v>5690</v>
      </c>
      <c r="T1836" t="s">
        <v>3593</v>
      </c>
      <c r="U1836" t="s">
        <v>49</v>
      </c>
    </row>
    <row r="1837" spans="1:21" ht="15" customHeight="1" x14ac:dyDescent="0.3">
      <c r="A1837" t="s">
        <v>179</v>
      </c>
      <c r="B1837" t="str">
        <f>"00059828"</f>
        <v>00059828</v>
      </c>
      <c r="C1837" t="s">
        <v>4262</v>
      </c>
      <c r="D1837" t="s">
        <v>1726</v>
      </c>
      <c r="E1837" t="str">
        <f>"00045737"</f>
        <v>00045737</v>
      </c>
      <c r="F1837">
        <v>0</v>
      </c>
      <c r="G1837" s="243">
        <v>37512</v>
      </c>
      <c r="H1837" t="s">
        <v>182</v>
      </c>
      <c r="I1837">
        <v>15</v>
      </c>
      <c r="J1837">
        <v>12</v>
      </c>
      <c r="K1837">
        <v>1</v>
      </c>
      <c r="L1837">
        <v>87431</v>
      </c>
      <c r="M1837" t="str">
        <f t="shared" si="271"/>
        <v>13</v>
      </c>
      <c r="N1837" t="s">
        <v>3323</v>
      </c>
      <c r="O1837" t="str">
        <f t="shared" si="269"/>
        <v>56911</v>
      </c>
      <c r="P1837" t="str">
        <f>"2100L"</f>
        <v>2100L</v>
      </c>
      <c r="Q1837" t="str">
        <f t="shared" si="264"/>
        <v>0101</v>
      </c>
      <c r="R1837">
        <v>2100</v>
      </c>
      <c r="S1837" t="str">
        <f t="shared" si="270"/>
        <v>5690</v>
      </c>
      <c r="T1837" t="s">
        <v>3593</v>
      </c>
      <c r="U1837" t="s">
        <v>49</v>
      </c>
    </row>
    <row r="1838" spans="1:21" ht="15" customHeight="1" x14ac:dyDescent="0.3">
      <c r="A1838" t="s">
        <v>179</v>
      </c>
      <c r="B1838" t="str">
        <f>"00059839"</f>
        <v>00059839</v>
      </c>
      <c r="C1838" t="s">
        <v>4258</v>
      </c>
      <c r="D1838" t="s">
        <v>3600</v>
      </c>
      <c r="E1838" t="str">
        <f>"00045550"</f>
        <v>00045550</v>
      </c>
      <c r="F1838">
        <v>0</v>
      </c>
      <c r="G1838" s="243">
        <v>38226</v>
      </c>
      <c r="H1838" t="s">
        <v>182</v>
      </c>
      <c r="I1838">
        <v>15</v>
      </c>
      <c r="J1838">
        <v>9</v>
      </c>
      <c r="K1838">
        <v>1</v>
      </c>
      <c r="L1838">
        <v>65985</v>
      </c>
      <c r="M1838" t="str">
        <f t="shared" si="271"/>
        <v>13</v>
      </c>
      <c r="N1838" t="s">
        <v>3323</v>
      </c>
      <c r="O1838" t="str">
        <f t="shared" si="269"/>
        <v>56911</v>
      </c>
      <c r="P1838" t="str">
        <f>"2100L"</f>
        <v>2100L</v>
      </c>
      <c r="Q1838" t="str">
        <f t="shared" si="264"/>
        <v>0101</v>
      </c>
      <c r="R1838">
        <v>2100</v>
      </c>
      <c r="S1838" t="str">
        <f t="shared" si="270"/>
        <v>5690</v>
      </c>
      <c r="T1838" t="s">
        <v>3593</v>
      </c>
      <c r="U1838" t="s">
        <v>49</v>
      </c>
    </row>
    <row r="1839" spans="1:21" ht="15" customHeight="1" x14ac:dyDescent="0.3">
      <c r="A1839" t="s">
        <v>179</v>
      </c>
      <c r="B1839" t="str">
        <f>"00059861"</f>
        <v>00059861</v>
      </c>
      <c r="C1839" t="s">
        <v>4262</v>
      </c>
      <c r="D1839" t="s">
        <v>3597</v>
      </c>
      <c r="E1839" t="str">
        <f>"00066148"</f>
        <v>00066148</v>
      </c>
      <c r="F1839">
        <v>0</v>
      </c>
      <c r="G1839" s="243">
        <v>40755</v>
      </c>
      <c r="H1839" t="s">
        <v>182</v>
      </c>
      <c r="I1839">
        <v>15</v>
      </c>
      <c r="J1839">
        <v>11</v>
      </c>
      <c r="K1839">
        <v>1</v>
      </c>
      <c r="L1839">
        <v>81335</v>
      </c>
      <c r="M1839" t="str">
        <f t="shared" si="271"/>
        <v>13</v>
      </c>
      <c r="N1839" t="s">
        <v>3323</v>
      </c>
      <c r="O1839" t="str">
        <f t="shared" si="269"/>
        <v>56911</v>
      </c>
      <c r="P1839" t="str">
        <f>"2100L"</f>
        <v>2100L</v>
      </c>
      <c r="Q1839" t="str">
        <f t="shared" si="264"/>
        <v>0101</v>
      </c>
      <c r="R1839">
        <v>2100</v>
      </c>
      <c r="S1839" t="str">
        <f t="shared" si="270"/>
        <v>5690</v>
      </c>
      <c r="T1839" t="s">
        <v>3593</v>
      </c>
      <c r="U1839" t="s">
        <v>49</v>
      </c>
    </row>
    <row r="1840" spans="1:21" ht="15" customHeight="1" x14ac:dyDescent="0.3">
      <c r="A1840" t="s">
        <v>179</v>
      </c>
      <c r="B1840" t="str">
        <f>"00059996"</f>
        <v>00059996</v>
      </c>
      <c r="C1840" t="s">
        <v>1727</v>
      </c>
      <c r="D1840" t="s">
        <v>1728</v>
      </c>
      <c r="E1840" t="str">
        <f>"00048132"</f>
        <v>00048132</v>
      </c>
      <c r="F1840">
        <v>0</v>
      </c>
      <c r="G1840" s="243">
        <v>41091</v>
      </c>
      <c r="H1840" t="s">
        <v>182</v>
      </c>
      <c r="I1840">
        <v>16</v>
      </c>
      <c r="J1840">
        <v>1</v>
      </c>
      <c r="K1840">
        <v>0.5</v>
      </c>
      <c r="L1840">
        <v>24377.599999999999</v>
      </c>
      <c r="M1840" t="str">
        <f t="shared" si="271"/>
        <v>13</v>
      </c>
      <c r="N1840" t="s">
        <v>3323</v>
      </c>
      <c r="O1840" t="str">
        <f t="shared" si="269"/>
        <v>56911</v>
      </c>
      <c r="P1840" t="str">
        <f>"2100L"</f>
        <v>2100L</v>
      </c>
      <c r="Q1840" t="str">
        <f t="shared" si="264"/>
        <v>0101</v>
      </c>
      <c r="R1840">
        <v>2100</v>
      </c>
      <c r="S1840" t="str">
        <f t="shared" si="270"/>
        <v>5690</v>
      </c>
      <c r="T1840" t="s">
        <v>3593</v>
      </c>
      <c r="U1840" t="s">
        <v>49</v>
      </c>
    </row>
    <row r="1841" spans="1:21" ht="15" customHeight="1" x14ac:dyDescent="0.3">
      <c r="A1841" t="s">
        <v>179</v>
      </c>
      <c r="B1841" t="str">
        <f>"00060063"</f>
        <v>00060063</v>
      </c>
      <c r="C1841" t="s">
        <v>4290</v>
      </c>
      <c r="D1841" t="s">
        <v>4855</v>
      </c>
      <c r="E1841" t="str">
        <f>"00052999"</f>
        <v>00052999</v>
      </c>
      <c r="F1841">
        <v>0</v>
      </c>
      <c r="G1841" s="243">
        <v>38303</v>
      </c>
      <c r="H1841" t="s">
        <v>182</v>
      </c>
      <c r="I1841">
        <v>4</v>
      </c>
      <c r="J1841">
        <v>6</v>
      </c>
      <c r="K1841">
        <v>0.75</v>
      </c>
      <c r="L1841">
        <v>22230.75</v>
      </c>
      <c r="M1841" t="str">
        <f t="shared" si="271"/>
        <v>13</v>
      </c>
      <c r="N1841" t="s">
        <v>3323</v>
      </c>
      <c r="O1841" t="str">
        <f t="shared" si="269"/>
        <v>56911</v>
      </c>
      <c r="P1841" t="str">
        <f>"3030L"</f>
        <v>3030L</v>
      </c>
      <c r="Q1841" t="str">
        <f t="shared" ref="Q1841:Q1894" si="272">"0101"</f>
        <v>0101</v>
      </c>
      <c r="R1841">
        <v>3030</v>
      </c>
      <c r="S1841" t="str">
        <f t="shared" si="270"/>
        <v>5690</v>
      </c>
      <c r="T1841" t="s">
        <v>3593</v>
      </c>
      <c r="U1841" t="s">
        <v>49</v>
      </c>
    </row>
    <row r="1842" spans="1:21" ht="15" customHeight="1" x14ac:dyDescent="0.3">
      <c r="A1842" t="s">
        <v>179</v>
      </c>
      <c r="B1842" t="str">
        <f>"00061054"</f>
        <v>00061054</v>
      </c>
      <c r="C1842" t="s">
        <v>4254</v>
      </c>
      <c r="D1842" t="s">
        <v>1729</v>
      </c>
      <c r="E1842" t="str">
        <f>"00055164"</f>
        <v>00055164</v>
      </c>
      <c r="F1842">
        <v>0</v>
      </c>
      <c r="G1842" s="243">
        <v>39314</v>
      </c>
      <c r="H1842" t="s">
        <v>182</v>
      </c>
      <c r="I1842">
        <v>15</v>
      </c>
      <c r="J1842">
        <v>11</v>
      </c>
      <c r="K1842">
        <v>1</v>
      </c>
      <c r="L1842">
        <v>70891</v>
      </c>
      <c r="M1842" t="str">
        <f t="shared" si="271"/>
        <v>13</v>
      </c>
      <c r="N1842" t="s">
        <v>3323</v>
      </c>
      <c r="O1842" t="str">
        <f t="shared" si="269"/>
        <v>56911</v>
      </c>
      <c r="P1842" t="str">
        <f t="shared" ref="P1842:P1847" si="273">"2100L"</f>
        <v>2100L</v>
      </c>
      <c r="Q1842" t="str">
        <f t="shared" si="272"/>
        <v>0101</v>
      </c>
      <c r="R1842">
        <v>2100</v>
      </c>
      <c r="S1842" t="str">
        <f t="shared" si="270"/>
        <v>5690</v>
      </c>
      <c r="T1842" t="s">
        <v>3593</v>
      </c>
      <c r="U1842" t="s">
        <v>49</v>
      </c>
    </row>
    <row r="1843" spans="1:21" ht="15" customHeight="1" x14ac:dyDescent="0.3">
      <c r="A1843" t="s">
        <v>179</v>
      </c>
      <c r="B1843" t="str">
        <f>"00061148"</f>
        <v>00061148</v>
      </c>
      <c r="C1843" t="s">
        <v>4260</v>
      </c>
      <c r="D1843" t="s">
        <v>1730</v>
      </c>
      <c r="E1843" t="str">
        <f>"00048317"</f>
        <v>00048317</v>
      </c>
      <c r="F1843">
        <v>0</v>
      </c>
      <c r="G1843" s="243">
        <v>39314</v>
      </c>
      <c r="H1843" t="s">
        <v>182</v>
      </c>
      <c r="I1843">
        <v>15</v>
      </c>
      <c r="J1843">
        <v>12</v>
      </c>
      <c r="K1843">
        <v>1</v>
      </c>
      <c r="L1843">
        <v>87431</v>
      </c>
      <c r="M1843" t="str">
        <f t="shared" si="271"/>
        <v>13</v>
      </c>
      <c r="N1843" t="s">
        <v>3323</v>
      </c>
      <c r="O1843" t="str">
        <f t="shared" si="269"/>
        <v>56911</v>
      </c>
      <c r="P1843" t="str">
        <f t="shared" si="273"/>
        <v>2100L</v>
      </c>
      <c r="Q1843" t="str">
        <f t="shared" si="272"/>
        <v>0101</v>
      </c>
      <c r="R1843">
        <v>2100</v>
      </c>
      <c r="S1843" t="str">
        <f t="shared" si="270"/>
        <v>5690</v>
      </c>
      <c r="T1843" t="s">
        <v>3593</v>
      </c>
      <c r="U1843" t="s">
        <v>49</v>
      </c>
    </row>
    <row r="1844" spans="1:21" ht="15" customHeight="1" x14ac:dyDescent="0.3">
      <c r="A1844" t="s">
        <v>179</v>
      </c>
      <c r="B1844" t="str">
        <f>"00061883"</f>
        <v>00061883</v>
      </c>
      <c r="C1844" t="s">
        <v>200</v>
      </c>
      <c r="D1844" t="s">
        <v>1731</v>
      </c>
      <c r="E1844" t="str">
        <f>"00007082"</f>
        <v>00007082</v>
      </c>
      <c r="F1844">
        <v>1</v>
      </c>
      <c r="G1844" s="243">
        <v>39679</v>
      </c>
      <c r="H1844" t="s">
        <v>182</v>
      </c>
      <c r="I1844">
        <v>15</v>
      </c>
      <c r="J1844">
        <v>12</v>
      </c>
      <c r="K1844">
        <v>1</v>
      </c>
      <c r="L1844">
        <v>87431</v>
      </c>
      <c r="M1844" t="str">
        <f t="shared" si="271"/>
        <v>13</v>
      </c>
      <c r="N1844" t="s">
        <v>3323</v>
      </c>
      <c r="O1844" t="str">
        <f t="shared" si="269"/>
        <v>56911</v>
      </c>
      <c r="P1844" t="str">
        <f t="shared" si="273"/>
        <v>2100L</v>
      </c>
      <c r="Q1844" t="str">
        <f t="shared" si="272"/>
        <v>0101</v>
      </c>
      <c r="R1844">
        <v>2100</v>
      </c>
      <c r="S1844" t="str">
        <f t="shared" si="270"/>
        <v>5690</v>
      </c>
      <c r="T1844" t="s">
        <v>3593</v>
      </c>
      <c r="U1844" t="s">
        <v>49</v>
      </c>
    </row>
    <row r="1845" spans="1:21" ht="15" customHeight="1" x14ac:dyDescent="0.3">
      <c r="A1845" t="s">
        <v>179</v>
      </c>
      <c r="B1845" t="str">
        <f>"00062248"</f>
        <v>00062248</v>
      </c>
      <c r="C1845" t="s">
        <v>4262</v>
      </c>
      <c r="D1845" t="s">
        <v>1732</v>
      </c>
      <c r="E1845" t="str">
        <f>"00046055"</f>
        <v>00046055</v>
      </c>
      <c r="F1845">
        <v>0</v>
      </c>
      <c r="G1845" s="243">
        <v>39679</v>
      </c>
      <c r="H1845" t="s">
        <v>182</v>
      </c>
      <c r="I1845">
        <v>15</v>
      </c>
      <c r="J1845">
        <v>4</v>
      </c>
      <c r="K1845">
        <v>1</v>
      </c>
      <c r="L1845">
        <v>61158</v>
      </c>
      <c r="M1845" t="str">
        <f t="shared" si="271"/>
        <v>13</v>
      </c>
      <c r="N1845" t="s">
        <v>3323</v>
      </c>
      <c r="O1845" t="str">
        <f t="shared" si="269"/>
        <v>56911</v>
      </c>
      <c r="P1845" t="str">
        <f t="shared" si="273"/>
        <v>2100L</v>
      </c>
      <c r="Q1845" t="str">
        <f t="shared" si="272"/>
        <v>0101</v>
      </c>
      <c r="R1845">
        <v>2100</v>
      </c>
      <c r="S1845" t="str">
        <f t="shared" si="270"/>
        <v>5690</v>
      </c>
      <c r="T1845" t="s">
        <v>3593</v>
      </c>
      <c r="U1845" t="s">
        <v>49</v>
      </c>
    </row>
    <row r="1846" spans="1:21" ht="15" customHeight="1" x14ac:dyDescent="0.3">
      <c r="A1846" t="s">
        <v>179</v>
      </c>
      <c r="B1846" t="str">
        <f>"00062431"</f>
        <v>00062431</v>
      </c>
      <c r="C1846" t="s">
        <v>1733</v>
      </c>
      <c r="D1846" t="s">
        <v>1734</v>
      </c>
      <c r="E1846" t="str">
        <f>"00050809"</f>
        <v>00050809</v>
      </c>
      <c r="F1846">
        <v>0</v>
      </c>
      <c r="G1846" s="243">
        <v>40725</v>
      </c>
      <c r="H1846" t="s">
        <v>182</v>
      </c>
      <c r="I1846">
        <v>16</v>
      </c>
      <c r="J1846">
        <v>2</v>
      </c>
      <c r="K1846">
        <v>0.5</v>
      </c>
      <c r="L1846">
        <v>27674.400000000001</v>
      </c>
      <c r="M1846" t="str">
        <f t="shared" si="271"/>
        <v>13</v>
      </c>
      <c r="N1846" t="s">
        <v>3323</v>
      </c>
      <c r="O1846" t="str">
        <f t="shared" si="269"/>
        <v>56911</v>
      </c>
      <c r="P1846" t="str">
        <f t="shared" si="273"/>
        <v>2100L</v>
      </c>
      <c r="Q1846" t="str">
        <f t="shared" si="272"/>
        <v>0101</v>
      </c>
      <c r="R1846">
        <v>2100</v>
      </c>
      <c r="S1846" t="str">
        <f t="shared" si="270"/>
        <v>5690</v>
      </c>
      <c r="T1846" t="s">
        <v>3593</v>
      </c>
      <c r="U1846" t="s">
        <v>49</v>
      </c>
    </row>
    <row r="1847" spans="1:21" ht="15" customHeight="1" x14ac:dyDescent="0.3">
      <c r="A1847" t="s">
        <v>179</v>
      </c>
      <c r="B1847" t="str">
        <f>"00062457"</f>
        <v>00062457</v>
      </c>
      <c r="C1847" t="s">
        <v>4274</v>
      </c>
      <c r="D1847" t="s">
        <v>4856</v>
      </c>
      <c r="E1847" t="str">
        <f>"00056103"</f>
        <v>00056103</v>
      </c>
      <c r="F1847">
        <v>0</v>
      </c>
      <c r="G1847" s="243">
        <v>40787</v>
      </c>
      <c r="H1847" t="s">
        <v>182</v>
      </c>
      <c r="I1847">
        <v>4</v>
      </c>
      <c r="J1847">
        <v>6</v>
      </c>
      <c r="K1847">
        <v>0.875</v>
      </c>
      <c r="L1847">
        <v>25935.88</v>
      </c>
      <c r="M1847" t="str">
        <f t="shared" si="271"/>
        <v>13</v>
      </c>
      <c r="N1847" t="s">
        <v>3323</v>
      </c>
      <c r="O1847" t="str">
        <f t="shared" si="269"/>
        <v>56911</v>
      </c>
      <c r="P1847" t="str">
        <f t="shared" si="273"/>
        <v>2100L</v>
      </c>
      <c r="Q1847" t="str">
        <f t="shared" si="272"/>
        <v>0101</v>
      </c>
      <c r="R1847">
        <v>2100</v>
      </c>
      <c r="S1847" t="str">
        <f t="shared" si="270"/>
        <v>5690</v>
      </c>
      <c r="T1847" t="s">
        <v>3593</v>
      </c>
      <c r="U1847" t="s">
        <v>49</v>
      </c>
    </row>
    <row r="1848" spans="1:21" ht="15" customHeight="1" x14ac:dyDescent="0.3">
      <c r="A1848" t="s">
        <v>179</v>
      </c>
      <c r="B1848" t="str">
        <f>"00062508"</f>
        <v>00062508</v>
      </c>
      <c r="C1848" t="s">
        <v>4857</v>
      </c>
      <c r="D1848" t="s">
        <v>3595</v>
      </c>
      <c r="E1848" t="str">
        <f>"00044798"</f>
        <v>00044798</v>
      </c>
      <c r="F1848">
        <v>0</v>
      </c>
      <c r="G1848" s="243">
        <v>39679</v>
      </c>
      <c r="H1848" t="s">
        <v>182</v>
      </c>
      <c r="I1848">
        <v>9</v>
      </c>
      <c r="J1848">
        <v>4</v>
      </c>
      <c r="K1848">
        <v>1</v>
      </c>
      <c r="L1848">
        <v>62127</v>
      </c>
      <c r="M1848" t="str">
        <f t="shared" si="271"/>
        <v>13</v>
      </c>
      <c r="N1848" t="s">
        <v>3323</v>
      </c>
      <c r="O1848" t="str">
        <f t="shared" si="269"/>
        <v>56911</v>
      </c>
      <c r="P1848" t="str">
        <f>"5920L"</f>
        <v>5920L</v>
      </c>
      <c r="Q1848" t="str">
        <f t="shared" si="272"/>
        <v>0101</v>
      </c>
      <c r="R1848">
        <v>5920</v>
      </c>
      <c r="S1848" t="str">
        <f t="shared" si="270"/>
        <v>5690</v>
      </c>
      <c r="T1848" t="s">
        <v>3593</v>
      </c>
      <c r="U1848" t="s">
        <v>49</v>
      </c>
    </row>
    <row r="1849" spans="1:21" ht="15" customHeight="1" x14ac:dyDescent="0.3">
      <c r="A1849" t="s">
        <v>179</v>
      </c>
      <c r="B1849" t="str">
        <f>"00062607"</f>
        <v>00062607</v>
      </c>
      <c r="C1849" t="s">
        <v>4274</v>
      </c>
      <c r="D1849" t="s">
        <v>4858</v>
      </c>
      <c r="E1849" t="str">
        <f>"00058782"</f>
        <v>00058782</v>
      </c>
      <c r="F1849">
        <v>0</v>
      </c>
      <c r="G1849" s="243">
        <v>40088</v>
      </c>
      <c r="H1849" t="s">
        <v>182</v>
      </c>
      <c r="I1849">
        <v>4</v>
      </c>
      <c r="J1849">
        <v>6</v>
      </c>
      <c r="K1849">
        <v>0.875</v>
      </c>
      <c r="L1849">
        <v>25935.88</v>
      </c>
      <c r="M1849" t="str">
        <f t="shared" si="271"/>
        <v>13</v>
      </c>
      <c r="N1849" t="s">
        <v>3370</v>
      </c>
      <c r="O1849" t="str">
        <f t="shared" si="269"/>
        <v>56911</v>
      </c>
      <c r="P1849" t="str">
        <f>"2200L"</f>
        <v>2200L</v>
      </c>
      <c r="Q1849" t="str">
        <f t="shared" si="272"/>
        <v>0101</v>
      </c>
      <c r="R1849">
        <v>2200</v>
      </c>
      <c r="S1849" t="str">
        <f t="shared" si="270"/>
        <v>5690</v>
      </c>
      <c r="T1849" t="s">
        <v>3593</v>
      </c>
      <c r="U1849" t="s">
        <v>49</v>
      </c>
    </row>
    <row r="1850" spans="1:21" ht="15" customHeight="1" x14ac:dyDescent="0.3">
      <c r="A1850" t="s">
        <v>179</v>
      </c>
      <c r="B1850" t="str">
        <f>"00062721"</f>
        <v>00062721</v>
      </c>
      <c r="C1850" t="s">
        <v>4262</v>
      </c>
      <c r="D1850" t="s">
        <v>1735</v>
      </c>
      <c r="E1850" t="str">
        <f>"00047017"</f>
        <v>00047017</v>
      </c>
      <c r="F1850">
        <v>0</v>
      </c>
      <c r="G1850" s="243">
        <v>39727</v>
      </c>
      <c r="H1850" t="s">
        <v>182</v>
      </c>
      <c r="I1850">
        <v>15</v>
      </c>
      <c r="J1850">
        <v>5</v>
      </c>
      <c r="K1850">
        <v>1</v>
      </c>
      <c r="L1850">
        <v>63611</v>
      </c>
      <c r="M1850" t="str">
        <f t="shared" si="271"/>
        <v>13</v>
      </c>
      <c r="N1850" t="s">
        <v>3323</v>
      </c>
      <c r="O1850" t="str">
        <f t="shared" si="269"/>
        <v>56911</v>
      </c>
      <c r="P1850" t="str">
        <f>"2100L"</f>
        <v>2100L</v>
      </c>
      <c r="Q1850" t="str">
        <f t="shared" si="272"/>
        <v>0101</v>
      </c>
      <c r="R1850">
        <v>2100</v>
      </c>
      <c r="S1850" t="str">
        <f t="shared" si="270"/>
        <v>5690</v>
      </c>
      <c r="T1850" t="s">
        <v>3593</v>
      </c>
      <c r="U1850" t="s">
        <v>49</v>
      </c>
    </row>
    <row r="1851" spans="1:21" ht="15" customHeight="1" x14ac:dyDescent="0.3">
      <c r="A1851" t="s">
        <v>179</v>
      </c>
      <c r="B1851" t="str">
        <f>"00066048"</f>
        <v>00066048</v>
      </c>
      <c r="C1851" t="s">
        <v>4857</v>
      </c>
      <c r="D1851" t="s">
        <v>3598</v>
      </c>
      <c r="E1851" t="str">
        <f>"00065779"</f>
        <v>00065779</v>
      </c>
      <c r="F1851">
        <v>0</v>
      </c>
      <c r="G1851" s="243">
        <v>40755</v>
      </c>
      <c r="H1851" t="s">
        <v>182</v>
      </c>
      <c r="I1851">
        <v>9</v>
      </c>
      <c r="J1851">
        <v>2</v>
      </c>
      <c r="K1851">
        <v>1</v>
      </c>
      <c r="L1851">
        <v>58350</v>
      </c>
      <c r="M1851" t="str">
        <f t="shared" si="271"/>
        <v>13</v>
      </c>
      <c r="N1851" t="s">
        <v>3323</v>
      </c>
      <c r="O1851" t="str">
        <f t="shared" si="269"/>
        <v>56911</v>
      </c>
      <c r="P1851" t="str">
        <f>"2100L"</f>
        <v>2100L</v>
      </c>
      <c r="Q1851" t="str">
        <f t="shared" si="272"/>
        <v>0101</v>
      </c>
      <c r="R1851">
        <v>2100</v>
      </c>
      <c r="S1851" t="str">
        <f t="shared" si="270"/>
        <v>5690</v>
      </c>
      <c r="T1851" t="s">
        <v>3593</v>
      </c>
      <c r="U1851" t="s">
        <v>49</v>
      </c>
    </row>
    <row r="1852" spans="1:21" ht="15" customHeight="1" x14ac:dyDescent="0.3">
      <c r="A1852" t="s">
        <v>179</v>
      </c>
      <c r="B1852" t="str">
        <f>"00066082"</f>
        <v>00066082</v>
      </c>
      <c r="C1852" t="s">
        <v>314</v>
      </c>
      <c r="H1852" t="s">
        <v>170</v>
      </c>
      <c r="I1852">
        <v>16</v>
      </c>
      <c r="J1852">
        <v>0</v>
      </c>
      <c r="K1852">
        <v>1</v>
      </c>
      <c r="L1852">
        <v>48755.199999999997</v>
      </c>
      <c r="M1852" t="str">
        <f t="shared" si="271"/>
        <v>13</v>
      </c>
      <c r="N1852" t="s">
        <v>3323</v>
      </c>
      <c r="O1852" t="str">
        <f t="shared" si="269"/>
        <v>56911</v>
      </c>
      <c r="P1852" t="str">
        <f>"2100L"</f>
        <v>2100L</v>
      </c>
      <c r="Q1852" t="str">
        <f t="shared" si="272"/>
        <v>0101</v>
      </c>
      <c r="R1852">
        <v>2100</v>
      </c>
      <c r="S1852" t="str">
        <f t="shared" si="270"/>
        <v>5690</v>
      </c>
      <c r="T1852" t="s">
        <v>3593</v>
      </c>
      <c r="U1852" t="s">
        <v>49</v>
      </c>
    </row>
    <row r="1853" spans="1:21" ht="15" customHeight="1" x14ac:dyDescent="0.3">
      <c r="A1853" t="s">
        <v>179</v>
      </c>
      <c r="B1853" t="str">
        <f>"00066102"</f>
        <v>00066102</v>
      </c>
      <c r="C1853" t="s">
        <v>1737</v>
      </c>
      <c r="D1853" t="s">
        <v>1738</v>
      </c>
      <c r="E1853" t="str">
        <f>"00055454"</f>
        <v>00055454</v>
      </c>
      <c r="F1853">
        <v>0</v>
      </c>
      <c r="G1853" s="243">
        <v>41091</v>
      </c>
      <c r="H1853" t="s">
        <v>182</v>
      </c>
      <c r="I1853">
        <v>16</v>
      </c>
      <c r="J1853">
        <v>1</v>
      </c>
      <c r="K1853">
        <v>1</v>
      </c>
      <c r="L1853">
        <v>14626.56</v>
      </c>
      <c r="M1853" t="str">
        <f t="shared" si="271"/>
        <v>13</v>
      </c>
      <c r="N1853" t="s">
        <v>3323</v>
      </c>
      <c r="O1853" t="str">
        <f t="shared" si="269"/>
        <v>56911</v>
      </c>
      <c r="P1853" t="str">
        <f>"2100L"</f>
        <v>2100L</v>
      </c>
      <c r="Q1853" t="str">
        <f t="shared" si="272"/>
        <v>0101</v>
      </c>
      <c r="R1853">
        <v>2100</v>
      </c>
      <c r="S1853" t="str">
        <f t="shared" si="270"/>
        <v>5690</v>
      </c>
      <c r="T1853" t="s">
        <v>3593</v>
      </c>
      <c r="U1853" t="s">
        <v>49</v>
      </c>
    </row>
    <row r="1854" spans="1:21" ht="15" customHeight="1" x14ac:dyDescent="0.3">
      <c r="A1854" t="s">
        <v>179</v>
      </c>
      <c r="B1854" t="str">
        <f>"00066975"</f>
        <v>00066975</v>
      </c>
      <c r="C1854" t="s">
        <v>4395</v>
      </c>
      <c r="D1854" t="s">
        <v>1739</v>
      </c>
      <c r="E1854" t="str">
        <f>"00047563"</f>
        <v>00047563</v>
      </c>
      <c r="F1854">
        <v>0</v>
      </c>
      <c r="G1854" s="243">
        <v>39104</v>
      </c>
      <c r="H1854" t="s">
        <v>182</v>
      </c>
      <c r="I1854">
        <v>10</v>
      </c>
      <c r="J1854">
        <v>7</v>
      </c>
      <c r="K1854">
        <v>1</v>
      </c>
      <c r="L1854">
        <v>79710</v>
      </c>
      <c r="M1854" t="str">
        <f t="shared" si="271"/>
        <v>13</v>
      </c>
      <c r="N1854" t="s">
        <v>3323</v>
      </c>
      <c r="O1854" t="str">
        <f t="shared" si="269"/>
        <v>56911</v>
      </c>
      <c r="P1854" t="str">
        <f>"1502L"</f>
        <v>1502L</v>
      </c>
      <c r="Q1854" t="str">
        <f t="shared" si="272"/>
        <v>0101</v>
      </c>
      <c r="R1854">
        <v>1502</v>
      </c>
      <c r="S1854" t="str">
        <f t="shared" si="270"/>
        <v>5690</v>
      </c>
      <c r="T1854" t="s">
        <v>3593</v>
      </c>
      <c r="U1854" t="s">
        <v>49</v>
      </c>
    </row>
    <row r="1855" spans="1:21" ht="15" customHeight="1" x14ac:dyDescent="0.3">
      <c r="A1855" t="s">
        <v>179</v>
      </c>
      <c r="B1855" t="str">
        <f>"00067273"</f>
        <v>00067273</v>
      </c>
      <c r="C1855" t="s">
        <v>4290</v>
      </c>
      <c r="H1855" t="s">
        <v>170</v>
      </c>
      <c r="I1855">
        <v>4</v>
      </c>
      <c r="J1855">
        <v>1</v>
      </c>
      <c r="K1855">
        <v>1</v>
      </c>
      <c r="L1855">
        <v>25662</v>
      </c>
      <c r="M1855" t="str">
        <f t="shared" si="271"/>
        <v>13</v>
      </c>
      <c r="N1855" t="s">
        <v>3323</v>
      </c>
      <c r="O1855" t="str">
        <f t="shared" si="269"/>
        <v>56911</v>
      </c>
      <c r="P1855" t="str">
        <f>"2100L"</f>
        <v>2100L</v>
      </c>
      <c r="Q1855" t="str">
        <f t="shared" si="272"/>
        <v>0101</v>
      </c>
      <c r="R1855">
        <v>2100</v>
      </c>
      <c r="S1855" t="str">
        <f t="shared" si="270"/>
        <v>5690</v>
      </c>
      <c r="T1855" t="s">
        <v>3593</v>
      </c>
      <c r="U1855" t="s">
        <v>49</v>
      </c>
    </row>
    <row r="1856" spans="1:21" ht="15" customHeight="1" x14ac:dyDescent="0.3">
      <c r="A1856" t="s">
        <v>179</v>
      </c>
      <c r="B1856" t="str">
        <f>"00067483"</f>
        <v>00067483</v>
      </c>
      <c r="C1856" t="s">
        <v>4272</v>
      </c>
      <c r="D1856" t="s">
        <v>1741</v>
      </c>
      <c r="E1856" t="str">
        <f>"00057777"</f>
        <v>00057777</v>
      </c>
      <c r="F1856">
        <v>0</v>
      </c>
      <c r="G1856" s="243">
        <v>40042</v>
      </c>
      <c r="H1856" t="s">
        <v>182</v>
      </c>
      <c r="I1856">
        <v>15</v>
      </c>
      <c r="J1856">
        <v>12</v>
      </c>
      <c r="K1856">
        <v>1</v>
      </c>
      <c r="L1856">
        <v>87431</v>
      </c>
      <c r="M1856" t="str">
        <f t="shared" si="271"/>
        <v>13</v>
      </c>
      <c r="N1856" t="s">
        <v>3323</v>
      </c>
      <c r="O1856" t="str">
        <f t="shared" si="269"/>
        <v>56911</v>
      </c>
      <c r="P1856" t="str">
        <f>"2200L"</f>
        <v>2200L</v>
      </c>
      <c r="Q1856" t="str">
        <f t="shared" si="272"/>
        <v>0101</v>
      </c>
      <c r="R1856">
        <v>2200</v>
      </c>
      <c r="S1856" t="str">
        <f t="shared" si="270"/>
        <v>5690</v>
      </c>
      <c r="T1856" t="s">
        <v>3593</v>
      </c>
      <c r="U1856" t="s">
        <v>49</v>
      </c>
    </row>
    <row r="1857" spans="1:21" ht="15" customHeight="1" x14ac:dyDescent="0.3">
      <c r="A1857" t="s">
        <v>179</v>
      </c>
      <c r="B1857" t="str">
        <f>"00067484"</f>
        <v>00067484</v>
      </c>
      <c r="C1857" t="s">
        <v>4260</v>
      </c>
      <c r="D1857" t="s">
        <v>1742</v>
      </c>
      <c r="E1857" t="str">
        <f>"00045854"</f>
        <v>00045854</v>
      </c>
      <c r="F1857">
        <v>0</v>
      </c>
      <c r="G1857" s="243">
        <v>40042</v>
      </c>
      <c r="H1857" t="s">
        <v>182</v>
      </c>
      <c r="I1857">
        <v>15</v>
      </c>
      <c r="J1857">
        <v>13</v>
      </c>
      <c r="K1857">
        <v>1</v>
      </c>
      <c r="L1857">
        <v>101066</v>
      </c>
      <c r="M1857" t="str">
        <f t="shared" si="271"/>
        <v>13</v>
      </c>
      <c r="N1857" t="s">
        <v>3323</v>
      </c>
      <c r="O1857" t="str">
        <f t="shared" si="269"/>
        <v>56911</v>
      </c>
      <c r="P1857" t="str">
        <f>"3030L"</f>
        <v>3030L</v>
      </c>
      <c r="Q1857" t="str">
        <f t="shared" si="272"/>
        <v>0101</v>
      </c>
      <c r="R1857">
        <v>3030</v>
      </c>
      <c r="S1857" t="str">
        <f t="shared" si="270"/>
        <v>5690</v>
      </c>
      <c r="T1857" t="s">
        <v>3593</v>
      </c>
      <c r="U1857" t="s">
        <v>49</v>
      </c>
    </row>
    <row r="1858" spans="1:21" ht="15" customHeight="1" x14ac:dyDescent="0.3">
      <c r="A1858" t="s">
        <v>179</v>
      </c>
      <c r="B1858" t="str">
        <f>"00068157"</f>
        <v>00068157</v>
      </c>
      <c r="C1858" t="s">
        <v>4272</v>
      </c>
      <c r="D1858" t="s">
        <v>3599</v>
      </c>
      <c r="E1858" t="str">
        <f>"00065609"</f>
        <v>00065609</v>
      </c>
      <c r="F1858">
        <v>0</v>
      </c>
      <c r="G1858" s="243">
        <v>40755</v>
      </c>
      <c r="H1858" t="s">
        <v>182</v>
      </c>
      <c r="I1858">
        <v>15</v>
      </c>
      <c r="J1858">
        <v>2</v>
      </c>
      <c r="K1858">
        <v>1</v>
      </c>
      <c r="L1858">
        <v>56242</v>
      </c>
      <c r="M1858" t="str">
        <f t="shared" si="271"/>
        <v>13</v>
      </c>
      <c r="N1858" t="s">
        <v>3323</v>
      </c>
      <c r="O1858" t="str">
        <f t="shared" si="269"/>
        <v>56911</v>
      </c>
      <c r="P1858" t="str">
        <f>"2200L"</f>
        <v>2200L</v>
      </c>
      <c r="Q1858" t="str">
        <f t="shared" si="272"/>
        <v>0101</v>
      </c>
      <c r="R1858">
        <v>2200</v>
      </c>
      <c r="S1858" t="str">
        <f t="shared" si="270"/>
        <v>5690</v>
      </c>
      <c r="T1858" t="s">
        <v>3593</v>
      </c>
      <c r="U1858" t="s">
        <v>49</v>
      </c>
    </row>
    <row r="1859" spans="1:21" ht="15" customHeight="1" x14ac:dyDescent="0.3">
      <c r="A1859" t="s">
        <v>179</v>
      </c>
      <c r="B1859" t="str">
        <f>"00069809"</f>
        <v>00069809</v>
      </c>
      <c r="C1859" t="s">
        <v>4288</v>
      </c>
      <c r="D1859" t="s">
        <v>4859</v>
      </c>
      <c r="E1859" t="str">
        <f>"00058633"</f>
        <v>00058633</v>
      </c>
      <c r="F1859">
        <v>0</v>
      </c>
      <c r="G1859" s="243">
        <v>40084</v>
      </c>
      <c r="H1859" t="s">
        <v>182</v>
      </c>
      <c r="I1859">
        <v>4</v>
      </c>
      <c r="J1859">
        <v>3</v>
      </c>
      <c r="K1859">
        <v>0.875</v>
      </c>
      <c r="L1859">
        <v>23848.12</v>
      </c>
      <c r="M1859" t="str">
        <f t="shared" si="271"/>
        <v>13</v>
      </c>
      <c r="N1859" t="s">
        <v>3370</v>
      </c>
      <c r="O1859" t="str">
        <f t="shared" ref="O1859:O1871" si="274">"56911"</f>
        <v>56911</v>
      </c>
      <c r="P1859" t="str">
        <f>"2200L"</f>
        <v>2200L</v>
      </c>
      <c r="Q1859" t="str">
        <f t="shared" si="272"/>
        <v>0101</v>
      </c>
      <c r="R1859">
        <v>2200</v>
      </c>
      <c r="S1859" t="str">
        <f t="shared" ref="S1859:S1871" si="275">"5690"</f>
        <v>5690</v>
      </c>
      <c r="T1859" t="s">
        <v>3593</v>
      </c>
      <c r="U1859" t="s">
        <v>49</v>
      </c>
    </row>
    <row r="1860" spans="1:21" ht="15" customHeight="1" x14ac:dyDescent="0.3">
      <c r="A1860" t="s">
        <v>179</v>
      </c>
      <c r="B1860" t="str">
        <f>"00072089"</f>
        <v>00072089</v>
      </c>
      <c r="C1860" t="s">
        <v>4288</v>
      </c>
      <c r="D1860" t="s">
        <v>4860</v>
      </c>
      <c r="E1860" t="str">
        <f>"00059133"</f>
        <v>00059133</v>
      </c>
      <c r="F1860">
        <v>0</v>
      </c>
      <c r="G1860" s="243">
        <v>40097</v>
      </c>
      <c r="H1860" t="s">
        <v>182</v>
      </c>
      <c r="I1860">
        <v>4</v>
      </c>
      <c r="J1860">
        <v>2</v>
      </c>
      <c r="K1860">
        <v>1</v>
      </c>
      <c r="L1860">
        <v>23151.63</v>
      </c>
      <c r="M1860" t="str">
        <f t="shared" si="271"/>
        <v>13</v>
      </c>
      <c r="N1860" t="s">
        <v>3323</v>
      </c>
      <c r="O1860" t="str">
        <f t="shared" si="274"/>
        <v>56911</v>
      </c>
      <c r="P1860" t="str">
        <f>"2200L"</f>
        <v>2200L</v>
      </c>
      <c r="Q1860" t="str">
        <f t="shared" si="272"/>
        <v>0101</v>
      </c>
      <c r="R1860">
        <v>2200</v>
      </c>
      <c r="S1860" t="str">
        <f t="shared" si="275"/>
        <v>5690</v>
      </c>
      <c r="T1860" t="s">
        <v>3593</v>
      </c>
      <c r="U1860" t="s">
        <v>49</v>
      </c>
    </row>
    <row r="1861" spans="1:21" ht="15" customHeight="1" x14ac:dyDescent="0.3">
      <c r="A1861" t="s">
        <v>179</v>
      </c>
      <c r="B1861" t="str">
        <f>"00072945"</f>
        <v>00072945</v>
      </c>
      <c r="C1861" t="s">
        <v>314</v>
      </c>
      <c r="D1861" t="s">
        <v>3601</v>
      </c>
      <c r="E1861" t="str">
        <f>"00050786"</f>
        <v>00050786</v>
      </c>
      <c r="F1861">
        <v>1</v>
      </c>
      <c r="H1861" t="s">
        <v>182</v>
      </c>
      <c r="I1861">
        <v>16</v>
      </c>
      <c r="J1861">
        <v>1</v>
      </c>
      <c r="K1861">
        <v>0.5</v>
      </c>
      <c r="L1861">
        <v>24377.599999999999</v>
      </c>
      <c r="M1861" t="str">
        <f t="shared" si="271"/>
        <v>13</v>
      </c>
      <c r="N1861" t="s">
        <v>3323</v>
      </c>
      <c r="O1861" t="str">
        <f t="shared" si="274"/>
        <v>56911</v>
      </c>
      <c r="P1861" t="str">
        <f>"2100L"</f>
        <v>2100L</v>
      </c>
      <c r="Q1861" t="str">
        <f t="shared" si="272"/>
        <v>0101</v>
      </c>
      <c r="R1861">
        <v>2100</v>
      </c>
      <c r="S1861" t="str">
        <f t="shared" si="275"/>
        <v>5690</v>
      </c>
      <c r="T1861" t="s">
        <v>3593</v>
      </c>
      <c r="U1861" t="s">
        <v>49</v>
      </c>
    </row>
    <row r="1862" spans="1:21" ht="15" customHeight="1" x14ac:dyDescent="0.3">
      <c r="A1862" t="s">
        <v>179</v>
      </c>
      <c r="B1862" t="str">
        <f>"00072946"</f>
        <v>00072946</v>
      </c>
      <c r="C1862" t="s">
        <v>4728</v>
      </c>
      <c r="H1862" t="s">
        <v>170</v>
      </c>
      <c r="I1862">
        <v>9</v>
      </c>
      <c r="J1862">
        <v>1</v>
      </c>
      <c r="K1862">
        <v>1</v>
      </c>
      <c r="L1862">
        <v>33163</v>
      </c>
      <c r="M1862" t="str">
        <f t="shared" si="271"/>
        <v>13</v>
      </c>
      <c r="N1862" t="s">
        <v>3323</v>
      </c>
      <c r="O1862" t="str">
        <f t="shared" si="274"/>
        <v>56911</v>
      </c>
      <c r="P1862" t="str">
        <f>"2100L"</f>
        <v>2100L</v>
      </c>
      <c r="Q1862" t="str">
        <f t="shared" si="272"/>
        <v>0101</v>
      </c>
      <c r="R1862">
        <v>2100</v>
      </c>
      <c r="S1862" t="str">
        <f t="shared" si="275"/>
        <v>5690</v>
      </c>
      <c r="T1862" t="s">
        <v>3593</v>
      </c>
      <c r="U1862" t="s">
        <v>49</v>
      </c>
    </row>
    <row r="1863" spans="1:21" ht="15" customHeight="1" x14ac:dyDescent="0.3">
      <c r="A1863" t="s">
        <v>179</v>
      </c>
      <c r="B1863" t="str">
        <f>"00073027"</f>
        <v>00073027</v>
      </c>
      <c r="C1863" t="s">
        <v>3594</v>
      </c>
      <c r="D1863" t="s">
        <v>3719</v>
      </c>
      <c r="E1863" t="str">
        <f>"00048758"</f>
        <v>00048758</v>
      </c>
      <c r="F1863">
        <v>0</v>
      </c>
      <c r="G1863" s="243">
        <v>41133</v>
      </c>
      <c r="H1863" t="s">
        <v>182</v>
      </c>
      <c r="I1863">
        <v>16</v>
      </c>
      <c r="J1863">
        <v>1</v>
      </c>
      <c r="K1863">
        <v>0.5</v>
      </c>
      <c r="L1863">
        <v>24377.599999999999</v>
      </c>
      <c r="M1863" t="str">
        <f t="shared" si="271"/>
        <v>13</v>
      </c>
      <c r="N1863" t="s">
        <v>3323</v>
      </c>
      <c r="O1863" t="str">
        <f t="shared" si="274"/>
        <v>56911</v>
      </c>
      <c r="P1863" t="str">
        <f>"2100L"</f>
        <v>2100L</v>
      </c>
      <c r="Q1863" t="str">
        <f t="shared" si="272"/>
        <v>0101</v>
      </c>
      <c r="R1863">
        <v>2100</v>
      </c>
      <c r="S1863" t="str">
        <f t="shared" si="275"/>
        <v>5690</v>
      </c>
      <c r="T1863" t="s">
        <v>3593</v>
      </c>
      <c r="U1863" t="s">
        <v>49</v>
      </c>
    </row>
    <row r="1864" spans="1:21" ht="15" customHeight="1" x14ac:dyDescent="0.3">
      <c r="A1864" t="s">
        <v>179</v>
      </c>
      <c r="B1864" t="str">
        <f>"00073897"</f>
        <v>00073897</v>
      </c>
      <c r="C1864" t="s">
        <v>4360</v>
      </c>
      <c r="D1864" t="s">
        <v>4861</v>
      </c>
      <c r="E1864" t="str">
        <f>"00053360"</f>
        <v>00053360</v>
      </c>
      <c r="F1864">
        <v>0</v>
      </c>
      <c r="G1864" s="243">
        <v>35339</v>
      </c>
      <c r="H1864" t="s">
        <v>182</v>
      </c>
      <c r="I1864">
        <v>7</v>
      </c>
      <c r="J1864">
        <v>7</v>
      </c>
      <c r="K1864">
        <v>1</v>
      </c>
      <c r="L1864">
        <v>41514</v>
      </c>
      <c r="M1864" t="str">
        <f t="shared" si="271"/>
        <v>13</v>
      </c>
      <c r="N1864" t="s">
        <v>3323</v>
      </c>
      <c r="O1864" t="str">
        <f t="shared" si="274"/>
        <v>56911</v>
      </c>
      <c r="P1864" t="str">
        <f>"1502L"</f>
        <v>1502L</v>
      </c>
      <c r="Q1864" t="str">
        <f t="shared" si="272"/>
        <v>0101</v>
      </c>
      <c r="R1864">
        <v>1502</v>
      </c>
      <c r="S1864" t="str">
        <f t="shared" si="275"/>
        <v>5690</v>
      </c>
      <c r="T1864" t="s">
        <v>3593</v>
      </c>
      <c r="U1864" t="s">
        <v>49</v>
      </c>
    </row>
    <row r="1865" spans="1:21" ht="15" customHeight="1" x14ac:dyDescent="0.3">
      <c r="A1865" t="s">
        <v>179</v>
      </c>
      <c r="B1865" t="str">
        <f>"00073898"</f>
        <v>00073898</v>
      </c>
      <c r="C1865" t="s">
        <v>4381</v>
      </c>
      <c r="D1865" t="s">
        <v>1736</v>
      </c>
      <c r="E1865" t="str">
        <f>"00054372"</f>
        <v>00054372</v>
      </c>
      <c r="F1865">
        <v>0</v>
      </c>
      <c r="G1865" s="243">
        <v>34646</v>
      </c>
      <c r="H1865" t="s">
        <v>182</v>
      </c>
      <c r="I1865">
        <v>9</v>
      </c>
      <c r="J1865">
        <v>10</v>
      </c>
      <c r="K1865">
        <v>1</v>
      </c>
      <c r="L1865">
        <v>42730</v>
      </c>
      <c r="M1865" t="str">
        <f t="shared" si="271"/>
        <v>13</v>
      </c>
      <c r="N1865" t="s">
        <v>3323</v>
      </c>
      <c r="O1865" t="str">
        <f t="shared" si="274"/>
        <v>56911</v>
      </c>
      <c r="P1865" t="str">
        <f t="shared" ref="P1865:P1869" si="276">"2100L"</f>
        <v>2100L</v>
      </c>
      <c r="Q1865" t="str">
        <f t="shared" si="272"/>
        <v>0101</v>
      </c>
      <c r="R1865">
        <v>2100</v>
      </c>
      <c r="S1865" t="str">
        <f t="shared" si="275"/>
        <v>5690</v>
      </c>
      <c r="T1865" t="s">
        <v>3593</v>
      </c>
      <c r="U1865" t="s">
        <v>49</v>
      </c>
    </row>
    <row r="1866" spans="1:21" ht="15" customHeight="1" x14ac:dyDescent="0.3">
      <c r="A1866" t="s">
        <v>179</v>
      </c>
      <c r="B1866" t="str">
        <f>"00074592"</f>
        <v>00074592</v>
      </c>
      <c r="C1866" t="s">
        <v>4265</v>
      </c>
      <c r="D1866" t="s">
        <v>3596</v>
      </c>
      <c r="E1866" t="str">
        <f>"00039316"</f>
        <v>00039316</v>
      </c>
      <c r="F1866">
        <v>1</v>
      </c>
      <c r="G1866" s="243">
        <v>39888</v>
      </c>
      <c r="H1866" t="s">
        <v>182</v>
      </c>
      <c r="I1866">
        <v>15</v>
      </c>
      <c r="J1866">
        <v>3</v>
      </c>
      <c r="K1866">
        <v>0.5</v>
      </c>
      <c r="L1866">
        <v>61159</v>
      </c>
      <c r="M1866" t="str">
        <f t="shared" si="271"/>
        <v>13</v>
      </c>
      <c r="N1866" t="s">
        <v>3323</v>
      </c>
      <c r="O1866" t="str">
        <f t="shared" si="274"/>
        <v>56911</v>
      </c>
      <c r="P1866" t="str">
        <f t="shared" si="276"/>
        <v>2100L</v>
      </c>
      <c r="Q1866" t="str">
        <f t="shared" si="272"/>
        <v>0101</v>
      </c>
      <c r="R1866">
        <v>2100</v>
      </c>
      <c r="S1866" t="str">
        <f t="shared" si="275"/>
        <v>5690</v>
      </c>
      <c r="T1866" t="s">
        <v>3593</v>
      </c>
      <c r="U1866" t="s">
        <v>49</v>
      </c>
    </row>
    <row r="1867" spans="1:21" ht="15" customHeight="1" x14ac:dyDescent="0.3">
      <c r="A1867" t="s">
        <v>179</v>
      </c>
      <c r="B1867" t="str">
        <f>"00074858"</f>
        <v>00074858</v>
      </c>
      <c r="C1867" t="s">
        <v>4728</v>
      </c>
      <c r="D1867" t="s">
        <v>4862</v>
      </c>
      <c r="E1867" t="str">
        <f>"00066458"</f>
        <v>00066458</v>
      </c>
      <c r="F1867">
        <v>0</v>
      </c>
      <c r="G1867" s="243">
        <v>41091</v>
      </c>
      <c r="H1867" t="s">
        <v>182</v>
      </c>
      <c r="I1867">
        <v>9</v>
      </c>
      <c r="J1867">
        <v>1</v>
      </c>
      <c r="K1867">
        <v>0.25</v>
      </c>
      <c r="L1867">
        <v>9946.56</v>
      </c>
      <c r="M1867" t="str">
        <f t="shared" si="271"/>
        <v>13</v>
      </c>
      <c r="N1867" t="s">
        <v>3370</v>
      </c>
      <c r="O1867" t="str">
        <f t="shared" si="274"/>
        <v>56911</v>
      </c>
      <c r="P1867" t="str">
        <f t="shared" si="276"/>
        <v>2100L</v>
      </c>
      <c r="Q1867" t="str">
        <f t="shared" si="272"/>
        <v>0101</v>
      </c>
      <c r="R1867">
        <v>2100</v>
      </c>
      <c r="S1867" t="str">
        <f t="shared" si="275"/>
        <v>5690</v>
      </c>
      <c r="T1867" t="s">
        <v>3593</v>
      </c>
      <c r="U1867" t="s">
        <v>49</v>
      </c>
    </row>
    <row r="1868" spans="1:21" ht="15" customHeight="1" x14ac:dyDescent="0.3">
      <c r="A1868" t="s">
        <v>179</v>
      </c>
      <c r="B1868" t="str">
        <f>"00076224"</f>
        <v>00076224</v>
      </c>
      <c r="C1868" t="s">
        <v>4395</v>
      </c>
      <c r="H1868" t="s">
        <v>170</v>
      </c>
      <c r="I1868">
        <v>10</v>
      </c>
      <c r="J1868">
        <v>0</v>
      </c>
      <c r="K1868">
        <v>0.5</v>
      </c>
      <c r="L1868">
        <v>62794</v>
      </c>
      <c r="M1868" t="str">
        <f t="shared" si="271"/>
        <v>13</v>
      </c>
      <c r="N1868" t="s">
        <v>3370</v>
      </c>
      <c r="O1868" t="str">
        <f t="shared" si="274"/>
        <v>56911</v>
      </c>
      <c r="P1868" t="str">
        <f t="shared" si="276"/>
        <v>2100L</v>
      </c>
      <c r="Q1868" t="str">
        <f t="shared" si="272"/>
        <v>0101</v>
      </c>
      <c r="R1868">
        <v>2100</v>
      </c>
      <c r="S1868" t="str">
        <f t="shared" si="275"/>
        <v>5690</v>
      </c>
      <c r="T1868" t="s">
        <v>3593</v>
      </c>
      <c r="U1868" t="s">
        <v>49</v>
      </c>
    </row>
    <row r="1869" spans="1:21" ht="15" customHeight="1" x14ac:dyDescent="0.3">
      <c r="A1869" t="s">
        <v>179</v>
      </c>
      <c r="B1869" t="str">
        <f>"00076225"</f>
        <v>00076225</v>
      </c>
      <c r="C1869" t="s">
        <v>4438</v>
      </c>
      <c r="D1869" t="s">
        <v>4863</v>
      </c>
      <c r="E1869" t="str">
        <f>"00013890"</f>
        <v>00013890</v>
      </c>
      <c r="F1869">
        <v>1</v>
      </c>
      <c r="G1869" s="243">
        <v>36172</v>
      </c>
      <c r="H1869" t="s">
        <v>182</v>
      </c>
      <c r="I1869">
        <v>11</v>
      </c>
      <c r="J1869">
        <v>9</v>
      </c>
      <c r="K1869">
        <v>1</v>
      </c>
      <c r="L1869">
        <v>85324</v>
      </c>
      <c r="M1869" t="str">
        <f t="shared" si="271"/>
        <v>13</v>
      </c>
      <c r="N1869" t="s">
        <v>3323</v>
      </c>
      <c r="O1869" t="str">
        <f t="shared" si="274"/>
        <v>56911</v>
      </c>
      <c r="P1869" t="str">
        <f t="shared" si="276"/>
        <v>2100L</v>
      </c>
      <c r="Q1869" t="str">
        <f t="shared" si="272"/>
        <v>0101</v>
      </c>
      <c r="R1869">
        <v>2100</v>
      </c>
      <c r="S1869" t="str">
        <f t="shared" si="275"/>
        <v>5690</v>
      </c>
      <c r="T1869" t="s">
        <v>3593</v>
      </c>
      <c r="U1869" t="s">
        <v>49</v>
      </c>
    </row>
    <row r="1870" spans="1:21" ht="15" customHeight="1" x14ac:dyDescent="0.3">
      <c r="A1870" t="s">
        <v>179</v>
      </c>
      <c r="B1870" t="str">
        <f>"00076543"</f>
        <v>00076543</v>
      </c>
      <c r="C1870" t="s">
        <v>4265</v>
      </c>
      <c r="H1870" t="s">
        <v>170</v>
      </c>
      <c r="I1870">
        <v>15</v>
      </c>
      <c r="J1870">
        <v>0</v>
      </c>
      <c r="K1870">
        <v>0.5</v>
      </c>
      <c r="L1870">
        <v>51539</v>
      </c>
      <c r="M1870" t="str">
        <f t="shared" si="271"/>
        <v>13</v>
      </c>
      <c r="N1870" t="s">
        <v>3370</v>
      </c>
      <c r="O1870" t="str">
        <f t="shared" si="274"/>
        <v>56911</v>
      </c>
      <c r="P1870" t="str">
        <f>"3030L"</f>
        <v>3030L</v>
      </c>
      <c r="Q1870" t="str">
        <f t="shared" si="272"/>
        <v>0101</v>
      </c>
      <c r="R1870">
        <v>3030</v>
      </c>
      <c r="S1870" t="str">
        <f t="shared" si="275"/>
        <v>5690</v>
      </c>
      <c r="T1870" t="s">
        <v>3593</v>
      </c>
      <c r="U1870" t="s">
        <v>49</v>
      </c>
    </row>
    <row r="1871" spans="1:21" ht="15" customHeight="1" x14ac:dyDescent="0.3">
      <c r="A1871" t="s">
        <v>179</v>
      </c>
      <c r="B1871" t="str">
        <f>"00076830"</f>
        <v>00076830</v>
      </c>
      <c r="C1871" t="s">
        <v>4864</v>
      </c>
      <c r="D1871" t="s">
        <v>4865</v>
      </c>
      <c r="E1871" t="str">
        <f>"00058438"</f>
        <v>00058438</v>
      </c>
      <c r="F1871">
        <v>0</v>
      </c>
      <c r="G1871" s="243">
        <v>40070</v>
      </c>
      <c r="H1871" t="s">
        <v>182</v>
      </c>
      <c r="I1871">
        <v>11</v>
      </c>
      <c r="J1871">
        <v>3</v>
      </c>
      <c r="K1871">
        <v>1</v>
      </c>
      <c r="L1871">
        <v>42548</v>
      </c>
      <c r="M1871" t="str">
        <f t="shared" si="271"/>
        <v>13</v>
      </c>
      <c r="N1871" t="s">
        <v>3323</v>
      </c>
      <c r="O1871" t="str">
        <f t="shared" si="274"/>
        <v>56911</v>
      </c>
      <c r="P1871" t="str">
        <f>"2100L"</f>
        <v>2100L</v>
      </c>
      <c r="Q1871" t="str">
        <f t="shared" si="272"/>
        <v>0101</v>
      </c>
      <c r="R1871">
        <v>2100</v>
      </c>
      <c r="S1871" t="str">
        <f t="shared" si="275"/>
        <v>5690</v>
      </c>
      <c r="T1871" t="s">
        <v>3593</v>
      </c>
      <c r="U1871" t="s">
        <v>49</v>
      </c>
    </row>
    <row r="1872" spans="1:21" ht="15" customHeight="1" x14ac:dyDescent="0.3">
      <c r="A1872" t="s">
        <v>179</v>
      </c>
      <c r="B1872" t="str">
        <f>"00051651"</f>
        <v>00051651</v>
      </c>
      <c r="C1872" t="s">
        <v>4262</v>
      </c>
      <c r="D1872" t="s">
        <v>1745</v>
      </c>
      <c r="E1872" t="str">
        <f>"00045309"</f>
        <v>00045309</v>
      </c>
      <c r="F1872">
        <v>0</v>
      </c>
      <c r="G1872" s="243">
        <v>33123</v>
      </c>
      <c r="H1872" t="s">
        <v>182</v>
      </c>
      <c r="I1872">
        <v>15</v>
      </c>
      <c r="J1872">
        <v>13</v>
      </c>
      <c r="K1872">
        <v>1</v>
      </c>
      <c r="L1872">
        <v>81724</v>
      </c>
      <c r="M1872" t="str">
        <f t="shared" si="271"/>
        <v>13</v>
      </c>
      <c r="N1872" t="s">
        <v>3323</v>
      </c>
      <c r="O1872" t="str">
        <f t="shared" ref="O1872:O1908" si="277">"57111"</f>
        <v>57111</v>
      </c>
      <c r="P1872" t="str">
        <f>"2100L"</f>
        <v>2100L</v>
      </c>
      <c r="Q1872" t="str">
        <f t="shared" si="272"/>
        <v>0101</v>
      </c>
      <c r="R1872">
        <v>2100</v>
      </c>
      <c r="S1872" t="str">
        <f t="shared" ref="S1872:S1908" si="278">"5710"</f>
        <v>5710</v>
      </c>
      <c r="T1872" t="s">
        <v>3602</v>
      </c>
      <c r="U1872" t="s">
        <v>1746</v>
      </c>
    </row>
    <row r="1873" spans="1:21" ht="15" customHeight="1" x14ac:dyDescent="0.3">
      <c r="A1873" t="s">
        <v>179</v>
      </c>
      <c r="B1873" t="str">
        <f>"00051738"</f>
        <v>00051738</v>
      </c>
      <c r="C1873" t="s">
        <v>4254</v>
      </c>
      <c r="D1873" t="s">
        <v>1747</v>
      </c>
      <c r="E1873" t="str">
        <f>"00054752"</f>
        <v>00054752</v>
      </c>
      <c r="F1873">
        <v>0</v>
      </c>
      <c r="G1873" s="243">
        <v>39100</v>
      </c>
      <c r="H1873" t="s">
        <v>182</v>
      </c>
      <c r="I1873">
        <v>15</v>
      </c>
      <c r="J1873">
        <v>12</v>
      </c>
      <c r="K1873">
        <v>1</v>
      </c>
      <c r="L1873">
        <v>87431</v>
      </c>
      <c r="M1873" t="str">
        <f t="shared" si="271"/>
        <v>13</v>
      </c>
      <c r="N1873" t="s">
        <v>3323</v>
      </c>
      <c r="O1873" t="str">
        <f t="shared" si="277"/>
        <v>57111</v>
      </c>
      <c r="P1873" t="str">
        <f>"2100L"</f>
        <v>2100L</v>
      </c>
      <c r="Q1873" t="str">
        <f t="shared" si="272"/>
        <v>0101</v>
      </c>
      <c r="R1873">
        <v>2100</v>
      </c>
      <c r="S1873" t="str">
        <f t="shared" si="278"/>
        <v>5710</v>
      </c>
      <c r="T1873" t="s">
        <v>3602</v>
      </c>
      <c r="U1873" t="s">
        <v>1746</v>
      </c>
    </row>
    <row r="1874" spans="1:21" ht="15" customHeight="1" x14ac:dyDescent="0.3">
      <c r="A1874" t="s">
        <v>179</v>
      </c>
      <c r="B1874" t="str">
        <f>"00052397"</f>
        <v>00052397</v>
      </c>
      <c r="C1874" t="s">
        <v>4262</v>
      </c>
      <c r="D1874" t="s">
        <v>1748</v>
      </c>
      <c r="E1874" t="str">
        <f>"00048171"</f>
        <v>00048171</v>
      </c>
      <c r="F1874">
        <v>0</v>
      </c>
      <c r="G1874" s="243">
        <v>31660</v>
      </c>
      <c r="H1874" t="s">
        <v>182</v>
      </c>
      <c r="I1874">
        <v>15</v>
      </c>
      <c r="J1874">
        <v>16</v>
      </c>
      <c r="K1874">
        <v>1</v>
      </c>
      <c r="L1874">
        <v>100839</v>
      </c>
      <c r="M1874" t="str">
        <f t="shared" si="271"/>
        <v>13</v>
      </c>
      <c r="N1874" t="s">
        <v>3323</v>
      </c>
      <c r="O1874" t="str">
        <f t="shared" si="277"/>
        <v>57111</v>
      </c>
      <c r="P1874" t="str">
        <f>"2100L"</f>
        <v>2100L</v>
      </c>
      <c r="Q1874" t="str">
        <f t="shared" si="272"/>
        <v>0101</v>
      </c>
      <c r="R1874">
        <v>2100</v>
      </c>
      <c r="S1874" t="str">
        <f t="shared" si="278"/>
        <v>5710</v>
      </c>
      <c r="T1874" t="s">
        <v>3602</v>
      </c>
      <c r="U1874" t="s">
        <v>1746</v>
      </c>
    </row>
    <row r="1875" spans="1:21" ht="15" customHeight="1" x14ac:dyDescent="0.3">
      <c r="A1875" t="s">
        <v>179</v>
      </c>
      <c r="B1875" t="str">
        <f>"00052514"</f>
        <v>00052514</v>
      </c>
      <c r="C1875" t="s">
        <v>4272</v>
      </c>
      <c r="D1875" t="s">
        <v>181</v>
      </c>
      <c r="E1875" t="str">
        <f>"00046241"</f>
        <v>00046241</v>
      </c>
      <c r="F1875">
        <v>0</v>
      </c>
      <c r="G1875" s="243">
        <v>34578</v>
      </c>
      <c r="H1875" t="s">
        <v>182</v>
      </c>
      <c r="I1875">
        <v>15</v>
      </c>
      <c r="J1875">
        <v>15</v>
      </c>
      <c r="K1875">
        <v>1</v>
      </c>
      <c r="L1875">
        <v>98285</v>
      </c>
      <c r="M1875" t="str">
        <f t="shared" si="271"/>
        <v>13</v>
      </c>
      <c r="N1875" t="s">
        <v>3370</v>
      </c>
      <c r="O1875" t="str">
        <f t="shared" si="277"/>
        <v>57111</v>
      </c>
      <c r="P1875" t="str">
        <f>"2200L"</f>
        <v>2200L</v>
      </c>
      <c r="Q1875" t="str">
        <f t="shared" si="272"/>
        <v>0101</v>
      </c>
      <c r="R1875">
        <v>2200</v>
      </c>
      <c r="S1875" t="str">
        <f t="shared" si="278"/>
        <v>5710</v>
      </c>
      <c r="T1875" t="s">
        <v>3602</v>
      </c>
      <c r="U1875" t="s">
        <v>1746</v>
      </c>
    </row>
    <row r="1876" spans="1:21" ht="15" customHeight="1" x14ac:dyDescent="0.3">
      <c r="A1876" t="s">
        <v>179</v>
      </c>
      <c r="B1876" t="str">
        <f>"00052847"</f>
        <v>00052847</v>
      </c>
      <c r="C1876" t="s">
        <v>4272</v>
      </c>
      <c r="D1876" t="s">
        <v>1749</v>
      </c>
      <c r="E1876" t="str">
        <f>"00049680"</f>
        <v>00049680</v>
      </c>
      <c r="F1876">
        <v>0</v>
      </c>
      <c r="G1876" s="243">
        <v>30684</v>
      </c>
      <c r="H1876" t="s">
        <v>182</v>
      </c>
      <c r="I1876">
        <v>15</v>
      </c>
      <c r="J1876">
        <v>16</v>
      </c>
      <c r="K1876">
        <v>1</v>
      </c>
      <c r="L1876">
        <v>106540</v>
      </c>
      <c r="M1876" t="str">
        <f t="shared" si="271"/>
        <v>13</v>
      </c>
      <c r="N1876" t="s">
        <v>3323</v>
      </c>
      <c r="O1876" t="str">
        <f t="shared" si="277"/>
        <v>57111</v>
      </c>
      <c r="P1876" t="str">
        <f>"2100L"</f>
        <v>2100L</v>
      </c>
      <c r="Q1876" t="str">
        <f t="shared" si="272"/>
        <v>0101</v>
      </c>
      <c r="R1876">
        <v>2100</v>
      </c>
      <c r="S1876" t="str">
        <f t="shared" si="278"/>
        <v>5710</v>
      </c>
      <c r="T1876" t="s">
        <v>3602</v>
      </c>
      <c r="U1876" t="s">
        <v>1746</v>
      </c>
    </row>
    <row r="1877" spans="1:21" ht="15" customHeight="1" x14ac:dyDescent="0.3">
      <c r="A1877" t="s">
        <v>179</v>
      </c>
      <c r="B1877" t="str">
        <f>"00052989"</f>
        <v>00052989</v>
      </c>
      <c r="C1877" t="s">
        <v>4257</v>
      </c>
      <c r="H1877" t="s">
        <v>170</v>
      </c>
      <c r="I1877">
        <v>15</v>
      </c>
      <c r="J1877">
        <v>1</v>
      </c>
      <c r="K1877">
        <v>1</v>
      </c>
      <c r="L1877">
        <v>56693</v>
      </c>
      <c r="M1877" t="str">
        <f t="shared" si="271"/>
        <v>13</v>
      </c>
      <c r="N1877" t="s">
        <v>3323</v>
      </c>
      <c r="O1877" t="str">
        <f t="shared" si="277"/>
        <v>57111</v>
      </c>
      <c r="P1877" t="str">
        <f>"2100L"</f>
        <v>2100L</v>
      </c>
      <c r="Q1877" t="str">
        <f t="shared" si="272"/>
        <v>0101</v>
      </c>
      <c r="R1877">
        <v>2100</v>
      </c>
      <c r="S1877" t="str">
        <f t="shared" si="278"/>
        <v>5710</v>
      </c>
      <c r="T1877" t="s">
        <v>3602</v>
      </c>
      <c r="U1877" t="s">
        <v>1746</v>
      </c>
    </row>
    <row r="1878" spans="1:21" ht="15" customHeight="1" x14ac:dyDescent="0.3">
      <c r="A1878" t="s">
        <v>179</v>
      </c>
      <c r="B1878" t="str">
        <f>"00053126"</f>
        <v>00053126</v>
      </c>
      <c r="C1878" t="s">
        <v>4272</v>
      </c>
      <c r="D1878" t="s">
        <v>1750</v>
      </c>
      <c r="E1878" t="str">
        <f>"00050987"</f>
        <v>00050987</v>
      </c>
      <c r="F1878">
        <v>0</v>
      </c>
      <c r="G1878" s="243">
        <v>34645</v>
      </c>
      <c r="H1878" t="s">
        <v>182</v>
      </c>
      <c r="I1878">
        <v>15</v>
      </c>
      <c r="J1878">
        <v>15</v>
      </c>
      <c r="K1878">
        <v>1</v>
      </c>
      <c r="L1878">
        <v>98285</v>
      </c>
      <c r="M1878" t="str">
        <f t="shared" si="271"/>
        <v>13</v>
      </c>
      <c r="N1878" t="s">
        <v>3323</v>
      </c>
      <c r="O1878" t="str">
        <f t="shared" si="277"/>
        <v>57111</v>
      </c>
      <c r="P1878" t="str">
        <f>"2200L"</f>
        <v>2200L</v>
      </c>
      <c r="Q1878" t="str">
        <f t="shared" si="272"/>
        <v>0101</v>
      </c>
      <c r="R1878">
        <v>2200</v>
      </c>
      <c r="S1878" t="str">
        <f t="shared" si="278"/>
        <v>5710</v>
      </c>
      <c r="T1878" t="s">
        <v>3602</v>
      </c>
      <c r="U1878" t="s">
        <v>1746</v>
      </c>
    </row>
    <row r="1879" spans="1:21" ht="15" customHeight="1" x14ac:dyDescent="0.3">
      <c r="A1879" t="s">
        <v>179</v>
      </c>
      <c r="B1879" t="str">
        <f>"00053198"</f>
        <v>00053198</v>
      </c>
      <c r="C1879" t="s">
        <v>4262</v>
      </c>
      <c r="D1879" t="s">
        <v>185</v>
      </c>
      <c r="E1879" t="str">
        <f>"00051269"</f>
        <v>00051269</v>
      </c>
      <c r="F1879">
        <v>0</v>
      </c>
      <c r="G1879" s="243">
        <v>29290</v>
      </c>
      <c r="H1879" t="s">
        <v>182</v>
      </c>
      <c r="I1879">
        <v>15</v>
      </c>
      <c r="J1879">
        <v>16</v>
      </c>
      <c r="K1879">
        <v>1</v>
      </c>
      <c r="L1879">
        <v>100839</v>
      </c>
      <c r="M1879" t="str">
        <f t="shared" si="271"/>
        <v>13</v>
      </c>
      <c r="N1879" t="s">
        <v>3370</v>
      </c>
      <c r="O1879" t="str">
        <f t="shared" si="277"/>
        <v>57111</v>
      </c>
      <c r="P1879" t="str">
        <f>"2100L"</f>
        <v>2100L</v>
      </c>
      <c r="Q1879" t="str">
        <f t="shared" si="272"/>
        <v>0101</v>
      </c>
      <c r="R1879">
        <v>2100</v>
      </c>
      <c r="S1879" t="str">
        <f t="shared" si="278"/>
        <v>5710</v>
      </c>
      <c r="T1879" t="s">
        <v>3602</v>
      </c>
      <c r="U1879" t="s">
        <v>1746</v>
      </c>
    </row>
    <row r="1880" spans="1:21" ht="15" customHeight="1" x14ac:dyDescent="0.3">
      <c r="A1880" t="s">
        <v>179</v>
      </c>
      <c r="B1880" t="str">
        <f>"00053749"</f>
        <v>00053749</v>
      </c>
      <c r="C1880" t="s">
        <v>4272</v>
      </c>
      <c r="D1880" t="s">
        <v>2801</v>
      </c>
      <c r="E1880" t="str">
        <f>"00051493"</f>
        <v>00051493</v>
      </c>
      <c r="F1880">
        <v>0</v>
      </c>
      <c r="G1880" s="243">
        <v>32050</v>
      </c>
      <c r="H1880" t="s">
        <v>182</v>
      </c>
      <c r="I1880">
        <v>15</v>
      </c>
      <c r="J1880">
        <v>16</v>
      </c>
      <c r="K1880">
        <v>1</v>
      </c>
      <c r="L1880">
        <v>103347</v>
      </c>
      <c r="M1880" t="str">
        <f t="shared" si="271"/>
        <v>13</v>
      </c>
      <c r="N1880" t="s">
        <v>3370</v>
      </c>
      <c r="O1880" t="str">
        <f t="shared" si="277"/>
        <v>57111</v>
      </c>
      <c r="P1880" t="str">
        <f>"2200L"</f>
        <v>2200L</v>
      </c>
      <c r="Q1880" t="str">
        <f t="shared" si="272"/>
        <v>0101</v>
      </c>
      <c r="R1880">
        <v>2200</v>
      </c>
      <c r="S1880" t="str">
        <f t="shared" si="278"/>
        <v>5710</v>
      </c>
      <c r="T1880" t="s">
        <v>3602</v>
      </c>
      <c r="U1880" t="s">
        <v>1746</v>
      </c>
    </row>
    <row r="1881" spans="1:21" ht="15" customHeight="1" x14ac:dyDescent="0.3">
      <c r="A1881" t="s">
        <v>179</v>
      </c>
      <c r="B1881" t="str">
        <f>"00054672"</f>
        <v>00054672</v>
      </c>
      <c r="C1881" t="s">
        <v>4260</v>
      </c>
      <c r="D1881" t="s">
        <v>1751</v>
      </c>
      <c r="E1881" t="str">
        <f>"00054385"</f>
        <v>00054385</v>
      </c>
      <c r="F1881">
        <v>0</v>
      </c>
      <c r="G1881" s="243">
        <v>32050</v>
      </c>
      <c r="H1881" t="s">
        <v>182</v>
      </c>
      <c r="I1881">
        <v>15</v>
      </c>
      <c r="J1881">
        <v>13</v>
      </c>
      <c r="K1881">
        <v>1</v>
      </c>
      <c r="L1881">
        <v>81724</v>
      </c>
      <c r="M1881" t="str">
        <f t="shared" si="271"/>
        <v>13</v>
      </c>
      <c r="N1881" t="s">
        <v>3323</v>
      </c>
      <c r="O1881" t="str">
        <f t="shared" si="277"/>
        <v>57111</v>
      </c>
      <c r="P1881" t="str">
        <f>"3030L"</f>
        <v>3030L</v>
      </c>
      <c r="Q1881" t="str">
        <f t="shared" si="272"/>
        <v>0101</v>
      </c>
      <c r="R1881">
        <v>3030</v>
      </c>
      <c r="S1881" t="str">
        <f t="shared" si="278"/>
        <v>5710</v>
      </c>
      <c r="T1881" t="s">
        <v>3602</v>
      </c>
      <c r="U1881" t="s">
        <v>1746</v>
      </c>
    </row>
    <row r="1882" spans="1:21" ht="15" customHeight="1" x14ac:dyDescent="0.3">
      <c r="A1882" t="s">
        <v>179</v>
      </c>
      <c r="B1882" t="str">
        <f>"00054870"</f>
        <v>00054870</v>
      </c>
      <c r="C1882" t="s">
        <v>4272</v>
      </c>
      <c r="D1882" t="s">
        <v>1752</v>
      </c>
      <c r="E1882" t="str">
        <f>"00054820"</f>
        <v>00054820</v>
      </c>
      <c r="F1882">
        <v>0</v>
      </c>
      <c r="G1882" s="243">
        <v>36034</v>
      </c>
      <c r="H1882" t="s">
        <v>182</v>
      </c>
      <c r="I1882">
        <v>15</v>
      </c>
      <c r="J1882">
        <v>12</v>
      </c>
      <c r="K1882">
        <v>1</v>
      </c>
      <c r="L1882">
        <v>87431</v>
      </c>
      <c r="M1882" t="str">
        <f t="shared" si="271"/>
        <v>13</v>
      </c>
      <c r="N1882" t="s">
        <v>3323</v>
      </c>
      <c r="O1882" t="str">
        <f t="shared" si="277"/>
        <v>57111</v>
      </c>
      <c r="P1882" t="str">
        <f>"2200L"</f>
        <v>2200L</v>
      </c>
      <c r="Q1882" t="str">
        <f t="shared" si="272"/>
        <v>0101</v>
      </c>
      <c r="R1882">
        <v>2200</v>
      </c>
      <c r="S1882" t="str">
        <f t="shared" si="278"/>
        <v>5710</v>
      </c>
      <c r="T1882" t="s">
        <v>3602</v>
      </c>
      <c r="U1882" t="s">
        <v>1746</v>
      </c>
    </row>
    <row r="1883" spans="1:21" ht="15" customHeight="1" x14ac:dyDescent="0.3">
      <c r="A1883" t="s">
        <v>179</v>
      </c>
      <c r="B1883" t="str">
        <f>"00055249"</f>
        <v>00055249</v>
      </c>
      <c r="C1883" t="s">
        <v>200</v>
      </c>
      <c r="D1883" t="s">
        <v>1753</v>
      </c>
      <c r="E1883" t="str">
        <f>"00046489"</f>
        <v>00046489</v>
      </c>
      <c r="F1883">
        <v>0</v>
      </c>
      <c r="G1883" s="243">
        <v>33679</v>
      </c>
      <c r="H1883" t="s">
        <v>182</v>
      </c>
      <c r="I1883">
        <v>15</v>
      </c>
      <c r="J1883">
        <v>16</v>
      </c>
      <c r="K1883">
        <v>1</v>
      </c>
      <c r="L1883">
        <v>103347</v>
      </c>
      <c r="M1883" t="str">
        <f t="shared" si="271"/>
        <v>13</v>
      </c>
      <c r="N1883" t="s">
        <v>3323</v>
      </c>
      <c r="O1883" t="str">
        <f t="shared" si="277"/>
        <v>57111</v>
      </c>
      <c r="P1883" t="str">
        <f>"3030L"</f>
        <v>3030L</v>
      </c>
      <c r="Q1883" t="str">
        <f t="shared" si="272"/>
        <v>0101</v>
      </c>
      <c r="R1883">
        <v>3030</v>
      </c>
      <c r="S1883" t="str">
        <f t="shared" si="278"/>
        <v>5710</v>
      </c>
      <c r="T1883" t="s">
        <v>3602</v>
      </c>
      <c r="U1883" t="s">
        <v>1746</v>
      </c>
    </row>
    <row r="1884" spans="1:21" ht="15" customHeight="1" x14ac:dyDescent="0.3">
      <c r="A1884" t="s">
        <v>179</v>
      </c>
      <c r="B1884" t="str">
        <f>"00056892"</f>
        <v>00056892</v>
      </c>
      <c r="C1884" t="s">
        <v>4262</v>
      </c>
      <c r="D1884" t="s">
        <v>4866</v>
      </c>
      <c r="E1884" t="str">
        <f>"00070485"</f>
        <v>00070485</v>
      </c>
      <c r="F1884">
        <v>0</v>
      </c>
      <c r="G1884" s="243">
        <v>41178</v>
      </c>
      <c r="H1884" t="s">
        <v>182</v>
      </c>
      <c r="I1884">
        <v>15</v>
      </c>
      <c r="J1884">
        <v>1</v>
      </c>
      <c r="K1884">
        <v>1</v>
      </c>
      <c r="L1884">
        <v>51539</v>
      </c>
      <c r="M1884" t="str">
        <f t="shared" si="271"/>
        <v>13</v>
      </c>
      <c r="N1884" t="s">
        <v>3323</v>
      </c>
      <c r="O1884" t="str">
        <f t="shared" si="277"/>
        <v>57111</v>
      </c>
      <c r="P1884" t="str">
        <f>"2100L"</f>
        <v>2100L</v>
      </c>
      <c r="Q1884" t="str">
        <f t="shared" si="272"/>
        <v>0101</v>
      </c>
      <c r="R1884">
        <v>2100</v>
      </c>
      <c r="S1884" t="str">
        <f t="shared" si="278"/>
        <v>5710</v>
      </c>
      <c r="T1884" t="s">
        <v>3602</v>
      </c>
      <c r="U1884" t="s">
        <v>1746</v>
      </c>
    </row>
    <row r="1885" spans="1:21" ht="15" customHeight="1" x14ac:dyDescent="0.3">
      <c r="A1885" t="s">
        <v>179</v>
      </c>
      <c r="B1885" t="str">
        <f>"00057346"</f>
        <v>00057346</v>
      </c>
      <c r="C1885" t="s">
        <v>4259</v>
      </c>
      <c r="D1885" t="s">
        <v>1754</v>
      </c>
      <c r="E1885" t="str">
        <f>"00057681"</f>
        <v>00057681</v>
      </c>
      <c r="F1885">
        <v>0</v>
      </c>
      <c r="G1885" s="243">
        <v>40042</v>
      </c>
      <c r="H1885" t="s">
        <v>182</v>
      </c>
      <c r="I1885">
        <v>15</v>
      </c>
      <c r="J1885">
        <v>12</v>
      </c>
      <c r="K1885">
        <v>1</v>
      </c>
      <c r="L1885">
        <v>89887</v>
      </c>
      <c r="M1885" t="str">
        <f t="shared" si="271"/>
        <v>13</v>
      </c>
      <c r="N1885" t="s">
        <v>3323</v>
      </c>
      <c r="O1885" t="str">
        <f t="shared" si="277"/>
        <v>57111</v>
      </c>
      <c r="P1885" t="str">
        <f>"2100L"</f>
        <v>2100L</v>
      </c>
      <c r="Q1885" t="str">
        <f t="shared" si="272"/>
        <v>0101</v>
      </c>
      <c r="R1885">
        <v>2100</v>
      </c>
      <c r="S1885" t="str">
        <f t="shared" si="278"/>
        <v>5710</v>
      </c>
      <c r="T1885" t="s">
        <v>3602</v>
      </c>
      <c r="U1885" t="s">
        <v>1746</v>
      </c>
    </row>
    <row r="1886" spans="1:21" ht="15" customHeight="1" x14ac:dyDescent="0.3">
      <c r="A1886" t="s">
        <v>179</v>
      </c>
      <c r="B1886" t="str">
        <f>"00057888"</f>
        <v>00057888</v>
      </c>
      <c r="C1886" t="s">
        <v>4367</v>
      </c>
      <c r="H1886" t="s">
        <v>170</v>
      </c>
      <c r="I1886">
        <v>9</v>
      </c>
      <c r="J1886">
        <v>0</v>
      </c>
      <c r="K1886">
        <v>1</v>
      </c>
      <c r="L1886">
        <v>36775</v>
      </c>
      <c r="M1886" t="str">
        <f t="shared" si="271"/>
        <v>13</v>
      </c>
      <c r="N1886" t="s">
        <v>3323</v>
      </c>
      <c r="O1886" t="str">
        <f t="shared" si="277"/>
        <v>57111</v>
      </c>
      <c r="P1886" t="str">
        <f>"2100L"</f>
        <v>2100L</v>
      </c>
      <c r="Q1886" t="str">
        <f t="shared" si="272"/>
        <v>0101</v>
      </c>
      <c r="R1886">
        <v>2100</v>
      </c>
      <c r="S1886" t="str">
        <f t="shared" si="278"/>
        <v>5710</v>
      </c>
      <c r="T1886" t="s">
        <v>3602</v>
      </c>
      <c r="U1886" t="s">
        <v>1746</v>
      </c>
    </row>
    <row r="1887" spans="1:21" ht="15" customHeight="1" x14ac:dyDescent="0.3">
      <c r="A1887" t="s">
        <v>179</v>
      </c>
      <c r="B1887" t="str">
        <f>"00059206"</f>
        <v>00059206</v>
      </c>
      <c r="C1887" t="s">
        <v>3798</v>
      </c>
      <c r="D1887" t="s">
        <v>1015</v>
      </c>
      <c r="E1887" t="str">
        <f>"00056588"</f>
        <v>00056588</v>
      </c>
      <c r="F1887">
        <v>0</v>
      </c>
      <c r="G1887" s="243">
        <v>40000</v>
      </c>
      <c r="H1887" t="s">
        <v>182</v>
      </c>
      <c r="I1887">
        <v>61</v>
      </c>
      <c r="J1887">
        <v>1</v>
      </c>
      <c r="K1887">
        <v>1</v>
      </c>
      <c r="L1887">
        <v>100000</v>
      </c>
      <c r="M1887" t="str">
        <f t="shared" si="271"/>
        <v>13</v>
      </c>
      <c r="N1887" t="s">
        <v>3323</v>
      </c>
      <c r="O1887" t="str">
        <f t="shared" si="277"/>
        <v>57111</v>
      </c>
      <c r="P1887" t="str">
        <f>"1501L"</f>
        <v>1501L</v>
      </c>
      <c r="Q1887" t="str">
        <f t="shared" si="272"/>
        <v>0101</v>
      </c>
      <c r="R1887">
        <v>1501</v>
      </c>
      <c r="S1887" t="str">
        <f t="shared" si="278"/>
        <v>5710</v>
      </c>
      <c r="T1887" t="s">
        <v>3602</v>
      </c>
      <c r="U1887" t="s">
        <v>1746</v>
      </c>
    </row>
    <row r="1888" spans="1:21" ht="15" customHeight="1" x14ac:dyDescent="0.3">
      <c r="A1888" t="s">
        <v>179</v>
      </c>
      <c r="B1888" t="str">
        <f>"00059683"</f>
        <v>00059683</v>
      </c>
      <c r="C1888" t="s">
        <v>200</v>
      </c>
      <c r="D1888" t="s">
        <v>1755</v>
      </c>
      <c r="E1888" t="str">
        <f>"00053310"</f>
        <v>00053310</v>
      </c>
      <c r="F1888">
        <v>0</v>
      </c>
      <c r="G1888" s="243">
        <v>38110</v>
      </c>
      <c r="H1888" t="s">
        <v>182</v>
      </c>
      <c r="I1888">
        <v>15</v>
      </c>
      <c r="J1888">
        <v>11</v>
      </c>
      <c r="K1888">
        <v>1</v>
      </c>
      <c r="L1888">
        <v>81335</v>
      </c>
      <c r="M1888" t="str">
        <f t="shared" si="271"/>
        <v>13</v>
      </c>
      <c r="N1888" t="s">
        <v>3323</v>
      </c>
      <c r="O1888" t="str">
        <f t="shared" si="277"/>
        <v>57111</v>
      </c>
      <c r="P1888" t="str">
        <f>"3030L"</f>
        <v>3030L</v>
      </c>
      <c r="Q1888" t="str">
        <f t="shared" si="272"/>
        <v>0101</v>
      </c>
      <c r="R1888">
        <v>3030</v>
      </c>
      <c r="S1888" t="str">
        <f t="shared" si="278"/>
        <v>5710</v>
      </c>
      <c r="T1888" t="s">
        <v>3602</v>
      </c>
      <c r="U1888" t="s">
        <v>1746</v>
      </c>
    </row>
    <row r="1889" spans="1:21" ht="15" customHeight="1" x14ac:dyDescent="0.3">
      <c r="A1889" t="s">
        <v>179</v>
      </c>
      <c r="B1889" t="str">
        <f>"00059846"</f>
        <v>00059846</v>
      </c>
      <c r="C1889" t="s">
        <v>4258</v>
      </c>
      <c r="H1889" t="s">
        <v>170</v>
      </c>
      <c r="I1889">
        <v>15</v>
      </c>
      <c r="J1889">
        <v>1</v>
      </c>
      <c r="K1889">
        <v>1</v>
      </c>
      <c r="L1889">
        <v>54975</v>
      </c>
      <c r="M1889" t="str">
        <f t="shared" ref="M1889:M1947" si="279">"13"</f>
        <v>13</v>
      </c>
      <c r="N1889" t="s">
        <v>3323</v>
      </c>
      <c r="O1889" t="str">
        <f t="shared" si="277"/>
        <v>57111</v>
      </c>
      <c r="P1889" t="str">
        <f>"2100L"</f>
        <v>2100L</v>
      </c>
      <c r="Q1889" t="str">
        <f t="shared" si="272"/>
        <v>0101</v>
      </c>
      <c r="R1889">
        <v>2100</v>
      </c>
      <c r="S1889" t="str">
        <f t="shared" si="278"/>
        <v>5710</v>
      </c>
      <c r="T1889" t="s">
        <v>3602</v>
      </c>
      <c r="U1889" t="s">
        <v>1746</v>
      </c>
    </row>
    <row r="1890" spans="1:21" ht="15" customHeight="1" x14ac:dyDescent="0.3">
      <c r="A1890" t="s">
        <v>179</v>
      </c>
      <c r="B1890" t="str">
        <f>"00060295"</f>
        <v>00060295</v>
      </c>
      <c r="C1890" t="s">
        <v>4260</v>
      </c>
      <c r="D1890" t="s">
        <v>1099</v>
      </c>
      <c r="E1890" t="str">
        <f>"00052096"</f>
        <v>00052096</v>
      </c>
      <c r="F1890">
        <v>0</v>
      </c>
      <c r="G1890" s="243">
        <v>36332</v>
      </c>
      <c r="H1890" t="s">
        <v>182</v>
      </c>
      <c r="I1890">
        <v>15</v>
      </c>
      <c r="J1890">
        <v>12</v>
      </c>
      <c r="K1890">
        <v>1</v>
      </c>
      <c r="L1890">
        <v>89887</v>
      </c>
      <c r="M1890" t="str">
        <f t="shared" si="279"/>
        <v>13</v>
      </c>
      <c r="N1890" t="s">
        <v>3323</v>
      </c>
      <c r="O1890" t="str">
        <f t="shared" si="277"/>
        <v>57111</v>
      </c>
      <c r="P1890" t="str">
        <f>"2100L"</f>
        <v>2100L</v>
      </c>
      <c r="Q1890" t="str">
        <f t="shared" si="272"/>
        <v>0101</v>
      </c>
      <c r="R1890">
        <v>2100</v>
      </c>
      <c r="S1890" t="str">
        <f t="shared" si="278"/>
        <v>5710</v>
      </c>
      <c r="T1890" t="s">
        <v>3602</v>
      </c>
      <c r="U1890" t="s">
        <v>1746</v>
      </c>
    </row>
    <row r="1891" spans="1:21" ht="15" customHeight="1" x14ac:dyDescent="0.3">
      <c r="A1891" t="s">
        <v>179</v>
      </c>
      <c r="B1891" t="str">
        <f>"00060733"</f>
        <v>00060733</v>
      </c>
      <c r="C1891" t="s">
        <v>4274</v>
      </c>
      <c r="D1891" t="s">
        <v>4867</v>
      </c>
      <c r="E1891" t="str">
        <f>"00048268"</f>
        <v>00048268</v>
      </c>
      <c r="F1891">
        <v>0</v>
      </c>
      <c r="G1891" s="243">
        <v>39160</v>
      </c>
      <c r="H1891" t="s">
        <v>182</v>
      </c>
      <c r="I1891">
        <v>4</v>
      </c>
      <c r="J1891">
        <v>10</v>
      </c>
      <c r="K1891">
        <v>1</v>
      </c>
      <c r="L1891">
        <v>28721</v>
      </c>
      <c r="M1891" t="str">
        <f t="shared" si="279"/>
        <v>13</v>
      </c>
      <c r="N1891" t="s">
        <v>3323</v>
      </c>
      <c r="O1891" t="str">
        <f t="shared" si="277"/>
        <v>57111</v>
      </c>
      <c r="P1891" t="str">
        <f>"2200L"</f>
        <v>2200L</v>
      </c>
      <c r="Q1891" t="str">
        <f t="shared" si="272"/>
        <v>0101</v>
      </c>
      <c r="R1891">
        <v>2200</v>
      </c>
      <c r="S1891" t="str">
        <f t="shared" si="278"/>
        <v>5710</v>
      </c>
      <c r="T1891" t="s">
        <v>3602</v>
      </c>
      <c r="U1891" t="s">
        <v>1746</v>
      </c>
    </row>
    <row r="1892" spans="1:21" ht="15" customHeight="1" x14ac:dyDescent="0.3">
      <c r="A1892" t="s">
        <v>179</v>
      </c>
      <c r="B1892" t="str">
        <f>"00061017"</f>
        <v>00061017</v>
      </c>
      <c r="C1892" t="s">
        <v>4262</v>
      </c>
      <c r="D1892" t="s">
        <v>4868</v>
      </c>
      <c r="E1892" t="str">
        <f>"00069747"</f>
        <v>00069747</v>
      </c>
      <c r="F1892">
        <v>0</v>
      </c>
      <c r="G1892" s="243">
        <v>41133</v>
      </c>
      <c r="H1892" t="s">
        <v>182</v>
      </c>
      <c r="I1892">
        <v>15</v>
      </c>
      <c r="J1892">
        <v>10</v>
      </c>
      <c r="K1892">
        <v>1</v>
      </c>
      <c r="L1892">
        <v>78273</v>
      </c>
      <c r="M1892" t="str">
        <f t="shared" si="279"/>
        <v>13</v>
      </c>
      <c r="N1892" t="s">
        <v>3370</v>
      </c>
      <c r="O1892" t="str">
        <f t="shared" si="277"/>
        <v>57111</v>
      </c>
      <c r="P1892" t="str">
        <f>"2100L"</f>
        <v>2100L</v>
      </c>
      <c r="Q1892" t="str">
        <f t="shared" si="272"/>
        <v>0101</v>
      </c>
      <c r="R1892">
        <v>2100</v>
      </c>
      <c r="S1892" t="str">
        <f t="shared" si="278"/>
        <v>5710</v>
      </c>
      <c r="T1892" t="s">
        <v>3602</v>
      </c>
      <c r="U1892" t="s">
        <v>1746</v>
      </c>
    </row>
    <row r="1893" spans="1:21" ht="15" customHeight="1" x14ac:dyDescent="0.3">
      <c r="A1893" t="s">
        <v>179</v>
      </c>
      <c r="B1893" t="str">
        <f>"00061046"</f>
        <v>00061046</v>
      </c>
      <c r="C1893" t="s">
        <v>4262</v>
      </c>
      <c r="D1893" t="s">
        <v>1756</v>
      </c>
      <c r="E1893" t="str">
        <f>"00062589"</f>
        <v>00062589</v>
      </c>
      <c r="F1893">
        <v>0</v>
      </c>
      <c r="G1893" s="243">
        <v>40406</v>
      </c>
      <c r="H1893" t="s">
        <v>182</v>
      </c>
      <c r="I1893">
        <v>15</v>
      </c>
      <c r="J1893">
        <v>11</v>
      </c>
      <c r="K1893">
        <v>1</v>
      </c>
      <c r="L1893">
        <v>81335</v>
      </c>
      <c r="M1893" t="str">
        <f t="shared" si="279"/>
        <v>13</v>
      </c>
      <c r="N1893" t="s">
        <v>3323</v>
      </c>
      <c r="O1893" t="str">
        <f t="shared" si="277"/>
        <v>57111</v>
      </c>
      <c r="P1893" t="str">
        <f>"2100L"</f>
        <v>2100L</v>
      </c>
      <c r="Q1893" t="str">
        <f t="shared" si="272"/>
        <v>0101</v>
      </c>
      <c r="R1893">
        <v>2100</v>
      </c>
      <c r="S1893" t="str">
        <f t="shared" si="278"/>
        <v>5710</v>
      </c>
      <c r="T1893" t="s">
        <v>3602</v>
      </c>
      <c r="U1893" t="s">
        <v>1746</v>
      </c>
    </row>
    <row r="1894" spans="1:21" ht="15" customHeight="1" x14ac:dyDescent="0.3">
      <c r="A1894" t="s">
        <v>179</v>
      </c>
      <c r="B1894" t="str">
        <f>"00061056"</f>
        <v>00061056</v>
      </c>
      <c r="C1894" t="s">
        <v>4262</v>
      </c>
      <c r="D1894" t="s">
        <v>1757</v>
      </c>
      <c r="E1894" t="str">
        <f>"00045919"</f>
        <v>00045919</v>
      </c>
      <c r="F1894">
        <v>0</v>
      </c>
      <c r="G1894" s="243">
        <v>39314</v>
      </c>
      <c r="H1894" t="s">
        <v>182</v>
      </c>
      <c r="I1894">
        <v>15</v>
      </c>
      <c r="J1894">
        <v>7</v>
      </c>
      <c r="K1894">
        <v>1</v>
      </c>
      <c r="L1894">
        <v>69132</v>
      </c>
      <c r="M1894" t="str">
        <f t="shared" si="279"/>
        <v>13</v>
      </c>
      <c r="N1894" t="s">
        <v>3323</v>
      </c>
      <c r="O1894" t="str">
        <f t="shared" si="277"/>
        <v>57111</v>
      </c>
      <c r="P1894" t="str">
        <f>"2100L"</f>
        <v>2100L</v>
      </c>
      <c r="Q1894" t="str">
        <f t="shared" si="272"/>
        <v>0101</v>
      </c>
      <c r="R1894">
        <v>2100</v>
      </c>
      <c r="S1894" t="str">
        <f t="shared" si="278"/>
        <v>5710</v>
      </c>
      <c r="T1894" t="s">
        <v>3602</v>
      </c>
      <c r="U1894" t="s">
        <v>1746</v>
      </c>
    </row>
    <row r="1895" spans="1:21" ht="15" customHeight="1" x14ac:dyDescent="0.3">
      <c r="A1895" t="s">
        <v>179</v>
      </c>
      <c r="B1895" t="str">
        <f>"00062764"</f>
        <v>00062764</v>
      </c>
      <c r="C1895" t="s">
        <v>4288</v>
      </c>
      <c r="D1895" t="s">
        <v>4869</v>
      </c>
      <c r="E1895" t="str">
        <f>"00054902"</f>
        <v>00054902</v>
      </c>
      <c r="F1895">
        <v>0</v>
      </c>
      <c r="G1895" s="243">
        <v>39762</v>
      </c>
      <c r="H1895" t="s">
        <v>182</v>
      </c>
      <c r="I1895">
        <v>4</v>
      </c>
      <c r="J1895">
        <v>6</v>
      </c>
      <c r="K1895">
        <v>0.875</v>
      </c>
      <c r="L1895">
        <v>25935.88</v>
      </c>
      <c r="M1895" t="str">
        <f t="shared" si="279"/>
        <v>13</v>
      </c>
      <c r="N1895" t="s">
        <v>3323</v>
      </c>
      <c r="O1895" t="str">
        <f t="shared" si="277"/>
        <v>57111</v>
      </c>
      <c r="P1895" t="str">
        <f>"2100L"</f>
        <v>2100L</v>
      </c>
      <c r="Q1895" t="str">
        <f t="shared" ref="Q1895:Q1954" si="280">"0101"</f>
        <v>0101</v>
      </c>
      <c r="R1895">
        <v>2100</v>
      </c>
      <c r="S1895" t="str">
        <f t="shared" si="278"/>
        <v>5710</v>
      </c>
      <c r="T1895" t="s">
        <v>3602</v>
      </c>
      <c r="U1895" t="s">
        <v>1746</v>
      </c>
    </row>
    <row r="1896" spans="1:21" ht="15" customHeight="1" x14ac:dyDescent="0.3">
      <c r="A1896" t="s">
        <v>179</v>
      </c>
      <c r="B1896" t="str">
        <f>"00062923"</f>
        <v>00062923</v>
      </c>
      <c r="C1896" t="s">
        <v>4288</v>
      </c>
      <c r="D1896" t="s">
        <v>4870</v>
      </c>
      <c r="E1896" t="str">
        <f>"00061440"</f>
        <v>00061440</v>
      </c>
      <c r="F1896">
        <v>0</v>
      </c>
      <c r="G1896" s="243">
        <v>40525</v>
      </c>
      <c r="H1896" t="s">
        <v>182</v>
      </c>
      <c r="I1896">
        <v>4</v>
      </c>
      <c r="J1896">
        <v>5</v>
      </c>
      <c r="K1896">
        <v>0.875</v>
      </c>
      <c r="L1896">
        <v>25239.37</v>
      </c>
      <c r="M1896" t="str">
        <f t="shared" si="279"/>
        <v>13</v>
      </c>
      <c r="N1896" t="s">
        <v>3323</v>
      </c>
      <c r="O1896" t="str">
        <f t="shared" si="277"/>
        <v>57111</v>
      </c>
      <c r="P1896" t="str">
        <f>"2200L"</f>
        <v>2200L</v>
      </c>
      <c r="Q1896" t="str">
        <f t="shared" si="280"/>
        <v>0101</v>
      </c>
      <c r="R1896">
        <v>2200</v>
      </c>
      <c r="S1896" t="str">
        <f t="shared" si="278"/>
        <v>5710</v>
      </c>
      <c r="T1896" t="s">
        <v>3602</v>
      </c>
      <c r="U1896" t="s">
        <v>1746</v>
      </c>
    </row>
    <row r="1897" spans="1:21" ht="15" customHeight="1" x14ac:dyDescent="0.3">
      <c r="A1897" t="s">
        <v>179</v>
      </c>
      <c r="B1897" t="str">
        <f>"00065858"</f>
        <v>00065858</v>
      </c>
      <c r="C1897" t="s">
        <v>4292</v>
      </c>
      <c r="H1897" t="s">
        <v>170</v>
      </c>
      <c r="I1897">
        <v>4</v>
      </c>
      <c r="J1897">
        <v>1</v>
      </c>
      <c r="K1897">
        <v>1</v>
      </c>
      <c r="L1897">
        <v>25662</v>
      </c>
      <c r="M1897" t="str">
        <f t="shared" si="279"/>
        <v>13</v>
      </c>
      <c r="N1897" t="s">
        <v>3370</v>
      </c>
      <c r="O1897" t="str">
        <f t="shared" si="277"/>
        <v>57111</v>
      </c>
      <c r="P1897" t="str">
        <f>"2200L"</f>
        <v>2200L</v>
      </c>
      <c r="Q1897" t="str">
        <f t="shared" si="280"/>
        <v>0101</v>
      </c>
      <c r="R1897">
        <v>2200</v>
      </c>
      <c r="S1897" t="str">
        <f t="shared" si="278"/>
        <v>5710</v>
      </c>
      <c r="T1897" t="s">
        <v>3602</v>
      </c>
      <c r="U1897" t="s">
        <v>1746</v>
      </c>
    </row>
    <row r="1898" spans="1:21" ht="15" customHeight="1" x14ac:dyDescent="0.3">
      <c r="A1898" t="s">
        <v>179</v>
      </c>
      <c r="B1898" t="str">
        <f>"00066004"</f>
        <v>00066004</v>
      </c>
      <c r="C1898" t="s">
        <v>4256</v>
      </c>
      <c r="D1898" t="s">
        <v>1758</v>
      </c>
      <c r="E1898" t="str">
        <f>"00062951"</f>
        <v>00062951</v>
      </c>
      <c r="F1898">
        <v>0</v>
      </c>
      <c r="G1898" s="243">
        <v>40406</v>
      </c>
      <c r="H1898" t="s">
        <v>182</v>
      </c>
      <c r="I1898">
        <v>15</v>
      </c>
      <c r="J1898">
        <v>12</v>
      </c>
      <c r="K1898">
        <v>1</v>
      </c>
      <c r="L1898">
        <v>87431</v>
      </c>
      <c r="M1898" t="str">
        <f t="shared" si="279"/>
        <v>13</v>
      </c>
      <c r="N1898" t="s">
        <v>3323</v>
      </c>
      <c r="O1898" t="str">
        <f t="shared" si="277"/>
        <v>57111</v>
      </c>
      <c r="P1898" t="str">
        <f>"2100L"</f>
        <v>2100L</v>
      </c>
      <c r="Q1898" t="str">
        <f t="shared" si="280"/>
        <v>0101</v>
      </c>
      <c r="R1898">
        <v>2100</v>
      </c>
      <c r="S1898" t="str">
        <f t="shared" si="278"/>
        <v>5710</v>
      </c>
      <c r="T1898" t="s">
        <v>3602</v>
      </c>
      <c r="U1898" t="s">
        <v>1746</v>
      </c>
    </row>
    <row r="1899" spans="1:21" ht="15" customHeight="1" x14ac:dyDescent="0.3">
      <c r="A1899" t="s">
        <v>179</v>
      </c>
      <c r="B1899" t="str">
        <f>"00066469"</f>
        <v>00066469</v>
      </c>
      <c r="C1899" t="s">
        <v>4274</v>
      </c>
      <c r="D1899" t="s">
        <v>4871</v>
      </c>
      <c r="E1899" t="str">
        <f>"00046601"</f>
        <v>00046601</v>
      </c>
      <c r="F1899">
        <v>0</v>
      </c>
      <c r="G1899" s="243">
        <v>40273</v>
      </c>
      <c r="H1899" t="s">
        <v>182</v>
      </c>
      <c r="I1899">
        <v>4</v>
      </c>
      <c r="J1899">
        <v>7</v>
      </c>
      <c r="K1899">
        <v>1</v>
      </c>
      <c r="L1899">
        <v>26633.25</v>
      </c>
      <c r="M1899" t="str">
        <f t="shared" si="279"/>
        <v>13</v>
      </c>
      <c r="N1899" t="s">
        <v>3323</v>
      </c>
      <c r="O1899" t="str">
        <f t="shared" si="277"/>
        <v>57111</v>
      </c>
      <c r="P1899" t="str">
        <f>"2200L"</f>
        <v>2200L</v>
      </c>
      <c r="Q1899" t="str">
        <f t="shared" si="280"/>
        <v>0101</v>
      </c>
      <c r="R1899">
        <v>2200</v>
      </c>
      <c r="S1899" t="str">
        <f t="shared" si="278"/>
        <v>5710</v>
      </c>
      <c r="T1899" t="s">
        <v>3602</v>
      </c>
      <c r="U1899" t="s">
        <v>1746</v>
      </c>
    </row>
    <row r="1900" spans="1:21" ht="15" customHeight="1" x14ac:dyDescent="0.3">
      <c r="A1900" t="s">
        <v>179</v>
      </c>
      <c r="B1900" t="str">
        <f>"00066477"</f>
        <v>00066477</v>
      </c>
      <c r="C1900" t="s">
        <v>4274</v>
      </c>
      <c r="D1900" t="s">
        <v>4872</v>
      </c>
      <c r="E1900" t="str">
        <f>"00058476"</f>
        <v>00058476</v>
      </c>
      <c r="F1900">
        <v>0</v>
      </c>
      <c r="G1900" s="243">
        <v>40058</v>
      </c>
      <c r="H1900" t="s">
        <v>182</v>
      </c>
      <c r="I1900">
        <v>4</v>
      </c>
      <c r="J1900">
        <v>6</v>
      </c>
      <c r="K1900">
        <v>1</v>
      </c>
      <c r="L1900">
        <v>25935.88</v>
      </c>
      <c r="M1900" t="str">
        <f t="shared" si="279"/>
        <v>13</v>
      </c>
      <c r="N1900" t="s">
        <v>3323</v>
      </c>
      <c r="O1900" t="str">
        <f t="shared" si="277"/>
        <v>57111</v>
      </c>
      <c r="P1900" t="str">
        <f>"2200L"</f>
        <v>2200L</v>
      </c>
      <c r="Q1900" t="str">
        <f t="shared" si="280"/>
        <v>0101</v>
      </c>
      <c r="R1900">
        <v>2200</v>
      </c>
      <c r="S1900" t="str">
        <f t="shared" si="278"/>
        <v>5710</v>
      </c>
      <c r="T1900" t="s">
        <v>3602</v>
      </c>
      <c r="U1900" t="s">
        <v>1746</v>
      </c>
    </row>
    <row r="1901" spans="1:21" ht="15" customHeight="1" x14ac:dyDescent="0.3">
      <c r="A1901" t="s">
        <v>179</v>
      </c>
      <c r="B1901" t="str">
        <f>"00066485"</f>
        <v>00066485</v>
      </c>
      <c r="C1901" t="s">
        <v>4274</v>
      </c>
      <c r="D1901" t="s">
        <v>4873</v>
      </c>
      <c r="E1901" t="str">
        <f>"00062947"</f>
        <v>00062947</v>
      </c>
      <c r="F1901">
        <v>0</v>
      </c>
      <c r="G1901" s="243">
        <v>40406</v>
      </c>
      <c r="H1901" t="s">
        <v>182</v>
      </c>
      <c r="I1901">
        <v>4</v>
      </c>
      <c r="J1901">
        <v>5</v>
      </c>
      <c r="K1901">
        <v>1</v>
      </c>
      <c r="L1901">
        <v>25239.37</v>
      </c>
      <c r="M1901" t="str">
        <f t="shared" si="279"/>
        <v>13</v>
      </c>
      <c r="N1901" t="s">
        <v>3323</v>
      </c>
      <c r="O1901" t="str">
        <f t="shared" si="277"/>
        <v>57111</v>
      </c>
      <c r="P1901" t="str">
        <f>"2100L"</f>
        <v>2100L</v>
      </c>
      <c r="Q1901" t="str">
        <f t="shared" si="280"/>
        <v>0101</v>
      </c>
      <c r="R1901">
        <v>2100</v>
      </c>
      <c r="S1901" t="str">
        <f t="shared" si="278"/>
        <v>5710</v>
      </c>
      <c r="T1901" t="s">
        <v>3602</v>
      </c>
      <c r="U1901" t="s">
        <v>1746</v>
      </c>
    </row>
    <row r="1902" spans="1:21" ht="15" customHeight="1" x14ac:dyDescent="0.3">
      <c r="A1902" t="s">
        <v>179</v>
      </c>
      <c r="B1902" t="str">
        <f>"00066629"</f>
        <v>00066629</v>
      </c>
      <c r="C1902" t="s">
        <v>4262</v>
      </c>
      <c r="D1902" t="s">
        <v>4874</v>
      </c>
      <c r="E1902" t="str">
        <f>"00069654"</f>
        <v>00069654</v>
      </c>
      <c r="F1902">
        <v>0</v>
      </c>
      <c r="G1902" s="243">
        <v>41133</v>
      </c>
      <c r="H1902" t="s">
        <v>182</v>
      </c>
      <c r="I1902">
        <v>15</v>
      </c>
      <c r="J1902">
        <v>1</v>
      </c>
      <c r="K1902">
        <v>1</v>
      </c>
      <c r="L1902">
        <v>54975</v>
      </c>
      <c r="M1902" t="str">
        <f t="shared" si="279"/>
        <v>13</v>
      </c>
      <c r="N1902" t="s">
        <v>3370</v>
      </c>
      <c r="O1902" t="str">
        <f t="shared" si="277"/>
        <v>57111</v>
      </c>
      <c r="P1902" t="str">
        <f>"2100L"</f>
        <v>2100L</v>
      </c>
      <c r="Q1902" t="str">
        <f t="shared" si="280"/>
        <v>0101</v>
      </c>
      <c r="R1902">
        <v>2100</v>
      </c>
      <c r="S1902" t="str">
        <f t="shared" si="278"/>
        <v>5710</v>
      </c>
      <c r="T1902" t="s">
        <v>3602</v>
      </c>
      <c r="U1902" t="s">
        <v>1746</v>
      </c>
    </row>
    <row r="1903" spans="1:21" ht="15" customHeight="1" x14ac:dyDescent="0.3">
      <c r="A1903" t="s">
        <v>179</v>
      </c>
      <c r="B1903" t="str">
        <f>"00067402"</f>
        <v>00067402</v>
      </c>
      <c r="C1903" t="s">
        <v>4614</v>
      </c>
      <c r="H1903" t="s">
        <v>170</v>
      </c>
      <c r="I1903">
        <v>7</v>
      </c>
      <c r="J1903">
        <v>1</v>
      </c>
      <c r="K1903">
        <v>1</v>
      </c>
      <c r="L1903">
        <v>34871</v>
      </c>
      <c r="M1903" t="str">
        <f t="shared" si="279"/>
        <v>13</v>
      </c>
      <c r="N1903" t="s">
        <v>3370</v>
      </c>
      <c r="O1903" t="str">
        <f t="shared" si="277"/>
        <v>57111</v>
      </c>
      <c r="P1903" t="str">
        <f>"1502L"</f>
        <v>1502L</v>
      </c>
      <c r="Q1903" t="str">
        <f t="shared" si="280"/>
        <v>0101</v>
      </c>
      <c r="R1903">
        <v>1502</v>
      </c>
      <c r="S1903" t="str">
        <f t="shared" si="278"/>
        <v>5710</v>
      </c>
      <c r="T1903" t="s">
        <v>3602</v>
      </c>
      <c r="U1903" t="s">
        <v>1746</v>
      </c>
    </row>
    <row r="1904" spans="1:21" ht="15" customHeight="1" x14ac:dyDescent="0.3">
      <c r="A1904" t="s">
        <v>179</v>
      </c>
      <c r="B1904" t="str">
        <f>"00067525"</f>
        <v>00067525</v>
      </c>
      <c r="C1904" t="s">
        <v>4272</v>
      </c>
      <c r="D1904" t="s">
        <v>1760</v>
      </c>
      <c r="E1904" t="str">
        <f>"00057497"</f>
        <v>00057497</v>
      </c>
      <c r="F1904">
        <v>0</v>
      </c>
      <c r="G1904" s="243">
        <v>40042</v>
      </c>
      <c r="H1904" t="s">
        <v>182</v>
      </c>
      <c r="I1904">
        <v>15</v>
      </c>
      <c r="J1904">
        <v>12</v>
      </c>
      <c r="K1904">
        <v>1</v>
      </c>
      <c r="L1904">
        <v>87431</v>
      </c>
      <c r="M1904" t="str">
        <f t="shared" si="279"/>
        <v>13</v>
      </c>
      <c r="N1904" t="s">
        <v>3323</v>
      </c>
      <c r="O1904" t="str">
        <f t="shared" si="277"/>
        <v>57111</v>
      </c>
      <c r="P1904" t="str">
        <f t="shared" ref="P1904:P1910" si="281">"2100L"</f>
        <v>2100L</v>
      </c>
      <c r="Q1904" t="str">
        <f t="shared" si="280"/>
        <v>0101</v>
      </c>
      <c r="R1904">
        <v>2100</v>
      </c>
      <c r="S1904" t="str">
        <f t="shared" si="278"/>
        <v>5710</v>
      </c>
      <c r="T1904" t="s">
        <v>3602</v>
      </c>
      <c r="U1904" t="s">
        <v>1746</v>
      </c>
    </row>
    <row r="1905" spans="1:21" ht="15" customHeight="1" x14ac:dyDescent="0.3">
      <c r="A1905" t="s">
        <v>179</v>
      </c>
      <c r="B1905" t="str">
        <f>"00072751"</f>
        <v>00072751</v>
      </c>
      <c r="C1905" t="s">
        <v>4262</v>
      </c>
      <c r="D1905" t="s">
        <v>1761</v>
      </c>
      <c r="E1905" t="str">
        <f>"00048058"</f>
        <v>00048058</v>
      </c>
      <c r="F1905">
        <v>0</v>
      </c>
      <c r="G1905" s="243">
        <v>32090</v>
      </c>
      <c r="H1905" t="s">
        <v>182</v>
      </c>
      <c r="I1905">
        <v>15</v>
      </c>
      <c r="J1905">
        <v>16</v>
      </c>
      <c r="K1905">
        <v>1</v>
      </c>
      <c r="L1905">
        <v>100839</v>
      </c>
      <c r="M1905" t="str">
        <f t="shared" si="279"/>
        <v>13</v>
      </c>
      <c r="N1905" t="s">
        <v>3323</v>
      </c>
      <c r="O1905" t="str">
        <f t="shared" si="277"/>
        <v>57111</v>
      </c>
      <c r="P1905" t="str">
        <f t="shared" si="281"/>
        <v>2100L</v>
      </c>
      <c r="Q1905" t="str">
        <f t="shared" si="280"/>
        <v>0101</v>
      </c>
      <c r="R1905">
        <v>2100</v>
      </c>
      <c r="S1905" t="str">
        <f t="shared" si="278"/>
        <v>5710</v>
      </c>
      <c r="T1905" t="s">
        <v>3602</v>
      </c>
      <c r="U1905" t="s">
        <v>1746</v>
      </c>
    </row>
    <row r="1906" spans="1:21" ht="15" customHeight="1" x14ac:dyDescent="0.3">
      <c r="A1906" t="s">
        <v>179</v>
      </c>
      <c r="B1906" t="str">
        <f>"00072752"</f>
        <v>00072752</v>
      </c>
      <c r="C1906" t="s">
        <v>4260</v>
      </c>
      <c r="D1906" t="s">
        <v>1762</v>
      </c>
      <c r="E1906" t="str">
        <f>"00054365"</f>
        <v>00054365</v>
      </c>
      <c r="F1906">
        <v>0</v>
      </c>
      <c r="G1906" s="243">
        <v>32050</v>
      </c>
      <c r="H1906" t="s">
        <v>182</v>
      </c>
      <c r="I1906">
        <v>15</v>
      </c>
      <c r="J1906">
        <v>16</v>
      </c>
      <c r="K1906">
        <v>1</v>
      </c>
      <c r="L1906">
        <v>103347</v>
      </c>
      <c r="M1906" t="str">
        <f t="shared" si="279"/>
        <v>13</v>
      </c>
      <c r="N1906" t="s">
        <v>3323</v>
      </c>
      <c r="O1906" t="str">
        <f t="shared" si="277"/>
        <v>57111</v>
      </c>
      <c r="P1906" t="str">
        <f t="shared" si="281"/>
        <v>2100L</v>
      </c>
      <c r="Q1906" t="str">
        <f t="shared" si="280"/>
        <v>0101</v>
      </c>
      <c r="R1906">
        <v>2100</v>
      </c>
      <c r="S1906" t="str">
        <f t="shared" si="278"/>
        <v>5710</v>
      </c>
      <c r="T1906" t="s">
        <v>3602</v>
      </c>
      <c r="U1906" t="s">
        <v>1746</v>
      </c>
    </row>
    <row r="1907" spans="1:21" ht="15" customHeight="1" x14ac:dyDescent="0.3">
      <c r="A1907" t="s">
        <v>179</v>
      </c>
      <c r="B1907" t="str">
        <f>"00076226"</f>
        <v>00076226</v>
      </c>
      <c r="C1907" t="s">
        <v>4270</v>
      </c>
      <c r="D1907" t="s">
        <v>4875</v>
      </c>
      <c r="E1907" t="str">
        <f>"00069906"</f>
        <v>00069906</v>
      </c>
      <c r="F1907">
        <v>0</v>
      </c>
      <c r="G1907" s="243">
        <v>41133</v>
      </c>
      <c r="H1907" t="s">
        <v>182</v>
      </c>
      <c r="I1907">
        <v>15</v>
      </c>
      <c r="J1907">
        <v>10</v>
      </c>
      <c r="K1907">
        <v>0.5</v>
      </c>
      <c r="L1907">
        <v>78273</v>
      </c>
      <c r="M1907" t="str">
        <f t="shared" si="279"/>
        <v>13</v>
      </c>
      <c r="N1907" t="s">
        <v>3323</v>
      </c>
      <c r="O1907" t="str">
        <f t="shared" si="277"/>
        <v>57111</v>
      </c>
      <c r="P1907" t="str">
        <f t="shared" si="281"/>
        <v>2100L</v>
      </c>
      <c r="Q1907" t="str">
        <f t="shared" si="280"/>
        <v>0101</v>
      </c>
      <c r="R1907">
        <v>2100</v>
      </c>
      <c r="S1907" t="str">
        <f t="shared" si="278"/>
        <v>5710</v>
      </c>
      <c r="T1907" t="s">
        <v>3602</v>
      </c>
      <c r="U1907" t="s">
        <v>1746</v>
      </c>
    </row>
    <row r="1908" spans="1:21" ht="15" customHeight="1" x14ac:dyDescent="0.3">
      <c r="A1908" t="s">
        <v>179</v>
      </c>
      <c r="B1908" t="str">
        <f>"00076227"</f>
        <v>00076227</v>
      </c>
      <c r="C1908" t="s">
        <v>4271</v>
      </c>
      <c r="D1908" t="s">
        <v>4876</v>
      </c>
      <c r="E1908" t="str">
        <f>"00049110"</f>
        <v>00049110</v>
      </c>
      <c r="F1908">
        <v>0</v>
      </c>
      <c r="G1908" s="243">
        <v>39622</v>
      </c>
      <c r="H1908" t="s">
        <v>182</v>
      </c>
      <c r="I1908">
        <v>15</v>
      </c>
      <c r="J1908">
        <v>12</v>
      </c>
      <c r="K1908">
        <v>0.5</v>
      </c>
      <c r="L1908">
        <v>92613</v>
      </c>
      <c r="M1908" t="str">
        <f t="shared" si="279"/>
        <v>13</v>
      </c>
      <c r="N1908" t="s">
        <v>3370</v>
      </c>
      <c r="O1908" t="str">
        <f t="shared" si="277"/>
        <v>57111</v>
      </c>
      <c r="P1908" t="str">
        <f t="shared" si="281"/>
        <v>2100L</v>
      </c>
      <c r="Q1908" t="str">
        <f t="shared" si="280"/>
        <v>0101</v>
      </c>
      <c r="R1908">
        <v>2100</v>
      </c>
      <c r="S1908" t="str">
        <f t="shared" si="278"/>
        <v>5710</v>
      </c>
      <c r="T1908" t="s">
        <v>3602</v>
      </c>
      <c r="U1908" t="s">
        <v>1746</v>
      </c>
    </row>
    <row r="1909" spans="1:21" ht="15" customHeight="1" x14ac:dyDescent="0.3">
      <c r="A1909" t="s">
        <v>179</v>
      </c>
      <c r="B1909" t="str">
        <f>"00051576"</f>
        <v>00051576</v>
      </c>
      <c r="C1909" t="s">
        <v>4262</v>
      </c>
      <c r="D1909" t="s">
        <v>1763</v>
      </c>
      <c r="E1909" t="str">
        <f>"00044960"</f>
        <v>00044960</v>
      </c>
      <c r="F1909">
        <v>0</v>
      </c>
      <c r="G1909" s="243">
        <v>33857</v>
      </c>
      <c r="H1909" t="s">
        <v>182</v>
      </c>
      <c r="I1909">
        <v>15</v>
      </c>
      <c r="J1909">
        <v>16</v>
      </c>
      <c r="K1909">
        <v>1</v>
      </c>
      <c r="L1909">
        <v>100839</v>
      </c>
      <c r="M1909" t="str">
        <f t="shared" si="279"/>
        <v>13</v>
      </c>
      <c r="N1909" t="s">
        <v>3323</v>
      </c>
      <c r="O1909" t="str">
        <f t="shared" ref="O1909:O1938" si="282">"57211"</f>
        <v>57211</v>
      </c>
      <c r="P1909" t="str">
        <f t="shared" si="281"/>
        <v>2100L</v>
      </c>
      <c r="Q1909" t="str">
        <f t="shared" si="280"/>
        <v>0101</v>
      </c>
      <c r="R1909">
        <v>2100</v>
      </c>
      <c r="S1909" t="str">
        <f t="shared" ref="S1909:S1938" si="283">"5720"</f>
        <v>5720</v>
      </c>
      <c r="T1909" t="s">
        <v>3604</v>
      </c>
      <c r="U1909" t="s">
        <v>125</v>
      </c>
    </row>
    <row r="1910" spans="1:21" ht="15" customHeight="1" x14ac:dyDescent="0.3">
      <c r="A1910" t="s">
        <v>179</v>
      </c>
      <c r="B1910" t="str">
        <f>"00051784"</f>
        <v>00051784</v>
      </c>
      <c r="C1910" t="s">
        <v>4262</v>
      </c>
      <c r="D1910" t="s">
        <v>1764</v>
      </c>
      <c r="E1910" t="str">
        <f>"00045879"</f>
        <v>00045879</v>
      </c>
      <c r="F1910">
        <v>0</v>
      </c>
      <c r="G1910" s="243">
        <v>32050</v>
      </c>
      <c r="H1910" t="s">
        <v>182</v>
      </c>
      <c r="I1910">
        <v>15</v>
      </c>
      <c r="J1910">
        <v>16</v>
      </c>
      <c r="K1910">
        <v>1</v>
      </c>
      <c r="L1910">
        <v>100839</v>
      </c>
      <c r="M1910" t="str">
        <f t="shared" si="279"/>
        <v>13</v>
      </c>
      <c r="N1910" t="s">
        <v>3323</v>
      </c>
      <c r="O1910" t="str">
        <f t="shared" si="282"/>
        <v>57211</v>
      </c>
      <c r="P1910" t="str">
        <f t="shared" si="281"/>
        <v>2100L</v>
      </c>
      <c r="Q1910" t="str">
        <f t="shared" si="280"/>
        <v>0101</v>
      </c>
      <c r="R1910">
        <v>2100</v>
      </c>
      <c r="S1910" t="str">
        <f t="shared" si="283"/>
        <v>5720</v>
      </c>
      <c r="T1910" t="s">
        <v>3604</v>
      </c>
      <c r="U1910" t="s">
        <v>125</v>
      </c>
    </row>
    <row r="1911" spans="1:21" ht="15" customHeight="1" x14ac:dyDescent="0.3">
      <c r="A1911" t="s">
        <v>179</v>
      </c>
      <c r="B1911" t="str">
        <f>"00052076"</f>
        <v>00052076</v>
      </c>
      <c r="C1911" t="s">
        <v>4877</v>
      </c>
      <c r="H1911" t="s">
        <v>170</v>
      </c>
      <c r="I1911">
        <v>9</v>
      </c>
      <c r="J1911">
        <v>0</v>
      </c>
      <c r="K1911">
        <v>1</v>
      </c>
      <c r="L1911">
        <v>33163</v>
      </c>
      <c r="M1911" t="str">
        <f t="shared" si="279"/>
        <v>13</v>
      </c>
      <c r="N1911" t="s">
        <v>3323</v>
      </c>
      <c r="O1911" t="str">
        <f t="shared" si="282"/>
        <v>57211</v>
      </c>
      <c r="P1911" t="str">
        <f>"1502L"</f>
        <v>1502L</v>
      </c>
      <c r="Q1911" t="str">
        <f t="shared" si="280"/>
        <v>0101</v>
      </c>
      <c r="R1911">
        <v>1502</v>
      </c>
      <c r="S1911" t="str">
        <f t="shared" si="283"/>
        <v>5720</v>
      </c>
      <c r="T1911" t="s">
        <v>3604</v>
      </c>
      <c r="U1911" t="s">
        <v>125</v>
      </c>
    </row>
    <row r="1912" spans="1:21" ht="15" customHeight="1" x14ac:dyDescent="0.3">
      <c r="A1912" t="s">
        <v>179</v>
      </c>
      <c r="B1912" t="str">
        <f>"00052094"</f>
        <v>00052094</v>
      </c>
      <c r="C1912" t="s">
        <v>4257</v>
      </c>
      <c r="D1912" t="s">
        <v>2327</v>
      </c>
      <c r="E1912" t="str">
        <f>"00057049"</f>
        <v>00057049</v>
      </c>
      <c r="F1912">
        <v>0</v>
      </c>
      <c r="G1912" s="243">
        <v>40042</v>
      </c>
      <c r="H1912" t="s">
        <v>182</v>
      </c>
      <c r="I1912">
        <v>15</v>
      </c>
      <c r="J1912">
        <v>12</v>
      </c>
      <c r="K1912">
        <v>1</v>
      </c>
      <c r="L1912">
        <v>87431</v>
      </c>
      <c r="M1912" t="str">
        <f t="shared" si="279"/>
        <v>13</v>
      </c>
      <c r="N1912" t="s">
        <v>3370</v>
      </c>
      <c r="O1912" t="str">
        <f t="shared" si="282"/>
        <v>57211</v>
      </c>
      <c r="P1912" t="str">
        <f>"2100L"</f>
        <v>2100L</v>
      </c>
      <c r="Q1912" t="str">
        <f t="shared" si="280"/>
        <v>0101</v>
      </c>
      <c r="R1912">
        <v>2100</v>
      </c>
      <c r="S1912" t="str">
        <f t="shared" si="283"/>
        <v>5720</v>
      </c>
      <c r="T1912" t="s">
        <v>3604</v>
      </c>
      <c r="U1912" t="s">
        <v>125</v>
      </c>
    </row>
    <row r="1913" spans="1:21" ht="15" customHeight="1" x14ac:dyDescent="0.3">
      <c r="A1913" t="s">
        <v>179</v>
      </c>
      <c r="B1913" t="str">
        <f>"00052184"</f>
        <v>00052184</v>
      </c>
      <c r="C1913" t="s">
        <v>4264</v>
      </c>
      <c r="H1913" t="s">
        <v>170</v>
      </c>
      <c r="I1913">
        <v>15</v>
      </c>
      <c r="J1913">
        <v>1</v>
      </c>
      <c r="K1913">
        <v>1</v>
      </c>
      <c r="L1913">
        <v>54975</v>
      </c>
      <c r="M1913" t="str">
        <f t="shared" si="279"/>
        <v>13</v>
      </c>
      <c r="N1913" t="s">
        <v>3323</v>
      </c>
      <c r="O1913" t="str">
        <f t="shared" si="282"/>
        <v>57211</v>
      </c>
      <c r="P1913" t="str">
        <f>"3030L"</f>
        <v>3030L</v>
      </c>
      <c r="Q1913" t="str">
        <f t="shared" si="280"/>
        <v>0101</v>
      </c>
      <c r="R1913">
        <v>3030</v>
      </c>
      <c r="S1913" t="str">
        <f t="shared" si="283"/>
        <v>5720</v>
      </c>
      <c r="T1913" t="s">
        <v>3604</v>
      </c>
      <c r="U1913" t="s">
        <v>125</v>
      </c>
    </row>
    <row r="1914" spans="1:21" ht="15" customHeight="1" x14ac:dyDescent="0.3">
      <c r="A1914" t="s">
        <v>179</v>
      </c>
      <c r="B1914" t="str">
        <f>"00052612"</f>
        <v>00052612</v>
      </c>
      <c r="C1914" t="s">
        <v>4341</v>
      </c>
      <c r="D1914" t="s">
        <v>1794</v>
      </c>
      <c r="E1914" t="str">
        <f>"00043623"</f>
        <v>00043623</v>
      </c>
      <c r="F1914">
        <v>0</v>
      </c>
      <c r="G1914" s="243">
        <v>40126</v>
      </c>
      <c r="H1914" t="s">
        <v>182</v>
      </c>
      <c r="I1914">
        <v>10</v>
      </c>
      <c r="J1914">
        <v>4</v>
      </c>
      <c r="K1914">
        <v>1</v>
      </c>
      <c r="L1914">
        <v>69119</v>
      </c>
      <c r="M1914" t="str">
        <f t="shared" si="279"/>
        <v>13</v>
      </c>
      <c r="N1914" t="s">
        <v>3323</v>
      </c>
      <c r="O1914" t="str">
        <f t="shared" si="282"/>
        <v>57211</v>
      </c>
      <c r="P1914" t="str">
        <f>"2100L"</f>
        <v>2100L</v>
      </c>
      <c r="Q1914" t="str">
        <f t="shared" si="280"/>
        <v>0101</v>
      </c>
      <c r="R1914">
        <v>2100</v>
      </c>
      <c r="S1914" t="str">
        <f t="shared" si="283"/>
        <v>5720</v>
      </c>
      <c r="T1914" t="s">
        <v>3604</v>
      </c>
      <c r="U1914" t="s">
        <v>125</v>
      </c>
    </row>
    <row r="1915" spans="1:21" ht="15" customHeight="1" x14ac:dyDescent="0.3">
      <c r="A1915" t="s">
        <v>179</v>
      </c>
      <c r="B1915" t="str">
        <f>"00052675"</f>
        <v>00052675</v>
      </c>
      <c r="C1915" t="s">
        <v>4262</v>
      </c>
      <c r="D1915" t="s">
        <v>1766</v>
      </c>
      <c r="E1915" t="str">
        <f>"00048869"</f>
        <v>00048869</v>
      </c>
      <c r="F1915">
        <v>0</v>
      </c>
      <c r="G1915" s="243">
        <v>34213</v>
      </c>
      <c r="H1915" t="s">
        <v>182</v>
      </c>
      <c r="I1915">
        <v>15</v>
      </c>
      <c r="J1915">
        <v>16</v>
      </c>
      <c r="K1915">
        <v>1</v>
      </c>
      <c r="L1915">
        <v>100839</v>
      </c>
      <c r="M1915" t="str">
        <f t="shared" si="279"/>
        <v>13</v>
      </c>
      <c r="N1915" t="s">
        <v>3323</v>
      </c>
      <c r="O1915" t="str">
        <f t="shared" si="282"/>
        <v>57211</v>
      </c>
      <c r="P1915" t="str">
        <f>"2100L"</f>
        <v>2100L</v>
      </c>
      <c r="Q1915" t="str">
        <f t="shared" si="280"/>
        <v>0101</v>
      </c>
      <c r="R1915">
        <v>2100</v>
      </c>
      <c r="S1915" t="str">
        <f t="shared" si="283"/>
        <v>5720</v>
      </c>
      <c r="T1915" t="s">
        <v>3604</v>
      </c>
      <c r="U1915" t="s">
        <v>125</v>
      </c>
    </row>
    <row r="1916" spans="1:21" ht="15" customHeight="1" x14ac:dyDescent="0.3">
      <c r="A1916" t="s">
        <v>179</v>
      </c>
      <c r="B1916" t="str">
        <f>"00053229"</f>
        <v>00053229</v>
      </c>
      <c r="C1916" t="s">
        <v>4274</v>
      </c>
      <c r="D1916" t="s">
        <v>4878</v>
      </c>
      <c r="E1916" t="str">
        <f>"00056928"</f>
        <v>00056928</v>
      </c>
      <c r="F1916">
        <v>0</v>
      </c>
      <c r="G1916" s="243">
        <v>40042</v>
      </c>
      <c r="H1916" t="s">
        <v>182</v>
      </c>
      <c r="I1916">
        <v>4</v>
      </c>
      <c r="J1916">
        <v>5</v>
      </c>
      <c r="K1916">
        <v>0.875</v>
      </c>
      <c r="L1916">
        <v>25239.37</v>
      </c>
      <c r="M1916" t="str">
        <f t="shared" si="279"/>
        <v>13</v>
      </c>
      <c r="N1916" t="s">
        <v>3323</v>
      </c>
      <c r="O1916" t="str">
        <f t="shared" si="282"/>
        <v>57211</v>
      </c>
      <c r="P1916" t="str">
        <f>"2200L"</f>
        <v>2200L</v>
      </c>
      <c r="Q1916" t="str">
        <f t="shared" si="280"/>
        <v>0101</v>
      </c>
      <c r="R1916">
        <v>2200</v>
      </c>
      <c r="S1916" t="str">
        <f t="shared" si="283"/>
        <v>5720</v>
      </c>
      <c r="T1916" t="s">
        <v>3604</v>
      </c>
      <c r="U1916" t="s">
        <v>125</v>
      </c>
    </row>
    <row r="1917" spans="1:21" ht="15" customHeight="1" x14ac:dyDescent="0.3">
      <c r="A1917" t="s">
        <v>179</v>
      </c>
      <c r="B1917" t="str">
        <f>"00053663"</f>
        <v>00053663</v>
      </c>
      <c r="C1917" t="s">
        <v>4274</v>
      </c>
      <c r="D1917" t="s">
        <v>4879</v>
      </c>
      <c r="E1917" t="str">
        <f>"00052136"</f>
        <v>00052136</v>
      </c>
      <c r="F1917">
        <v>0</v>
      </c>
      <c r="G1917" s="243">
        <v>32422</v>
      </c>
      <c r="H1917" t="s">
        <v>182</v>
      </c>
      <c r="I1917">
        <v>4</v>
      </c>
      <c r="J1917">
        <v>10</v>
      </c>
      <c r="K1917">
        <v>0.875</v>
      </c>
      <c r="L1917">
        <v>28721</v>
      </c>
      <c r="M1917" t="str">
        <f t="shared" si="279"/>
        <v>13</v>
      </c>
      <c r="N1917" t="s">
        <v>3323</v>
      </c>
      <c r="O1917" t="str">
        <f t="shared" si="282"/>
        <v>57211</v>
      </c>
      <c r="P1917" t="str">
        <f>"2200L"</f>
        <v>2200L</v>
      </c>
      <c r="Q1917" t="str">
        <f t="shared" si="280"/>
        <v>0101</v>
      </c>
      <c r="R1917">
        <v>2200</v>
      </c>
      <c r="S1917" t="str">
        <f t="shared" si="283"/>
        <v>5720</v>
      </c>
      <c r="T1917" t="s">
        <v>3604</v>
      </c>
      <c r="U1917" t="s">
        <v>125</v>
      </c>
    </row>
    <row r="1918" spans="1:21" ht="15" customHeight="1" x14ac:dyDescent="0.3">
      <c r="A1918" t="s">
        <v>179</v>
      </c>
      <c r="B1918" t="str">
        <f>"00053674"</f>
        <v>00053674</v>
      </c>
      <c r="C1918" t="s">
        <v>4274</v>
      </c>
      <c r="D1918" t="s">
        <v>4880</v>
      </c>
      <c r="E1918" t="str">
        <f>"00052216"</f>
        <v>00052216</v>
      </c>
      <c r="F1918">
        <v>0</v>
      </c>
      <c r="G1918" s="243">
        <v>35388</v>
      </c>
      <c r="H1918" t="s">
        <v>182</v>
      </c>
      <c r="I1918">
        <v>4</v>
      </c>
      <c r="J1918">
        <v>10</v>
      </c>
      <c r="K1918">
        <v>0.875</v>
      </c>
      <c r="L1918">
        <v>28721</v>
      </c>
      <c r="M1918" t="str">
        <f t="shared" si="279"/>
        <v>13</v>
      </c>
      <c r="N1918" t="s">
        <v>3323</v>
      </c>
      <c r="O1918" t="str">
        <f t="shared" si="282"/>
        <v>57211</v>
      </c>
      <c r="P1918" t="str">
        <f>"2200L"</f>
        <v>2200L</v>
      </c>
      <c r="Q1918" t="str">
        <f t="shared" si="280"/>
        <v>0101</v>
      </c>
      <c r="R1918">
        <v>2200</v>
      </c>
      <c r="S1918" t="str">
        <f t="shared" si="283"/>
        <v>5720</v>
      </c>
      <c r="T1918" t="s">
        <v>3604</v>
      </c>
      <c r="U1918" t="s">
        <v>125</v>
      </c>
    </row>
    <row r="1919" spans="1:21" ht="15" customHeight="1" x14ac:dyDescent="0.3">
      <c r="A1919" t="s">
        <v>179</v>
      </c>
      <c r="B1919" t="str">
        <f>"00053680"</f>
        <v>00053680</v>
      </c>
      <c r="C1919" t="s">
        <v>4262</v>
      </c>
      <c r="D1919" t="s">
        <v>1767</v>
      </c>
      <c r="E1919" t="str">
        <f>"00052280"</f>
        <v>00052280</v>
      </c>
      <c r="F1919">
        <v>0</v>
      </c>
      <c r="G1919" s="243">
        <v>34213</v>
      </c>
      <c r="H1919" t="s">
        <v>182</v>
      </c>
      <c r="I1919">
        <v>15</v>
      </c>
      <c r="J1919">
        <v>16</v>
      </c>
      <c r="K1919">
        <v>1</v>
      </c>
      <c r="L1919">
        <v>103347</v>
      </c>
      <c r="M1919" t="str">
        <f t="shared" si="279"/>
        <v>13</v>
      </c>
      <c r="N1919" t="s">
        <v>3323</v>
      </c>
      <c r="O1919" t="str">
        <f t="shared" si="282"/>
        <v>57211</v>
      </c>
      <c r="P1919" t="str">
        <f t="shared" ref="P1919:P1926" si="284">"2100L"</f>
        <v>2100L</v>
      </c>
      <c r="Q1919" t="str">
        <f t="shared" si="280"/>
        <v>0101</v>
      </c>
      <c r="R1919">
        <v>2100</v>
      </c>
      <c r="S1919" t="str">
        <f t="shared" si="283"/>
        <v>5720</v>
      </c>
      <c r="T1919" t="s">
        <v>3604</v>
      </c>
      <c r="U1919" t="s">
        <v>125</v>
      </c>
    </row>
    <row r="1920" spans="1:21" ht="15" customHeight="1" x14ac:dyDescent="0.3">
      <c r="A1920" t="s">
        <v>179</v>
      </c>
      <c r="B1920" t="str">
        <f>"00053959"</f>
        <v>00053959</v>
      </c>
      <c r="C1920" t="s">
        <v>4272</v>
      </c>
      <c r="D1920" t="s">
        <v>1768</v>
      </c>
      <c r="E1920" t="str">
        <f>"00052798"</f>
        <v>00052798</v>
      </c>
      <c r="F1920">
        <v>0</v>
      </c>
      <c r="G1920" s="243">
        <v>32050</v>
      </c>
      <c r="H1920" t="s">
        <v>182</v>
      </c>
      <c r="I1920">
        <v>15</v>
      </c>
      <c r="J1920">
        <v>16</v>
      </c>
      <c r="K1920">
        <v>1</v>
      </c>
      <c r="L1920">
        <v>100839</v>
      </c>
      <c r="M1920" t="str">
        <f t="shared" si="279"/>
        <v>13</v>
      </c>
      <c r="N1920" t="s">
        <v>3323</v>
      </c>
      <c r="O1920" t="str">
        <f t="shared" si="282"/>
        <v>57211</v>
      </c>
      <c r="P1920" t="str">
        <f t="shared" si="284"/>
        <v>2100L</v>
      </c>
      <c r="Q1920" t="str">
        <f t="shared" si="280"/>
        <v>0101</v>
      </c>
      <c r="R1920">
        <v>2100</v>
      </c>
      <c r="S1920" t="str">
        <f t="shared" si="283"/>
        <v>5720</v>
      </c>
      <c r="T1920" t="s">
        <v>3604</v>
      </c>
      <c r="U1920" t="s">
        <v>125</v>
      </c>
    </row>
    <row r="1921" spans="1:21" ht="15" customHeight="1" x14ac:dyDescent="0.3">
      <c r="A1921" t="s">
        <v>179</v>
      </c>
      <c r="B1921" t="str">
        <f>"00054507"</f>
        <v>00054507</v>
      </c>
      <c r="C1921" t="s">
        <v>4253</v>
      </c>
      <c r="D1921" t="s">
        <v>1769</v>
      </c>
      <c r="E1921" t="str">
        <f>"00054125"</f>
        <v>00054125</v>
      </c>
      <c r="F1921">
        <v>0</v>
      </c>
      <c r="G1921" s="243">
        <v>27711</v>
      </c>
      <c r="H1921" t="s">
        <v>182</v>
      </c>
      <c r="I1921">
        <v>15</v>
      </c>
      <c r="J1921">
        <v>16</v>
      </c>
      <c r="K1921">
        <v>1</v>
      </c>
      <c r="L1921">
        <v>100839</v>
      </c>
      <c r="M1921" t="str">
        <f t="shared" si="279"/>
        <v>13</v>
      </c>
      <c r="N1921" t="s">
        <v>3323</v>
      </c>
      <c r="O1921" t="str">
        <f t="shared" si="282"/>
        <v>57211</v>
      </c>
      <c r="P1921" t="str">
        <f t="shared" si="284"/>
        <v>2100L</v>
      </c>
      <c r="Q1921" t="str">
        <f t="shared" si="280"/>
        <v>0101</v>
      </c>
      <c r="R1921">
        <v>2100</v>
      </c>
      <c r="S1921" t="str">
        <f t="shared" si="283"/>
        <v>5720</v>
      </c>
      <c r="T1921" t="s">
        <v>3604</v>
      </c>
      <c r="U1921" t="s">
        <v>125</v>
      </c>
    </row>
    <row r="1922" spans="1:21" ht="15" customHeight="1" x14ac:dyDescent="0.3">
      <c r="A1922" t="s">
        <v>179</v>
      </c>
      <c r="B1922" t="str">
        <f>"00054792"</f>
        <v>00054792</v>
      </c>
      <c r="C1922" t="s">
        <v>4262</v>
      </c>
      <c r="D1922" t="s">
        <v>1770</v>
      </c>
      <c r="E1922" t="str">
        <f>"00054634"</f>
        <v>00054634</v>
      </c>
      <c r="F1922">
        <v>0</v>
      </c>
      <c r="G1922" s="243">
        <v>34213</v>
      </c>
      <c r="H1922" t="s">
        <v>182</v>
      </c>
      <c r="I1922">
        <v>15</v>
      </c>
      <c r="J1922">
        <v>13</v>
      </c>
      <c r="K1922">
        <v>1</v>
      </c>
      <c r="L1922">
        <v>86613</v>
      </c>
      <c r="M1922" t="str">
        <f t="shared" si="279"/>
        <v>13</v>
      </c>
      <c r="N1922" t="s">
        <v>3323</v>
      </c>
      <c r="O1922" t="str">
        <f t="shared" si="282"/>
        <v>57211</v>
      </c>
      <c r="P1922" t="str">
        <f t="shared" si="284"/>
        <v>2100L</v>
      </c>
      <c r="Q1922" t="str">
        <f t="shared" si="280"/>
        <v>0101</v>
      </c>
      <c r="R1922">
        <v>2100</v>
      </c>
      <c r="S1922" t="str">
        <f t="shared" si="283"/>
        <v>5720</v>
      </c>
      <c r="T1922" t="s">
        <v>3604</v>
      </c>
      <c r="U1922" t="s">
        <v>125</v>
      </c>
    </row>
    <row r="1923" spans="1:21" ht="15" customHeight="1" x14ac:dyDescent="0.3">
      <c r="A1923" t="s">
        <v>179</v>
      </c>
      <c r="B1923" t="str">
        <f>"00055188"</f>
        <v>00055188</v>
      </c>
      <c r="C1923" t="s">
        <v>4262</v>
      </c>
      <c r="D1923" t="s">
        <v>1771</v>
      </c>
      <c r="E1923" t="str">
        <f>"00062581"</f>
        <v>00062581</v>
      </c>
      <c r="F1923">
        <v>0</v>
      </c>
      <c r="G1923" s="243">
        <v>40406</v>
      </c>
      <c r="H1923" t="s">
        <v>182</v>
      </c>
      <c r="I1923">
        <v>15</v>
      </c>
      <c r="J1923">
        <v>3</v>
      </c>
      <c r="K1923">
        <v>1</v>
      </c>
      <c r="L1923">
        <v>58699</v>
      </c>
      <c r="M1923" t="str">
        <f t="shared" si="279"/>
        <v>13</v>
      </c>
      <c r="N1923" t="s">
        <v>3323</v>
      </c>
      <c r="O1923" t="str">
        <f t="shared" si="282"/>
        <v>57211</v>
      </c>
      <c r="P1923" t="str">
        <f t="shared" si="284"/>
        <v>2100L</v>
      </c>
      <c r="Q1923" t="str">
        <f t="shared" si="280"/>
        <v>0101</v>
      </c>
      <c r="R1923">
        <v>2100</v>
      </c>
      <c r="S1923" t="str">
        <f t="shared" si="283"/>
        <v>5720</v>
      </c>
      <c r="T1923" t="s">
        <v>3604</v>
      </c>
      <c r="U1923" t="s">
        <v>125</v>
      </c>
    </row>
    <row r="1924" spans="1:21" ht="15" customHeight="1" x14ac:dyDescent="0.3">
      <c r="A1924" t="s">
        <v>179</v>
      </c>
      <c r="B1924" t="str">
        <f>"00056998"</f>
        <v>00056998</v>
      </c>
      <c r="C1924" t="s">
        <v>4262</v>
      </c>
      <c r="D1924" t="s">
        <v>1772</v>
      </c>
      <c r="E1924" t="str">
        <f>"00052470"</f>
        <v>00052470</v>
      </c>
      <c r="F1924">
        <v>0</v>
      </c>
      <c r="G1924" s="243">
        <v>38587</v>
      </c>
      <c r="H1924" t="s">
        <v>182</v>
      </c>
      <c r="I1924">
        <v>15</v>
      </c>
      <c r="J1924">
        <v>8</v>
      </c>
      <c r="K1924">
        <v>1</v>
      </c>
      <c r="L1924">
        <v>72171</v>
      </c>
      <c r="M1924" t="str">
        <f t="shared" si="279"/>
        <v>13</v>
      </c>
      <c r="N1924" t="s">
        <v>3323</v>
      </c>
      <c r="O1924" t="str">
        <f t="shared" si="282"/>
        <v>57211</v>
      </c>
      <c r="P1924" t="str">
        <f t="shared" si="284"/>
        <v>2100L</v>
      </c>
      <c r="Q1924" t="str">
        <f t="shared" si="280"/>
        <v>0101</v>
      </c>
      <c r="R1924">
        <v>2100</v>
      </c>
      <c r="S1924" t="str">
        <f t="shared" si="283"/>
        <v>5720</v>
      </c>
      <c r="T1924" t="s">
        <v>3604</v>
      </c>
      <c r="U1924" t="s">
        <v>125</v>
      </c>
    </row>
    <row r="1925" spans="1:21" ht="15" customHeight="1" x14ac:dyDescent="0.3">
      <c r="A1925" t="s">
        <v>179</v>
      </c>
      <c r="B1925" t="str">
        <f>"00057002"</f>
        <v>00057002</v>
      </c>
      <c r="C1925" t="s">
        <v>4262</v>
      </c>
      <c r="D1925" t="s">
        <v>1773</v>
      </c>
      <c r="E1925" t="str">
        <f>"00050085"</f>
        <v>00050085</v>
      </c>
      <c r="F1925">
        <v>0</v>
      </c>
      <c r="G1925" s="243">
        <v>38587</v>
      </c>
      <c r="H1925" t="s">
        <v>182</v>
      </c>
      <c r="I1925">
        <v>15</v>
      </c>
      <c r="J1925">
        <v>14</v>
      </c>
      <c r="K1925">
        <v>1</v>
      </c>
      <c r="L1925">
        <v>96460</v>
      </c>
      <c r="M1925" t="str">
        <f t="shared" si="279"/>
        <v>13</v>
      </c>
      <c r="N1925" t="s">
        <v>3323</v>
      </c>
      <c r="O1925" t="str">
        <f t="shared" si="282"/>
        <v>57211</v>
      </c>
      <c r="P1925" t="str">
        <f t="shared" si="284"/>
        <v>2100L</v>
      </c>
      <c r="Q1925" t="str">
        <f t="shared" si="280"/>
        <v>0101</v>
      </c>
      <c r="R1925">
        <v>2100</v>
      </c>
      <c r="S1925" t="str">
        <f t="shared" si="283"/>
        <v>5720</v>
      </c>
      <c r="T1925" t="s">
        <v>3604</v>
      </c>
      <c r="U1925" t="s">
        <v>125</v>
      </c>
    </row>
    <row r="1926" spans="1:21" ht="15" customHeight="1" x14ac:dyDescent="0.3">
      <c r="A1926" t="s">
        <v>179</v>
      </c>
      <c r="B1926" t="str">
        <f>"00057394"</f>
        <v>00057394</v>
      </c>
      <c r="C1926" t="s">
        <v>4253</v>
      </c>
      <c r="D1926" t="s">
        <v>1774</v>
      </c>
      <c r="E1926" t="str">
        <f>"00045747"</f>
        <v>00045747</v>
      </c>
      <c r="F1926">
        <v>0</v>
      </c>
      <c r="G1926" s="243">
        <v>36761</v>
      </c>
      <c r="H1926" t="s">
        <v>182</v>
      </c>
      <c r="I1926">
        <v>15</v>
      </c>
      <c r="J1926">
        <v>12</v>
      </c>
      <c r="K1926">
        <v>1</v>
      </c>
      <c r="L1926">
        <v>87431</v>
      </c>
      <c r="M1926" t="str">
        <f t="shared" si="279"/>
        <v>13</v>
      </c>
      <c r="N1926" t="s">
        <v>3323</v>
      </c>
      <c r="O1926" t="str">
        <f t="shared" si="282"/>
        <v>57211</v>
      </c>
      <c r="P1926" t="str">
        <f t="shared" si="284"/>
        <v>2100L</v>
      </c>
      <c r="Q1926" t="str">
        <f t="shared" si="280"/>
        <v>0101</v>
      </c>
      <c r="R1926">
        <v>2100</v>
      </c>
      <c r="S1926" t="str">
        <f t="shared" si="283"/>
        <v>5720</v>
      </c>
      <c r="T1926" t="s">
        <v>3604</v>
      </c>
      <c r="U1926" t="s">
        <v>125</v>
      </c>
    </row>
    <row r="1927" spans="1:21" ht="15" customHeight="1" x14ac:dyDescent="0.3">
      <c r="A1927" t="s">
        <v>179</v>
      </c>
      <c r="B1927" t="str">
        <f>"00057724"</f>
        <v>00057724</v>
      </c>
      <c r="C1927" t="s">
        <v>4272</v>
      </c>
      <c r="D1927" t="s">
        <v>1775</v>
      </c>
      <c r="E1927" t="str">
        <f>"00047279"</f>
        <v>00047279</v>
      </c>
      <c r="F1927">
        <v>0</v>
      </c>
      <c r="G1927" s="243">
        <v>38587</v>
      </c>
      <c r="H1927" t="s">
        <v>182</v>
      </c>
      <c r="I1927">
        <v>15</v>
      </c>
      <c r="J1927">
        <v>8</v>
      </c>
      <c r="K1927">
        <v>1</v>
      </c>
      <c r="L1927">
        <v>72171</v>
      </c>
      <c r="M1927" t="str">
        <f t="shared" si="279"/>
        <v>13</v>
      </c>
      <c r="N1927" t="s">
        <v>3323</v>
      </c>
      <c r="O1927" t="str">
        <f t="shared" si="282"/>
        <v>57211</v>
      </c>
      <c r="P1927" t="str">
        <f>"2200L"</f>
        <v>2200L</v>
      </c>
      <c r="Q1927" t="str">
        <f t="shared" si="280"/>
        <v>0101</v>
      </c>
      <c r="R1927">
        <v>2200</v>
      </c>
      <c r="S1927" t="str">
        <f t="shared" si="283"/>
        <v>5720</v>
      </c>
      <c r="T1927" t="s">
        <v>3604</v>
      </c>
      <c r="U1927" t="s">
        <v>125</v>
      </c>
    </row>
    <row r="1928" spans="1:21" ht="15" customHeight="1" x14ac:dyDescent="0.3">
      <c r="A1928" t="s">
        <v>179</v>
      </c>
      <c r="B1928" t="str">
        <f>"00058285"</f>
        <v>00058285</v>
      </c>
      <c r="C1928" t="s">
        <v>4274</v>
      </c>
      <c r="D1928" t="s">
        <v>4881</v>
      </c>
      <c r="E1928" t="str">
        <f>"00050725"</f>
        <v>00050725</v>
      </c>
      <c r="F1928">
        <v>0</v>
      </c>
      <c r="G1928" s="243">
        <v>37144</v>
      </c>
      <c r="H1928" t="s">
        <v>182</v>
      </c>
      <c r="I1928">
        <v>4</v>
      </c>
      <c r="J1928">
        <v>8</v>
      </c>
      <c r="K1928">
        <v>0.875</v>
      </c>
      <c r="L1928">
        <v>27329.75</v>
      </c>
      <c r="M1928" t="str">
        <f t="shared" si="279"/>
        <v>13</v>
      </c>
      <c r="N1928" t="s">
        <v>3323</v>
      </c>
      <c r="O1928" t="str">
        <f t="shared" si="282"/>
        <v>57211</v>
      </c>
      <c r="P1928" t="str">
        <f>"2200L"</f>
        <v>2200L</v>
      </c>
      <c r="Q1928" t="str">
        <f t="shared" si="280"/>
        <v>0101</v>
      </c>
      <c r="R1928">
        <v>2200</v>
      </c>
      <c r="S1928" t="str">
        <f t="shared" si="283"/>
        <v>5720</v>
      </c>
      <c r="T1928" t="s">
        <v>3604</v>
      </c>
      <c r="U1928" t="s">
        <v>125</v>
      </c>
    </row>
    <row r="1929" spans="1:21" ht="15" customHeight="1" x14ac:dyDescent="0.3">
      <c r="A1929" t="s">
        <v>179</v>
      </c>
      <c r="B1929" t="str">
        <f>"00058943"</f>
        <v>00058943</v>
      </c>
      <c r="C1929" t="s">
        <v>4262</v>
      </c>
      <c r="D1929" t="s">
        <v>1776</v>
      </c>
      <c r="E1929" t="str">
        <f>"00049414"</f>
        <v>00049414</v>
      </c>
      <c r="F1929">
        <v>0</v>
      </c>
      <c r="G1929" s="243">
        <v>37493</v>
      </c>
      <c r="H1929" t="s">
        <v>182</v>
      </c>
      <c r="I1929">
        <v>15</v>
      </c>
      <c r="J1929">
        <v>11</v>
      </c>
      <c r="K1929">
        <v>1</v>
      </c>
      <c r="L1929">
        <v>81335</v>
      </c>
      <c r="M1929" t="str">
        <f t="shared" si="279"/>
        <v>13</v>
      </c>
      <c r="N1929" t="s">
        <v>3323</v>
      </c>
      <c r="O1929" t="str">
        <f t="shared" si="282"/>
        <v>57211</v>
      </c>
      <c r="P1929" t="str">
        <f>"2100L"</f>
        <v>2100L</v>
      </c>
      <c r="Q1929" t="str">
        <f t="shared" si="280"/>
        <v>0101</v>
      </c>
      <c r="R1929">
        <v>2100</v>
      </c>
      <c r="S1929" t="str">
        <f t="shared" si="283"/>
        <v>5720</v>
      </c>
      <c r="T1929" t="s">
        <v>3604</v>
      </c>
      <c r="U1929" t="s">
        <v>125</v>
      </c>
    </row>
    <row r="1930" spans="1:21" ht="15" customHeight="1" x14ac:dyDescent="0.3">
      <c r="A1930" t="s">
        <v>179</v>
      </c>
      <c r="B1930" t="str">
        <f>"00058965"</f>
        <v>00058965</v>
      </c>
      <c r="C1930" t="s">
        <v>4262</v>
      </c>
      <c r="D1930" t="s">
        <v>1777</v>
      </c>
      <c r="E1930" t="str">
        <f>"00044693"</f>
        <v>00044693</v>
      </c>
      <c r="F1930">
        <v>0</v>
      </c>
      <c r="G1930" s="243">
        <v>37493</v>
      </c>
      <c r="H1930" t="s">
        <v>182</v>
      </c>
      <c r="I1930">
        <v>15</v>
      </c>
      <c r="J1930">
        <v>12</v>
      </c>
      <c r="K1930">
        <v>1</v>
      </c>
      <c r="L1930">
        <v>87431</v>
      </c>
      <c r="M1930" t="str">
        <f t="shared" si="279"/>
        <v>13</v>
      </c>
      <c r="N1930" t="s">
        <v>3323</v>
      </c>
      <c r="O1930" t="str">
        <f t="shared" si="282"/>
        <v>57211</v>
      </c>
      <c r="P1930" t="str">
        <f>"2100L"</f>
        <v>2100L</v>
      </c>
      <c r="Q1930" t="str">
        <f t="shared" si="280"/>
        <v>0101</v>
      </c>
      <c r="R1930">
        <v>2100</v>
      </c>
      <c r="S1930" t="str">
        <f t="shared" si="283"/>
        <v>5720</v>
      </c>
      <c r="T1930" t="s">
        <v>3604</v>
      </c>
      <c r="U1930" t="s">
        <v>125</v>
      </c>
    </row>
    <row r="1931" spans="1:21" ht="15" customHeight="1" x14ac:dyDescent="0.3">
      <c r="A1931" t="s">
        <v>179</v>
      </c>
      <c r="B1931" t="str">
        <f>"00059355"</f>
        <v>00059355</v>
      </c>
      <c r="C1931" t="s">
        <v>4260</v>
      </c>
      <c r="D1931" t="s">
        <v>1778</v>
      </c>
      <c r="E1931" t="str">
        <f>"00046191"</f>
        <v>00046191</v>
      </c>
      <c r="F1931">
        <v>0</v>
      </c>
      <c r="G1931" s="243">
        <v>37861</v>
      </c>
      <c r="H1931" t="s">
        <v>182</v>
      </c>
      <c r="I1931">
        <v>15</v>
      </c>
      <c r="J1931">
        <v>9</v>
      </c>
      <c r="K1931">
        <v>1</v>
      </c>
      <c r="L1931">
        <v>75232</v>
      </c>
      <c r="M1931" t="str">
        <f t="shared" si="279"/>
        <v>13</v>
      </c>
      <c r="N1931" t="s">
        <v>3323</v>
      </c>
      <c r="O1931" t="str">
        <f t="shared" si="282"/>
        <v>57211</v>
      </c>
      <c r="P1931" t="str">
        <f>"3030L"</f>
        <v>3030L</v>
      </c>
      <c r="Q1931" t="str">
        <f t="shared" si="280"/>
        <v>0101</v>
      </c>
      <c r="R1931">
        <v>3030</v>
      </c>
      <c r="S1931" t="str">
        <f t="shared" si="283"/>
        <v>5720</v>
      </c>
      <c r="T1931" t="s">
        <v>3604</v>
      </c>
      <c r="U1931" t="s">
        <v>125</v>
      </c>
    </row>
    <row r="1932" spans="1:21" ht="15" customHeight="1" x14ac:dyDescent="0.3">
      <c r="A1932" t="s">
        <v>179</v>
      </c>
      <c r="B1932" t="str">
        <f>"00059515"</f>
        <v>00059515</v>
      </c>
      <c r="C1932" t="s">
        <v>4266</v>
      </c>
      <c r="D1932" t="s">
        <v>3855</v>
      </c>
      <c r="E1932" t="str">
        <f>"00066368"</f>
        <v>00066368</v>
      </c>
      <c r="F1932">
        <v>0</v>
      </c>
      <c r="G1932" s="243">
        <v>40769</v>
      </c>
      <c r="H1932" t="s">
        <v>182</v>
      </c>
      <c r="I1932">
        <v>15</v>
      </c>
      <c r="J1932">
        <v>11</v>
      </c>
      <c r="K1932">
        <v>1</v>
      </c>
      <c r="L1932">
        <v>81335</v>
      </c>
      <c r="M1932" t="str">
        <f t="shared" si="279"/>
        <v>13</v>
      </c>
      <c r="N1932" t="s">
        <v>3370</v>
      </c>
      <c r="O1932" t="str">
        <f t="shared" si="282"/>
        <v>57211</v>
      </c>
      <c r="P1932" t="str">
        <f>"2100L"</f>
        <v>2100L</v>
      </c>
      <c r="Q1932" t="str">
        <f t="shared" si="280"/>
        <v>0101</v>
      </c>
      <c r="R1932">
        <v>2100</v>
      </c>
      <c r="S1932" t="str">
        <f t="shared" si="283"/>
        <v>5720</v>
      </c>
      <c r="T1932" t="s">
        <v>3604</v>
      </c>
      <c r="U1932" t="s">
        <v>125</v>
      </c>
    </row>
    <row r="1933" spans="1:21" ht="15" customHeight="1" x14ac:dyDescent="0.3">
      <c r="A1933" t="s">
        <v>179</v>
      </c>
      <c r="B1933" t="str">
        <f>"00059784"</f>
        <v>00059784</v>
      </c>
      <c r="C1933" t="s">
        <v>4262</v>
      </c>
      <c r="D1933" t="s">
        <v>1779</v>
      </c>
      <c r="E1933" t="str">
        <f>"00046474"</f>
        <v>00046474</v>
      </c>
      <c r="F1933">
        <v>0</v>
      </c>
      <c r="G1933" s="243">
        <v>38226</v>
      </c>
      <c r="H1933" t="s">
        <v>182</v>
      </c>
      <c r="I1933">
        <v>15</v>
      </c>
      <c r="J1933">
        <v>10</v>
      </c>
      <c r="K1933">
        <v>1</v>
      </c>
      <c r="L1933">
        <v>78273</v>
      </c>
      <c r="M1933" t="str">
        <f t="shared" si="279"/>
        <v>13</v>
      </c>
      <c r="N1933" t="s">
        <v>3323</v>
      </c>
      <c r="O1933" t="str">
        <f t="shared" si="282"/>
        <v>57211</v>
      </c>
      <c r="P1933" t="str">
        <f>"2100L"</f>
        <v>2100L</v>
      </c>
      <c r="Q1933" t="str">
        <f t="shared" si="280"/>
        <v>0101</v>
      </c>
      <c r="R1933">
        <v>2100</v>
      </c>
      <c r="S1933" t="str">
        <f t="shared" si="283"/>
        <v>5720</v>
      </c>
      <c r="T1933" t="s">
        <v>3604</v>
      </c>
      <c r="U1933" t="s">
        <v>125</v>
      </c>
    </row>
    <row r="1934" spans="1:21" ht="15" customHeight="1" x14ac:dyDescent="0.3">
      <c r="A1934" t="s">
        <v>179</v>
      </c>
      <c r="B1934" t="str">
        <f>"00059866"</f>
        <v>00059866</v>
      </c>
      <c r="C1934" t="s">
        <v>4272</v>
      </c>
      <c r="D1934" t="s">
        <v>3608</v>
      </c>
      <c r="E1934" t="str">
        <f>"00066299"</f>
        <v>00066299</v>
      </c>
      <c r="F1934">
        <v>0</v>
      </c>
      <c r="G1934" s="243">
        <v>40755</v>
      </c>
      <c r="H1934" t="s">
        <v>182</v>
      </c>
      <c r="I1934">
        <v>15</v>
      </c>
      <c r="J1934">
        <v>2</v>
      </c>
      <c r="K1934">
        <v>1</v>
      </c>
      <c r="L1934">
        <v>51716</v>
      </c>
      <c r="M1934" t="str">
        <f t="shared" si="279"/>
        <v>13</v>
      </c>
      <c r="N1934" t="s">
        <v>3323</v>
      </c>
      <c r="O1934" t="str">
        <f t="shared" si="282"/>
        <v>57211</v>
      </c>
      <c r="P1934" t="str">
        <f>"2100L"</f>
        <v>2100L</v>
      </c>
      <c r="Q1934" t="str">
        <f t="shared" si="280"/>
        <v>0101</v>
      </c>
      <c r="R1934">
        <v>2100</v>
      </c>
      <c r="S1934" t="str">
        <f t="shared" si="283"/>
        <v>5720</v>
      </c>
      <c r="T1934" t="s">
        <v>3604</v>
      </c>
      <c r="U1934" t="s">
        <v>125</v>
      </c>
    </row>
    <row r="1935" spans="1:21" ht="15" customHeight="1" x14ac:dyDescent="0.3">
      <c r="A1935" t="s">
        <v>179</v>
      </c>
      <c r="B1935" t="str">
        <f>"00060510"</f>
        <v>00060510</v>
      </c>
      <c r="C1935" t="s">
        <v>4274</v>
      </c>
      <c r="D1935" t="s">
        <v>4882</v>
      </c>
      <c r="E1935" t="str">
        <f>"00067233"</f>
        <v>00067233</v>
      </c>
      <c r="F1935">
        <v>0</v>
      </c>
      <c r="G1935" s="243">
        <v>40868</v>
      </c>
      <c r="H1935" t="s">
        <v>182</v>
      </c>
      <c r="I1935">
        <v>4</v>
      </c>
      <c r="J1935">
        <v>4</v>
      </c>
      <c r="K1935">
        <v>0.875</v>
      </c>
      <c r="L1935">
        <v>24543.75</v>
      </c>
      <c r="M1935" t="str">
        <f t="shared" si="279"/>
        <v>13</v>
      </c>
      <c r="N1935" t="s">
        <v>3323</v>
      </c>
      <c r="O1935" t="str">
        <f t="shared" si="282"/>
        <v>57211</v>
      </c>
      <c r="P1935" t="str">
        <f>"2200L"</f>
        <v>2200L</v>
      </c>
      <c r="Q1935" t="str">
        <f t="shared" si="280"/>
        <v>0101</v>
      </c>
      <c r="R1935">
        <v>2200</v>
      </c>
      <c r="S1935" t="str">
        <f t="shared" si="283"/>
        <v>5720</v>
      </c>
      <c r="T1935" t="s">
        <v>3604</v>
      </c>
      <c r="U1935" t="s">
        <v>125</v>
      </c>
    </row>
    <row r="1936" spans="1:21" ht="15" customHeight="1" x14ac:dyDescent="0.3">
      <c r="A1936" t="s">
        <v>179</v>
      </c>
      <c r="B1936" t="str">
        <f>"00061016"</f>
        <v>00061016</v>
      </c>
      <c r="C1936" t="s">
        <v>3798</v>
      </c>
      <c r="D1936" t="s">
        <v>3606</v>
      </c>
      <c r="E1936" t="str">
        <f>"00065703"</f>
        <v>00065703</v>
      </c>
      <c r="F1936">
        <v>0</v>
      </c>
      <c r="G1936" s="243">
        <v>40749</v>
      </c>
      <c r="H1936" t="s">
        <v>182</v>
      </c>
      <c r="I1936">
        <v>61</v>
      </c>
      <c r="J1936">
        <v>6</v>
      </c>
      <c r="K1936">
        <v>1</v>
      </c>
      <c r="L1936">
        <v>125000</v>
      </c>
      <c r="M1936" t="str">
        <f t="shared" si="279"/>
        <v>13</v>
      </c>
      <c r="N1936" t="s">
        <v>3323</v>
      </c>
      <c r="O1936" t="str">
        <f t="shared" si="282"/>
        <v>57211</v>
      </c>
      <c r="P1936" t="str">
        <f>"1501L"</f>
        <v>1501L</v>
      </c>
      <c r="Q1936" t="str">
        <f t="shared" si="280"/>
        <v>0101</v>
      </c>
      <c r="R1936">
        <v>1501</v>
      </c>
      <c r="S1936" t="str">
        <f t="shared" si="283"/>
        <v>5720</v>
      </c>
      <c r="T1936" t="s">
        <v>3604</v>
      </c>
      <c r="U1936" t="s">
        <v>125</v>
      </c>
    </row>
    <row r="1937" spans="1:21" ht="15" customHeight="1" x14ac:dyDescent="0.3">
      <c r="A1937" t="s">
        <v>179</v>
      </c>
      <c r="B1937" t="str">
        <f>"00061067"</f>
        <v>00061067</v>
      </c>
      <c r="C1937" t="s">
        <v>4262</v>
      </c>
      <c r="D1937" t="s">
        <v>1780</v>
      </c>
      <c r="E1937" t="str">
        <f>"00045599"</f>
        <v>00045599</v>
      </c>
      <c r="F1937">
        <v>0</v>
      </c>
      <c r="G1937" s="243">
        <v>40413</v>
      </c>
      <c r="H1937" t="s">
        <v>182</v>
      </c>
      <c r="I1937">
        <v>15</v>
      </c>
      <c r="J1937">
        <v>6</v>
      </c>
      <c r="K1937">
        <v>1</v>
      </c>
      <c r="L1937">
        <v>58599</v>
      </c>
      <c r="M1937" t="str">
        <f t="shared" si="279"/>
        <v>13</v>
      </c>
      <c r="N1937" t="s">
        <v>3323</v>
      </c>
      <c r="O1937" t="str">
        <f t="shared" si="282"/>
        <v>57211</v>
      </c>
      <c r="P1937" t="str">
        <f>"2100L"</f>
        <v>2100L</v>
      </c>
      <c r="Q1937" t="str">
        <f t="shared" si="280"/>
        <v>0101</v>
      </c>
      <c r="R1937">
        <v>2100</v>
      </c>
      <c r="S1937" t="str">
        <f t="shared" si="283"/>
        <v>5720</v>
      </c>
      <c r="T1937" t="s">
        <v>3604</v>
      </c>
      <c r="U1937" t="s">
        <v>125</v>
      </c>
    </row>
    <row r="1938" spans="1:21" ht="15" customHeight="1" x14ac:dyDescent="0.3">
      <c r="A1938" t="s">
        <v>179</v>
      </c>
      <c r="B1938" t="str">
        <f>"00061068"</f>
        <v>00061068</v>
      </c>
      <c r="C1938" t="s">
        <v>4260</v>
      </c>
      <c r="D1938" t="s">
        <v>1781</v>
      </c>
      <c r="E1938" t="str">
        <f>"00062570"</f>
        <v>00062570</v>
      </c>
      <c r="F1938">
        <v>0</v>
      </c>
      <c r="G1938" s="243">
        <v>40406</v>
      </c>
      <c r="H1938" t="s">
        <v>182</v>
      </c>
      <c r="I1938">
        <v>15</v>
      </c>
      <c r="J1938">
        <v>3</v>
      </c>
      <c r="K1938">
        <v>1</v>
      </c>
      <c r="L1938">
        <v>58699</v>
      </c>
      <c r="M1938" t="str">
        <f t="shared" si="279"/>
        <v>13</v>
      </c>
      <c r="N1938" t="s">
        <v>3323</v>
      </c>
      <c r="O1938" t="str">
        <f t="shared" si="282"/>
        <v>57211</v>
      </c>
      <c r="P1938" t="str">
        <f>"3030L"</f>
        <v>3030L</v>
      </c>
      <c r="Q1938" t="str">
        <f t="shared" si="280"/>
        <v>0101</v>
      </c>
      <c r="R1938">
        <v>3030</v>
      </c>
      <c r="S1938" t="str">
        <f t="shared" si="283"/>
        <v>5720</v>
      </c>
      <c r="T1938" t="s">
        <v>3604</v>
      </c>
      <c r="U1938" t="s">
        <v>125</v>
      </c>
    </row>
    <row r="1939" spans="1:21" ht="15" customHeight="1" x14ac:dyDescent="0.3">
      <c r="A1939" t="s">
        <v>179</v>
      </c>
      <c r="B1939" t="str">
        <f>"00061274"</f>
        <v>00061274</v>
      </c>
      <c r="C1939" t="s">
        <v>4272</v>
      </c>
      <c r="D1939" t="s">
        <v>1782</v>
      </c>
      <c r="E1939" t="str">
        <f>"00049466"</f>
        <v>00049466</v>
      </c>
      <c r="F1939">
        <v>0</v>
      </c>
      <c r="G1939" s="243">
        <v>39315</v>
      </c>
      <c r="H1939" t="s">
        <v>182</v>
      </c>
      <c r="I1939">
        <v>15</v>
      </c>
      <c r="J1939">
        <v>6</v>
      </c>
      <c r="K1939">
        <v>1</v>
      </c>
      <c r="L1939">
        <v>58599</v>
      </c>
      <c r="M1939" t="str">
        <f t="shared" si="279"/>
        <v>13</v>
      </c>
      <c r="N1939" t="s">
        <v>3323</v>
      </c>
      <c r="O1939" t="str">
        <f t="shared" ref="O1939:O1963" si="285">"57211"</f>
        <v>57211</v>
      </c>
      <c r="P1939" t="str">
        <f>"2200L"</f>
        <v>2200L</v>
      </c>
      <c r="Q1939" t="str">
        <f t="shared" si="280"/>
        <v>0101</v>
      </c>
      <c r="R1939">
        <v>2200</v>
      </c>
      <c r="S1939" t="str">
        <f t="shared" ref="S1939:S1973" si="286">"5720"</f>
        <v>5720</v>
      </c>
      <c r="T1939" t="s">
        <v>3604</v>
      </c>
      <c r="U1939" t="s">
        <v>125</v>
      </c>
    </row>
    <row r="1940" spans="1:21" ht="15" customHeight="1" x14ac:dyDescent="0.3">
      <c r="A1940" t="s">
        <v>179</v>
      </c>
      <c r="B1940" t="str">
        <f>"00061310"</f>
        <v>00061310</v>
      </c>
      <c r="C1940" t="s">
        <v>4262</v>
      </c>
      <c r="D1940" t="s">
        <v>4883</v>
      </c>
      <c r="E1940" t="str">
        <f>"00069349"</f>
        <v>00069349</v>
      </c>
      <c r="F1940">
        <v>0</v>
      </c>
      <c r="G1940" s="243">
        <v>41133</v>
      </c>
      <c r="H1940" t="s">
        <v>182</v>
      </c>
      <c r="I1940">
        <v>15</v>
      </c>
      <c r="J1940">
        <v>3</v>
      </c>
      <c r="K1940">
        <v>1</v>
      </c>
      <c r="L1940">
        <v>58699</v>
      </c>
      <c r="M1940" t="str">
        <f t="shared" si="279"/>
        <v>13</v>
      </c>
      <c r="N1940" t="s">
        <v>3323</v>
      </c>
      <c r="O1940" t="str">
        <f t="shared" si="285"/>
        <v>57211</v>
      </c>
      <c r="P1940" t="str">
        <f>"2100L"</f>
        <v>2100L</v>
      </c>
      <c r="Q1940" t="str">
        <f t="shared" si="280"/>
        <v>0101</v>
      </c>
      <c r="R1940">
        <v>2100</v>
      </c>
      <c r="S1940" t="str">
        <f t="shared" si="286"/>
        <v>5720</v>
      </c>
      <c r="T1940" t="s">
        <v>3604</v>
      </c>
      <c r="U1940" t="s">
        <v>125</v>
      </c>
    </row>
    <row r="1941" spans="1:21" ht="15" customHeight="1" x14ac:dyDescent="0.3">
      <c r="A1941" t="s">
        <v>179</v>
      </c>
      <c r="B1941" t="str">
        <f>"00061932"</f>
        <v>00061932</v>
      </c>
      <c r="C1941" t="s">
        <v>4254</v>
      </c>
      <c r="D1941" t="s">
        <v>1784</v>
      </c>
      <c r="E1941" t="str">
        <f>"00044620"</f>
        <v>00044620</v>
      </c>
      <c r="F1941">
        <v>0</v>
      </c>
      <c r="G1941" s="243">
        <v>40775</v>
      </c>
      <c r="H1941" t="s">
        <v>182</v>
      </c>
      <c r="I1941">
        <v>15</v>
      </c>
      <c r="J1941">
        <v>12</v>
      </c>
      <c r="K1941">
        <v>1</v>
      </c>
      <c r="L1941">
        <v>87431</v>
      </c>
      <c r="M1941" t="str">
        <f t="shared" si="279"/>
        <v>13</v>
      </c>
      <c r="N1941" t="s">
        <v>3323</v>
      </c>
      <c r="O1941" t="str">
        <f t="shared" si="285"/>
        <v>57211</v>
      </c>
      <c r="P1941" t="str">
        <f>"2100L"</f>
        <v>2100L</v>
      </c>
      <c r="Q1941" t="str">
        <f t="shared" si="280"/>
        <v>0101</v>
      </c>
      <c r="R1941">
        <v>2100</v>
      </c>
      <c r="S1941" t="str">
        <f t="shared" si="286"/>
        <v>5720</v>
      </c>
      <c r="T1941" t="s">
        <v>3604</v>
      </c>
      <c r="U1941" t="s">
        <v>125</v>
      </c>
    </row>
    <row r="1942" spans="1:21" ht="15" customHeight="1" x14ac:dyDescent="0.3">
      <c r="A1942" t="s">
        <v>179</v>
      </c>
      <c r="B1942" t="str">
        <f>"00061993"</f>
        <v>00061993</v>
      </c>
      <c r="C1942" t="s">
        <v>4262</v>
      </c>
      <c r="D1942" t="s">
        <v>3609</v>
      </c>
      <c r="E1942" t="str">
        <f>"00049280"</f>
        <v>00049280</v>
      </c>
      <c r="F1942">
        <v>0</v>
      </c>
      <c r="G1942" s="243">
        <v>39679</v>
      </c>
      <c r="H1942" t="s">
        <v>182</v>
      </c>
      <c r="I1942">
        <v>15</v>
      </c>
      <c r="J1942">
        <v>5</v>
      </c>
      <c r="K1942">
        <v>1</v>
      </c>
      <c r="L1942">
        <v>56655</v>
      </c>
      <c r="M1942" t="str">
        <f t="shared" si="279"/>
        <v>13</v>
      </c>
      <c r="N1942" t="s">
        <v>3323</v>
      </c>
      <c r="O1942" t="str">
        <f t="shared" si="285"/>
        <v>57211</v>
      </c>
      <c r="P1942" t="str">
        <f>"2200L"</f>
        <v>2200L</v>
      </c>
      <c r="Q1942" t="str">
        <f t="shared" si="280"/>
        <v>0101</v>
      </c>
      <c r="R1942">
        <v>2200</v>
      </c>
      <c r="S1942" t="str">
        <f t="shared" si="286"/>
        <v>5720</v>
      </c>
      <c r="T1942" t="s">
        <v>3604</v>
      </c>
      <c r="U1942" t="s">
        <v>125</v>
      </c>
    </row>
    <row r="1943" spans="1:21" ht="15" customHeight="1" x14ac:dyDescent="0.3">
      <c r="A1943" t="s">
        <v>179</v>
      </c>
      <c r="B1943" t="str">
        <f>"00062065"</f>
        <v>00062065</v>
      </c>
      <c r="C1943" t="s">
        <v>4262</v>
      </c>
      <c r="D1943" t="s">
        <v>1785</v>
      </c>
      <c r="E1943" t="str">
        <f>"00049015"</f>
        <v>00049015</v>
      </c>
      <c r="F1943">
        <v>0</v>
      </c>
      <c r="G1943" s="243">
        <v>39679</v>
      </c>
      <c r="H1943" t="s">
        <v>182</v>
      </c>
      <c r="I1943">
        <v>15</v>
      </c>
      <c r="J1943">
        <v>5</v>
      </c>
      <c r="K1943">
        <v>1</v>
      </c>
      <c r="L1943">
        <v>63611</v>
      </c>
      <c r="M1943" t="str">
        <f t="shared" si="279"/>
        <v>13</v>
      </c>
      <c r="N1943" t="s">
        <v>3323</v>
      </c>
      <c r="O1943" t="str">
        <f t="shared" si="285"/>
        <v>57211</v>
      </c>
      <c r="P1943" t="str">
        <f>"2100L"</f>
        <v>2100L</v>
      </c>
      <c r="Q1943" t="str">
        <f t="shared" si="280"/>
        <v>0101</v>
      </c>
      <c r="R1943">
        <v>2100</v>
      </c>
      <c r="S1943" t="str">
        <f t="shared" si="286"/>
        <v>5720</v>
      </c>
      <c r="T1943" t="s">
        <v>3604</v>
      </c>
      <c r="U1943" t="s">
        <v>125</v>
      </c>
    </row>
    <row r="1944" spans="1:21" ht="15" customHeight="1" x14ac:dyDescent="0.3">
      <c r="A1944" t="s">
        <v>179</v>
      </c>
      <c r="B1944" t="str">
        <f>"00062465"</f>
        <v>00062465</v>
      </c>
      <c r="C1944" t="s">
        <v>4260</v>
      </c>
      <c r="D1944" t="s">
        <v>3613</v>
      </c>
      <c r="E1944" t="str">
        <f>"00067232"</f>
        <v>00067232</v>
      </c>
      <c r="F1944">
        <v>0</v>
      </c>
      <c r="G1944" s="243">
        <v>40861</v>
      </c>
      <c r="H1944" t="s">
        <v>182</v>
      </c>
      <c r="I1944">
        <v>15</v>
      </c>
      <c r="J1944">
        <v>5</v>
      </c>
      <c r="K1944">
        <v>1</v>
      </c>
      <c r="L1944">
        <v>63611</v>
      </c>
      <c r="M1944" t="str">
        <f t="shared" si="279"/>
        <v>13</v>
      </c>
      <c r="N1944" t="s">
        <v>3323</v>
      </c>
      <c r="O1944" t="str">
        <f t="shared" si="285"/>
        <v>57211</v>
      </c>
      <c r="P1944" t="str">
        <f>"3030L"</f>
        <v>3030L</v>
      </c>
      <c r="Q1944" t="str">
        <f t="shared" si="280"/>
        <v>0101</v>
      </c>
      <c r="R1944">
        <v>3030</v>
      </c>
      <c r="S1944" t="str">
        <f t="shared" si="286"/>
        <v>5720</v>
      </c>
      <c r="T1944" t="s">
        <v>3604</v>
      </c>
      <c r="U1944" t="s">
        <v>125</v>
      </c>
    </row>
    <row r="1945" spans="1:21" ht="15" customHeight="1" x14ac:dyDescent="0.3">
      <c r="A1945" t="s">
        <v>179</v>
      </c>
      <c r="B1945" t="str">
        <f>"00065954"</f>
        <v>00065954</v>
      </c>
      <c r="C1945" t="s">
        <v>4258</v>
      </c>
      <c r="D1945" t="s">
        <v>1273</v>
      </c>
      <c r="E1945" t="str">
        <f>"00047334"</f>
        <v>00047334</v>
      </c>
      <c r="F1945">
        <v>0</v>
      </c>
      <c r="G1945" s="243">
        <v>39677</v>
      </c>
      <c r="H1945" t="s">
        <v>182</v>
      </c>
      <c r="I1945">
        <v>15</v>
      </c>
      <c r="J1945">
        <v>10</v>
      </c>
      <c r="K1945">
        <v>1</v>
      </c>
      <c r="L1945">
        <v>78273</v>
      </c>
      <c r="M1945" t="str">
        <f t="shared" si="279"/>
        <v>13</v>
      </c>
      <c r="N1945" t="s">
        <v>3370</v>
      </c>
      <c r="O1945" t="str">
        <f t="shared" si="285"/>
        <v>57211</v>
      </c>
      <c r="P1945" t="str">
        <f>"2100L"</f>
        <v>2100L</v>
      </c>
      <c r="Q1945" t="str">
        <f t="shared" si="280"/>
        <v>0101</v>
      </c>
      <c r="R1945">
        <v>2100</v>
      </c>
      <c r="S1945" t="str">
        <f t="shared" si="286"/>
        <v>5720</v>
      </c>
      <c r="T1945" t="s">
        <v>3604</v>
      </c>
      <c r="U1945" t="s">
        <v>125</v>
      </c>
    </row>
    <row r="1946" spans="1:21" ht="15" customHeight="1" x14ac:dyDescent="0.3">
      <c r="A1946" t="s">
        <v>179</v>
      </c>
      <c r="B1946" t="str">
        <f>"00065955"</f>
        <v>00065955</v>
      </c>
      <c r="C1946" t="s">
        <v>4266</v>
      </c>
      <c r="D1946" t="s">
        <v>1787</v>
      </c>
      <c r="E1946" t="str">
        <f>"00050137"</f>
        <v>00050137</v>
      </c>
      <c r="F1946">
        <v>0</v>
      </c>
      <c r="G1946" s="243">
        <v>40042</v>
      </c>
      <c r="H1946" t="s">
        <v>182</v>
      </c>
      <c r="I1946">
        <v>15</v>
      </c>
      <c r="J1946">
        <v>4</v>
      </c>
      <c r="K1946">
        <v>1</v>
      </c>
      <c r="L1946">
        <v>61158</v>
      </c>
      <c r="M1946" t="str">
        <f t="shared" si="279"/>
        <v>13</v>
      </c>
      <c r="N1946" t="s">
        <v>3323</v>
      </c>
      <c r="O1946" t="str">
        <f t="shared" si="285"/>
        <v>57211</v>
      </c>
      <c r="P1946" t="str">
        <f>"2300L"</f>
        <v>2300L</v>
      </c>
      <c r="Q1946" t="str">
        <f t="shared" si="280"/>
        <v>0101</v>
      </c>
      <c r="R1946">
        <v>2300</v>
      </c>
      <c r="S1946" t="str">
        <f t="shared" si="286"/>
        <v>5720</v>
      </c>
      <c r="T1946" t="s">
        <v>3604</v>
      </c>
      <c r="U1946" t="s">
        <v>125</v>
      </c>
    </row>
    <row r="1947" spans="1:21" ht="15" customHeight="1" x14ac:dyDescent="0.3">
      <c r="A1947" t="s">
        <v>179</v>
      </c>
      <c r="B1947" t="str">
        <f>"00066101"</f>
        <v>00066101</v>
      </c>
      <c r="C1947" t="s">
        <v>4381</v>
      </c>
      <c r="H1947" t="s">
        <v>170</v>
      </c>
      <c r="I1947">
        <v>9</v>
      </c>
      <c r="J1947">
        <v>1</v>
      </c>
      <c r="K1947">
        <v>1</v>
      </c>
      <c r="L1947">
        <v>33163</v>
      </c>
      <c r="M1947" t="str">
        <f t="shared" si="279"/>
        <v>13</v>
      </c>
      <c r="N1947" t="s">
        <v>3323</v>
      </c>
      <c r="O1947" t="str">
        <f t="shared" si="285"/>
        <v>57211</v>
      </c>
      <c r="P1947" t="str">
        <f>"2100L"</f>
        <v>2100L</v>
      </c>
      <c r="Q1947" t="str">
        <f t="shared" si="280"/>
        <v>0101</v>
      </c>
      <c r="R1947">
        <v>2100</v>
      </c>
      <c r="S1947" t="str">
        <f t="shared" si="286"/>
        <v>5720</v>
      </c>
      <c r="T1947" t="s">
        <v>3604</v>
      </c>
      <c r="U1947" t="s">
        <v>125</v>
      </c>
    </row>
    <row r="1948" spans="1:21" ht="15" customHeight="1" x14ac:dyDescent="0.3">
      <c r="A1948" t="s">
        <v>179</v>
      </c>
      <c r="B1948" t="str">
        <f>"00066129"</f>
        <v>00066129</v>
      </c>
      <c r="C1948" t="s">
        <v>4274</v>
      </c>
      <c r="D1948" t="s">
        <v>4884</v>
      </c>
      <c r="E1948" t="str">
        <f>"00063289"</f>
        <v>00063289</v>
      </c>
      <c r="F1948">
        <v>0</v>
      </c>
      <c r="G1948" s="243">
        <v>40406</v>
      </c>
      <c r="H1948" t="s">
        <v>182</v>
      </c>
      <c r="I1948">
        <v>4</v>
      </c>
      <c r="J1948">
        <v>3</v>
      </c>
      <c r="K1948">
        <v>1</v>
      </c>
      <c r="L1948">
        <v>23848.12</v>
      </c>
      <c r="M1948" t="str">
        <f t="shared" ref="M1948:M2006" si="287">"13"</f>
        <v>13</v>
      </c>
      <c r="N1948" t="s">
        <v>3323</v>
      </c>
      <c r="O1948" t="str">
        <f t="shared" si="285"/>
        <v>57211</v>
      </c>
      <c r="P1948" t="str">
        <f>"2200L"</f>
        <v>2200L</v>
      </c>
      <c r="Q1948" t="str">
        <f t="shared" si="280"/>
        <v>0101</v>
      </c>
      <c r="R1948">
        <v>2200</v>
      </c>
      <c r="S1948" t="str">
        <f t="shared" si="286"/>
        <v>5720</v>
      </c>
      <c r="T1948" t="s">
        <v>3604</v>
      </c>
      <c r="U1948" t="s">
        <v>125</v>
      </c>
    </row>
    <row r="1949" spans="1:21" ht="15" customHeight="1" x14ac:dyDescent="0.3">
      <c r="A1949" t="s">
        <v>179</v>
      </c>
      <c r="B1949" t="str">
        <f>"00066131"</f>
        <v>00066131</v>
      </c>
      <c r="C1949" t="s">
        <v>4274</v>
      </c>
      <c r="D1949" t="s">
        <v>4885</v>
      </c>
      <c r="E1949" t="str">
        <f>"00069939"</f>
        <v>00069939</v>
      </c>
      <c r="F1949">
        <v>0</v>
      </c>
      <c r="G1949" s="243">
        <v>41162</v>
      </c>
      <c r="H1949" t="s">
        <v>182</v>
      </c>
      <c r="I1949">
        <v>4</v>
      </c>
      <c r="J1949">
        <v>10</v>
      </c>
      <c r="K1949">
        <v>1</v>
      </c>
      <c r="L1949">
        <v>28721</v>
      </c>
      <c r="M1949" t="str">
        <f t="shared" si="287"/>
        <v>13</v>
      </c>
      <c r="N1949" t="s">
        <v>3370</v>
      </c>
      <c r="O1949" t="str">
        <f t="shared" si="285"/>
        <v>57211</v>
      </c>
      <c r="P1949" t="str">
        <f>"2100L"</f>
        <v>2100L</v>
      </c>
      <c r="Q1949" t="str">
        <f t="shared" si="280"/>
        <v>0101</v>
      </c>
      <c r="R1949">
        <v>2100</v>
      </c>
      <c r="S1949" t="str">
        <f t="shared" si="286"/>
        <v>5720</v>
      </c>
      <c r="T1949" t="s">
        <v>3604</v>
      </c>
      <c r="U1949" t="s">
        <v>125</v>
      </c>
    </row>
    <row r="1950" spans="1:21" ht="15" customHeight="1" x14ac:dyDescent="0.3">
      <c r="A1950" t="s">
        <v>179</v>
      </c>
      <c r="B1950" t="str">
        <f>"00066131"</f>
        <v>00066131</v>
      </c>
      <c r="C1950" t="s">
        <v>4274</v>
      </c>
      <c r="D1950" t="s">
        <v>4886</v>
      </c>
      <c r="E1950" t="str">
        <f>"00070045"</f>
        <v>00070045</v>
      </c>
      <c r="F1950">
        <v>0</v>
      </c>
      <c r="G1950" s="243">
        <v>41133</v>
      </c>
      <c r="H1950" t="s">
        <v>182</v>
      </c>
      <c r="I1950">
        <v>4</v>
      </c>
      <c r="J1950">
        <v>7</v>
      </c>
      <c r="K1950">
        <v>1</v>
      </c>
      <c r="L1950">
        <v>26633.25</v>
      </c>
      <c r="M1950" t="str">
        <f t="shared" si="287"/>
        <v>13</v>
      </c>
      <c r="N1950" t="s">
        <v>3323</v>
      </c>
      <c r="O1950" t="str">
        <f t="shared" si="285"/>
        <v>57211</v>
      </c>
      <c r="P1950" t="str">
        <f>"2100L"</f>
        <v>2100L</v>
      </c>
      <c r="Q1950" t="str">
        <f t="shared" si="280"/>
        <v>0101</v>
      </c>
      <c r="R1950">
        <v>2100</v>
      </c>
      <c r="S1950" t="str">
        <f t="shared" si="286"/>
        <v>5720</v>
      </c>
      <c r="T1950" t="s">
        <v>3604</v>
      </c>
      <c r="U1950" t="s">
        <v>125</v>
      </c>
    </row>
    <row r="1951" spans="1:21" ht="15" customHeight="1" x14ac:dyDescent="0.3">
      <c r="A1951" t="s">
        <v>179</v>
      </c>
      <c r="B1951" t="str">
        <f>"00066256"</f>
        <v>00066256</v>
      </c>
      <c r="C1951" t="s">
        <v>4290</v>
      </c>
      <c r="D1951" t="s">
        <v>4887</v>
      </c>
      <c r="E1951" t="str">
        <f>"00060001"</f>
        <v>00060001</v>
      </c>
      <c r="F1951">
        <v>0</v>
      </c>
      <c r="G1951" s="243">
        <v>40155</v>
      </c>
      <c r="H1951" t="s">
        <v>182</v>
      </c>
      <c r="I1951">
        <v>4</v>
      </c>
      <c r="J1951">
        <v>6</v>
      </c>
      <c r="K1951">
        <v>1</v>
      </c>
      <c r="L1951">
        <v>25935.88</v>
      </c>
      <c r="M1951" t="str">
        <f t="shared" si="287"/>
        <v>13</v>
      </c>
      <c r="N1951" t="s">
        <v>3323</v>
      </c>
      <c r="O1951" t="str">
        <f t="shared" si="285"/>
        <v>57211</v>
      </c>
      <c r="P1951" t="str">
        <f>"2100L"</f>
        <v>2100L</v>
      </c>
      <c r="Q1951" t="str">
        <f t="shared" si="280"/>
        <v>0101</v>
      </c>
      <c r="R1951">
        <v>2100</v>
      </c>
      <c r="S1951" t="str">
        <f t="shared" si="286"/>
        <v>5720</v>
      </c>
      <c r="T1951" t="s">
        <v>3604</v>
      </c>
      <c r="U1951" t="s">
        <v>125</v>
      </c>
    </row>
    <row r="1952" spans="1:21" ht="15" customHeight="1" x14ac:dyDescent="0.3">
      <c r="A1952" t="s">
        <v>179</v>
      </c>
      <c r="B1952" t="str">
        <f>"00066410"</f>
        <v>00066410</v>
      </c>
      <c r="C1952" t="s">
        <v>4262</v>
      </c>
      <c r="D1952" t="s">
        <v>2599</v>
      </c>
      <c r="E1952" t="str">
        <f>"00048356"</f>
        <v>00048356</v>
      </c>
      <c r="F1952">
        <v>0</v>
      </c>
      <c r="G1952" s="243">
        <v>39090</v>
      </c>
      <c r="H1952" t="s">
        <v>182</v>
      </c>
      <c r="I1952">
        <v>15</v>
      </c>
      <c r="J1952">
        <v>12</v>
      </c>
      <c r="K1952">
        <v>1</v>
      </c>
      <c r="L1952">
        <v>75816</v>
      </c>
      <c r="M1952" t="str">
        <f t="shared" si="287"/>
        <v>13</v>
      </c>
      <c r="N1952" t="s">
        <v>3323</v>
      </c>
      <c r="O1952" t="str">
        <f t="shared" si="285"/>
        <v>57211</v>
      </c>
      <c r="P1952" t="str">
        <f>"2300L"</f>
        <v>2300L</v>
      </c>
      <c r="Q1952" t="str">
        <f t="shared" si="280"/>
        <v>0101</v>
      </c>
      <c r="R1952">
        <v>2300</v>
      </c>
      <c r="S1952" t="str">
        <f t="shared" si="286"/>
        <v>5720</v>
      </c>
      <c r="T1952" t="s">
        <v>3604</v>
      </c>
      <c r="U1952" t="s">
        <v>125</v>
      </c>
    </row>
    <row r="1953" spans="1:21" ht="15" customHeight="1" x14ac:dyDescent="0.3">
      <c r="A1953" t="s">
        <v>179</v>
      </c>
      <c r="B1953" t="str">
        <f>"00067087"</f>
        <v>00067087</v>
      </c>
      <c r="C1953" t="s">
        <v>3670</v>
      </c>
      <c r="D1953" t="s">
        <v>3605</v>
      </c>
      <c r="E1953" t="str">
        <f>"00066201"</f>
        <v>00066201</v>
      </c>
      <c r="F1953">
        <v>0</v>
      </c>
      <c r="G1953" s="243">
        <v>40763</v>
      </c>
      <c r="H1953" t="s">
        <v>182</v>
      </c>
      <c r="I1953">
        <v>8</v>
      </c>
      <c r="J1953">
        <v>2</v>
      </c>
      <c r="K1953">
        <v>1</v>
      </c>
      <c r="L1953">
        <v>84746</v>
      </c>
      <c r="M1953" t="str">
        <f t="shared" si="287"/>
        <v>13</v>
      </c>
      <c r="N1953" t="s">
        <v>3323</v>
      </c>
      <c r="O1953" t="str">
        <f t="shared" si="285"/>
        <v>57211</v>
      </c>
      <c r="P1953" t="str">
        <f>"1501L"</f>
        <v>1501L</v>
      </c>
      <c r="Q1953" t="str">
        <f t="shared" si="280"/>
        <v>0101</v>
      </c>
      <c r="R1953">
        <v>1501</v>
      </c>
      <c r="S1953" t="str">
        <f t="shared" si="286"/>
        <v>5720</v>
      </c>
      <c r="T1953" t="s">
        <v>3604</v>
      </c>
      <c r="U1953" t="s">
        <v>125</v>
      </c>
    </row>
    <row r="1954" spans="1:21" ht="15" customHeight="1" x14ac:dyDescent="0.3">
      <c r="A1954" t="s">
        <v>179</v>
      </c>
      <c r="B1954" t="str">
        <f>"00067429"</f>
        <v>00067429</v>
      </c>
      <c r="C1954" t="s">
        <v>4272</v>
      </c>
      <c r="D1954" t="s">
        <v>1788</v>
      </c>
      <c r="E1954" t="str">
        <f>"00057805"</f>
        <v>00057805</v>
      </c>
      <c r="F1954">
        <v>0</v>
      </c>
      <c r="G1954" s="243">
        <v>40042</v>
      </c>
      <c r="H1954" t="s">
        <v>182</v>
      </c>
      <c r="I1954">
        <v>15</v>
      </c>
      <c r="J1954">
        <v>4</v>
      </c>
      <c r="K1954">
        <v>1</v>
      </c>
      <c r="L1954">
        <v>54725</v>
      </c>
      <c r="M1954" t="str">
        <f t="shared" si="287"/>
        <v>13</v>
      </c>
      <c r="N1954" t="s">
        <v>3323</v>
      </c>
      <c r="O1954" t="str">
        <f t="shared" si="285"/>
        <v>57211</v>
      </c>
      <c r="P1954" t="str">
        <f t="shared" ref="P1954:P1959" si="288">"2100L"</f>
        <v>2100L</v>
      </c>
      <c r="Q1954" t="str">
        <f t="shared" si="280"/>
        <v>0101</v>
      </c>
      <c r="R1954">
        <v>2100</v>
      </c>
      <c r="S1954" t="str">
        <f t="shared" si="286"/>
        <v>5720</v>
      </c>
      <c r="T1954" t="s">
        <v>3604</v>
      </c>
      <c r="U1954" t="s">
        <v>125</v>
      </c>
    </row>
    <row r="1955" spans="1:21" ht="15" customHeight="1" x14ac:dyDescent="0.3">
      <c r="A1955" t="s">
        <v>179</v>
      </c>
      <c r="B1955" t="str">
        <f>"00068159"</f>
        <v>00068159</v>
      </c>
      <c r="C1955" t="s">
        <v>4256</v>
      </c>
      <c r="D1955" t="s">
        <v>1789</v>
      </c>
      <c r="E1955" t="str">
        <f>"00045282"</f>
        <v>00045282</v>
      </c>
      <c r="F1955">
        <v>0</v>
      </c>
      <c r="G1955" s="243">
        <v>39679</v>
      </c>
      <c r="H1955" t="s">
        <v>182</v>
      </c>
      <c r="I1955">
        <v>15</v>
      </c>
      <c r="J1955">
        <v>10</v>
      </c>
      <c r="K1955">
        <v>1</v>
      </c>
      <c r="L1955">
        <v>78273</v>
      </c>
      <c r="M1955" t="str">
        <f t="shared" si="287"/>
        <v>13</v>
      </c>
      <c r="N1955" t="s">
        <v>3323</v>
      </c>
      <c r="O1955" t="str">
        <f t="shared" si="285"/>
        <v>57211</v>
      </c>
      <c r="P1955" t="str">
        <f t="shared" si="288"/>
        <v>2100L</v>
      </c>
      <c r="Q1955" t="str">
        <f t="shared" ref="Q1955:Q1963" si="289">"0101"</f>
        <v>0101</v>
      </c>
      <c r="R1955">
        <v>2100</v>
      </c>
      <c r="S1955" t="str">
        <f t="shared" si="286"/>
        <v>5720</v>
      </c>
      <c r="T1955" t="s">
        <v>3604</v>
      </c>
      <c r="U1955" t="s">
        <v>125</v>
      </c>
    </row>
    <row r="1956" spans="1:21" ht="15" customHeight="1" x14ac:dyDescent="0.3">
      <c r="A1956" t="s">
        <v>179</v>
      </c>
      <c r="B1956" t="str">
        <f>"00068269"</f>
        <v>00068269</v>
      </c>
      <c r="C1956" t="s">
        <v>4259</v>
      </c>
      <c r="D1956" t="s">
        <v>1790</v>
      </c>
      <c r="E1956" t="str">
        <f>"00058034"</f>
        <v>00058034</v>
      </c>
      <c r="F1956">
        <v>0</v>
      </c>
      <c r="G1956" s="243">
        <v>40049</v>
      </c>
      <c r="H1956" t="s">
        <v>182</v>
      </c>
      <c r="I1956">
        <v>15</v>
      </c>
      <c r="J1956">
        <v>13</v>
      </c>
      <c r="K1956">
        <v>1</v>
      </c>
      <c r="L1956">
        <v>95366</v>
      </c>
      <c r="M1956" t="str">
        <f t="shared" si="287"/>
        <v>13</v>
      </c>
      <c r="N1956" t="s">
        <v>3323</v>
      </c>
      <c r="O1956" t="str">
        <f t="shared" si="285"/>
        <v>57211</v>
      </c>
      <c r="P1956" t="str">
        <f t="shared" si="288"/>
        <v>2100L</v>
      </c>
      <c r="Q1956" t="str">
        <f t="shared" si="289"/>
        <v>0101</v>
      </c>
      <c r="R1956">
        <v>2100</v>
      </c>
      <c r="S1956" t="str">
        <f t="shared" si="286"/>
        <v>5720</v>
      </c>
      <c r="T1956" t="s">
        <v>3604</v>
      </c>
      <c r="U1956" t="s">
        <v>125</v>
      </c>
    </row>
    <row r="1957" spans="1:21" ht="15" customHeight="1" x14ac:dyDescent="0.3">
      <c r="A1957" t="s">
        <v>179</v>
      </c>
      <c r="B1957" t="str">
        <f>"00070736"</f>
        <v>00070736</v>
      </c>
      <c r="C1957" t="s">
        <v>4272</v>
      </c>
      <c r="D1957" t="s">
        <v>1791</v>
      </c>
      <c r="E1957" t="str">
        <f>"00062865"</f>
        <v>00062865</v>
      </c>
      <c r="F1957">
        <v>0</v>
      </c>
      <c r="G1957" s="243">
        <v>40406</v>
      </c>
      <c r="H1957" t="s">
        <v>182</v>
      </c>
      <c r="I1957">
        <v>15</v>
      </c>
      <c r="J1957">
        <v>12</v>
      </c>
      <c r="K1957">
        <v>1</v>
      </c>
      <c r="L1957">
        <v>87431</v>
      </c>
      <c r="M1957" t="str">
        <f t="shared" si="287"/>
        <v>13</v>
      </c>
      <c r="N1957" t="s">
        <v>3370</v>
      </c>
      <c r="O1957" t="str">
        <f t="shared" si="285"/>
        <v>57211</v>
      </c>
      <c r="P1957" t="str">
        <f t="shared" si="288"/>
        <v>2100L</v>
      </c>
      <c r="Q1957" t="str">
        <f t="shared" si="289"/>
        <v>0101</v>
      </c>
      <c r="R1957">
        <v>2100</v>
      </c>
      <c r="S1957" t="str">
        <f t="shared" si="286"/>
        <v>5720</v>
      </c>
      <c r="T1957" t="s">
        <v>3604</v>
      </c>
      <c r="U1957" t="s">
        <v>125</v>
      </c>
    </row>
    <row r="1958" spans="1:21" ht="15" customHeight="1" x14ac:dyDescent="0.3">
      <c r="A1958" t="s">
        <v>179</v>
      </c>
      <c r="B1958" t="str">
        <f>"00070836"</f>
        <v>00070836</v>
      </c>
      <c r="C1958" t="s">
        <v>4272</v>
      </c>
      <c r="D1958" t="s">
        <v>1792</v>
      </c>
      <c r="E1958" t="str">
        <f>"00062791"</f>
        <v>00062791</v>
      </c>
      <c r="F1958">
        <v>0</v>
      </c>
      <c r="G1958" s="243">
        <v>40406</v>
      </c>
      <c r="H1958" t="s">
        <v>182</v>
      </c>
      <c r="I1958">
        <v>15</v>
      </c>
      <c r="J1958">
        <v>3</v>
      </c>
      <c r="K1958">
        <v>1</v>
      </c>
      <c r="L1958">
        <v>26388.5</v>
      </c>
      <c r="M1958" t="str">
        <f t="shared" si="287"/>
        <v>13</v>
      </c>
      <c r="N1958" t="s">
        <v>3323</v>
      </c>
      <c r="O1958" t="str">
        <f t="shared" si="285"/>
        <v>57211</v>
      </c>
      <c r="P1958" t="str">
        <f t="shared" si="288"/>
        <v>2100L</v>
      </c>
      <c r="Q1958" t="str">
        <f t="shared" si="289"/>
        <v>0101</v>
      </c>
      <c r="R1958">
        <v>2100</v>
      </c>
      <c r="S1958" t="str">
        <f t="shared" si="286"/>
        <v>5720</v>
      </c>
      <c r="T1958" t="s">
        <v>3604</v>
      </c>
      <c r="U1958" t="s">
        <v>125</v>
      </c>
    </row>
    <row r="1959" spans="1:21" ht="15" customHeight="1" x14ac:dyDescent="0.3">
      <c r="A1959" t="s">
        <v>179</v>
      </c>
      <c r="B1959" t="str">
        <f>"00072339"</f>
        <v>00072339</v>
      </c>
      <c r="C1959" t="s">
        <v>4574</v>
      </c>
      <c r="D1959" t="s">
        <v>1793</v>
      </c>
      <c r="E1959" t="str">
        <f>"00044706"</f>
        <v>00044706</v>
      </c>
      <c r="F1959">
        <v>0</v>
      </c>
      <c r="G1959" s="243">
        <v>39772</v>
      </c>
      <c r="H1959" t="s">
        <v>182</v>
      </c>
      <c r="I1959">
        <v>15</v>
      </c>
      <c r="J1959">
        <v>11</v>
      </c>
      <c r="K1959">
        <v>0.5</v>
      </c>
      <c r="L1959">
        <v>40667.5</v>
      </c>
      <c r="M1959" t="str">
        <f t="shared" si="287"/>
        <v>13</v>
      </c>
      <c r="N1959" t="s">
        <v>3323</v>
      </c>
      <c r="O1959" t="str">
        <f t="shared" si="285"/>
        <v>57211</v>
      </c>
      <c r="P1959" t="str">
        <f t="shared" si="288"/>
        <v>2100L</v>
      </c>
      <c r="Q1959" t="str">
        <f t="shared" si="289"/>
        <v>0101</v>
      </c>
      <c r="R1959">
        <v>2100</v>
      </c>
      <c r="S1959" t="str">
        <f t="shared" si="286"/>
        <v>5720</v>
      </c>
      <c r="T1959" t="s">
        <v>3604</v>
      </c>
      <c r="U1959" t="s">
        <v>125</v>
      </c>
    </row>
    <row r="1960" spans="1:21" ht="15" customHeight="1" x14ac:dyDescent="0.3">
      <c r="A1960" t="s">
        <v>179</v>
      </c>
      <c r="B1960" t="str">
        <f>"00072859"</f>
        <v>00072859</v>
      </c>
      <c r="C1960" t="s">
        <v>4341</v>
      </c>
      <c r="D1960" t="s">
        <v>1786</v>
      </c>
      <c r="E1960" t="str">
        <f>"00044590"</f>
        <v>00044590</v>
      </c>
      <c r="F1960">
        <v>0</v>
      </c>
      <c r="G1960" s="243">
        <v>39679</v>
      </c>
      <c r="H1960" t="s">
        <v>182</v>
      </c>
      <c r="I1960">
        <v>10</v>
      </c>
      <c r="J1960">
        <v>4</v>
      </c>
      <c r="K1960">
        <v>1</v>
      </c>
      <c r="L1960">
        <v>69119</v>
      </c>
      <c r="M1960" t="str">
        <f t="shared" si="287"/>
        <v>13</v>
      </c>
      <c r="N1960" t="s">
        <v>3323</v>
      </c>
      <c r="O1960" t="str">
        <f t="shared" si="285"/>
        <v>57211</v>
      </c>
      <c r="P1960" t="str">
        <f>"3030L"</f>
        <v>3030L</v>
      </c>
      <c r="Q1960" t="str">
        <f t="shared" si="289"/>
        <v>0101</v>
      </c>
      <c r="R1960">
        <v>3030</v>
      </c>
      <c r="S1960" t="str">
        <f t="shared" si="286"/>
        <v>5720</v>
      </c>
      <c r="T1960" t="s">
        <v>3604</v>
      </c>
      <c r="U1960" t="s">
        <v>125</v>
      </c>
    </row>
    <row r="1961" spans="1:21" ht="15" customHeight="1" x14ac:dyDescent="0.3">
      <c r="A1961" t="s">
        <v>179</v>
      </c>
      <c r="B1961" t="str">
        <f>"00072872"</f>
        <v>00072872</v>
      </c>
      <c r="C1961" t="s">
        <v>4333</v>
      </c>
      <c r="D1961" t="s">
        <v>4888</v>
      </c>
      <c r="E1961" t="str">
        <f>"00054814"</f>
        <v>00054814</v>
      </c>
      <c r="F1961">
        <v>0</v>
      </c>
      <c r="G1961" s="243">
        <v>30474</v>
      </c>
      <c r="H1961" t="s">
        <v>182</v>
      </c>
      <c r="I1961">
        <v>12</v>
      </c>
      <c r="J1961">
        <v>5</v>
      </c>
      <c r="K1961">
        <v>1</v>
      </c>
      <c r="L1961">
        <v>67408</v>
      </c>
      <c r="M1961" t="str">
        <f t="shared" si="287"/>
        <v>13</v>
      </c>
      <c r="N1961" t="s">
        <v>3323</v>
      </c>
      <c r="O1961" t="str">
        <f t="shared" si="285"/>
        <v>57211</v>
      </c>
      <c r="P1961" t="str">
        <f>"1502L"</f>
        <v>1502L</v>
      </c>
      <c r="Q1961" t="str">
        <f t="shared" si="289"/>
        <v>0101</v>
      </c>
      <c r="R1961">
        <v>1502</v>
      </c>
      <c r="S1961" t="str">
        <f t="shared" si="286"/>
        <v>5720</v>
      </c>
      <c r="T1961" t="s">
        <v>3604</v>
      </c>
      <c r="U1961" t="s">
        <v>125</v>
      </c>
    </row>
    <row r="1962" spans="1:21" ht="15" customHeight="1" x14ac:dyDescent="0.3">
      <c r="A1962" t="s">
        <v>179</v>
      </c>
      <c r="B1962" t="str">
        <f>"00073066"</f>
        <v>00073066</v>
      </c>
      <c r="C1962" t="s">
        <v>4274</v>
      </c>
      <c r="D1962" t="s">
        <v>4889</v>
      </c>
      <c r="E1962" t="str">
        <f>"00058237"</f>
        <v>00058237</v>
      </c>
      <c r="F1962">
        <v>0</v>
      </c>
      <c r="G1962" s="243">
        <v>40042</v>
      </c>
      <c r="H1962" t="s">
        <v>182</v>
      </c>
      <c r="I1962">
        <v>4</v>
      </c>
      <c r="J1962">
        <v>10</v>
      </c>
      <c r="K1962">
        <v>1</v>
      </c>
      <c r="L1962">
        <v>28721</v>
      </c>
      <c r="M1962" t="str">
        <f t="shared" si="287"/>
        <v>13</v>
      </c>
      <c r="N1962" t="s">
        <v>3323</v>
      </c>
      <c r="O1962" t="str">
        <f t="shared" si="285"/>
        <v>57211</v>
      </c>
      <c r="P1962" t="str">
        <f>"2200L"</f>
        <v>2200L</v>
      </c>
      <c r="Q1962" t="str">
        <f t="shared" si="289"/>
        <v>0101</v>
      </c>
      <c r="R1962">
        <v>2200</v>
      </c>
      <c r="S1962" t="str">
        <f t="shared" si="286"/>
        <v>5720</v>
      </c>
      <c r="T1962" t="s">
        <v>3604</v>
      </c>
      <c r="U1962" t="s">
        <v>125</v>
      </c>
    </row>
    <row r="1963" spans="1:21" ht="15" customHeight="1" x14ac:dyDescent="0.3">
      <c r="A1963" t="s">
        <v>179</v>
      </c>
      <c r="B1963" t="str">
        <f>"00073900"</f>
        <v>00073900</v>
      </c>
      <c r="C1963" t="s">
        <v>4252</v>
      </c>
      <c r="D1963" t="s">
        <v>1783</v>
      </c>
      <c r="E1963" t="str">
        <f>"00045982"</f>
        <v>00045982</v>
      </c>
      <c r="F1963">
        <v>0</v>
      </c>
      <c r="G1963" s="243">
        <v>39314</v>
      </c>
      <c r="H1963" t="s">
        <v>182</v>
      </c>
      <c r="I1963">
        <v>15</v>
      </c>
      <c r="J1963">
        <v>6</v>
      </c>
      <c r="K1963">
        <v>0.5</v>
      </c>
      <c r="L1963">
        <v>66078</v>
      </c>
      <c r="M1963" t="str">
        <f t="shared" si="287"/>
        <v>13</v>
      </c>
      <c r="N1963" t="s">
        <v>3323</v>
      </c>
      <c r="O1963" t="str">
        <f t="shared" si="285"/>
        <v>57211</v>
      </c>
      <c r="P1963" t="str">
        <f>"2100L"</f>
        <v>2100L</v>
      </c>
      <c r="Q1963" t="str">
        <f t="shared" si="289"/>
        <v>0101</v>
      </c>
      <c r="R1963">
        <v>2100</v>
      </c>
      <c r="S1963" t="str">
        <f t="shared" si="286"/>
        <v>5720</v>
      </c>
      <c r="T1963" t="s">
        <v>3604</v>
      </c>
      <c r="U1963" t="s">
        <v>125</v>
      </c>
    </row>
    <row r="1964" spans="1:21" ht="15" customHeight="1" x14ac:dyDescent="0.3">
      <c r="A1964" t="s">
        <v>179</v>
      </c>
      <c r="B1964" t="str">
        <f>"00073900"</f>
        <v>00073900</v>
      </c>
      <c r="C1964" t="s">
        <v>4252</v>
      </c>
      <c r="D1964" t="s">
        <v>1783</v>
      </c>
      <c r="E1964" t="str">
        <f>"00045982"</f>
        <v>00045982</v>
      </c>
      <c r="F1964">
        <v>0</v>
      </c>
      <c r="G1964" s="243">
        <v>39314</v>
      </c>
      <c r="H1964" t="s">
        <v>182</v>
      </c>
      <c r="I1964">
        <v>15</v>
      </c>
      <c r="J1964">
        <v>6</v>
      </c>
      <c r="K1964">
        <v>0.5</v>
      </c>
      <c r="L1964">
        <v>66078</v>
      </c>
      <c r="M1964" t="str">
        <f t="shared" si="287"/>
        <v>13</v>
      </c>
      <c r="N1964" t="s">
        <v>3323</v>
      </c>
      <c r="O1964" t="str">
        <f>"57245"</f>
        <v>57245</v>
      </c>
      <c r="P1964" t="str">
        <f>"2100D"</f>
        <v>2100D</v>
      </c>
      <c r="Q1964" t="str">
        <f>"8450"</f>
        <v>8450</v>
      </c>
      <c r="R1964">
        <v>2100</v>
      </c>
      <c r="S1964" t="str">
        <f t="shared" si="286"/>
        <v>5720</v>
      </c>
      <c r="T1964" t="s">
        <v>3604</v>
      </c>
      <c r="U1964" t="s">
        <v>125</v>
      </c>
    </row>
    <row r="1965" spans="1:21" ht="15" customHeight="1" x14ac:dyDescent="0.3">
      <c r="A1965" t="s">
        <v>179</v>
      </c>
      <c r="B1965" t="str">
        <f>"00074242"</f>
        <v>00074242</v>
      </c>
      <c r="C1965" t="s">
        <v>4360</v>
      </c>
      <c r="D1965" t="s">
        <v>4890</v>
      </c>
      <c r="E1965" t="str">
        <f>"00046023"</f>
        <v>00046023</v>
      </c>
      <c r="F1965">
        <v>0</v>
      </c>
      <c r="G1965" s="243">
        <v>39315</v>
      </c>
      <c r="H1965" t="s">
        <v>182</v>
      </c>
      <c r="I1965">
        <v>7</v>
      </c>
      <c r="J1965">
        <v>5</v>
      </c>
      <c r="K1965">
        <v>1</v>
      </c>
      <c r="L1965">
        <v>39300</v>
      </c>
      <c r="M1965" t="str">
        <f t="shared" si="287"/>
        <v>13</v>
      </c>
      <c r="N1965" t="s">
        <v>3323</v>
      </c>
      <c r="O1965" t="str">
        <f t="shared" ref="O1965:O1973" si="290">"57211"</f>
        <v>57211</v>
      </c>
      <c r="P1965" t="str">
        <f>"1502L"</f>
        <v>1502L</v>
      </c>
      <c r="Q1965" t="str">
        <f t="shared" ref="Q1965:Q2023" si="291">"0101"</f>
        <v>0101</v>
      </c>
      <c r="R1965">
        <v>1502</v>
      </c>
      <c r="S1965" t="str">
        <f t="shared" si="286"/>
        <v>5720</v>
      </c>
      <c r="T1965" t="s">
        <v>3604</v>
      </c>
      <c r="U1965" t="s">
        <v>125</v>
      </c>
    </row>
    <row r="1966" spans="1:21" ht="15" customHeight="1" x14ac:dyDescent="0.3">
      <c r="A1966" t="s">
        <v>179</v>
      </c>
      <c r="B1966" t="str">
        <f>"00074243"</f>
        <v>00074243</v>
      </c>
      <c r="C1966" t="s">
        <v>4253</v>
      </c>
      <c r="D1966" t="s">
        <v>3610</v>
      </c>
      <c r="E1966" t="str">
        <f>"00066255"</f>
        <v>00066255</v>
      </c>
      <c r="F1966">
        <v>0</v>
      </c>
      <c r="G1966" s="243">
        <v>40770</v>
      </c>
      <c r="H1966" t="s">
        <v>182</v>
      </c>
      <c r="I1966">
        <v>15</v>
      </c>
      <c r="J1966">
        <v>2</v>
      </c>
      <c r="K1966">
        <v>1</v>
      </c>
      <c r="L1966">
        <v>51716</v>
      </c>
      <c r="M1966" t="str">
        <f t="shared" si="287"/>
        <v>13</v>
      </c>
      <c r="N1966" t="s">
        <v>3323</v>
      </c>
      <c r="O1966" t="str">
        <f t="shared" si="290"/>
        <v>57211</v>
      </c>
      <c r="P1966" t="str">
        <f t="shared" ref="P1966:P1973" si="292">"2100L"</f>
        <v>2100L</v>
      </c>
      <c r="Q1966" t="str">
        <f t="shared" si="291"/>
        <v>0101</v>
      </c>
      <c r="R1966">
        <v>2100</v>
      </c>
      <c r="S1966" t="str">
        <f t="shared" si="286"/>
        <v>5720</v>
      </c>
      <c r="T1966" t="s">
        <v>3604</v>
      </c>
      <c r="U1966" t="s">
        <v>125</v>
      </c>
    </row>
    <row r="1967" spans="1:21" ht="15" customHeight="1" x14ac:dyDescent="0.3">
      <c r="A1967" t="s">
        <v>179</v>
      </c>
      <c r="B1967" t="str">
        <f>"00074244"</f>
        <v>00074244</v>
      </c>
      <c r="C1967" t="s">
        <v>4272</v>
      </c>
      <c r="D1967" t="s">
        <v>3611</v>
      </c>
      <c r="E1967" t="str">
        <f>"00066185"</f>
        <v>00066185</v>
      </c>
      <c r="F1967">
        <v>0</v>
      </c>
      <c r="G1967" s="243">
        <v>40755</v>
      </c>
      <c r="H1967" t="s">
        <v>182</v>
      </c>
      <c r="I1967">
        <v>15</v>
      </c>
      <c r="J1967">
        <v>2</v>
      </c>
      <c r="K1967">
        <v>1</v>
      </c>
      <c r="L1967">
        <v>51716</v>
      </c>
      <c r="M1967" t="str">
        <f t="shared" si="287"/>
        <v>13</v>
      </c>
      <c r="N1967" t="s">
        <v>3323</v>
      </c>
      <c r="O1967" t="str">
        <f t="shared" si="290"/>
        <v>57211</v>
      </c>
      <c r="P1967" t="str">
        <f t="shared" si="292"/>
        <v>2100L</v>
      </c>
      <c r="Q1967" t="str">
        <f t="shared" si="291"/>
        <v>0101</v>
      </c>
      <c r="R1967">
        <v>2100</v>
      </c>
      <c r="S1967" t="str">
        <f t="shared" si="286"/>
        <v>5720</v>
      </c>
      <c r="T1967" t="s">
        <v>3604</v>
      </c>
      <c r="U1967" t="s">
        <v>125</v>
      </c>
    </row>
    <row r="1968" spans="1:21" ht="15" customHeight="1" x14ac:dyDescent="0.3">
      <c r="A1968" t="s">
        <v>179</v>
      </c>
      <c r="B1968" t="str">
        <f>"00074245"</f>
        <v>00074245</v>
      </c>
      <c r="C1968" t="s">
        <v>4254</v>
      </c>
      <c r="H1968" t="s">
        <v>170</v>
      </c>
      <c r="I1968">
        <v>15</v>
      </c>
      <c r="J1968">
        <v>1</v>
      </c>
      <c r="K1968">
        <v>1</v>
      </c>
      <c r="L1968">
        <v>51539</v>
      </c>
      <c r="M1968" t="str">
        <f t="shared" si="287"/>
        <v>13</v>
      </c>
      <c r="N1968" t="s">
        <v>3323</v>
      </c>
      <c r="O1968" t="str">
        <f t="shared" si="290"/>
        <v>57211</v>
      </c>
      <c r="P1968" t="str">
        <f t="shared" si="292"/>
        <v>2100L</v>
      </c>
      <c r="Q1968" t="str">
        <f t="shared" si="291"/>
        <v>0101</v>
      </c>
      <c r="R1968">
        <v>2100</v>
      </c>
      <c r="S1968" t="str">
        <f t="shared" si="286"/>
        <v>5720</v>
      </c>
      <c r="T1968" t="s">
        <v>3604</v>
      </c>
      <c r="U1968" t="s">
        <v>125</v>
      </c>
    </row>
    <row r="1969" spans="1:21" ht="15" customHeight="1" x14ac:dyDescent="0.3">
      <c r="A1969" t="s">
        <v>179</v>
      </c>
      <c r="B1969" t="str">
        <f>"00074246"</f>
        <v>00074246</v>
      </c>
      <c r="C1969" t="s">
        <v>4265</v>
      </c>
      <c r="D1969" t="s">
        <v>3607</v>
      </c>
      <c r="E1969" t="str">
        <f>"00066405"</f>
        <v>00066405</v>
      </c>
      <c r="F1969">
        <v>0</v>
      </c>
      <c r="G1969" s="243">
        <v>40770</v>
      </c>
      <c r="H1969" t="s">
        <v>182</v>
      </c>
      <c r="I1969">
        <v>15</v>
      </c>
      <c r="J1969">
        <v>10</v>
      </c>
      <c r="K1969">
        <v>0.5</v>
      </c>
      <c r="L1969">
        <v>39136.5</v>
      </c>
      <c r="M1969" t="str">
        <f t="shared" si="287"/>
        <v>13</v>
      </c>
      <c r="N1969" t="s">
        <v>3323</v>
      </c>
      <c r="O1969" t="str">
        <f t="shared" si="290"/>
        <v>57211</v>
      </c>
      <c r="P1969" t="str">
        <f t="shared" si="292"/>
        <v>2100L</v>
      </c>
      <c r="Q1969" t="str">
        <f t="shared" si="291"/>
        <v>0101</v>
      </c>
      <c r="R1969">
        <v>2100</v>
      </c>
      <c r="S1969" t="str">
        <f t="shared" si="286"/>
        <v>5720</v>
      </c>
      <c r="T1969" t="s">
        <v>3604</v>
      </c>
      <c r="U1969" t="s">
        <v>125</v>
      </c>
    </row>
    <row r="1970" spans="1:21" ht="15" customHeight="1" x14ac:dyDescent="0.3">
      <c r="A1970" t="s">
        <v>179</v>
      </c>
      <c r="B1970" t="str">
        <f>"00076228"</f>
        <v>00076228</v>
      </c>
      <c r="C1970" t="s">
        <v>4270</v>
      </c>
      <c r="D1970" t="s">
        <v>3612</v>
      </c>
      <c r="E1970" t="str">
        <f>"00066140"</f>
        <v>00066140</v>
      </c>
      <c r="F1970">
        <v>0</v>
      </c>
      <c r="G1970" s="243">
        <v>40755</v>
      </c>
      <c r="H1970" t="s">
        <v>182</v>
      </c>
      <c r="I1970">
        <v>15</v>
      </c>
      <c r="J1970">
        <v>2</v>
      </c>
      <c r="K1970">
        <v>0.5</v>
      </c>
      <c r="L1970">
        <v>25858</v>
      </c>
      <c r="M1970" t="str">
        <f t="shared" si="287"/>
        <v>13</v>
      </c>
      <c r="N1970" t="s">
        <v>3370</v>
      </c>
      <c r="O1970" t="str">
        <f t="shared" si="290"/>
        <v>57211</v>
      </c>
      <c r="P1970" t="str">
        <f t="shared" si="292"/>
        <v>2100L</v>
      </c>
      <c r="Q1970" t="str">
        <f t="shared" si="291"/>
        <v>0101</v>
      </c>
      <c r="R1970">
        <v>2100</v>
      </c>
      <c r="S1970" t="str">
        <f t="shared" si="286"/>
        <v>5720</v>
      </c>
      <c r="T1970" t="s">
        <v>3604</v>
      </c>
      <c r="U1970" t="s">
        <v>125</v>
      </c>
    </row>
    <row r="1971" spans="1:21" ht="15" customHeight="1" x14ac:dyDescent="0.3">
      <c r="A1971" t="s">
        <v>179</v>
      </c>
      <c r="B1971" t="str">
        <f>"00076229"</f>
        <v>00076229</v>
      </c>
      <c r="C1971" t="s">
        <v>4262</v>
      </c>
      <c r="H1971" t="s">
        <v>170</v>
      </c>
      <c r="I1971">
        <v>15</v>
      </c>
      <c r="J1971">
        <v>0</v>
      </c>
      <c r="K1971">
        <v>1</v>
      </c>
      <c r="L1971">
        <v>51539</v>
      </c>
      <c r="M1971" t="str">
        <f t="shared" si="287"/>
        <v>13</v>
      </c>
      <c r="N1971" t="s">
        <v>3370</v>
      </c>
      <c r="O1971" t="str">
        <f t="shared" si="290"/>
        <v>57211</v>
      </c>
      <c r="P1971" t="str">
        <f t="shared" si="292"/>
        <v>2100L</v>
      </c>
      <c r="Q1971" t="str">
        <f t="shared" si="291"/>
        <v>0101</v>
      </c>
      <c r="R1971">
        <v>2100</v>
      </c>
      <c r="S1971" t="str">
        <f t="shared" si="286"/>
        <v>5720</v>
      </c>
      <c r="T1971" t="s">
        <v>3604</v>
      </c>
      <c r="U1971" t="s">
        <v>125</v>
      </c>
    </row>
    <row r="1972" spans="1:21" ht="15" customHeight="1" x14ac:dyDescent="0.3">
      <c r="A1972" t="s">
        <v>179</v>
      </c>
      <c r="B1972" t="str">
        <f>"00076230"</f>
        <v>00076230</v>
      </c>
      <c r="C1972" t="s">
        <v>4381</v>
      </c>
      <c r="D1972" t="s">
        <v>1108</v>
      </c>
      <c r="E1972" t="str">
        <f>"00050999"</f>
        <v>00050999</v>
      </c>
      <c r="F1972">
        <v>0</v>
      </c>
      <c r="G1972" s="243">
        <v>36192</v>
      </c>
      <c r="H1972" t="s">
        <v>182</v>
      </c>
      <c r="I1972">
        <v>9</v>
      </c>
      <c r="J1972">
        <v>10</v>
      </c>
      <c r="K1972">
        <v>1</v>
      </c>
      <c r="L1972">
        <v>42730</v>
      </c>
      <c r="M1972" t="str">
        <f t="shared" si="287"/>
        <v>13</v>
      </c>
      <c r="N1972" t="s">
        <v>3323</v>
      </c>
      <c r="O1972" t="str">
        <f t="shared" si="290"/>
        <v>57211</v>
      </c>
      <c r="P1972" t="str">
        <f t="shared" si="292"/>
        <v>2100L</v>
      </c>
      <c r="Q1972" t="str">
        <f t="shared" si="291"/>
        <v>0101</v>
      </c>
      <c r="R1972">
        <v>2100</v>
      </c>
      <c r="S1972" t="str">
        <f t="shared" si="286"/>
        <v>5720</v>
      </c>
      <c r="T1972" t="s">
        <v>3604</v>
      </c>
      <c r="U1972" t="s">
        <v>125</v>
      </c>
    </row>
    <row r="1973" spans="1:21" ht="15" customHeight="1" x14ac:dyDescent="0.3">
      <c r="A1973" t="s">
        <v>179</v>
      </c>
      <c r="B1973" t="str">
        <f>"00076231"</f>
        <v>00076231</v>
      </c>
      <c r="C1973" t="s">
        <v>4271</v>
      </c>
      <c r="D1973" t="s">
        <v>4891</v>
      </c>
      <c r="E1973" t="str">
        <f>"00067235"</f>
        <v>00067235</v>
      </c>
      <c r="F1973">
        <v>0</v>
      </c>
      <c r="G1973" s="243">
        <v>40868</v>
      </c>
      <c r="H1973" t="s">
        <v>182</v>
      </c>
      <c r="I1973">
        <v>15</v>
      </c>
      <c r="J1973">
        <v>7</v>
      </c>
      <c r="K1973">
        <v>0.5</v>
      </c>
      <c r="L1973">
        <v>69132</v>
      </c>
      <c r="M1973" t="str">
        <f t="shared" si="287"/>
        <v>13</v>
      </c>
      <c r="N1973" t="s">
        <v>3370</v>
      </c>
      <c r="O1973" t="str">
        <f t="shared" si="290"/>
        <v>57211</v>
      </c>
      <c r="P1973" t="str">
        <f t="shared" si="292"/>
        <v>2100L</v>
      </c>
      <c r="Q1973" t="str">
        <f t="shared" si="291"/>
        <v>0101</v>
      </c>
      <c r="R1973">
        <v>2100</v>
      </c>
      <c r="S1973" t="str">
        <f t="shared" si="286"/>
        <v>5720</v>
      </c>
      <c r="T1973" t="s">
        <v>3604</v>
      </c>
      <c r="U1973" t="s">
        <v>125</v>
      </c>
    </row>
    <row r="1974" spans="1:21" ht="15" customHeight="1" x14ac:dyDescent="0.3">
      <c r="A1974" t="s">
        <v>179</v>
      </c>
      <c r="B1974" t="str">
        <f>"00051575"</f>
        <v>00051575</v>
      </c>
      <c r="C1974" t="s">
        <v>3798</v>
      </c>
      <c r="D1974" t="s">
        <v>1795</v>
      </c>
      <c r="E1974" t="str">
        <f>"00044959"</f>
        <v>00044959</v>
      </c>
      <c r="F1974">
        <v>0</v>
      </c>
      <c r="G1974" s="243">
        <v>35305</v>
      </c>
      <c r="H1974" t="s">
        <v>182</v>
      </c>
      <c r="I1974">
        <v>61</v>
      </c>
      <c r="J1974">
        <v>5</v>
      </c>
      <c r="K1974">
        <v>1</v>
      </c>
      <c r="L1974">
        <v>120000</v>
      </c>
      <c r="M1974" t="str">
        <f t="shared" si="287"/>
        <v>13</v>
      </c>
      <c r="N1974" t="s">
        <v>3323</v>
      </c>
      <c r="O1974" t="str">
        <f t="shared" ref="O1974:O2017" si="293">"57311"</f>
        <v>57311</v>
      </c>
      <c r="P1974" t="str">
        <f>"1501L"</f>
        <v>1501L</v>
      </c>
      <c r="Q1974" t="str">
        <f t="shared" si="291"/>
        <v>0101</v>
      </c>
      <c r="R1974">
        <v>1501</v>
      </c>
      <c r="S1974" t="str">
        <f t="shared" ref="S1974:S2017" si="294">"5730"</f>
        <v>5730</v>
      </c>
      <c r="T1974" t="s">
        <v>3614</v>
      </c>
      <c r="U1974" t="s">
        <v>51</v>
      </c>
    </row>
    <row r="1975" spans="1:21" ht="15" customHeight="1" x14ac:dyDescent="0.3">
      <c r="A1975" t="s">
        <v>179</v>
      </c>
      <c r="B1975" t="str">
        <f>"00051763"</f>
        <v>00051763</v>
      </c>
      <c r="C1975" t="s">
        <v>4262</v>
      </c>
      <c r="D1975" t="s">
        <v>1796</v>
      </c>
      <c r="E1975" t="str">
        <f>"00045797"</f>
        <v>00045797</v>
      </c>
      <c r="F1975">
        <v>0</v>
      </c>
      <c r="G1975" s="243">
        <v>35675</v>
      </c>
      <c r="H1975" t="s">
        <v>182</v>
      </c>
      <c r="I1975">
        <v>15</v>
      </c>
      <c r="J1975">
        <v>12</v>
      </c>
      <c r="K1975">
        <v>1</v>
      </c>
      <c r="L1975">
        <v>92613</v>
      </c>
      <c r="M1975" t="str">
        <f t="shared" si="287"/>
        <v>13</v>
      </c>
      <c r="N1975" t="s">
        <v>3323</v>
      </c>
      <c r="O1975" t="str">
        <f t="shared" si="293"/>
        <v>57311</v>
      </c>
      <c r="P1975" t="str">
        <f>"2100L"</f>
        <v>2100L</v>
      </c>
      <c r="Q1975" t="str">
        <f t="shared" si="291"/>
        <v>0101</v>
      </c>
      <c r="R1975">
        <v>2100</v>
      </c>
      <c r="S1975" t="str">
        <f t="shared" si="294"/>
        <v>5730</v>
      </c>
      <c r="T1975" t="s">
        <v>3614</v>
      </c>
      <c r="U1975" t="s">
        <v>51</v>
      </c>
    </row>
    <row r="1976" spans="1:21" ht="15" customHeight="1" x14ac:dyDescent="0.3">
      <c r="A1976" t="s">
        <v>179</v>
      </c>
      <c r="B1976" t="str">
        <f>"00051953"</f>
        <v>00051953</v>
      </c>
      <c r="C1976" t="s">
        <v>4262</v>
      </c>
      <c r="H1976" t="s">
        <v>170</v>
      </c>
      <c r="I1976">
        <v>15</v>
      </c>
      <c r="J1976">
        <v>1</v>
      </c>
      <c r="K1976">
        <v>1</v>
      </c>
      <c r="L1976">
        <v>56693</v>
      </c>
      <c r="M1976" t="str">
        <f t="shared" si="287"/>
        <v>13</v>
      </c>
      <c r="N1976" t="s">
        <v>3323</v>
      </c>
      <c r="O1976" t="str">
        <f t="shared" si="293"/>
        <v>57311</v>
      </c>
      <c r="P1976" t="str">
        <f>"2200L"</f>
        <v>2200L</v>
      </c>
      <c r="Q1976" t="str">
        <f t="shared" si="291"/>
        <v>0101</v>
      </c>
      <c r="R1976">
        <v>2200</v>
      </c>
      <c r="S1976" t="str">
        <f t="shared" si="294"/>
        <v>5730</v>
      </c>
      <c r="T1976" t="s">
        <v>3614</v>
      </c>
      <c r="U1976" t="s">
        <v>51</v>
      </c>
    </row>
    <row r="1977" spans="1:21" ht="15" customHeight="1" x14ac:dyDescent="0.3">
      <c r="A1977" t="s">
        <v>179</v>
      </c>
      <c r="B1977" t="str">
        <f>"00052707"</f>
        <v>00052707</v>
      </c>
      <c r="C1977" t="s">
        <v>4260</v>
      </c>
      <c r="H1977" t="s">
        <v>170</v>
      </c>
      <c r="I1977">
        <v>15</v>
      </c>
      <c r="J1977">
        <v>1</v>
      </c>
      <c r="K1977">
        <v>1</v>
      </c>
      <c r="L1977">
        <v>53256</v>
      </c>
      <c r="M1977" t="str">
        <f t="shared" si="287"/>
        <v>13</v>
      </c>
      <c r="N1977" t="s">
        <v>3323</v>
      </c>
      <c r="O1977" t="str">
        <f t="shared" si="293"/>
        <v>57311</v>
      </c>
      <c r="P1977" t="str">
        <f>"3030L"</f>
        <v>3030L</v>
      </c>
      <c r="Q1977" t="str">
        <f t="shared" si="291"/>
        <v>0101</v>
      </c>
      <c r="R1977">
        <v>3030</v>
      </c>
      <c r="S1977" t="str">
        <f t="shared" si="294"/>
        <v>5730</v>
      </c>
      <c r="T1977" t="s">
        <v>3614</v>
      </c>
      <c r="U1977" t="s">
        <v>51</v>
      </c>
    </row>
    <row r="1978" spans="1:21" ht="15" customHeight="1" x14ac:dyDescent="0.3">
      <c r="A1978" t="s">
        <v>179</v>
      </c>
      <c r="B1978" t="str">
        <f>"00052772"</f>
        <v>00052772</v>
      </c>
      <c r="C1978" t="s">
        <v>4262</v>
      </c>
      <c r="D1978" t="s">
        <v>1797</v>
      </c>
      <c r="E1978" t="str">
        <f>"00049406"</f>
        <v>00049406</v>
      </c>
      <c r="F1978">
        <v>0</v>
      </c>
      <c r="G1978" s="243">
        <v>31694</v>
      </c>
      <c r="H1978" t="s">
        <v>182</v>
      </c>
      <c r="I1978">
        <v>15</v>
      </c>
      <c r="J1978">
        <v>16</v>
      </c>
      <c r="K1978">
        <v>1</v>
      </c>
      <c r="L1978">
        <v>100839</v>
      </c>
      <c r="M1978" t="str">
        <f t="shared" si="287"/>
        <v>13</v>
      </c>
      <c r="N1978" t="s">
        <v>3323</v>
      </c>
      <c r="O1978" t="str">
        <f t="shared" si="293"/>
        <v>57311</v>
      </c>
      <c r="P1978" t="str">
        <f>"2100L"</f>
        <v>2100L</v>
      </c>
      <c r="Q1978" t="str">
        <f t="shared" si="291"/>
        <v>0101</v>
      </c>
      <c r="R1978">
        <v>2100</v>
      </c>
      <c r="S1978" t="str">
        <f t="shared" si="294"/>
        <v>5730</v>
      </c>
      <c r="T1978" t="s">
        <v>3614</v>
      </c>
      <c r="U1978" t="s">
        <v>51</v>
      </c>
    </row>
    <row r="1979" spans="1:21" ht="15" customHeight="1" x14ac:dyDescent="0.3">
      <c r="A1979" t="s">
        <v>179</v>
      </c>
      <c r="B1979" t="str">
        <f>"00053149"</f>
        <v>00053149</v>
      </c>
      <c r="C1979" t="s">
        <v>4272</v>
      </c>
      <c r="D1979" t="s">
        <v>1798</v>
      </c>
      <c r="E1979" t="str">
        <f>"00051025"</f>
        <v>00051025</v>
      </c>
      <c r="F1979">
        <v>0</v>
      </c>
      <c r="G1979" s="243">
        <v>33055</v>
      </c>
      <c r="H1979" t="s">
        <v>182</v>
      </c>
      <c r="I1979">
        <v>15</v>
      </c>
      <c r="J1979">
        <v>16</v>
      </c>
      <c r="K1979">
        <v>1</v>
      </c>
      <c r="L1979">
        <v>100839</v>
      </c>
      <c r="M1979" t="str">
        <f t="shared" si="287"/>
        <v>13</v>
      </c>
      <c r="N1979" t="s">
        <v>3323</v>
      </c>
      <c r="O1979" t="str">
        <f t="shared" si="293"/>
        <v>57311</v>
      </c>
      <c r="P1979" t="str">
        <f>"2200L"</f>
        <v>2200L</v>
      </c>
      <c r="Q1979" t="str">
        <f t="shared" si="291"/>
        <v>0101</v>
      </c>
      <c r="R1979">
        <v>2200</v>
      </c>
      <c r="S1979" t="str">
        <f t="shared" si="294"/>
        <v>5730</v>
      </c>
      <c r="T1979" t="s">
        <v>3614</v>
      </c>
      <c r="U1979" t="s">
        <v>51</v>
      </c>
    </row>
    <row r="1980" spans="1:21" ht="15" customHeight="1" x14ac:dyDescent="0.3">
      <c r="A1980" t="s">
        <v>179</v>
      </c>
      <c r="B1980" t="str">
        <f>"00053299"</f>
        <v>00053299</v>
      </c>
      <c r="C1980" t="s">
        <v>4290</v>
      </c>
      <c r="D1980" t="s">
        <v>4892</v>
      </c>
      <c r="E1980" t="str">
        <f>"00051249"</f>
        <v>00051249</v>
      </c>
      <c r="F1980">
        <v>0</v>
      </c>
      <c r="G1980" s="243">
        <v>34151</v>
      </c>
      <c r="H1980" t="s">
        <v>182</v>
      </c>
      <c r="I1980">
        <v>4</v>
      </c>
      <c r="J1980">
        <v>10</v>
      </c>
      <c r="K1980">
        <v>0.875</v>
      </c>
      <c r="L1980">
        <v>28721</v>
      </c>
      <c r="M1980" t="str">
        <f t="shared" si="287"/>
        <v>13</v>
      </c>
      <c r="N1980" t="s">
        <v>3323</v>
      </c>
      <c r="O1980" t="str">
        <f t="shared" si="293"/>
        <v>57311</v>
      </c>
      <c r="P1980" t="str">
        <f>"3030L"</f>
        <v>3030L</v>
      </c>
      <c r="Q1980" t="str">
        <f t="shared" si="291"/>
        <v>0101</v>
      </c>
      <c r="R1980">
        <v>3030</v>
      </c>
      <c r="S1980" t="str">
        <f t="shared" si="294"/>
        <v>5730</v>
      </c>
      <c r="T1980" t="s">
        <v>3614</v>
      </c>
      <c r="U1980" t="s">
        <v>51</v>
      </c>
    </row>
    <row r="1981" spans="1:21" ht="15" customHeight="1" x14ac:dyDescent="0.3">
      <c r="A1981" t="s">
        <v>179</v>
      </c>
      <c r="B1981" t="str">
        <f>"00053316"</f>
        <v>00053316</v>
      </c>
      <c r="C1981" t="s">
        <v>4253</v>
      </c>
      <c r="D1981" t="s">
        <v>1799</v>
      </c>
      <c r="E1981" t="str">
        <f>"00051287"</f>
        <v>00051287</v>
      </c>
      <c r="F1981">
        <v>0</v>
      </c>
      <c r="G1981" s="243">
        <v>32050</v>
      </c>
      <c r="H1981" t="s">
        <v>182</v>
      </c>
      <c r="I1981">
        <v>15</v>
      </c>
      <c r="J1981">
        <v>16</v>
      </c>
      <c r="K1981">
        <v>1</v>
      </c>
      <c r="L1981">
        <v>100839</v>
      </c>
      <c r="M1981" t="str">
        <f t="shared" si="287"/>
        <v>13</v>
      </c>
      <c r="N1981" t="s">
        <v>3323</v>
      </c>
      <c r="O1981" t="str">
        <f t="shared" si="293"/>
        <v>57311</v>
      </c>
      <c r="P1981" t="str">
        <f>"2100L"</f>
        <v>2100L</v>
      </c>
      <c r="Q1981" t="str">
        <f t="shared" si="291"/>
        <v>0101</v>
      </c>
      <c r="R1981">
        <v>2100</v>
      </c>
      <c r="S1981" t="str">
        <f t="shared" si="294"/>
        <v>5730</v>
      </c>
      <c r="T1981" t="s">
        <v>3614</v>
      </c>
      <c r="U1981" t="s">
        <v>51</v>
      </c>
    </row>
    <row r="1982" spans="1:21" ht="15" customHeight="1" x14ac:dyDescent="0.3">
      <c r="A1982" t="s">
        <v>179</v>
      </c>
      <c r="B1982" t="str">
        <f>"00053426"</f>
        <v>00053426</v>
      </c>
      <c r="C1982" t="s">
        <v>4272</v>
      </c>
      <c r="D1982" t="s">
        <v>1800</v>
      </c>
      <c r="E1982" t="str">
        <f>"00051460"</f>
        <v>00051460</v>
      </c>
      <c r="F1982">
        <v>0</v>
      </c>
      <c r="G1982" s="243">
        <v>34578</v>
      </c>
      <c r="H1982" t="s">
        <v>182</v>
      </c>
      <c r="I1982">
        <v>15</v>
      </c>
      <c r="J1982">
        <v>15</v>
      </c>
      <c r="K1982">
        <v>1</v>
      </c>
      <c r="L1982">
        <v>100792</v>
      </c>
      <c r="M1982" t="str">
        <f t="shared" si="287"/>
        <v>13</v>
      </c>
      <c r="N1982" t="s">
        <v>3323</v>
      </c>
      <c r="O1982" t="str">
        <f t="shared" si="293"/>
        <v>57311</v>
      </c>
      <c r="P1982" t="str">
        <f>"2100L"</f>
        <v>2100L</v>
      </c>
      <c r="Q1982" t="str">
        <f t="shared" si="291"/>
        <v>0101</v>
      </c>
      <c r="R1982">
        <v>2100</v>
      </c>
      <c r="S1982" t="str">
        <f t="shared" si="294"/>
        <v>5730</v>
      </c>
      <c r="T1982" t="s">
        <v>3614</v>
      </c>
      <c r="U1982" t="s">
        <v>51</v>
      </c>
    </row>
    <row r="1983" spans="1:21" ht="15" customHeight="1" x14ac:dyDescent="0.3">
      <c r="A1983" t="s">
        <v>179</v>
      </c>
      <c r="B1983" t="str">
        <f>"00053794"</f>
        <v>00053794</v>
      </c>
      <c r="C1983" t="s">
        <v>4272</v>
      </c>
      <c r="D1983" t="s">
        <v>4893</v>
      </c>
      <c r="E1983" t="str">
        <f>"00070064"</f>
        <v>00070064</v>
      </c>
      <c r="F1983">
        <v>0</v>
      </c>
      <c r="G1983" s="243">
        <v>41133</v>
      </c>
      <c r="H1983" t="s">
        <v>182</v>
      </c>
      <c r="I1983">
        <v>15</v>
      </c>
      <c r="J1983">
        <v>5</v>
      </c>
      <c r="K1983">
        <v>1</v>
      </c>
      <c r="L1983">
        <v>68537</v>
      </c>
      <c r="M1983" t="str">
        <f t="shared" si="287"/>
        <v>13</v>
      </c>
      <c r="N1983" t="s">
        <v>3370</v>
      </c>
      <c r="O1983" t="str">
        <f t="shared" si="293"/>
        <v>57311</v>
      </c>
      <c r="P1983" t="str">
        <f>"2200L"</f>
        <v>2200L</v>
      </c>
      <c r="Q1983" t="str">
        <f t="shared" si="291"/>
        <v>0101</v>
      </c>
      <c r="R1983">
        <v>2200</v>
      </c>
      <c r="S1983" t="str">
        <f t="shared" si="294"/>
        <v>5730</v>
      </c>
      <c r="T1983" t="s">
        <v>3614</v>
      </c>
      <c r="U1983" t="s">
        <v>51</v>
      </c>
    </row>
    <row r="1984" spans="1:21" ht="15" customHeight="1" x14ac:dyDescent="0.3">
      <c r="A1984" t="s">
        <v>179</v>
      </c>
      <c r="B1984" t="str">
        <f>"00054222"</f>
        <v>00054222</v>
      </c>
      <c r="C1984" t="s">
        <v>4288</v>
      </c>
      <c r="D1984" t="s">
        <v>4894</v>
      </c>
      <c r="E1984" t="str">
        <f>"00053295"</f>
        <v>00053295</v>
      </c>
      <c r="F1984">
        <v>0</v>
      </c>
      <c r="G1984" s="243">
        <v>35695</v>
      </c>
      <c r="H1984" t="s">
        <v>182</v>
      </c>
      <c r="I1984">
        <v>4</v>
      </c>
      <c r="J1984">
        <v>10</v>
      </c>
      <c r="K1984">
        <v>0.875</v>
      </c>
      <c r="L1984">
        <v>28721</v>
      </c>
      <c r="M1984" t="str">
        <f t="shared" si="287"/>
        <v>13</v>
      </c>
      <c r="N1984" t="s">
        <v>3323</v>
      </c>
      <c r="O1984" t="str">
        <f t="shared" si="293"/>
        <v>57311</v>
      </c>
      <c r="P1984" t="str">
        <f>"2200L"</f>
        <v>2200L</v>
      </c>
      <c r="Q1984" t="str">
        <f t="shared" si="291"/>
        <v>0101</v>
      </c>
      <c r="R1984">
        <v>2200</v>
      </c>
      <c r="S1984" t="str">
        <f t="shared" si="294"/>
        <v>5730</v>
      </c>
      <c r="T1984" t="s">
        <v>3614</v>
      </c>
      <c r="U1984" t="s">
        <v>51</v>
      </c>
    </row>
    <row r="1985" spans="1:21" ht="15" customHeight="1" x14ac:dyDescent="0.3">
      <c r="A1985" t="s">
        <v>179</v>
      </c>
      <c r="B1985" t="str">
        <f>"00054904"</f>
        <v>00054904</v>
      </c>
      <c r="C1985" t="s">
        <v>4272</v>
      </c>
      <c r="H1985" t="s">
        <v>170</v>
      </c>
      <c r="I1985">
        <v>15</v>
      </c>
      <c r="J1985">
        <v>1</v>
      </c>
      <c r="K1985">
        <v>1</v>
      </c>
      <c r="L1985">
        <v>56693</v>
      </c>
      <c r="M1985" t="str">
        <f t="shared" si="287"/>
        <v>13</v>
      </c>
      <c r="N1985" t="s">
        <v>3323</v>
      </c>
      <c r="O1985" t="str">
        <f t="shared" si="293"/>
        <v>57311</v>
      </c>
      <c r="P1985" t="str">
        <f>"2200L"</f>
        <v>2200L</v>
      </c>
      <c r="Q1985" t="str">
        <f t="shared" si="291"/>
        <v>0101</v>
      </c>
      <c r="R1985">
        <v>2200</v>
      </c>
      <c r="S1985" t="str">
        <f t="shared" si="294"/>
        <v>5730</v>
      </c>
      <c r="T1985" t="s">
        <v>3614</v>
      </c>
      <c r="U1985" t="s">
        <v>51</v>
      </c>
    </row>
    <row r="1986" spans="1:21" ht="15" customHeight="1" x14ac:dyDescent="0.3">
      <c r="A1986" t="s">
        <v>179</v>
      </c>
      <c r="B1986" t="str">
        <f>"00058951"</f>
        <v>00058951</v>
      </c>
      <c r="C1986" t="s">
        <v>4272</v>
      </c>
      <c r="D1986" t="s">
        <v>1801</v>
      </c>
      <c r="E1986" t="str">
        <f>"00048917"</f>
        <v>00048917</v>
      </c>
      <c r="F1986">
        <v>0</v>
      </c>
      <c r="G1986" s="243">
        <v>36795</v>
      </c>
      <c r="H1986" t="s">
        <v>182</v>
      </c>
      <c r="I1986">
        <v>15</v>
      </c>
      <c r="J1986">
        <v>14</v>
      </c>
      <c r="K1986">
        <v>1</v>
      </c>
      <c r="L1986">
        <v>96460</v>
      </c>
      <c r="M1986" t="str">
        <f t="shared" si="287"/>
        <v>13</v>
      </c>
      <c r="N1986" t="s">
        <v>3323</v>
      </c>
      <c r="O1986" t="str">
        <f t="shared" si="293"/>
        <v>57311</v>
      </c>
      <c r="P1986" t="str">
        <f>"2100L"</f>
        <v>2100L</v>
      </c>
      <c r="Q1986" t="str">
        <f t="shared" si="291"/>
        <v>0101</v>
      </c>
      <c r="R1986">
        <v>2100</v>
      </c>
      <c r="S1986" t="str">
        <f t="shared" si="294"/>
        <v>5730</v>
      </c>
      <c r="T1986" t="s">
        <v>3614</v>
      </c>
      <c r="U1986" t="s">
        <v>51</v>
      </c>
    </row>
    <row r="1987" spans="1:21" ht="15" customHeight="1" x14ac:dyDescent="0.3">
      <c r="A1987" t="s">
        <v>179</v>
      </c>
      <c r="B1987" t="str">
        <f>"00058954"</f>
        <v>00058954</v>
      </c>
      <c r="C1987" t="s">
        <v>4262</v>
      </c>
      <c r="D1987" t="s">
        <v>1802</v>
      </c>
      <c r="E1987" t="str">
        <f>"00033856"</f>
        <v>00033856</v>
      </c>
      <c r="F1987">
        <v>0</v>
      </c>
      <c r="G1987" s="243">
        <v>40406</v>
      </c>
      <c r="H1987" t="s">
        <v>182</v>
      </c>
      <c r="I1987">
        <v>15</v>
      </c>
      <c r="J1987">
        <v>2</v>
      </c>
      <c r="K1987">
        <v>1</v>
      </c>
      <c r="L1987">
        <v>56242</v>
      </c>
      <c r="M1987" t="str">
        <f t="shared" si="287"/>
        <v>13</v>
      </c>
      <c r="N1987" t="s">
        <v>3323</v>
      </c>
      <c r="O1987" t="str">
        <f t="shared" si="293"/>
        <v>57311</v>
      </c>
      <c r="P1987" t="str">
        <f>"2100L"</f>
        <v>2100L</v>
      </c>
      <c r="Q1987" t="str">
        <f t="shared" si="291"/>
        <v>0101</v>
      </c>
      <c r="R1987">
        <v>2100</v>
      </c>
      <c r="S1987" t="str">
        <f t="shared" si="294"/>
        <v>5730</v>
      </c>
      <c r="T1987" t="s">
        <v>3614</v>
      </c>
      <c r="U1987" t="s">
        <v>51</v>
      </c>
    </row>
    <row r="1988" spans="1:21" ht="15" customHeight="1" x14ac:dyDescent="0.3">
      <c r="A1988" t="s">
        <v>179</v>
      </c>
      <c r="B1988" t="str">
        <f>"00059611"</f>
        <v>00059611</v>
      </c>
      <c r="C1988" t="s">
        <v>4260</v>
      </c>
      <c r="D1988" t="s">
        <v>1803</v>
      </c>
      <c r="E1988" t="str">
        <f>"00045372"</f>
        <v>00045372</v>
      </c>
      <c r="F1988">
        <v>0</v>
      </c>
      <c r="G1988" s="243">
        <v>38034</v>
      </c>
      <c r="H1988" t="s">
        <v>182</v>
      </c>
      <c r="I1988">
        <v>15</v>
      </c>
      <c r="J1988">
        <v>11</v>
      </c>
      <c r="K1988">
        <v>1</v>
      </c>
      <c r="L1988">
        <v>81335</v>
      </c>
      <c r="M1988" t="str">
        <f t="shared" si="287"/>
        <v>13</v>
      </c>
      <c r="N1988" t="s">
        <v>3323</v>
      </c>
      <c r="O1988" t="str">
        <f t="shared" si="293"/>
        <v>57311</v>
      </c>
      <c r="P1988" t="str">
        <f>"3030L"</f>
        <v>3030L</v>
      </c>
      <c r="Q1988" t="str">
        <f t="shared" si="291"/>
        <v>0101</v>
      </c>
      <c r="R1988">
        <v>3030</v>
      </c>
      <c r="S1988" t="str">
        <f t="shared" si="294"/>
        <v>5730</v>
      </c>
      <c r="T1988" t="s">
        <v>3614</v>
      </c>
      <c r="U1988" t="s">
        <v>51</v>
      </c>
    </row>
    <row r="1989" spans="1:21" ht="15" customHeight="1" x14ac:dyDescent="0.3">
      <c r="A1989" t="s">
        <v>179</v>
      </c>
      <c r="B1989" t="str">
        <f>"00060998"</f>
        <v>00060998</v>
      </c>
      <c r="C1989" t="s">
        <v>4262</v>
      </c>
      <c r="D1989" t="s">
        <v>1804</v>
      </c>
      <c r="E1989" t="str">
        <f>"00053729"</f>
        <v>00053729</v>
      </c>
      <c r="F1989">
        <v>0</v>
      </c>
      <c r="G1989" s="243">
        <v>39055</v>
      </c>
      <c r="H1989" t="s">
        <v>182</v>
      </c>
      <c r="I1989">
        <v>15</v>
      </c>
      <c r="J1989">
        <v>5</v>
      </c>
      <c r="K1989">
        <v>1</v>
      </c>
      <c r="L1989">
        <v>63611</v>
      </c>
      <c r="M1989" t="str">
        <f t="shared" si="287"/>
        <v>13</v>
      </c>
      <c r="N1989" t="s">
        <v>3323</v>
      </c>
      <c r="O1989" t="str">
        <f t="shared" si="293"/>
        <v>57311</v>
      </c>
      <c r="P1989" t="str">
        <f>"2100L"</f>
        <v>2100L</v>
      </c>
      <c r="Q1989" t="str">
        <f t="shared" si="291"/>
        <v>0101</v>
      </c>
      <c r="R1989">
        <v>2100</v>
      </c>
      <c r="S1989" t="str">
        <f t="shared" si="294"/>
        <v>5730</v>
      </c>
      <c r="T1989" t="s">
        <v>3614</v>
      </c>
      <c r="U1989" t="s">
        <v>51</v>
      </c>
    </row>
    <row r="1990" spans="1:21" ht="15" customHeight="1" x14ac:dyDescent="0.3">
      <c r="A1990" t="s">
        <v>179</v>
      </c>
      <c r="B1990" t="str">
        <f>"00061228"</f>
        <v>00061228</v>
      </c>
      <c r="C1990" t="s">
        <v>4262</v>
      </c>
      <c r="D1990" t="s">
        <v>1805</v>
      </c>
      <c r="E1990" t="str">
        <f>"00045044"</f>
        <v>00045044</v>
      </c>
      <c r="F1990">
        <v>0</v>
      </c>
      <c r="G1990" s="243">
        <v>39314</v>
      </c>
      <c r="H1990" t="s">
        <v>182</v>
      </c>
      <c r="I1990">
        <v>15</v>
      </c>
      <c r="J1990">
        <v>6</v>
      </c>
      <c r="K1990">
        <v>1</v>
      </c>
      <c r="L1990">
        <v>68537</v>
      </c>
      <c r="M1990" t="str">
        <f t="shared" si="287"/>
        <v>13</v>
      </c>
      <c r="N1990" t="s">
        <v>3323</v>
      </c>
      <c r="O1990" t="str">
        <f t="shared" si="293"/>
        <v>57311</v>
      </c>
      <c r="P1990" t="str">
        <f>"2100L"</f>
        <v>2100L</v>
      </c>
      <c r="Q1990" t="str">
        <f t="shared" si="291"/>
        <v>0101</v>
      </c>
      <c r="R1990">
        <v>2100</v>
      </c>
      <c r="S1990" t="str">
        <f t="shared" si="294"/>
        <v>5730</v>
      </c>
      <c r="T1990" t="s">
        <v>3614</v>
      </c>
      <c r="U1990" t="s">
        <v>51</v>
      </c>
    </row>
    <row r="1991" spans="1:21" ht="15" customHeight="1" x14ac:dyDescent="0.3">
      <c r="A1991" t="s">
        <v>179</v>
      </c>
      <c r="B1991" t="str">
        <f>"00061610"</f>
        <v>00061610</v>
      </c>
      <c r="C1991" t="s">
        <v>4274</v>
      </c>
      <c r="D1991" t="s">
        <v>4895</v>
      </c>
      <c r="E1991" t="str">
        <f>"00051840"</f>
        <v>00051840</v>
      </c>
      <c r="F1991">
        <v>0</v>
      </c>
      <c r="G1991" s="243">
        <v>39356</v>
      </c>
      <c r="H1991" t="s">
        <v>182</v>
      </c>
      <c r="I1991">
        <v>4</v>
      </c>
      <c r="J1991">
        <v>7</v>
      </c>
      <c r="K1991">
        <v>0.875</v>
      </c>
      <c r="L1991">
        <v>26633.25</v>
      </c>
      <c r="M1991" t="str">
        <f t="shared" si="287"/>
        <v>13</v>
      </c>
      <c r="N1991" t="s">
        <v>3323</v>
      </c>
      <c r="O1991" t="str">
        <f t="shared" si="293"/>
        <v>57311</v>
      </c>
      <c r="P1991" t="str">
        <f>"2200L"</f>
        <v>2200L</v>
      </c>
      <c r="Q1991" t="str">
        <f t="shared" si="291"/>
        <v>0101</v>
      </c>
      <c r="R1991">
        <v>2200</v>
      </c>
      <c r="S1991" t="str">
        <f t="shared" si="294"/>
        <v>5730</v>
      </c>
      <c r="T1991" t="s">
        <v>3614</v>
      </c>
      <c r="U1991" t="s">
        <v>51</v>
      </c>
    </row>
    <row r="1992" spans="1:21" ht="15" customHeight="1" x14ac:dyDescent="0.3">
      <c r="A1992" t="s">
        <v>179</v>
      </c>
      <c r="B1992" t="str">
        <f>"00061636"</f>
        <v>00061636</v>
      </c>
      <c r="C1992" t="s">
        <v>4272</v>
      </c>
      <c r="D1992" t="s">
        <v>1806</v>
      </c>
      <c r="E1992" t="str">
        <f>"00045858"</f>
        <v>00045858</v>
      </c>
      <c r="F1992">
        <v>0</v>
      </c>
      <c r="G1992" s="243">
        <v>39324</v>
      </c>
      <c r="H1992" t="s">
        <v>182</v>
      </c>
      <c r="I1992">
        <v>15</v>
      </c>
      <c r="J1992">
        <v>7</v>
      </c>
      <c r="K1992">
        <v>1</v>
      </c>
      <c r="L1992">
        <v>69132</v>
      </c>
      <c r="M1992" t="str">
        <f t="shared" si="287"/>
        <v>13</v>
      </c>
      <c r="N1992" t="s">
        <v>3323</v>
      </c>
      <c r="O1992" t="str">
        <f t="shared" si="293"/>
        <v>57311</v>
      </c>
      <c r="P1992" t="str">
        <f>"2200L"</f>
        <v>2200L</v>
      </c>
      <c r="Q1992" t="str">
        <f t="shared" si="291"/>
        <v>0101</v>
      </c>
      <c r="R1992">
        <v>2200</v>
      </c>
      <c r="S1992" t="str">
        <f t="shared" si="294"/>
        <v>5730</v>
      </c>
      <c r="T1992" t="s">
        <v>3614</v>
      </c>
      <c r="U1992" t="s">
        <v>51</v>
      </c>
    </row>
    <row r="1993" spans="1:21" ht="15" customHeight="1" x14ac:dyDescent="0.3">
      <c r="A1993" t="s">
        <v>179</v>
      </c>
      <c r="B1993" t="str">
        <f>"00061766"</f>
        <v>00061766</v>
      </c>
      <c r="C1993" t="s">
        <v>4288</v>
      </c>
      <c r="D1993" t="s">
        <v>4896</v>
      </c>
      <c r="E1993" t="str">
        <f>"00053843"</f>
        <v>00053843</v>
      </c>
      <c r="F1993">
        <v>0</v>
      </c>
      <c r="G1993" s="243">
        <v>40406</v>
      </c>
      <c r="H1993" t="s">
        <v>182</v>
      </c>
      <c r="I1993">
        <v>4</v>
      </c>
      <c r="J1993">
        <v>5</v>
      </c>
      <c r="K1993">
        <v>0.875</v>
      </c>
      <c r="L1993">
        <v>25239.37</v>
      </c>
      <c r="M1993" t="str">
        <f t="shared" si="287"/>
        <v>13</v>
      </c>
      <c r="N1993" t="s">
        <v>3370</v>
      </c>
      <c r="O1993" t="str">
        <f t="shared" si="293"/>
        <v>57311</v>
      </c>
      <c r="P1993" t="str">
        <f>"2200L"</f>
        <v>2200L</v>
      </c>
      <c r="Q1993" t="str">
        <f t="shared" si="291"/>
        <v>0101</v>
      </c>
      <c r="R1993">
        <v>2200</v>
      </c>
      <c r="S1993" t="str">
        <f t="shared" si="294"/>
        <v>5730</v>
      </c>
      <c r="T1993" t="s">
        <v>3614</v>
      </c>
      <c r="U1993" t="s">
        <v>51</v>
      </c>
    </row>
    <row r="1994" spans="1:21" ht="15" customHeight="1" x14ac:dyDescent="0.3">
      <c r="A1994" t="s">
        <v>179</v>
      </c>
      <c r="B1994" t="str">
        <f>"00062078"</f>
        <v>00062078</v>
      </c>
      <c r="C1994" t="s">
        <v>4274</v>
      </c>
      <c r="D1994" t="s">
        <v>4897</v>
      </c>
      <c r="E1994" t="str">
        <f>"00052117"</f>
        <v>00052117</v>
      </c>
      <c r="F1994">
        <v>0</v>
      </c>
      <c r="G1994" s="243">
        <v>39679</v>
      </c>
      <c r="H1994" t="s">
        <v>182</v>
      </c>
      <c r="I1994">
        <v>4</v>
      </c>
      <c r="J1994">
        <v>6</v>
      </c>
      <c r="K1994">
        <v>0.875</v>
      </c>
      <c r="L1994">
        <v>25935.88</v>
      </c>
      <c r="M1994" t="str">
        <f t="shared" si="287"/>
        <v>13</v>
      </c>
      <c r="N1994" t="s">
        <v>3323</v>
      </c>
      <c r="O1994" t="str">
        <f t="shared" si="293"/>
        <v>57311</v>
      </c>
      <c r="P1994" t="str">
        <f>"2200L"</f>
        <v>2200L</v>
      </c>
      <c r="Q1994" t="str">
        <f t="shared" si="291"/>
        <v>0101</v>
      </c>
      <c r="R1994">
        <v>2200</v>
      </c>
      <c r="S1994" t="str">
        <f t="shared" si="294"/>
        <v>5730</v>
      </c>
      <c r="T1994" t="s">
        <v>3614</v>
      </c>
      <c r="U1994" t="s">
        <v>51</v>
      </c>
    </row>
    <row r="1995" spans="1:21" ht="15" customHeight="1" x14ac:dyDescent="0.3">
      <c r="A1995" t="s">
        <v>179</v>
      </c>
      <c r="B1995" t="str">
        <f>"00062249"</f>
        <v>00062249</v>
      </c>
      <c r="C1995" t="s">
        <v>4254</v>
      </c>
      <c r="D1995" t="s">
        <v>1807</v>
      </c>
      <c r="E1995" t="str">
        <f>"00045752"</f>
        <v>00045752</v>
      </c>
      <c r="F1995">
        <v>0</v>
      </c>
      <c r="G1995" s="243">
        <v>39679</v>
      </c>
      <c r="H1995" t="s">
        <v>182</v>
      </c>
      <c r="I1995">
        <v>15</v>
      </c>
      <c r="J1995">
        <v>10</v>
      </c>
      <c r="K1995">
        <v>1</v>
      </c>
      <c r="L1995">
        <v>70879</v>
      </c>
      <c r="M1995" t="str">
        <f t="shared" si="287"/>
        <v>13</v>
      </c>
      <c r="N1995" t="s">
        <v>3323</v>
      </c>
      <c r="O1995" t="str">
        <f t="shared" si="293"/>
        <v>57311</v>
      </c>
      <c r="P1995" t="str">
        <f>"2100L"</f>
        <v>2100L</v>
      </c>
      <c r="Q1995" t="str">
        <f t="shared" si="291"/>
        <v>0101</v>
      </c>
      <c r="R1995">
        <v>2100</v>
      </c>
      <c r="S1995" t="str">
        <f t="shared" si="294"/>
        <v>5730</v>
      </c>
      <c r="T1995" t="s">
        <v>3614</v>
      </c>
      <c r="U1995" t="s">
        <v>51</v>
      </c>
    </row>
    <row r="1996" spans="1:21" ht="15" customHeight="1" x14ac:dyDescent="0.3">
      <c r="A1996" t="s">
        <v>179</v>
      </c>
      <c r="B1996" t="str">
        <f>"00062600"</f>
        <v>00062600</v>
      </c>
      <c r="C1996" t="s">
        <v>4290</v>
      </c>
      <c r="H1996" t="s">
        <v>170</v>
      </c>
      <c r="I1996">
        <v>4</v>
      </c>
      <c r="J1996">
        <v>1</v>
      </c>
      <c r="K1996">
        <v>0.875</v>
      </c>
      <c r="L1996">
        <v>25662</v>
      </c>
      <c r="M1996" t="str">
        <f t="shared" si="287"/>
        <v>13</v>
      </c>
      <c r="N1996" t="s">
        <v>3323</v>
      </c>
      <c r="O1996" t="str">
        <f t="shared" si="293"/>
        <v>57311</v>
      </c>
      <c r="P1996" t="str">
        <f>"2200L"</f>
        <v>2200L</v>
      </c>
      <c r="Q1996" t="str">
        <f t="shared" si="291"/>
        <v>0101</v>
      </c>
      <c r="R1996">
        <v>2200</v>
      </c>
      <c r="S1996" t="str">
        <f t="shared" si="294"/>
        <v>5730</v>
      </c>
      <c r="T1996" t="s">
        <v>3614</v>
      </c>
      <c r="U1996" t="s">
        <v>51</v>
      </c>
    </row>
    <row r="1997" spans="1:21" ht="15" customHeight="1" x14ac:dyDescent="0.3">
      <c r="A1997" t="s">
        <v>179</v>
      </c>
      <c r="B1997" t="str">
        <f>"00063058"</f>
        <v>00063058</v>
      </c>
      <c r="C1997" t="s">
        <v>4272</v>
      </c>
      <c r="D1997" t="s">
        <v>2594</v>
      </c>
      <c r="E1997" t="str">
        <f>"00062670"</f>
        <v>00062670</v>
      </c>
      <c r="F1997">
        <v>0</v>
      </c>
      <c r="G1997" s="243">
        <v>40406</v>
      </c>
      <c r="H1997" t="s">
        <v>182</v>
      </c>
      <c r="I1997">
        <v>15</v>
      </c>
      <c r="J1997">
        <v>2</v>
      </c>
      <c r="K1997">
        <v>1</v>
      </c>
      <c r="L1997">
        <v>51716</v>
      </c>
      <c r="M1997" t="str">
        <f t="shared" si="287"/>
        <v>13</v>
      </c>
      <c r="N1997" t="s">
        <v>3323</v>
      </c>
      <c r="O1997" t="str">
        <f t="shared" si="293"/>
        <v>57311</v>
      </c>
      <c r="P1997" t="str">
        <f>"2100L"</f>
        <v>2100L</v>
      </c>
      <c r="Q1997" t="str">
        <f t="shared" si="291"/>
        <v>0101</v>
      </c>
      <c r="R1997">
        <v>2100</v>
      </c>
      <c r="S1997" t="str">
        <f t="shared" si="294"/>
        <v>5730</v>
      </c>
      <c r="T1997" t="s">
        <v>3614</v>
      </c>
      <c r="U1997" t="s">
        <v>51</v>
      </c>
    </row>
    <row r="1998" spans="1:21" ht="15" customHeight="1" x14ac:dyDescent="0.3">
      <c r="A1998" t="s">
        <v>179</v>
      </c>
      <c r="B1998" t="str">
        <f>"00063096"</f>
        <v>00063096</v>
      </c>
      <c r="C1998" t="s">
        <v>4274</v>
      </c>
      <c r="D1998" t="s">
        <v>4898</v>
      </c>
      <c r="E1998" t="str">
        <f>"00058136"</f>
        <v>00058136</v>
      </c>
      <c r="F1998">
        <v>0</v>
      </c>
      <c r="G1998" s="243">
        <v>41161</v>
      </c>
      <c r="H1998" t="s">
        <v>182</v>
      </c>
      <c r="I1998">
        <v>4</v>
      </c>
      <c r="J1998">
        <v>6</v>
      </c>
      <c r="K1998">
        <v>0.875</v>
      </c>
      <c r="L1998">
        <v>25935.88</v>
      </c>
      <c r="M1998" t="str">
        <f t="shared" si="287"/>
        <v>13</v>
      </c>
      <c r="N1998" t="s">
        <v>3370</v>
      </c>
      <c r="O1998" t="str">
        <f t="shared" si="293"/>
        <v>57311</v>
      </c>
      <c r="P1998" t="str">
        <f>"3030L"</f>
        <v>3030L</v>
      </c>
      <c r="Q1998" t="str">
        <f t="shared" si="291"/>
        <v>0101</v>
      </c>
      <c r="R1998">
        <v>3030</v>
      </c>
      <c r="S1998" t="str">
        <f t="shared" si="294"/>
        <v>5730</v>
      </c>
      <c r="T1998" t="s">
        <v>3614</v>
      </c>
      <c r="U1998" t="s">
        <v>51</v>
      </c>
    </row>
    <row r="1999" spans="1:21" ht="15" customHeight="1" x14ac:dyDescent="0.3">
      <c r="A1999" t="s">
        <v>179</v>
      </c>
      <c r="B1999" t="str">
        <f>"00065813"</f>
        <v>00065813</v>
      </c>
      <c r="C1999" t="s">
        <v>4288</v>
      </c>
      <c r="H1999" t="s">
        <v>170</v>
      </c>
      <c r="I1999">
        <v>4</v>
      </c>
      <c r="J1999">
        <v>1</v>
      </c>
      <c r="K1999">
        <v>1</v>
      </c>
      <c r="L1999">
        <v>25662</v>
      </c>
      <c r="M1999" t="str">
        <f t="shared" si="287"/>
        <v>13</v>
      </c>
      <c r="N1999" t="s">
        <v>3323</v>
      </c>
      <c r="O1999" t="str">
        <f t="shared" si="293"/>
        <v>57311</v>
      </c>
      <c r="P1999" t="str">
        <f>"2200L"</f>
        <v>2200L</v>
      </c>
      <c r="Q1999" t="str">
        <f t="shared" si="291"/>
        <v>0101</v>
      </c>
      <c r="R1999">
        <v>2200</v>
      </c>
      <c r="S1999" t="str">
        <f t="shared" si="294"/>
        <v>5730</v>
      </c>
      <c r="T1999" t="s">
        <v>3614</v>
      </c>
      <c r="U1999" t="s">
        <v>51</v>
      </c>
    </row>
    <row r="2000" spans="1:21" ht="15" customHeight="1" x14ac:dyDescent="0.3">
      <c r="A2000" t="s">
        <v>179</v>
      </c>
      <c r="B2000" t="str">
        <f>"00066591"</f>
        <v>00066591</v>
      </c>
      <c r="C2000" t="s">
        <v>4262</v>
      </c>
      <c r="D2000" t="s">
        <v>4899</v>
      </c>
      <c r="E2000" t="str">
        <f>"00067779"</f>
        <v>00067779</v>
      </c>
      <c r="F2000">
        <v>0</v>
      </c>
      <c r="G2000" s="243">
        <v>40952</v>
      </c>
      <c r="H2000" t="s">
        <v>182</v>
      </c>
      <c r="I2000">
        <v>15</v>
      </c>
      <c r="J2000">
        <v>4</v>
      </c>
      <c r="K2000">
        <v>1</v>
      </c>
      <c r="L2000">
        <v>61158</v>
      </c>
      <c r="M2000" t="str">
        <f t="shared" si="287"/>
        <v>13</v>
      </c>
      <c r="N2000" t="s">
        <v>3323</v>
      </c>
      <c r="O2000" t="str">
        <f t="shared" si="293"/>
        <v>57311</v>
      </c>
      <c r="P2000" t="str">
        <f>"2100L"</f>
        <v>2100L</v>
      </c>
      <c r="Q2000" t="str">
        <f t="shared" si="291"/>
        <v>0101</v>
      </c>
      <c r="R2000">
        <v>2100</v>
      </c>
      <c r="S2000" t="str">
        <f t="shared" si="294"/>
        <v>5730</v>
      </c>
      <c r="T2000" t="s">
        <v>3614</v>
      </c>
      <c r="U2000" t="s">
        <v>51</v>
      </c>
    </row>
    <row r="2001" spans="1:21" ht="15" customHeight="1" x14ac:dyDescent="0.3">
      <c r="A2001" t="s">
        <v>179</v>
      </c>
      <c r="B2001" t="str">
        <f>"00066592"</f>
        <v>00066592</v>
      </c>
      <c r="C2001" t="s">
        <v>4262</v>
      </c>
      <c r="D2001" t="s">
        <v>4900</v>
      </c>
      <c r="E2001" t="str">
        <f>"00056071"</f>
        <v>00056071</v>
      </c>
      <c r="F2001">
        <v>0</v>
      </c>
      <c r="G2001" s="243">
        <v>40042</v>
      </c>
      <c r="H2001" t="s">
        <v>182</v>
      </c>
      <c r="I2001">
        <v>15</v>
      </c>
      <c r="J2001">
        <v>4</v>
      </c>
      <c r="K2001">
        <v>1</v>
      </c>
      <c r="L2001">
        <v>54725</v>
      </c>
      <c r="M2001" t="str">
        <f t="shared" si="287"/>
        <v>13</v>
      </c>
      <c r="N2001" t="s">
        <v>3323</v>
      </c>
      <c r="O2001" t="str">
        <f t="shared" si="293"/>
        <v>57311</v>
      </c>
      <c r="P2001" t="str">
        <f>"2100L"</f>
        <v>2100L</v>
      </c>
      <c r="Q2001" t="str">
        <f t="shared" si="291"/>
        <v>0101</v>
      </c>
      <c r="R2001">
        <v>2100</v>
      </c>
      <c r="S2001" t="str">
        <f t="shared" si="294"/>
        <v>5730</v>
      </c>
      <c r="T2001" t="s">
        <v>3614</v>
      </c>
      <c r="U2001" t="s">
        <v>51</v>
      </c>
    </row>
    <row r="2002" spans="1:21" ht="15" customHeight="1" x14ac:dyDescent="0.3">
      <c r="A2002" t="s">
        <v>179</v>
      </c>
      <c r="B2002" t="str">
        <f>"00066593"</f>
        <v>00066593</v>
      </c>
      <c r="C2002" t="s">
        <v>4272</v>
      </c>
      <c r="D2002" t="s">
        <v>1808</v>
      </c>
      <c r="E2002" t="str">
        <f>"00053554"</f>
        <v>00053554</v>
      </c>
      <c r="F2002">
        <v>0</v>
      </c>
      <c r="G2002" s="243">
        <v>40042</v>
      </c>
      <c r="H2002" t="s">
        <v>182</v>
      </c>
      <c r="I2002">
        <v>15</v>
      </c>
      <c r="J2002">
        <v>4</v>
      </c>
      <c r="K2002">
        <v>1</v>
      </c>
      <c r="L2002">
        <v>57147</v>
      </c>
      <c r="M2002" t="str">
        <f t="shared" si="287"/>
        <v>13</v>
      </c>
      <c r="N2002" t="s">
        <v>3323</v>
      </c>
      <c r="O2002" t="str">
        <f t="shared" si="293"/>
        <v>57311</v>
      </c>
      <c r="P2002" t="str">
        <f>"2100L"</f>
        <v>2100L</v>
      </c>
      <c r="Q2002" t="str">
        <f t="shared" si="291"/>
        <v>0101</v>
      </c>
      <c r="R2002">
        <v>2100</v>
      </c>
      <c r="S2002" t="str">
        <f t="shared" si="294"/>
        <v>5730</v>
      </c>
      <c r="T2002" t="s">
        <v>3614</v>
      </c>
      <c r="U2002" t="s">
        <v>51</v>
      </c>
    </row>
    <row r="2003" spans="1:21" ht="15" customHeight="1" x14ac:dyDescent="0.3">
      <c r="A2003" t="s">
        <v>179</v>
      </c>
      <c r="B2003" t="str">
        <f>"00066594"</f>
        <v>00066594</v>
      </c>
      <c r="C2003" t="s">
        <v>4262</v>
      </c>
      <c r="D2003" t="s">
        <v>1809</v>
      </c>
      <c r="E2003" t="str">
        <f>"00046122"</f>
        <v>00046122</v>
      </c>
      <c r="F2003">
        <v>0</v>
      </c>
      <c r="G2003" s="243">
        <v>35004</v>
      </c>
      <c r="H2003" t="s">
        <v>182</v>
      </c>
      <c r="I2003">
        <v>15</v>
      </c>
      <c r="J2003">
        <v>16</v>
      </c>
      <c r="K2003">
        <v>1</v>
      </c>
      <c r="L2003">
        <v>100839</v>
      </c>
      <c r="M2003" t="str">
        <f t="shared" si="287"/>
        <v>13</v>
      </c>
      <c r="N2003" t="s">
        <v>3323</v>
      </c>
      <c r="O2003" t="str">
        <f t="shared" si="293"/>
        <v>57311</v>
      </c>
      <c r="P2003" t="str">
        <f>"2100L"</f>
        <v>2100L</v>
      </c>
      <c r="Q2003" t="str">
        <f t="shared" si="291"/>
        <v>0101</v>
      </c>
      <c r="R2003">
        <v>2100</v>
      </c>
      <c r="S2003" t="str">
        <f t="shared" si="294"/>
        <v>5730</v>
      </c>
      <c r="T2003" t="s">
        <v>3614</v>
      </c>
      <c r="U2003" t="s">
        <v>51</v>
      </c>
    </row>
    <row r="2004" spans="1:21" ht="15" customHeight="1" x14ac:dyDescent="0.3">
      <c r="A2004" t="s">
        <v>179</v>
      </c>
      <c r="B2004" t="str">
        <f>"00066595"</f>
        <v>00066595</v>
      </c>
      <c r="C2004" t="s">
        <v>4262</v>
      </c>
      <c r="D2004" t="s">
        <v>1810</v>
      </c>
      <c r="E2004" t="str">
        <f>"00057017"</f>
        <v>00057017</v>
      </c>
      <c r="F2004">
        <v>0</v>
      </c>
      <c r="G2004" s="243">
        <v>40042</v>
      </c>
      <c r="H2004" t="s">
        <v>182</v>
      </c>
      <c r="I2004">
        <v>15</v>
      </c>
      <c r="J2004">
        <v>3</v>
      </c>
      <c r="K2004">
        <v>1</v>
      </c>
      <c r="L2004">
        <v>52777</v>
      </c>
      <c r="M2004" t="str">
        <f t="shared" si="287"/>
        <v>13</v>
      </c>
      <c r="N2004" t="s">
        <v>3323</v>
      </c>
      <c r="O2004" t="str">
        <f t="shared" si="293"/>
        <v>57311</v>
      </c>
      <c r="P2004" t="str">
        <f>"2100L"</f>
        <v>2100L</v>
      </c>
      <c r="Q2004" t="str">
        <f t="shared" si="291"/>
        <v>0101</v>
      </c>
      <c r="R2004">
        <v>2100</v>
      </c>
      <c r="S2004" t="str">
        <f t="shared" si="294"/>
        <v>5730</v>
      </c>
      <c r="T2004" t="s">
        <v>3614</v>
      </c>
      <c r="U2004" t="s">
        <v>51</v>
      </c>
    </row>
    <row r="2005" spans="1:21" ht="15" customHeight="1" x14ac:dyDescent="0.3">
      <c r="A2005" t="s">
        <v>179</v>
      </c>
      <c r="B2005" t="str">
        <f>"00072103"</f>
        <v>00072103</v>
      </c>
      <c r="C2005" t="s">
        <v>4274</v>
      </c>
      <c r="D2005" t="s">
        <v>4901</v>
      </c>
      <c r="E2005" t="str">
        <f>"00061338"</f>
        <v>00061338</v>
      </c>
      <c r="F2005">
        <v>0</v>
      </c>
      <c r="G2005" s="243">
        <v>40346</v>
      </c>
      <c r="H2005" t="s">
        <v>182</v>
      </c>
      <c r="I2005">
        <v>4</v>
      </c>
      <c r="J2005">
        <v>5</v>
      </c>
      <c r="K2005">
        <v>1</v>
      </c>
      <c r="L2005">
        <v>25239.37</v>
      </c>
      <c r="M2005" t="str">
        <f t="shared" si="287"/>
        <v>13</v>
      </c>
      <c r="N2005" t="s">
        <v>3323</v>
      </c>
      <c r="O2005" t="str">
        <f t="shared" si="293"/>
        <v>57311</v>
      </c>
      <c r="P2005" t="str">
        <f>"2200L"</f>
        <v>2200L</v>
      </c>
      <c r="Q2005" t="str">
        <f t="shared" si="291"/>
        <v>0101</v>
      </c>
      <c r="R2005">
        <v>2200</v>
      </c>
      <c r="S2005" t="str">
        <f t="shared" si="294"/>
        <v>5730</v>
      </c>
      <c r="T2005" t="s">
        <v>3614</v>
      </c>
      <c r="U2005" t="s">
        <v>51</v>
      </c>
    </row>
    <row r="2006" spans="1:21" ht="15" customHeight="1" x14ac:dyDescent="0.3">
      <c r="A2006" t="s">
        <v>179</v>
      </c>
      <c r="B2006" t="str">
        <f>"00072808"</f>
        <v>00072808</v>
      </c>
      <c r="C2006" t="s">
        <v>4291</v>
      </c>
      <c r="D2006" t="s">
        <v>949</v>
      </c>
      <c r="E2006" t="str">
        <f>"00045546"</f>
        <v>00045546</v>
      </c>
      <c r="F2006">
        <v>0</v>
      </c>
      <c r="G2006" s="243">
        <v>41205</v>
      </c>
      <c r="H2006" t="s">
        <v>182</v>
      </c>
      <c r="I2006">
        <v>15</v>
      </c>
      <c r="J2006">
        <v>12</v>
      </c>
      <c r="K2006">
        <v>0.5</v>
      </c>
      <c r="L2006">
        <v>89887</v>
      </c>
      <c r="M2006" t="str">
        <f t="shared" si="287"/>
        <v>13</v>
      </c>
      <c r="N2006" t="s">
        <v>3323</v>
      </c>
      <c r="O2006" t="str">
        <f t="shared" si="293"/>
        <v>57311</v>
      </c>
      <c r="P2006" t="str">
        <f>"2100L"</f>
        <v>2100L</v>
      </c>
      <c r="Q2006" t="str">
        <f t="shared" si="291"/>
        <v>0101</v>
      </c>
      <c r="R2006">
        <v>2100</v>
      </c>
      <c r="S2006" t="str">
        <f t="shared" si="294"/>
        <v>5730</v>
      </c>
      <c r="T2006" t="s">
        <v>3472</v>
      </c>
      <c r="U2006" t="s">
        <v>2542</v>
      </c>
    </row>
    <row r="2007" spans="1:21" ht="15" customHeight="1" x14ac:dyDescent="0.3">
      <c r="A2007" t="s">
        <v>179</v>
      </c>
      <c r="B2007" t="str">
        <f>"00073901"</f>
        <v>00073901</v>
      </c>
      <c r="C2007" t="s">
        <v>4306</v>
      </c>
      <c r="D2007" t="s">
        <v>4902</v>
      </c>
      <c r="E2007" t="str">
        <f>"00056930"</f>
        <v>00056930</v>
      </c>
      <c r="F2007">
        <v>0</v>
      </c>
      <c r="G2007" s="243">
        <v>40405</v>
      </c>
      <c r="H2007" t="s">
        <v>182</v>
      </c>
      <c r="I2007">
        <v>9</v>
      </c>
      <c r="J2007">
        <v>2</v>
      </c>
      <c r="K2007">
        <v>1</v>
      </c>
      <c r="L2007">
        <v>34226</v>
      </c>
      <c r="M2007" t="str">
        <f t="shared" ref="M2007:M2063" si="295">"13"</f>
        <v>13</v>
      </c>
      <c r="N2007" t="s">
        <v>3323</v>
      </c>
      <c r="O2007" t="str">
        <f t="shared" si="293"/>
        <v>57311</v>
      </c>
      <c r="P2007" t="str">
        <f>"1502L"</f>
        <v>1502L</v>
      </c>
      <c r="Q2007" t="str">
        <f t="shared" si="291"/>
        <v>0101</v>
      </c>
      <c r="R2007">
        <v>1502</v>
      </c>
      <c r="S2007" t="str">
        <f t="shared" si="294"/>
        <v>5730</v>
      </c>
      <c r="T2007" t="s">
        <v>3614</v>
      </c>
      <c r="U2007" t="s">
        <v>51</v>
      </c>
    </row>
    <row r="2008" spans="1:21" ht="15" customHeight="1" x14ac:dyDescent="0.3">
      <c r="A2008" t="s">
        <v>179</v>
      </c>
      <c r="B2008" t="str">
        <f>"00073902"</f>
        <v>00073902</v>
      </c>
      <c r="C2008" t="s">
        <v>4360</v>
      </c>
      <c r="D2008" t="s">
        <v>4903</v>
      </c>
      <c r="E2008" t="str">
        <f>"00063935"</f>
        <v>00063935</v>
      </c>
      <c r="F2008">
        <v>0</v>
      </c>
      <c r="G2008" s="243">
        <v>40490</v>
      </c>
      <c r="H2008" t="s">
        <v>182</v>
      </c>
      <c r="I2008">
        <v>7</v>
      </c>
      <c r="J2008">
        <v>7</v>
      </c>
      <c r="K2008">
        <v>1</v>
      </c>
      <c r="L2008">
        <v>41514</v>
      </c>
      <c r="M2008" t="str">
        <f t="shared" si="295"/>
        <v>13</v>
      </c>
      <c r="N2008" t="s">
        <v>3323</v>
      </c>
      <c r="O2008" t="str">
        <f t="shared" si="293"/>
        <v>57311</v>
      </c>
      <c r="P2008" t="str">
        <f>"1502L"</f>
        <v>1502L</v>
      </c>
      <c r="Q2008" t="str">
        <f t="shared" si="291"/>
        <v>0101</v>
      </c>
      <c r="R2008">
        <v>1502</v>
      </c>
      <c r="S2008" t="str">
        <f t="shared" si="294"/>
        <v>5730</v>
      </c>
      <c r="T2008" t="s">
        <v>3614</v>
      </c>
      <c r="U2008" t="s">
        <v>51</v>
      </c>
    </row>
    <row r="2009" spans="1:21" ht="15" customHeight="1" x14ac:dyDescent="0.3">
      <c r="A2009" t="s">
        <v>179</v>
      </c>
      <c r="B2009" t="str">
        <f>"00073904"</f>
        <v>00073904</v>
      </c>
      <c r="C2009" t="s">
        <v>4272</v>
      </c>
      <c r="D2009" t="s">
        <v>3616</v>
      </c>
      <c r="E2009" t="str">
        <f>"00065647"</f>
        <v>00065647</v>
      </c>
      <c r="F2009">
        <v>0</v>
      </c>
      <c r="G2009" s="243">
        <v>40755</v>
      </c>
      <c r="H2009" t="s">
        <v>182</v>
      </c>
      <c r="I2009">
        <v>15</v>
      </c>
      <c r="J2009">
        <v>3</v>
      </c>
      <c r="K2009">
        <v>1</v>
      </c>
      <c r="L2009">
        <v>58699</v>
      </c>
      <c r="M2009" t="str">
        <f t="shared" si="295"/>
        <v>13</v>
      </c>
      <c r="N2009" t="s">
        <v>3323</v>
      </c>
      <c r="O2009" t="str">
        <f t="shared" si="293"/>
        <v>57311</v>
      </c>
      <c r="P2009" t="str">
        <f>"2100L"</f>
        <v>2100L</v>
      </c>
      <c r="Q2009" t="str">
        <f t="shared" si="291"/>
        <v>0101</v>
      </c>
      <c r="R2009">
        <v>2100</v>
      </c>
      <c r="S2009" t="str">
        <f t="shared" si="294"/>
        <v>5730</v>
      </c>
      <c r="T2009" t="s">
        <v>3614</v>
      </c>
      <c r="U2009" t="s">
        <v>51</v>
      </c>
    </row>
    <row r="2010" spans="1:21" ht="15" customHeight="1" x14ac:dyDescent="0.3">
      <c r="A2010" t="s">
        <v>179</v>
      </c>
      <c r="B2010" t="str">
        <f>"00074225"</f>
        <v>00074225</v>
      </c>
      <c r="C2010" t="s">
        <v>4574</v>
      </c>
      <c r="D2010" t="s">
        <v>823</v>
      </c>
      <c r="E2010" t="str">
        <f>"00063130"</f>
        <v>00063130</v>
      </c>
      <c r="F2010">
        <v>0</v>
      </c>
      <c r="G2010" s="243">
        <v>40408</v>
      </c>
      <c r="H2010" t="s">
        <v>182</v>
      </c>
      <c r="I2010">
        <v>15</v>
      </c>
      <c r="J2010">
        <v>12</v>
      </c>
      <c r="K2010">
        <v>0.5</v>
      </c>
      <c r="L2010">
        <v>87431</v>
      </c>
      <c r="M2010" t="str">
        <f t="shared" si="295"/>
        <v>13</v>
      </c>
      <c r="N2010" t="s">
        <v>3323</v>
      </c>
      <c r="O2010" t="str">
        <f t="shared" si="293"/>
        <v>57311</v>
      </c>
      <c r="P2010" t="str">
        <f>"2100L"</f>
        <v>2100L</v>
      </c>
      <c r="Q2010" t="str">
        <f t="shared" si="291"/>
        <v>0101</v>
      </c>
      <c r="R2010">
        <v>2100</v>
      </c>
      <c r="S2010" t="str">
        <f t="shared" si="294"/>
        <v>5730</v>
      </c>
      <c r="T2010" t="s">
        <v>3553</v>
      </c>
      <c r="U2010" t="s">
        <v>1489</v>
      </c>
    </row>
    <row r="2011" spans="1:21" ht="15" customHeight="1" x14ac:dyDescent="0.3">
      <c r="A2011" t="s">
        <v>179</v>
      </c>
      <c r="B2011" t="str">
        <f>"00074250"</f>
        <v>00074250</v>
      </c>
      <c r="C2011" t="s">
        <v>4288</v>
      </c>
      <c r="D2011" t="s">
        <v>4904</v>
      </c>
      <c r="E2011" t="str">
        <f>"00057735"</f>
        <v>00057735</v>
      </c>
      <c r="F2011">
        <v>0</v>
      </c>
      <c r="G2011" s="243">
        <v>40042</v>
      </c>
      <c r="H2011" t="s">
        <v>182</v>
      </c>
      <c r="I2011">
        <v>4</v>
      </c>
      <c r="J2011">
        <v>5</v>
      </c>
      <c r="K2011">
        <v>0.71</v>
      </c>
      <c r="L2011">
        <v>25239.37</v>
      </c>
      <c r="M2011" t="str">
        <f t="shared" si="295"/>
        <v>13</v>
      </c>
      <c r="N2011" t="s">
        <v>3323</v>
      </c>
      <c r="O2011" t="str">
        <f t="shared" si="293"/>
        <v>57311</v>
      </c>
      <c r="P2011" t="str">
        <f>"2100L"</f>
        <v>2100L</v>
      </c>
      <c r="Q2011" t="str">
        <f t="shared" si="291"/>
        <v>0101</v>
      </c>
      <c r="R2011">
        <v>2100</v>
      </c>
      <c r="S2011" t="str">
        <f t="shared" si="294"/>
        <v>5730</v>
      </c>
      <c r="T2011" t="s">
        <v>3614</v>
      </c>
      <c r="U2011" t="s">
        <v>51</v>
      </c>
    </row>
    <row r="2012" spans="1:21" ht="15" customHeight="1" x14ac:dyDescent="0.3">
      <c r="A2012" t="s">
        <v>179</v>
      </c>
      <c r="B2012" t="str">
        <f>"00075570"</f>
        <v>00075570</v>
      </c>
      <c r="C2012" t="s">
        <v>3670</v>
      </c>
      <c r="D2012" t="s">
        <v>1503</v>
      </c>
      <c r="E2012" t="str">
        <f>"00049006"</f>
        <v>00049006</v>
      </c>
      <c r="F2012">
        <v>0</v>
      </c>
      <c r="G2012" s="243">
        <v>39650</v>
      </c>
      <c r="H2012" t="s">
        <v>182</v>
      </c>
      <c r="I2012">
        <v>8</v>
      </c>
      <c r="J2012">
        <v>4</v>
      </c>
      <c r="K2012">
        <v>1</v>
      </c>
      <c r="L2012">
        <v>89645</v>
      </c>
      <c r="M2012" t="str">
        <f t="shared" si="295"/>
        <v>13</v>
      </c>
      <c r="N2012" t="s">
        <v>3370</v>
      </c>
      <c r="O2012" t="str">
        <f t="shared" si="293"/>
        <v>57311</v>
      </c>
      <c r="P2012" t="str">
        <f>"1501L"</f>
        <v>1501L</v>
      </c>
      <c r="Q2012" t="str">
        <f t="shared" si="291"/>
        <v>0101</v>
      </c>
      <c r="R2012">
        <v>1501</v>
      </c>
      <c r="S2012" t="str">
        <f t="shared" si="294"/>
        <v>5730</v>
      </c>
      <c r="T2012" t="s">
        <v>3614</v>
      </c>
      <c r="U2012" t="s">
        <v>51</v>
      </c>
    </row>
    <row r="2013" spans="1:21" ht="15" customHeight="1" x14ac:dyDescent="0.3">
      <c r="A2013" t="s">
        <v>179</v>
      </c>
      <c r="B2013" t="str">
        <f>"00076233"</f>
        <v>00076233</v>
      </c>
      <c r="C2013" t="s">
        <v>4614</v>
      </c>
      <c r="D2013" t="s">
        <v>3654</v>
      </c>
      <c r="E2013" t="str">
        <f>"00051641"</f>
        <v>00051641</v>
      </c>
      <c r="F2013">
        <v>0</v>
      </c>
      <c r="G2013" s="243">
        <v>40911</v>
      </c>
      <c r="H2013" t="s">
        <v>182</v>
      </c>
      <c r="I2013">
        <v>7</v>
      </c>
      <c r="J2013">
        <v>8</v>
      </c>
      <c r="K2013">
        <v>1</v>
      </c>
      <c r="L2013">
        <v>42621</v>
      </c>
      <c r="M2013" t="str">
        <f t="shared" si="295"/>
        <v>13</v>
      </c>
      <c r="N2013" t="s">
        <v>3370</v>
      </c>
      <c r="O2013" t="str">
        <f t="shared" si="293"/>
        <v>57311</v>
      </c>
      <c r="P2013" t="str">
        <f>"2100L"</f>
        <v>2100L</v>
      </c>
      <c r="Q2013" t="str">
        <f t="shared" si="291"/>
        <v>0101</v>
      </c>
      <c r="R2013">
        <v>2100</v>
      </c>
      <c r="S2013" t="str">
        <f t="shared" si="294"/>
        <v>5730</v>
      </c>
      <c r="T2013" t="s">
        <v>3614</v>
      </c>
      <c r="U2013" t="s">
        <v>51</v>
      </c>
    </row>
    <row r="2014" spans="1:21" ht="15" customHeight="1" x14ac:dyDescent="0.3">
      <c r="A2014" t="s">
        <v>179</v>
      </c>
      <c r="B2014" t="str">
        <f>"00076234"</f>
        <v>00076234</v>
      </c>
      <c r="C2014" t="s">
        <v>4270</v>
      </c>
      <c r="D2014" t="s">
        <v>4905</v>
      </c>
      <c r="E2014" t="str">
        <f>"00070325"</f>
        <v>00070325</v>
      </c>
      <c r="F2014">
        <v>0</v>
      </c>
      <c r="G2014" s="243">
        <v>41154</v>
      </c>
      <c r="H2014" t="s">
        <v>182</v>
      </c>
      <c r="I2014">
        <v>15</v>
      </c>
      <c r="J2014">
        <v>3</v>
      </c>
      <c r="K2014">
        <v>0.5</v>
      </c>
      <c r="L2014">
        <v>26388.5</v>
      </c>
      <c r="M2014" t="str">
        <f t="shared" si="295"/>
        <v>13</v>
      </c>
      <c r="N2014" t="s">
        <v>3323</v>
      </c>
      <c r="O2014" t="str">
        <f t="shared" si="293"/>
        <v>57311</v>
      </c>
      <c r="P2014" t="str">
        <f>"2100L"</f>
        <v>2100L</v>
      </c>
      <c r="Q2014" t="str">
        <f t="shared" si="291"/>
        <v>0101</v>
      </c>
      <c r="R2014">
        <v>2100</v>
      </c>
      <c r="S2014" t="str">
        <f t="shared" si="294"/>
        <v>5730</v>
      </c>
      <c r="T2014" t="s">
        <v>3614</v>
      </c>
      <c r="U2014" t="s">
        <v>51</v>
      </c>
    </row>
    <row r="2015" spans="1:21" ht="15" customHeight="1" x14ac:dyDescent="0.3">
      <c r="A2015" t="s">
        <v>179</v>
      </c>
      <c r="B2015" t="str">
        <f>"00076235"</f>
        <v>00076235</v>
      </c>
      <c r="C2015" t="s">
        <v>4271</v>
      </c>
      <c r="D2015" t="s">
        <v>4906</v>
      </c>
      <c r="E2015" t="str">
        <f>"00050353"</f>
        <v>00050353</v>
      </c>
      <c r="F2015">
        <v>0</v>
      </c>
      <c r="G2015" s="243">
        <v>36465</v>
      </c>
      <c r="H2015" t="s">
        <v>182</v>
      </c>
      <c r="I2015">
        <v>15</v>
      </c>
      <c r="J2015">
        <v>10</v>
      </c>
      <c r="K2015">
        <v>0.5</v>
      </c>
      <c r="L2015">
        <v>83199</v>
      </c>
      <c r="M2015" t="str">
        <f t="shared" si="295"/>
        <v>13</v>
      </c>
      <c r="N2015" t="s">
        <v>3370</v>
      </c>
      <c r="O2015" t="str">
        <f t="shared" si="293"/>
        <v>57311</v>
      </c>
      <c r="P2015" t="str">
        <f>"2100L"</f>
        <v>2100L</v>
      </c>
      <c r="Q2015" t="str">
        <f t="shared" si="291"/>
        <v>0101</v>
      </c>
      <c r="R2015">
        <v>2100</v>
      </c>
      <c r="S2015" t="str">
        <f t="shared" si="294"/>
        <v>5730</v>
      </c>
      <c r="T2015" t="s">
        <v>3614</v>
      </c>
      <c r="U2015" t="s">
        <v>51</v>
      </c>
    </row>
    <row r="2016" spans="1:21" ht="15" customHeight="1" x14ac:dyDescent="0.3">
      <c r="A2016" t="s">
        <v>179</v>
      </c>
      <c r="B2016" t="str">
        <f>"00076458"</f>
        <v>00076458</v>
      </c>
      <c r="C2016" t="s">
        <v>4274</v>
      </c>
      <c r="D2016" t="s">
        <v>4907</v>
      </c>
      <c r="E2016" t="str">
        <f>"00069523"</f>
        <v>00069523</v>
      </c>
      <c r="F2016">
        <v>0</v>
      </c>
      <c r="G2016" s="243">
        <v>41133</v>
      </c>
      <c r="H2016" t="s">
        <v>182</v>
      </c>
      <c r="I2016">
        <v>4</v>
      </c>
      <c r="J2016">
        <v>2</v>
      </c>
      <c r="K2016">
        <v>0.71</v>
      </c>
      <c r="L2016">
        <v>23151.63</v>
      </c>
      <c r="M2016" t="str">
        <f t="shared" si="295"/>
        <v>13</v>
      </c>
      <c r="N2016" t="s">
        <v>3323</v>
      </c>
      <c r="O2016" t="str">
        <f t="shared" si="293"/>
        <v>57311</v>
      </c>
      <c r="P2016" t="str">
        <f>"2200L"</f>
        <v>2200L</v>
      </c>
      <c r="Q2016" t="str">
        <f t="shared" si="291"/>
        <v>0101</v>
      </c>
      <c r="R2016">
        <v>2200</v>
      </c>
      <c r="S2016" t="str">
        <f t="shared" si="294"/>
        <v>5730</v>
      </c>
      <c r="T2016" t="s">
        <v>3614</v>
      </c>
      <c r="U2016" t="s">
        <v>51</v>
      </c>
    </row>
    <row r="2017" spans="1:21" ht="15" customHeight="1" x14ac:dyDescent="0.3">
      <c r="A2017" t="s">
        <v>179</v>
      </c>
      <c r="B2017" t="str">
        <f>"00076796"</f>
        <v>00076796</v>
      </c>
      <c r="C2017" t="s">
        <v>200</v>
      </c>
      <c r="H2017" t="s">
        <v>170</v>
      </c>
      <c r="I2017">
        <v>15</v>
      </c>
      <c r="J2017">
        <v>0</v>
      </c>
      <c r="K2017">
        <v>1</v>
      </c>
      <c r="L2017">
        <v>54975</v>
      </c>
      <c r="M2017" t="str">
        <f t="shared" si="295"/>
        <v>13</v>
      </c>
      <c r="N2017" t="s">
        <v>3370</v>
      </c>
      <c r="O2017" t="str">
        <f t="shared" si="293"/>
        <v>57311</v>
      </c>
      <c r="P2017" t="str">
        <f>"2100L"</f>
        <v>2100L</v>
      </c>
      <c r="Q2017" t="str">
        <f t="shared" si="291"/>
        <v>0101</v>
      </c>
      <c r="R2017">
        <v>2100</v>
      </c>
      <c r="S2017" t="str">
        <f t="shared" si="294"/>
        <v>5730</v>
      </c>
      <c r="T2017" t="s">
        <v>3614</v>
      </c>
      <c r="U2017" t="s">
        <v>51</v>
      </c>
    </row>
    <row r="2018" spans="1:21" ht="15" customHeight="1" x14ac:dyDescent="0.3">
      <c r="A2018" t="s">
        <v>179</v>
      </c>
      <c r="B2018" t="str">
        <f>"00051548"</f>
        <v>00051548</v>
      </c>
      <c r="C2018" t="s">
        <v>4262</v>
      </c>
      <c r="H2018" t="s">
        <v>170</v>
      </c>
      <c r="I2018">
        <v>15</v>
      </c>
      <c r="J2018">
        <v>1</v>
      </c>
      <c r="K2018">
        <v>1</v>
      </c>
      <c r="L2018">
        <v>54975</v>
      </c>
      <c r="M2018" t="str">
        <f t="shared" si="295"/>
        <v>13</v>
      </c>
      <c r="N2018" t="s">
        <v>3323</v>
      </c>
      <c r="O2018" t="str">
        <f t="shared" ref="O2018:O2046" si="296">"57411"</f>
        <v>57411</v>
      </c>
      <c r="P2018" t="str">
        <f>"2100L"</f>
        <v>2100L</v>
      </c>
      <c r="Q2018" t="str">
        <f t="shared" si="291"/>
        <v>0101</v>
      </c>
      <c r="R2018">
        <v>2100</v>
      </c>
      <c r="S2018" t="str">
        <f t="shared" ref="S2018:S2046" si="297">"5740"</f>
        <v>5740</v>
      </c>
      <c r="T2018" t="s">
        <v>3618</v>
      </c>
      <c r="U2018" t="s">
        <v>52</v>
      </c>
    </row>
    <row r="2019" spans="1:21" ht="15" customHeight="1" x14ac:dyDescent="0.3">
      <c r="A2019" t="s">
        <v>179</v>
      </c>
      <c r="B2019" t="str">
        <f>"00051569"</f>
        <v>00051569</v>
      </c>
      <c r="C2019" t="s">
        <v>3798</v>
      </c>
      <c r="D2019" t="s">
        <v>3619</v>
      </c>
      <c r="E2019" t="str">
        <f>"00065573"</f>
        <v>00065573</v>
      </c>
      <c r="F2019">
        <v>0</v>
      </c>
      <c r="G2019" s="243">
        <v>40749</v>
      </c>
      <c r="H2019" t="s">
        <v>182</v>
      </c>
      <c r="I2019">
        <v>63</v>
      </c>
      <c r="J2019">
        <v>6</v>
      </c>
      <c r="K2019">
        <v>1</v>
      </c>
      <c r="L2019">
        <v>131000</v>
      </c>
      <c r="M2019" t="str">
        <f t="shared" si="295"/>
        <v>13</v>
      </c>
      <c r="N2019" t="s">
        <v>3323</v>
      </c>
      <c r="O2019" t="str">
        <f t="shared" si="296"/>
        <v>57411</v>
      </c>
      <c r="P2019" t="str">
        <f>"1501L"</f>
        <v>1501L</v>
      </c>
      <c r="Q2019" t="str">
        <f t="shared" si="291"/>
        <v>0101</v>
      </c>
      <c r="R2019">
        <v>1501</v>
      </c>
      <c r="S2019" t="str">
        <f t="shared" si="297"/>
        <v>5740</v>
      </c>
      <c r="T2019" t="s">
        <v>3618</v>
      </c>
      <c r="U2019" t="s">
        <v>52</v>
      </c>
    </row>
    <row r="2020" spans="1:21" ht="15" customHeight="1" x14ac:dyDescent="0.3">
      <c r="A2020" t="s">
        <v>179</v>
      </c>
      <c r="B2020" t="str">
        <f>"00051751"</f>
        <v>00051751</v>
      </c>
      <c r="C2020" t="s">
        <v>4262</v>
      </c>
      <c r="D2020" t="s">
        <v>2385</v>
      </c>
      <c r="E2020" t="str">
        <f>"00045373"</f>
        <v>00045373</v>
      </c>
      <c r="F2020">
        <v>0</v>
      </c>
      <c r="G2020" s="243">
        <v>37124</v>
      </c>
      <c r="H2020" t="s">
        <v>182</v>
      </c>
      <c r="I2020">
        <v>15</v>
      </c>
      <c r="J2020">
        <v>12</v>
      </c>
      <c r="K2020">
        <v>1</v>
      </c>
      <c r="L2020">
        <v>87431</v>
      </c>
      <c r="M2020" t="str">
        <f t="shared" si="295"/>
        <v>13</v>
      </c>
      <c r="N2020" t="s">
        <v>3323</v>
      </c>
      <c r="O2020" t="str">
        <f t="shared" si="296"/>
        <v>57411</v>
      </c>
      <c r="P2020" t="str">
        <f t="shared" ref="P2020:P2025" si="298">"2100L"</f>
        <v>2100L</v>
      </c>
      <c r="Q2020" t="str">
        <f t="shared" si="291"/>
        <v>0101</v>
      </c>
      <c r="R2020">
        <v>2100</v>
      </c>
      <c r="S2020" t="str">
        <f t="shared" si="297"/>
        <v>5740</v>
      </c>
      <c r="T2020" t="s">
        <v>3618</v>
      </c>
      <c r="U2020" t="s">
        <v>52</v>
      </c>
    </row>
    <row r="2021" spans="1:21" ht="15" customHeight="1" x14ac:dyDescent="0.3">
      <c r="A2021" t="s">
        <v>179</v>
      </c>
      <c r="B2021" t="str">
        <f>"00051850"</f>
        <v>00051850</v>
      </c>
      <c r="C2021" t="s">
        <v>4263</v>
      </c>
      <c r="H2021" t="s">
        <v>170</v>
      </c>
      <c r="I2021">
        <v>15</v>
      </c>
      <c r="J2021">
        <v>1</v>
      </c>
      <c r="K2021">
        <v>1</v>
      </c>
      <c r="L2021">
        <v>51539</v>
      </c>
      <c r="M2021" t="str">
        <f t="shared" si="295"/>
        <v>13</v>
      </c>
      <c r="N2021" t="s">
        <v>3323</v>
      </c>
      <c r="O2021" t="str">
        <f t="shared" si="296"/>
        <v>57411</v>
      </c>
      <c r="P2021" t="str">
        <f t="shared" si="298"/>
        <v>2100L</v>
      </c>
      <c r="Q2021" t="str">
        <f t="shared" si="291"/>
        <v>0101</v>
      </c>
      <c r="R2021">
        <v>2100</v>
      </c>
      <c r="S2021" t="str">
        <f t="shared" si="297"/>
        <v>5740</v>
      </c>
      <c r="T2021" t="s">
        <v>3618</v>
      </c>
      <c r="U2021" t="s">
        <v>52</v>
      </c>
    </row>
    <row r="2022" spans="1:21" ht="15" customHeight="1" x14ac:dyDescent="0.3">
      <c r="A2022" t="s">
        <v>179</v>
      </c>
      <c r="B2022" t="str">
        <f>"00051937"</f>
        <v>00051937</v>
      </c>
      <c r="C2022" t="s">
        <v>4262</v>
      </c>
      <c r="D2022" t="s">
        <v>1831</v>
      </c>
      <c r="E2022" t="str">
        <f>"00046610"</f>
        <v>00046610</v>
      </c>
      <c r="F2022">
        <v>0</v>
      </c>
      <c r="G2022" s="243">
        <v>35675</v>
      </c>
      <c r="H2022" t="s">
        <v>182</v>
      </c>
      <c r="I2022">
        <v>15</v>
      </c>
      <c r="J2022">
        <v>13</v>
      </c>
      <c r="K2022">
        <v>1</v>
      </c>
      <c r="L2022">
        <v>97873</v>
      </c>
      <c r="M2022" t="str">
        <f t="shared" si="295"/>
        <v>13</v>
      </c>
      <c r="N2022" t="s">
        <v>3323</v>
      </c>
      <c r="O2022" t="str">
        <f t="shared" si="296"/>
        <v>57411</v>
      </c>
      <c r="P2022" t="str">
        <f t="shared" si="298"/>
        <v>2100L</v>
      </c>
      <c r="Q2022" t="str">
        <f t="shared" si="291"/>
        <v>0101</v>
      </c>
      <c r="R2022">
        <v>2100</v>
      </c>
      <c r="S2022" t="str">
        <f t="shared" si="297"/>
        <v>5740</v>
      </c>
      <c r="T2022" t="s">
        <v>3618</v>
      </c>
      <c r="U2022" t="s">
        <v>52</v>
      </c>
    </row>
    <row r="2023" spans="1:21" ht="15" customHeight="1" x14ac:dyDescent="0.3">
      <c r="A2023" t="s">
        <v>179</v>
      </c>
      <c r="B2023" t="str">
        <f>"00053214"</f>
        <v>00053214</v>
      </c>
      <c r="C2023" t="s">
        <v>4272</v>
      </c>
      <c r="H2023" t="s">
        <v>170</v>
      </c>
      <c r="I2023">
        <v>15</v>
      </c>
      <c r="J2023">
        <v>1</v>
      </c>
      <c r="K2023">
        <v>1</v>
      </c>
      <c r="L2023">
        <v>54975</v>
      </c>
      <c r="M2023" t="str">
        <f t="shared" si="295"/>
        <v>13</v>
      </c>
      <c r="N2023" t="s">
        <v>3323</v>
      </c>
      <c r="O2023" t="str">
        <f t="shared" si="296"/>
        <v>57411</v>
      </c>
      <c r="P2023" t="str">
        <f t="shared" si="298"/>
        <v>2100L</v>
      </c>
      <c r="Q2023" t="str">
        <f t="shared" si="291"/>
        <v>0101</v>
      </c>
      <c r="R2023">
        <v>2100</v>
      </c>
      <c r="S2023" t="str">
        <f t="shared" si="297"/>
        <v>5740</v>
      </c>
      <c r="T2023" t="s">
        <v>3618</v>
      </c>
      <c r="U2023" t="s">
        <v>52</v>
      </c>
    </row>
    <row r="2024" spans="1:21" ht="15" customHeight="1" x14ac:dyDescent="0.3">
      <c r="A2024" t="s">
        <v>179</v>
      </c>
      <c r="B2024" t="str">
        <f>"00053613"</f>
        <v>00053613</v>
      </c>
      <c r="C2024" t="s">
        <v>4367</v>
      </c>
      <c r="D2024" t="s">
        <v>4908</v>
      </c>
      <c r="E2024" t="str">
        <f>"00051909"</f>
        <v>00051909</v>
      </c>
      <c r="F2024">
        <v>0</v>
      </c>
      <c r="G2024" s="243">
        <v>34914</v>
      </c>
      <c r="H2024" t="s">
        <v>182</v>
      </c>
      <c r="I2024">
        <v>9</v>
      </c>
      <c r="J2024">
        <v>5</v>
      </c>
      <c r="K2024">
        <v>1</v>
      </c>
      <c r="L2024">
        <v>41475</v>
      </c>
      <c r="M2024" t="str">
        <f t="shared" si="295"/>
        <v>13</v>
      </c>
      <c r="N2024" t="s">
        <v>3323</v>
      </c>
      <c r="O2024" t="str">
        <f t="shared" si="296"/>
        <v>57411</v>
      </c>
      <c r="P2024" t="str">
        <f t="shared" si="298"/>
        <v>2100L</v>
      </c>
      <c r="Q2024" t="str">
        <f t="shared" ref="Q2024:Q2077" si="299">"0101"</f>
        <v>0101</v>
      </c>
      <c r="R2024">
        <v>2100</v>
      </c>
      <c r="S2024" t="str">
        <f t="shared" si="297"/>
        <v>5740</v>
      </c>
      <c r="T2024" t="s">
        <v>3618</v>
      </c>
      <c r="U2024" t="s">
        <v>52</v>
      </c>
    </row>
    <row r="2025" spans="1:21" ht="15" customHeight="1" x14ac:dyDescent="0.3">
      <c r="A2025" t="s">
        <v>179</v>
      </c>
      <c r="B2025" t="str">
        <f>"00054125"</f>
        <v>00054125</v>
      </c>
      <c r="C2025" t="s">
        <v>4260</v>
      </c>
      <c r="D2025" t="s">
        <v>1832</v>
      </c>
      <c r="E2025" t="str">
        <f>"00053075"</f>
        <v>00053075</v>
      </c>
      <c r="F2025">
        <v>0</v>
      </c>
      <c r="G2025" s="243">
        <v>32050</v>
      </c>
      <c r="H2025" t="s">
        <v>182</v>
      </c>
      <c r="I2025">
        <v>15</v>
      </c>
      <c r="J2025">
        <v>16</v>
      </c>
      <c r="K2025">
        <v>1</v>
      </c>
      <c r="L2025">
        <v>100839</v>
      </c>
      <c r="M2025" t="str">
        <f t="shared" si="295"/>
        <v>13</v>
      </c>
      <c r="N2025" t="s">
        <v>3323</v>
      </c>
      <c r="O2025" t="str">
        <f t="shared" si="296"/>
        <v>57411</v>
      </c>
      <c r="P2025" t="str">
        <f t="shared" si="298"/>
        <v>2100L</v>
      </c>
      <c r="Q2025" t="str">
        <f t="shared" si="299"/>
        <v>0101</v>
      </c>
      <c r="R2025">
        <v>2100</v>
      </c>
      <c r="S2025" t="str">
        <f t="shared" si="297"/>
        <v>5740</v>
      </c>
      <c r="T2025" t="s">
        <v>3618</v>
      </c>
      <c r="U2025" t="s">
        <v>52</v>
      </c>
    </row>
    <row r="2026" spans="1:21" ht="15" customHeight="1" x14ac:dyDescent="0.3">
      <c r="A2026" t="s">
        <v>179</v>
      </c>
      <c r="B2026" t="str">
        <f>"00054158"</f>
        <v>00054158</v>
      </c>
      <c r="C2026" t="s">
        <v>4274</v>
      </c>
      <c r="D2026" t="s">
        <v>4909</v>
      </c>
      <c r="E2026" t="str">
        <f>"00053140"</f>
        <v>00053140</v>
      </c>
      <c r="F2026">
        <v>0</v>
      </c>
      <c r="G2026" s="243">
        <v>35803</v>
      </c>
      <c r="H2026" t="s">
        <v>182</v>
      </c>
      <c r="I2026">
        <v>4</v>
      </c>
      <c r="J2026">
        <v>10</v>
      </c>
      <c r="K2026">
        <v>0.875</v>
      </c>
      <c r="L2026">
        <v>28721</v>
      </c>
      <c r="M2026" t="str">
        <f t="shared" si="295"/>
        <v>13</v>
      </c>
      <c r="N2026" t="s">
        <v>3323</v>
      </c>
      <c r="O2026" t="str">
        <f t="shared" si="296"/>
        <v>57411</v>
      </c>
      <c r="P2026" t="str">
        <f>"2200L"</f>
        <v>2200L</v>
      </c>
      <c r="Q2026" t="str">
        <f t="shared" si="299"/>
        <v>0101</v>
      </c>
      <c r="R2026">
        <v>2200</v>
      </c>
      <c r="S2026" t="str">
        <f t="shared" si="297"/>
        <v>5740</v>
      </c>
      <c r="T2026" t="s">
        <v>3618</v>
      </c>
      <c r="U2026" t="s">
        <v>52</v>
      </c>
    </row>
    <row r="2027" spans="1:21" ht="15" customHeight="1" x14ac:dyDescent="0.3">
      <c r="A2027" t="s">
        <v>179</v>
      </c>
      <c r="B2027" t="str">
        <f>"00054298"</f>
        <v>00054298</v>
      </c>
      <c r="C2027" t="s">
        <v>4259</v>
      </c>
      <c r="D2027" t="s">
        <v>1833</v>
      </c>
      <c r="E2027" t="str">
        <f>"00053501"</f>
        <v>00053501</v>
      </c>
      <c r="F2027">
        <v>0</v>
      </c>
      <c r="G2027" s="243">
        <v>34960</v>
      </c>
      <c r="H2027" t="s">
        <v>182</v>
      </c>
      <c r="I2027">
        <v>15</v>
      </c>
      <c r="J2027">
        <v>15</v>
      </c>
      <c r="K2027">
        <v>1</v>
      </c>
      <c r="L2027">
        <v>98285</v>
      </c>
      <c r="M2027" t="str">
        <f t="shared" si="295"/>
        <v>13</v>
      </c>
      <c r="N2027" t="s">
        <v>3323</v>
      </c>
      <c r="O2027" t="str">
        <f t="shared" si="296"/>
        <v>57411</v>
      </c>
      <c r="P2027" t="str">
        <f>"2100L"</f>
        <v>2100L</v>
      </c>
      <c r="Q2027" t="str">
        <f t="shared" si="299"/>
        <v>0101</v>
      </c>
      <c r="R2027">
        <v>2100</v>
      </c>
      <c r="S2027" t="str">
        <f t="shared" si="297"/>
        <v>5740</v>
      </c>
      <c r="T2027" t="s">
        <v>3618</v>
      </c>
      <c r="U2027" t="s">
        <v>52</v>
      </c>
    </row>
    <row r="2028" spans="1:21" ht="15" customHeight="1" x14ac:dyDescent="0.3">
      <c r="A2028" t="s">
        <v>179</v>
      </c>
      <c r="B2028" t="str">
        <f>"00057024"</f>
        <v>00057024</v>
      </c>
      <c r="C2028" t="s">
        <v>4274</v>
      </c>
      <c r="D2028" t="s">
        <v>4910</v>
      </c>
      <c r="E2028" t="str">
        <f>"00046399"</f>
        <v>00046399</v>
      </c>
      <c r="F2028">
        <v>0</v>
      </c>
      <c r="G2028" s="243">
        <v>39097</v>
      </c>
      <c r="H2028" t="s">
        <v>182</v>
      </c>
      <c r="I2028">
        <v>4</v>
      </c>
      <c r="J2028">
        <v>7</v>
      </c>
      <c r="K2028">
        <v>0.875</v>
      </c>
      <c r="L2028">
        <v>26633.25</v>
      </c>
      <c r="M2028" t="str">
        <f t="shared" si="295"/>
        <v>13</v>
      </c>
      <c r="N2028" t="s">
        <v>3323</v>
      </c>
      <c r="O2028" t="str">
        <f t="shared" si="296"/>
        <v>57411</v>
      </c>
      <c r="P2028" t="str">
        <f>"3030L"</f>
        <v>3030L</v>
      </c>
      <c r="Q2028" t="str">
        <f t="shared" si="299"/>
        <v>0101</v>
      </c>
      <c r="R2028">
        <v>3030</v>
      </c>
      <c r="S2028" t="str">
        <f t="shared" si="297"/>
        <v>5740</v>
      </c>
      <c r="T2028" t="s">
        <v>3618</v>
      </c>
      <c r="U2028" t="s">
        <v>52</v>
      </c>
    </row>
    <row r="2029" spans="1:21" ht="15" customHeight="1" x14ac:dyDescent="0.3">
      <c r="A2029" t="s">
        <v>179</v>
      </c>
      <c r="B2029" t="str">
        <f>"00057384"</f>
        <v>00057384</v>
      </c>
      <c r="C2029" t="s">
        <v>4272</v>
      </c>
      <c r="D2029" t="s">
        <v>1835</v>
      </c>
      <c r="E2029" t="str">
        <f>"00045224"</f>
        <v>00045224</v>
      </c>
      <c r="F2029">
        <v>0</v>
      </c>
      <c r="G2029" s="243">
        <v>36761</v>
      </c>
      <c r="H2029" t="s">
        <v>182</v>
      </c>
      <c r="I2029">
        <v>15</v>
      </c>
      <c r="J2029">
        <v>12</v>
      </c>
      <c r="K2029">
        <v>1</v>
      </c>
      <c r="L2029">
        <v>87431</v>
      </c>
      <c r="M2029" t="str">
        <f t="shared" si="295"/>
        <v>13</v>
      </c>
      <c r="N2029" t="s">
        <v>3323</v>
      </c>
      <c r="O2029" t="str">
        <f t="shared" si="296"/>
        <v>57411</v>
      </c>
      <c r="P2029" t="str">
        <f>"2200L"</f>
        <v>2200L</v>
      </c>
      <c r="Q2029" t="str">
        <f t="shared" si="299"/>
        <v>0101</v>
      </c>
      <c r="R2029">
        <v>2200</v>
      </c>
      <c r="S2029" t="str">
        <f t="shared" si="297"/>
        <v>5740</v>
      </c>
      <c r="T2029" t="s">
        <v>3618</v>
      </c>
      <c r="U2029" t="s">
        <v>52</v>
      </c>
    </row>
    <row r="2030" spans="1:21" ht="15" customHeight="1" x14ac:dyDescent="0.3">
      <c r="A2030" t="s">
        <v>179</v>
      </c>
      <c r="B2030" t="str">
        <f>"00057469"</f>
        <v>00057469</v>
      </c>
      <c r="C2030" t="s">
        <v>4272</v>
      </c>
      <c r="D2030" t="s">
        <v>1836</v>
      </c>
      <c r="E2030" t="str">
        <f>"00053682"</f>
        <v>00053682</v>
      </c>
      <c r="F2030">
        <v>0</v>
      </c>
      <c r="G2030" s="243">
        <v>37127</v>
      </c>
      <c r="H2030" t="s">
        <v>182</v>
      </c>
      <c r="I2030">
        <v>15</v>
      </c>
      <c r="J2030">
        <v>12</v>
      </c>
      <c r="K2030">
        <v>1</v>
      </c>
      <c r="L2030">
        <v>87431</v>
      </c>
      <c r="M2030" t="str">
        <f t="shared" si="295"/>
        <v>13</v>
      </c>
      <c r="N2030" t="s">
        <v>3323</v>
      </c>
      <c r="O2030" t="str">
        <f t="shared" si="296"/>
        <v>57411</v>
      </c>
      <c r="P2030" t="str">
        <f>"2100L"</f>
        <v>2100L</v>
      </c>
      <c r="Q2030" t="str">
        <f t="shared" si="299"/>
        <v>0101</v>
      </c>
      <c r="R2030">
        <v>2100</v>
      </c>
      <c r="S2030" t="str">
        <f t="shared" si="297"/>
        <v>5740</v>
      </c>
      <c r="T2030" t="s">
        <v>3618</v>
      </c>
      <c r="U2030" t="s">
        <v>52</v>
      </c>
    </row>
    <row r="2031" spans="1:21" ht="15" customHeight="1" x14ac:dyDescent="0.3">
      <c r="A2031" t="s">
        <v>179</v>
      </c>
      <c r="B2031" t="str">
        <f>"00057526"</f>
        <v>00057526</v>
      </c>
      <c r="C2031" t="s">
        <v>4260</v>
      </c>
      <c r="D2031" t="s">
        <v>1837</v>
      </c>
      <c r="E2031" t="str">
        <f>"00049711"</f>
        <v>00049711</v>
      </c>
      <c r="F2031">
        <v>0</v>
      </c>
      <c r="G2031" s="243">
        <v>36780</v>
      </c>
      <c r="H2031" t="s">
        <v>182</v>
      </c>
      <c r="I2031">
        <v>15</v>
      </c>
      <c r="J2031">
        <v>15</v>
      </c>
      <c r="K2031">
        <v>1</v>
      </c>
      <c r="L2031">
        <v>98285</v>
      </c>
      <c r="M2031" t="str">
        <f t="shared" si="295"/>
        <v>13</v>
      </c>
      <c r="N2031" t="s">
        <v>3323</v>
      </c>
      <c r="O2031" t="str">
        <f t="shared" si="296"/>
        <v>57411</v>
      </c>
      <c r="P2031" t="str">
        <f>"3030L"</f>
        <v>3030L</v>
      </c>
      <c r="Q2031" t="str">
        <f t="shared" si="299"/>
        <v>0101</v>
      </c>
      <c r="R2031">
        <v>3030</v>
      </c>
      <c r="S2031" t="str">
        <f t="shared" si="297"/>
        <v>5740</v>
      </c>
      <c r="T2031" t="s">
        <v>3618</v>
      </c>
      <c r="U2031" t="s">
        <v>52</v>
      </c>
    </row>
    <row r="2032" spans="1:21" ht="15" customHeight="1" x14ac:dyDescent="0.3">
      <c r="A2032" t="s">
        <v>179</v>
      </c>
      <c r="B2032" t="str">
        <f>"00057892"</f>
        <v>00057892</v>
      </c>
      <c r="C2032" t="s">
        <v>4272</v>
      </c>
      <c r="D2032" t="s">
        <v>3625</v>
      </c>
      <c r="E2032" t="str">
        <f>"00065813"</f>
        <v>00065813</v>
      </c>
      <c r="F2032">
        <v>0</v>
      </c>
      <c r="G2032" s="243">
        <v>40755</v>
      </c>
      <c r="H2032" t="s">
        <v>182</v>
      </c>
      <c r="I2032">
        <v>15</v>
      </c>
      <c r="J2032">
        <v>2</v>
      </c>
      <c r="K2032">
        <v>1</v>
      </c>
      <c r="L2032">
        <v>51716</v>
      </c>
      <c r="M2032" t="str">
        <f t="shared" si="295"/>
        <v>13</v>
      </c>
      <c r="N2032" t="s">
        <v>3323</v>
      </c>
      <c r="O2032" t="str">
        <f t="shared" si="296"/>
        <v>57411</v>
      </c>
      <c r="P2032" t="str">
        <f>"2200L"</f>
        <v>2200L</v>
      </c>
      <c r="Q2032" t="str">
        <f t="shared" si="299"/>
        <v>0101</v>
      </c>
      <c r="R2032">
        <v>2200</v>
      </c>
      <c r="S2032" t="str">
        <f t="shared" si="297"/>
        <v>5740</v>
      </c>
      <c r="T2032" t="s">
        <v>3618</v>
      </c>
      <c r="U2032" t="s">
        <v>52</v>
      </c>
    </row>
    <row r="2033" spans="1:21" ht="15" customHeight="1" x14ac:dyDescent="0.3">
      <c r="A2033" t="s">
        <v>179</v>
      </c>
      <c r="B2033" t="str">
        <f>"00058034"</f>
        <v>00058034</v>
      </c>
      <c r="C2033" t="s">
        <v>4257</v>
      </c>
      <c r="D2033" t="s">
        <v>688</v>
      </c>
      <c r="E2033" t="str">
        <f>"00046879"</f>
        <v>00046879</v>
      </c>
      <c r="F2033">
        <v>0</v>
      </c>
      <c r="G2033" s="243">
        <v>39679</v>
      </c>
      <c r="H2033" t="s">
        <v>182</v>
      </c>
      <c r="I2033">
        <v>15</v>
      </c>
      <c r="J2033">
        <v>7</v>
      </c>
      <c r="K2033">
        <v>1</v>
      </c>
      <c r="L2033">
        <v>69132</v>
      </c>
      <c r="M2033" t="str">
        <f t="shared" si="295"/>
        <v>13</v>
      </c>
      <c r="N2033" t="s">
        <v>3323</v>
      </c>
      <c r="O2033" t="str">
        <f t="shared" si="296"/>
        <v>57411</v>
      </c>
      <c r="P2033" t="str">
        <f t="shared" ref="P2033:P2039" si="300">"2100L"</f>
        <v>2100L</v>
      </c>
      <c r="Q2033" t="str">
        <f t="shared" si="299"/>
        <v>0101</v>
      </c>
      <c r="R2033">
        <v>2100</v>
      </c>
      <c r="S2033" t="str">
        <f t="shared" si="297"/>
        <v>5740</v>
      </c>
      <c r="T2033" t="s">
        <v>3618</v>
      </c>
      <c r="U2033" t="s">
        <v>52</v>
      </c>
    </row>
    <row r="2034" spans="1:21" ht="15" customHeight="1" x14ac:dyDescent="0.3">
      <c r="A2034" t="s">
        <v>179</v>
      </c>
      <c r="B2034" t="str">
        <f>"00058042"</f>
        <v>00058042</v>
      </c>
      <c r="C2034" t="s">
        <v>4252</v>
      </c>
      <c r="D2034" t="s">
        <v>1839</v>
      </c>
      <c r="E2034" t="str">
        <f>"00050662"</f>
        <v>00050662</v>
      </c>
      <c r="F2034">
        <v>0</v>
      </c>
      <c r="G2034" s="243">
        <v>37124</v>
      </c>
      <c r="H2034" t="s">
        <v>182</v>
      </c>
      <c r="I2034">
        <v>15</v>
      </c>
      <c r="J2034">
        <v>12</v>
      </c>
      <c r="K2034">
        <v>1</v>
      </c>
      <c r="L2034">
        <v>87431</v>
      </c>
      <c r="M2034" t="str">
        <f t="shared" si="295"/>
        <v>13</v>
      </c>
      <c r="N2034" t="s">
        <v>3323</v>
      </c>
      <c r="O2034" t="str">
        <f t="shared" si="296"/>
        <v>57411</v>
      </c>
      <c r="P2034" t="str">
        <f t="shared" si="300"/>
        <v>2100L</v>
      </c>
      <c r="Q2034" t="str">
        <f t="shared" si="299"/>
        <v>0101</v>
      </c>
      <c r="R2034">
        <v>2100</v>
      </c>
      <c r="S2034" t="str">
        <f t="shared" si="297"/>
        <v>5740</v>
      </c>
      <c r="T2034" t="s">
        <v>3618</v>
      </c>
      <c r="U2034" t="s">
        <v>52</v>
      </c>
    </row>
    <row r="2035" spans="1:21" ht="15" customHeight="1" x14ac:dyDescent="0.3">
      <c r="A2035" t="s">
        <v>179</v>
      </c>
      <c r="B2035" t="str">
        <f>"00058077"</f>
        <v>00058077</v>
      </c>
      <c r="C2035" t="s">
        <v>4262</v>
      </c>
      <c r="H2035" t="s">
        <v>170</v>
      </c>
      <c r="I2035">
        <v>15</v>
      </c>
      <c r="J2035">
        <v>1</v>
      </c>
      <c r="K2035">
        <v>1</v>
      </c>
      <c r="L2035">
        <v>54975</v>
      </c>
      <c r="M2035" t="str">
        <f t="shared" si="295"/>
        <v>13</v>
      </c>
      <c r="N2035" t="s">
        <v>3323</v>
      </c>
      <c r="O2035" t="str">
        <f t="shared" si="296"/>
        <v>57411</v>
      </c>
      <c r="P2035" t="str">
        <f t="shared" si="300"/>
        <v>2100L</v>
      </c>
      <c r="Q2035" t="str">
        <f t="shared" si="299"/>
        <v>0101</v>
      </c>
      <c r="R2035">
        <v>2100</v>
      </c>
      <c r="S2035" t="str">
        <f t="shared" si="297"/>
        <v>5740</v>
      </c>
      <c r="T2035" t="s">
        <v>3618</v>
      </c>
      <c r="U2035" t="s">
        <v>52</v>
      </c>
    </row>
    <row r="2036" spans="1:21" ht="15" customHeight="1" x14ac:dyDescent="0.3">
      <c r="A2036" t="s">
        <v>179</v>
      </c>
      <c r="B2036" t="str">
        <f>"00058654"</f>
        <v>00058654</v>
      </c>
      <c r="C2036" t="s">
        <v>4253</v>
      </c>
      <c r="H2036" t="s">
        <v>170</v>
      </c>
      <c r="I2036">
        <v>15</v>
      </c>
      <c r="J2036">
        <v>1</v>
      </c>
      <c r="K2036">
        <v>1</v>
      </c>
      <c r="L2036">
        <v>56693</v>
      </c>
      <c r="M2036" t="str">
        <f t="shared" si="295"/>
        <v>13</v>
      </c>
      <c r="N2036" t="s">
        <v>3323</v>
      </c>
      <c r="O2036" t="str">
        <f t="shared" si="296"/>
        <v>57411</v>
      </c>
      <c r="P2036" t="str">
        <f t="shared" si="300"/>
        <v>2100L</v>
      </c>
      <c r="Q2036" t="str">
        <f t="shared" si="299"/>
        <v>0101</v>
      </c>
      <c r="R2036">
        <v>2100</v>
      </c>
      <c r="S2036" t="str">
        <f t="shared" si="297"/>
        <v>5740</v>
      </c>
      <c r="T2036" t="s">
        <v>3618</v>
      </c>
      <c r="U2036" t="s">
        <v>52</v>
      </c>
    </row>
    <row r="2037" spans="1:21" ht="15" customHeight="1" x14ac:dyDescent="0.3">
      <c r="A2037" t="s">
        <v>179</v>
      </c>
      <c r="B2037" t="str">
        <f>"00058968"</f>
        <v>00058968</v>
      </c>
      <c r="C2037" t="s">
        <v>4262</v>
      </c>
      <c r="D2037" t="s">
        <v>1840</v>
      </c>
      <c r="E2037" t="str">
        <f>"00050479"</f>
        <v>00050479</v>
      </c>
      <c r="F2037">
        <v>0</v>
      </c>
      <c r="G2037" s="243">
        <v>37493</v>
      </c>
      <c r="H2037" t="s">
        <v>182</v>
      </c>
      <c r="I2037">
        <v>15</v>
      </c>
      <c r="J2037">
        <v>11</v>
      </c>
      <c r="K2037">
        <v>1</v>
      </c>
      <c r="L2037">
        <v>81335</v>
      </c>
      <c r="M2037" t="str">
        <f t="shared" si="295"/>
        <v>13</v>
      </c>
      <c r="N2037" t="s">
        <v>3323</v>
      </c>
      <c r="O2037" t="str">
        <f t="shared" si="296"/>
        <v>57411</v>
      </c>
      <c r="P2037" t="str">
        <f t="shared" si="300"/>
        <v>2100L</v>
      </c>
      <c r="Q2037" t="str">
        <f t="shared" si="299"/>
        <v>0101</v>
      </c>
      <c r="R2037">
        <v>2100</v>
      </c>
      <c r="S2037" t="str">
        <f t="shared" si="297"/>
        <v>5740</v>
      </c>
      <c r="T2037" t="s">
        <v>3618</v>
      </c>
      <c r="U2037" t="s">
        <v>52</v>
      </c>
    </row>
    <row r="2038" spans="1:21" ht="15" customHeight="1" x14ac:dyDescent="0.3">
      <c r="A2038" t="s">
        <v>179</v>
      </c>
      <c r="B2038" t="str">
        <f>"00060122"</f>
        <v>00060122</v>
      </c>
      <c r="C2038" t="s">
        <v>4262</v>
      </c>
      <c r="D2038" t="s">
        <v>1841</v>
      </c>
      <c r="E2038" t="str">
        <f>"00053565"</f>
        <v>00053565</v>
      </c>
      <c r="F2038">
        <v>0</v>
      </c>
      <c r="G2038" s="243">
        <v>38378</v>
      </c>
      <c r="H2038" t="s">
        <v>182</v>
      </c>
      <c r="I2038">
        <v>15</v>
      </c>
      <c r="J2038">
        <v>9</v>
      </c>
      <c r="K2038">
        <v>1</v>
      </c>
      <c r="L2038">
        <v>75232</v>
      </c>
      <c r="M2038" t="str">
        <f t="shared" si="295"/>
        <v>13</v>
      </c>
      <c r="N2038" t="s">
        <v>3323</v>
      </c>
      <c r="O2038" t="str">
        <f t="shared" si="296"/>
        <v>57411</v>
      </c>
      <c r="P2038" t="str">
        <f t="shared" si="300"/>
        <v>2100L</v>
      </c>
      <c r="Q2038" t="str">
        <f t="shared" si="299"/>
        <v>0101</v>
      </c>
      <c r="R2038">
        <v>2100</v>
      </c>
      <c r="S2038" t="str">
        <f t="shared" si="297"/>
        <v>5740</v>
      </c>
      <c r="T2038" t="s">
        <v>3618</v>
      </c>
      <c r="U2038" t="s">
        <v>52</v>
      </c>
    </row>
    <row r="2039" spans="1:21" ht="15" customHeight="1" x14ac:dyDescent="0.3">
      <c r="A2039" t="s">
        <v>179</v>
      </c>
      <c r="B2039" t="str">
        <f>"00060374"</f>
        <v>00060374</v>
      </c>
      <c r="C2039" t="s">
        <v>4254</v>
      </c>
      <c r="D2039" t="s">
        <v>1842</v>
      </c>
      <c r="E2039" t="str">
        <f>"00045755"</f>
        <v>00045755</v>
      </c>
      <c r="F2039">
        <v>0</v>
      </c>
      <c r="G2039" s="243">
        <v>38587</v>
      </c>
      <c r="H2039" t="s">
        <v>182</v>
      </c>
      <c r="I2039">
        <v>15</v>
      </c>
      <c r="J2039">
        <v>11</v>
      </c>
      <c r="K2039">
        <v>1</v>
      </c>
      <c r="L2039">
        <v>70891</v>
      </c>
      <c r="M2039" t="str">
        <f t="shared" si="295"/>
        <v>13</v>
      </c>
      <c r="N2039" t="s">
        <v>3323</v>
      </c>
      <c r="O2039" t="str">
        <f t="shared" si="296"/>
        <v>57411</v>
      </c>
      <c r="P2039" t="str">
        <f t="shared" si="300"/>
        <v>2100L</v>
      </c>
      <c r="Q2039" t="str">
        <f t="shared" si="299"/>
        <v>0101</v>
      </c>
      <c r="R2039">
        <v>2100</v>
      </c>
      <c r="S2039" t="str">
        <f t="shared" si="297"/>
        <v>5740</v>
      </c>
      <c r="T2039" t="s">
        <v>3618</v>
      </c>
      <c r="U2039" t="s">
        <v>52</v>
      </c>
    </row>
    <row r="2040" spans="1:21" ht="15" customHeight="1" x14ac:dyDescent="0.3">
      <c r="A2040" t="s">
        <v>179</v>
      </c>
      <c r="B2040" t="str">
        <f>"00061456"</f>
        <v>00061456</v>
      </c>
      <c r="C2040" t="s">
        <v>4288</v>
      </c>
      <c r="D2040" t="s">
        <v>4911</v>
      </c>
      <c r="E2040" t="str">
        <f>"00050701"</f>
        <v>00050701</v>
      </c>
      <c r="F2040">
        <v>0</v>
      </c>
      <c r="G2040" s="243">
        <v>39343</v>
      </c>
      <c r="H2040" t="s">
        <v>182</v>
      </c>
      <c r="I2040">
        <v>4</v>
      </c>
      <c r="J2040">
        <v>8</v>
      </c>
      <c r="K2040">
        <v>1</v>
      </c>
      <c r="L2040">
        <v>27329.75</v>
      </c>
      <c r="M2040" t="str">
        <f t="shared" si="295"/>
        <v>13</v>
      </c>
      <c r="N2040" t="s">
        <v>3323</v>
      </c>
      <c r="O2040" t="str">
        <f t="shared" si="296"/>
        <v>57411</v>
      </c>
      <c r="P2040" t="str">
        <f>"2200L"</f>
        <v>2200L</v>
      </c>
      <c r="Q2040" t="str">
        <f t="shared" si="299"/>
        <v>0101</v>
      </c>
      <c r="R2040">
        <v>2200</v>
      </c>
      <c r="S2040" t="str">
        <f t="shared" si="297"/>
        <v>5740</v>
      </c>
      <c r="T2040" t="s">
        <v>3618</v>
      </c>
      <c r="U2040" t="s">
        <v>52</v>
      </c>
    </row>
    <row r="2041" spans="1:21" ht="15" customHeight="1" x14ac:dyDescent="0.3">
      <c r="A2041" t="s">
        <v>179</v>
      </c>
      <c r="B2041" t="str">
        <f>"00061526"</f>
        <v>00061526</v>
      </c>
      <c r="C2041" t="s">
        <v>4274</v>
      </c>
      <c r="D2041" t="s">
        <v>4912</v>
      </c>
      <c r="E2041" t="str">
        <f>"00053777"</f>
        <v>00053777</v>
      </c>
      <c r="F2041">
        <v>0</v>
      </c>
      <c r="G2041" s="243">
        <v>39356</v>
      </c>
      <c r="H2041" t="s">
        <v>182</v>
      </c>
      <c r="I2041">
        <v>4</v>
      </c>
      <c r="J2041">
        <v>6</v>
      </c>
      <c r="K2041">
        <v>1</v>
      </c>
      <c r="L2041">
        <v>25935.88</v>
      </c>
      <c r="M2041" t="str">
        <f t="shared" si="295"/>
        <v>13</v>
      </c>
      <c r="N2041" t="s">
        <v>3323</v>
      </c>
      <c r="O2041" t="str">
        <f t="shared" si="296"/>
        <v>57411</v>
      </c>
      <c r="P2041" t="str">
        <f>"2200L"</f>
        <v>2200L</v>
      </c>
      <c r="Q2041" t="str">
        <f t="shared" si="299"/>
        <v>0101</v>
      </c>
      <c r="R2041">
        <v>2200</v>
      </c>
      <c r="S2041" t="str">
        <f t="shared" si="297"/>
        <v>5740</v>
      </c>
      <c r="T2041" t="s">
        <v>3618</v>
      </c>
      <c r="U2041" t="s">
        <v>52</v>
      </c>
    </row>
    <row r="2042" spans="1:21" ht="15" customHeight="1" x14ac:dyDescent="0.3">
      <c r="A2042" t="s">
        <v>179</v>
      </c>
      <c r="B2042" t="str">
        <f>"00061991"</f>
        <v>00061991</v>
      </c>
      <c r="C2042" t="s">
        <v>4262</v>
      </c>
      <c r="D2042" t="s">
        <v>1845</v>
      </c>
      <c r="E2042" t="str">
        <f>"00048322"</f>
        <v>00048322</v>
      </c>
      <c r="F2042">
        <v>0</v>
      </c>
      <c r="G2042" s="243">
        <v>39314</v>
      </c>
      <c r="H2042" t="s">
        <v>182</v>
      </c>
      <c r="I2042">
        <v>15</v>
      </c>
      <c r="J2042">
        <v>8</v>
      </c>
      <c r="K2042">
        <v>1</v>
      </c>
      <c r="L2042">
        <v>72171</v>
      </c>
      <c r="M2042" t="str">
        <f t="shared" si="295"/>
        <v>13</v>
      </c>
      <c r="N2042" t="s">
        <v>3323</v>
      </c>
      <c r="O2042" t="str">
        <f t="shared" si="296"/>
        <v>57411</v>
      </c>
      <c r="P2042" t="str">
        <f>"2100L"</f>
        <v>2100L</v>
      </c>
      <c r="Q2042" t="str">
        <f t="shared" si="299"/>
        <v>0101</v>
      </c>
      <c r="R2042">
        <v>2100</v>
      </c>
      <c r="S2042" t="str">
        <f t="shared" si="297"/>
        <v>5740</v>
      </c>
      <c r="T2042" t="s">
        <v>3618</v>
      </c>
      <c r="U2042" t="s">
        <v>52</v>
      </c>
    </row>
    <row r="2043" spans="1:21" ht="15" customHeight="1" x14ac:dyDescent="0.3">
      <c r="A2043" t="s">
        <v>179</v>
      </c>
      <c r="B2043" t="str">
        <f>"00062056"</f>
        <v>00062056</v>
      </c>
      <c r="C2043" t="s">
        <v>4253</v>
      </c>
      <c r="D2043" t="s">
        <v>2169</v>
      </c>
      <c r="E2043" t="str">
        <f>"00054945"</f>
        <v>00054945</v>
      </c>
      <c r="F2043">
        <v>0</v>
      </c>
      <c r="G2043" s="243">
        <v>39315</v>
      </c>
      <c r="H2043" t="s">
        <v>182</v>
      </c>
      <c r="I2043">
        <v>15</v>
      </c>
      <c r="J2043">
        <v>6</v>
      </c>
      <c r="K2043">
        <v>1</v>
      </c>
      <c r="L2043">
        <v>66078</v>
      </c>
      <c r="M2043" t="str">
        <f t="shared" si="295"/>
        <v>13</v>
      </c>
      <c r="N2043" t="s">
        <v>3370</v>
      </c>
      <c r="O2043" t="str">
        <f t="shared" si="296"/>
        <v>57411</v>
      </c>
      <c r="P2043" t="str">
        <f>"2100L"</f>
        <v>2100L</v>
      </c>
      <c r="Q2043" t="str">
        <f t="shared" si="299"/>
        <v>0101</v>
      </c>
      <c r="R2043">
        <v>2100</v>
      </c>
      <c r="S2043" t="str">
        <f t="shared" si="297"/>
        <v>5740</v>
      </c>
      <c r="T2043" t="s">
        <v>3618</v>
      </c>
      <c r="U2043" t="s">
        <v>52</v>
      </c>
    </row>
    <row r="2044" spans="1:21" ht="15" customHeight="1" x14ac:dyDescent="0.3">
      <c r="A2044" t="s">
        <v>179</v>
      </c>
      <c r="B2044" t="str">
        <f>"00062223"</f>
        <v>00062223</v>
      </c>
      <c r="C2044" t="s">
        <v>4290</v>
      </c>
      <c r="D2044" t="s">
        <v>4913</v>
      </c>
      <c r="E2044" t="str">
        <f>"00046908"</f>
        <v>00046908</v>
      </c>
      <c r="F2044">
        <v>0</v>
      </c>
      <c r="G2044" s="243">
        <v>39679</v>
      </c>
      <c r="H2044" t="s">
        <v>182</v>
      </c>
      <c r="I2044">
        <v>4</v>
      </c>
      <c r="J2044">
        <v>5</v>
      </c>
      <c r="K2044">
        <v>0.875</v>
      </c>
      <c r="L2044">
        <v>25239.37</v>
      </c>
      <c r="M2044" t="str">
        <f t="shared" si="295"/>
        <v>13</v>
      </c>
      <c r="N2044" t="s">
        <v>3323</v>
      </c>
      <c r="O2044" t="str">
        <f t="shared" si="296"/>
        <v>57411</v>
      </c>
      <c r="P2044" t="str">
        <f>"2200L"</f>
        <v>2200L</v>
      </c>
      <c r="Q2044" t="str">
        <f t="shared" si="299"/>
        <v>0101</v>
      </c>
      <c r="R2044">
        <v>2200</v>
      </c>
      <c r="S2044" t="str">
        <f t="shared" si="297"/>
        <v>5740</v>
      </c>
      <c r="T2044" t="s">
        <v>3618</v>
      </c>
      <c r="U2044" t="s">
        <v>52</v>
      </c>
    </row>
    <row r="2045" spans="1:21" ht="15" customHeight="1" x14ac:dyDescent="0.3">
      <c r="A2045" t="s">
        <v>179</v>
      </c>
      <c r="B2045" t="str">
        <f>"00065997"</f>
        <v>00065997</v>
      </c>
      <c r="C2045" t="s">
        <v>4256</v>
      </c>
      <c r="H2045" t="s">
        <v>170</v>
      </c>
      <c r="I2045">
        <v>15</v>
      </c>
      <c r="J2045">
        <v>1</v>
      </c>
      <c r="K2045">
        <v>1</v>
      </c>
      <c r="L2045">
        <v>54975</v>
      </c>
      <c r="M2045" t="str">
        <f t="shared" si="295"/>
        <v>13</v>
      </c>
      <c r="N2045" t="s">
        <v>3323</v>
      </c>
      <c r="O2045" t="str">
        <f t="shared" si="296"/>
        <v>57411</v>
      </c>
      <c r="P2045" t="str">
        <f>"2100L"</f>
        <v>2100L</v>
      </c>
      <c r="Q2045" t="str">
        <f t="shared" si="299"/>
        <v>0101</v>
      </c>
      <c r="R2045">
        <v>2100</v>
      </c>
      <c r="S2045" t="str">
        <f t="shared" si="297"/>
        <v>5740</v>
      </c>
      <c r="T2045" t="s">
        <v>3618</v>
      </c>
      <c r="U2045" t="s">
        <v>52</v>
      </c>
    </row>
    <row r="2046" spans="1:21" ht="15" customHeight="1" x14ac:dyDescent="0.3">
      <c r="A2046" t="s">
        <v>179</v>
      </c>
      <c r="B2046" t="str">
        <f>"00066429"</f>
        <v>00066429</v>
      </c>
      <c r="C2046" t="s">
        <v>4262</v>
      </c>
      <c r="H2046" t="s">
        <v>170</v>
      </c>
      <c r="I2046">
        <v>15</v>
      </c>
      <c r="J2046">
        <v>1</v>
      </c>
      <c r="K2046">
        <v>1</v>
      </c>
      <c r="L2046">
        <v>53256</v>
      </c>
      <c r="M2046" t="str">
        <f t="shared" si="295"/>
        <v>13</v>
      </c>
      <c r="N2046" t="s">
        <v>3323</v>
      </c>
      <c r="O2046" t="str">
        <f t="shared" si="296"/>
        <v>57411</v>
      </c>
      <c r="P2046" t="str">
        <f>"2100L"</f>
        <v>2100L</v>
      </c>
      <c r="Q2046" t="str">
        <f t="shared" si="299"/>
        <v>0101</v>
      </c>
      <c r="R2046">
        <v>2100</v>
      </c>
      <c r="S2046" t="str">
        <f t="shared" si="297"/>
        <v>5740</v>
      </c>
      <c r="T2046" t="s">
        <v>3618</v>
      </c>
      <c r="U2046" t="s">
        <v>52</v>
      </c>
    </row>
    <row r="2047" spans="1:21" ht="15" customHeight="1" x14ac:dyDescent="0.3">
      <c r="A2047" t="s">
        <v>179</v>
      </c>
      <c r="B2047" t="str">
        <f>"00066430"</f>
        <v>00066430</v>
      </c>
      <c r="C2047" t="s">
        <v>4262</v>
      </c>
      <c r="D2047" t="s">
        <v>4914</v>
      </c>
      <c r="E2047" t="str">
        <f>"00068125"</f>
        <v>00068125</v>
      </c>
      <c r="F2047">
        <v>0</v>
      </c>
      <c r="G2047" s="243">
        <v>40987</v>
      </c>
      <c r="H2047" t="s">
        <v>182</v>
      </c>
      <c r="I2047">
        <v>15</v>
      </c>
      <c r="J2047">
        <v>1</v>
      </c>
      <c r="K2047">
        <v>1</v>
      </c>
      <c r="L2047">
        <v>54975</v>
      </c>
      <c r="M2047" t="str">
        <f t="shared" si="295"/>
        <v>13</v>
      </c>
      <c r="N2047" t="s">
        <v>3323</v>
      </c>
      <c r="O2047" t="str">
        <f t="shared" ref="O2047:O2070" si="301">"57411"</f>
        <v>57411</v>
      </c>
      <c r="P2047" t="str">
        <f>"2100L"</f>
        <v>2100L</v>
      </c>
      <c r="Q2047" t="str">
        <f t="shared" si="299"/>
        <v>0101</v>
      </c>
      <c r="R2047">
        <v>2100</v>
      </c>
      <c r="S2047" t="str">
        <f t="shared" ref="S2047:S2070" si="302">"5740"</f>
        <v>5740</v>
      </c>
      <c r="T2047" t="s">
        <v>3618</v>
      </c>
      <c r="U2047" t="s">
        <v>52</v>
      </c>
    </row>
    <row r="2048" spans="1:21" ht="15" customHeight="1" x14ac:dyDescent="0.3">
      <c r="A2048" t="s">
        <v>179</v>
      </c>
      <c r="B2048" t="str">
        <f>"00066432"</f>
        <v>00066432</v>
      </c>
      <c r="C2048" t="s">
        <v>4260</v>
      </c>
      <c r="D2048" t="s">
        <v>1844</v>
      </c>
      <c r="E2048" t="str">
        <f>"00052985"</f>
        <v>00052985</v>
      </c>
      <c r="F2048">
        <v>0</v>
      </c>
      <c r="G2048" s="243">
        <v>32050</v>
      </c>
      <c r="H2048" t="s">
        <v>182</v>
      </c>
      <c r="I2048">
        <v>15</v>
      </c>
      <c r="J2048">
        <v>16</v>
      </c>
      <c r="K2048">
        <v>1</v>
      </c>
      <c r="L2048">
        <v>100839</v>
      </c>
      <c r="M2048" t="str">
        <f t="shared" si="295"/>
        <v>13</v>
      </c>
      <c r="N2048" t="s">
        <v>3323</v>
      </c>
      <c r="O2048" t="str">
        <f t="shared" si="301"/>
        <v>57411</v>
      </c>
      <c r="P2048" t="str">
        <f>"3030L"</f>
        <v>3030L</v>
      </c>
      <c r="Q2048" t="str">
        <f t="shared" si="299"/>
        <v>0101</v>
      </c>
      <c r="R2048">
        <v>3030</v>
      </c>
      <c r="S2048" t="str">
        <f t="shared" si="302"/>
        <v>5740</v>
      </c>
      <c r="T2048" t="s">
        <v>3618</v>
      </c>
      <c r="U2048" t="s">
        <v>52</v>
      </c>
    </row>
    <row r="2049" spans="1:21" ht="15" customHeight="1" x14ac:dyDescent="0.3">
      <c r="A2049" t="s">
        <v>179</v>
      </c>
      <c r="B2049" t="str">
        <f>"00067442"</f>
        <v>00067442</v>
      </c>
      <c r="C2049" t="s">
        <v>4258</v>
      </c>
      <c r="H2049" t="s">
        <v>170</v>
      </c>
      <c r="I2049">
        <v>15</v>
      </c>
      <c r="J2049">
        <v>1</v>
      </c>
      <c r="K2049">
        <v>1</v>
      </c>
      <c r="L2049">
        <v>54975</v>
      </c>
      <c r="M2049" t="str">
        <f t="shared" si="295"/>
        <v>13</v>
      </c>
      <c r="N2049" t="s">
        <v>3323</v>
      </c>
      <c r="O2049" t="str">
        <f t="shared" si="301"/>
        <v>57411</v>
      </c>
      <c r="P2049" t="str">
        <f t="shared" ref="P2049:P2057" si="303">"2100L"</f>
        <v>2100L</v>
      </c>
      <c r="Q2049" t="str">
        <f t="shared" si="299"/>
        <v>0101</v>
      </c>
      <c r="R2049">
        <v>2100</v>
      </c>
      <c r="S2049" t="str">
        <f t="shared" si="302"/>
        <v>5740</v>
      </c>
      <c r="T2049" t="s">
        <v>3618</v>
      </c>
      <c r="U2049" t="s">
        <v>52</v>
      </c>
    </row>
    <row r="2050" spans="1:21" ht="15" customHeight="1" x14ac:dyDescent="0.3">
      <c r="A2050" t="s">
        <v>179</v>
      </c>
      <c r="B2050" t="str">
        <f>"00067443"</f>
        <v>00067443</v>
      </c>
      <c r="C2050" t="s">
        <v>4262</v>
      </c>
      <c r="D2050" t="s">
        <v>3622</v>
      </c>
      <c r="E2050" t="str">
        <f>"00066931"</f>
        <v>00066931</v>
      </c>
      <c r="F2050">
        <v>0</v>
      </c>
      <c r="G2050" s="243">
        <v>40827</v>
      </c>
      <c r="H2050" t="s">
        <v>182</v>
      </c>
      <c r="I2050">
        <v>15</v>
      </c>
      <c r="J2050">
        <v>1</v>
      </c>
      <c r="K2050">
        <v>1</v>
      </c>
      <c r="L2050">
        <v>54975</v>
      </c>
      <c r="M2050" t="str">
        <f t="shared" si="295"/>
        <v>13</v>
      </c>
      <c r="N2050" t="s">
        <v>3323</v>
      </c>
      <c r="O2050" t="str">
        <f t="shared" si="301"/>
        <v>57411</v>
      </c>
      <c r="P2050" t="str">
        <f t="shared" si="303"/>
        <v>2100L</v>
      </c>
      <c r="Q2050" t="str">
        <f t="shared" si="299"/>
        <v>0101</v>
      </c>
      <c r="R2050">
        <v>2100</v>
      </c>
      <c r="S2050" t="str">
        <f t="shared" si="302"/>
        <v>5740</v>
      </c>
      <c r="T2050" t="s">
        <v>3618</v>
      </c>
      <c r="U2050" t="s">
        <v>52</v>
      </c>
    </row>
    <row r="2051" spans="1:21" ht="15" customHeight="1" x14ac:dyDescent="0.3">
      <c r="A2051" t="s">
        <v>179</v>
      </c>
      <c r="B2051" t="str">
        <f>"00068160"</f>
        <v>00068160</v>
      </c>
      <c r="C2051" t="s">
        <v>4253</v>
      </c>
      <c r="D2051" t="s">
        <v>3623</v>
      </c>
      <c r="E2051" t="str">
        <f>"00066602"</f>
        <v>00066602</v>
      </c>
      <c r="F2051">
        <v>0</v>
      </c>
      <c r="G2051" s="243">
        <v>40777</v>
      </c>
      <c r="H2051" t="s">
        <v>182</v>
      </c>
      <c r="I2051">
        <v>15</v>
      </c>
      <c r="J2051">
        <v>1</v>
      </c>
      <c r="K2051">
        <v>1</v>
      </c>
      <c r="L2051">
        <v>51539</v>
      </c>
      <c r="M2051" t="str">
        <f t="shared" si="295"/>
        <v>13</v>
      </c>
      <c r="N2051" t="s">
        <v>3323</v>
      </c>
      <c r="O2051" t="str">
        <f t="shared" si="301"/>
        <v>57411</v>
      </c>
      <c r="P2051" t="str">
        <f t="shared" si="303"/>
        <v>2100L</v>
      </c>
      <c r="Q2051" t="str">
        <f t="shared" si="299"/>
        <v>0101</v>
      </c>
      <c r="R2051">
        <v>2100</v>
      </c>
      <c r="S2051" t="str">
        <f t="shared" si="302"/>
        <v>5740</v>
      </c>
      <c r="T2051" t="s">
        <v>3618</v>
      </c>
      <c r="U2051" t="s">
        <v>52</v>
      </c>
    </row>
    <row r="2052" spans="1:21" ht="15" customHeight="1" x14ac:dyDescent="0.3">
      <c r="A2052" t="s">
        <v>179</v>
      </c>
      <c r="B2052" t="str">
        <f>"00070738"</f>
        <v>00070738</v>
      </c>
      <c r="C2052" t="s">
        <v>4262</v>
      </c>
      <c r="D2052" t="s">
        <v>4915</v>
      </c>
      <c r="E2052" t="str">
        <f>"00055485"</f>
        <v>00055485</v>
      </c>
      <c r="F2052">
        <v>0</v>
      </c>
      <c r="G2052" s="243">
        <v>39985</v>
      </c>
      <c r="H2052" t="s">
        <v>182</v>
      </c>
      <c r="I2052">
        <v>15</v>
      </c>
      <c r="J2052">
        <v>10</v>
      </c>
      <c r="K2052">
        <v>1</v>
      </c>
      <c r="L2052">
        <v>68431</v>
      </c>
      <c r="M2052" t="str">
        <f t="shared" si="295"/>
        <v>13</v>
      </c>
      <c r="N2052" t="s">
        <v>3370</v>
      </c>
      <c r="O2052" t="str">
        <f t="shared" si="301"/>
        <v>57411</v>
      </c>
      <c r="P2052" t="str">
        <f t="shared" si="303"/>
        <v>2100L</v>
      </c>
      <c r="Q2052" t="str">
        <f t="shared" si="299"/>
        <v>0101</v>
      </c>
      <c r="R2052">
        <v>2100</v>
      </c>
      <c r="S2052" t="str">
        <f t="shared" si="302"/>
        <v>5740</v>
      </c>
      <c r="T2052" t="s">
        <v>3618</v>
      </c>
      <c r="U2052" t="s">
        <v>52</v>
      </c>
    </row>
    <row r="2053" spans="1:21" ht="15" customHeight="1" x14ac:dyDescent="0.3">
      <c r="A2053" t="s">
        <v>179</v>
      </c>
      <c r="B2053" t="str">
        <f>"00070881"</f>
        <v>00070881</v>
      </c>
      <c r="C2053" t="s">
        <v>4262</v>
      </c>
      <c r="D2053" t="s">
        <v>4916</v>
      </c>
      <c r="E2053" t="str">
        <f>"00069569"</f>
        <v>00069569</v>
      </c>
      <c r="F2053">
        <v>0</v>
      </c>
      <c r="G2053" s="243">
        <v>41133</v>
      </c>
      <c r="H2053" t="s">
        <v>182</v>
      </c>
      <c r="I2053">
        <v>15</v>
      </c>
      <c r="J2053">
        <v>6</v>
      </c>
      <c r="K2053">
        <v>1</v>
      </c>
      <c r="L2053">
        <v>66078</v>
      </c>
      <c r="M2053" t="str">
        <f t="shared" si="295"/>
        <v>13</v>
      </c>
      <c r="N2053" t="s">
        <v>3370</v>
      </c>
      <c r="O2053" t="str">
        <f t="shared" si="301"/>
        <v>57411</v>
      </c>
      <c r="P2053" t="str">
        <f t="shared" si="303"/>
        <v>2100L</v>
      </c>
      <c r="Q2053" t="str">
        <f t="shared" si="299"/>
        <v>0101</v>
      </c>
      <c r="R2053">
        <v>2100</v>
      </c>
      <c r="S2053" t="str">
        <f t="shared" si="302"/>
        <v>5740</v>
      </c>
      <c r="T2053" t="s">
        <v>3618</v>
      </c>
      <c r="U2053" t="s">
        <v>52</v>
      </c>
    </row>
    <row r="2054" spans="1:21" ht="15" customHeight="1" x14ac:dyDescent="0.3">
      <c r="A2054" t="s">
        <v>179</v>
      </c>
      <c r="B2054" t="str">
        <f>"00072757"</f>
        <v>00072757</v>
      </c>
      <c r="C2054" t="s">
        <v>4262</v>
      </c>
      <c r="D2054" t="s">
        <v>1846</v>
      </c>
      <c r="E2054" t="str">
        <f>"00046648"</f>
        <v>00046648</v>
      </c>
      <c r="F2054">
        <v>0</v>
      </c>
      <c r="G2054" s="243">
        <v>38708</v>
      </c>
      <c r="H2054" t="s">
        <v>182</v>
      </c>
      <c r="I2054">
        <v>15</v>
      </c>
      <c r="J2054">
        <v>13</v>
      </c>
      <c r="K2054">
        <v>1</v>
      </c>
      <c r="L2054">
        <v>86613</v>
      </c>
      <c r="M2054" t="str">
        <f t="shared" si="295"/>
        <v>13</v>
      </c>
      <c r="N2054" t="s">
        <v>3323</v>
      </c>
      <c r="O2054" t="str">
        <f t="shared" si="301"/>
        <v>57411</v>
      </c>
      <c r="P2054" t="str">
        <f t="shared" si="303"/>
        <v>2100L</v>
      </c>
      <c r="Q2054" t="str">
        <f t="shared" si="299"/>
        <v>0101</v>
      </c>
      <c r="R2054">
        <v>2100</v>
      </c>
      <c r="S2054" t="str">
        <f t="shared" si="302"/>
        <v>5740</v>
      </c>
      <c r="T2054" t="s">
        <v>3618</v>
      </c>
      <c r="U2054" t="s">
        <v>52</v>
      </c>
    </row>
    <row r="2055" spans="1:21" ht="15" customHeight="1" x14ac:dyDescent="0.3">
      <c r="A2055" t="s">
        <v>179</v>
      </c>
      <c r="B2055" t="str">
        <f>"00072760"</f>
        <v>00072760</v>
      </c>
      <c r="C2055" t="s">
        <v>4253</v>
      </c>
      <c r="H2055" t="s">
        <v>170</v>
      </c>
      <c r="I2055">
        <v>15</v>
      </c>
      <c r="J2055">
        <v>1</v>
      </c>
      <c r="K2055">
        <v>1</v>
      </c>
      <c r="L2055">
        <v>54975</v>
      </c>
      <c r="M2055" t="str">
        <f t="shared" si="295"/>
        <v>13</v>
      </c>
      <c r="N2055" t="s">
        <v>3323</v>
      </c>
      <c r="O2055" t="str">
        <f t="shared" si="301"/>
        <v>57411</v>
      </c>
      <c r="P2055" t="str">
        <f t="shared" si="303"/>
        <v>2100L</v>
      </c>
      <c r="Q2055" t="str">
        <f t="shared" si="299"/>
        <v>0101</v>
      </c>
      <c r="R2055">
        <v>2100</v>
      </c>
      <c r="S2055" t="str">
        <f t="shared" si="302"/>
        <v>5740</v>
      </c>
      <c r="T2055" t="s">
        <v>3618</v>
      </c>
      <c r="U2055" t="s">
        <v>52</v>
      </c>
    </row>
    <row r="2056" spans="1:21" ht="15" customHeight="1" x14ac:dyDescent="0.3">
      <c r="A2056" t="s">
        <v>179</v>
      </c>
      <c r="B2056" t="str">
        <f>"00072831"</f>
        <v>00072831</v>
      </c>
      <c r="C2056" t="s">
        <v>4574</v>
      </c>
      <c r="D2056" t="s">
        <v>1848</v>
      </c>
      <c r="E2056" t="str">
        <f>"00046937"</f>
        <v>00046937</v>
      </c>
      <c r="F2056">
        <v>0</v>
      </c>
      <c r="G2056" s="243">
        <v>36390</v>
      </c>
      <c r="H2056" t="s">
        <v>182</v>
      </c>
      <c r="I2056">
        <v>15</v>
      </c>
      <c r="J2056">
        <v>16</v>
      </c>
      <c r="K2056">
        <v>0.5</v>
      </c>
      <c r="L2056">
        <v>106540</v>
      </c>
      <c r="M2056" t="str">
        <f t="shared" si="295"/>
        <v>13</v>
      </c>
      <c r="N2056" t="s">
        <v>3323</v>
      </c>
      <c r="O2056" t="str">
        <f t="shared" si="301"/>
        <v>57411</v>
      </c>
      <c r="P2056" t="str">
        <f t="shared" si="303"/>
        <v>2100L</v>
      </c>
      <c r="Q2056" t="str">
        <f t="shared" si="299"/>
        <v>0101</v>
      </c>
      <c r="R2056">
        <v>2100</v>
      </c>
      <c r="S2056" t="str">
        <f t="shared" si="302"/>
        <v>5740</v>
      </c>
      <c r="T2056" t="s">
        <v>3624</v>
      </c>
      <c r="U2056" t="s">
        <v>79</v>
      </c>
    </row>
    <row r="2057" spans="1:21" ht="15" customHeight="1" x14ac:dyDescent="0.3">
      <c r="A2057" t="s">
        <v>179</v>
      </c>
      <c r="B2057" t="str">
        <f>"00073777"</f>
        <v>00073777</v>
      </c>
      <c r="C2057" t="s">
        <v>4265</v>
      </c>
      <c r="H2057" t="s">
        <v>170</v>
      </c>
      <c r="I2057">
        <v>15</v>
      </c>
      <c r="J2057">
        <v>1</v>
      </c>
      <c r="K2057">
        <v>0.5</v>
      </c>
      <c r="L2057">
        <v>60128</v>
      </c>
      <c r="M2057" t="str">
        <f t="shared" si="295"/>
        <v>13</v>
      </c>
      <c r="N2057" t="s">
        <v>3323</v>
      </c>
      <c r="O2057" t="str">
        <f t="shared" si="301"/>
        <v>57411</v>
      </c>
      <c r="P2057" t="str">
        <f t="shared" si="303"/>
        <v>2100L</v>
      </c>
      <c r="Q2057" t="str">
        <f t="shared" si="299"/>
        <v>0101</v>
      </c>
      <c r="R2057">
        <v>2100</v>
      </c>
      <c r="S2057" t="str">
        <f t="shared" si="302"/>
        <v>5740</v>
      </c>
      <c r="T2057" t="s">
        <v>3621</v>
      </c>
      <c r="U2057" t="s">
        <v>73</v>
      </c>
    </row>
    <row r="2058" spans="1:21" ht="15" customHeight="1" x14ac:dyDescent="0.3">
      <c r="A2058" t="s">
        <v>179</v>
      </c>
      <c r="B2058" t="str">
        <f>"00073905"</f>
        <v>00073905</v>
      </c>
      <c r="C2058" t="s">
        <v>3670</v>
      </c>
      <c r="D2058" t="s">
        <v>3617</v>
      </c>
      <c r="E2058" t="str">
        <f>"00066392"</f>
        <v>00066392</v>
      </c>
      <c r="F2058">
        <v>0</v>
      </c>
      <c r="G2058" s="243">
        <v>40777</v>
      </c>
      <c r="H2058" t="s">
        <v>182</v>
      </c>
      <c r="I2058">
        <v>8</v>
      </c>
      <c r="J2058">
        <v>4</v>
      </c>
      <c r="K2058">
        <v>1</v>
      </c>
      <c r="L2058">
        <v>89645</v>
      </c>
      <c r="M2058" t="str">
        <f t="shared" si="295"/>
        <v>13</v>
      </c>
      <c r="N2058" t="s">
        <v>3323</v>
      </c>
      <c r="O2058" t="str">
        <f t="shared" si="301"/>
        <v>57411</v>
      </c>
      <c r="P2058" t="str">
        <f>"1501L"</f>
        <v>1501L</v>
      </c>
      <c r="Q2058" t="str">
        <f t="shared" si="299"/>
        <v>0101</v>
      </c>
      <c r="R2058">
        <v>1501</v>
      </c>
      <c r="S2058" t="str">
        <f t="shared" si="302"/>
        <v>5740</v>
      </c>
      <c r="T2058" t="s">
        <v>3618</v>
      </c>
      <c r="U2058" t="s">
        <v>52</v>
      </c>
    </row>
    <row r="2059" spans="1:21" ht="15" customHeight="1" x14ac:dyDescent="0.3">
      <c r="A2059" t="s">
        <v>179</v>
      </c>
      <c r="B2059" t="str">
        <f>"00074252"</f>
        <v>00074252</v>
      </c>
      <c r="C2059" t="s">
        <v>4260</v>
      </c>
      <c r="D2059" t="s">
        <v>214</v>
      </c>
      <c r="E2059" t="str">
        <f>"00054735"</f>
        <v>00054735</v>
      </c>
      <c r="F2059">
        <v>0</v>
      </c>
      <c r="G2059" s="243">
        <v>31594</v>
      </c>
      <c r="H2059" t="s">
        <v>182</v>
      </c>
      <c r="I2059">
        <v>15</v>
      </c>
      <c r="J2059">
        <v>13</v>
      </c>
      <c r="K2059">
        <v>1</v>
      </c>
      <c r="L2059">
        <v>81724</v>
      </c>
      <c r="M2059" t="str">
        <f t="shared" si="295"/>
        <v>13</v>
      </c>
      <c r="N2059" t="s">
        <v>3323</v>
      </c>
      <c r="O2059" t="str">
        <f t="shared" si="301"/>
        <v>57411</v>
      </c>
      <c r="P2059" t="str">
        <f>"3030L"</f>
        <v>3030L</v>
      </c>
      <c r="Q2059" t="str">
        <f t="shared" si="299"/>
        <v>0101</v>
      </c>
      <c r="R2059">
        <v>3030</v>
      </c>
      <c r="S2059" t="str">
        <f t="shared" si="302"/>
        <v>5740</v>
      </c>
      <c r="T2059" t="s">
        <v>3618</v>
      </c>
      <c r="U2059" t="s">
        <v>52</v>
      </c>
    </row>
    <row r="2060" spans="1:21" ht="15" customHeight="1" x14ac:dyDescent="0.3">
      <c r="A2060" t="s">
        <v>179</v>
      </c>
      <c r="B2060" t="str">
        <f>"00074253"</f>
        <v>00074253</v>
      </c>
      <c r="C2060" t="s">
        <v>4410</v>
      </c>
      <c r="H2060" t="s">
        <v>170</v>
      </c>
      <c r="I2060">
        <v>5</v>
      </c>
      <c r="J2060">
        <v>1</v>
      </c>
      <c r="K2060">
        <v>1</v>
      </c>
      <c r="L2060">
        <v>28486</v>
      </c>
      <c r="M2060" t="str">
        <f t="shared" si="295"/>
        <v>13</v>
      </c>
      <c r="N2060" t="s">
        <v>3323</v>
      </c>
      <c r="O2060" t="str">
        <f t="shared" si="301"/>
        <v>57411</v>
      </c>
      <c r="P2060" t="str">
        <f>"2100L"</f>
        <v>2100L</v>
      </c>
      <c r="Q2060" t="str">
        <f t="shared" si="299"/>
        <v>0101</v>
      </c>
      <c r="R2060">
        <v>2100</v>
      </c>
      <c r="S2060" t="str">
        <f t="shared" si="302"/>
        <v>5740</v>
      </c>
      <c r="T2060" t="s">
        <v>3618</v>
      </c>
      <c r="U2060" t="s">
        <v>52</v>
      </c>
    </row>
    <row r="2061" spans="1:21" ht="15" customHeight="1" x14ac:dyDescent="0.3">
      <c r="A2061" t="s">
        <v>179</v>
      </c>
      <c r="B2061" t="str">
        <f>"00076236"</f>
        <v>00076236</v>
      </c>
      <c r="C2061" t="s">
        <v>4262</v>
      </c>
      <c r="D2061" t="s">
        <v>4917</v>
      </c>
      <c r="E2061" t="str">
        <f>"00069812"</f>
        <v>00069812</v>
      </c>
      <c r="F2061">
        <v>0</v>
      </c>
      <c r="G2061" s="243">
        <v>41133</v>
      </c>
      <c r="H2061" t="s">
        <v>182</v>
      </c>
      <c r="I2061">
        <v>15</v>
      </c>
      <c r="J2061">
        <v>10</v>
      </c>
      <c r="K2061">
        <v>1</v>
      </c>
      <c r="L2061">
        <v>78273</v>
      </c>
      <c r="M2061" t="str">
        <f t="shared" si="295"/>
        <v>13</v>
      </c>
      <c r="N2061" t="s">
        <v>3370</v>
      </c>
      <c r="O2061" t="str">
        <f t="shared" si="301"/>
        <v>57411</v>
      </c>
      <c r="P2061" t="str">
        <f t="shared" ref="P2061:P2067" si="304">"2100L"</f>
        <v>2100L</v>
      </c>
      <c r="Q2061" t="str">
        <f t="shared" si="299"/>
        <v>0101</v>
      </c>
      <c r="R2061">
        <v>2100</v>
      </c>
      <c r="S2061" t="str">
        <f t="shared" si="302"/>
        <v>5740</v>
      </c>
      <c r="T2061" t="s">
        <v>3618</v>
      </c>
      <c r="U2061" t="s">
        <v>52</v>
      </c>
    </row>
    <row r="2062" spans="1:21" ht="15" customHeight="1" x14ac:dyDescent="0.3">
      <c r="A2062" t="s">
        <v>179</v>
      </c>
      <c r="B2062" t="str">
        <f>"00076237"</f>
        <v>00076237</v>
      </c>
      <c r="C2062" t="s">
        <v>4270</v>
      </c>
      <c r="D2062" t="s">
        <v>4918</v>
      </c>
      <c r="E2062" t="str">
        <f>"00069587"</f>
        <v>00069587</v>
      </c>
      <c r="F2062">
        <v>0</v>
      </c>
      <c r="G2062" s="243">
        <v>41133</v>
      </c>
      <c r="H2062" t="s">
        <v>182</v>
      </c>
      <c r="I2062">
        <v>15</v>
      </c>
      <c r="J2062">
        <v>4</v>
      </c>
      <c r="K2062">
        <v>0.5</v>
      </c>
      <c r="L2062">
        <v>30579</v>
      </c>
      <c r="M2062" t="str">
        <f t="shared" si="295"/>
        <v>13</v>
      </c>
      <c r="N2062" t="s">
        <v>3323</v>
      </c>
      <c r="O2062" t="str">
        <f t="shared" si="301"/>
        <v>57411</v>
      </c>
      <c r="P2062" t="str">
        <f t="shared" si="304"/>
        <v>2100L</v>
      </c>
      <c r="Q2062" t="str">
        <f t="shared" si="299"/>
        <v>0101</v>
      </c>
      <c r="R2062">
        <v>2100</v>
      </c>
      <c r="S2062" t="str">
        <f t="shared" si="302"/>
        <v>5740</v>
      </c>
      <c r="T2062" t="s">
        <v>3618</v>
      </c>
      <c r="U2062" t="s">
        <v>52</v>
      </c>
    </row>
    <row r="2063" spans="1:21" ht="15" customHeight="1" x14ac:dyDescent="0.3">
      <c r="A2063" t="s">
        <v>179</v>
      </c>
      <c r="B2063" t="str">
        <f>"00076238"</f>
        <v>00076238</v>
      </c>
      <c r="C2063" t="s">
        <v>4270</v>
      </c>
      <c r="H2063" t="s">
        <v>170</v>
      </c>
      <c r="I2063">
        <v>15</v>
      </c>
      <c r="J2063">
        <v>0</v>
      </c>
      <c r="K2063">
        <v>0.5</v>
      </c>
      <c r="L2063">
        <v>51539</v>
      </c>
      <c r="M2063" t="str">
        <f t="shared" si="295"/>
        <v>13</v>
      </c>
      <c r="N2063" t="s">
        <v>3323</v>
      </c>
      <c r="O2063" t="str">
        <f t="shared" si="301"/>
        <v>57411</v>
      </c>
      <c r="P2063" t="str">
        <f t="shared" si="304"/>
        <v>2100L</v>
      </c>
      <c r="Q2063" t="str">
        <f t="shared" si="299"/>
        <v>0101</v>
      </c>
      <c r="R2063">
        <v>2100</v>
      </c>
      <c r="S2063" t="str">
        <f t="shared" si="302"/>
        <v>5740</v>
      </c>
      <c r="T2063" t="s">
        <v>3618</v>
      </c>
      <c r="U2063" t="s">
        <v>52</v>
      </c>
    </row>
    <row r="2064" spans="1:21" ht="15" customHeight="1" x14ac:dyDescent="0.3">
      <c r="A2064" t="s">
        <v>179</v>
      </c>
      <c r="B2064" t="str">
        <f>"00076239"</f>
        <v>00076239</v>
      </c>
      <c r="C2064" t="s">
        <v>4256</v>
      </c>
      <c r="D2064" t="s">
        <v>1843</v>
      </c>
      <c r="E2064" t="str">
        <f>"00057142"</f>
        <v>00057142</v>
      </c>
      <c r="F2064">
        <v>0</v>
      </c>
      <c r="G2064" s="243">
        <v>40042</v>
      </c>
      <c r="H2064" t="s">
        <v>182</v>
      </c>
      <c r="I2064">
        <v>15</v>
      </c>
      <c r="J2064">
        <v>8</v>
      </c>
      <c r="K2064">
        <v>0.5</v>
      </c>
      <c r="L2064">
        <v>36085.5</v>
      </c>
      <c r="M2064" t="str">
        <f t="shared" ref="M2064:M2119" si="305">"13"</f>
        <v>13</v>
      </c>
      <c r="N2064" t="s">
        <v>3323</v>
      </c>
      <c r="O2064" t="str">
        <f t="shared" si="301"/>
        <v>57411</v>
      </c>
      <c r="P2064" t="str">
        <f t="shared" si="304"/>
        <v>2100L</v>
      </c>
      <c r="Q2064" t="str">
        <f t="shared" si="299"/>
        <v>0101</v>
      </c>
      <c r="R2064">
        <v>2100</v>
      </c>
      <c r="S2064" t="str">
        <f t="shared" si="302"/>
        <v>5740</v>
      </c>
      <c r="T2064" t="s">
        <v>3618</v>
      </c>
      <c r="U2064" t="s">
        <v>52</v>
      </c>
    </row>
    <row r="2065" spans="1:21" ht="15" customHeight="1" x14ac:dyDescent="0.3">
      <c r="A2065" t="s">
        <v>179</v>
      </c>
      <c r="B2065" t="str">
        <f>"00076240"</f>
        <v>00076240</v>
      </c>
      <c r="C2065" t="s">
        <v>4270</v>
      </c>
      <c r="H2065" t="s">
        <v>170</v>
      </c>
      <c r="I2065">
        <v>15</v>
      </c>
      <c r="J2065">
        <v>0</v>
      </c>
      <c r="K2065">
        <v>0.5</v>
      </c>
      <c r="L2065">
        <v>51539</v>
      </c>
      <c r="M2065" t="str">
        <f t="shared" si="305"/>
        <v>13</v>
      </c>
      <c r="N2065" t="s">
        <v>3323</v>
      </c>
      <c r="O2065" t="str">
        <f t="shared" si="301"/>
        <v>57411</v>
      </c>
      <c r="P2065" t="str">
        <f t="shared" si="304"/>
        <v>2100L</v>
      </c>
      <c r="Q2065" t="str">
        <f t="shared" si="299"/>
        <v>0101</v>
      </c>
      <c r="R2065">
        <v>2100</v>
      </c>
      <c r="S2065" t="str">
        <f t="shared" si="302"/>
        <v>5740</v>
      </c>
      <c r="T2065" t="s">
        <v>3618</v>
      </c>
      <c r="U2065" t="s">
        <v>52</v>
      </c>
    </row>
    <row r="2066" spans="1:21" ht="15" customHeight="1" x14ac:dyDescent="0.3">
      <c r="A2066" t="s">
        <v>179</v>
      </c>
      <c r="B2066" t="str">
        <f>"00076241"</f>
        <v>00076241</v>
      </c>
      <c r="C2066" t="s">
        <v>4438</v>
      </c>
      <c r="H2066" t="s">
        <v>170</v>
      </c>
      <c r="I2066">
        <v>11</v>
      </c>
      <c r="J2066">
        <v>0</v>
      </c>
      <c r="K2066">
        <v>0.5</v>
      </c>
      <c r="L2066">
        <v>60779</v>
      </c>
      <c r="M2066" t="str">
        <f t="shared" si="305"/>
        <v>13</v>
      </c>
      <c r="N2066" t="s">
        <v>3323</v>
      </c>
      <c r="O2066" t="str">
        <f t="shared" si="301"/>
        <v>57411</v>
      </c>
      <c r="P2066" t="str">
        <f t="shared" si="304"/>
        <v>2100L</v>
      </c>
      <c r="Q2066" t="str">
        <f t="shared" si="299"/>
        <v>0101</v>
      </c>
      <c r="R2066">
        <v>2100</v>
      </c>
      <c r="S2066" t="str">
        <f t="shared" si="302"/>
        <v>5740</v>
      </c>
      <c r="T2066" t="s">
        <v>3618</v>
      </c>
      <c r="U2066" t="s">
        <v>52</v>
      </c>
    </row>
    <row r="2067" spans="1:21" ht="15" customHeight="1" x14ac:dyDescent="0.3">
      <c r="A2067" t="s">
        <v>179</v>
      </c>
      <c r="B2067" t="str">
        <f>"00076242"</f>
        <v>00076242</v>
      </c>
      <c r="C2067" t="s">
        <v>200</v>
      </c>
      <c r="D2067" t="s">
        <v>3620</v>
      </c>
      <c r="E2067" t="str">
        <f>"00050504"</f>
        <v>00050504</v>
      </c>
      <c r="F2067">
        <v>0</v>
      </c>
      <c r="G2067" s="243">
        <v>32557</v>
      </c>
      <c r="H2067" t="s">
        <v>182</v>
      </c>
      <c r="J2067">
        <v>0</v>
      </c>
      <c r="K2067">
        <v>1</v>
      </c>
      <c r="L2067">
        <v>86236</v>
      </c>
      <c r="M2067" t="str">
        <f t="shared" si="305"/>
        <v>13</v>
      </c>
      <c r="N2067" t="s">
        <v>3323</v>
      </c>
      <c r="O2067" t="str">
        <f t="shared" si="301"/>
        <v>57411</v>
      </c>
      <c r="P2067" t="str">
        <f t="shared" si="304"/>
        <v>2100L</v>
      </c>
      <c r="Q2067" t="str">
        <f t="shared" si="299"/>
        <v>0101</v>
      </c>
      <c r="R2067">
        <v>2100</v>
      </c>
      <c r="S2067" t="str">
        <f t="shared" si="302"/>
        <v>5740</v>
      </c>
      <c r="T2067" t="s">
        <v>3618</v>
      </c>
      <c r="U2067" t="s">
        <v>52</v>
      </c>
    </row>
    <row r="2068" spans="1:21" ht="15" customHeight="1" x14ac:dyDescent="0.3">
      <c r="A2068" t="s">
        <v>179</v>
      </c>
      <c r="B2068" t="str">
        <f>"00076343"</f>
        <v>00076343</v>
      </c>
      <c r="C2068" t="s">
        <v>4367</v>
      </c>
      <c r="H2068" t="s">
        <v>170</v>
      </c>
      <c r="I2068">
        <v>9</v>
      </c>
      <c r="J2068">
        <v>0</v>
      </c>
      <c r="K2068">
        <v>1</v>
      </c>
      <c r="L2068">
        <v>36775</v>
      </c>
      <c r="M2068" t="str">
        <f t="shared" si="305"/>
        <v>13</v>
      </c>
      <c r="N2068" t="s">
        <v>3323</v>
      </c>
      <c r="O2068" t="str">
        <f t="shared" si="301"/>
        <v>57411</v>
      </c>
      <c r="P2068" t="str">
        <f>"1502L"</f>
        <v>1502L</v>
      </c>
      <c r="Q2068" t="str">
        <f t="shared" si="299"/>
        <v>0101</v>
      </c>
      <c r="R2068">
        <v>1502</v>
      </c>
      <c r="S2068" t="str">
        <f t="shared" si="302"/>
        <v>5740</v>
      </c>
      <c r="T2068" t="s">
        <v>3618</v>
      </c>
      <c r="U2068" t="s">
        <v>52</v>
      </c>
    </row>
    <row r="2069" spans="1:21" ht="15" customHeight="1" x14ac:dyDescent="0.3">
      <c r="A2069" t="s">
        <v>179</v>
      </c>
      <c r="B2069" t="str">
        <f>"00076494"</f>
        <v>00076494</v>
      </c>
      <c r="C2069" t="s">
        <v>4262</v>
      </c>
      <c r="H2069" t="s">
        <v>170</v>
      </c>
      <c r="I2069">
        <v>15</v>
      </c>
      <c r="J2069">
        <v>0</v>
      </c>
      <c r="K2069">
        <v>1</v>
      </c>
      <c r="L2069">
        <v>51539</v>
      </c>
      <c r="M2069" t="str">
        <f t="shared" si="305"/>
        <v>13</v>
      </c>
      <c r="N2069" t="s">
        <v>3370</v>
      </c>
      <c r="O2069" t="str">
        <f t="shared" si="301"/>
        <v>57411</v>
      </c>
      <c r="P2069" t="str">
        <f>"2300L"</f>
        <v>2300L</v>
      </c>
      <c r="Q2069" t="str">
        <f t="shared" si="299"/>
        <v>0101</v>
      </c>
      <c r="R2069">
        <v>2300</v>
      </c>
      <c r="S2069" t="str">
        <f t="shared" si="302"/>
        <v>5740</v>
      </c>
      <c r="T2069" t="s">
        <v>3618</v>
      </c>
      <c r="U2069" t="s">
        <v>52</v>
      </c>
    </row>
    <row r="2070" spans="1:21" ht="15" customHeight="1" x14ac:dyDescent="0.3">
      <c r="A2070" t="s">
        <v>179</v>
      </c>
      <c r="B2070" t="str">
        <f>"00076544"</f>
        <v>00076544</v>
      </c>
      <c r="C2070" t="s">
        <v>4341</v>
      </c>
      <c r="D2070" t="s">
        <v>1834</v>
      </c>
      <c r="E2070" t="str">
        <f>"00054431"</f>
        <v>00054431</v>
      </c>
      <c r="F2070">
        <v>0</v>
      </c>
      <c r="G2070" s="243">
        <v>29699</v>
      </c>
      <c r="H2070" t="s">
        <v>182</v>
      </c>
      <c r="I2070">
        <v>10</v>
      </c>
      <c r="J2070">
        <v>9</v>
      </c>
      <c r="K2070">
        <v>1</v>
      </c>
      <c r="L2070">
        <v>84226</v>
      </c>
      <c r="M2070" t="str">
        <f t="shared" si="305"/>
        <v>13</v>
      </c>
      <c r="N2070" t="s">
        <v>3370</v>
      </c>
      <c r="O2070" t="str">
        <f t="shared" si="301"/>
        <v>57411</v>
      </c>
      <c r="P2070" t="str">
        <f>"3030L"</f>
        <v>3030L</v>
      </c>
      <c r="Q2070" t="str">
        <f t="shared" si="299"/>
        <v>0101</v>
      </c>
      <c r="R2070">
        <v>3030</v>
      </c>
      <c r="S2070" t="str">
        <f t="shared" si="302"/>
        <v>5740</v>
      </c>
      <c r="T2070" t="s">
        <v>3618</v>
      </c>
      <c r="U2070" t="s">
        <v>52</v>
      </c>
    </row>
    <row r="2071" spans="1:21" ht="15" customHeight="1" x14ac:dyDescent="0.3">
      <c r="A2071" t="s">
        <v>179</v>
      </c>
      <c r="B2071" t="str">
        <f>"00051936"</f>
        <v>00051936</v>
      </c>
      <c r="C2071" t="s">
        <v>4262</v>
      </c>
      <c r="D2071" t="s">
        <v>1849</v>
      </c>
      <c r="E2071" t="str">
        <f>"00046607"</f>
        <v>00046607</v>
      </c>
      <c r="F2071">
        <v>0</v>
      </c>
      <c r="G2071" s="243">
        <v>35338</v>
      </c>
      <c r="H2071" t="s">
        <v>182</v>
      </c>
      <c r="I2071">
        <v>15</v>
      </c>
      <c r="J2071">
        <v>15</v>
      </c>
      <c r="K2071">
        <v>1</v>
      </c>
      <c r="L2071">
        <v>103985</v>
      </c>
      <c r="M2071" t="str">
        <f t="shared" si="305"/>
        <v>13</v>
      </c>
      <c r="N2071" t="s">
        <v>3323</v>
      </c>
      <c r="O2071" t="str">
        <f t="shared" ref="O2071:O2109" si="306">"57511"</f>
        <v>57511</v>
      </c>
      <c r="P2071" t="str">
        <f t="shared" ref="P2071:P2076" si="307">"2100L"</f>
        <v>2100L</v>
      </c>
      <c r="Q2071" t="str">
        <f t="shared" si="299"/>
        <v>0101</v>
      </c>
      <c r="R2071">
        <v>2100</v>
      </c>
      <c r="S2071" t="str">
        <f t="shared" ref="S2071:S2109" si="308">"5750"</f>
        <v>5750</v>
      </c>
      <c r="T2071" t="s">
        <v>3626</v>
      </c>
      <c r="U2071" t="s">
        <v>53</v>
      </c>
    </row>
    <row r="2072" spans="1:21" ht="15" customHeight="1" x14ac:dyDescent="0.3">
      <c r="A2072" t="s">
        <v>179</v>
      </c>
      <c r="B2072" t="str">
        <f>"00052395"</f>
        <v>00052395</v>
      </c>
      <c r="C2072" t="s">
        <v>4262</v>
      </c>
      <c r="D2072" t="s">
        <v>1850</v>
      </c>
      <c r="E2072" t="str">
        <f>"00048168"</f>
        <v>00048168</v>
      </c>
      <c r="F2072">
        <v>0</v>
      </c>
      <c r="G2072" s="243">
        <v>32481</v>
      </c>
      <c r="H2072" t="s">
        <v>182</v>
      </c>
      <c r="I2072">
        <v>15</v>
      </c>
      <c r="J2072">
        <v>16</v>
      </c>
      <c r="K2072">
        <v>1</v>
      </c>
      <c r="L2072">
        <v>100839</v>
      </c>
      <c r="M2072" t="str">
        <f t="shared" si="305"/>
        <v>13</v>
      </c>
      <c r="N2072" t="s">
        <v>3323</v>
      </c>
      <c r="O2072" t="str">
        <f t="shared" si="306"/>
        <v>57511</v>
      </c>
      <c r="P2072" t="str">
        <f t="shared" si="307"/>
        <v>2100L</v>
      </c>
      <c r="Q2072" t="str">
        <f t="shared" si="299"/>
        <v>0101</v>
      </c>
      <c r="R2072">
        <v>2100</v>
      </c>
      <c r="S2072" t="str">
        <f t="shared" si="308"/>
        <v>5750</v>
      </c>
      <c r="T2072" t="s">
        <v>3626</v>
      </c>
      <c r="U2072" t="s">
        <v>53</v>
      </c>
    </row>
    <row r="2073" spans="1:21" ht="15" customHeight="1" x14ac:dyDescent="0.3">
      <c r="A2073" t="s">
        <v>179</v>
      </c>
      <c r="B2073" t="str">
        <f>"00053292"</f>
        <v>00053292</v>
      </c>
      <c r="C2073" t="s">
        <v>4262</v>
      </c>
      <c r="D2073" t="s">
        <v>3633</v>
      </c>
      <c r="E2073" t="str">
        <f>"00066042"</f>
        <v>00066042</v>
      </c>
      <c r="F2073">
        <v>0</v>
      </c>
      <c r="G2073" s="243">
        <v>40755</v>
      </c>
      <c r="H2073" t="s">
        <v>182</v>
      </c>
      <c r="I2073">
        <v>15</v>
      </c>
      <c r="J2073">
        <v>4</v>
      </c>
      <c r="K2073">
        <v>1</v>
      </c>
      <c r="L2073">
        <v>54725</v>
      </c>
      <c r="M2073" t="str">
        <f t="shared" si="305"/>
        <v>13</v>
      </c>
      <c r="N2073" t="s">
        <v>3323</v>
      </c>
      <c r="O2073" t="str">
        <f t="shared" si="306"/>
        <v>57511</v>
      </c>
      <c r="P2073" t="str">
        <f t="shared" si="307"/>
        <v>2100L</v>
      </c>
      <c r="Q2073" t="str">
        <f t="shared" si="299"/>
        <v>0101</v>
      </c>
      <c r="R2073">
        <v>2100</v>
      </c>
      <c r="S2073" t="str">
        <f t="shared" si="308"/>
        <v>5750</v>
      </c>
      <c r="T2073" t="s">
        <v>3626</v>
      </c>
      <c r="U2073" t="s">
        <v>53</v>
      </c>
    </row>
    <row r="2074" spans="1:21" ht="15" customHeight="1" x14ac:dyDescent="0.3">
      <c r="A2074" t="s">
        <v>179</v>
      </c>
      <c r="B2074" t="str">
        <f>"00053672"</f>
        <v>00053672</v>
      </c>
      <c r="C2074" t="s">
        <v>4272</v>
      </c>
      <c r="D2074" t="s">
        <v>1851</v>
      </c>
      <c r="E2074" t="str">
        <f>"00052181"</f>
        <v>00052181</v>
      </c>
      <c r="F2074">
        <v>0</v>
      </c>
      <c r="G2074" s="243">
        <v>34213</v>
      </c>
      <c r="H2074" t="s">
        <v>182</v>
      </c>
      <c r="I2074">
        <v>15</v>
      </c>
      <c r="J2074">
        <v>16</v>
      </c>
      <c r="K2074">
        <v>1</v>
      </c>
      <c r="L2074">
        <v>103347</v>
      </c>
      <c r="M2074" t="str">
        <f t="shared" si="305"/>
        <v>13</v>
      </c>
      <c r="N2074" t="s">
        <v>3323</v>
      </c>
      <c r="O2074" t="str">
        <f t="shared" si="306"/>
        <v>57511</v>
      </c>
      <c r="P2074" t="str">
        <f t="shared" si="307"/>
        <v>2100L</v>
      </c>
      <c r="Q2074" t="str">
        <f t="shared" si="299"/>
        <v>0101</v>
      </c>
      <c r="R2074">
        <v>2100</v>
      </c>
      <c r="S2074" t="str">
        <f t="shared" si="308"/>
        <v>5750</v>
      </c>
      <c r="T2074" t="s">
        <v>3626</v>
      </c>
      <c r="U2074" t="s">
        <v>53</v>
      </c>
    </row>
    <row r="2075" spans="1:21" ht="15" customHeight="1" x14ac:dyDescent="0.3">
      <c r="A2075" t="s">
        <v>179</v>
      </c>
      <c r="B2075" t="str">
        <f>"00053932"</f>
        <v>00053932</v>
      </c>
      <c r="C2075" t="s">
        <v>4274</v>
      </c>
      <c r="D2075" t="s">
        <v>4919</v>
      </c>
      <c r="E2075" t="str">
        <f>"00052761"</f>
        <v>00052761</v>
      </c>
      <c r="F2075">
        <v>0</v>
      </c>
      <c r="G2075" s="243">
        <v>30703</v>
      </c>
      <c r="H2075" t="s">
        <v>182</v>
      </c>
      <c r="I2075">
        <v>4</v>
      </c>
      <c r="J2075">
        <v>10</v>
      </c>
      <c r="K2075">
        <v>0.875</v>
      </c>
      <c r="L2075">
        <v>28721</v>
      </c>
      <c r="M2075" t="str">
        <f t="shared" si="305"/>
        <v>13</v>
      </c>
      <c r="N2075" t="s">
        <v>3323</v>
      </c>
      <c r="O2075" t="str">
        <f t="shared" si="306"/>
        <v>57511</v>
      </c>
      <c r="P2075" t="str">
        <f t="shared" si="307"/>
        <v>2100L</v>
      </c>
      <c r="Q2075" t="str">
        <f t="shared" si="299"/>
        <v>0101</v>
      </c>
      <c r="R2075">
        <v>2100</v>
      </c>
      <c r="S2075" t="str">
        <f t="shared" si="308"/>
        <v>5750</v>
      </c>
      <c r="T2075" t="s">
        <v>3626</v>
      </c>
      <c r="U2075" t="s">
        <v>53</v>
      </c>
    </row>
    <row r="2076" spans="1:21" ht="15" customHeight="1" x14ac:dyDescent="0.3">
      <c r="A2076" t="s">
        <v>179</v>
      </c>
      <c r="B2076" t="str">
        <f>"00054205"</f>
        <v>00054205</v>
      </c>
      <c r="C2076" t="s">
        <v>4274</v>
      </c>
      <c r="D2076" t="s">
        <v>4920</v>
      </c>
      <c r="E2076" t="str">
        <f>"00056202"</f>
        <v>00056202</v>
      </c>
      <c r="F2076">
        <v>0</v>
      </c>
      <c r="G2076" s="243">
        <v>40042</v>
      </c>
      <c r="H2076" t="s">
        <v>182</v>
      </c>
      <c r="I2076">
        <v>4</v>
      </c>
      <c r="J2076">
        <v>5</v>
      </c>
      <c r="K2076">
        <v>0.875</v>
      </c>
      <c r="L2076">
        <v>25239.37</v>
      </c>
      <c r="M2076" t="str">
        <f t="shared" si="305"/>
        <v>13</v>
      </c>
      <c r="N2076" t="s">
        <v>3323</v>
      </c>
      <c r="O2076" t="str">
        <f t="shared" si="306"/>
        <v>57511</v>
      </c>
      <c r="P2076" t="str">
        <f t="shared" si="307"/>
        <v>2100L</v>
      </c>
      <c r="Q2076" t="str">
        <f t="shared" si="299"/>
        <v>0101</v>
      </c>
      <c r="R2076">
        <v>2100</v>
      </c>
      <c r="S2076" t="str">
        <f t="shared" si="308"/>
        <v>5750</v>
      </c>
      <c r="T2076" t="s">
        <v>3626</v>
      </c>
      <c r="U2076" t="s">
        <v>53</v>
      </c>
    </row>
    <row r="2077" spans="1:21" ht="15" customHeight="1" x14ac:dyDescent="0.3">
      <c r="A2077" t="s">
        <v>179</v>
      </c>
      <c r="B2077" t="str">
        <f>"00054777"</f>
        <v>00054777</v>
      </c>
      <c r="C2077" t="s">
        <v>4274</v>
      </c>
      <c r="D2077" t="s">
        <v>4921</v>
      </c>
      <c r="E2077" t="str">
        <f>"00054610"</f>
        <v>00054610</v>
      </c>
      <c r="F2077">
        <v>0</v>
      </c>
      <c r="G2077" s="243">
        <v>35389</v>
      </c>
      <c r="H2077" t="s">
        <v>182</v>
      </c>
      <c r="I2077">
        <v>4</v>
      </c>
      <c r="J2077">
        <v>8</v>
      </c>
      <c r="K2077">
        <v>0.875</v>
      </c>
      <c r="L2077">
        <v>27329.75</v>
      </c>
      <c r="M2077" t="str">
        <f t="shared" si="305"/>
        <v>13</v>
      </c>
      <c r="N2077" t="s">
        <v>3323</v>
      </c>
      <c r="O2077" t="str">
        <f t="shared" si="306"/>
        <v>57511</v>
      </c>
      <c r="P2077" t="str">
        <f t="shared" ref="P2077:P2084" si="309">"2100L"</f>
        <v>2100L</v>
      </c>
      <c r="Q2077" t="str">
        <f t="shared" si="299"/>
        <v>0101</v>
      </c>
      <c r="R2077">
        <v>2100</v>
      </c>
      <c r="S2077" t="str">
        <f t="shared" si="308"/>
        <v>5750</v>
      </c>
      <c r="T2077" t="s">
        <v>3626</v>
      </c>
      <c r="U2077" t="s">
        <v>53</v>
      </c>
    </row>
    <row r="2078" spans="1:21" ht="15" customHeight="1" x14ac:dyDescent="0.3">
      <c r="A2078" t="s">
        <v>179</v>
      </c>
      <c r="B2078" t="str">
        <f>"00055172"</f>
        <v>00055172</v>
      </c>
      <c r="C2078" t="s">
        <v>4272</v>
      </c>
      <c r="D2078" t="s">
        <v>4922</v>
      </c>
      <c r="E2078" t="str">
        <f>"00053306"</f>
        <v>00053306</v>
      </c>
      <c r="F2078">
        <v>0</v>
      </c>
      <c r="G2078" s="243">
        <v>36390</v>
      </c>
      <c r="H2078" t="s">
        <v>182</v>
      </c>
      <c r="I2078">
        <v>15</v>
      </c>
      <c r="J2078">
        <v>15</v>
      </c>
      <c r="K2078">
        <v>1</v>
      </c>
      <c r="L2078">
        <v>98285</v>
      </c>
      <c r="M2078" t="str">
        <f t="shared" si="305"/>
        <v>13</v>
      </c>
      <c r="N2078" t="s">
        <v>3323</v>
      </c>
      <c r="O2078" t="str">
        <f t="shared" si="306"/>
        <v>57511</v>
      </c>
      <c r="P2078" t="str">
        <f t="shared" si="309"/>
        <v>2100L</v>
      </c>
      <c r="Q2078" t="str">
        <f t="shared" ref="Q2078:Q2134" si="310">"0101"</f>
        <v>0101</v>
      </c>
      <c r="R2078">
        <v>2100</v>
      </c>
      <c r="S2078" t="str">
        <f t="shared" si="308"/>
        <v>5750</v>
      </c>
      <c r="T2078" t="s">
        <v>3626</v>
      </c>
      <c r="U2078" t="s">
        <v>53</v>
      </c>
    </row>
    <row r="2079" spans="1:21" ht="15" customHeight="1" x14ac:dyDescent="0.3">
      <c r="A2079" t="s">
        <v>179</v>
      </c>
      <c r="B2079" t="str">
        <f>"00055306"</f>
        <v>00055306</v>
      </c>
      <c r="C2079" t="s">
        <v>4274</v>
      </c>
      <c r="D2079" t="s">
        <v>4923</v>
      </c>
      <c r="E2079" t="str">
        <f>"00066069"</f>
        <v>00066069</v>
      </c>
      <c r="F2079">
        <v>0</v>
      </c>
      <c r="G2079" s="243">
        <v>40770</v>
      </c>
      <c r="H2079" t="s">
        <v>182</v>
      </c>
      <c r="I2079">
        <v>4</v>
      </c>
      <c r="J2079">
        <v>5</v>
      </c>
      <c r="K2079">
        <v>0.875</v>
      </c>
      <c r="L2079">
        <v>25239.37</v>
      </c>
      <c r="M2079" t="str">
        <f t="shared" si="305"/>
        <v>13</v>
      </c>
      <c r="N2079" t="s">
        <v>3323</v>
      </c>
      <c r="O2079" t="str">
        <f t="shared" si="306"/>
        <v>57511</v>
      </c>
      <c r="P2079" t="str">
        <f t="shared" si="309"/>
        <v>2100L</v>
      </c>
      <c r="Q2079" t="str">
        <f t="shared" si="310"/>
        <v>0101</v>
      </c>
      <c r="R2079">
        <v>2100</v>
      </c>
      <c r="S2079" t="str">
        <f t="shared" si="308"/>
        <v>5750</v>
      </c>
      <c r="T2079" t="s">
        <v>3626</v>
      </c>
      <c r="U2079" t="s">
        <v>53</v>
      </c>
    </row>
    <row r="2080" spans="1:21" ht="15" customHeight="1" x14ac:dyDescent="0.3">
      <c r="A2080" t="s">
        <v>179</v>
      </c>
      <c r="B2080" t="str">
        <f>"00056804"</f>
        <v>00056804</v>
      </c>
      <c r="C2080" t="s">
        <v>4272</v>
      </c>
      <c r="D2080" t="s">
        <v>4924</v>
      </c>
      <c r="E2080" t="str">
        <f>"00066062"</f>
        <v>00066062</v>
      </c>
      <c r="F2080">
        <v>0</v>
      </c>
      <c r="G2080" s="243">
        <v>40755</v>
      </c>
      <c r="H2080" t="s">
        <v>182</v>
      </c>
      <c r="I2080">
        <v>15</v>
      </c>
      <c r="J2080">
        <v>11</v>
      </c>
      <c r="K2080">
        <v>1</v>
      </c>
      <c r="L2080">
        <v>83774</v>
      </c>
      <c r="M2080" t="str">
        <f t="shared" si="305"/>
        <v>13</v>
      </c>
      <c r="N2080" t="s">
        <v>3323</v>
      </c>
      <c r="O2080" t="str">
        <f t="shared" si="306"/>
        <v>57511</v>
      </c>
      <c r="P2080" t="str">
        <f t="shared" si="309"/>
        <v>2100L</v>
      </c>
      <c r="Q2080" t="str">
        <f t="shared" si="310"/>
        <v>0101</v>
      </c>
      <c r="R2080">
        <v>2100</v>
      </c>
      <c r="S2080" t="str">
        <f t="shared" si="308"/>
        <v>5750</v>
      </c>
      <c r="T2080" t="s">
        <v>3626</v>
      </c>
      <c r="U2080" t="s">
        <v>53</v>
      </c>
    </row>
    <row r="2081" spans="1:21" ht="15" customHeight="1" x14ac:dyDescent="0.3">
      <c r="A2081" t="s">
        <v>179</v>
      </c>
      <c r="B2081" t="str">
        <f>"00057333"</f>
        <v>00057333</v>
      </c>
      <c r="C2081" t="s">
        <v>4262</v>
      </c>
      <c r="D2081" t="s">
        <v>1853</v>
      </c>
      <c r="E2081" t="str">
        <f>"00047354"</f>
        <v>00047354</v>
      </c>
      <c r="F2081">
        <v>0</v>
      </c>
      <c r="G2081" s="243">
        <v>38587</v>
      </c>
      <c r="H2081" t="s">
        <v>182</v>
      </c>
      <c r="I2081">
        <v>15</v>
      </c>
      <c r="J2081">
        <v>8</v>
      </c>
      <c r="K2081">
        <v>1</v>
      </c>
      <c r="L2081">
        <v>63517</v>
      </c>
      <c r="M2081" t="str">
        <f t="shared" si="305"/>
        <v>13</v>
      </c>
      <c r="N2081" t="s">
        <v>3323</v>
      </c>
      <c r="O2081" t="str">
        <f t="shared" si="306"/>
        <v>57511</v>
      </c>
      <c r="P2081" t="str">
        <f t="shared" si="309"/>
        <v>2100L</v>
      </c>
      <c r="Q2081" t="str">
        <f t="shared" si="310"/>
        <v>0101</v>
      </c>
      <c r="R2081">
        <v>2100</v>
      </c>
      <c r="S2081" t="str">
        <f t="shared" si="308"/>
        <v>5750</v>
      </c>
      <c r="T2081" t="s">
        <v>3626</v>
      </c>
      <c r="U2081" t="s">
        <v>53</v>
      </c>
    </row>
    <row r="2082" spans="1:21" ht="15" customHeight="1" x14ac:dyDescent="0.3">
      <c r="A2082" t="s">
        <v>179</v>
      </c>
      <c r="B2082" t="str">
        <f>"00057913"</f>
        <v>00057913</v>
      </c>
      <c r="C2082" t="s">
        <v>4262</v>
      </c>
      <c r="D2082" t="s">
        <v>1854</v>
      </c>
      <c r="E2082" t="str">
        <f>"00047636"</f>
        <v>00047636</v>
      </c>
      <c r="F2082">
        <v>0</v>
      </c>
      <c r="G2082" s="243">
        <v>38951</v>
      </c>
      <c r="H2082" t="s">
        <v>182</v>
      </c>
      <c r="I2082">
        <v>15</v>
      </c>
      <c r="J2082">
        <v>12</v>
      </c>
      <c r="K2082">
        <v>1</v>
      </c>
      <c r="L2082">
        <v>87431</v>
      </c>
      <c r="M2082" t="str">
        <f t="shared" si="305"/>
        <v>13</v>
      </c>
      <c r="N2082" t="s">
        <v>3323</v>
      </c>
      <c r="O2082" t="str">
        <f t="shared" si="306"/>
        <v>57511</v>
      </c>
      <c r="P2082" t="str">
        <f t="shared" si="309"/>
        <v>2100L</v>
      </c>
      <c r="Q2082" t="str">
        <f t="shared" si="310"/>
        <v>0101</v>
      </c>
      <c r="R2082">
        <v>2100</v>
      </c>
      <c r="S2082" t="str">
        <f t="shared" si="308"/>
        <v>5750</v>
      </c>
      <c r="T2082" t="s">
        <v>3626</v>
      </c>
      <c r="U2082" t="s">
        <v>53</v>
      </c>
    </row>
    <row r="2083" spans="1:21" ht="15" customHeight="1" x14ac:dyDescent="0.3">
      <c r="A2083" t="s">
        <v>179</v>
      </c>
      <c r="B2083" t="str">
        <f>"00058188"</f>
        <v>00058188</v>
      </c>
      <c r="C2083" t="s">
        <v>4262</v>
      </c>
      <c r="D2083" t="s">
        <v>544</v>
      </c>
      <c r="E2083" t="str">
        <f>"00056140"</f>
        <v>00056140</v>
      </c>
      <c r="F2083">
        <v>0</v>
      </c>
      <c r="G2083" s="243">
        <v>40042</v>
      </c>
      <c r="H2083" t="s">
        <v>182</v>
      </c>
      <c r="I2083">
        <v>15</v>
      </c>
      <c r="J2083">
        <v>11</v>
      </c>
      <c r="K2083">
        <v>1</v>
      </c>
      <c r="L2083">
        <v>70891</v>
      </c>
      <c r="M2083" t="str">
        <f t="shared" si="305"/>
        <v>13</v>
      </c>
      <c r="N2083" t="s">
        <v>3323</v>
      </c>
      <c r="O2083" t="str">
        <f t="shared" si="306"/>
        <v>57511</v>
      </c>
      <c r="P2083" t="str">
        <f t="shared" si="309"/>
        <v>2100L</v>
      </c>
      <c r="Q2083" t="str">
        <f t="shared" si="310"/>
        <v>0101</v>
      </c>
      <c r="R2083">
        <v>2100</v>
      </c>
      <c r="S2083" t="str">
        <f t="shared" si="308"/>
        <v>5750</v>
      </c>
      <c r="T2083" t="s">
        <v>3626</v>
      </c>
      <c r="U2083" t="s">
        <v>53</v>
      </c>
    </row>
    <row r="2084" spans="1:21" ht="15" customHeight="1" x14ac:dyDescent="0.3">
      <c r="A2084" t="s">
        <v>179</v>
      </c>
      <c r="B2084" t="str">
        <f>"00058282"</f>
        <v>00058282</v>
      </c>
      <c r="C2084" t="s">
        <v>4272</v>
      </c>
      <c r="D2084" t="s">
        <v>1855</v>
      </c>
      <c r="E2084" t="str">
        <f>"00044907"</f>
        <v>00044907</v>
      </c>
      <c r="F2084">
        <v>0</v>
      </c>
      <c r="G2084" s="243">
        <v>37140</v>
      </c>
      <c r="H2084" t="s">
        <v>182</v>
      </c>
      <c r="I2084">
        <v>15</v>
      </c>
      <c r="J2084">
        <v>11</v>
      </c>
      <c r="K2084">
        <v>1</v>
      </c>
      <c r="L2084">
        <v>81335</v>
      </c>
      <c r="M2084" t="str">
        <f t="shared" si="305"/>
        <v>13</v>
      </c>
      <c r="N2084" t="s">
        <v>3323</v>
      </c>
      <c r="O2084" t="str">
        <f t="shared" si="306"/>
        <v>57511</v>
      </c>
      <c r="P2084" t="str">
        <f t="shared" si="309"/>
        <v>2100L</v>
      </c>
      <c r="Q2084" t="str">
        <f t="shared" si="310"/>
        <v>0101</v>
      </c>
      <c r="R2084">
        <v>2100</v>
      </c>
      <c r="S2084" t="str">
        <f t="shared" si="308"/>
        <v>5750</v>
      </c>
      <c r="T2084" t="s">
        <v>3626</v>
      </c>
      <c r="U2084" t="s">
        <v>53</v>
      </c>
    </row>
    <row r="2085" spans="1:21" ht="15" customHeight="1" x14ac:dyDescent="0.3">
      <c r="A2085" t="s">
        <v>179</v>
      </c>
      <c r="B2085" t="str">
        <f>"00059395"</f>
        <v>00059395</v>
      </c>
      <c r="C2085" t="s">
        <v>3798</v>
      </c>
      <c r="D2085" t="s">
        <v>1856</v>
      </c>
      <c r="E2085" t="str">
        <f>"00049145"</f>
        <v>00049145</v>
      </c>
      <c r="F2085">
        <v>0</v>
      </c>
      <c r="G2085" s="243">
        <v>37803</v>
      </c>
      <c r="H2085" t="s">
        <v>182</v>
      </c>
      <c r="I2085">
        <v>61</v>
      </c>
      <c r="J2085">
        <v>7</v>
      </c>
      <c r="K2085">
        <v>1</v>
      </c>
      <c r="L2085">
        <v>128000</v>
      </c>
      <c r="M2085" t="str">
        <f t="shared" si="305"/>
        <v>13</v>
      </c>
      <c r="N2085" t="s">
        <v>3323</v>
      </c>
      <c r="O2085" t="str">
        <f t="shared" si="306"/>
        <v>57511</v>
      </c>
      <c r="P2085" t="str">
        <f>"1501L"</f>
        <v>1501L</v>
      </c>
      <c r="Q2085" t="str">
        <f t="shared" si="310"/>
        <v>0101</v>
      </c>
      <c r="R2085">
        <v>1501</v>
      </c>
      <c r="S2085" t="str">
        <f t="shared" si="308"/>
        <v>5750</v>
      </c>
      <c r="T2085" t="s">
        <v>3626</v>
      </c>
      <c r="U2085" t="s">
        <v>53</v>
      </c>
    </row>
    <row r="2086" spans="1:21" ht="15" customHeight="1" x14ac:dyDescent="0.3">
      <c r="A2086" t="s">
        <v>179</v>
      </c>
      <c r="B2086" t="str">
        <f>"00059410"</f>
        <v>00059410</v>
      </c>
      <c r="C2086" t="s">
        <v>4341</v>
      </c>
      <c r="D2086" t="s">
        <v>3629</v>
      </c>
      <c r="E2086" t="str">
        <f>"00049260"</f>
        <v>00049260</v>
      </c>
      <c r="F2086">
        <v>0</v>
      </c>
      <c r="G2086" s="243">
        <v>37882</v>
      </c>
      <c r="H2086" t="s">
        <v>182</v>
      </c>
      <c r="I2086">
        <v>10</v>
      </c>
      <c r="J2086">
        <v>9</v>
      </c>
      <c r="K2086">
        <v>1</v>
      </c>
      <c r="L2086">
        <v>84226</v>
      </c>
      <c r="M2086" t="str">
        <f t="shared" si="305"/>
        <v>13</v>
      </c>
      <c r="N2086" t="s">
        <v>3323</v>
      </c>
      <c r="O2086" t="str">
        <f t="shared" si="306"/>
        <v>57511</v>
      </c>
      <c r="P2086" t="str">
        <f>"3030L"</f>
        <v>3030L</v>
      </c>
      <c r="Q2086" t="str">
        <f t="shared" si="310"/>
        <v>0101</v>
      </c>
      <c r="R2086">
        <v>3030</v>
      </c>
      <c r="S2086" t="str">
        <f t="shared" si="308"/>
        <v>5750</v>
      </c>
      <c r="T2086" t="s">
        <v>3626</v>
      </c>
      <c r="U2086" t="s">
        <v>53</v>
      </c>
    </row>
    <row r="2087" spans="1:21" ht="15" customHeight="1" x14ac:dyDescent="0.3">
      <c r="A2087" t="s">
        <v>179</v>
      </c>
      <c r="B2087" t="str">
        <f>"00059618"</f>
        <v>00059618</v>
      </c>
      <c r="C2087" t="s">
        <v>4272</v>
      </c>
      <c r="D2087" t="s">
        <v>1857</v>
      </c>
      <c r="E2087" t="str">
        <f>"00045041"</f>
        <v>00045041</v>
      </c>
      <c r="F2087">
        <v>0</v>
      </c>
      <c r="G2087" s="243">
        <v>39855</v>
      </c>
      <c r="H2087" t="s">
        <v>182</v>
      </c>
      <c r="I2087">
        <v>15</v>
      </c>
      <c r="J2087">
        <v>3</v>
      </c>
      <c r="K2087">
        <v>1</v>
      </c>
      <c r="L2087">
        <v>58699</v>
      </c>
      <c r="M2087" t="str">
        <f t="shared" si="305"/>
        <v>13</v>
      </c>
      <c r="N2087" t="s">
        <v>3323</v>
      </c>
      <c r="O2087" t="str">
        <f t="shared" si="306"/>
        <v>57511</v>
      </c>
      <c r="P2087" t="str">
        <f>"2100L"</f>
        <v>2100L</v>
      </c>
      <c r="Q2087" t="str">
        <f t="shared" si="310"/>
        <v>0101</v>
      </c>
      <c r="R2087">
        <v>2100</v>
      </c>
      <c r="S2087" t="str">
        <f t="shared" si="308"/>
        <v>5750</v>
      </c>
      <c r="T2087" t="s">
        <v>3626</v>
      </c>
      <c r="U2087" t="s">
        <v>53</v>
      </c>
    </row>
    <row r="2088" spans="1:21" ht="15" customHeight="1" x14ac:dyDescent="0.3">
      <c r="A2088" t="s">
        <v>179</v>
      </c>
      <c r="B2088" t="str">
        <f>"00060353"</f>
        <v>00060353</v>
      </c>
      <c r="C2088" t="s">
        <v>4254</v>
      </c>
      <c r="D2088" t="s">
        <v>1858</v>
      </c>
      <c r="E2088" t="str">
        <f>"00051919"</f>
        <v>00051919</v>
      </c>
      <c r="F2088">
        <v>0</v>
      </c>
      <c r="G2088" s="243">
        <v>38589</v>
      </c>
      <c r="H2088" t="s">
        <v>182</v>
      </c>
      <c r="I2088">
        <v>15</v>
      </c>
      <c r="J2088">
        <v>11</v>
      </c>
      <c r="K2088">
        <v>1</v>
      </c>
      <c r="L2088">
        <v>73325</v>
      </c>
      <c r="M2088" t="str">
        <f t="shared" si="305"/>
        <v>13</v>
      </c>
      <c r="N2088" t="s">
        <v>3323</v>
      </c>
      <c r="O2088" t="str">
        <f t="shared" si="306"/>
        <v>57511</v>
      </c>
      <c r="P2088" t="str">
        <f>"2100L"</f>
        <v>2100L</v>
      </c>
      <c r="Q2088" t="str">
        <f t="shared" si="310"/>
        <v>0101</v>
      </c>
      <c r="R2088">
        <v>2100</v>
      </c>
      <c r="S2088" t="str">
        <f t="shared" si="308"/>
        <v>5750</v>
      </c>
      <c r="T2088" t="s">
        <v>3626</v>
      </c>
      <c r="U2088" t="s">
        <v>53</v>
      </c>
    </row>
    <row r="2089" spans="1:21" ht="15" customHeight="1" x14ac:dyDescent="0.3">
      <c r="A2089" t="s">
        <v>179</v>
      </c>
      <c r="B2089" t="str">
        <f>"00061100"</f>
        <v>00061100</v>
      </c>
      <c r="C2089" t="s">
        <v>4257</v>
      </c>
      <c r="D2089" t="s">
        <v>1859</v>
      </c>
      <c r="E2089" t="str">
        <f>"00046749"</f>
        <v>00046749</v>
      </c>
      <c r="F2089">
        <v>0</v>
      </c>
      <c r="G2089" s="243">
        <v>39314</v>
      </c>
      <c r="H2089" t="s">
        <v>182</v>
      </c>
      <c r="I2089">
        <v>15</v>
      </c>
      <c r="J2089">
        <v>12</v>
      </c>
      <c r="K2089">
        <v>1</v>
      </c>
      <c r="L2089">
        <v>75816</v>
      </c>
      <c r="M2089" t="str">
        <f t="shared" si="305"/>
        <v>13</v>
      </c>
      <c r="N2089" t="s">
        <v>3323</v>
      </c>
      <c r="O2089" t="str">
        <f t="shared" si="306"/>
        <v>57511</v>
      </c>
      <c r="P2089" t="str">
        <f>"2100L"</f>
        <v>2100L</v>
      </c>
      <c r="Q2089" t="str">
        <f t="shared" si="310"/>
        <v>0101</v>
      </c>
      <c r="R2089">
        <v>2100</v>
      </c>
      <c r="S2089" t="str">
        <f t="shared" si="308"/>
        <v>5750</v>
      </c>
      <c r="T2089" t="s">
        <v>3626</v>
      </c>
      <c r="U2089" t="s">
        <v>53</v>
      </c>
    </row>
    <row r="2090" spans="1:21" ht="15" customHeight="1" x14ac:dyDescent="0.3">
      <c r="A2090" t="s">
        <v>179</v>
      </c>
      <c r="B2090" t="str">
        <f>"00061207"</f>
        <v>00061207</v>
      </c>
      <c r="C2090" t="s">
        <v>4262</v>
      </c>
      <c r="D2090" t="s">
        <v>4925</v>
      </c>
      <c r="E2090" t="str">
        <f>"00069892"</f>
        <v>00069892</v>
      </c>
      <c r="F2090">
        <v>0</v>
      </c>
      <c r="G2090" s="243">
        <v>41133</v>
      </c>
      <c r="H2090" t="s">
        <v>182</v>
      </c>
      <c r="I2090">
        <v>15</v>
      </c>
      <c r="J2090">
        <v>4</v>
      </c>
      <c r="K2090">
        <v>1</v>
      </c>
      <c r="L2090">
        <v>61158</v>
      </c>
      <c r="M2090" t="str">
        <f t="shared" si="305"/>
        <v>13</v>
      </c>
      <c r="N2090" t="s">
        <v>3370</v>
      </c>
      <c r="O2090" t="str">
        <f t="shared" si="306"/>
        <v>57511</v>
      </c>
      <c r="P2090" t="str">
        <f>"2100L"</f>
        <v>2100L</v>
      </c>
      <c r="Q2090" t="str">
        <f t="shared" si="310"/>
        <v>0101</v>
      </c>
      <c r="R2090">
        <v>2100</v>
      </c>
      <c r="S2090" t="str">
        <f t="shared" si="308"/>
        <v>5750</v>
      </c>
      <c r="T2090" t="s">
        <v>3626</v>
      </c>
      <c r="U2090" t="s">
        <v>53</v>
      </c>
    </row>
    <row r="2091" spans="1:21" ht="15" customHeight="1" x14ac:dyDescent="0.3">
      <c r="A2091" t="s">
        <v>179</v>
      </c>
      <c r="B2091" t="str">
        <f>"00062153"</f>
        <v>00062153</v>
      </c>
      <c r="C2091" t="s">
        <v>4260</v>
      </c>
      <c r="D2091" t="s">
        <v>1860</v>
      </c>
      <c r="E2091" t="str">
        <f>"00045600"</f>
        <v>00045600</v>
      </c>
      <c r="F2091">
        <v>0</v>
      </c>
      <c r="G2091" s="243">
        <v>39679</v>
      </c>
      <c r="H2091" t="s">
        <v>182</v>
      </c>
      <c r="I2091">
        <v>15</v>
      </c>
      <c r="J2091">
        <v>10</v>
      </c>
      <c r="K2091">
        <v>1</v>
      </c>
      <c r="L2091">
        <v>78273</v>
      </c>
      <c r="M2091" t="str">
        <f t="shared" si="305"/>
        <v>13</v>
      </c>
      <c r="N2091" t="s">
        <v>3323</v>
      </c>
      <c r="O2091" t="str">
        <f t="shared" si="306"/>
        <v>57511</v>
      </c>
      <c r="P2091" t="str">
        <f>"3030L"</f>
        <v>3030L</v>
      </c>
      <c r="Q2091" t="str">
        <f t="shared" si="310"/>
        <v>0101</v>
      </c>
      <c r="R2091">
        <v>3030</v>
      </c>
      <c r="S2091" t="str">
        <f t="shared" si="308"/>
        <v>5750</v>
      </c>
      <c r="T2091" t="s">
        <v>3626</v>
      </c>
      <c r="U2091" t="s">
        <v>53</v>
      </c>
    </row>
    <row r="2092" spans="1:21" ht="15" customHeight="1" x14ac:dyDescent="0.3">
      <c r="A2092" t="s">
        <v>179</v>
      </c>
      <c r="B2092" t="str">
        <f>"00062231"</f>
        <v>00062231</v>
      </c>
      <c r="C2092" t="s">
        <v>4262</v>
      </c>
      <c r="D2092" t="s">
        <v>1399</v>
      </c>
      <c r="E2092" t="str">
        <f>"00049272"</f>
        <v>00049272</v>
      </c>
      <c r="F2092">
        <v>0</v>
      </c>
      <c r="G2092" s="243">
        <v>33848</v>
      </c>
      <c r="H2092" t="s">
        <v>182</v>
      </c>
      <c r="I2092">
        <v>15</v>
      </c>
      <c r="J2092">
        <v>14</v>
      </c>
      <c r="K2092">
        <v>1</v>
      </c>
      <c r="L2092">
        <v>96460</v>
      </c>
      <c r="M2092" t="str">
        <f t="shared" si="305"/>
        <v>13</v>
      </c>
      <c r="N2092" t="s">
        <v>3370</v>
      </c>
      <c r="O2092" t="str">
        <f t="shared" si="306"/>
        <v>57511</v>
      </c>
      <c r="P2092" t="str">
        <f>"2100L"</f>
        <v>2100L</v>
      </c>
      <c r="Q2092" t="str">
        <f t="shared" si="310"/>
        <v>0101</v>
      </c>
      <c r="R2092">
        <v>2100</v>
      </c>
      <c r="S2092" t="str">
        <f t="shared" si="308"/>
        <v>5750</v>
      </c>
      <c r="T2092" t="s">
        <v>3626</v>
      </c>
      <c r="U2092" t="s">
        <v>53</v>
      </c>
    </row>
    <row r="2093" spans="1:21" ht="15" customHeight="1" x14ac:dyDescent="0.3">
      <c r="A2093" t="s">
        <v>179</v>
      </c>
      <c r="B2093" t="str">
        <f>"00065807"</f>
        <v>00065807</v>
      </c>
      <c r="C2093" t="s">
        <v>4260</v>
      </c>
      <c r="D2093" t="s">
        <v>3695</v>
      </c>
      <c r="E2093" t="str">
        <f>"00065841"</f>
        <v>00065841</v>
      </c>
      <c r="F2093">
        <v>0</v>
      </c>
      <c r="G2093" s="243">
        <v>40755</v>
      </c>
      <c r="H2093" t="s">
        <v>182</v>
      </c>
      <c r="I2093">
        <v>15</v>
      </c>
      <c r="J2093">
        <v>2</v>
      </c>
      <c r="K2093">
        <v>1</v>
      </c>
      <c r="L2093">
        <v>56242</v>
      </c>
      <c r="M2093" t="str">
        <f t="shared" si="305"/>
        <v>13</v>
      </c>
      <c r="N2093" t="s">
        <v>3323</v>
      </c>
      <c r="O2093" t="str">
        <f t="shared" si="306"/>
        <v>57511</v>
      </c>
      <c r="P2093" t="str">
        <f>"3030L"</f>
        <v>3030L</v>
      </c>
      <c r="Q2093" t="str">
        <f t="shared" si="310"/>
        <v>0101</v>
      </c>
      <c r="R2093">
        <v>3030</v>
      </c>
      <c r="S2093" t="str">
        <f t="shared" si="308"/>
        <v>5750</v>
      </c>
      <c r="T2093" t="s">
        <v>3626</v>
      </c>
      <c r="U2093" t="s">
        <v>53</v>
      </c>
    </row>
    <row r="2094" spans="1:21" ht="15" customHeight="1" x14ac:dyDescent="0.3">
      <c r="A2094" t="s">
        <v>179</v>
      </c>
      <c r="B2094" t="str">
        <f>"00066880"</f>
        <v>00066880</v>
      </c>
      <c r="C2094" t="s">
        <v>4262</v>
      </c>
      <c r="D2094" t="s">
        <v>3631</v>
      </c>
      <c r="E2094" t="str">
        <f>"00066833"</f>
        <v>00066833</v>
      </c>
      <c r="F2094">
        <v>0</v>
      </c>
      <c r="G2094" s="243">
        <v>40792</v>
      </c>
      <c r="H2094" t="s">
        <v>182</v>
      </c>
      <c r="I2094">
        <v>15</v>
      </c>
      <c r="J2094">
        <v>2</v>
      </c>
      <c r="K2094">
        <v>1</v>
      </c>
      <c r="L2094">
        <v>51716</v>
      </c>
      <c r="M2094" t="str">
        <f t="shared" si="305"/>
        <v>13</v>
      </c>
      <c r="N2094" t="s">
        <v>3323</v>
      </c>
      <c r="O2094" t="str">
        <f t="shared" si="306"/>
        <v>57511</v>
      </c>
      <c r="P2094" t="str">
        <f>"2100L"</f>
        <v>2100L</v>
      </c>
      <c r="Q2094" t="str">
        <f t="shared" si="310"/>
        <v>0101</v>
      </c>
      <c r="R2094">
        <v>2100</v>
      </c>
      <c r="S2094" t="str">
        <f t="shared" si="308"/>
        <v>5750</v>
      </c>
      <c r="T2094" t="s">
        <v>3626</v>
      </c>
      <c r="U2094" t="s">
        <v>53</v>
      </c>
    </row>
    <row r="2095" spans="1:21" ht="15" customHeight="1" x14ac:dyDescent="0.3">
      <c r="A2095" t="s">
        <v>179</v>
      </c>
      <c r="B2095" t="str">
        <f>"00066881"</f>
        <v>00066881</v>
      </c>
      <c r="C2095" t="s">
        <v>4272</v>
      </c>
      <c r="D2095" t="s">
        <v>2615</v>
      </c>
      <c r="E2095" t="str">
        <f>"00057478"</f>
        <v>00057478</v>
      </c>
      <c r="F2095">
        <v>0</v>
      </c>
      <c r="G2095" s="243">
        <v>40042</v>
      </c>
      <c r="H2095" t="s">
        <v>182</v>
      </c>
      <c r="I2095">
        <v>15</v>
      </c>
      <c r="J2095">
        <v>11</v>
      </c>
      <c r="K2095">
        <v>1</v>
      </c>
      <c r="L2095">
        <v>81335</v>
      </c>
      <c r="M2095" t="str">
        <f t="shared" si="305"/>
        <v>13</v>
      </c>
      <c r="N2095" t="s">
        <v>3323</v>
      </c>
      <c r="O2095" t="str">
        <f t="shared" si="306"/>
        <v>57511</v>
      </c>
      <c r="P2095" t="str">
        <f>"2100L"</f>
        <v>2100L</v>
      </c>
      <c r="Q2095" t="str">
        <f t="shared" si="310"/>
        <v>0101</v>
      </c>
      <c r="R2095">
        <v>2100</v>
      </c>
      <c r="S2095" t="str">
        <f t="shared" si="308"/>
        <v>5750</v>
      </c>
      <c r="T2095" t="s">
        <v>3626</v>
      </c>
      <c r="U2095" t="s">
        <v>53</v>
      </c>
    </row>
    <row r="2096" spans="1:21" ht="15" customHeight="1" x14ac:dyDescent="0.3">
      <c r="A2096" t="s">
        <v>179</v>
      </c>
      <c r="B2096" t="str">
        <f>"00071627"</f>
        <v>00071627</v>
      </c>
      <c r="C2096" t="s">
        <v>4381</v>
      </c>
      <c r="D2096" t="s">
        <v>3627</v>
      </c>
      <c r="E2096" t="str">
        <f>"00051225"</f>
        <v>00051225</v>
      </c>
      <c r="F2096">
        <v>0</v>
      </c>
      <c r="G2096" s="243">
        <v>40426</v>
      </c>
      <c r="H2096" t="s">
        <v>182</v>
      </c>
      <c r="I2096">
        <v>9</v>
      </c>
      <c r="J2096">
        <v>3</v>
      </c>
      <c r="K2096">
        <v>1</v>
      </c>
      <c r="L2096">
        <v>35289</v>
      </c>
      <c r="M2096" t="str">
        <f t="shared" si="305"/>
        <v>13</v>
      </c>
      <c r="N2096" t="s">
        <v>3370</v>
      </c>
      <c r="O2096" t="str">
        <f t="shared" si="306"/>
        <v>57511</v>
      </c>
      <c r="P2096" t="str">
        <f>"1502L"</f>
        <v>1502L</v>
      </c>
      <c r="Q2096" t="str">
        <f t="shared" si="310"/>
        <v>0101</v>
      </c>
      <c r="R2096">
        <v>1502</v>
      </c>
      <c r="S2096" t="str">
        <f t="shared" si="308"/>
        <v>5750</v>
      </c>
      <c r="T2096" t="s">
        <v>3626</v>
      </c>
      <c r="U2096" t="s">
        <v>53</v>
      </c>
    </row>
    <row r="2097" spans="1:21" ht="15" customHeight="1" x14ac:dyDescent="0.3">
      <c r="A2097" t="s">
        <v>179</v>
      </c>
      <c r="B2097" t="str">
        <f>"00072098"</f>
        <v>00072098</v>
      </c>
      <c r="C2097" t="s">
        <v>4288</v>
      </c>
      <c r="D2097" t="s">
        <v>4926</v>
      </c>
      <c r="E2097" t="str">
        <f>"00060544"</f>
        <v>00060544</v>
      </c>
      <c r="F2097">
        <v>0</v>
      </c>
      <c r="G2097" s="243">
        <v>40210</v>
      </c>
      <c r="H2097" t="s">
        <v>182</v>
      </c>
      <c r="I2097">
        <v>4</v>
      </c>
      <c r="J2097">
        <v>2</v>
      </c>
      <c r="K2097">
        <v>1</v>
      </c>
      <c r="L2097">
        <v>23151.63</v>
      </c>
      <c r="M2097" t="str">
        <f t="shared" si="305"/>
        <v>13</v>
      </c>
      <c r="N2097" t="s">
        <v>3323</v>
      </c>
      <c r="O2097" t="str">
        <f t="shared" si="306"/>
        <v>57511</v>
      </c>
      <c r="P2097" t="str">
        <f>"2100L"</f>
        <v>2100L</v>
      </c>
      <c r="Q2097" t="str">
        <f t="shared" si="310"/>
        <v>0101</v>
      </c>
      <c r="R2097">
        <v>2100</v>
      </c>
      <c r="S2097" t="str">
        <f t="shared" si="308"/>
        <v>5750</v>
      </c>
      <c r="T2097" t="s">
        <v>3626</v>
      </c>
      <c r="U2097" t="s">
        <v>53</v>
      </c>
    </row>
    <row r="2098" spans="1:21" ht="15" customHeight="1" x14ac:dyDescent="0.3">
      <c r="A2098" t="s">
        <v>179</v>
      </c>
      <c r="B2098" t="str">
        <f>"00073908"</f>
        <v>00073908</v>
      </c>
      <c r="C2098" t="s">
        <v>4288</v>
      </c>
      <c r="D2098" t="s">
        <v>4927</v>
      </c>
      <c r="E2098" t="str">
        <f>"00069507"</f>
        <v>00069507</v>
      </c>
      <c r="F2098">
        <v>0</v>
      </c>
      <c r="G2098" s="243">
        <v>41133</v>
      </c>
      <c r="H2098" t="s">
        <v>182</v>
      </c>
      <c r="I2098">
        <v>4</v>
      </c>
      <c r="J2098">
        <v>2</v>
      </c>
      <c r="K2098">
        <v>0.71</v>
      </c>
      <c r="L2098">
        <v>23151.63</v>
      </c>
      <c r="M2098" t="str">
        <f t="shared" si="305"/>
        <v>13</v>
      </c>
      <c r="N2098" t="s">
        <v>3323</v>
      </c>
      <c r="O2098" t="str">
        <f t="shared" si="306"/>
        <v>57511</v>
      </c>
      <c r="P2098" t="str">
        <f>"3030L"</f>
        <v>3030L</v>
      </c>
      <c r="Q2098" t="str">
        <f t="shared" si="310"/>
        <v>0101</v>
      </c>
      <c r="R2098">
        <v>3030</v>
      </c>
      <c r="S2098" t="str">
        <f t="shared" si="308"/>
        <v>5750</v>
      </c>
      <c r="T2098" t="s">
        <v>3626</v>
      </c>
      <c r="U2098" t="s">
        <v>53</v>
      </c>
    </row>
    <row r="2099" spans="1:21" ht="15" customHeight="1" x14ac:dyDescent="0.3">
      <c r="A2099" t="s">
        <v>179</v>
      </c>
      <c r="B2099" t="str">
        <f>"00073909"</f>
        <v>00073909</v>
      </c>
      <c r="C2099" t="s">
        <v>4360</v>
      </c>
      <c r="D2099" t="s">
        <v>4928</v>
      </c>
      <c r="E2099" t="str">
        <f>"00053247"</f>
        <v>00053247</v>
      </c>
      <c r="F2099">
        <v>0</v>
      </c>
      <c r="G2099" s="243">
        <v>35382</v>
      </c>
      <c r="H2099" t="s">
        <v>182</v>
      </c>
      <c r="I2099">
        <v>7</v>
      </c>
      <c r="J2099">
        <v>5</v>
      </c>
      <c r="K2099">
        <v>1</v>
      </c>
      <c r="L2099">
        <v>39300</v>
      </c>
      <c r="M2099" t="str">
        <f t="shared" si="305"/>
        <v>13</v>
      </c>
      <c r="N2099" t="s">
        <v>3323</v>
      </c>
      <c r="O2099" t="str">
        <f t="shared" si="306"/>
        <v>57511</v>
      </c>
      <c r="P2099" t="str">
        <f>"1502L"</f>
        <v>1502L</v>
      </c>
      <c r="Q2099" t="str">
        <f t="shared" si="310"/>
        <v>0101</v>
      </c>
      <c r="R2099">
        <v>1502</v>
      </c>
      <c r="S2099" t="str">
        <f t="shared" si="308"/>
        <v>5750</v>
      </c>
      <c r="T2099" t="s">
        <v>3626</v>
      </c>
      <c r="U2099" t="s">
        <v>53</v>
      </c>
    </row>
    <row r="2100" spans="1:21" ht="15" customHeight="1" x14ac:dyDescent="0.3">
      <c r="A2100" t="s">
        <v>179</v>
      </c>
      <c r="B2100" t="str">
        <f>"00073910"</f>
        <v>00073910</v>
      </c>
      <c r="C2100" t="s">
        <v>4395</v>
      </c>
      <c r="D2100" t="s">
        <v>3628</v>
      </c>
      <c r="E2100" t="str">
        <f>"00048364"</f>
        <v>00048364</v>
      </c>
      <c r="F2100">
        <v>0</v>
      </c>
      <c r="G2100" s="243">
        <v>37502</v>
      </c>
      <c r="H2100" t="s">
        <v>182</v>
      </c>
      <c r="I2100">
        <v>10</v>
      </c>
      <c r="J2100">
        <v>1</v>
      </c>
      <c r="K2100">
        <v>1</v>
      </c>
      <c r="L2100">
        <v>62794</v>
      </c>
      <c r="M2100" t="str">
        <f t="shared" si="305"/>
        <v>13</v>
      </c>
      <c r="N2100" t="s">
        <v>3323</v>
      </c>
      <c r="O2100" t="str">
        <f t="shared" si="306"/>
        <v>57511</v>
      </c>
      <c r="P2100" t="str">
        <f>"1502L"</f>
        <v>1502L</v>
      </c>
      <c r="Q2100" t="str">
        <f t="shared" si="310"/>
        <v>0101</v>
      </c>
      <c r="R2100">
        <v>1502</v>
      </c>
      <c r="S2100" t="str">
        <f t="shared" si="308"/>
        <v>5750</v>
      </c>
      <c r="T2100" t="s">
        <v>3626</v>
      </c>
      <c r="U2100" t="s">
        <v>53</v>
      </c>
    </row>
    <row r="2101" spans="1:21" ht="15" customHeight="1" x14ac:dyDescent="0.3">
      <c r="A2101" t="s">
        <v>179</v>
      </c>
      <c r="B2101" t="str">
        <f>"00073911"</f>
        <v>00073911</v>
      </c>
      <c r="C2101" t="s">
        <v>4410</v>
      </c>
      <c r="D2101" t="s">
        <v>1852</v>
      </c>
      <c r="E2101" t="str">
        <f>"00048513"</f>
        <v>00048513</v>
      </c>
      <c r="F2101">
        <v>0</v>
      </c>
      <c r="G2101" s="243">
        <v>36382</v>
      </c>
      <c r="H2101" t="s">
        <v>182</v>
      </c>
      <c r="I2101">
        <v>5</v>
      </c>
      <c r="J2101">
        <v>8</v>
      </c>
      <c r="K2101">
        <v>1</v>
      </c>
      <c r="L2101">
        <v>34758</v>
      </c>
      <c r="M2101" t="str">
        <f t="shared" si="305"/>
        <v>13</v>
      </c>
      <c r="N2101" t="s">
        <v>3323</v>
      </c>
      <c r="O2101" t="str">
        <f t="shared" si="306"/>
        <v>57511</v>
      </c>
      <c r="P2101" t="str">
        <f t="shared" ref="P2101:P2116" si="311">"2100L"</f>
        <v>2100L</v>
      </c>
      <c r="Q2101" t="str">
        <f t="shared" si="310"/>
        <v>0101</v>
      </c>
      <c r="R2101">
        <v>2100</v>
      </c>
      <c r="S2101" t="str">
        <f t="shared" si="308"/>
        <v>5750</v>
      </c>
      <c r="T2101" t="s">
        <v>3626</v>
      </c>
      <c r="U2101" t="s">
        <v>53</v>
      </c>
    </row>
    <row r="2102" spans="1:21" ht="15" customHeight="1" x14ac:dyDescent="0.3">
      <c r="A2102" t="s">
        <v>179</v>
      </c>
      <c r="B2102" t="str">
        <f>"00074254"</f>
        <v>00074254</v>
      </c>
      <c r="C2102" t="s">
        <v>4262</v>
      </c>
      <c r="D2102" t="s">
        <v>3632</v>
      </c>
      <c r="E2102" t="str">
        <f>"00065658"</f>
        <v>00065658</v>
      </c>
      <c r="F2102">
        <v>0</v>
      </c>
      <c r="G2102" s="243">
        <v>40755</v>
      </c>
      <c r="H2102" t="s">
        <v>182</v>
      </c>
      <c r="I2102">
        <v>15</v>
      </c>
      <c r="J2102">
        <v>2</v>
      </c>
      <c r="K2102">
        <v>1</v>
      </c>
      <c r="L2102">
        <v>51716</v>
      </c>
      <c r="M2102" t="str">
        <f t="shared" si="305"/>
        <v>13</v>
      </c>
      <c r="N2102" t="s">
        <v>3323</v>
      </c>
      <c r="O2102" t="str">
        <f t="shared" si="306"/>
        <v>57511</v>
      </c>
      <c r="P2102" t="str">
        <f t="shared" si="311"/>
        <v>2100L</v>
      </c>
      <c r="Q2102" t="str">
        <f t="shared" si="310"/>
        <v>0101</v>
      </c>
      <c r="R2102">
        <v>2100</v>
      </c>
      <c r="S2102" t="str">
        <f t="shared" si="308"/>
        <v>5750</v>
      </c>
      <c r="T2102" t="s">
        <v>3626</v>
      </c>
      <c r="U2102" t="s">
        <v>53</v>
      </c>
    </row>
    <row r="2103" spans="1:21" ht="15" customHeight="1" x14ac:dyDescent="0.3">
      <c r="A2103" t="s">
        <v>179</v>
      </c>
      <c r="B2103" t="str">
        <f>"00074255"</f>
        <v>00074255</v>
      </c>
      <c r="C2103" t="s">
        <v>4290</v>
      </c>
      <c r="D2103" t="s">
        <v>4929</v>
      </c>
      <c r="E2103" t="str">
        <f>"00066316"</f>
        <v>00066316</v>
      </c>
      <c r="F2103">
        <v>0</v>
      </c>
      <c r="G2103" s="243">
        <v>40770</v>
      </c>
      <c r="H2103" t="s">
        <v>182</v>
      </c>
      <c r="I2103">
        <v>4</v>
      </c>
      <c r="J2103">
        <v>5</v>
      </c>
      <c r="K2103">
        <v>0.71</v>
      </c>
      <c r="L2103">
        <v>25239.37</v>
      </c>
      <c r="M2103" t="str">
        <f t="shared" si="305"/>
        <v>13</v>
      </c>
      <c r="N2103" t="s">
        <v>3323</v>
      </c>
      <c r="O2103" t="str">
        <f t="shared" si="306"/>
        <v>57511</v>
      </c>
      <c r="P2103" t="str">
        <f t="shared" si="311"/>
        <v>2100L</v>
      </c>
      <c r="Q2103" t="str">
        <f t="shared" si="310"/>
        <v>0101</v>
      </c>
      <c r="R2103">
        <v>2100</v>
      </c>
      <c r="S2103" t="str">
        <f t="shared" si="308"/>
        <v>5750</v>
      </c>
      <c r="T2103" t="s">
        <v>3626</v>
      </c>
      <c r="U2103" t="s">
        <v>53</v>
      </c>
    </row>
    <row r="2104" spans="1:21" ht="15" customHeight="1" x14ac:dyDescent="0.3">
      <c r="A2104" t="s">
        <v>179</v>
      </c>
      <c r="B2104" t="str">
        <f>"00074256"</f>
        <v>00074256</v>
      </c>
      <c r="C2104" t="s">
        <v>4288</v>
      </c>
      <c r="D2104" t="s">
        <v>4930</v>
      </c>
      <c r="E2104" t="str">
        <f>"00067536"</f>
        <v>00067536</v>
      </c>
      <c r="F2104">
        <v>0</v>
      </c>
      <c r="G2104" s="243">
        <v>41133</v>
      </c>
      <c r="H2104" t="s">
        <v>182</v>
      </c>
      <c r="I2104">
        <v>4</v>
      </c>
      <c r="J2104">
        <v>1</v>
      </c>
      <c r="K2104">
        <v>0.71</v>
      </c>
      <c r="L2104">
        <v>22454.25</v>
      </c>
      <c r="M2104" t="str">
        <f t="shared" si="305"/>
        <v>13</v>
      </c>
      <c r="N2104" t="s">
        <v>3323</v>
      </c>
      <c r="O2104" t="str">
        <f t="shared" si="306"/>
        <v>57511</v>
      </c>
      <c r="P2104" t="str">
        <f t="shared" si="311"/>
        <v>2100L</v>
      </c>
      <c r="Q2104" t="str">
        <f t="shared" si="310"/>
        <v>0101</v>
      </c>
      <c r="R2104">
        <v>2100</v>
      </c>
      <c r="S2104" t="str">
        <f t="shared" si="308"/>
        <v>5750</v>
      </c>
      <c r="T2104" t="s">
        <v>3626</v>
      </c>
      <c r="U2104" t="s">
        <v>53</v>
      </c>
    </row>
    <row r="2105" spans="1:21" ht="15" customHeight="1" x14ac:dyDescent="0.3">
      <c r="A2105" t="s">
        <v>179</v>
      </c>
      <c r="B2105" t="str">
        <f>"00074603"</f>
        <v>00074603</v>
      </c>
      <c r="C2105" t="s">
        <v>200</v>
      </c>
      <c r="D2105" t="s">
        <v>3630</v>
      </c>
      <c r="E2105" t="str">
        <f>"00039565"</f>
        <v>00039565</v>
      </c>
      <c r="F2105">
        <v>0</v>
      </c>
      <c r="G2105" s="243">
        <v>39650</v>
      </c>
      <c r="H2105" t="s">
        <v>182</v>
      </c>
      <c r="I2105">
        <v>15</v>
      </c>
      <c r="J2105">
        <v>9</v>
      </c>
      <c r="K2105">
        <v>1</v>
      </c>
      <c r="L2105">
        <v>75232</v>
      </c>
      <c r="M2105" t="str">
        <f t="shared" si="305"/>
        <v>13</v>
      </c>
      <c r="N2105" t="s">
        <v>3323</v>
      </c>
      <c r="O2105" t="str">
        <f t="shared" si="306"/>
        <v>57511</v>
      </c>
      <c r="P2105" t="str">
        <f t="shared" si="311"/>
        <v>2100L</v>
      </c>
      <c r="Q2105" t="str">
        <f t="shared" si="310"/>
        <v>0101</v>
      </c>
      <c r="R2105">
        <v>2100</v>
      </c>
      <c r="S2105" t="str">
        <f t="shared" si="308"/>
        <v>5750</v>
      </c>
      <c r="T2105" t="s">
        <v>3626</v>
      </c>
      <c r="U2105" t="s">
        <v>53</v>
      </c>
    </row>
    <row r="2106" spans="1:21" ht="15" customHeight="1" x14ac:dyDescent="0.3">
      <c r="A2106" t="s">
        <v>179</v>
      </c>
      <c r="B2106" t="str">
        <f>"00075177"</f>
        <v>00075177</v>
      </c>
      <c r="C2106" t="s">
        <v>4260</v>
      </c>
      <c r="D2106" t="s">
        <v>1115</v>
      </c>
      <c r="E2106" t="str">
        <f>"00058514"</f>
        <v>00058514</v>
      </c>
      <c r="F2106">
        <v>0</v>
      </c>
      <c r="G2106" s="243">
        <v>40077</v>
      </c>
      <c r="H2106" t="s">
        <v>182</v>
      </c>
      <c r="I2106">
        <v>15</v>
      </c>
      <c r="J2106">
        <v>2</v>
      </c>
      <c r="K2106">
        <v>1</v>
      </c>
      <c r="L2106">
        <v>54099</v>
      </c>
      <c r="M2106" t="str">
        <f t="shared" si="305"/>
        <v>13</v>
      </c>
      <c r="N2106" t="s">
        <v>3323</v>
      </c>
      <c r="O2106" t="str">
        <f t="shared" si="306"/>
        <v>57511</v>
      </c>
      <c r="P2106" t="str">
        <f t="shared" si="311"/>
        <v>2100L</v>
      </c>
      <c r="Q2106" t="str">
        <f t="shared" si="310"/>
        <v>0101</v>
      </c>
      <c r="R2106">
        <v>2100</v>
      </c>
      <c r="S2106" t="str">
        <f t="shared" si="308"/>
        <v>5750</v>
      </c>
      <c r="T2106" t="s">
        <v>3626</v>
      </c>
      <c r="U2106" t="s">
        <v>53</v>
      </c>
    </row>
    <row r="2107" spans="1:21" ht="15" customHeight="1" x14ac:dyDescent="0.3">
      <c r="A2107" t="s">
        <v>179</v>
      </c>
      <c r="B2107" t="str">
        <f>"00076244"</f>
        <v>00076244</v>
      </c>
      <c r="C2107" t="s">
        <v>4372</v>
      </c>
      <c r="D2107" t="s">
        <v>4931</v>
      </c>
      <c r="E2107" t="str">
        <f>"00066317"</f>
        <v>00066317</v>
      </c>
      <c r="F2107">
        <v>0</v>
      </c>
      <c r="G2107" s="243">
        <v>40770</v>
      </c>
      <c r="H2107" t="s">
        <v>182</v>
      </c>
      <c r="I2107">
        <v>4</v>
      </c>
      <c r="J2107">
        <v>10</v>
      </c>
      <c r="K2107">
        <v>1</v>
      </c>
      <c r="L2107">
        <v>32824</v>
      </c>
      <c r="M2107" t="str">
        <f t="shared" si="305"/>
        <v>13</v>
      </c>
      <c r="N2107" t="s">
        <v>3370</v>
      </c>
      <c r="O2107" t="str">
        <f t="shared" si="306"/>
        <v>57511</v>
      </c>
      <c r="P2107" t="str">
        <f t="shared" si="311"/>
        <v>2100L</v>
      </c>
      <c r="Q2107" t="str">
        <f t="shared" si="310"/>
        <v>0101</v>
      </c>
      <c r="R2107">
        <v>2100</v>
      </c>
      <c r="S2107" t="str">
        <f t="shared" si="308"/>
        <v>5750</v>
      </c>
      <c r="T2107" t="s">
        <v>3626</v>
      </c>
      <c r="U2107" t="s">
        <v>53</v>
      </c>
    </row>
    <row r="2108" spans="1:21" ht="15" customHeight="1" x14ac:dyDescent="0.3">
      <c r="A2108" t="s">
        <v>179</v>
      </c>
      <c r="B2108" t="str">
        <f>"00076246"</f>
        <v>00076246</v>
      </c>
      <c r="C2108" t="s">
        <v>4262</v>
      </c>
      <c r="D2108" t="s">
        <v>4932</v>
      </c>
      <c r="E2108" t="str">
        <f>"00062893"</f>
        <v>00062893</v>
      </c>
      <c r="F2108">
        <v>0</v>
      </c>
      <c r="G2108" s="243">
        <v>40406</v>
      </c>
      <c r="H2108" t="s">
        <v>182</v>
      </c>
      <c r="I2108">
        <v>15</v>
      </c>
      <c r="J2108">
        <v>8</v>
      </c>
      <c r="K2108">
        <v>1</v>
      </c>
      <c r="L2108">
        <v>74640</v>
      </c>
      <c r="M2108" t="str">
        <f t="shared" si="305"/>
        <v>13</v>
      </c>
      <c r="N2108" t="s">
        <v>3370</v>
      </c>
      <c r="O2108" t="str">
        <f t="shared" si="306"/>
        <v>57511</v>
      </c>
      <c r="P2108" t="str">
        <f t="shared" si="311"/>
        <v>2100L</v>
      </c>
      <c r="Q2108" t="str">
        <f t="shared" si="310"/>
        <v>0101</v>
      </c>
      <c r="R2108">
        <v>2100</v>
      </c>
      <c r="S2108" t="str">
        <f t="shared" si="308"/>
        <v>5750</v>
      </c>
      <c r="T2108" t="s">
        <v>3626</v>
      </c>
      <c r="U2108" t="s">
        <v>53</v>
      </c>
    </row>
    <row r="2109" spans="1:21" ht="15" customHeight="1" x14ac:dyDescent="0.3">
      <c r="A2109" t="s">
        <v>179</v>
      </c>
      <c r="B2109" t="str">
        <f>"00076247"</f>
        <v>00076247</v>
      </c>
      <c r="C2109" t="s">
        <v>4262</v>
      </c>
      <c r="D2109" t="s">
        <v>4933</v>
      </c>
      <c r="E2109" t="str">
        <f>"00065049"</f>
        <v>00065049</v>
      </c>
      <c r="F2109">
        <v>0</v>
      </c>
      <c r="G2109" s="243">
        <v>40686</v>
      </c>
      <c r="H2109" t="s">
        <v>182</v>
      </c>
      <c r="I2109">
        <v>15</v>
      </c>
      <c r="J2109">
        <v>1</v>
      </c>
      <c r="K2109">
        <v>1</v>
      </c>
      <c r="L2109">
        <v>54975</v>
      </c>
      <c r="M2109" t="str">
        <f t="shared" si="305"/>
        <v>13</v>
      </c>
      <c r="N2109" t="s">
        <v>3370</v>
      </c>
      <c r="O2109" t="str">
        <f t="shared" si="306"/>
        <v>57511</v>
      </c>
      <c r="P2109" t="str">
        <f t="shared" si="311"/>
        <v>2100L</v>
      </c>
      <c r="Q2109" t="str">
        <f t="shared" si="310"/>
        <v>0101</v>
      </c>
      <c r="R2109">
        <v>2100</v>
      </c>
      <c r="S2109" t="str">
        <f t="shared" si="308"/>
        <v>5750</v>
      </c>
      <c r="T2109" t="s">
        <v>3626</v>
      </c>
      <c r="U2109" t="s">
        <v>53</v>
      </c>
    </row>
    <row r="2110" spans="1:21" ht="15" customHeight="1" x14ac:dyDescent="0.3">
      <c r="A2110" t="s">
        <v>179</v>
      </c>
      <c r="B2110" t="str">
        <f>"00051586"</f>
        <v>00051586</v>
      </c>
      <c r="C2110" t="s">
        <v>4262</v>
      </c>
      <c r="D2110" t="s">
        <v>1861</v>
      </c>
      <c r="E2110" t="str">
        <f>"00044996"</f>
        <v>00044996</v>
      </c>
      <c r="F2110">
        <v>0</v>
      </c>
      <c r="G2110" s="243">
        <v>32050</v>
      </c>
      <c r="H2110" t="s">
        <v>182</v>
      </c>
      <c r="I2110">
        <v>15</v>
      </c>
      <c r="J2110">
        <v>16</v>
      </c>
      <c r="K2110">
        <v>1</v>
      </c>
      <c r="L2110">
        <v>106540</v>
      </c>
      <c r="M2110" t="str">
        <f t="shared" si="305"/>
        <v>13</v>
      </c>
      <c r="N2110" t="s">
        <v>3323</v>
      </c>
      <c r="O2110" t="str">
        <f t="shared" ref="O2110:O2136" si="312">"57611"</f>
        <v>57611</v>
      </c>
      <c r="P2110" t="str">
        <f t="shared" si="311"/>
        <v>2100L</v>
      </c>
      <c r="Q2110" t="str">
        <f t="shared" si="310"/>
        <v>0101</v>
      </c>
      <c r="R2110">
        <v>2100</v>
      </c>
      <c r="S2110" t="str">
        <f t="shared" ref="S2110:S2136" si="313">"5760"</f>
        <v>5760</v>
      </c>
      <c r="T2110" t="s">
        <v>3634</v>
      </c>
      <c r="U2110" t="s">
        <v>4934</v>
      </c>
    </row>
    <row r="2111" spans="1:21" ht="15" customHeight="1" x14ac:dyDescent="0.3">
      <c r="A2111" t="s">
        <v>179</v>
      </c>
      <c r="B2111" t="str">
        <f>"00051649"</f>
        <v>00051649</v>
      </c>
      <c r="C2111" t="s">
        <v>4262</v>
      </c>
      <c r="D2111" t="s">
        <v>1862</v>
      </c>
      <c r="E2111" t="str">
        <f>"00045301"</f>
        <v>00045301</v>
      </c>
      <c r="F2111">
        <v>0</v>
      </c>
      <c r="G2111" s="243">
        <v>36034</v>
      </c>
      <c r="H2111" t="s">
        <v>182</v>
      </c>
      <c r="I2111">
        <v>15</v>
      </c>
      <c r="J2111">
        <v>12</v>
      </c>
      <c r="K2111">
        <v>1</v>
      </c>
      <c r="L2111">
        <v>87431</v>
      </c>
      <c r="M2111" t="str">
        <f t="shared" si="305"/>
        <v>13</v>
      </c>
      <c r="N2111" t="s">
        <v>3323</v>
      </c>
      <c r="O2111" t="str">
        <f t="shared" si="312"/>
        <v>57611</v>
      </c>
      <c r="P2111" t="str">
        <f t="shared" si="311"/>
        <v>2100L</v>
      </c>
      <c r="Q2111" t="str">
        <f t="shared" si="310"/>
        <v>0101</v>
      </c>
      <c r="R2111">
        <v>2100</v>
      </c>
      <c r="S2111" t="str">
        <f t="shared" si="313"/>
        <v>5760</v>
      </c>
      <c r="T2111" t="s">
        <v>3634</v>
      </c>
      <c r="U2111" t="s">
        <v>4934</v>
      </c>
    </row>
    <row r="2112" spans="1:21" ht="15" customHeight="1" x14ac:dyDescent="0.3">
      <c r="A2112" t="s">
        <v>179</v>
      </c>
      <c r="B2112" t="str">
        <f>"00051720"</f>
        <v>00051720</v>
      </c>
      <c r="C2112" t="s">
        <v>4262</v>
      </c>
      <c r="D2112" t="s">
        <v>1073</v>
      </c>
      <c r="E2112" t="str">
        <f>"00062599"</f>
        <v>00062599</v>
      </c>
      <c r="F2112">
        <v>0</v>
      </c>
      <c r="G2112" s="243">
        <v>40406</v>
      </c>
      <c r="H2112" t="s">
        <v>182</v>
      </c>
      <c r="I2112">
        <v>15</v>
      </c>
      <c r="J2112">
        <v>7</v>
      </c>
      <c r="K2112">
        <v>1</v>
      </c>
      <c r="L2112">
        <v>69132</v>
      </c>
      <c r="M2112" t="str">
        <f t="shared" si="305"/>
        <v>13</v>
      </c>
      <c r="N2112" t="s">
        <v>3323</v>
      </c>
      <c r="O2112" t="str">
        <f t="shared" si="312"/>
        <v>57611</v>
      </c>
      <c r="P2112" t="str">
        <f t="shared" si="311"/>
        <v>2100L</v>
      </c>
      <c r="Q2112" t="str">
        <f t="shared" si="310"/>
        <v>0101</v>
      </c>
      <c r="R2112">
        <v>2100</v>
      </c>
      <c r="S2112" t="str">
        <f t="shared" si="313"/>
        <v>5760</v>
      </c>
      <c r="T2112" t="s">
        <v>3634</v>
      </c>
      <c r="U2112" t="s">
        <v>4934</v>
      </c>
    </row>
    <row r="2113" spans="1:21" ht="15" customHeight="1" x14ac:dyDescent="0.3">
      <c r="A2113" t="s">
        <v>179</v>
      </c>
      <c r="B2113" t="str">
        <f>"00051894"</f>
        <v>00051894</v>
      </c>
      <c r="C2113" t="s">
        <v>4256</v>
      </c>
      <c r="D2113" t="s">
        <v>1900</v>
      </c>
      <c r="E2113" t="str">
        <f>"00046453"</f>
        <v>00046453</v>
      </c>
      <c r="F2113">
        <v>0</v>
      </c>
      <c r="G2113" s="243">
        <v>32566</v>
      </c>
      <c r="H2113" t="s">
        <v>182</v>
      </c>
      <c r="I2113">
        <v>15</v>
      </c>
      <c r="J2113">
        <v>16</v>
      </c>
      <c r="K2113">
        <v>1</v>
      </c>
      <c r="L2113">
        <v>100839</v>
      </c>
      <c r="M2113" t="str">
        <f t="shared" si="305"/>
        <v>13</v>
      </c>
      <c r="N2113" t="s">
        <v>3323</v>
      </c>
      <c r="O2113" t="str">
        <f t="shared" si="312"/>
        <v>57611</v>
      </c>
      <c r="P2113" t="str">
        <f t="shared" si="311"/>
        <v>2100L</v>
      </c>
      <c r="Q2113" t="str">
        <f t="shared" si="310"/>
        <v>0101</v>
      </c>
      <c r="R2113">
        <v>2100</v>
      </c>
      <c r="S2113" t="str">
        <f t="shared" si="313"/>
        <v>5760</v>
      </c>
      <c r="T2113" t="s">
        <v>3634</v>
      </c>
      <c r="U2113" t="s">
        <v>4934</v>
      </c>
    </row>
    <row r="2114" spans="1:21" ht="15" customHeight="1" x14ac:dyDescent="0.3">
      <c r="A2114" t="s">
        <v>179</v>
      </c>
      <c r="B2114" t="str">
        <f>"00051942"</f>
        <v>00051942</v>
      </c>
      <c r="C2114" t="s">
        <v>4266</v>
      </c>
      <c r="D2114" t="s">
        <v>1901</v>
      </c>
      <c r="E2114" t="str">
        <f>"00046627"</f>
        <v>00046627</v>
      </c>
      <c r="F2114">
        <v>0</v>
      </c>
      <c r="G2114" s="243">
        <v>34593</v>
      </c>
      <c r="H2114" t="s">
        <v>182</v>
      </c>
      <c r="I2114">
        <v>15</v>
      </c>
      <c r="J2114">
        <v>16</v>
      </c>
      <c r="K2114">
        <v>1</v>
      </c>
      <c r="L2114">
        <v>100839</v>
      </c>
      <c r="M2114" t="str">
        <f t="shared" si="305"/>
        <v>13</v>
      </c>
      <c r="N2114" t="s">
        <v>3323</v>
      </c>
      <c r="O2114" t="str">
        <f t="shared" si="312"/>
        <v>57611</v>
      </c>
      <c r="P2114" t="str">
        <f t="shared" si="311"/>
        <v>2100L</v>
      </c>
      <c r="Q2114" t="str">
        <f t="shared" si="310"/>
        <v>0101</v>
      </c>
      <c r="R2114">
        <v>2100</v>
      </c>
      <c r="S2114" t="str">
        <f t="shared" si="313"/>
        <v>5760</v>
      </c>
      <c r="T2114" t="s">
        <v>3634</v>
      </c>
      <c r="U2114" t="s">
        <v>4934</v>
      </c>
    </row>
    <row r="2115" spans="1:21" ht="15" customHeight="1" x14ac:dyDescent="0.3">
      <c r="A2115" t="s">
        <v>179</v>
      </c>
      <c r="B2115" t="str">
        <f>"00052805"</f>
        <v>00052805</v>
      </c>
      <c r="C2115" t="s">
        <v>4258</v>
      </c>
      <c r="H2115" t="s">
        <v>170</v>
      </c>
      <c r="I2115">
        <v>15</v>
      </c>
      <c r="J2115">
        <v>1</v>
      </c>
      <c r="K2115">
        <v>1</v>
      </c>
      <c r="L2115">
        <v>51539</v>
      </c>
      <c r="M2115" t="str">
        <f t="shared" si="305"/>
        <v>13</v>
      </c>
      <c r="N2115" t="s">
        <v>3323</v>
      </c>
      <c r="O2115" t="str">
        <f t="shared" si="312"/>
        <v>57611</v>
      </c>
      <c r="P2115" t="str">
        <f t="shared" si="311"/>
        <v>2100L</v>
      </c>
      <c r="Q2115" t="str">
        <f t="shared" si="310"/>
        <v>0101</v>
      </c>
      <c r="R2115">
        <v>2100</v>
      </c>
      <c r="S2115" t="str">
        <f t="shared" si="313"/>
        <v>5760</v>
      </c>
      <c r="T2115" t="s">
        <v>3634</v>
      </c>
      <c r="U2115" t="s">
        <v>4934</v>
      </c>
    </row>
    <row r="2116" spans="1:21" ht="15" customHeight="1" x14ac:dyDescent="0.3">
      <c r="A2116" t="s">
        <v>179</v>
      </c>
      <c r="B2116" t="str">
        <f>"00053366"</f>
        <v>00053366</v>
      </c>
      <c r="C2116" t="s">
        <v>4262</v>
      </c>
      <c r="D2116" t="s">
        <v>1863</v>
      </c>
      <c r="E2116" t="str">
        <f>"00051373"</f>
        <v>00051373</v>
      </c>
      <c r="F2116">
        <v>0</v>
      </c>
      <c r="G2116" s="243">
        <v>32050</v>
      </c>
      <c r="H2116" t="s">
        <v>182</v>
      </c>
      <c r="I2116">
        <v>15</v>
      </c>
      <c r="J2116">
        <v>16</v>
      </c>
      <c r="K2116">
        <v>1</v>
      </c>
      <c r="L2116">
        <v>100839</v>
      </c>
      <c r="M2116" t="str">
        <f t="shared" si="305"/>
        <v>13</v>
      </c>
      <c r="N2116" t="s">
        <v>3323</v>
      </c>
      <c r="O2116" t="str">
        <f t="shared" si="312"/>
        <v>57611</v>
      </c>
      <c r="P2116" t="str">
        <f t="shared" si="311"/>
        <v>2100L</v>
      </c>
      <c r="Q2116" t="str">
        <f t="shared" si="310"/>
        <v>0101</v>
      </c>
      <c r="R2116">
        <v>2100</v>
      </c>
      <c r="S2116" t="str">
        <f t="shared" si="313"/>
        <v>5760</v>
      </c>
      <c r="T2116" t="s">
        <v>3634</v>
      </c>
      <c r="U2116" t="s">
        <v>4934</v>
      </c>
    </row>
    <row r="2117" spans="1:21" ht="15" customHeight="1" x14ac:dyDescent="0.3">
      <c r="A2117" t="s">
        <v>179</v>
      </c>
      <c r="B2117" t="str">
        <f>"00054680"</f>
        <v>00054680</v>
      </c>
      <c r="C2117" t="s">
        <v>4272</v>
      </c>
      <c r="D2117" t="s">
        <v>1864</v>
      </c>
      <c r="E2117" t="str">
        <f>"00054401"</f>
        <v>00054401</v>
      </c>
      <c r="F2117">
        <v>0</v>
      </c>
      <c r="G2117" s="243">
        <v>32050</v>
      </c>
      <c r="H2117" t="s">
        <v>182</v>
      </c>
      <c r="I2117">
        <v>15</v>
      </c>
      <c r="J2117">
        <v>16</v>
      </c>
      <c r="K2117">
        <v>1</v>
      </c>
      <c r="L2117">
        <v>106540</v>
      </c>
      <c r="M2117" t="str">
        <f t="shared" si="305"/>
        <v>13</v>
      </c>
      <c r="N2117" t="s">
        <v>3323</v>
      </c>
      <c r="O2117" t="str">
        <f t="shared" si="312"/>
        <v>57611</v>
      </c>
      <c r="P2117" t="str">
        <f t="shared" ref="P2117:P2124" si="314">"2100L"</f>
        <v>2100L</v>
      </c>
      <c r="Q2117" t="str">
        <f t="shared" si="310"/>
        <v>0101</v>
      </c>
      <c r="R2117">
        <v>2100</v>
      </c>
      <c r="S2117" t="str">
        <f t="shared" si="313"/>
        <v>5760</v>
      </c>
      <c r="T2117" t="s">
        <v>3634</v>
      </c>
      <c r="U2117" t="s">
        <v>4934</v>
      </c>
    </row>
    <row r="2118" spans="1:21" ht="15" customHeight="1" x14ac:dyDescent="0.3">
      <c r="A2118" t="s">
        <v>179</v>
      </c>
      <c r="B2118" t="str">
        <f>"00054927"</f>
        <v>00054927</v>
      </c>
      <c r="C2118" t="s">
        <v>4272</v>
      </c>
      <c r="D2118" t="s">
        <v>1865</v>
      </c>
      <c r="E2118" t="str">
        <f>"00055030"</f>
        <v>00055030</v>
      </c>
      <c r="F2118">
        <v>0</v>
      </c>
      <c r="G2118" s="243">
        <v>32050</v>
      </c>
      <c r="H2118" t="s">
        <v>182</v>
      </c>
      <c r="I2118">
        <v>15</v>
      </c>
      <c r="J2118">
        <v>16</v>
      </c>
      <c r="K2118">
        <v>1</v>
      </c>
      <c r="L2118">
        <v>100839</v>
      </c>
      <c r="M2118" t="str">
        <f t="shared" si="305"/>
        <v>13</v>
      </c>
      <c r="N2118" t="s">
        <v>3323</v>
      </c>
      <c r="O2118" t="str">
        <f t="shared" si="312"/>
        <v>57611</v>
      </c>
      <c r="P2118" t="str">
        <f t="shared" si="314"/>
        <v>2100L</v>
      </c>
      <c r="Q2118" t="str">
        <f t="shared" si="310"/>
        <v>0101</v>
      </c>
      <c r="R2118">
        <v>2100</v>
      </c>
      <c r="S2118" t="str">
        <f t="shared" si="313"/>
        <v>5760</v>
      </c>
      <c r="T2118" t="s">
        <v>3634</v>
      </c>
      <c r="U2118" t="s">
        <v>4934</v>
      </c>
    </row>
    <row r="2119" spans="1:21" ht="15" customHeight="1" x14ac:dyDescent="0.3">
      <c r="A2119" t="s">
        <v>179</v>
      </c>
      <c r="B2119" t="str">
        <f>"00055163"</f>
        <v>00055163</v>
      </c>
      <c r="C2119" t="s">
        <v>4262</v>
      </c>
      <c r="D2119" t="s">
        <v>1866</v>
      </c>
      <c r="E2119" t="str">
        <f>"00046269"</f>
        <v>00046269</v>
      </c>
      <c r="F2119">
        <v>0</v>
      </c>
      <c r="G2119" s="243">
        <v>36390</v>
      </c>
      <c r="H2119" t="s">
        <v>182</v>
      </c>
      <c r="I2119">
        <v>15</v>
      </c>
      <c r="J2119">
        <v>16</v>
      </c>
      <c r="K2119">
        <v>1</v>
      </c>
      <c r="L2119">
        <v>106540</v>
      </c>
      <c r="M2119" t="str">
        <f t="shared" si="305"/>
        <v>13</v>
      </c>
      <c r="N2119" t="s">
        <v>3323</v>
      </c>
      <c r="O2119" t="str">
        <f t="shared" si="312"/>
        <v>57611</v>
      </c>
      <c r="P2119" t="str">
        <f t="shared" si="314"/>
        <v>2100L</v>
      </c>
      <c r="Q2119" t="str">
        <f t="shared" si="310"/>
        <v>0101</v>
      </c>
      <c r="R2119">
        <v>2100</v>
      </c>
      <c r="S2119" t="str">
        <f t="shared" si="313"/>
        <v>5760</v>
      </c>
      <c r="T2119" t="s">
        <v>3634</v>
      </c>
      <c r="U2119" t="s">
        <v>4934</v>
      </c>
    </row>
    <row r="2120" spans="1:21" ht="15" customHeight="1" x14ac:dyDescent="0.3">
      <c r="A2120" t="s">
        <v>179</v>
      </c>
      <c r="B2120" t="str">
        <f>"00057015"</f>
        <v>00057015</v>
      </c>
      <c r="C2120" t="s">
        <v>4262</v>
      </c>
      <c r="D2120" t="s">
        <v>1867</v>
      </c>
      <c r="E2120" t="str">
        <f>"00047757"</f>
        <v>00047757</v>
      </c>
      <c r="F2120">
        <v>0</v>
      </c>
      <c r="G2120" s="243">
        <v>36479</v>
      </c>
      <c r="H2120" t="s">
        <v>182</v>
      </c>
      <c r="I2120">
        <v>15</v>
      </c>
      <c r="J2120">
        <v>12</v>
      </c>
      <c r="K2120">
        <v>1</v>
      </c>
      <c r="L2120">
        <v>89887</v>
      </c>
      <c r="M2120" t="str">
        <f t="shared" ref="M2120:M2180" si="315">"13"</f>
        <v>13</v>
      </c>
      <c r="N2120" t="s">
        <v>3323</v>
      </c>
      <c r="O2120" t="str">
        <f t="shared" si="312"/>
        <v>57611</v>
      </c>
      <c r="P2120" t="str">
        <f t="shared" si="314"/>
        <v>2100L</v>
      </c>
      <c r="Q2120" t="str">
        <f t="shared" si="310"/>
        <v>0101</v>
      </c>
      <c r="R2120">
        <v>2100</v>
      </c>
      <c r="S2120" t="str">
        <f t="shared" si="313"/>
        <v>5760</v>
      </c>
      <c r="T2120" t="s">
        <v>3634</v>
      </c>
      <c r="U2120" t="s">
        <v>4934</v>
      </c>
    </row>
    <row r="2121" spans="1:21" ht="15" customHeight="1" x14ac:dyDescent="0.3">
      <c r="A2121" t="s">
        <v>179</v>
      </c>
      <c r="B2121" t="str">
        <f>"00057195"</f>
        <v>00057195</v>
      </c>
      <c r="C2121" t="s">
        <v>4262</v>
      </c>
      <c r="H2121" t="s">
        <v>170</v>
      </c>
      <c r="I2121">
        <v>15</v>
      </c>
      <c r="J2121">
        <v>1</v>
      </c>
      <c r="K2121">
        <v>1</v>
      </c>
      <c r="L2121">
        <v>53256</v>
      </c>
      <c r="M2121" t="str">
        <f t="shared" si="315"/>
        <v>13</v>
      </c>
      <c r="N2121" t="s">
        <v>3323</v>
      </c>
      <c r="O2121" t="str">
        <f t="shared" si="312"/>
        <v>57611</v>
      </c>
      <c r="P2121" t="str">
        <f t="shared" si="314"/>
        <v>2100L</v>
      </c>
      <c r="Q2121" t="str">
        <f t="shared" si="310"/>
        <v>0101</v>
      </c>
      <c r="R2121">
        <v>2100</v>
      </c>
      <c r="S2121" t="str">
        <f t="shared" si="313"/>
        <v>5760</v>
      </c>
      <c r="T2121" t="s">
        <v>3634</v>
      </c>
      <c r="U2121" t="s">
        <v>4934</v>
      </c>
    </row>
    <row r="2122" spans="1:21" ht="15" customHeight="1" x14ac:dyDescent="0.3">
      <c r="A2122" t="s">
        <v>179</v>
      </c>
      <c r="B2122" t="str">
        <f>"00057196"</f>
        <v>00057196</v>
      </c>
      <c r="C2122" t="s">
        <v>4274</v>
      </c>
      <c r="D2122" t="s">
        <v>4935</v>
      </c>
      <c r="E2122" t="str">
        <f>"00046073"</f>
        <v>00046073</v>
      </c>
      <c r="F2122">
        <v>0</v>
      </c>
      <c r="G2122" s="243">
        <v>36592</v>
      </c>
      <c r="H2122" t="s">
        <v>182</v>
      </c>
      <c r="I2122">
        <v>4</v>
      </c>
      <c r="J2122">
        <v>8</v>
      </c>
      <c r="K2122">
        <v>0.875</v>
      </c>
      <c r="L2122">
        <v>27329.75</v>
      </c>
      <c r="M2122" t="str">
        <f t="shared" si="315"/>
        <v>13</v>
      </c>
      <c r="N2122" t="s">
        <v>3323</v>
      </c>
      <c r="O2122" t="str">
        <f t="shared" si="312"/>
        <v>57611</v>
      </c>
      <c r="P2122" t="str">
        <f t="shared" si="314"/>
        <v>2100L</v>
      </c>
      <c r="Q2122" t="str">
        <f t="shared" si="310"/>
        <v>0101</v>
      </c>
      <c r="R2122">
        <v>2100</v>
      </c>
      <c r="S2122" t="str">
        <f t="shared" si="313"/>
        <v>5760</v>
      </c>
      <c r="T2122" t="s">
        <v>3634</v>
      </c>
      <c r="U2122" t="s">
        <v>4934</v>
      </c>
    </row>
    <row r="2123" spans="1:21" ht="15" customHeight="1" x14ac:dyDescent="0.3">
      <c r="A2123" t="s">
        <v>179</v>
      </c>
      <c r="B2123" t="str">
        <f>"00057610"</f>
        <v>00057610</v>
      </c>
      <c r="C2123" t="s">
        <v>4262</v>
      </c>
      <c r="D2123" t="s">
        <v>1868</v>
      </c>
      <c r="E2123" t="str">
        <f>"00044790"</f>
        <v>00044790</v>
      </c>
      <c r="F2123">
        <v>0</v>
      </c>
      <c r="G2123" s="243">
        <v>36801</v>
      </c>
      <c r="H2123" t="s">
        <v>182</v>
      </c>
      <c r="I2123">
        <v>15</v>
      </c>
      <c r="J2123">
        <v>14</v>
      </c>
      <c r="K2123">
        <v>1</v>
      </c>
      <c r="L2123">
        <v>96460</v>
      </c>
      <c r="M2123" t="str">
        <f t="shared" si="315"/>
        <v>13</v>
      </c>
      <c r="N2123" t="s">
        <v>3323</v>
      </c>
      <c r="O2123" t="str">
        <f t="shared" si="312"/>
        <v>57611</v>
      </c>
      <c r="P2123" t="str">
        <f t="shared" si="314"/>
        <v>2100L</v>
      </c>
      <c r="Q2123" t="str">
        <f t="shared" si="310"/>
        <v>0101</v>
      </c>
      <c r="R2123">
        <v>2100</v>
      </c>
      <c r="S2123" t="str">
        <f t="shared" si="313"/>
        <v>5760</v>
      </c>
      <c r="T2123" t="s">
        <v>3634</v>
      </c>
      <c r="U2123" t="s">
        <v>4934</v>
      </c>
    </row>
    <row r="2124" spans="1:21" ht="15" customHeight="1" x14ac:dyDescent="0.3">
      <c r="A2124" t="s">
        <v>179</v>
      </c>
      <c r="B2124" t="str">
        <f>"00057877"</f>
        <v>00057877</v>
      </c>
      <c r="C2124" t="s">
        <v>4262</v>
      </c>
      <c r="D2124" t="s">
        <v>1869</v>
      </c>
      <c r="E2124" t="str">
        <f>"00051931"</f>
        <v>00051931</v>
      </c>
      <c r="F2124">
        <v>0</v>
      </c>
      <c r="G2124" s="243">
        <v>38330</v>
      </c>
      <c r="H2124" t="s">
        <v>182</v>
      </c>
      <c r="I2124">
        <v>15</v>
      </c>
      <c r="J2124">
        <v>7</v>
      </c>
      <c r="K2124">
        <v>1</v>
      </c>
      <c r="L2124">
        <v>71581</v>
      </c>
      <c r="M2124" t="str">
        <f t="shared" si="315"/>
        <v>13</v>
      </c>
      <c r="N2124" t="s">
        <v>3323</v>
      </c>
      <c r="O2124" t="str">
        <f t="shared" si="312"/>
        <v>57611</v>
      </c>
      <c r="P2124" t="str">
        <f t="shared" si="314"/>
        <v>2100L</v>
      </c>
      <c r="Q2124" t="str">
        <f t="shared" si="310"/>
        <v>0101</v>
      </c>
      <c r="R2124">
        <v>2100</v>
      </c>
      <c r="S2124" t="str">
        <f t="shared" si="313"/>
        <v>5760</v>
      </c>
      <c r="T2124" t="s">
        <v>3634</v>
      </c>
      <c r="U2124" t="s">
        <v>4934</v>
      </c>
    </row>
    <row r="2125" spans="1:21" ht="15" customHeight="1" x14ac:dyDescent="0.3">
      <c r="A2125" t="s">
        <v>179</v>
      </c>
      <c r="B2125" t="str">
        <f>"00057883"</f>
        <v>00057883</v>
      </c>
      <c r="C2125" t="s">
        <v>4266</v>
      </c>
      <c r="D2125" t="s">
        <v>3642</v>
      </c>
      <c r="E2125" t="str">
        <f>"00066330"</f>
        <v>00066330</v>
      </c>
      <c r="F2125">
        <v>0</v>
      </c>
      <c r="G2125" s="243">
        <v>40755</v>
      </c>
      <c r="H2125" t="s">
        <v>182</v>
      </c>
      <c r="I2125">
        <v>15</v>
      </c>
      <c r="J2125">
        <v>2</v>
      </c>
      <c r="K2125">
        <v>1</v>
      </c>
      <c r="L2125">
        <v>56242</v>
      </c>
      <c r="M2125" t="str">
        <f t="shared" si="315"/>
        <v>13</v>
      </c>
      <c r="N2125" t="s">
        <v>3323</v>
      </c>
      <c r="O2125" t="str">
        <f t="shared" si="312"/>
        <v>57611</v>
      </c>
      <c r="P2125" t="str">
        <f>"2300L"</f>
        <v>2300L</v>
      </c>
      <c r="Q2125" t="str">
        <f t="shared" si="310"/>
        <v>0101</v>
      </c>
      <c r="R2125">
        <v>2300</v>
      </c>
      <c r="S2125" t="str">
        <f t="shared" si="313"/>
        <v>5760</v>
      </c>
      <c r="T2125" t="s">
        <v>3634</v>
      </c>
      <c r="U2125" t="s">
        <v>4934</v>
      </c>
    </row>
    <row r="2126" spans="1:21" ht="15" customHeight="1" x14ac:dyDescent="0.3">
      <c r="A2126" t="s">
        <v>179</v>
      </c>
      <c r="B2126" t="str">
        <f>"00058045"</f>
        <v>00058045</v>
      </c>
      <c r="C2126" t="s">
        <v>4262</v>
      </c>
      <c r="D2126" t="s">
        <v>1870</v>
      </c>
      <c r="E2126" t="str">
        <f>"00055137"</f>
        <v>00055137</v>
      </c>
      <c r="F2126">
        <v>0</v>
      </c>
      <c r="G2126" s="243">
        <v>37124</v>
      </c>
      <c r="H2126" t="s">
        <v>182</v>
      </c>
      <c r="I2126">
        <v>15</v>
      </c>
      <c r="J2126">
        <v>12</v>
      </c>
      <c r="K2126">
        <v>1</v>
      </c>
      <c r="L2126">
        <v>92613</v>
      </c>
      <c r="M2126" t="str">
        <f t="shared" si="315"/>
        <v>13</v>
      </c>
      <c r="N2126" t="s">
        <v>3323</v>
      </c>
      <c r="O2126" t="str">
        <f t="shared" si="312"/>
        <v>57611</v>
      </c>
      <c r="P2126" t="str">
        <f>"2100L"</f>
        <v>2100L</v>
      </c>
      <c r="Q2126" t="str">
        <f t="shared" si="310"/>
        <v>0101</v>
      </c>
      <c r="R2126">
        <v>2100</v>
      </c>
      <c r="S2126" t="str">
        <f t="shared" si="313"/>
        <v>5760</v>
      </c>
      <c r="T2126" t="s">
        <v>3634</v>
      </c>
      <c r="U2126" t="s">
        <v>4934</v>
      </c>
    </row>
    <row r="2127" spans="1:21" ht="15" customHeight="1" x14ac:dyDescent="0.3">
      <c r="A2127" t="s">
        <v>179</v>
      </c>
      <c r="B2127" t="str">
        <f>"00058093"</f>
        <v>00058093</v>
      </c>
      <c r="C2127" t="s">
        <v>4253</v>
      </c>
      <c r="D2127" t="s">
        <v>1871</v>
      </c>
      <c r="E2127" t="str">
        <f>"00044609"</f>
        <v>00044609</v>
      </c>
      <c r="F2127">
        <v>0</v>
      </c>
      <c r="G2127" s="243">
        <v>38951</v>
      </c>
      <c r="H2127" t="s">
        <v>182</v>
      </c>
      <c r="I2127">
        <v>15</v>
      </c>
      <c r="J2127">
        <v>10</v>
      </c>
      <c r="K2127">
        <v>1</v>
      </c>
      <c r="L2127">
        <v>78273</v>
      </c>
      <c r="M2127" t="str">
        <f t="shared" si="315"/>
        <v>13</v>
      </c>
      <c r="N2127" t="s">
        <v>3323</v>
      </c>
      <c r="O2127" t="str">
        <f t="shared" si="312"/>
        <v>57611</v>
      </c>
      <c r="P2127" t="str">
        <f>"2100L"</f>
        <v>2100L</v>
      </c>
      <c r="Q2127" t="str">
        <f t="shared" si="310"/>
        <v>0101</v>
      </c>
      <c r="R2127">
        <v>2100</v>
      </c>
      <c r="S2127" t="str">
        <f t="shared" si="313"/>
        <v>5760</v>
      </c>
      <c r="T2127" t="s">
        <v>3634</v>
      </c>
      <c r="U2127" t="s">
        <v>4934</v>
      </c>
    </row>
    <row r="2128" spans="1:21" ht="15" customHeight="1" x14ac:dyDescent="0.3">
      <c r="A2128" t="s">
        <v>179</v>
      </c>
      <c r="B2128" t="str">
        <f>"00058117"</f>
        <v>00058117</v>
      </c>
      <c r="C2128" t="s">
        <v>4262</v>
      </c>
      <c r="D2128" t="s">
        <v>1872</v>
      </c>
      <c r="E2128" t="str">
        <f>"00049977"</f>
        <v>00049977</v>
      </c>
      <c r="F2128">
        <v>0</v>
      </c>
      <c r="G2128" s="243">
        <v>37124</v>
      </c>
      <c r="H2128" t="s">
        <v>182</v>
      </c>
      <c r="I2128">
        <v>15</v>
      </c>
      <c r="J2128">
        <v>12</v>
      </c>
      <c r="K2128">
        <v>1</v>
      </c>
      <c r="L2128">
        <v>87431</v>
      </c>
      <c r="M2128" t="str">
        <f t="shared" si="315"/>
        <v>13</v>
      </c>
      <c r="N2128" t="s">
        <v>3323</v>
      </c>
      <c r="O2128" t="str">
        <f t="shared" si="312"/>
        <v>57611</v>
      </c>
      <c r="P2128" t="str">
        <f>"2100L"</f>
        <v>2100L</v>
      </c>
      <c r="Q2128" t="str">
        <f t="shared" si="310"/>
        <v>0101</v>
      </c>
      <c r="R2128">
        <v>2100</v>
      </c>
      <c r="S2128" t="str">
        <f t="shared" si="313"/>
        <v>5760</v>
      </c>
      <c r="T2128" t="s">
        <v>3634</v>
      </c>
      <c r="U2128" t="s">
        <v>4934</v>
      </c>
    </row>
    <row r="2129" spans="1:21" ht="15" customHeight="1" x14ac:dyDescent="0.3">
      <c r="A2129" t="s">
        <v>179</v>
      </c>
      <c r="B2129" t="str">
        <f>"00058159"</f>
        <v>00058159</v>
      </c>
      <c r="C2129" t="s">
        <v>4266</v>
      </c>
      <c r="D2129" t="s">
        <v>1903</v>
      </c>
      <c r="E2129" t="str">
        <f>"00046821"</f>
        <v>00046821</v>
      </c>
      <c r="F2129">
        <v>0</v>
      </c>
      <c r="G2129" s="243">
        <v>37166</v>
      </c>
      <c r="H2129" t="s">
        <v>182</v>
      </c>
      <c r="I2129">
        <v>15</v>
      </c>
      <c r="J2129">
        <v>14</v>
      </c>
      <c r="K2129">
        <v>1</v>
      </c>
      <c r="L2129">
        <v>98967</v>
      </c>
      <c r="M2129" t="str">
        <f t="shared" si="315"/>
        <v>13</v>
      </c>
      <c r="N2129" t="s">
        <v>3323</v>
      </c>
      <c r="O2129" t="str">
        <f t="shared" si="312"/>
        <v>57611</v>
      </c>
      <c r="P2129" t="str">
        <f>"2300L"</f>
        <v>2300L</v>
      </c>
      <c r="Q2129" t="str">
        <f t="shared" si="310"/>
        <v>0101</v>
      </c>
      <c r="R2129">
        <v>2300</v>
      </c>
      <c r="S2129" t="str">
        <f t="shared" si="313"/>
        <v>5760</v>
      </c>
      <c r="T2129" t="s">
        <v>3634</v>
      </c>
      <c r="U2129" t="s">
        <v>4934</v>
      </c>
    </row>
    <row r="2130" spans="1:21" ht="15" customHeight="1" x14ac:dyDescent="0.3">
      <c r="A2130" t="s">
        <v>179</v>
      </c>
      <c r="B2130" t="str">
        <f>"00058242"</f>
        <v>00058242</v>
      </c>
      <c r="C2130" t="s">
        <v>4262</v>
      </c>
      <c r="D2130" t="s">
        <v>3640</v>
      </c>
      <c r="E2130" t="str">
        <f>"00066329"</f>
        <v>00066329</v>
      </c>
      <c r="F2130">
        <v>0</v>
      </c>
      <c r="G2130" s="243">
        <v>40755</v>
      </c>
      <c r="H2130" t="s">
        <v>182</v>
      </c>
      <c r="I2130">
        <v>15</v>
      </c>
      <c r="J2130">
        <v>2</v>
      </c>
      <c r="K2130">
        <v>1</v>
      </c>
      <c r="L2130">
        <v>56242</v>
      </c>
      <c r="M2130" t="str">
        <f t="shared" si="315"/>
        <v>13</v>
      </c>
      <c r="N2130" t="s">
        <v>3323</v>
      </c>
      <c r="O2130" t="str">
        <f t="shared" si="312"/>
        <v>57611</v>
      </c>
      <c r="P2130" t="str">
        <f t="shared" ref="P2130:P2136" si="316">"2100L"</f>
        <v>2100L</v>
      </c>
      <c r="Q2130" t="str">
        <f t="shared" si="310"/>
        <v>0101</v>
      </c>
      <c r="R2130">
        <v>2100</v>
      </c>
      <c r="S2130" t="str">
        <f t="shared" si="313"/>
        <v>5760</v>
      </c>
      <c r="T2130" t="s">
        <v>3634</v>
      </c>
      <c r="U2130" t="s">
        <v>4934</v>
      </c>
    </row>
    <row r="2131" spans="1:21" ht="15" customHeight="1" x14ac:dyDescent="0.3">
      <c r="A2131" t="s">
        <v>179</v>
      </c>
      <c r="B2131" t="str">
        <f>"00058246"</f>
        <v>00058246</v>
      </c>
      <c r="C2131" t="s">
        <v>4262</v>
      </c>
      <c r="D2131" t="s">
        <v>1873</v>
      </c>
      <c r="E2131" t="str">
        <f>"00062917"</f>
        <v>00062917</v>
      </c>
      <c r="F2131">
        <v>0</v>
      </c>
      <c r="G2131" s="243">
        <v>40406</v>
      </c>
      <c r="H2131" t="s">
        <v>182</v>
      </c>
      <c r="I2131">
        <v>15</v>
      </c>
      <c r="J2131">
        <v>11</v>
      </c>
      <c r="K2131">
        <v>1</v>
      </c>
      <c r="L2131">
        <v>81335</v>
      </c>
      <c r="M2131" t="str">
        <f t="shared" si="315"/>
        <v>13</v>
      </c>
      <c r="N2131" t="s">
        <v>3323</v>
      </c>
      <c r="O2131" t="str">
        <f t="shared" si="312"/>
        <v>57611</v>
      </c>
      <c r="P2131" t="str">
        <f t="shared" si="316"/>
        <v>2100L</v>
      </c>
      <c r="Q2131" t="str">
        <f t="shared" si="310"/>
        <v>0101</v>
      </c>
      <c r="R2131">
        <v>2100</v>
      </c>
      <c r="S2131" t="str">
        <f t="shared" si="313"/>
        <v>5760</v>
      </c>
      <c r="T2131" t="s">
        <v>3634</v>
      </c>
      <c r="U2131" t="s">
        <v>4934</v>
      </c>
    </row>
    <row r="2132" spans="1:21" ht="15" customHeight="1" x14ac:dyDescent="0.3">
      <c r="A2132" t="s">
        <v>179</v>
      </c>
      <c r="B2132" t="str">
        <f>"00058382"</f>
        <v>00058382</v>
      </c>
      <c r="C2132" t="s">
        <v>4262</v>
      </c>
      <c r="D2132" t="s">
        <v>1874</v>
      </c>
      <c r="E2132" t="str">
        <f>"00055186"</f>
        <v>00055186</v>
      </c>
      <c r="F2132">
        <v>0</v>
      </c>
      <c r="G2132" s="243">
        <v>40087</v>
      </c>
      <c r="H2132" t="s">
        <v>182</v>
      </c>
      <c r="I2132">
        <v>15</v>
      </c>
      <c r="J2132">
        <v>12</v>
      </c>
      <c r="K2132">
        <v>1</v>
      </c>
      <c r="L2132">
        <v>87431</v>
      </c>
      <c r="M2132" t="str">
        <f t="shared" si="315"/>
        <v>13</v>
      </c>
      <c r="N2132" t="s">
        <v>3323</v>
      </c>
      <c r="O2132" t="str">
        <f t="shared" si="312"/>
        <v>57611</v>
      </c>
      <c r="P2132" t="str">
        <f t="shared" si="316"/>
        <v>2100L</v>
      </c>
      <c r="Q2132" t="str">
        <f t="shared" si="310"/>
        <v>0101</v>
      </c>
      <c r="R2132">
        <v>2100</v>
      </c>
      <c r="S2132" t="str">
        <f t="shared" si="313"/>
        <v>5760</v>
      </c>
      <c r="T2132" t="s">
        <v>3634</v>
      </c>
      <c r="U2132" t="s">
        <v>4934</v>
      </c>
    </row>
    <row r="2133" spans="1:21" ht="15" customHeight="1" x14ac:dyDescent="0.3">
      <c r="A2133" t="s">
        <v>179</v>
      </c>
      <c r="B2133" t="str">
        <f>"00058400"</f>
        <v>00058400</v>
      </c>
      <c r="C2133" t="s">
        <v>4262</v>
      </c>
      <c r="D2133" t="s">
        <v>3643</v>
      </c>
      <c r="E2133" t="str">
        <f>"00065882"</f>
        <v>00065882</v>
      </c>
      <c r="F2133">
        <v>0</v>
      </c>
      <c r="G2133" s="243">
        <v>40755</v>
      </c>
      <c r="H2133" t="s">
        <v>182</v>
      </c>
      <c r="I2133">
        <v>15</v>
      </c>
      <c r="J2133">
        <v>2</v>
      </c>
      <c r="K2133">
        <v>1</v>
      </c>
      <c r="L2133">
        <v>51716</v>
      </c>
      <c r="M2133" t="str">
        <f t="shared" si="315"/>
        <v>13</v>
      </c>
      <c r="N2133" t="s">
        <v>3323</v>
      </c>
      <c r="O2133" t="str">
        <f t="shared" si="312"/>
        <v>57611</v>
      </c>
      <c r="P2133" t="str">
        <f t="shared" si="316"/>
        <v>2100L</v>
      </c>
      <c r="Q2133" t="str">
        <f t="shared" si="310"/>
        <v>0101</v>
      </c>
      <c r="R2133">
        <v>2100</v>
      </c>
      <c r="S2133" t="str">
        <f t="shared" si="313"/>
        <v>5760</v>
      </c>
      <c r="T2133" t="s">
        <v>3634</v>
      </c>
      <c r="U2133" t="s">
        <v>4934</v>
      </c>
    </row>
    <row r="2134" spans="1:21" ht="15" customHeight="1" x14ac:dyDescent="0.3">
      <c r="A2134" t="s">
        <v>179</v>
      </c>
      <c r="B2134" t="str">
        <f>"00059020"</f>
        <v>00059020</v>
      </c>
      <c r="C2134" t="s">
        <v>4262</v>
      </c>
      <c r="D2134" t="s">
        <v>1877</v>
      </c>
      <c r="E2134" t="str">
        <f>"00047293"</f>
        <v>00047293</v>
      </c>
      <c r="F2134">
        <v>0</v>
      </c>
      <c r="G2134" s="243">
        <v>37493</v>
      </c>
      <c r="H2134" t="s">
        <v>182</v>
      </c>
      <c r="I2134">
        <v>15</v>
      </c>
      <c r="J2134">
        <v>15</v>
      </c>
      <c r="K2134">
        <v>1</v>
      </c>
      <c r="L2134">
        <v>98285</v>
      </c>
      <c r="M2134" t="str">
        <f t="shared" si="315"/>
        <v>13</v>
      </c>
      <c r="N2134" t="s">
        <v>3323</v>
      </c>
      <c r="O2134" t="str">
        <f t="shared" si="312"/>
        <v>57611</v>
      </c>
      <c r="P2134" t="str">
        <f t="shared" si="316"/>
        <v>2100L</v>
      </c>
      <c r="Q2134" t="str">
        <f t="shared" si="310"/>
        <v>0101</v>
      </c>
      <c r="R2134">
        <v>2100</v>
      </c>
      <c r="S2134" t="str">
        <f t="shared" si="313"/>
        <v>5760</v>
      </c>
      <c r="T2134" t="s">
        <v>3634</v>
      </c>
      <c r="U2134" t="s">
        <v>4934</v>
      </c>
    </row>
    <row r="2135" spans="1:21" ht="15" customHeight="1" x14ac:dyDescent="0.3">
      <c r="A2135" t="s">
        <v>179</v>
      </c>
      <c r="B2135" t="str">
        <f>"00059444"</f>
        <v>00059444</v>
      </c>
      <c r="C2135" t="s">
        <v>4262</v>
      </c>
      <c r="D2135" t="s">
        <v>3635</v>
      </c>
      <c r="E2135" t="str">
        <f>"00047736"</f>
        <v>00047736</v>
      </c>
      <c r="F2135">
        <v>0</v>
      </c>
      <c r="G2135" s="243">
        <v>37110</v>
      </c>
      <c r="H2135" t="s">
        <v>182</v>
      </c>
      <c r="I2135">
        <v>15</v>
      </c>
      <c r="J2135">
        <v>9</v>
      </c>
      <c r="K2135">
        <v>1</v>
      </c>
      <c r="L2135">
        <v>62843</v>
      </c>
      <c r="M2135" t="str">
        <f t="shared" si="315"/>
        <v>13</v>
      </c>
      <c r="N2135" t="s">
        <v>3323</v>
      </c>
      <c r="O2135" t="str">
        <f t="shared" si="312"/>
        <v>57611</v>
      </c>
      <c r="P2135" t="str">
        <f t="shared" si="316"/>
        <v>2100L</v>
      </c>
      <c r="Q2135" t="str">
        <f t="shared" ref="Q2135:Q2196" si="317">"0101"</f>
        <v>0101</v>
      </c>
      <c r="R2135">
        <v>2100</v>
      </c>
      <c r="S2135" t="str">
        <f t="shared" si="313"/>
        <v>5760</v>
      </c>
      <c r="T2135" t="s">
        <v>3634</v>
      </c>
      <c r="U2135" t="s">
        <v>4934</v>
      </c>
    </row>
    <row r="2136" spans="1:21" ht="15" customHeight="1" x14ac:dyDescent="0.3">
      <c r="A2136" t="s">
        <v>179</v>
      </c>
      <c r="B2136" t="str">
        <f>"00059834"</f>
        <v>00059834</v>
      </c>
      <c r="C2136" t="s">
        <v>4260</v>
      </c>
      <c r="D2136" t="s">
        <v>1904</v>
      </c>
      <c r="E2136" t="str">
        <f>"00045815"</f>
        <v>00045815</v>
      </c>
      <c r="F2136">
        <v>0</v>
      </c>
      <c r="G2136" s="243">
        <v>32387</v>
      </c>
      <c r="H2136" t="s">
        <v>182</v>
      </c>
      <c r="I2136">
        <v>15</v>
      </c>
      <c r="J2136">
        <v>16</v>
      </c>
      <c r="K2136">
        <v>1</v>
      </c>
      <c r="L2136">
        <v>100839</v>
      </c>
      <c r="M2136" t="str">
        <f t="shared" si="315"/>
        <v>13</v>
      </c>
      <c r="N2136" t="s">
        <v>3323</v>
      </c>
      <c r="O2136" t="str">
        <f t="shared" si="312"/>
        <v>57611</v>
      </c>
      <c r="P2136" t="str">
        <f t="shared" si="316"/>
        <v>2100L</v>
      </c>
      <c r="Q2136" t="str">
        <f t="shared" si="317"/>
        <v>0101</v>
      </c>
      <c r="R2136">
        <v>2100</v>
      </c>
      <c r="S2136" t="str">
        <f t="shared" si="313"/>
        <v>5760</v>
      </c>
      <c r="T2136" t="s">
        <v>3634</v>
      </c>
      <c r="U2136" t="s">
        <v>4934</v>
      </c>
    </row>
    <row r="2137" spans="1:21" ht="15" customHeight="1" x14ac:dyDescent="0.3">
      <c r="A2137" t="s">
        <v>179</v>
      </c>
      <c r="B2137" t="str">
        <f>"00059899"</f>
        <v>00059899</v>
      </c>
      <c r="C2137" t="s">
        <v>3670</v>
      </c>
      <c r="D2137" t="s">
        <v>1879</v>
      </c>
      <c r="E2137" t="str">
        <f>"00045126"</f>
        <v>00045126</v>
      </c>
      <c r="F2137">
        <v>0</v>
      </c>
      <c r="G2137" s="243">
        <v>39293</v>
      </c>
      <c r="H2137" t="s">
        <v>182</v>
      </c>
      <c r="I2137">
        <v>8</v>
      </c>
      <c r="J2137">
        <v>6</v>
      </c>
      <c r="K2137">
        <v>1</v>
      </c>
      <c r="L2137">
        <v>96453</v>
      </c>
      <c r="M2137" t="str">
        <f t="shared" si="315"/>
        <v>13</v>
      </c>
      <c r="N2137" t="s">
        <v>3323</v>
      </c>
      <c r="O2137" t="str">
        <f t="shared" ref="O2137:O2168" si="318">"57611"</f>
        <v>57611</v>
      </c>
      <c r="P2137" t="str">
        <f>"1501L"</f>
        <v>1501L</v>
      </c>
      <c r="Q2137" t="str">
        <f t="shared" si="317"/>
        <v>0101</v>
      </c>
      <c r="R2137">
        <v>1501</v>
      </c>
      <c r="S2137" t="str">
        <f t="shared" ref="S2137:S2168" si="319">"5760"</f>
        <v>5760</v>
      </c>
      <c r="T2137" t="s">
        <v>3634</v>
      </c>
      <c r="U2137" t="s">
        <v>4934</v>
      </c>
    </row>
    <row r="2138" spans="1:21" ht="15" customHeight="1" x14ac:dyDescent="0.3">
      <c r="A2138" t="s">
        <v>179</v>
      </c>
      <c r="B2138" t="str">
        <f>"00060085"</f>
        <v>00060085</v>
      </c>
      <c r="C2138" t="s">
        <v>4262</v>
      </c>
      <c r="D2138" t="s">
        <v>1884</v>
      </c>
      <c r="E2138" t="str">
        <f>"00045419"</f>
        <v>00045419</v>
      </c>
      <c r="F2138">
        <v>0</v>
      </c>
      <c r="G2138" s="243">
        <v>39679</v>
      </c>
      <c r="H2138" t="s">
        <v>182</v>
      </c>
      <c r="I2138">
        <v>15</v>
      </c>
      <c r="J2138">
        <v>11</v>
      </c>
      <c r="K2138">
        <v>1</v>
      </c>
      <c r="L2138">
        <v>81335</v>
      </c>
      <c r="M2138" t="str">
        <f t="shared" si="315"/>
        <v>13</v>
      </c>
      <c r="N2138" t="s">
        <v>3323</v>
      </c>
      <c r="O2138" t="str">
        <f t="shared" si="318"/>
        <v>57611</v>
      </c>
      <c r="P2138" t="str">
        <f>"2100L"</f>
        <v>2100L</v>
      </c>
      <c r="Q2138" t="str">
        <f t="shared" si="317"/>
        <v>0101</v>
      </c>
      <c r="R2138">
        <v>2100</v>
      </c>
      <c r="S2138" t="str">
        <f t="shared" si="319"/>
        <v>5760</v>
      </c>
      <c r="T2138" t="s">
        <v>3634</v>
      </c>
      <c r="U2138" t="s">
        <v>4934</v>
      </c>
    </row>
    <row r="2139" spans="1:21" ht="15" customHeight="1" x14ac:dyDescent="0.3">
      <c r="A2139" t="s">
        <v>179</v>
      </c>
      <c r="B2139" t="str">
        <f>"00060120"</f>
        <v>00060120</v>
      </c>
      <c r="C2139" t="s">
        <v>4360</v>
      </c>
      <c r="D2139" t="s">
        <v>4936</v>
      </c>
      <c r="E2139" t="str">
        <f>"00053774"</f>
        <v>00053774</v>
      </c>
      <c r="F2139">
        <v>0</v>
      </c>
      <c r="G2139" s="243">
        <v>38392</v>
      </c>
      <c r="H2139" t="s">
        <v>182</v>
      </c>
      <c r="I2139">
        <v>7</v>
      </c>
      <c r="J2139">
        <v>5</v>
      </c>
      <c r="K2139">
        <v>1</v>
      </c>
      <c r="L2139">
        <v>39300</v>
      </c>
      <c r="M2139" t="str">
        <f t="shared" si="315"/>
        <v>13</v>
      </c>
      <c r="N2139" t="s">
        <v>3323</v>
      </c>
      <c r="O2139" t="str">
        <f t="shared" si="318"/>
        <v>57611</v>
      </c>
      <c r="P2139" t="str">
        <f>"1502L"</f>
        <v>1502L</v>
      </c>
      <c r="Q2139" t="str">
        <f t="shared" si="317"/>
        <v>0101</v>
      </c>
      <c r="R2139">
        <v>1502</v>
      </c>
      <c r="S2139" t="str">
        <f t="shared" si="319"/>
        <v>5760</v>
      </c>
      <c r="T2139" t="s">
        <v>3634</v>
      </c>
      <c r="U2139" t="s">
        <v>4934</v>
      </c>
    </row>
    <row r="2140" spans="1:21" ht="15" customHeight="1" x14ac:dyDescent="0.3">
      <c r="A2140" t="s">
        <v>179</v>
      </c>
      <c r="B2140" t="str">
        <f>"00060150"</f>
        <v>00060150</v>
      </c>
      <c r="C2140" t="s">
        <v>4259</v>
      </c>
      <c r="D2140" t="s">
        <v>1905</v>
      </c>
      <c r="E2140" t="str">
        <f>"00050187"</f>
        <v>00050187</v>
      </c>
      <c r="F2140">
        <v>0</v>
      </c>
      <c r="G2140" s="243">
        <v>37124</v>
      </c>
      <c r="H2140" t="s">
        <v>182</v>
      </c>
      <c r="I2140">
        <v>15</v>
      </c>
      <c r="J2140">
        <v>12</v>
      </c>
      <c r="K2140">
        <v>1</v>
      </c>
      <c r="L2140">
        <v>87431</v>
      </c>
      <c r="M2140" t="str">
        <f t="shared" si="315"/>
        <v>13</v>
      </c>
      <c r="N2140" t="s">
        <v>3323</v>
      </c>
      <c r="O2140" t="str">
        <f t="shared" si="318"/>
        <v>57611</v>
      </c>
      <c r="P2140" t="str">
        <f>"2100L"</f>
        <v>2100L</v>
      </c>
      <c r="Q2140" t="str">
        <f t="shared" si="317"/>
        <v>0101</v>
      </c>
      <c r="R2140">
        <v>2100</v>
      </c>
      <c r="S2140" t="str">
        <f t="shared" si="319"/>
        <v>5760</v>
      </c>
      <c r="T2140" t="s">
        <v>3634</v>
      </c>
      <c r="U2140" t="s">
        <v>4934</v>
      </c>
    </row>
    <row r="2141" spans="1:21" ht="15" customHeight="1" x14ac:dyDescent="0.3">
      <c r="A2141" t="s">
        <v>179</v>
      </c>
      <c r="B2141" t="str">
        <f>"00060603"</f>
        <v>00060603</v>
      </c>
      <c r="C2141" t="s">
        <v>4266</v>
      </c>
      <c r="D2141" t="s">
        <v>1906</v>
      </c>
      <c r="E2141" t="str">
        <f>"00059731"</f>
        <v>00059731</v>
      </c>
      <c r="F2141">
        <v>0</v>
      </c>
      <c r="G2141" s="243">
        <v>40122</v>
      </c>
      <c r="H2141" t="s">
        <v>182</v>
      </c>
      <c r="I2141">
        <v>15</v>
      </c>
      <c r="J2141">
        <v>7</v>
      </c>
      <c r="K2141">
        <v>1</v>
      </c>
      <c r="L2141">
        <v>61068</v>
      </c>
      <c r="M2141" t="str">
        <f t="shared" si="315"/>
        <v>13</v>
      </c>
      <c r="N2141" t="s">
        <v>3323</v>
      </c>
      <c r="O2141" t="str">
        <f t="shared" si="318"/>
        <v>57611</v>
      </c>
      <c r="P2141" t="str">
        <f>"2300L"</f>
        <v>2300L</v>
      </c>
      <c r="Q2141" t="str">
        <f t="shared" si="317"/>
        <v>0101</v>
      </c>
      <c r="R2141">
        <v>2300</v>
      </c>
      <c r="S2141" t="str">
        <f t="shared" si="319"/>
        <v>5760</v>
      </c>
      <c r="T2141" t="s">
        <v>3634</v>
      </c>
      <c r="U2141" t="s">
        <v>4934</v>
      </c>
    </row>
    <row r="2142" spans="1:21" ht="15" customHeight="1" x14ac:dyDescent="0.3">
      <c r="A2142" t="s">
        <v>179</v>
      </c>
      <c r="B2142" t="str">
        <f>"00060616"</f>
        <v>00060616</v>
      </c>
      <c r="C2142" t="s">
        <v>4262</v>
      </c>
      <c r="H2142" t="s">
        <v>170</v>
      </c>
      <c r="I2142">
        <v>15</v>
      </c>
      <c r="J2142">
        <v>1</v>
      </c>
      <c r="K2142">
        <v>1</v>
      </c>
      <c r="L2142">
        <v>54975</v>
      </c>
      <c r="M2142" t="str">
        <f t="shared" si="315"/>
        <v>13</v>
      </c>
      <c r="N2142" t="s">
        <v>3323</v>
      </c>
      <c r="O2142" t="str">
        <f t="shared" si="318"/>
        <v>57611</v>
      </c>
      <c r="P2142" t="str">
        <f>"2100L"</f>
        <v>2100L</v>
      </c>
      <c r="Q2142" t="str">
        <f t="shared" si="317"/>
        <v>0101</v>
      </c>
      <c r="R2142">
        <v>2100</v>
      </c>
      <c r="S2142" t="str">
        <f t="shared" si="319"/>
        <v>5760</v>
      </c>
      <c r="T2142" t="s">
        <v>3634</v>
      </c>
      <c r="U2142" t="s">
        <v>4934</v>
      </c>
    </row>
    <row r="2143" spans="1:21" ht="15" customHeight="1" x14ac:dyDescent="0.3">
      <c r="A2143" t="s">
        <v>179</v>
      </c>
      <c r="B2143" t="str">
        <f>"00060826"</f>
        <v>00060826</v>
      </c>
      <c r="C2143" t="s">
        <v>4274</v>
      </c>
      <c r="D2143" t="s">
        <v>4937</v>
      </c>
      <c r="E2143" t="str">
        <f>"00047361"</f>
        <v>00047361</v>
      </c>
      <c r="F2143">
        <v>0</v>
      </c>
      <c r="G2143" s="243">
        <v>39233</v>
      </c>
      <c r="H2143" t="s">
        <v>182</v>
      </c>
      <c r="I2143">
        <v>4</v>
      </c>
      <c r="J2143">
        <v>5</v>
      </c>
      <c r="K2143">
        <v>0.875</v>
      </c>
      <c r="L2143">
        <v>25239.37</v>
      </c>
      <c r="M2143" t="str">
        <f t="shared" si="315"/>
        <v>13</v>
      </c>
      <c r="N2143" t="s">
        <v>3323</v>
      </c>
      <c r="O2143" t="str">
        <f t="shared" si="318"/>
        <v>57611</v>
      </c>
      <c r="P2143" t="str">
        <f>"2100L"</f>
        <v>2100L</v>
      </c>
      <c r="Q2143" t="str">
        <f t="shared" si="317"/>
        <v>0101</v>
      </c>
      <c r="R2143">
        <v>2100</v>
      </c>
      <c r="S2143" t="str">
        <f t="shared" si="319"/>
        <v>5760</v>
      </c>
      <c r="T2143" t="s">
        <v>3634</v>
      </c>
      <c r="U2143" t="s">
        <v>4934</v>
      </c>
    </row>
    <row r="2144" spans="1:21" ht="15" customHeight="1" x14ac:dyDescent="0.3">
      <c r="A2144" t="s">
        <v>179</v>
      </c>
      <c r="B2144" t="str">
        <f>"00060962"</f>
        <v>00060962</v>
      </c>
      <c r="C2144" t="s">
        <v>4266</v>
      </c>
      <c r="D2144" t="s">
        <v>4938</v>
      </c>
      <c r="E2144" t="str">
        <f>"00069677"</f>
        <v>00069677</v>
      </c>
      <c r="F2144">
        <v>0</v>
      </c>
      <c r="G2144" s="243">
        <v>41133</v>
      </c>
      <c r="H2144" t="s">
        <v>182</v>
      </c>
      <c r="I2144">
        <v>15</v>
      </c>
      <c r="J2144">
        <v>5</v>
      </c>
      <c r="K2144">
        <v>1</v>
      </c>
      <c r="L2144">
        <v>63611</v>
      </c>
      <c r="M2144" t="str">
        <f t="shared" si="315"/>
        <v>13</v>
      </c>
      <c r="N2144" t="s">
        <v>3370</v>
      </c>
      <c r="O2144" t="str">
        <f t="shared" si="318"/>
        <v>57611</v>
      </c>
      <c r="P2144" t="str">
        <f>"2100L"</f>
        <v>2100L</v>
      </c>
      <c r="Q2144" t="str">
        <f t="shared" si="317"/>
        <v>0101</v>
      </c>
      <c r="R2144">
        <v>2100</v>
      </c>
      <c r="S2144" t="str">
        <f t="shared" si="319"/>
        <v>5760</v>
      </c>
      <c r="T2144" t="s">
        <v>3634</v>
      </c>
      <c r="U2144" t="s">
        <v>4934</v>
      </c>
    </row>
    <row r="2145" spans="1:21" ht="15" customHeight="1" x14ac:dyDescent="0.3">
      <c r="A2145" t="s">
        <v>179</v>
      </c>
      <c r="B2145" t="str">
        <f>"00061069"</f>
        <v>00061069</v>
      </c>
      <c r="C2145" t="s">
        <v>4253</v>
      </c>
      <c r="D2145" t="s">
        <v>1907</v>
      </c>
      <c r="E2145" t="str">
        <f>"00049323"</f>
        <v>00049323</v>
      </c>
      <c r="F2145">
        <v>0</v>
      </c>
      <c r="G2145" s="243">
        <v>40770</v>
      </c>
      <c r="H2145" t="s">
        <v>182</v>
      </c>
      <c r="I2145">
        <v>15</v>
      </c>
      <c r="J2145">
        <v>6</v>
      </c>
      <c r="K2145">
        <v>1</v>
      </c>
      <c r="L2145">
        <v>66078</v>
      </c>
      <c r="M2145" t="str">
        <f t="shared" si="315"/>
        <v>13</v>
      </c>
      <c r="N2145" t="s">
        <v>3323</v>
      </c>
      <c r="O2145" t="str">
        <f t="shared" si="318"/>
        <v>57611</v>
      </c>
      <c r="P2145" t="str">
        <f>"2100L"</f>
        <v>2100L</v>
      </c>
      <c r="Q2145" t="str">
        <f t="shared" si="317"/>
        <v>0101</v>
      </c>
      <c r="R2145">
        <v>2100</v>
      </c>
      <c r="S2145" t="str">
        <f t="shared" si="319"/>
        <v>5760</v>
      </c>
      <c r="T2145" t="s">
        <v>3634</v>
      </c>
      <c r="U2145" t="s">
        <v>4934</v>
      </c>
    </row>
    <row r="2146" spans="1:21" ht="15" customHeight="1" x14ac:dyDescent="0.3">
      <c r="A2146" t="s">
        <v>179</v>
      </c>
      <c r="B2146" t="str">
        <f>"00061132"</f>
        <v>00061132</v>
      </c>
      <c r="C2146" t="s">
        <v>4306</v>
      </c>
      <c r="D2146" t="s">
        <v>4939</v>
      </c>
      <c r="E2146" t="str">
        <f>"00050736"</f>
        <v>00050736</v>
      </c>
      <c r="F2146">
        <v>0</v>
      </c>
      <c r="G2146" s="243">
        <v>39315</v>
      </c>
      <c r="H2146" t="s">
        <v>182</v>
      </c>
      <c r="I2146">
        <v>9</v>
      </c>
      <c r="J2146">
        <v>6</v>
      </c>
      <c r="K2146">
        <v>1</v>
      </c>
      <c r="L2146">
        <v>38478</v>
      </c>
      <c r="M2146" t="str">
        <f t="shared" si="315"/>
        <v>13</v>
      </c>
      <c r="N2146" t="s">
        <v>3323</v>
      </c>
      <c r="O2146" t="str">
        <f t="shared" si="318"/>
        <v>57611</v>
      </c>
      <c r="P2146" t="str">
        <f>"1502L"</f>
        <v>1502L</v>
      </c>
      <c r="Q2146" t="str">
        <f t="shared" si="317"/>
        <v>0101</v>
      </c>
      <c r="R2146">
        <v>1502</v>
      </c>
      <c r="S2146" t="str">
        <f t="shared" si="319"/>
        <v>5760</v>
      </c>
      <c r="T2146" t="s">
        <v>3634</v>
      </c>
      <c r="U2146" t="s">
        <v>4934</v>
      </c>
    </row>
    <row r="2147" spans="1:21" ht="15" customHeight="1" x14ac:dyDescent="0.3">
      <c r="A2147" t="s">
        <v>179</v>
      </c>
      <c r="B2147" t="str">
        <f>"00061318"</f>
        <v>00061318</v>
      </c>
      <c r="C2147" t="s">
        <v>4260</v>
      </c>
      <c r="D2147" t="s">
        <v>1908</v>
      </c>
      <c r="E2147" t="str">
        <f>"00050165"</f>
        <v>00050165</v>
      </c>
      <c r="F2147">
        <v>0</v>
      </c>
      <c r="G2147" s="243">
        <v>39315</v>
      </c>
      <c r="H2147" t="s">
        <v>182</v>
      </c>
      <c r="I2147">
        <v>15</v>
      </c>
      <c r="J2147">
        <v>6</v>
      </c>
      <c r="K2147">
        <v>1</v>
      </c>
      <c r="L2147">
        <v>66078</v>
      </c>
      <c r="M2147" t="str">
        <f t="shared" si="315"/>
        <v>13</v>
      </c>
      <c r="N2147" t="s">
        <v>3323</v>
      </c>
      <c r="O2147" t="str">
        <f t="shared" si="318"/>
        <v>57611</v>
      </c>
      <c r="P2147" t="str">
        <f>"2100L"</f>
        <v>2100L</v>
      </c>
      <c r="Q2147" t="str">
        <f t="shared" si="317"/>
        <v>0101</v>
      </c>
      <c r="R2147">
        <v>2100</v>
      </c>
      <c r="S2147" t="str">
        <f t="shared" si="319"/>
        <v>5760</v>
      </c>
      <c r="T2147" t="s">
        <v>3634</v>
      </c>
      <c r="U2147" t="s">
        <v>4934</v>
      </c>
    </row>
    <row r="2148" spans="1:21" ht="15" customHeight="1" x14ac:dyDescent="0.3">
      <c r="A2148" t="s">
        <v>179</v>
      </c>
      <c r="B2148" t="str">
        <f>"00061591"</f>
        <v>00061591</v>
      </c>
      <c r="C2148" t="s">
        <v>4262</v>
      </c>
      <c r="D2148" t="s">
        <v>1880</v>
      </c>
      <c r="E2148" t="str">
        <f>"00053496"</f>
        <v>00053496</v>
      </c>
      <c r="F2148">
        <v>0</v>
      </c>
      <c r="G2148" s="243">
        <v>34941</v>
      </c>
      <c r="H2148" t="s">
        <v>182</v>
      </c>
      <c r="I2148">
        <v>15</v>
      </c>
      <c r="J2148">
        <v>12</v>
      </c>
      <c r="K2148">
        <v>1</v>
      </c>
      <c r="L2148">
        <v>92613</v>
      </c>
      <c r="M2148" t="str">
        <f t="shared" si="315"/>
        <v>13</v>
      </c>
      <c r="N2148" t="s">
        <v>3323</v>
      </c>
      <c r="O2148" t="str">
        <f t="shared" si="318"/>
        <v>57611</v>
      </c>
      <c r="P2148" t="str">
        <f>"2100L"</f>
        <v>2100L</v>
      </c>
      <c r="Q2148" t="str">
        <f t="shared" si="317"/>
        <v>0101</v>
      </c>
      <c r="R2148">
        <v>2100</v>
      </c>
      <c r="S2148" t="str">
        <f t="shared" si="319"/>
        <v>5760</v>
      </c>
      <c r="T2148" t="s">
        <v>3634</v>
      </c>
      <c r="U2148" t="s">
        <v>4934</v>
      </c>
    </row>
    <row r="2149" spans="1:21" ht="15" customHeight="1" x14ac:dyDescent="0.3">
      <c r="A2149" t="s">
        <v>179</v>
      </c>
      <c r="B2149" t="str">
        <f>"00061812"</f>
        <v>00061812</v>
      </c>
      <c r="C2149" t="s">
        <v>4260</v>
      </c>
      <c r="D2149" t="s">
        <v>1909</v>
      </c>
      <c r="E2149" t="str">
        <f>"00049292"</f>
        <v>00049292</v>
      </c>
      <c r="F2149">
        <v>0</v>
      </c>
      <c r="G2149" s="243">
        <v>39664</v>
      </c>
      <c r="H2149" t="s">
        <v>182</v>
      </c>
      <c r="I2149">
        <v>15</v>
      </c>
      <c r="J2149">
        <v>13</v>
      </c>
      <c r="K2149">
        <v>1</v>
      </c>
      <c r="L2149">
        <v>95366</v>
      </c>
      <c r="M2149" t="str">
        <f t="shared" si="315"/>
        <v>13</v>
      </c>
      <c r="N2149" t="s">
        <v>3323</v>
      </c>
      <c r="O2149" t="str">
        <f t="shared" si="318"/>
        <v>57611</v>
      </c>
      <c r="P2149" t="str">
        <f>"2100L"</f>
        <v>2100L</v>
      </c>
      <c r="Q2149" t="str">
        <f t="shared" si="317"/>
        <v>0101</v>
      </c>
      <c r="R2149">
        <v>2100</v>
      </c>
      <c r="S2149" t="str">
        <f t="shared" si="319"/>
        <v>5760</v>
      </c>
      <c r="T2149" t="s">
        <v>3634</v>
      </c>
      <c r="U2149" t="s">
        <v>4934</v>
      </c>
    </row>
    <row r="2150" spans="1:21" ht="15" customHeight="1" x14ac:dyDescent="0.3">
      <c r="A2150" t="s">
        <v>179</v>
      </c>
      <c r="B2150" t="str">
        <f>"00061856"</f>
        <v>00061856</v>
      </c>
      <c r="C2150" t="s">
        <v>3798</v>
      </c>
      <c r="D2150" t="s">
        <v>1910</v>
      </c>
      <c r="E2150" t="str">
        <f>"00045117"</f>
        <v>00045117</v>
      </c>
      <c r="F2150">
        <v>0</v>
      </c>
      <c r="G2150" s="243">
        <v>39630</v>
      </c>
      <c r="H2150" t="s">
        <v>182</v>
      </c>
      <c r="I2150">
        <v>63</v>
      </c>
      <c r="J2150">
        <v>7</v>
      </c>
      <c r="K2150">
        <v>1</v>
      </c>
      <c r="L2150">
        <v>134000</v>
      </c>
      <c r="M2150" t="str">
        <f t="shared" si="315"/>
        <v>13</v>
      </c>
      <c r="N2150" t="s">
        <v>3323</v>
      </c>
      <c r="O2150" t="str">
        <f t="shared" si="318"/>
        <v>57611</v>
      </c>
      <c r="P2150" t="str">
        <f>"1501L"</f>
        <v>1501L</v>
      </c>
      <c r="Q2150" t="str">
        <f t="shared" si="317"/>
        <v>0101</v>
      </c>
      <c r="R2150">
        <v>1501</v>
      </c>
      <c r="S2150" t="str">
        <f t="shared" si="319"/>
        <v>5760</v>
      </c>
      <c r="T2150" t="s">
        <v>3634</v>
      </c>
      <c r="U2150" t="s">
        <v>4934</v>
      </c>
    </row>
    <row r="2151" spans="1:21" ht="15" customHeight="1" x14ac:dyDescent="0.3">
      <c r="A2151" t="s">
        <v>179</v>
      </c>
      <c r="B2151" t="str">
        <f>"00061894"</f>
        <v>00061894</v>
      </c>
      <c r="C2151" t="s">
        <v>4343</v>
      </c>
      <c r="D2151" t="s">
        <v>1881</v>
      </c>
      <c r="E2151" t="str">
        <f>"00046830"</f>
        <v>00046830</v>
      </c>
      <c r="F2151">
        <v>0</v>
      </c>
      <c r="G2151" s="243">
        <v>39679</v>
      </c>
      <c r="H2151" t="s">
        <v>182</v>
      </c>
      <c r="I2151">
        <v>15</v>
      </c>
      <c r="J2151">
        <v>12</v>
      </c>
      <c r="K2151">
        <v>1</v>
      </c>
      <c r="L2151">
        <v>89887</v>
      </c>
      <c r="M2151" t="str">
        <f t="shared" si="315"/>
        <v>13</v>
      </c>
      <c r="N2151" t="s">
        <v>3323</v>
      </c>
      <c r="O2151" t="str">
        <f t="shared" si="318"/>
        <v>57611</v>
      </c>
      <c r="P2151" t="str">
        <f t="shared" ref="P2151:P2164" si="320">"2100L"</f>
        <v>2100L</v>
      </c>
      <c r="Q2151" t="str">
        <f t="shared" si="317"/>
        <v>0101</v>
      </c>
      <c r="R2151">
        <v>2100</v>
      </c>
      <c r="S2151" t="str">
        <f t="shared" si="319"/>
        <v>5760</v>
      </c>
      <c r="T2151" t="s">
        <v>3634</v>
      </c>
      <c r="U2151" t="s">
        <v>4934</v>
      </c>
    </row>
    <row r="2152" spans="1:21" ht="15" customHeight="1" x14ac:dyDescent="0.3">
      <c r="A2152" t="s">
        <v>179</v>
      </c>
      <c r="B2152" t="str">
        <f>"00061895"</f>
        <v>00061895</v>
      </c>
      <c r="C2152" t="s">
        <v>4253</v>
      </c>
      <c r="D2152" t="s">
        <v>1882</v>
      </c>
      <c r="E2152" t="str">
        <f>"00049922"</f>
        <v>00049922</v>
      </c>
      <c r="F2152">
        <v>0</v>
      </c>
      <c r="G2152" s="243">
        <v>41105</v>
      </c>
      <c r="H2152" t="s">
        <v>182</v>
      </c>
      <c r="I2152">
        <v>15</v>
      </c>
      <c r="J2152">
        <v>5</v>
      </c>
      <c r="K2152">
        <v>1</v>
      </c>
      <c r="L2152">
        <v>63611</v>
      </c>
      <c r="M2152" t="str">
        <f t="shared" si="315"/>
        <v>13</v>
      </c>
      <c r="N2152" t="s">
        <v>3323</v>
      </c>
      <c r="O2152" t="str">
        <f t="shared" si="318"/>
        <v>57611</v>
      </c>
      <c r="P2152" t="str">
        <f t="shared" si="320"/>
        <v>2100L</v>
      </c>
      <c r="Q2152" t="str">
        <f t="shared" si="317"/>
        <v>0101</v>
      </c>
      <c r="R2152">
        <v>2100</v>
      </c>
      <c r="S2152" t="str">
        <f t="shared" si="319"/>
        <v>5760</v>
      </c>
      <c r="T2152" t="s">
        <v>3634</v>
      </c>
      <c r="U2152" t="s">
        <v>4934</v>
      </c>
    </row>
    <row r="2153" spans="1:21" ht="15" customHeight="1" x14ac:dyDescent="0.3">
      <c r="A2153" t="s">
        <v>179</v>
      </c>
      <c r="B2153" t="str">
        <f>"00061896"</f>
        <v>00061896</v>
      </c>
      <c r="C2153" t="s">
        <v>4262</v>
      </c>
      <c r="D2153" t="s">
        <v>1883</v>
      </c>
      <c r="E2153" t="str">
        <f>"00045081"</f>
        <v>00045081</v>
      </c>
      <c r="F2153">
        <v>0</v>
      </c>
      <c r="G2153" s="243">
        <v>39677</v>
      </c>
      <c r="H2153" t="s">
        <v>182</v>
      </c>
      <c r="I2153">
        <v>15</v>
      </c>
      <c r="J2153">
        <v>9</v>
      </c>
      <c r="K2153">
        <v>1</v>
      </c>
      <c r="L2153">
        <v>80147</v>
      </c>
      <c r="M2153" t="str">
        <f t="shared" si="315"/>
        <v>13</v>
      </c>
      <c r="N2153" t="s">
        <v>3323</v>
      </c>
      <c r="O2153" t="str">
        <f t="shared" si="318"/>
        <v>57611</v>
      </c>
      <c r="P2153" t="str">
        <f t="shared" si="320"/>
        <v>2100L</v>
      </c>
      <c r="Q2153" t="str">
        <f t="shared" si="317"/>
        <v>0101</v>
      </c>
      <c r="R2153">
        <v>2100</v>
      </c>
      <c r="S2153" t="str">
        <f t="shared" si="319"/>
        <v>5760</v>
      </c>
      <c r="T2153" t="s">
        <v>3634</v>
      </c>
      <c r="U2153" t="s">
        <v>4934</v>
      </c>
    </row>
    <row r="2154" spans="1:21" ht="15" customHeight="1" x14ac:dyDescent="0.3">
      <c r="A2154" t="s">
        <v>179</v>
      </c>
      <c r="B2154" t="str">
        <f>"00061897"</f>
        <v>00061897</v>
      </c>
      <c r="C2154" t="s">
        <v>4262</v>
      </c>
      <c r="H2154" t="s">
        <v>170</v>
      </c>
      <c r="I2154">
        <v>15</v>
      </c>
      <c r="J2154">
        <v>1</v>
      </c>
      <c r="K2154">
        <v>1</v>
      </c>
      <c r="L2154">
        <v>54975</v>
      </c>
      <c r="M2154" t="str">
        <f t="shared" si="315"/>
        <v>13</v>
      </c>
      <c r="N2154" t="s">
        <v>3323</v>
      </c>
      <c r="O2154" t="str">
        <f t="shared" si="318"/>
        <v>57611</v>
      </c>
      <c r="P2154" t="str">
        <f t="shared" si="320"/>
        <v>2100L</v>
      </c>
      <c r="Q2154" t="str">
        <f t="shared" si="317"/>
        <v>0101</v>
      </c>
      <c r="R2154">
        <v>2100</v>
      </c>
      <c r="S2154" t="str">
        <f t="shared" si="319"/>
        <v>5760</v>
      </c>
      <c r="T2154" t="s">
        <v>3634</v>
      </c>
      <c r="U2154" t="s">
        <v>4934</v>
      </c>
    </row>
    <row r="2155" spans="1:21" ht="15" customHeight="1" x14ac:dyDescent="0.3">
      <c r="A2155" t="s">
        <v>179</v>
      </c>
      <c r="B2155" t="str">
        <f>"00061987"</f>
        <v>00061987</v>
      </c>
      <c r="C2155" t="s">
        <v>4262</v>
      </c>
      <c r="D2155" t="s">
        <v>3641</v>
      </c>
      <c r="E2155" t="str">
        <f>"00066423"</f>
        <v>00066423</v>
      </c>
      <c r="F2155">
        <v>0</v>
      </c>
      <c r="G2155" s="243">
        <v>40770</v>
      </c>
      <c r="H2155" t="s">
        <v>182</v>
      </c>
      <c r="I2155">
        <v>15</v>
      </c>
      <c r="J2155">
        <v>2</v>
      </c>
      <c r="K2155">
        <v>1</v>
      </c>
      <c r="L2155">
        <v>51716</v>
      </c>
      <c r="M2155" t="str">
        <f t="shared" si="315"/>
        <v>13</v>
      </c>
      <c r="N2155" t="s">
        <v>3323</v>
      </c>
      <c r="O2155" t="str">
        <f t="shared" si="318"/>
        <v>57611</v>
      </c>
      <c r="P2155" t="str">
        <f t="shared" si="320"/>
        <v>2100L</v>
      </c>
      <c r="Q2155" t="str">
        <f t="shared" si="317"/>
        <v>0101</v>
      </c>
      <c r="R2155">
        <v>2100</v>
      </c>
      <c r="S2155" t="str">
        <f t="shared" si="319"/>
        <v>5760</v>
      </c>
      <c r="T2155" t="s">
        <v>3634</v>
      </c>
      <c r="U2155" t="s">
        <v>4934</v>
      </c>
    </row>
    <row r="2156" spans="1:21" ht="15" customHeight="1" x14ac:dyDescent="0.3">
      <c r="A2156" t="s">
        <v>179</v>
      </c>
      <c r="B2156" t="str">
        <f>"00062019"</f>
        <v>00062019</v>
      </c>
      <c r="C2156" t="s">
        <v>4262</v>
      </c>
      <c r="D2156" t="s">
        <v>1885</v>
      </c>
      <c r="E2156" t="str">
        <f>"00044514"</f>
        <v>00044514</v>
      </c>
      <c r="F2156">
        <v>0</v>
      </c>
      <c r="G2156" s="243">
        <v>39679</v>
      </c>
      <c r="H2156" t="s">
        <v>182</v>
      </c>
      <c r="I2156">
        <v>15</v>
      </c>
      <c r="J2156">
        <v>9</v>
      </c>
      <c r="K2156">
        <v>1</v>
      </c>
      <c r="L2156">
        <v>75232</v>
      </c>
      <c r="M2156" t="str">
        <f t="shared" si="315"/>
        <v>13</v>
      </c>
      <c r="N2156" t="s">
        <v>3323</v>
      </c>
      <c r="O2156" t="str">
        <f t="shared" si="318"/>
        <v>57611</v>
      </c>
      <c r="P2156" t="str">
        <f t="shared" si="320"/>
        <v>2100L</v>
      </c>
      <c r="Q2156" t="str">
        <f t="shared" si="317"/>
        <v>0101</v>
      </c>
      <c r="R2156">
        <v>2100</v>
      </c>
      <c r="S2156" t="str">
        <f t="shared" si="319"/>
        <v>5760</v>
      </c>
      <c r="T2156" t="s">
        <v>3634</v>
      </c>
      <c r="U2156" t="s">
        <v>4934</v>
      </c>
    </row>
    <row r="2157" spans="1:21" ht="15" customHeight="1" x14ac:dyDescent="0.3">
      <c r="A2157" t="s">
        <v>179</v>
      </c>
      <c r="B2157" t="str">
        <f>"00062188"</f>
        <v>00062188</v>
      </c>
      <c r="C2157" t="s">
        <v>4272</v>
      </c>
      <c r="D2157" t="s">
        <v>1886</v>
      </c>
      <c r="E2157" t="str">
        <f>"00055012"</f>
        <v>00055012</v>
      </c>
      <c r="F2157">
        <v>0</v>
      </c>
      <c r="G2157" s="243">
        <v>39679</v>
      </c>
      <c r="H2157" t="s">
        <v>182</v>
      </c>
      <c r="I2157">
        <v>15</v>
      </c>
      <c r="J2157">
        <v>12</v>
      </c>
      <c r="K2157">
        <v>1</v>
      </c>
      <c r="L2157">
        <v>87431</v>
      </c>
      <c r="M2157" t="str">
        <f t="shared" si="315"/>
        <v>13</v>
      </c>
      <c r="N2157" t="s">
        <v>3323</v>
      </c>
      <c r="O2157" t="str">
        <f t="shared" si="318"/>
        <v>57611</v>
      </c>
      <c r="P2157" t="str">
        <f t="shared" si="320"/>
        <v>2100L</v>
      </c>
      <c r="Q2157" t="str">
        <f t="shared" si="317"/>
        <v>0101</v>
      </c>
      <c r="R2157">
        <v>2100</v>
      </c>
      <c r="S2157" t="str">
        <f t="shared" si="319"/>
        <v>5760</v>
      </c>
      <c r="T2157" t="s">
        <v>3634</v>
      </c>
      <c r="U2157" t="s">
        <v>4934</v>
      </c>
    </row>
    <row r="2158" spans="1:21" ht="15" customHeight="1" x14ac:dyDescent="0.3">
      <c r="A2158" t="s">
        <v>179</v>
      </c>
      <c r="B2158" t="str">
        <f>"00062189"</f>
        <v>00062189</v>
      </c>
      <c r="C2158" t="s">
        <v>4254</v>
      </c>
      <c r="D2158" t="s">
        <v>3636</v>
      </c>
      <c r="E2158" t="str">
        <f>"00066379"</f>
        <v>00066379</v>
      </c>
      <c r="F2158">
        <v>0</v>
      </c>
      <c r="G2158" s="243">
        <v>40755</v>
      </c>
      <c r="H2158" t="s">
        <v>182</v>
      </c>
      <c r="I2158">
        <v>15</v>
      </c>
      <c r="J2158">
        <v>10</v>
      </c>
      <c r="K2158">
        <v>1</v>
      </c>
      <c r="L2158">
        <v>70879</v>
      </c>
      <c r="M2158" t="str">
        <f t="shared" si="315"/>
        <v>13</v>
      </c>
      <c r="N2158" t="s">
        <v>3323</v>
      </c>
      <c r="O2158" t="str">
        <f t="shared" si="318"/>
        <v>57611</v>
      </c>
      <c r="P2158" t="str">
        <f t="shared" si="320"/>
        <v>2100L</v>
      </c>
      <c r="Q2158" t="str">
        <f t="shared" si="317"/>
        <v>0101</v>
      </c>
      <c r="R2158">
        <v>2100</v>
      </c>
      <c r="S2158" t="str">
        <f t="shared" si="319"/>
        <v>5760</v>
      </c>
      <c r="T2158" t="s">
        <v>3634</v>
      </c>
      <c r="U2158" t="s">
        <v>4934</v>
      </c>
    </row>
    <row r="2159" spans="1:21" ht="15" customHeight="1" x14ac:dyDescent="0.3">
      <c r="A2159" t="s">
        <v>179</v>
      </c>
      <c r="B2159" t="str">
        <f>"00062556"</f>
        <v>00062556</v>
      </c>
      <c r="C2159" t="s">
        <v>200</v>
      </c>
      <c r="D2159" t="s">
        <v>1911</v>
      </c>
      <c r="E2159" t="str">
        <f>"00044822"</f>
        <v>00044822</v>
      </c>
      <c r="F2159">
        <v>0</v>
      </c>
      <c r="G2159" s="243">
        <v>39700</v>
      </c>
      <c r="H2159" t="s">
        <v>182</v>
      </c>
      <c r="I2159">
        <v>15</v>
      </c>
      <c r="J2159">
        <v>10</v>
      </c>
      <c r="K2159">
        <v>1</v>
      </c>
      <c r="L2159">
        <v>78273</v>
      </c>
      <c r="M2159" t="str">
        <f t="shared" si="315"/>
        <v>13</v>
      </c>
      <c r="N2159" t="s">
        <v>3323</v>
      </c>
      <c r="O2159" t="str">
        <f t="shared" si="318"/>
        <v>57611</v>
      </c>
      <c r="P2159" t="str">
        <f t="shared" si="320"/>
        <v>2100L</v>
      </c>
      <c r="Q2159" t="str">
        <f t="shared" si="317"/>
        <v>0101</v>
      </c>
      <c r="R2159">
        <v>2100</v>
      </c>
      <c r="S2159" t="str">
        <f t="shared" si="319"/>
        <v>5760</v>
      </c>
      <c r="T2159" t="s">
        <v>3634</v>
      </c>
      <c r="U2159" t="s">
        <v>4934</v>
      </c>
    </row>
    <row r="2160" spans="1:21" ht="15" customHeight="1" x14ac:dyDescent="0.3">
      <c r="A2160" t="s">
        <v>179</v>
      </c>
      <c r="B2160" t="str">
        <f>"00062877"</f>
        <v>00062877</v>
      </c>
      <c r="C2160" t="s">
        <v>4266</v>
      </c>
      <c r="D2160" t="s">
        <v>4940</v>
      </c>
      <c r="E2160" t="str">
        <f>"00062567"</f>
        <v>00062567</v>
      </c>
      <c r="F2160">
        <v>0</v>
      </c>
      <c r="G2160" s="243">
        <v>40406</v>
      </c>
      <c r="H2160" t="s">
        <v>182</v>
      </c>
      <c r="I2160">
        <v>15</v>
      </c>
      <c r="J2160">
        <v>8</v>
      </c>
      <c r="K2160">
        <v>1</v>
      </c>
      <c r="L2160">
        <v>72171</v>
      </c>
      <c r="M2160" t="str">
        <f t="shared" si="315"/>
        <v>13</v>
      </c>
      <c r="N2160" t="s">
        <v>3323</v>
      </c>
      <c r="O2160" t="str">
        <f t="shared" si="318"/>
        <v>57611</v>
      </c>
      <c r="P2160" t="str">
        <f t="shared" si="320"/>
        <v>2100L</v>
      </c>
      <c r="Q2160" t="str">
        <f t="shared" si="317"/>
        <v>0101</v>
      </c>
      <c r="R2160">
        <v>2100</v>
      </c>
      <c r="S2160" t="str">
        <f t="shared" si="319"/>
        <v>5760</v>
      </c>
      <c r="T2160" t="s">
        <v>3634</v>
      </c>
      <c r="U2160" t="s">
        <v>4934</v>
      </c>
    </row>
    <row r="2161" spans="1:21" ht="15" customHeight="1" x14ac:dyDescent="0.3">
      <c r="A2161" t="s">
        <v>179</v>
      </c>
      <c r="B2161" t="str">
        <f>"00065832"</f>
        <v>00065832</v>
      </c>
      <c r="C2161" t="s">
        <v>4290</v>
      </c>
      <c r="D2161" t="s">
        <v>4941</v>
      </c>
      <c r="E2161" t="str">
        <f>"00057565"</f>
        <v>00057565</v>
      </c>
      <c r="F2161">
        <v>0</v>
      </c>
      <c r="G2161" s="243">
        <v>40042</v>
      </c>
      <c r="H2161" t="s">
        <v>182</v>
      </c>
      <c r="I2161">
        <v>4</v>
      </c>
      <c r="J2161">
        <v>5</v>
      </c>
      <c r="K2161">
        <v>1</v>
      </c>
      <c r="L2161">
        <v>25239.37</v>
      </c>
      <c r="M2161" t="str">
        <f t="shared" si="315"/>
        <v>13</v>
      </c>
      <c r="N2161" t="s">
        <v>3323</v>
      </c>
      <c r="O2161" t="str">
        <f t="shared" si="318"/>
        <v>57611</v>
      </c>
      <c r="P2161" t="str">
        <f t="shared" si="320"/>
        <v>2100L</v>
      </c>
      <c r="Q2161" t="str">
        <f t="shared" si="317"/>
        <v>0101</v>
      </c>
      <c r="R2161">
        <v>2100</v>
      </c>
      <c r="S2161" t="str">
        <f t="shared" si="319"/>
        <v>5760</v>
      </c>
      <c r="T2161" t="s">
        <v>3634</v>
      </c>
      <c r="U2161" t="s">
        <v>4934</v>
      </c>
    </row>
    <row r="2162" spans="1:21" ht="15" customHeight="1" x14ac:dyDescent="0.3">
      <c r="A2162" t="s">
        <v>179</v>
      </c>
      <c r="B2162" t="str">
        <f>"00065842"</f>
        <v>00065842</v>
      </c>
      <c r="C2162" t="s">
        <v>4274</v>
      </c>
      <c r="D2162" t="s">
        <v>4942</v>
      </c>
      <c r="E2162" t="str">
        <f>"00057519"</f>
        <v>00057519</v>
      </c>
      <c r="F2162">
        <v>0</v>
      </c>
      <c r="G2162" s="243">
        <v>40042</v>
      </c>
      <c r="H2162" t="s">
        <v>182</v>
      </c>
      <c r="I2162">
        <v>4</v>
      </c>
      <c r="J2162">
        <v>5</v>
      </c>
      <c r="K2162">
        <v>1</v>
      </c>
      <c r="L2162">
        <v>25239.37</v>
      </c>
      <c r="M2162" t="str">
        <f t="shared" si="315"/>
        <v>13</v>
      </c>
      <c r="N2162" t="s">
        <v>3323</v>
      </c>
      <c r="O2162" t="str">
        <f t="shared" si="318"/>
        <v>57611</v>
      </c>
      <c r="P2162" t="str">
        <f t="shared" si="320"/>
        <v>2100L</v>
      </c>
      <c r="Q2162" t="str">
        <f t="shared" si="317"/>
        <v>0101</v>
      </c>
      <c r="R2162">
        <v>2100</v>
      </c>
      <c r="S2162" t="str">
        <f t="shared" si="319"/>
        <v>5760</v>
      </c>
      <c r="T2162" t="s">
        <v>3634</v>
      </c>
      <c r="U2162" t="s">
        <v>4934</v>
      </c>
    </row>
    <row r="2163" spans="1:21" ht="15" customHeight="1" x14ac:dyDescent="0.3">
      <c r="A2163" t="s">
        <v>179</v>
      </c>
      <c r="B2163" t="str">
        <f>"00066003"</f>
        <v>00066003</v>
      </c>
      <c r="C2163" t="s">
        <v>4256</v>
      </c>
      <c r="D2163" t="s">
        <v>1888</v>
      </c>
      <c r="E2163" t="str">
        <f>"00057054"</f>
        <v>00057054</v>
      </c>
      <c r="F2163">
        <v>0</v>
      </c>
      <c r="G2163" s="243">
        <v>40049</v>
      </c>
      <c r="H2163" t="s">
        <v>182</v>
      </c>
      <c r="I2163">
        <v>15</v>
      </c>
      <c r="J2163">
        <v>7</v>
      </c>
      <c r="K2163">
        <v>1</v>
      </c>
      <c r="L2163">
        <v>69132</v>
      </c>
      <c r="M2163" t="str">
        <f t="shared" si="315"/>
        <v>13</v>
      </c>
      <c r="N2163" t="s">
        <v>3323</v>
      </c>
      <c r="O2163" t="str">
        <f t="shared" si="318"/>
        <v>57611</v>
      </c>
      <c r="P2163" t="str">
        <f t="shared" si="320"/>
        <v>2100L</v>
      </c>
      <c r="Q2163" t="str">
        <f t="shared" si="317"/>
        <v>0101</v>
      </c>
      <c r="R2163">
        <v>2100</v>
      </c>
      <c r="S2163" t="str">
        <f t="shared" si="319"/>
        <v>5760</v>
      </c>
      <c r="T2163" t="s">
        <v>3634</v>
      </c>
      <c r="U2163" t="s">
        <v>4934</v>
      </c>
    </row>
    <row r="2164" spans="1:21" ht="15" customHeight="1" x14ac:dyDescent="0.3">
      <c r="A2164" t="s">
        <v>179</v>
      </c>
      <c r="B2164" t="str">
        <f>"00066003"</f>
        <v>00066003</v>
      </c>
      <c r="C2164" t="s">
        <v>4256</v>
      </c>
      <c r="D2164" t="s">
        <v>3638</v>
      </c>
      <c r="E2164" t="str">
        <f>"00064393"</f>
        <v>00064393</v>
      </c>
      <c r="F2164">
        <v>0</v>
      </c>
      <c r="G2164" s="243">
        <v>41133</v>
      </c>
      <c r="H2164" t="s">
        <v>182</v>
      </c>
      <c r="I2164">
        <v>15</v>
      </c>
      <c r="J2164">
        <v>12</v>
      </c>
      <c r="K2164">
        <v>1</v>
      </c>
      <c r="L2164">
        <v>87431</v>
      </c>
      <c r="M2164" t="str">
        <f t="shared" si="315"/>
        <v>13</v>
      </c>
      <c r="N2164" t="s">
        <v>3323</v>
      </c>
      <c r="O2164" t="str">
        <f t="shared" si="318"/>
        <v>57611</v>
      </c>
      <c r="P2164" t="str">
        <f t="shared" si="320"/>
        <v>2100L</v>
      </c>
      <c r="Q2164" t="str">
        <f t="shared" si="317"/>
        <v>0101</v>
      </c>
      <c r="R2164">
        <v>2100</v>
      </c>
      <c r="S2164" t="str">
        <f t="shared" si="319"/>
        <v>5760</v>
      </c>
      <c r="T2164" t="s">
        <v>3634</v>
      </c>
      <c r="U2164" t="s">
        <v>4934</v>
      </c>
    </row>
    <row r="2165" spans="1:21" ht="15" customHeight="1" x14ac:dyDescent="0.3">
      <c r="A2165" t="s">
        <v>179</v>
      </c>
      <c r="B2165" t="str">
        <f>"00066259"</f>
        <v>00066259</v>
      </c>
      <c r="C2165" t="s">
        <v>4274</v>
      </c>
      <c r="H2165" t="s">
        <v>170</v>
      </c>
      <c r="I2165">
        <v>4</v>
      </c>
      <c r="J2165">
        <v>1</v>
      </c>
      <c r="K2165">
        <v>1</v>
      </c>
      <c r="L2165">
        <v>25662</v>
      </c>
      <c r="M2165" t="str">
        <f t="shared" si="315"/>
        <v>13</v>
      </c>
      <c r="N2165" t="s">
        <v>3323</v>
      </c>
      <c r="O2165" t="str">
        <f t="shared" si="318"/>
        <v>57611</v>
      </c>
      <c r="P2165" t="str">
        <f>"2300L"</f>
        <v>2300L</v>
      </c>
      <c r="Q2165" t="str">
        <f t="shared" si="317"/>
        <v>0101</v>
      </c>
      <c r="R2165">
        <v>2300</v>
      </c>
      <c r="S2165" t="str">
        <f t="shared" si="319"/>
        <v>5760</v>
      </c>
      <c r="T2165" t="s">
        <v>3634</v>
      </c>
      <c r="U2165" t="s">
        <v>4934</v>
      </c>
    </row>
    <row r="2166" spans="1:21" ht="15" customHeight="1" x14ac:dyDescent="0.3">
      <c r="A2166" t="s">
        <v>179</v>
      </c>
      <c r="B2166" t="str">
        <f>"00066307"</f>
        <v>00066307</v>
      </c>
      <c r="C2166" t="s">
        <v>4259</v>
      </c>
      <c r="H2166" t="s">
        <v>170</v>
      </c>
      <c r="I2166">
        <v>15</v>
      </c>
      <c r="J2166">
        <v>1</v>
      </c>
      <c r="K2166">
        <v>1</v>
      </c>
      <c r="L2166">
        <v>54975</v>
      </c>
      <c r="M2166" t="str">
        <f t="shared" si="315"/>
        <v>13</v>
      </c>
      <c r="N2166" t="s">
        <v>3323</v>
      </c>
      <c r="O2166" t="str">
        <f t="shared" si="318"/>
        <v>57611</v>
      </c>
      <c r="P2166" t="str">
        <f t="shared" ref="P2166:P2175" si="321">"2100L"</f>
        <v>2100L</v>
      </c>
      <c r="Q2166" t="str">
        <f t="shared" si="317"/>
        <v>0101</v>
      </c>
      <c r="R2166">
        <v>2100</v>
      </c>
      <c r="S2166" t="str">
        <f t="shared" si="319"/>
        <v>5760</v>
      </c>
      <c r="T2166" t="s">
        <v>3634</v>
      </c>
      <c r="U2166" t="s">
        <v>4934</v>
      </c>
    </row>
    <row r="2167" spans="1:21" ht="15" customHeight="1" x14ac:dyDescent="0.3">
      <c r="A2167" t="s">
        <v>179</v>
      </c>
      <c r="B2167" t="str">
        <f>"00066308"</f>
        <v>00066308</v>
      </c>
      <c r="C2167" t="s">
        <v>4259</v>
      </c>
      <c r="D2167" t="s">
        <v>1890</v>
      </c>
      <c r="E2167" t="str">
        <f>"00062963"</f>
        <v>00062963</v>
      </c>
      <c r="F2167">
        <v>0</v>
      </c>
      <c r="G2167" s="243">
        <v>40406</v>
      </c>
      <c r="H2167" t="s">
        <v>182</v>
      </c>
      <c r="I2167">
        <v>15</v>
      </c>
      <c r="J2167">
        <v>12</v>
      </c>
      <c r="K2167">
        <v>1</v>
      </c>
      <c r="L2167">
        <v>87431</v>
      </c>
      <c r="M2167" t="str">
        <f t="shared" si="315"/>
        <v>13</v>
      </c>
      <c r="N2167" t="s">
        <v>3323</v>
      </c>
      <c r="O2167" t="str">
        <f t="shared" si="318"/>
        <v>57611</v>
      </c>
      <c r="P2167" t="str">
        <f t="shared" si="321"/>
        <v>2100L</v>
      </c>
      <c r="Q2167" t="str">
        <f t="shared" si="317"/>
        <v>0101</v>
      </c>
      <c r="R2167">
        <v>2100</v>
      </c>
      <c r="S2167" t="str">
        <f t="shared" si="319"/>
        <v>5760</v>
      </c>
      <c r="T2167" t="s">
        <v>3634</v>
      </c>
      <c r="U2167" t="s">
        <v>4934</v>
      </c>
    </row>
    <row r="2168" spans="1:21" ht="15" customHeight="1" x14ac:dyDescent="0.3">
      <c r="A2168" t="s">
        <v>179</v>
      </c>
      <c r="B2168" t="str">
        <f>"00066601"</f>
        <v>00066601</v>
      </c>
      <c r="C2168" t="s">
        <v>4258</v>
      </c>
      <c r="D2168" t="s">
        <v>1912</v>
      </c>
      <c r="E2168" t="str">
        <f>"00044854"</f>
        <v>00044854</v>
      </c>
      <c r="F2168">
        <v>0</v>
      </c>
      <c r="G2168" s="243">
        <v>40042</v>
      </c>
      <c r="H2168" t="s">
        <v>182</v>
      </c>
      <c r="I2168">
        <v>15</v>
      </c>
      <c r="J2168">
        <v>4</v>
      </c>
      <c r="K2168">
        <v>1</v>
      </c>
      <c r="L2168">
        <v>61158</v>
      </c>
      <c r="M2168" t="str">
        <f t="shared" si="315"/>
        <v>13</v>
      </c>
      <c r="N2168" t="s">
        <v>3323</v>
      </c>
      <c r="O2168" t="str">
        <f t="shared" si="318"/>
        <v>57611</v>
      </c>
      <c r="P2168" t="str">
        <f t="shared" si="321"/>
        <v>2100L</v>
      </c>
      <c r="Q2168" t="str">
        <f t="shared" si="317"/>
        <v>0101</v>
      </c>
      <c r="R2168">
        <v>2100</v>
      </c>
      <c r="S2168" t="str">
        <f t="shared" si="319"/>
        <v>5760</v>
      </c>
      <c r="T2168" t="s">
        <v>3634</v>
      </c>
      <c r="U2168" t="s">
        <v>4934</v>
      </c>
    </row>
    <row r="2169" spans="1:21" ht="15" customHeight="1" x14ac:dyDescent="0.3">
      <c r="A2169" t="s">
        <v>179</v>
      </c>
      <c r="B2169" t="str">
        <f>"00066602"</f>
        <v>00066602</v>
      </c>
      <c r="C2169" t="s">
        <v>4257</v>
      </c>
      <c r="D2169" t="s">
        <v>1891</v>
      </c>
      <c r="E2169" t="str">
        <f>"00057084"</f>
        <v>00057084</v>
      </c>
      <c r="F2169">
        <v>0</v>
      </c>
      <c r="G2169" s="243">
        <v>40042</v>
      </c>
      <c r="H2169" t="s">
        <v>182</v>
      </c>
      <c r="I2169">
        <v>15</v>
      </c>
      <c r="J2169">
        <v>5</v>
      </c>
      <c r="K2169">
        <v>1</v>
      </c>
      <c r="L2169">
        <v>56655</v>
      </c>
      <c r="M2169" t="str">
        <f t="shared" si="315"/>
        <v>13</v>
      </c>
      <c r="N2169" t="s">
        <v>3323</v>
      </c>
      <c r="O2169" t="str">
        <f t="shared" ref="O2169:O2198" si="322">"57611"</f>
        <v>57611</v>
      </c>
      <c r="P2169" t="str">
        <f t="shared" si="321"/>
        <v>2100L</v>
      </c>
      <c r="Q2169" t="str">
        <f t="shared" si="317"/>
        <v>0101</v>
      </c>
      <c r="R2169">
        <v>2100</v>
      </c>
      <c r="S2169" t="str">
        <f t="shared" ref="S2169:S2198" si="323">"5760"</f>
        <v>5760</v>
      </c>
      <c r="T2169" t="s">
        <v>3634</v>
      </c>
      <c r="U2169" t="s">
        <v>4934</v>
      </c>
    </row>
    <row r="2170" spans="1:21" ht="15" customHeight="1" x14ac:dyDescent="0.3">
      <c r="A2170" t="s">
        <v>179</v>
      </c>
      <c r="B2170" t="str">
        <f>"00066603"</f>
        <v>00066603</v>
      </c>
      <c r="C2170" t="s">
        <v>4254</v>
      </c>
      <c r="D2170" t="s">
        <v>4943</v>
      </c>
      <c r="E2170" t="str">
        <f>"00069926"</f>
        <v>00069926</v>
      </c>
      <c r="F2170">
        <v>0</v>
      </c>
      <c r="G2170" s="243">
        <v>41133</v>
      </c>
      <c r="H2170" t="s">
        <v>182</v>
      </c>
      <c r="I2170">
        <v>15</v>
      </c>
      <c r="J2170">
        <v>9</v>
      </c>
      <c r="K2170">
        <v>1</v>
      </c>
      <c r="L2170">
        <v>75232</v>
      </c>
      <c r="M2170" t="str">
        <f t="shared" si="315"/>
        <v>13</v>
      </c>
      <c r="N2170" t="s">
        <v>3323</v>
      </c>
      <c r="O2170" t="str">
        <f t="shared" si="322"/>
        <v>57611</v>
      </c>
      <c r="P2170" t="str">
        <f t="shared" si="321"/>
        <v>2100L</v>
      </c>
      <c r="Q2170" t="str">
        <f t="shared" si="317"/>
        <v>0101</v>
      </c>
      <c r="R2170">
        <v>2100</v>
      </c>
      <c r="S2170" t="str">
        <f t="shared" si="323"/>
        <v>5760</v>
      </c>
      <c r="T2170" t="s">
        <v>3634</v>
      </c>
      <c r="U2170" t="s">
        <v>4934</v>
      </c>
    </row>
    <row r="2171" spans="1:21" ht="15" customHeight="1" x14ac:dyDescent="0.3">
      <c r="A2171" t="s">
        <v>179</v>
      </c>
      <c r="B2171" t="str">
        <f>"00066604"</f>
        <v>00066604</v>
      </c>
      <c r="C2171" t="s">
        <v>4262</v>
      </c>
      <c r="H2171" t="s">
        <v>170</v>
      </c>
      <c r="I2171">
        <v>15</v>
      </c>
      <c r="J2171">
        <v>1</v>
      </c>
      <c r="K2171">
        <v>1</v>
      </c>
      <c r="L2171">
        <v>60128</v>
      </c>
      <c r="M2171" t="str">
        <f t="shared" si="315"/>
        <v>13</v>
      </c>
      <c r="N2171" t="s">
        <v>3323</v>
      </c>
      <c r="O2171" t="str">
        <f t="shared" si="322"/>
        <v>57611</v>
      </c>
      <c r="P2171" t="str">
        <f t="shared" si="321"/>
        <v>2100L</v>
      </c>
      <c r="Q2171" t="str">
        <f t="shared" si="317"/>
        <v>0101</v>
      </c>
      <c r="R2171">
        <v>2100</v>
      </c>
      <c r="S2171" t="str">
        <f t="shared" si="323"/>
        <v>5760</v>
      </c>
      <c r="T2171" t="s">
        <v>3634</v>
      </c>
      <c r="U2171" t="s">
        <v>4934</v>
      </c>
    </row>
    <row r="2172" spans="1:21" ht="15" customHeight="1" x14ac:dyDescent="0.3">
      <c r="A2172" t="s">
        <v>179</v>
      </c>
      <c r="B2172" t="str">
        <f>"00066605"</f>
        <v>00066605</v>
      </c>
      <c r="C2172" t="s">
        <v>4262</v>
      </c>
      <c r="D2172" t="s">
        <v>1893</v>
      </c>
      <c r="E2172" t="str">
        <f>"00057706"</f>
        <v>00057706</v>
      </c>
      <c r="F2172">
        <v>0</v>
      </c>
      <c r="G2172" s="243">
        <v>40042</v>
      </c>
      <c r="H2172" t="s">
        <v>182</v>
      </c>
      <c r="I2172">
        <v>15</v>
      </c>
      <c r="J2172">
        <v>4</v>
      </c>
      <c r="K2172">
        <v>1</v>
      </c>
      <c r="L2172">
        <v>61158</v>
      </c>
      <c r="M2172" t="str">
        <f t="shared" si="315"/>
        <v>13</v>
      </c>
      <c r="N2172" t="s">
        <v>3323</v>
      </c>
      <c r="O2172" t="str">
        <f t="shared" si="322"/>
        <v>57611</v>
      </c>
      <c r="P2172" t="str">
        <f t="shared" si="321"/>
        <v>2100L</v>
      </c>
      <c r="Q2172" t="str">
        <f t="shared" si="317"/>
        <v>0101</v>
      </c>
      <c r="R2172">
        <v>2100</v>
      </c>
      <c r="S2172" t="str">
        <f t="shared" si="323"/>
        <v>5760</v>
      </c>
      <c r="T2172" t="s">
        <v>3634</v>
      </c>
      <c r="U2172" t="s">
        <v>4934</v>
      </c>
    </row>
    <row r="2173" spans="1:21" ht="15" customHeight="1" x14ac:dyDescent="0.3">
      <c r="A2173" t="s">
        <v>179</v>
      </c>
      <c r="B2173" t="str">
        <f>"00066606"</f>
        <v>00066606</v>
      </c>
      <c r="C2173" t="s">
        <v>4262</v>
      </c>
      <c r="D2173" t="s">
        <v>1914</v>
      </c>
      <c r="E2173" t="str">
        <f>"00062922"</f>
        <v>00062922</v>
      </c>
      <c r="F2173">
        <v>0</v>
      </c>
      <c r="G2173" s="243">
        <v>41133</v>
      </c>
      <c r="H2173" t="s">
        <v>182</v>
      </c>
      <c r="I2173">
        <v>15</v>
      </c>
      <c r="J2173">
        <v>7</v>
      </c>
      <c r="K2173">
        <v>1</v>
      </c>
      <c r="L2173">
        <v>69132</v>
      </c>
      <c r="M2173" t="str">
        <f t="shared" si="315"/>
        <v>13</v>
      </c>
      <c r="N2173" t="s">
        <v>3323</v>
      </c>
      <c r="O2173" t="str">
        <f t="shared" si="322"/>
        <v>57611</v>
      </c>
      <c r="P2173" t="str">
        <f t="shared" si="321"/>
        <v>2100L</v>
      </c>
      <c r="Q2173" t="str">
        <f t="shared" si="317"/>
        <v>0101</v>
      </c>
      <c r="R2173">
        <v>2100</v>
      </c>
      <c r="S2173" t="str">
        <f t="shared" si="323"/>
        <v>5760</v>
      </c>
      <c r="T2173" t="s">
        <v>3634</v>
      </c>
      <c r="U2173" t="s">
        <v>4934</v>
      </c>
    </row>
    <row r="2174" spans="1:21" ht="15" customHeight="1" x14ac:dyDescent="0.3">
      <c r="A2174" t="s">
        <v>179</v>
      </c>
      <c r="B2174" t="str">
        <f>"00066607"</f>
        <v>00066607</v>
      </c>
      <c r="C2174" t="s">
        <v>4262</v>
      </c>
      <c r="D2174" t="s">
        <v>1894</v>
      </c>
      <c r="E2174" t="str">
        <f>"00057067"</f>
        <v>00057067</v>
      </c>
      <c r="F2174">
        <v>0</v>
      </c>
      <c r="G2174" s="243">
        <v>40042</v>
      </c>
      <c r="H2174" t="s">
        <v>182</v>
      </c>
      <c r="I2174">
        <v>15</v>
      </c>
      <c r="J2174">
        <v>12</v>
      </c>
      <c r="K2174">
        <v>1</v>
      </c>
      <c r="L2174">
        <v>89887</v>
      </c>
      <c r="M2174" t="str">
        <f t="shared" si="315"/>
        <v>13</v>
      </c>
      <c r="N2174" t="s">
        <v>3323</v>
      </c>
      <c r="O2174" t="str">
        <f t="shared" si="322"/>
        <v>57611</v>
      </c>
      <c r="P2174" t="str">
        <f t="shared" si="321"/>
        <v>2100L</v>
      </c>
      <c r="Q2174" t="str">
        <f t="shared" si="317"/>
        <v>0101</v>
      </c>
      <c r="R2174">
        <v>2100</v>
      </c>
      <c r="S2174" t="str">
        <f t="shared" si="323"/>
        <v>5760</v>
      </c>
      <c r="T2174" t="s">
        <v>3634</v>
      </c>
      <c r="U2174" t="s">
        <v>4934</v>
      </c>
    </row>
    <row r="2175" spans="1:21" ht="15" customHeight="1" x14ac:dyDescent="0.3">
      <c r="A2175" t="s">
        <v>179</v>
      </c>
      <c r="B2175" t="str">
        <f>"00066608"</f>
        <v>00066608</v>
      </c>
      <c r="C2175" t="s">
        <v>4253</v>
      </c>
      <c r="D2175" t="s">
        <v>3637</v>
      </c>
      <c r="E2175" t="str">
        <f>"00066520"</f>
        <v>00066520</v>
      </c>
      <c r="F2175">
        <v>0</v>
      </c>
      <c r="G2175" s="243">
        <v>40755</v>
      </c>
      <c r="H2175" t="s">
        <v>182</v>
      </c>
      <c r="I2175">
        <v>15</v>
      </c>
      <c r="J2175">
        <v>2</v>
      </c>
      <c r="K2175">
        <v>1</v>
      </c>
      <c r="L2175">
        <v>51716</v>
      </c>
      <c r="M2175" t="str">
        <f t="shared" si="315"/>
        <v>13</v>
      </c>
      <c r="N2175" t="s">
        <v>3323</v>
      </c>
      <c r="O2175" t="str">
        <f t="shared" si="322"/>
        <v>57611</v>
      </c>
      <c r="P2175" t="str">
        <f t="shared" si="321"/>
        <v>2100L</v>
      </c>
      <c r="Q2175" t="str">
        <f t="shared" si="317"/>
        <v>0101</v>
      </c>
      <c r="R2175">
        <v>2100</v>
      </c>
      <c r="S2175" t="str">
        <f t="shared" si="323"/>
        <v>5760</v>
      </c>
      <c r="T2175" t="s">
        <v>3634</v>
      </c>
      <c r="U2175" t="s">
        <v>4934</v>
      </c>
    </row>
    <row r="2176" spans="1:21" ht="15" customHeight="1" x14ac:dyDescent="0.3">
      <c r="A2176" t="s">
        <v>179</v>
      </c>
      <c r="B2176" t="str">
        <f>"00066611"</f>
        <v>00066611</v>
      </c>
      <c r="C2176" t="s">
        <v>4266</v>
      </c>
      <c r="D2176" t="s">
        <v>1913</v>
      </c>
      <c r="E2176" t="str">
        <f>"00052326"</f>
        <v>00052326</v>
      </c>
      <c r="F2176">
        <v>0</v>
      </c>
      <c r="G2176" s="243">
        <v>40042</v>
      </c>
      <c r="H2176" t="s">
        <v>182</v>
      </c>
      <c r="I2176">
        <v>15</v>
      </c>
      <c r="J2176">
        <v>9</v>
      </c>
      <c r="K2176">
        <v>1</v>
      </c>
      <c r="L2176">
        <v>75232</v>
      </c>
      <c r="M2176" t="str">
        <f t="shared" si="315"/>
        <v>13</v>
      </c>
      <c r="N2176" t="s">
        <v>3323</v>
      </c>
      <c r="O2176" t="str">
        <f t="shared" si="322"/>
        <v>57611</v>
      </c>
      <c r="P2176" t="str">
        <f>"2300L"</f>
        <v>2300L</v>
      </c>
      <c r="Q2176" t="str">
        <f t="shared" si="317"/>
        <v>0101</v>
      </c>
      <c r="R2176">
        <v>2300</v>
      </c>
      <c r="S2176" t="str">
        <f t="shared" si="323"/>
        <v>5760</v>
      </c>
      <c r="T2176" t="s">
        <v>3634</v>
      </c>
      <c r="U2176" t="s">
        <v>4934</v>
      </c>
    </row>
    <row r="2177" spans="1:21" ht="15" customHeight="1" x14ac:dyDescent="0.3">
      <c r="A2177" t="s">
        <v>179</v>
      </c>
      <c r="B2177" t="str">
        <f>"00066612"</f>
        <v>00066612</v>
      </c>
      <c r="C2177" t="s">
        <v>4260</v>
      </c>
      <c r="D2177" t="s">
        <v>3737</v>
      </c>
      <c r="E2177" t="str">
        <f>"00062941"</f>
        <v>00062941</v>
      </c>
      <c r="F2177">
        <v>0</v>
      </c>
      <c r="G2177" s="243">
        <v>40408</v>
      </c>
      <c r="H2177" t="s">
        <v>182</v>
      </c>
      <c r="I2177">
        <v>15</v>
      </c>
      <c r="J2177">
        <v>2</v>
      </c>
      <c r="K2177">
        <v>1</v>
      </c>
      <c r="L2177">
        <v>51716</v>
      </c>
      <c r="M2177" t="str">
        <f t="shared" si="315"/>
        <v>13</v>
      </c>
      <c r="N2177" t="s">
        <v>3370</v>
      </c>
      <c r="O2177" t="str">
        <f t="shared" si="322"/>
        <v>57611</v>
      </c>
      <c r="P2177" t="str">
        <f t="shared" ref="P2177:P2185" si="324">"2100L"</f>
        <v>2100L</v>
      </c>
      <c r="Q2177" t="str">
        <f t="shared" si="317"/>
        <v>0101</v>
      </c>
      <c r="R2177">
        <v>2100</v>
      </c>
      <c r="S2177" t="str">
        <f t="shared" si="323"/>
        <v>5760</v>
      </c>
      <c r="T2177" t="s">
        <v>3634</v>
      </c>
      <c r="U2177" t="s">
        <v>4934</v>
      </c>
    </row>
    <row r="2178" spans="1:21" ht="15" customHeight="1" x14ac:dyDescent="0.3">
      <c r="A2178" t="s">
        <v>179</v>
      </c>
      <c r="B2178" t="str">
        <f>"00066613"</f>
        <v>00066613</v>
      </c>
      <c r="C2178" t="s">
        <v>4263</v>
      </c>
      <c r="D2178" t="s">
        <v>1895</v>
      </c>
      <c r="E2178" t="str">
        <f>"00056915"</f>
        <v>00056915</v>
      </c>
      <c r="F2178">
        <v>0</v>
      </c>
      <c r="G2178" s="243">
        <v>40042</v>
      </c>
      <c r="H2178" t="s">
        <v>182</v>
      </c>
      <c r="I2178">
        <v>15</v>
      </c>
      <c r="J2178">
        <v>13</v>
      </c>
      <c r="K2178">
        <v>1</v>
      </c>
      <c r="L2178">
        <v>95366</v>
      </c>
      <c r="M2178" t="str">
        <f t="shared" si="315"/>
        <v>13</v>
      </c>
      <c r="N2178" t="s">
        <v>3323</v>
      </c>
      <c r="O2178" t="str">
        <f t="shared" si="322"/>
        <v>57611</v>
      </c>
      <c r="P2178" t="str">
        <f t="shared" si="324"/>
        <v>2100L</v>
      </c>
      <c r="Q2178" t="str">
        <f t="shared" si="317"/>
        <v>0101</v>
      </c>
      <c r="R2178">
        <v>2100</v>
      </c>
      <c r="S2178" t="str">
        <f t="shared" si="323"/>
        <v>5760</v>
      </c>
      <c r="T2178" t="s">
        <v>3634</v>
      </c>
      <c r="U2178" t="s">
        <v>4934</v>
      </c>
    </row>
    <row r="2179" spans="1:21" ht="15" customHeight="1" x14ac:dyDescent="0.3">
      <c r="A2179" t="s">
        <v>179</v>
      </c>
      <c r="B2179" t="str">
        <f>"00066614"</f>
        <v>00066614</v>
      </c>
      <c r="C2179" t="s">
        <v>4260</v>
      </c>
      <c r="D2179" t="s">
        <v>1915</v>
      </c>
      <c r="E2179" t="str">
        <f>"00057053"</f>
        <v>00057053</v>
      </c>
      <c r="F2179">
        <v>0</v>
      </c>
      <c r="G2179" s="243">
        <v>40042</v>
      </c>
      <c r="H2179" t="s">
        <v>182</v>
      </c>
      <c r="I2179">
        <v>15</v>
      </c>
      <c r="J2179">
        <v>8</v>
      </c>
      <c r="K2179">
        <v>1</v>
      </c>
      <c r="L2179">
        <v>72171</v>
      </c>
      <c r="M2179" t="str">
        <f t="shared" si="315"/>
        <v>13</v>
      </c>
      <c r="N2179" t="s">
        <v>3323</v>
      </c>
      <c r="O2179" t="str">
        <f t="shared" si="322"/>
        <v>57611</v>
      </c>
      <c r="P2179" t="str">
        <f t="shared" si="324"/>
        <v>2100L</v>
      </c>
      <c r="Q2179" t="str">
        <f t="shared" si="317"/>
        <v>0101</v>
      </c>
      <c r="R2179">
        <v>2100</v>
      </c>
      <c r="S2179" t="str">
        <f t="shared" si="323"/>
        <v>5760</v>
      </c>
      <c r="T2179" t="s">
        <v>3634</v>
      </c>
      <c r="U2179" t="s">
        <v>4934</v>
      </c>
    </row>
    <row r="2180" spans="1:21" ht="15" customHeight="1" x14ac:dyDescent="0.3">
      <c r="A2180" t="s">
        <v>179</v>
      </c>
      <c r="B2180" t="str">
        <f>"00066616"</f>
        <v>00066616</v>
      </c>
      <c r="C2180" t="s">
        <v>4260</v>
      </c>
      <c r="D2180" t="s">
        <v>1875</v>
      </c>
      <c r="E2180" t="str">
        <f>"00057309"</f>
        <v>00057309</v>
      </c>
      <c r="F2180">
        <v>0</v>
      </c>
      <c r="G2180" s="243">
        <v>40042</v>
      </c>
      <c r="H2180" t="s">
        <v>182</v>
      </c>
      <c r="I2180">
        <v>15</v>
      </c>
      <c r="J2180">
        <v>10</v>
      </c>
      <c r="K2180">
        <v>1</v>
      </c>
      <c r="L2180">
        <v>80729</v>
      </c>
      <c r="M2180" t="str">
        <f t="shared" si="315"/>
        <v>13</v>
      </c>
      <c r="N2180" t="s">
        <v>3323</v>
      </c>
      <c r="O2180" t="str">
        <f t="shared" si="322"/>
        <v>57611</v>
      </c>
      <c r="P2180" t="str">
        <f t="shared" si="324"/>
        <v>2100L</v>
      </c>
      <c r="Q2180" t="str">
        <f t="shared" si="317"/>
        <v>0101</v>
      </c>
      <c r="R2180">
        <v>2100</v>
      </c>
      <c r="S2180" t="str">
        <f t="shared" si="323"/>
        <v>5760</v>
      </c>
      <c r="T2180" t="s">
        <v>3634</v>
      </c>
      <c r="U2180" t="s">
        <v>4934</v>
      </c>
    </row>
    <row r="2181" spans="1:21" ht="15" customHeight="1" x14ac:dyDescent="0.3">
      <c r="A2181" t="s">
        <v>179</v>
      </c>
      <c r="B2181" t="str">
        <f>"00067503"</f>
        <v>00067503</v>
      </c>
      <c r="C2181" t="s">
        <v>4262</v>
      </c>
      <c r="D2181" t="s">
        <v>1896</v>
      </c>
      <c r="E2181" t="str">
        <f>"00057120"</f>
        <v>00057120</v>
      </c>
      <c r="F2181">
        <v>0</v>
      </c>
      <c r="G2181" s="243">
        <v>40042</v>
      </c>
      <c r="H2181" t="s">
        <v>182</v>
      </c>
      <c r="I2181">
        <v>15</v>
      </c>
      <c r="J2181">
        <v>9</v>
      </c>
      <c r="K2181">
        <v>1</v>
      </c>
      <c r="L2181">
        <v>75232</v>
      </c>
      <c r="M2181" t="str">
        <f t="shared" ref="M2181:M2240" si="325">"13"</f>
        <v>13</v>
      </c>
      <c r="N2181" t="s">
        <v>3323</v>
      </c>
      <c r="O2181" t="str">
        <f t="shared" si="322"/>
        <v>57611</v>
      </c>
      <c r="P2181" t="str">
        <f t="shared" si="324"/>
        <v>2100L</v>
      </c>
      <c r="Q2181" t="str">
        <f t="shared" si="317"/>
        <v>0101</v>
      </c>
      <c r="R2181">
        <v>2100</v>
      </c>
      <c r="S2181" t="str">
        <f t="shared" si="323"/>
        <v>5760</v>
      </c>
      <c r="T2181" t="s">
        <v>3634</v>
      </c>
      <c r="U2181" t="s">
        <v>4934</v>
      </c>
    </row>
    <row r="2182" spans="1:21" ht="15" customHeight="1" x14ac:dyDescent="0.3">
      <c r="A2182" t="s">
        <v>179</v>
      </c>
      <c r="B2182" t="str">
        <f>"00067504"</f>
        <v>00067504</v>
      </c>
      <c r="C2182" t="s">
        <v>4262</v>
      </c>
      <c r="H2182" t="s">
        <v>170</v>
      </c>
      <c r="I2182">
        <v>15</v>
      </c>
      <c r="J2182">
        <v>1</v>
      </c>
      <c r="K2182">
        <v>1</v>
      </c>
      <c r="L2182">
        <v>51539</v>
      </c>
      <c r="M2182" t="str">
        <f t="shared" si="325"/>
        <v>13</v>
      </c>
      <c r="N2182" t="s">
        <v>3323</v>
      </c>
      <c r="O2182" t="str">
        <f t="shared" si="322"/>
        <v>57611</v>
      </c>
      <c r="P2182" t="str">
        <f t="shared" si="324"/>
        <v>2100L</v>
      </c>
      <c r="Q2182" t="str">
        <f t="shared" si="317"/>
        <v>0101</v>
      </c>
      <c r="R2182">
        <v>2100</v>
      </c>
      <c r="S2182" t="str">
        <f t="shared" si="323"/>
        <v>5760</v>
      </c>
      <c r="T2182" t="s">
        <v>3634</v>
      </c>
      <c r="U2182" t="s">
        <v>4934</v>
      </c>
    </row>
    <row r="2183" spans="1:21" ht="15" customHeight="1" x14ac:dyDescent="0.3">
      <c r="A2183" t="s">
        <v>179</v>
      </c>
      <c r="B2183" t="str">
        <f>"00067505"</f>
        <v>00067505</v>
      </c>
      <c r="C2183" t="s">
        <v>4262</v>
      </c>
      <c r="D2183" t="s">
        <v>1897</v>
      </c>
      <c r="E2183" t="str">
        <f>"00057016"</f>
        <v>00057016</v>
      </c>
      <c r="F2183">
        <v>0</v>
      </c>
      <c r="G2183" s="243">
        <v>41133</v>
      </c>
      <c r="H2183" t="s">
        <v>182</v>
      </c>
      <c r="I2183">
        <v>15</v>
      </c>
      <c r="J2183">
        <v>5</v>
      </c>
      <c r="K2183">
        <v>1</v>
      </c>
      <c r="L2183">
        <v>63611</v>
      </c>
      <c r="M2183" t="str">
        <f t="shared" si="325"/>
        <v>13</v>
      </c>
      <c r="N2183" t="s">
        <v>3370</v>
      </c>
      <c r="O2183" t="str">
        <f t="shared" si="322"/>
        <v>57611</v>
      </c>
      <c r="P2183" t="str">
        <f t="shared" si="324"/>
        <v>2100L</v>
      </c>
      <c r="Q2183" t="str">
        <f t="shared" si="317"/>
        <v>0101</v>
      </c>
      <c r="R2183">
        <v>2100</v>
      </c>
      <c r="S2183" t="str">
        <f t="shared" si="323"/>
        <v>5760</v>
      </c>
      <c r="T2183" t="s">
        <v>3634</v>
      </c>
      <c r="U2183" t="s">
        <v>4934</v>
      </c>
    </row>
    <row r="2184" spans="1:21" ht="15" customHeight="1" x14ac:dyDescent="0.3">
      <c r="A2184" t="s">
        <v>179</v>
      </c>
      <c r="B2184" t="str">
        <f>"00067506"</f>
        <v>00067506</v>
      </c>
      <c r="C2184" t="s">
        <v>4262</v>
      </c>
      <c r="D2184" t="s">
        <v>1898</v>
      </c>
      <c r="E2184" t="str">
        <f>"00057483"</f>
        <v>00057483</v>
      </c>
      <c r="F2184">
        <v>0</v>
      </c>
      <c r="G2184" s="243">
        <v>40042</v>
      </c>
      <c r="H2184" t="s">
        <v>182</v>
      </c>
      <c r="I2184">
        <v>15</v>
      </c>
      <c r="J2184">
        <v>13</v>
      </c>
      <c r="K2184">
        <v>1</v>
      </c>
      <c r="L2184">
        <v>101066</v>
      </c>
      <c r="M2184" t="str">
        <f t="shared" si="325"/>
        <v>13</v>
      </c>
      <c r="N2184" t="s">
        <v>3323</v>
      </c>
      <c r="O2184" t="str">
        <f t="shared" si="322"/>
        <v>57611</v>
      </c>
      <c r="P2184" t="str">
        <f t="shared" si="324"/>
        <v>2100L</v>
      </c>
      <c r="Q2184" t="str">
        <f t="shared" si="317"/>
        <v>0101</v>
      </c>
      <c r="R2184">
        <v>2100</v>
      </c>
      <c r="S2184" t="str">
        <f t="shared" si="323"/>
        <v>5760</v>
      </c>
      <c r="T2184" t="s">
        <v>3634</v>
      </c>
      <c r="U2184" t="s">
        <v>4934</v>
      </c>
    </row>
    <row r="2185" spans="1:21" ht="15" customHeight="1" x14ac:dyDescent="0.3">
      <c r="A2185" t="s">
        <v>179</v>
      </c>
      <c r="B2185" t="str">
        <f>"00068177"</f>
        <v>00068177</v>
      </c>
      <c r="C2185" t="s">
        <v>4290</v>
      </c>
      <c r="D2185" t="s">
        <v>4944</v>
      </c>
      <c r="E2185" t="str">
        <f>"00059141"</f>
        <v>00059141</v>
      </c>
      <c r="F2185">
        <v>0</v>
      </c>
      <c r="G2185" s="243">
        <v>40105</v>
      </c>
      <c r="H2185" t="s">
        <v>182</v>
      </c>
      <c r="I2185">
        <v>4</v>
      </c>
      <c r="J2185">
        <v>5</v>
      </c>
      <c r="K2185">
        <v>0.1</v>
      </c>
      <c r="L2185">
        <v>25239.37</v>
      </c>
      <c r="M2185" t="str">
        <f t="shared" si="325"/>
        <v>13</v>
      </c>
      <c r="N2185" t="s">
        <v>3370</v>
      </c>
      <c r="O2185" t="str">
        <f t="shared" si="322"/>
        <v>57611</v>
      </c>
      <c r="P2185" t="str">
        <f t="shared" si="324"/>
        <v>2100L</v>
      </c>
      <c r="Q2185" t="str">
        <f t="shared" si="317"/>
        <v>0101</v>
      </c>
      <c r="R2185">
        <v>2100</v>
      </c>
      <c r="S2185" t="str">
        <f t="shared" si="323"/>
        <v>5760</v>
      </c>
      <c r="T2185" t="s">
        <v>3634</v>
      </c>
      <c r="U2185" t="s">
        <v>4934</v>
      </c>
    </row>
    <row r="2186" spans="1:21" ht="15" customHeight="1" x14ac:dyDescent="0.3">
      <c r="A2186" t="s">
        <v>179</v>
      </c>
      <c r="B2186" t="str">
        <f>"00071620"</f>
        <v>00071620</v>
      </c>
      <c r="C2186" t="s">
        <v>3670</v>
      </c>
      <c r="D2186" t="s">
        <v>4945</v>
      </c>
      <c r="E2186" t="str">
        <f>"00068396"</f>
        <v>00068396</v>
      </c>
      <c r="F2186">
        <v>0</v>
      </c>
      <c r="G2186" s="243">
        <v>41043</v>
      </c>
      <c r="H2186" t="s">
        <v>182</v>
      </c>
      <c r="I2186">
        <v>8</v>
      </c>
      <c r="J2186">
        <v>4</v>
      </c>
      <c r="K2186">
        <v>1</v>
      </c>
      <c r="L2186">
        <v>92718</v>
      </c>
      <c r="M2186" t="str">
        <f t="shared" si="325"/>
        <v>13</v>
      </c>
      <c r="N2186" t="s">
        <v>3323</v>
      </c>
      <c r="O2186" t="str">
        <f t="shared" si="322"/>
        <v>57611</v>
      </c>
      <c r="P2186" t="str">
        <f>"1501L"</f>
        <v>1501L</v>
      </c>
      <c r="Q2186" t="str">
        <f t="shared" si="317"/>
        <v>0101</v>
      </c>
      <c r="R2186">
        <v>1501</v>
      </c>
      <c r="S2186" t="str">
        <f t="shared" si="323"/>
        <v>5760</v>
      </c>
      <c r="T2186" t="s">
        <v>3634</v>
      </c>
      <c r="U2186" t="s">
        <v>4934</v>
      </c>
    </row>
    <row r="2187" spans="1:21" ht="15" customHeight="1" x14ac:dyDescent="0.3">
      <c r="A2187" t="s">
        <v>179</v>
      </c>
      <c r="B2187" t="str">
        <f>"00072394"</f>
        <v>00072394</v>
      </c>
      <c r="C2187" t="s">
        <v>4266</v>
      </c>
      <c r="D2187" t="s">
        <v>4946</v>
      </c>
      <c r="E2187" t="str">
        <f>"00067773"</f>
        <v>00067773</v>
      </c>
      <c r="F2187">
        <v>0</v>
      </c>
      <c r="G2187" s="243">
        <v>40945</v>
      </c>
      <c r="H2187" t="s">
        <v>182</v>
      </c>
      <c r="I2187">
        <v>15</v>
      </c>
      <c r="J2187">
        <v>9</v>
      </c>
      <c r="K2187">
        <v>1</v>
      </c>
      <c r="L2187">
        <v>65985</v>
      </c>
      <c r="M2187" t="str">
        <f t="shared" si="325"/>
        <v>13</v>
      </c>
      <c r="N2187" t="s">
        <v>3323</v>
      </c>
      <c r="O2187" t="str">
        <f t="shared" si="322"/>
        <v>57611</v>
      </c>
      <c r="P2187" t="str">
        <f>"2100L"</f>
        <v>2100L</v>
      </c>
      <c r="Q2187" t="str">
        <f t="shared" si="317"/>
        <v>0101</v>
      </c>
      <c r="R2187">
        <v>2100</v>
      </c>
      <c r="S2187" t="str">
        <f t="shared" si="323"/>
        <v>5760</v>
      </c>
      <c r="T2187" t="s">
        <v>3634</v>
      </c>
      <c r="U2187" t="s">
        <v>4934</v>
      </c>
    </row>
    <row r="2188" spans="1:21" ht="15" customHeight="1" x14ac:dyDescent="0.3">
      <c r="A2188" t="s">
        <v>179</v>
      </c>
      <c r="B2188" t="str">
        <f>"00072497"</f>
        <v>00072497</v>
      </c>
      <c r="C2188" t="s">
        <v>4290</v>
      </c>
      <c r="D2188" t="s">
        <v>4947</v>
      </c>
      <c r="E2188" t="str">
        <f>"00052312"</f>
        <v>00052312</v>
      </c>
      <c r="F2188">
        <v>0</v>
      </c>
      <c r="G2188" s="243">
        <v>40770</v>
      </c>
      <c r="H2188" t="s">
        <v>182</v>
      </c>
      <c r="I2188">
        <v>4</v>
      </c>
      <c r="J2188">
        <v>10</v>
      </c>
      <c r="K2188">
        <v>0.71</v>
      </c>
      <c r="L2188">
        <v>28721</v>
      </c>
      <c r="M2188" t="str">
        <f t="shared" si="325"/>
        <v>13</v>
      </c>
      <c r="N2188" t="s">
        <v>3323</v>
      </c>
      <c r="O2188" t="str">
        <f t="shared" si="322"/>
        <v>57611</v>
      </c>
      <c r="P2188" t="str">
        <f>"2100L"</f>
        <v>2100L</v>
      </c>
      <c r="Q2188" t="str">
        <f t="shared" si="317"/>
        <v>0101</v>
      </c>
      <c r="R2188">
        <v>2100</v>
      </c>
      <c r="S2188" t="str">
        <f t="shared" si="323"/>
        <v>5760</v>
      </c>
      <c r="T2188" t="s">
        <v>3634</v>
      </c>
      <c r="U2188" t="s">
        <v>4934</v>
      </c>
    </row>
    <row r="2189" spans="1:21" ht="15" customHeight="1" x14ac:dyDescent="0.3">
      <c r="A2189" t="s">
        <v>179</v>
      </c>
      <c r="B2189" t="str">
        <f>"00072520"</f>
        <v>00072520</v>
      </c>
      <c r="C2189" t="s">
        <v>4306</v>
      </c>
      <c r="D2189" t="s">
        <v>4948</v>
      </c>
      <c r="E2189" t="str">
        <f>"00046203"</f>
        <v>00046203</v>
      </c>
      <c r="F2189">
        <v>0</v>
      </c>
      <c r="G2189" s="243">
        <v>38329</v>
      </c>
      <c r="H2189" t="s">
        <v>182</v>
      </c>
      <c r="I2189">
        <v>9</v>
      </c>
      <c r="J2189">
        <v>3</v>
      </c>
      <c r="K2189">
        <v>1</v>
      </c>
      <c r="L2189">
        <v>35289</v>
      </c>
      <c r="M2189" t="str">
        <f t="shared" si="325"/>
        <v>13</v>
      </c>
      <c r="N2189" t="s">
        <v>3323</v>
      </c>
      <c r="O2189" t="str">
        <f t="shared" si="322"/>
        <v>57611</v>
      </c>
      <c r="P2189" t="str">
        <f>"1502L"</f>
        <v>1502L</v>
      </c>
      <c r="Q2189" t="str">
        <f t="shared" si="317"/>
        <v>0101</v>
      </c>
      <c r="R2189">
        <v>1502</v>
      </c>
      <c r="S2189" t="str">
        <f t="shared" si="323"/>
        <v>5760</v>
      </c>
      <c r="T2189" t="s">
        <v>3634</v>
      </c>
      <c r="U2189" t="s">
        <v>4934</v>
      </c>
    </row>
    <row r="2190" spans="1:21" ht="15" customHeight="1" x14ac:dyDescent="0.3">
      <c r="A2190" t="s">
        <v>179</v>
      </c>
      <c r="B2190" t="str">
        <f>"00072914"</f>
        <v>00072914</v>
      </c>
      <c r="C2190" t="s">
        <v>4272</v>
      </c>
      <c r="D2190" t="s">
        <v>1899</v>
      </c>
      <c r="E2190" t="str">
        <f>"00062673"</f>
        <v>00062673</v>
      </c>
      <c r="F2190">
        <v>0</v>
      </c>
      <c r="G2190" s="243">
        <v>40406</v>
      </c>
      <c r="H2190" t="s">
        <v>182</v>
      </c>
      <c r="I2190">
        <v>15</v>
      </c>
      <c r="J2190">
        <v>9</v>
      </c>
      <c r="K2190">
        <v>1</v>
      </c>
      <c r="L2190">
        <v>68414</v>
      </c>
      <c r="M2190" t="str">
        <f t="shared" si="325"/>
        <v>13</v>
      </c>
      <c r="N2190" t="s">
        <v>3323</v>
      </c>
      <c r="O2190" t="str">
        <f t="shared" si="322"/>
        <v>57611</v>
      </c>
      <c r="P2190" t="str">
        <f t="shared" ref="P2190:P2195" si="326">"2100L"</f>
        <v>2100L</v>
      </c>
      <c r="Q2190" t="str">
        <f t="shared" si="317"/>
        <v>0101</v>
      </c>
      <c r="R2190">
        <v>2100</v>
      </c>
      <c r="S2190" t="str">
        <f t="shared" si="323"/>
        <v>5760</v>
      </c>
      <c r="T2190" t="s">
        <v>3634</v>
      </c>
      <c r="U2190" t="s">
        <v>4934</v>
      </c>
    </row>
    <row r="2191" spans="1:21" ht="15" customHeight="1" x14ac:dyDescent="0.3">
      <c r="A2191" t="s">
        <v>179</v>
      </c>
      <c r="B2191" t="str">
        <f>"00073912"</f>
        <v>00073912</v>
      </c>
      <c r="C2191" t="s">
        <v>4728</v>
      </c>
      <c r="D2191" t="s">
        <v>270</v>
      </c>
      <c r="E2191" t="str">
        <f>"00047084"</f>
        <v>00047084</v>
      </c>
      <c r="F2191">
        <v>0</v>
      </c>
      <c r="G2191" s="243">
        <v>36962</v>
      </c>
      <c r="H2191" t="s">
        <v>182</v>
      </c>
      <c r="I2191">
        <v>9</v>
      </c>
      <c r="J2191">
        <v>7</v>
      </c>
      <c r="K2191">
        <v>1</v>
      </c>
      <c r="L2191">
        <v>39541</v>
      </c>
      <c r="M2191" t="str">
        <f t="shared" si="325"/>
        <v>13</v>
      </c>
      <c r="N2191" t="s">
        <v>3323</v>
      </c>
      <c r="O2191" t="str">
        <f t="shared" si="322"/>
        <v>57611</v>
      </c>
      <c r="P2191" t="str">
        <f t="shared" si="326"/>
        <v>2100L</v>
      </c>
      <c r="Q2191" t="str">
        <f t="shared" si="317"/>
        <v>0101</v>
      </c>
      <c r="R2191">
        <v>2100</v>
      </c>
      <c r="S2191" t="str">
        <f t="shared" si="323"/>
        <v>5760</v>
      </c>
      <c r="T2191" t="s">
        <v>3634</v>
      </c>
      <c r="U2191" t="s">
        <v>4934</v>
      </c>
    </row>
    <row r="2192" spans="1:21" ht="15" customHeight="1" x14ac:dyDescent="0.3">
      <c r="A2192" t="s">
        <v>179</v>
      </c>
      <c r="B2192" t="str">
        <f>"00073913"</f>
        <v>00073913</v>
      </c>
      <c r="C2192" t="s">
        <v>4260</v>
      </c>
      <c r="D2192" t="s">
        <v>3639</v>
      </c>
      <c r="E2192" t="str">
        <f>"00065600"</f>
        <v>00065600</v>
      </c>
      <c r="F2192">
        <v>0</v>
      </c>
      <c r="G2192" s="243">
        <v>40755</v>
      </c>
      <c r="H2192" t="s">
        <v>182</v>
      </c>
      <c r="I2192">
        <v>15</v>
      </c>
      <c r="J2192">
        <v>2</v>
      </c>
      <c r="K2192">
        <v>1</v>
      </c>
      <c r="L2192">
        <v>56242</v>
      </c>
      <c r="M2192" t="str">
        <f t="shared" si="325"/>
        <v>13</v>
      </c>
      <c r="N2192" t="s">
        <v>3323</v>
      </c>
      <c r="O2192" t="str">
        <f t="shared" si="322"/>
        <v>57611</v>
      </c>
      <c r="P2192" t="str">
        <f t="shared" si="326"/>
        <v>2100L</v>
      </c>
      <c r="Q2192" t="str">
        <f t="shared" si="317"/>
        <v>0101</v>
      </c>
      <c r="R2192">
        <v>2100</v>
      </c>
      <c r="S2192" t="str">
        <f t="shared" si="323"/>
        <v>5760</v>
      </c>
      <c r="T2192" t="s">
        <v>3634</v>
      </c>
      <c r="U2192" t="s">
        <v>4934</v>
      </c>
    </row>
    <row r="2193" spans="1:21" ht="15" customHeight="1" x14ac:dyDescent="0.3">
      <c r="A2193" t="s">
        <v>179</v>
      </c>
      <c r="B2193" t="str">
        <f>"00073914"</f>
        <v>00073914</v>
      </c>
      <c r="C2193" t="s">
        <v>4262</v>
      </c>
      <c r="D2193" t="s">
        <v>1887</v>
      </c>
      <c r="E2193" t="str">
        <f>"00055149"</f>
        <v>00055149</v>
      </c>
      <c r="F2193">
        <v>0</v>
      </c>
      <c r="G2193" s="243">
        <v>39691</v>
      </c>
      <c r="H2193" t="s">
        <v>182</v>
      </c>
      <c r="I2193">
        <v>15</v>
      </c>
      <c r="J2193">
        <v>7</v>
      </c>
      <c r="K2193">
        <v>1</v>
      </c>
      <c r="L2193">
        <v>63496</v>
      </c>
      <c r="M2193" t="str">
        <f t="shared" si="325"/>
        <v>13</v>
      </c>
      <c r="N2193" t="s">
        <v>3323</v>
      </c>
      <c r="O2193" t="str">
        <f t="shared" si="322"/>
        <v>57611</v>
      </c>
      <c r="P2193" t="str">
        <f t="shared" si="326"/>
        <v>2100L</v>
      </c>
      <c r="Q2193" t="str">
        <f t="shared" si="317"/>
        <v>0101</v>
      </c>
      <c r="R2193">
        <v>2100</v>
      </c>
      <c r="S2193" t="str">
        <f t="shared" si="323"/>
        <v>5760</v>
      </c>
      <c r="T2193" t="s">
        <v>3634</v>
      </c>
      <c r="U2193" t="s">
        <v>4934</v>
      </c>
    </row>
    <row r="2194" spans="1:21" ht="15" customHeight="1" x14ac:dyDescent="0.3">
      <c r="A2194" t="s">
        <v>179</v>
      </c>
      <c r="B2194" t="str">
        <f>"00074561"</f>
        <v>00074561</v>
      </c>
      <c r="C2194" t="s">
        <v>200</v>
      </c>
      <c r="D2194" t="s">
        <v>1902</v>
      </c>
      <c r="E2194" t="str">
        <f>"00057366"</f>
        <v>00057366</v>
      </c>
      <c r="F2194">
        <v>0</v>
      </c>
      <c r="G2194" s="243">
        <v>40042</v>
      </c>
      <c r="H2194" t="s">
        <v>182</v>
      </c>
      <c r="I2194">
        <v>15</v>
      </c>
      <c r="J2194">
        <v>12</v>
      </c>
      <c r="K2194">
        <v>1</v>
      </c>
      <c r="L2194">
        <v>87431</v>
      </c>
      <c r="M2194" t="str">
        <f t="shared" si="325"/>
        <v>13</v>
      </c>
      <c r="N2194" t="s">
        <v>3323</v>
      </c>
      <c r="O2194" t="str">
        <f t="shared" si="322"/>
        <v>57611</v>
      </c>
      <c r="P2194" t="str">
        <f t="shared" si="326"/>
        <v>2100L</v>
      </c>
      <c r="Q2194" t="str">
        <f t="shared" si="317"/>
        <v>0101</v>
      </c>
      <c r="R2194">
        <v>2100</v>
      </c>
      <c r="S2194" t="str">
        <f t="shared" si="323"/>
        <v>5760</v>
      </c>
      <c r="T2194" t="s">
        <v>3634</v>
      </c>
      <c r="U2194" t="s">
        <v>4934</v>
      </c>
    </row>
    <row r="2195" spans="1:21" ht="15" customHeight="1" x14ac:dyDescent="0.3">
      <c r="A2195" t="s">
        <v>179</v>
      </c>
      <c r="B2195" t="str">
        <f>"00074614"</f>
        <v>00074614</v>
      </c>
      <c r="C2195" t="s">
        <v>4260</v>
      </c>
      <c r="D2195" t="s">
        <v>1878</v>
      </c>
      <c r="E2195" t="str">
        <f>"00052268"</f>
        <v>00052268</v>
      </c>
      <c r="F2195">
        <v>0</v>
      </c>
      <c r="G2195" s="243">
        <v>40409</v>
      </c>
      <c r="H2195" t="s">
        <v>182</v>
      </c>
      <c r="I2195">
        <v>15</v>
      </c>
      <c r="J2195">
        <v>12</v>
      </c>
      <c r="K2195">
        <v>1</v>
      </c>
      <c r="L2195">
        <v>83267</v>
      </c>
      <c r="M2195" t="str">
        <f t="shared" si="325"/>
        <v>13</v>
      </c>
      <c r="N2195" t="s">
        <v>3323</v>
      </c>
      <c r="O2195" t="str">
        <f t="shared" si="322"/>
        <v>57611</v>
      </c>
      <c r="P2195" t="str">
        <f t="shared" si="326"/>
        <v>2100L</v>
      </c>
      <c r="Q2195" t="str">
        <f t="shared" si="317"/>
        <v>0101</v>
      </c>
      <c r="R2195">
        <v>2100</v>
      </c>
      <c r="S2195" t="str">
        <f t="shared" si="323"/>
        <v>5760</v>
      </c>
      <c r="T2195" t="s">
        <v>3634</v>
      </c>
      <c r="U2195" t="s">
        <v>4934</v>
      </c>
    </row>
    <row r="2196" spans="1:21" ht="15" customHeight="1" x14ac:dyDescent="0.3">
      <c r="A2196" t="s">
        <v>179</v>
      </c>
      <c r="B2196" t="str">
        <f>"00075559"</f>
        <v>00075559</v>
      </c>
      <c r="C2196" t="s">
        <v>3670</v>
      </c>
      <c r="D2196" t="s">
        <v>1889</v>
      </c>
      <c r="E2196" t="str">
        <f>"00057781"</f>
        <v>00057781</v>
      </c>
      <c r="F2196">
        <v>0</v>
      </c>
      <c r="G2196" s="243">
        <v>40044</v>
      </c>
      <c r="H2196" t="s">
        <v>182</v>
      </c>
      <c r="I2196">
        <v>8</v>
      </c>
      <c r="J2196">
        <v>5</v>
      </c>
      <c r="K2196">
        <v>1</v>
      </c>
      <c r="L2196">
        <v>92198</v>
      </c>
      <c r="M2196" t="str">
        <f t="shared" si="325"/>
        <v>13</v>
      </c>
      <c r="N2196" t="s">
        <v>3370</v>
      </c>
      <c r="O2196" t="str">
        <f t="shared" si="322"/>
        <v>57611</v>
      </c>
      <c r="P2196" t="str">
        <f>"1501L"</f>
        <v>1501L</v>
      </c>
      <c r="Q2196" t="str">
        <f t="shared" si="317"/>
        <v>0101</v>
      </c>
      <c r="R2196">
        <v>1501</v>
      </c>
      <c r="S2196" t="str">
        <f t="shared" si="323"/>
        <v>5760</v>
      </c>
      <c r="T2196" t="s">
        <v>3634</v>
      </c>
      <c r="U2196" t="s">
        <v>4934</v>
      </c>
    </row>
    <row r="2197" spans="1:21" ht="15" customHeight="1" x14ac:dyDescent="0.3">
      <c r="A2197" t="s">
        <v>179</v>
      </c>
      <c r="B2197" t="str">
        <f>"00076248"</f>
        <v>00076248</v>
      </c>
      <c r="C2197" t="s">
        <v>4438</v>
      </c>
      <c r="D2197" t="s">
        <v>4949</v>
      </c>
      <c r="E2197" t="str">
        <f>"00069923"</f>
        <v>00069923</v>
      </c>
      <c r="F2197">
        <v>0</v>
      </c>
      <c r="G2197" s="243">
        <v>41133</v>
      </c>
      <c r="H2197" t="s">
        <v>182</v>
      </c>
      <c r="I2197">
        <v>11</v>
      </c>
      <c r="J2197">
        <v>1</v>
      </c>
      <c r="K2197">
        <v>1</v>
      </c>
      <c r="L2197">
        <v>64197</v>
      </c>
      <c r="M2197" t="str">
        <f t="shared" si="325"/>
        <v>13</v>
      </c>
      <c r="N2197" t="s">
        <v>3370</v>
      </c>
      <c r="O2197" t="str">
        <f t="shared" si="322"/>
        <v>57611</v>
      </c>
      <c r="P2197" t="str">
        <f t="shared" ref="P2197:P2203" si="327">"1502L"</f>
        <v>1502L</v>
      </c>
      <c r="Q2197" t="str">
        <f t="shared" ref="Q2197:Q2256" si="328">"0101"</f>
        <v>0101</v>
      </c>
      <c r="R2197">
        <v>1502</v>
      </c>
      <c r="S2197" t="str">
        <f t="shared" si="323"/>
        <v>5760</v>
      </c>
      <c r="T2197" t="s">
        <v>3634</v>
      </c>
      <c r="U2197" t="s">
        <v>4934</v>
      </c>
    </row>
    <row r="2198" spans="1:21" ht="15" customHeight="1" x14ac:dyDescent="0.3">
      <c r="A2198" t="s">
        <v>179</v>
      </c>
      <c r="B2198" t="str">
        <f>"00076459"</f>
        <v>00076459</v>
      </c>
      <c r="C2198" t="s">
        <v>4288</v>
      </c>
      <c r="D2198" t="s">
        <v>4950</v>
      </c>
      <c r="E2198" t="str">
        <f>"00055318"</f>
        <v>00055318</v>
      </c>
      <c r="F2198">
        <v>0</v>
      </c>
      <c r="G2198" s="243">
        <v>40861</v>
      </c>
      <c r="H2198" t="s">
        <v>182</v>
      </c>
      <c r="I2198">
        <v>4</v>
      </c>
      <c r="J2198">
        <v>8</v>
      </c>
      <c r="K2198">
        <v>0.71</v>
      </c>
      <c r="L2198">
        <v>27329.75</v>
      </c>
      <c r="M2198" t="str">
        <f t="shared" si="325"/>
        <v>13</v>
      </c>
      <c r="N2198" t="s">
        <v>3323</v>
      </c>
      <c r="O2198" t="str">
        <f t="shared" si="322"/>
        <v>57611</v>
      </c>
      <c r="P2198" t="str">
        <f t="shared" si="327"/>
        <v>1502L</v>
      </c>
      <c r="Q2198" t="str">
        <f t="shared" si="328"/>
        <v>0101</v>
      </c>
      <c r="R2198">
        <v>1502</v>
      </c>
      <c r="S2198" t="str">
        <f t="shared" si="323"/>
        <v>5760</v>
      </c>
      <c r="T2198" t="s">
        <v>3634</v>
      </c>
      <c r="U2198" t="s">
        <v>4934</v>
      </c>
    </row>
    <row r="2199" spans="1:21" ht="15" customHeight="1" x14ac:dyDescent="0.3">
      <c r="A2199" t="s">
        <v>179</v>
      </c>
      <c r="B2199" t="str">
        <f>"00076460"</f>
        <v>00076460</v>
      </c>
      <c r="C2199" t="s">
        <v>4274</v>
      </c>
      <c r="H2199" t="s">
        <v>170</v>
      </c>
      <c r="I2199">
        <v>4</v>
      </c>
      <c r="J2199">
        <v>0</v>
      </c>
      <c r="K2199">
        <v>0.71</v>
      </c>
      <c r="L2199">
        <v>25662</v>
      </c>
      <c r="M2199" t="str">
        <f t="shared" si="325"/>
        <v>13</v>
      </c>
      <c r="N2199" t="s">
        <v>3323</v>
      </c>
      <c r="O2199" t="str">
        <f t="shared" ref="O2199:O2205" si="329">"57611"</f>
        <v>57611</v>
      </c>
      <c r="P2199" t="str">
        <f t="shared" si="327"/>
        <v>1502L</v>
      </c>
      <c r="Q2199" t="str">
        <f t="shared" si="328"/>
        <v>0101</v>
      </c>
      <c r="R2199">
        <v>1502</v>
      </c>
      <c r="S2199" t="str">
        <f t="shared" ref="S2199:S2205" si="330">"5760"</f>
        <v>5760</v>
      </c>
      <c r="T2199" t="s">
        <v>3634</v>
      </c>
      <c r="U2199" t="s">
        <v>4934</v>
      </c>
    </row>
    <row r="2200" spans="1:21" ht="15" customHeight="1" x14ac:dyDescent="0.3">
      <c r="A2200" t="s">
        <v>179</v>
      </c>
      <c r="B2200" t="str">
        <f>"00076461"</f>
        <v>00076461</v>
      </c>
      <c r="C2200" t="s">
        <v>4274</v>
      </c>
      <c r="H2200" t="s">
        <v>170</v>
      </c>
      <c r="I2200">
        <v>4</v>
      </c>
      <c r="J2200">
        <v>0</v>
      </c>
      <c r="K2200">
        <v>0.71</v>
      </c>
      <c r="L2200">
        <v>25662</v>
      </c>
      <c r="M2200" t="str">
        <f t="shared" si="325"/>
        <v>13</v>
      </c>
      <c r="N2200" t="s">
        <v>3323</v>
      </c>
      <c r="O2200" t="str">
        <f t="shared" si="329"/>
        <v>57611</v>
      </c>
      <c r="P2200" t="str">
        <f t="shared" si="327"/>
        <v>1502L</v>
      </c>
      <c r="Q2200" t="str">
        <f t="shared" si="328"/>
        <v>0101</v>
      </c>
      <c r="R2200">
        <v>1502</v>
      </c>
      <c r="S2200" t="str">
        <f t="shared" si="330"/>
        <v>5760</v>
      </c>
      <c r="T2200" t="s">
        <v>3634</v>
      </c>
      <c r="U2200" t="s">
        <v>4934</v>
      </c>
    </row>
    <row r="2201" spans="1:21" ht="15" customHeight="1" x14ac:dyDescent="0.3">
      <c r="A2201" t="s">
        <v>179</v>
      </c>
      <c r="B2201" t="str">
        <f>"00076462"</f>
        <v>00076462</v>
      </c>
      <c r="C2201" t="s">
        <v>4274</v>
      </c>
      <c r="H2201" t="s">
        <v>170</v>
      </c>
      <c r="I2201">
        <v>4</v>
      </c>
      <c r="J2201">
        <v>0</v>
      </c>
      <c r="K2201">
        <v>0.71</v>
      </c>
      <c r="L2201">
        <v>25662</v>
      </c>
      <c r="M2201" t="str">
        <f t="shared" si="325"/>
        <v>13</v>
      </c>
      <c r="N2201" t="s">
        <v>3323</v>
      </c>
      <c r="O2201" t="str">
        <f t="shared" si="329"/>
        <v>57611</v>
      </c>
      <c r="P2201" t="str">
        <f t="shared" si="327"/>
        <v>1502L</v>
      </c>
      <c r="Q2201" t="str">
        <f t="shared" si="328"/>
        <v>0101</v>
      </c>
      <c r="R2201">
        <v>1502</v>
      </c>
      <c r="S2201" t="str">
        <f t="shared" si="330"/>
        <v>5760</v>
      </c>
      <c r="T2201" t="s">
        <v>3634</v>
      </c>
      <c r="U2201" t="s">
        <v>4934</v>
      </c>
    </row>
    <row r="2202" spans="1:21" ht="15" customHeight="1" x14ac:dyDescent="0.3">
      <c r="A2202" t="s">
        <v>179</v>
      </c>
      <c r="B2202" t="str">
        <f>"00076463"</f>
        <v>00076463</v>
      </c>
      <c r="C2202" t="s">
        <v>4274</v>
      </c>
      <c r="D2202" t="s">
        <v>4951</v>
      </c>
      <c r="E2202" t="str">
        <f>"00053828"</f>
        <v>00053828</v>
      </c>
      <c r="F2202">
        <v>0</v>
      </c>
      <c r="G2202" s="243">
        <v>41133</v>
      </c>
      <c r="H2202" t="s">
        <v>182</v>
      </c>
      <c r="I2202">
        <v>4</v>
      </c>
      <c r="J2202">
        <v>7</v>
      </c>
      <c r="K2202">
        <v>0.71</v>
      </c>
      <c r="L2202">
        <v>26633.25</v>
      </c>
      <c r="M2202" t="str">
        <f t="shared" si="325"/>
        <v>13</v>
      </c>
      <c r="N2202" t="s">
        <v>3323</v>
      </c>
      <c r="O2202" t="str">
        <f t="shared" si="329"/>
        <v>57611</v>
      </c>
      <c r="P2202" t="str">
        <f t="shared" si="327"/>
        <v>1502L</v>
      </c>
      <c r="Q2202" t="str">
        <f t="shared" si="328"/>
        <v>0101</v>
      </c>
      <c r="R2202">
        <v>1502</v>
      </c>
      <c r="S2202" t="str">
        <f t="shared" si="330"/>
        <v>5760</v>
      </c>
      <c r="T2202" t="s">
        <v>3634</v>
      </c>
      <c r="U2202" t="s">
        <v>4934</v>
      </c>
    </row>
    <row r="2203" spans="1:21" ht="15" customHeight="1" x14ac:dyDescent="0.3">
      <c r="A2203" t="s">
        <v>179</v>
      </c>
      <c r="B2203" t="str">
        <f>"00076464"</f>
        <v>00076464</v>
      </c>
      <c r="C2203" t="s">
        <v>4274</v>
      </c>
      <c r="H2203" t="s">
        <v>170</v>
      </c>
      <c r="I2203">
        <v>4</v>
      </c>
      <c r="J2203">
        <v>0</v>
      </c>
      <c r="K2203">
        <v>0.71</v>
      </c>
      <c r="L2203">
        <v>25662</v>
      </c>
      <c r="M2203" t="str">
        <f t="shared" si="325"/>
        <v>13</v>
      </c>
      <c r="N2203" t="s">
        <v>3323</v>
      </c>
      <c r="O2203" t="str">
        <f t="shared" si="329"/>
        <v>57611</v>
      </c>
      <c r="P2203" t="str">
        <f t="shared" si="327"/>
        <v>1502L</v>
      </c>
      <c r="Q2203" t="str">
        <f t="shared" si="328"/>
        <v>0101</v>
      </c>
      <c r="R2203">
        <v>1502</v>
      </c>
      <c r="S2203" t="str">
        <f t="shared" si="330"/>
        <v>5760</v>
      </c>
      <c r="T2203" t="s">
        <v>3634</v>
      </c>
      <c r="U2203" t="s">
        <v>4934</v>
      </c>
    </row>
    <row r="2204" spans="1:21" ht="15" customHeight="1" x14ac:dyDescent="0.3">
      <c r="A2204" t="s">
        <v>179</v>
      </c>
      <c r="B2204" t="str">
        <f>"00076495"</f>
        <v>00076495</v>
      </c>
      <c r="C2204" t="s">
        <v>4343</v>
      </c>
      <c r="D2204" t="s">
        <v>2617</v>
      </c>
      <c r="E2204" t="str">
        <f>"00023743"</f>
        <v>00023743</v>
      </c>
      <c r="F2204">
        <v>0</v>
      </c>
      <c r="G2204" s="243">
        <v>40406</v>
      </c>
      <c r="H2204" t="s">
        <v>182</v>
      </c>
      <c r="I2204">
        <v>15</v>
      </c>
      <c r="J2204">
        <v>4</v>
      </c>
      <c r="K2204">
        <v>1</v>
      </c>
      <c r="L2204">
        <v>61158</v>
      </c>
      <c r="M2204" t="str">
        <f t="shared" si="325"/>
        <v>13</v>
      </c>
      <c r="N2204" t="s">
        <v>3370</v>
      </c>
      <c r="O2204" t="str">
        <f t="shared" si="329"/>
        <v>57611</v>
      </c>
      <c r="P2204" t="str">
        <f>"2300L"</f>
        <v>2300L</v>
      </c>
      <c r="Q2204" t="str">
        <f t="shared" si="328"/>
        <v>0101</v>
      </c>
      <c r="R2204">
        <v>2300</v>
      </c>
      <c r="S2204" t="str">
        <f t="shared" si="330"/>
        <v>5760</v>
      </c>
      <c r="T2204" t="s">
        <v>3634</v>
      </c>
      <c r="U2204" t="s">
        <v>4934</v>
      </c>
    </row>
    <row r="2205" spans="1:21" ht="15" customHeight="1" x14ac:dyDescent="0.3">
      <c r="A2205" t="s">
        <v>179</v>
      </c>
      <c r="B2205" t="str">
        <f>"00076910"</f>
        <v>00076910</v>
      </c>
      <c r="C2205" t="s">
        <v>4256</v>
      </c>
      <c r="H2205" t="s">
        <v>170</v>
      </c>
      <c r="I2205">
        <v>15</v>
      </c>
      <c r="J2205">
        <v>0</v>
      </c>
      <c r="K2205">
        <v>1</v>
      </c>
      <c r="L2205">
        <v>54975</v>
      </c>
      <c r="M2205" t="str">
        <f t="shared" si="325"/>
        <v>13</v>
      </c>
      <c r="N2205" t="s">
        <v>3370</v>
      </c>
      <c r="O2205" t="str">
        <f t="shared" si="329"/>
        <v>57611</v>
      </c>
      <c r="P2205" t="str">
        <f>"2100L"</f>
        <v>2100L</v>
      </c>
      <c r="Q2205" t="str">
        <f t="shared" si="328"/>
        <v>0101</v>
      </c>
      <c r="R2205">
        <v>2100</v>
      </c>
      <c r="S2205" t="str">
        <f t="shared" si="330"/>
        <v>5760</v>
      </c>
      <c r="T2205" t="s">
        <v>3634</v>
      </c>
      <c r="U2205" t="s">
        <v>4934</v>
      </c>
    </row>
    <row r="2206" spans="1:21" ht="15" customHeight="1" x14ac:dyDescent="0.3">
      <c r="A2206" t="s">
        <v>179</v>
      </c>
      <c r="B2206" t="str">
        <f>"00051681"</f>
        <v>00051681</v>
      </c>
      <c r="C2206" t="s">
        <v>4262</v>
      </c>
      <c r="D2206" t="s">
        <v>1916</v>
      </c>
      <c r="E2206" t="str">
        <f>"00045448"</f>
        <v>00045448</v>
      </c>
      <c r="F2206">
        <v>0</v>
      </c>
      <c r="G2206" s="243">
        <v>32050</v>
      </c>
      <c r="H2206" t="s">
        <v>182</v>
      </c>
      <c r="I2206">
        <v>15</v>
      </c>
      <c r="J2206">
        <v>16</v>
      </c>
      <c r="K2206">
        <v>1</v>
      </c>
      <c r="L2206">
        <v>100839</v>
      </c>
      <c r="M2206" t="str">
        <f t="shared" si="325"/>
        <v>13</v>
      </c>
      <c r="N2206" t="s">
        <v>3323</v>
      </c>
      <c r="O2206" t="str">
        <f t="shared" ref="O2206:O2235" si="331">"57811"</f>
        <v>57811</v>
      </c>
      <c r="P2206" t="str">
        <f>"2100L"</f>
        <v>2100L</v>
      </c>
      <c r="Q2206" t="str">
        <f t="shared" si="328"/>
        <v>0101</v>
      </c>
      <c r="R2206">
        <v>2100</v>
      </c>
      <c r="S2206" t="str">
        <f t="shared" ref="S2206:S2235" si="332">"5780"</f>
        <v>5780</v>
      </c>
      <c r="T2206" t="s">
        <v>3644</v>
      </c>
      <c r="U2206" t="s">
        <v>1917</v>
      </c>
    </row>
    <row r="2207" spans="1:21" ht="15" customHeight="1" x14ac:dyDescent="0.3">
      <c r="A2207" t="s">
        <v>179</v>
      </c>
      <c r="B2207" t="str">
        <f>"00051976"</f>
        <v>00051976</v>
      </c>
      <c r="C2207" t="s">
        <v>4262</v>
      </c>
      <c r="D2207" t="s">
        <v>1918</v>
      </c>
      <c r="E2207" t="str">
        <f>"00046763"</f>
        <v>00046763</v>
      </c>
      <c r="F2207">
        <v>0</v>
      </c>
      <c r="G2207" s="243">
        <v>35479</v>
      </c>
      <c r="H2207" t="s">
        <v>182</v>
      </c>
      <c r="I2207">
        <v>15</v>
      </c>
      <c r="J2207">
        <v>14</v>
      </c>
      <c r="K2207">
        <v>1</v>
      </c>
      <c r="L2207">
        <v>96460</v>
      </c>
      <c r="M2207" t="str">
        <f t="shared" si="325"/>
        <v>13</v>
      </c>
      <c r="N2207" t="s">
        <v>3323</v>
      </c>
      <c r="O2207" t="str">
        <f t="shared" si="331"/>
        <v>57811</v>
      </c>
      <c r="P2207" t="str">
        <f>"2100L"</f>
        <v>2100L</v>
      </c>
      <c r="Q2207" t="str">
        <f t="shared" si="328"/>
        <v>0101</v>
      </c>
      <c r="R2207">
        <v>2100</v>
      </c>
      <c r="S2207" t="str">
        <f t="shared" si="332"/>
        <v>5780</v>
      </c>
      <c r="T2207" t="s">
        <v>3644</v>
      </c>
      <c r="U2207" t="s">
        <v>1917</v>
      </c>
    </row>
    <row r="2208" spans="1:21" ht="15" customHeight="1" x14ac:dyDescent="0.3">
      <c r="A2208" t="s">
        <v>179</v>
      </c>
      <c r="B2208" t="str">
        <f>"00052014"</f>
        <v>00052014</v>
      </c>
      <c r="C2208" t="s">
        <v>4262</v>
      </c>
      <c r="D2208" t="s">
        <v>1919</v>
      </c>
      <c r="E2208" t="str">
        <f>"00046946"</f>
        <v>00046946</v>
      </c>
      <c r="F2208">
        <v>0</v>
      </c>
      <c r="G2208" s="243">
        <v>32050</v>
      </c>
      <c r="H2208" t="s">
        <v>182</v>
      </c>
      <c r="I2208">
        <v>15</v>
      </c>
      <c r="J2208">
        <v>13</v>
      </c>
      <c r="K2208">
        <v>1</v>
      </c>
      <c r="L2208">
        <v>81724</v>
      </c>
      <c r="M2208" t="str">
        <f t="shared" si="325"/>
        <v>13</v>
      </c>
      <c r="N2208" t="s">
        <v>3323</v>
      </c>
      <c r="O2208" t="str">
        <f t="shared" si="331"/>
        <v>57811</v>
      </c>
      <c r="P2208" t="str">
        <f>"2100L"</f>
        <v>2100L</v>
      </c>
      <c r="Q2208" t="str">
        <f t="shared" si="328"/>
        <v>0101</v>
      </c>
      <c r="R2208">
        <v>2100</v>
      </c>
      <c r="S2208" t="str">
        <f t="shared" si="332"/>
        <v>5780</v>
      </c>
      <c r="T2208" t="s">
        <v>3644</v>
      </c>
      <c r="U2208" t="s">
        <v>1917</v>
      </c>
    </row>
    <row r="2209" spans="1:21" ht="15" customHeight="1" x14ac:dyDescent="0.3">
      <c r="A2209" t="s">
        <v>179</v>
      </c>
      <c r="B2209" t="str">
        <f>"00052078"</f>
        <v>00052078</v>
      </c>
      <c r="C2209" t="s">
        <v>4341</v>
      </c>
      <c r="D2209" t="s">
        <v>2667</v>
      </c>
      <c r="E2209" t="str">
        <f>"00047829"</f>
        <v>00047829</v>
      </c>
      <c r="F2209">
        <v>0</v>
      </c>
      <c r="G2209" s="243">
        <v>36761</v>
      </c>
      <c r="H2209" t="s">
        <v>182</v>
      </c>
      <c r="I2209">
        <v>10</v>
      </c>
      <c r="J2209">
        <v>8</v>
      </c>
      <c r="K2209">
        <v>1</v>
      </c>
      <c r="L2209">
        <v>82908</v>
      </c>
      <c r="M2209" t="str">
        <f t="shared" si="325"/>
        <v>13</v>
      </c>
      <c r="N2209" t="s">
        <v>3323</v>
      </c>
      <c r="O2209" t="str">
        <f t="shared" si="331"/>
        <v>57811</v>
      </c>
      <c r="P2209" t="str">
        <f>"2100L"</f>
        <v>2100L</v>
      </c>
      <c r="Q2209" t="str">
        <f t="shared" si="328"/>
        <v>0101</v>
      </c>
      <c r="R2209">
        <v>2100</v>
      </c>
      <c r="S2209" t="str">
        <f t="shared" si="332"/>
        <v>5780</v>
      </c>
      <c r="T2209" t="s">
        <v>3644</v>
      </c>
      <c r="U2209" t="s">
        <v>1917</v>
      </c>
    </row>
    <row r="2210" spans="1:21" ht="15" customHeight="1" x14ac:dyDescent="0.3">
      <c r="A2210" t="s">
        <v>179</v>
      </c>
      <c r="B2210" t="str">
        <f>"00052347"</f>
        <v>00052347</v>
      </c>
      <c r="C2210" t="s">
        <v>4272</v>
      </c>
      <c r="D2210" t="s">
        <v>1920</v>
      </c>
      <c r="E2210" t="str">
        <f>"00048073"</f>
        <v>00048073</v>
      </c>
      <c r="F2210">
        <v>0</v>
      </c>
      <c r="G2210" s="243">
        <v>33484</v>
      </c>
      <c r="H2210" t="s">
        <v>182</v>
      </c>
      <c r="I2210">
        <v>15</v>
      </c>
      <c r="J2210">
        <v>16</v>
      </c>
      <c r="K2210">
        <v>1</v>
      </c>
      <c r="L2210">
        <v>106540</v>
      </c>
      <c r="M2210" t="str">
        <f t="shared" si="325"/>
        <v>13</v>
      </c>
      <c r="N2210" t="s">
        <v>3323</v>
      </c>
      <c r="O2210" t="str">
        <f t="shared" si="331"/>
        <v>57811</v>
      </c>
      <c r="P2210" t="str">
        <f>"2200L"</f>
        <v>2200L</v>
      </c>
      <c r="Q2210" t="str">
        <f t="shared" si="328"/>
        <v>0101</v>
      </c>
      <c r="R2210">
        <v>2200</v>
      </c>
      <c r="S2210" t="str">
        <f t="shared" si="332"/>
        <v>5780</v>
      </c>
      <c r="T2210" t="s">
        <v>3644</v>
      </c>
      <c r="U2210" t="s">
        <v>1917</v>
      </c>
    </row>
    <row r="2211" spans="1:21" ht="15" customHeight="1" x14ac:dyDescent="0.3">
      <c r="A2211" t="s">
        <v>179</v>
      </c>
      <c r="B2211" t="str">
        <f>"00052378"</f>
        <v>00052378</v>
      </c>
      <c r="C2211" t="s">
        <v>4254</v>
      </c>
      <c r="D2211" t="s">
        <v>1921</v>
      </c>
      <c r="E2211" t="str">
        <f>"00048139"</f>
        <v>00048139</v>
      </c>
      <c r="F2211">
        <v>0</v>
      </c>
      <c r="G2211" s="243">
        <v>32050</v>
      </c>
      <c r="H2211" t="s">
        <v>182</v>
      </c>
      <c r="I2211">
        <v>15</v>
      </c>
      <c r="J2211">
        <v>16</v>
      </c>
      <c r="K2211">
        <v>1</v>
      </c>
      <c r="L2211">
        <v>100839</v>
      </c>
      <c r="M2211" t="str">
        <f t="shared" si="325"/>
        <v>13</v>
      </c>
      <c r="N2211" t="s">
        <v>3323</v>
      </c>
      <c r="O2211" t="str">
        <f t="shared" si="331"/>
        <v>57811</v>
      </c>
      <c r="P2211" t="str">
        <f>"2100L"</f>
        <v>2100L</v>
      </c>
      <c r="Q2211" t="str">
        <f t="shared" si="328"/>
        <v>0101</v>
      </c>
      <c r="R2211">
        <v>2100</v>
      </c>
      <c r="S2211" t="str">
        <f t="shared" si="332"/>
        <v>5780</v>
      </c>
      <c r="T2211" t="s">
        <v>3644</v>
      </c>
      <c r="U2211" t="s">
        <v>1917</v>
      </c>
    </row>
    <row r="2212" spans="1:21" ht="15" customHeight="1" x14ac:dyDescent="0.3">
      <c r="A2212" t="s">
        <v>179</v>
      </c>
      <c r="B2212" t="str">
        <f>"00052420"</f>
        <v>00052420</v>
      </c>
      <c r="C2212" t="s">
        <v>4253</v>
      </c>
      <c r="D2212" t="s">
        <v>4952</v>
      </c>
      <c r="E2212" t="str">
        <f>"00069973"</f>
        <v>00069973</v>
      </c>
      <c r="F2212">
        <v>0</v>
      </c>
      <c r="G2212" s="243">
        <v>41133</v>
      </c>
      <c r="H2212" t="s">
        <v>182</v>
      </c>
      <c r="I2212">
        <v>15</v>
      </c>
      <c r="J2212">
        <v>6</v>
      </c>
      <c r="K2212">
        <v>1</v>
      </c>
      <c r="L2212">
        <v>58599</v>
      </c>
      <c r="M2212" t="str">
        <f t="shared" si="325"/>
        <v>13</v>
      </c>
      <c r="N2212" t="s">
        <v>3370</v>
      </c>
      <c r="O2212" t="str">
        <f t="shared" si="331"/>
        <v>57811</v>
      </c>
      <c r="P2212" t="str">
        <f>"2100L"</f>
        <v>2100L</v>
      </c>
      <c r="Q2212" t="str">
        <f t="shared" si="328"/>
        <v>0101</v>
      </c>
      <c r="R2212">
        <v>2100</v>
      </c>
      <c r="S2212" t="str">
        <f t="shared" si="332"/>
        <v>5780</v>
      </c>
      <c r="T2212" t="s">
        <v>3644</v>
      </c>
      <c r="U2212" t="s">
        <v>1917</v>
      </c>
    </row>
    <row r="2213" spans="1:21" ht="15" customHeight="1" x14ac:dyDescent="0.3">
      <c r="A2213" t="s">
        <v>179</v>
      </c>
      <c r="B2213" t="str">
        <f>"00052753"</f>
        <v>00052753</v>
      </c>
      <c r="C2213" t="s">
        <v>4272</v>
      </c>
      <c r="D2213" t="s">
        <v>1922</v>
      </c>
      <c r="E2213" t="str">
        <f>"00049303"</f>
        <v>00049303</v>
      </c>
      <c r="F2213">
        <v>0</v>
      </c>
      <c r="G2213" s="243">
        <v>30973</v>
      </c>
      <c r="H2213" t="s">
        <v>182</v>
      </c>
      <c r="I2213">
        <v>15</v>
      </c>
      <c r="J2213">
        <v>16</v>
      </c>
      <c r="K2213">
        <v>1</v>
      </c>
      <c r="L2213">
        <v>100839</v>
      </c>
      <c r="M2213" t="str">
        <f t="shared" si="325"/>
        <v>13</v>
      </c>
      <c r="N2213" t="s">
        <v>3323</v>
      </c>
      <c r="O2213" t="str">
        <f t="shared" si="331"/>
        <v>57811</v>
      </c>
      <c r="P2213" t="str">
        <f>"2100L"</f>
        <v>2100L</v>
      </c>
      <c r="Q2213" t="str">
        <f t="shared" si="328"/>
        <v>0101</v>
      </c>
      <c r="R2213">
        <v>2100</v>
      </c>
      <c r="S2213" t="str">
        <f t="shared" si="332"/>
        <v>5780</v>
      </c>
      <c r="T2213" t="s">
        <v>3644</v>
      </c>
      <c r="U2213" t="s">
        <v>1917</v>
      </c>
    </row>
    <row r="2214" spans="1:21" ht="15" customHeight="1" x14ac:dyDescent="0.3">
      <c r="A2214" t="s">
        <v>179</v>
      </c>
      <c r="B2214" t="str">
        <f>"00053009"</f>
        <v>00053009</v>
      </c>
      <c r="C2214" t="s">
        <v>4360</v>
      </c>
      <c r="D2214" t="s">
        <v>4953</v>
      </c>
      <c r="E2214" t="str">
        <f>"00051945"</f>
        <v>00051945</v>
      </c>
      <c r="F2214">
        <v>0</v>
      </c>
      <c r="G2214" s="243">
        <v>40574</v>
      </c>
      <c r="H2214" t="s">
        <v>182</v>
      </c>
      <c r="I2214">
        <v>7</v>
      </c>
      <c r="J2214">
        <v>10</v>
      </c>
      <c r="K2214">
        <v>1</v>
      </c>
      <c r="L2214">
        <v>44837</v>
      </c>
      <c r="M2214" t="str">
        <f t="shared" si="325"/>
        <v>13</v>
      </c>
      <c r="N2214" t="s">
        <v>3323</v>
      </c>
      <c r="O2214" t="str">
        <f t="shared" si="331"/>
        <v>57811</v>
      </c>
      <c r="P2214" t="str">
        <f>"1502L"</f>
        <v>1502L</v>
      </c>
      <c r="Q2214" t="str">
        <f t="shared" si="328"/>
        <v>0101</v>
      </c>
      <c r="R2214">
        <v>1502</v>
      </c>
      <c r="S2214" t="str">
        <f t="shared" si="332"/>
        <v>5780</v>
      </c>
      <c r="T2214" t="s">
        <v>3644</v>
      </c>
      <c r="U2214" t="s">
        <v>1917</v>
      </c>
    </row>
    <row r="2215" spans="1:21" ht="15" customHeight="1" x14ac:dyDescent="0.3">
      <c r="A2215" t="s">
        <v>179</v>
      </c>
      <c r="B2215" t="str">
        <f>"00053300"</f>
        <v>00053300</v>
      </c>
      <c r="C2215" t="s">
        <v>4260</v>
      </c>
      <c r="D2215" t="s">
        <v>1923</v>
      </c>
      <c r="E2215" t="str">
        <f>"00051252"</f>
        <v>00051252</v>
      </c>
      <c r="F2215">
        <v>0</v>
      </c>
      <c r="G2215" s="243">
        <v>36034</v>
      </c>
      <c r="H2215" t="s">
        <v>182</v>
      </c>
      <c r="I2215">
        <v>15</v>
      </c>
      <c r="J2215">
        <v>12</v>
      </c>
      <c r="K2215">
        <v>1</v>
      </c>
      <c r="L2215">
        <v>75816</v>
      </c>
      <c r="M2215" t="str">
        <f t="shared" si="325"/>
        <v>13</v>
      </c>
      <c r="N2215" t="s">
        <v>3323</v>
      </c>
      <c r="O2215" t="str">
        <f t="shared" si="331"/>
        <v>57811</v>
      </c>
      <c r="P2215" t="str">
        <f>"2100L"</f>
        <v>2100L</v>
      </c>
      <c r="Q2215" t="str">
        <f t="shared" si="328"/>
        <v>0101</v>
      </c>
      <c r="R2215">
        <v>2100</v>
      </c>
      <c r="S2215" t="str">
        <f t="shared" si="332"/>
        <v>5780</v>
      </c>
      <c r="T2215" t="s">
        <v>3644</v>
      </c>
      <c r="U2215" t="s">
        <v>1917</v>
      </c>
    </row>
    <row r="2216" spans="1:21" ht="15" customHeight="1" x14ac:dyDescent="0.3">
      <c r="A2216" t="s">
        <v>179</v>
      </c>
      <c r="B2216" t="str">
        <f>"00053726"</f>
        <v>00053726</v>
      </c>
      <c r="C2216" t="s">
        <v>4288</v>
      </c>
      <c r="D2216" t="s">
        <v>4954</v>
      </c>
      <c r="E2216" t="str">
        <f>"00052425"</f>
        <v>00052425</v>
      </c>
      <c r="F2216">
        <v>0</v>
      </c>
      <c r="G2216" s="243">
        <v>27316</v>
      </c>
      <c r="H2216" t="s">
        <v>182</v>
      </c>
      <c r="I2216">
        <v>4</v>
      </c>
      <c r="J2216">
        <v>10</v>
      </c>
      <c r="K2216">
        <v>0.875</v>
      </c>
      <c r="L2216">
        <v>28721</v>
      </c>
      <c r="M2216" t="str">
        <f t="shared" si="325"/>
        <v>13</v>
      </c>
      <c r="N2216" t="s">
        <v>3323</v>
      </c>
      <c r="O2216" t="str">
        <f t="shared" si="331"/>
        <v>57811</v>
      </c>
      <c r="P2216" t="str">
        <f>"2200L"</f>
        <v>2200L</v>
      </c>
      <c r="Q2216" t="str">
        <f t="shared" si="328"/>
        <v>0101</v>
      </c>
      <c r="R2216">
        <v>2200</v>
      </c>
      <c r="S2216" t="str">
        <f t="shared" si="332"/>
        <v>5780</v>
      </c>
      <c r="T2216" t="s">
        <v>3644</v>
      </c>
      <c r="U2216" t="s">
        <v>1917</v>
      </c>
    </row>
    <row r="2217" spans="1:21" ht="15" customHeight="1" x14ac:dyDescent="0.3">
      <c r="A2217" t="s">
        <v>179</v>
      </c>
      <c r="B2217" t="str">
        <f>"00053829"</f>
        <v>00053829</v>
      </c>
      <c r="C2217" t="s">
        <v>4262</v>
      </c>
      <c r="D2217" t="s">
        <v>3646</v>
      </c>
      <c r="E2217" t="str">
        <f>"00066450"</f>
        <v>00066450</v>
      </c>
      <c r="F2217">
        <v>0</v>
      </c>
      <c r="G2217" s="243">
        <v>40755</v>
      </c>
      <c r="H2217" t="s">
        <v>182</v>
      </c>
      <c r="I2217">
        <v>15</v>
      </c>
      <c r="J2217">
        <v>2</v>
      </c>
      <c r="K2217">
        <v>1</v>
      </c>
      <c r="L2217">
        <v>51716</v>
      </c>
      <c r="M2217" t="str">
        <f t="shared" si="325"/>
        <v>13</v>
      </c>
      <c r="N2217" t="s">
        <v>3323</v>
      </c>
      <c r="O2217" t="str">
        <f t="shared" si="331"/>
        <v>57811</v>
      </c>
      <c r="P2217" t="str">
        <f>"2100L"</f>
        <v>2100L</v>
      </c>
      <c r="Q2217" t="str">
        <f t="shared" si="328"/>
        <v>0101</v>
      </c>
      <c r="R2217">
        <v>2100</v>
      </c>
      <c r="S2217" t="str">
        <f t="shared" si="332"/>
        <v>5780</v>
      </c>
      <c r="T2217" t="s">
        <v>3644</v>
      </c>
      <c r="U2217" t="s">
        <v>1917</v>
      </c>
    </row>
    <row r="2218" spans="1:21" ht="15" customHeight="1" x14ac:dyDescent="0.3">
      <c r="A2218" t="s">
        <v>179</v>
      </c>
      <c r="B2218" t="str">
        <f>"00054015"</f>
        <v>00054015</v>
      </c>
      <c r="C2218" t="s">
        <v>4274</v>
      </c>
      <c r="D2218" t="s">
        <v>4955</v>
      </c>
      <c r="E2218" t="str">
        <f>"00052880"</f>
        <v>00052880</v>
      </c>
      <c r="F2218">
        <v>0</v>
      </c>
      <c r="G2218" s="243">
        <v>30579</v>
      </c>
      <c r="H2218" t="s">
        <v>182</v>
      </c>
      <c r="I2218">
        <v>4</v>
      </c>
      <c r="J2218">
        <v>10</v>
      </c>
      <c r="K2218">
        <v>0.875</v>
      </c>
      <c r="L2218">
        <v>28721</v>
      </c>
      <c r="M2218" t="str">
        <f t="shared" si="325"/>
        <v>13</v>
      </c>
      <c r="N2218" t="s">
        <v>3323</v>
      </c>
      <c r="O2218" t="str">
        <f t="shared" si="331"/>
        <v>57811</v>
      </c>
      <c r="P2218" t="str">
        <f>"2200L"</f>
        <v>2200L</v>
      </c>
      <c r="Q2218" t="str">
        <f t="shared" si="328"/>
        <v>0101</v>
      </c>
      <c r="R2218">
        <v>2200</v>
      </c>
      <c r="S2218" t="str">
        <f t="shared" si="332"/>
        <v>5780</v>
      </c>
      <c r="T2218" t="s">
        <v>3644</v>
      </c>
      <c r="U2218" t="s">
        <v>1917</v>
      </c>
    </row>
    <row r="2219" spans="1:21" ht="15" customHeight="1" x14ac:dyDescent="0.3">
      <c r="A2219" t="s">
        <v>179</v>
      </c>
      <c r="B2219" t="str">
        <f>"00054043"</f>
        <v>00054043</v>
      </c>
      <c r="C2219" t="s">
        <v>4272</v>
      </c>
      <c r="D2219" t="s">
        <v>196</v>
      </c>
      <c r="E2219" t="str">
        <f>"00044721"</f>
        <v>00044721</v>
      </c>
      <c r="F2219">
        <v>0</v>
      </c>
      <c r="G2219" s="243">
        <v>35821</v>
      </c>
      <c r="H2219" t="s">
        <v>182</v>
      </c>
      <c r="I2219">
        <v>15</v>
      </c>
      <c r="J2219">
        <v>16</v>
      </c>
      <c r="K2219">
        <v>1</v>
      </c>
      <c r="L2219">
        <v>103347</v>
      </c>
      <c r="M2219" t="str">
        <f t="shared" si="325"/>
        <v>13</v>
      </c>
      <c r="N2219" t="s">
        <v>3370</v>
      </c>
      <c r="O2219" t="str">
        <f t="shared" si="331"/>
        <v>57811</v>
      </c>
      <c r="P2219" t="str">
        <f>"2100L"</f>
        <v>2100L</v>
      </c>
      <c r="Q2219" t="str">
        <f t="shared" si="328"/>
        <v>0101</v>
      </c>
      <c r="R2219">
        <v>2100</v>
      </c>
      <c r="S2219" t="str">
        <f t="shared" si="332"/>
        <v>5780</v>
      </c>
      <c r="T2219" t="s">
        <v>3644</v>
      </c>
      <c r="U2219" t="s">
        <v>1917</v>
      </c>
    </row>
    <row r="2220" spans="1:21" ht="15" customHeight="1" x14ac:dyDescent="0.3">
      <c r="A2220" t="s">
        <v>179</v>
      </c>
      <c r="B2220" t="str">
        <f>"00054068"</f>
        <v>00054068</v>
      </c>
      <c r="C2220" t="s">
        <v>4257</v>
      </c>
      <c r="D2220" t="s">
        <v>1925</v>
      </c>
      <c r="E2220" t="str">
        <f>"00052964"</f>
        <v>00052964</v>
      </c>
      <c r="F2220">
        <v>0</v>
      </c>
      <c r="G2220" s="243">
        <v>30263</v>
      </c>
      <c r="H2220" t="s">
        <v>182</v>
      </c>
      <c r="I2220">
        <v>15</v>
      </c>
      <c r="J2220">
        <v>13</v>
      </c>
      <c r="K2220">
        <v>1</v>
      </c>
      <c r="L2220">
        <v>86613</v>
      </c>
      <c r="M2220" t="str">
        <f t="shared" si="325"/>
        <v>13</v>
      </c>
      <c r="N2220" t="s">
        <v>3323</v>
      </c>
      <c r="O2220" t="str">
        <f t="shared" si="331"/>
        <v>57811</v>
      </c>
      <c r="P2220" t="str">
        <f>"2100L"</f>
        <v>2100L</v>
      </c>
      <c r="Q2220" t="str">
        <f t="shared" si="328"/>
        <v>0101</v>
      </c>
      <c r="R2220">
        <v>2100</v>
      </c>
      <c r="S2220" t="str">
        <f t="shared" si="332"/>
        <v>5780</v>
      </c>
      <c r="T2220" t="s">
        <v>3644</v>
      </c>
      <c r="U2220" t="s">
        <v>1917</v>
      </c>
    </row>
    <row r="2221" spans="1:21" ht="15" customHeight="1" x14ac:dyDescent="0.3">
      <c r="A2221" t="s">
        <v>179</v>
      </c>
      <c r="B2221" t="str">
        <f>"00054480"</f>
        <v>00054480</v>
      </c>
      <c r="C2221" t="s">
        <v>4395</v>
      </c>
      <c r="D2221" t="s">
        <v>1211</v>
      </c>
      <c r="E2221" t="str">
        <f>"00054051"</f>
        <v>00054051</v>
      </c>
      <c r="F2221">
        <v>0</v>
      </c>
      <c r="G2221" s="243">
        <v>28807</v>
      </c>
      <c r="H2221" t="s">
        <v>182</v>
      </c>
      <c r="I2221">
        <v>10</v>
      </c>
      <c r="J2221">
        <v>9</v>
      </c>
      <c r="K2221">
        <v>1</v>
      </c>
      <c r="L2221">
        <v>84226</v>
      </c>
      <c r="M2221" t="str">
        <f t="shared" si="325"/>
        <v>13</v>
      </c>
      <c r="N2221" t="s">
        <v>3323</v>
      </c>
      <c r="O2221" t="str">
        <f t="shared" si="331"/>
        <v>57811</v>
      </c>
      <c r="P2221" t="str">
        <f>"2100L"</f>
        <v>2100L</v>
      </c>
      <c r="Q2221" t="str">
        <f t="shared" si="328"/>
        <v>0101</v>
      </c>
      <c r="R2221">
        <v>2100</v>
      </c>
      <c r="S2221" t="str">
        <f t="shared" si="332"/>
        <v>5780</v>
      </c>
      <c r="T2221" t="s">
        <v>3644</v>
      </c>
      <c r="U2221" t="s">
        <v>1917</v>
      </c>
    </row>
    <row r="2222" spans="1:21" ht="15" customHeight="1" x14ac:dyDescent="0.3">
      <c r="A2222" t="s">
        <v>179</v>
      </c>
      <c r="B2222" t="str">
        <f>"00054650"</f>
        <v>00054650</v>
      </c>
      <c r="C2222" t="s">
        <v>4272</v>
      </c>
      <c r="D2222" t="s">
        <v>1926</v>
      </c>
      <c r="E2222" t="str">
        <f>"00025484"</f>
        <v>00025484</v>
      </c>
      <c r="F2222">
        <v>1</v>
      </c>
      <c r="G2222" s="243">
        <v>32050</v>
      </c>
      <c r="H2222" t="s">
        <v>182</v>
      </c>
      <c r="I2222">
        <v>15</v>
      </c>
      <c r="J2222">
        <v>16</v>
      </c>
      <c r="K2222">
        <v>1</v>
      </c>
      <c r="L2222">
        <v>103347</v>
      </c>
      <c r="M2222" t="str">
        <f t="shared" si="325"/>
        <v>13</v>
      </c>
      <c r="N2222" t="s">
        <v>3323</v>
      </c>
      <c r="O2222" t="str">
        <f t="shared" si="331"/>
        <v>57811</v>
      </c>
      <c r="P2222" t="str">
        <f>"2100L"</f>
        <v>2100L</v>
      </c>
      <c r="Q2222" t="str">
        <f t="shared" si="328"/>
        <v>0101</v>
      </c>
      <c r="R2222">
        <v>2100</v>
      </c>
      <c r="S2222" t="str">
        <f t="shared" si="332"/>
        <v>5780</v>
      </c>
      <c r="T2222" t="s">
        <v>3644</v>
      </c>
      <c r="U2222" t="s">
        <v>1917</v>
      </c>
    </row>
    <row r="2223" spans="1:21" ht="15" customHeight="1" x14ac:dyDescent="0.3">
      <c r="A2223" t="s">
        <v>179</v>
      </c>
      <c r="B2223" t="str">
        <f>"00055317"</f>
        <v>00055317</v>
      </c>
      <c r="C2223" t="s">
        <v>4288</v>
      </c>
      <c r="D2223" t="s">
        <v>4956</v>
      </c>
      <c r="E2223" t="str">
        <f>"00045973"</f>
        <v>00045973</v>
      </c>
      <c r="F2223">
        <v>0</v>
      </c>
      <c r="G2223" s="243">
        <v>37352</v>
      </c>
      <c r="H2223" t="s">
        <v>182</v>
      </c>
      <c r="I2223">
        <v>4</v>
      </c>
      <c r="J2223">
        <v>6</v>
      </c>
      <c r="K2223">
        <v>0.875</v>
      </c>
      <c r="L2223">
        <v>25935.88</v>
      </c>
      <c r="M2223" t="str">
        <f t="shared" si="325"/>
        <v>13</v>
      </c>
      <c r="N2223" t="s">
        <v>3323</v>
      </c>
      <c r="O2223" t="str">
        <f t="shared" si="331"/>
        <v>57811</v>
      </c>
      <c r="P2223" t="str">
        <f>"2200L"</f>
        <v>2200L</v>
      </c>
      <c r="Q2223" t="str">
        <f t="shared" si="328"/>
        <v>0101</v>
      </c>
      <c r="R2223">
        <v>2200</v>
      </c>
      <c r="S2223" t="str">
        <f t="shared" si="332"/>
        <v>5780</v>
      </c>
      <c r="T2223" t="s">
        <v>3644</v>
      </c>
      <c r="U2223" t="s">
        <v>1917</v>
      </c>
    </row>
    <row r="2224" spans="1:21" ht="15" customHeight="1" x14ac:dyDescent="0.3">
      <c r="A2224" t="s">
        <v>179</v>
      </c>
      <c r="B2224" t="str">
        <f>"00056719"</f>
        <v>00056719</v>
      </c>
      <c r="C2224" t="s">
        <v>4256</v>
      </c>
      <c r="D2224" t="s">
        <v>4957</v>
      </c>
      <c r="E2224" t="str">
        <f>"00070072"</f>
        <v>00070072</v>
      </c>
      <c r="F2224">
        <v>0</v>
      </c>
      <c r="G2224" s="243">
        <v>41133</v>
      </c>
      <c r="H2224" t="s">
        <v>182</v>
      </c>
      <c r="I2224">
        <v>15</v>
      </c>
      <c r="J2224">
        <v>1</v>
      </c>
      <c r="K2224">
        <v>1</v>
      </c>
      <c r="L2224">
        <v>54975</v>
      </c>
      <c r="M2224" t="str">
        <f t="shared" si="325"/>
        <v>13</v>
      </c>
      <c r="N2224" t="s">
        <v>3370</v>
      </c>
      <c r="O2224" t="str">
        <f t="shared" si="331"/>
        <v>57811</v>
      </c>
      <c r="P2224" t="str">
        <f>"2100L"</f>
        <v>2100L</v>
      </c>
      <c r="Q2224" t="str">
        <f t="shared" si="328"/>
        <v>0101</v>
      </c>
      <c r="R2224">
        <v>2100</v>
      </c>
      <c r="S2224" t="str">
        <f t="shared" si="332"/>
        <v>5780</v>
      </c>
      <c r="T2224" t="s">
        <v>3644</v>
      </c>
      <c r="U2224" t="s">
        <v>1917</v>
      </c>
    </row>
    <row r="2225" spans="1:21" ht="15" customHeight="1" x14ac:dyDescent="0.3">
      <c r="A2225" t="s">
        <v>179</v>
      </c>
      <c r="B2225" t="str">
        <f>"00056914"</f>
        <v>00056914</v>
      </c>
      <c r="C2225" t="s">
        <v>4262</v>
      </c>
      <c r="D2225" t="s">
        <v>1928</v>
      </c>
      <c r="E2225" t="str">
        <f>"00044680"</f>
        <v>00044680</v>
      </c>
      <c r="F2225">
        <v>0</v>
      </c>
      <c r="G2225" s="243">
        <v>35305</v>
      </c>
      <c r="H2225" t="s">
        <v>182</v>
      </c>
      <c r="I2225">
        <v>15</v>
      </c>
      <c r="J2225">
        <v>14</v>
      </c>
      <c r="K2225">
        <v>1</v>
      </c>
      <c r="L2225">
        <v>96460</v>
      </c>
      <c r="M2225" t="str">
        <f t="shared" si="325"/>
        <v>13</v>
      </c>
      <c r="N2225" t="s">
        <v>3323</v>
      </c>
      <c r="O2225" t="str">
        <f t="shared" si="331"/>
        <v>57811</v>
      </c>
      <c r="P2225" t="str">
        <f>"2100L"</f>
        <v>2100L</v>
      </c>
      <c r="Q2225" t="str">
        <f t="shared" si="328"/>
        <v>0101</v>
      </c>
      <c r="R2225">
        <v>2100</v>
      </c>
      <c r="S2225" t="str">
        <f t="shared" si="332"/>
        <v>5780</v>
      </c>
      <c r="T2225" t="s">
        <v>3644</v>
      </c>
      <c r="U2225" t="s">
        <v>1917</v>
      </c>
    </row>
    <row r="2226" spans="1:21" ht="15" customHeight="1" x14ac:dyDescent="0.3">
      <c r="A2226" t="s">
        <v>179</v>
      </c>
      <c r="B2226" t="str">
        <f>"00058640"</f>
        <v>00058640</v>
      </c>
      <c r="C2226" t="s">
        <v>4260</v>
      </c>
      <c r="D2226" t="s">
        <v>1929</v>
      </c>
      <c r="E2226" t="str">
        <f>"00048421"</f>
        <v>00048421</v>
      </c>
      <c r="F2226">
        <v>0</v>
      </c>
      <c r="G2226" s="243">
        <v>38949</v>
      </c>
      <c r="H2226" t="s">
        <v>182</v>
      </c>
      <c r="I2226">
        <v>15</v>
      </c>
      <c r="J2226">
        <v>7</v>
      </c>
      <c r="K2226">
        <v>1</v>
      </c>
      <c r="L2226">
        <v>69132</v>
      </c>
      <c r="M2226" t="str">
        <f t="shared" si="325"/>
        <v>13</v>
      </c>
      <c r="N2226" t="s">
        <v>3323</v>
      </c>
      <c r="O2226" t="str">
        <f t="shared" si="331"/>
        <v>57811</v>
      </c>
      <c r="P2226" t="str">
        <f>"2100L"</f>
        <v>2100L</v>
      </c>
      <c r="Q2226" t="str">
        <f t="shared" si="328"/>
        <v>0101</v>
      </c>
      <c r="R2226">
        <v>2100</v>
      </c>
      <c r="S2226" t="str">
        <f t="shared" si="332"/>
        <v>5780</v>
      </c>
      <c r="T2226" t="s">
        <v>3644</v>
      </c>
      <c r="U2226" t="s">
        <v>1917</v>
      </c>
    </row>
    <row r="2227" spans="1:21" ht="15" customHeight="1" x14ac:dyDescent="0.3">
      <c r="A2227" t="s">
        <v>179</v>
      </c>
      <c r="B2227" t="str">
        <f>"00059103"</f>
        <v>00059103</v>
      </c>
      <c r="C2227" t="s">
        <v>3798</v>
      </c>
      <c r="D2227" t="s">
        <v>4958</v>
      </c>
      <c r="E2227" t="str">
        <f>"00039070"</f>
        <v>00039070</v>
      </c>
      <c r="F2227">
        <v>0</v>
      </c>
      <c r="G2227" s="243">
        <v>39595</v>
      </c>
      <c r="H2227" t="s">
        <v>182</v>
      </c>
      <c r="I2227">
        <v>61</v>
      </c>
      <c r="J2227">
        <v>5</v>
      </c>
      <c r="K2227">
        <v>1</v>
      </c>
      <c r="L2227">
        <v>120000</v>
      </c>
      <c r="M2227" t="str">
        <f t="shared" si="325"/>
        <v>13</v>
      </c>
      <c r="N2227" t="s">
        <v>3323</v>
      </c>
      <c r="O2227" t="str">
        <f t="shared" si="331"/>
        <v>57811</v>
      </c>
      <c r="P2227" t="str">
        <f>"1501L"</f>
        <v>1501L</v>
      </c>
      <c r="Q2227" t="str">
        <f t="shared" si="328"/>
        <v>0101</v>
      </c>
      <c r="R2227">
        <v>1501</v>
      </c>
      <c r="S2227" t="str">
        <f t="shared" si="332"/>
        <v>5780</v>
      </c>
      <c r="T2227" t="s">
        <v>3644</v>
      </c>
      <c r="U2227" t="s">
        <v>1917</v>
      </c>
    </row>
    <row r="2228" spans="1:21" ht="15" customHeight="1" x14ac:dyDescent="0.3">
      <c r="A2228" t="s">
        <v>179</v>
      </c>
      <c r="B2228" t="str">
        <f>"00059275"</f>
        <v>00059275</v>
      </c>
      <c r="C2228" t="s">
        <v>4274</v>
      </c>
      <c r="H2228" t="s">
        <v>170</v>
      </c>
      <c r="I2228">
        <v>4</v>
      </c>
      <c r="J2228">
        <v>1</v>
      </c>
      <c r="K2228">
        <v>0.875</v>
      </c>
      <c r="L2228">
        <v>25662</v>
      </c>
      <c r="M2228" t="str">
        <f t="shared" si="325"/>
        <v>13</v>
      </c>
      <c r="N2228" t="s">
        <v>3323</v>
      </c>
      <c r="O2228" t="str">
        <f t="shared" si="331"/>
        <v>57811</v>
      </c>
      <c r="P2228" t="str">
        <f>"2200L"</f>
        <v>2200L</v>
      </c>
      <c r="Q2228" t="str">
        <f t="shared" si="328"/>
        <v>0101</v>
      </c>
      <c r="R2228">
        <v>2200</v>
      </c>
      <c r="S2228" t="str">
        <f t="shared" si="332"/>
        <v>5780</v>
      </c>
      <c r="T2228" t="s">
        <v>3644</v>
      </c>
      <c r="U2228" t="s">
        <v>1917</v>
      </c>
    </row>
    <row r="2229" spans="1:21" ht="15" customHeight="1" x14ac:dyDescent="0.3">
      <c r="A2229" t="s">
        <v>179</v>
      </c>
      <c r="B2229" t="str">
        <f>"00059278"</f>
        <v>00059278</v>
      </c>
      <c r="C2229" t="s">
        <v>4274</v>
      </c>
      <c r="D2229" t="s">
        <v>4959</v>
      </c>
      <c r="E2229" t="str">
        <f>"00050439"</f>
        <v>00050439</v>
      </c>
      <c r="F2229">
        <v>0</v>
      </c>
      <c r="G2229" s="243">
        <v>37754</v>
      </c>
      <c r="H2229" t="s">
        <v>182</v>
      </c>
      <c r="I2229">
        <v>4</v>
      </c>
      <c r="J2229">
        <v>7</v>
      </c>
      <c r="K2229">
        <v>0.875</v>
      </c>
      <c r="L2229">
        <v>26633.25</v>
      </c>
      <c r="M2229" t="str">
        <f t="shared" si="325"/>
        <v>13</v>
      </c>
      <c r="N2229" t="s">
        <v>3323</v>
      </c>
      <c r="O2229" t="str">
        <f t="shared" si="331"/>
        <v>57811</v>
      </c>
      <c r="P2229" t="str">
        <f>"2200L"</f>
        <v>2200L</v>
      </c>
      <c r="Q2229" t="str">
        <f t="shared" si="328"/>
        <v>0101</v>
      </c>
      <c r="R2229">
        <v>2200</v>
      </c>
      <c r="S2229" t="str">
        <f t="shared" si="332"/>
        <v>5780</v>
      </c>
      <c r="T2229" t="s">
        <v>3644</v>
      </c>
      <c r="U2229" t="s">
        <v>1917</v>
      </c>
    </row>
    <row r="2230" spans="1:21" ht="15" customHeight="1" x14ac:dyDescent="0.3">
      <c r="A2230" t="s">
        <v>179</v>
      </c>
      <c r="B2230" t="str">
        <f>"00060341"</f>
        <v>00060341</v>
      </c>
      <c r="C2230" t="s">
        <v>4262</v>
      </c>
      <c r="H2230" t="s">
        <v>170</v>
      </c>
      <c r="I2230">
        <v>15</v>
      </c>
      <c r="J2230">
        <v>1</v>
      </c>
      <c r="K2230">
        <v>1</v>
      </c>
      <c r="L2230">
        <v>54975</v>
      </c>
      <c r="M2230" t="str">
        <f t="shared" si="325"/>
        <v>13</v>
      </c>
      <c r="N2230" t="s">
        <v>3323</v>
      </c>
      <c r="O2230" t="str">
        <f t="shared" si="331"/>
        <v>57811</v>
      </c>
      <c r="P2230" t="str">
        <f>"2100L"</f>
        <v>2100L</v>
      </c>
      <c r="Q2230" t="str">
        <f t="shared" si="328"/>
        <v>0101</v>
      </c>
      <c r="R2230">
        <v>2100</v>
      </c>
      <c r="S2230" t="str">
        <f t="shared" si="332"/>
        <v>5780</v>
      </c>
      <c r="T2230" t="s">
        <v>3644</v>
      </c>
      <c r="U2230" t="s">
        <v>1917</v>
      </c>
    </row>
    <row r="2231" spans="1:21" ht="15" customHeight="1" x14ac:dyDescent="0.3">
      <c r="A2231" t="s">
        <v>179</v>
      </c>
      <c r="B2231" t="str">
        <f>"00061230"</f>
        <v>00061230</v>
      </c>
      <c r="C2231" t="s">
        <v>4262</v>
      </c>
      <c r="D2231" t="s">
        <v>3645</v>
      </c>
      <c r="E2231" t="str">
        <f>"00048932"</f>
        <v>00048932</v>
      </c>
      <c r="F2231">
        <v>0</v>
      </c>
      <c r="G2231" s="243">
        <v>39314</v>
      </c>
      <c r="H2231" t="s">
        <v>182</v>
      </c>
      <c r="I2231">
        <v>15</v>
      </c>
      <c r="J2231">
        <v>5</v>
      </c>
      <c r="K2231">
        <v>1</v>
      </c>
      <c r="L2231">
        <v>66078</v>
      </c>
      <c r="M2231" t="str">
        <f t="shared" si="325"/>
        <v>13</v>
      </c>
      <c r="N2231" t="s">
        <v>3323</v>
      </c>
      <c r="O2231" t="str">
        <f t="shared" si="331"/>
        <v>57811</v>
      </c>
      <c r="P2231" t="str">
        <f>"2100L"</f>
        <v>2100L</v>
      </c>
      <c r="Q2231" t="str">
        <f t="shared" si="328"/>
        <v>0101</v>
      </c>
      <c r="R2231">
        <v>2100</v>
      </c>
      <c r="S2231" t="str">
        <f t="shared" si="332"/>
        <v>5780</v>
      </c>
      <c r="T2231" t="s">
        <v>3644</v>
      </c>
      <c r="U2231" t="s">
        <v>1917</v>
      </c>
    </row>
    <row r="2232" spans="1:21" ht="15" customHeight="1" x14ac:dyDescent="0.3">
      <c r="A2232" t="s">
        <v>179</v>
      </c>
      <c r="B2232" t="str">
        <f>"00061977"</f>
        <v>00061977</v>
      </c>
      <c r="C2232" t="s">
        <v>4272</v>
      </c>
      <c r="D2232" t="s">
        <v>1931</v>
      </c>
      <c r="E2232" t="str">
        <f>"00056967"</f>
        <v>00056967</v>
      </c>
      <c r="F2232">
        <v>0</v>
      </c>
      <c r="G2232" s="243">
        <v>40042</v>
      </c>
      <c r="H2232" t="s">
        <v>182</v>
      </c>
      <c r="I2232">
        <v>15</v>
      </c>
      <c r="J2232">
        <v>4</v>
      </c>
      <c r="K2232">
        <v>1</v>
      </c>
      <c r="L2232">
        <v>61158</v>
      </c>
      <c r="M2232" t="str">
        <f t="shared" si="325"/>
        <v>13</v>
      </c>
      <c r="N2232" t="s">
        <v>3323</v>
      </c>
      <c r="O2232" t="str">
        <f t="shared" si="331"/>
        <v>57811</v>
      </c>
      <c r="P2232" t="str">
        <f>"2200L"</f>
        <v>2200L</v>
      </c>
      <c r="Q2232" t="str">
        <f t="shared" si="328"/>
        <v>0101</v>
      </c>
      <c r="R2232">
        <v>2200</v>
      </c>
      <c r="S2232" t="str">
        <f t="shared" si="332"/>
        <v>5780</v>
      </c>
      <c r="T2232" t="s">
        <v>3644</v>
      </c>
      <c r="U2232" t="s">
        <v>1917</v>
      </c>
    </row>
    <row r="2233" spans="1:21" ht="15" customHeight="1" x14ac:dyDescent="0.3">
      <c r="A2233" t="s">
        <v>179</v>
      </c>
      <c r="B2233" t="str">
        <f>"00061983"</f>
        <v>00061983</v>
      </c>
      <c r="C2233" t="s">
        <v>4260</v>
      </c>
      <c r="D2233" t="s">
        <v>4960</v>
      </c>
      <c r="E2233" t="str">
        <f>"00045228"</f>
        <v>00045228</v>
      </c>
      <c r="F2233">
        <v>0</v>
      </c>
      <c r="G2233" s="243">
        <v>41133</v>
      </c>
      <c r="H2233" t="s">
        <v>182</v>
      </c>
      <c r="I2233">
        <v>15</v>
      </c>
      <c r="J2233">
        <v>1</v>
      </c>
      <c r="K2233">
        <v>1</v>
      </c>
      <c r="L2233">
        <v>51539</v>
      </c>
      <c r="M2233" t="str">
        <f t="shared" si="325"/>
        <v>13</v>
      </c>
      <c r="N2233" t="s">
        <v>3323</v>
      </c>
      <c r="O2233" t="str">
        <f t="shared" si="331"/>
        <v>57811</v>
      </c>
      <c r="P2233" t="str">
        <f>"2100L"</f>
        <v>2100L</v>
      </c>
      <c r="Q2233" t="str">
        <f t="shared" si="328"/>
        <v>0101</v>
      </c>
      <c r="R2233">
        <v>2100</v>
      </c>
      <c r="S2233" t="str">
        <f t="shared" si="332"/>
        <v>5780</v>
      </c>
      <c r="T2233" t="s">
        <v>3644</v>
      </c>
      <c r="U2233" t="s">
        <v>1917</v>
      </c>
    </row>
    <row r="2234" spans="1:21" ht="15" customHeight="1" x14ac:dyDescent="0.3">
      <c r="A2234" t="s">
        <v>179</v>
      </c>
      <c r="B2234" t="str">
        <f>"00062880"</f>
        <v>00062880</v>
      </c>
      <c r="C2234" t="s">
        <v>4290</v>
      </c>
      <c r="D2234" t="s">
        <v>4961</v>
      </c>
      <c r="E2234" t="str">
        <f>"00066404"</f>
        <v>00066404</v>
      </c>
      <c r="F2234">
        <v>0</v>
      </c>
      <c r="G2234" s="243">
        <v>40770</v>
      </c>
      <c r="H2234" t="s">
        <v>182</v>
      </c>
      <c r="I2234">
        <v>4</v>
      </c>
      <c r="J2234">
        <v>5</v>
      </c>
      <c r="K2234">
        <v>0.875</v>
      </c>
      <c r="L2234">
        <v>25239.37</v>
      </c>
      <c r="M2234" t="str">
        <f t="shared" si="325"/>
        <v>13</v>
      </c>
      <c r="N2234" t="s">
        <v>3323</v>
      </c>
      <c r="O2234" t="str">
        <f t="shared" si="331"/>
        <v>57811</v>
      </c>
      <c r="P2234" t="str">
        <f>"2200L"</f>
        <v>2200L</v>
      </c>
      <c r="Q2234" t="str">
        <f t="shared" si="328"/>
        <v>0101</v>
      </c>
      <c r="R2234">
        <v>2200</v>
      </c>
      <c r="S2234" t="str">
        <f t="shared" si="332"/>
        <v>5780</v>
      </c>
      <c r="T2234" t="s">
        <v>3644</v>
      </c>
      <c r="U2234" t="s">
        <v>1917</v>
      </c>
    </row>
    <row r="2235" spans="1:21" ht="15" customHeight="1" x14ac:dyDescent="0.3">
      <c r="A2235" t="s">
        <v>179</v>
      </c>
      <c r="B2235" t="str">
        <f>"00062887"</f>
        <v>00062887</v>
      </c>
      <c r="C2235" t="s">
        <v>4274</v>
      </c>
      <c r="D2235" t="s">
        <v>4962</v>
      </c>
      <c r="E2235" t="str">
        <f>"00050502"</f>
        <v>00050502</v>
      </c>
      <c r="F2235">
        <v>0</v>
      </c>
      <c r="G2235" s="243">
        <v>39786</v>
      </c>
      <c r="H2235" t="s">
        <v>182</v>
      </c>
      <c r="I2235">
        <v>4</v>
      </c>
      <c r="J2235">
        <v>3</v>
      </c>
      <c r="K2235">
        <v>0.875</v>
      </c>
      <c r="L2235">
        <v>23848.12</v>
      </c>
      <c r="M2235" t="str">
        <f t="shared" si="325"/>
        <v>13</v>
      </c>
      <c r="N2235" t="s">
        <v>3323</v>
      </c>
      <c r="O2235" t="str">
        <f t="shared" si="331"/>
        <v>57811</v>
      </c>
      <c r="P2235" t="str">
        <f>"2200L"</f>
        <v>2200L</v>
      </c>
      <c r="Q2235" t="str">
        <f t="shared" si="328"/>
        <v>0101</v>
      </c>
      <c r="R2235">
        <v>2200</v>
      </c>
      <c r="S2235" t="str">
        <f t="shared" si="332"/>
        <v>5780</v>
      </c>
      <c r="T2235" t="s">
        <v>3644</v>
      </c>
      <c r="U2235" t="s">
        <v>1917</v>
      </c>
    </row>
    <row r="2236" spans="1:21" ht="15" customHeight="1" x14ac:dyDescent="0.3">
      <c r="A2236" t="s">
        <v>179</v>
      </c>
      <c r="B2236" t="str">
        <f>"00065956"</f>
        <v>00065956</v>
      </c>
      <c r="C2236" t="s">
        <v>4260</v>
      </c>
      <c r="D2236" t="s">
        <v>1930</v>
      </c>
      <c r="E2236" t="str">
        <f>"00046930"</f>
        <v>00046930</v>
      </c>
      <c r="F2236">
        <v>0</v>
      </c>
      <c r="G2236" s="243">
        <v>40042</v>
      </c>
      <c r="H2236" t="s">
        <v>182</v>
      </c>
      <c r="I2236">
        <v>15</v>
      </c>
      <c r="J2236">
        <v>14</v>
      </c>
      <c r="K2236">
        <v>1</v>
      </c>
      <c r="L2236">
        <v>98967</v>
      </c>
      <c r="M2236" t="str">
        <f t="shared" si="325"/>
        <v>13</v>
      </c>
      <c r="N2236" t="s">
        <v>3323</v>
      </c>
      <c r="O2236" t="str">
        <f t="shared" ref="O2236:O2256" si="333">"57811"</f>
        <v>57811</v>
      </c>
      <c r="P2236" t="str">
        <f>"2100L"</f>
        <v>2100L</v>
      </c>
      <c r="Q2236" t="str">
        <f t="shared" si="328"/>
        <v>0101</v>
      </c>
      <c r="R2236">
        <v>2100</v>
      </c>
      <c r="S2236" t="str">
        <f t="shared" ref="S2236:S2256" si="334">"5780"</f>
        <v>5780</v>
      </c>
      <c r="T2236" t="s">
        <v>3644</v>
      </c>
      <c r="U2236" t="s">
        <v>1917</v>
      </c>
    </row>
    <row r="2237" spans="1:21" ht="15" customHeight="1" x14ac:dyDescent="0.3">
      <c r="A2237" t="s">
        <v>179</v>
      </c>
      <c r="B2237" t="str">
        <f>"00065957"</f>
        <v>00065957</v>
      </c>
      <c r="C2237" t="s">
        <v>4272</v>
      </c>
      <c r="D2237" t="s">
        <v>1927</v>
      </c>
      <c r="E2237" t="str">
        <f>"00046216"</f>
        <v>00046216</v>
      </c>
      <c r="F2237">
        <v>0</v>
      </c>
      <c r="G2237" s="243">
        <v>38586</v>
      </c>
      <c r="H2237" t="s">
        <v>182</v>
      </c>
      <c r="I2237">
        <v>15</v>
      </c>
      <c r="J2237">
        <v>14</v>
      </c>
      <c r="K2237">
        <v>1</v>
      </c>
      <c r="L2237">
        <v>98967</v>
      </c>
      <c r="M2237" t="str">
        <f t="shared" si="325"/>
        <v>13</v>
      </c>
      <c r="N2237" t="s">
        <v>3323</v>
      </c>
      <c r="O2237" t="str">
        <f t="shared" si="333"/>
        <v>57811</v>
      </c>
      <c r="P2237" t="str">
        <f>"2200L"</f>
        <v>2200L</v>
      </c>
      <c r="Q2237" t="str">
        <f t="shared" si="328"/>
        <v>0101</v>
      </c>
      <c r="R2237">
        <v>2200</v>
      </c>
      <c r="S2237" t="str">
        <f t="shared" si="334"/>
        <v>5780</v>
      </c>
      <c r="T2237" t="s">
        <v>3644</v>
      </c>
      <c r="U2237" t="s">
        <v>1917</v>
      </c>
    </row>
    <row r="2238" spans="1:21" ht="15" customHeight="1" x14ac:dyDescent="0.3">
      <c r="A2238" t="s">
        <v>179</v>
      </c>
      <c r="B2238" t="str">
        <f>"00065958"</f>
        <v>00065958</v>
      </c>
      <c r="C2238" t="s">
        <v>4262</v>
      </c>
      <c r="D2238" t="s">
        <v>4963</v>
      </c>
      <c r="E2238" t="str">
        <f>"00067152"</f>
        <v>00067152</v>
      </c>
      <c r="F2238">
        <v>0</v>
      </c>
      <c r="G2238" s="243">
        <v>40847</v>
      </c>
      <c r="H2238" t="s">
        <v>182</v>
      </c>
      <c r="I2238">
        <v>15</v>
      </c>
      <c r="J2238">
        <v>5</v>
      </c>
      <c r="K2238">
        <v>1</v>
      </c>
      <c r="L2238">
        <v>63611</v>
      </c>
      <c r="M2238" t="str">
        <f t="shared" si="325"/>
        <v>13</v>
      </c>
      <c r="N2238" t="s">
        <v>3370</v>
      </c>
      <c r="O2238" t="str">
        <f t="shared" si="333"/>
        <v>57811</v>
      </c>
      <c r="P2238" t="str">
        <f t="shared" ref="P2238:P2246" si="335">"2100L"</f>
        <v>2100L</v>
      </c>
      <c r="Q2238" t="str">
        <f t="shared" si="328"/>
        <v>0101</v>
      </c>
      <c r="R2238">
        <v>2100</v>
      </c>
      <c r="S2238" t="str">
        <f t="shared" si="334"/>
        <v>5780</v>
      </c>
      <c r="T2238" t="s">
        <v>3644</v>
      </c>
      <c r="U2238" t="s">
        <v>1917</v>
      </c>
    </row>
    <row r="2239" spans="1:21" ht="15" customHeight="1" x14ac:dyDescent="0.3">
      <c r="A2239" t="s">
        <v>179</v>
      </c>
      <c r="B2239" t="str">
        <f>"00065961"</f>
        <v>00065961</v>
      </c>
      <c r="C2239" t="s">
        <v>4262</v>
      </c>
      <c r="D2239" t="s">
        <v>4964</v>
      </c>
      <c r="E2239" t="str">
        <f>"00069511"</f>
        <v>00069511</v>
      </c>
      <c r="F2239">
        <v>0</v>
      </c>
      <c r="G2239" s="243">
        <v>41133</v>
      </c>
      <c r="H2239" t="s">
        <v>182</v>
      </c>
      <c r="I2239">
        <v>15</v>
      </c>
      <c r="J2239">
        <v>10</v>
      </c>
      <c r="K2239">
        <v>1</v>
      </c>
      <c r="L2239">
        <v>78273</v>
      </c>
      <c r="M2239" t="str">
        <f t="shared" si="325"/>
        <v>13</v>
      </c>
      <c r="N2239" t="s">
        <v>3370</v>
      </c>
      <c r="O2239" t="str">
        <f t="shared" si="333"/>
        <v>57811</v>
      </c>
      <c r="P2239" t="str">
        <f t="shared" si="335"/>
        <v>2100L</v>
      </c>
      <c r="Q2239" t="str">
        <f t="shared" si="328"/>
        <v>0101</v>
      </c>
      <c r="R2239">
        <v>2100</v>
      </c>
      <c r="S2239" t="str">
        <f t="shared" si="334"/>
        <v>5780</v>
      </c>
      <c r="T2239" t="s">
        <v>3644</v>
      </c>
      <c r="U2239" t="s">
        <v>1917</v>
      </c>
    </row>
    <row r="2240" spans="1:21" ht="15" customHeight="1" x14ac:dyDescent="0.3">
      <c r="A2240" t="s">
        <v>179</v>
      </c>
      <c r="B2240" t="str">
        <f>"00065962"</f>
        <v>00065962</v>
      </c>
      <c r="C2240" t="s">
        <v>4262</v>
      </c>
      <c r="D2240" t="s">
        <v>1932</v>
      </c>
      <c r="E2240" t="str">
        <f>"00056952"</f>
        <v>00056952</v>
      </c>
      <c r="F2240">
        <v>0</v>
      </c>
      <c r="G2240" s="243">
        <v>40042</v>
      </c>
      <c r="H2240" t="s">
        <v>182</v>
      </c>
      <c r="I2240">
        <v>15</v>
      </c>
      <c r="J2240">
        <v>3</v>
      </c>
      <c r="K2240">
        <v>1</v>
      </c>
      <c r="L2240">
        <v>58699</v>
      </c>
      <c r="M2240" t="str">
        <f t="shared" si="325"/>
        <v>13</v>
      </c>
      <c r="N2240" t="s">
        <v>3323</v>
      </c>
      <c r="O2240" t="str">
        <f t="shared" si="333"/>
        <v>57811</v>
      </c>
      <c r="P2240" t="str">
        <f t="shared" si="335"/>
        <v>2100L</v>
      </c>
      <c r="Q2240" t="str">
        <f t="shared" si="328"/>
        <v>0101</v>
      </c>
      <c r="R2240">
        <v>2100</v>
      </c>
      <c r="S2240" t="str">
        <f t="shared" si="334"/>
        <v>5780</v>
      </c>
      <c r="T2240" t="s">
        <v>3644</v>
      </c>
      <c r="U2240" t="s">
        <v>1917</v>
      </c>
    </row>
    <row r="2241" spans="1:21" ht="15" customHeight="1" x14ac:dyDescent="0.3">
      <c r="A2241" t="s">
        <v>179</v>
      </c>
      <c r="B2241" t="str">
        <f>"00066233"</f>
        <v>00066233</v>
      </c>
      <c r="C2241" t="s">
        <v>4290</v>
      </c>
      <c r="H2241" t="s">
        <v>170</v>
      </c>
      <c r="I2241">
        <v>4</v>
      </c>
      <c r="J2241">
        <v>1</v>
      </c>
      <c r="K2241">
        <v>1</v>
      </c>
      <c r="L2241">
        <v>25662</v>
      </c>
      <c r="M2241" t="str">
        <f t="shared" ref="M2241:M2298" si="336">"13"</f>
        <v>13</v>
      </c>
      <c r="N2241" t="s">
        <v>3323</v>
      </c>
      <c r="O2241" t="str">
        <f t="shared" si="333"/>
        <v>57811</v>
      </c>
      <c r="P2241" t="str">
        <f t="shared" si="335"/>
        <v>2100L</v>
      </c>
      <c r="Q2241" t="str">
        <f t="shared" si="328"/>
        <v>0101</v>
      </c>
      <c r="R2241">
        <v>2100</v>
      </c>
      <c r="S2241" t="str">
        <f t="shared" si="334"/>
        <v>5780</v>
      </c>
      <c r="T2241" t="s">
        <v>3644</v>
      </c>
      <c r="U2241" t="s">
        <v>1917</v>
      </c>
    </row>
    <row r="2242" spans="1:21" ht="15" customHeight="1" x14ac:dyDescent="0.3">
      <c r="A2242" t="s">
        <v>179</v>
      </c>
      <c r="B2242" t="str">
        <f>"00066235"</f>
        <v>00066235</v>
      </c>
      <c r="C2242" t="s">
        <v>4290</v>
      </c>
      <c r="D2242" t="s">
        <v>4965</v>
      </c>
      <c r="E2242" t="str">
        <f>"00057228"</f>
        <v>00057228</v>
      </c>
      <c r="F2242">
        <v>0</v>
      </c>
      <c r="G2242" s="243">
        <v>40042</v>
      </c>
      <c r="H2242" t="s">
        <v>182</v>
      </c>
      <c r="I2242">
        <v>4</v>
      </c>
      <c r="J2242">
        <v>4</v>
      </c>
      <c r="K2242">
        <v>1</v>
      </c>
      <c r="L2242">
        <v>24543.75</v>
      </c>
      <c r="M2242" t="str">
        <f t="shared" si="336"/>
        <v>13</v>
      </c>
      <c r="N2242" t="s">
        <v>3323</v>
      </c>
      <c r="O2242" t="str">
        <f t="shared" si="333"/>
        <v>57811</v>
      </c>
      <c r="P2242" t="str">
        <f t="shared" si="335"/>
        <v>2100L</v>
      </c>
      <c r="Q2242" t="str">
        <f t="shared" si="328"/>
        <v>0101</v>
      </c>
      <c r="R2242">
        <v>2100</v>
      </c>
      <c r="S2242" t="str">
        <f t="shared" si="334"/>
        <v>5780</v>
      </c>
      <c r="T2242" t="s">
        <v>3644</v>
      </c>
      <c r="U2242" t="s">
        <v>1917</v>
      </c>
    </row>
    <row r="2243" spans="1:21" ht="15" customHeight="1" x14ac:dyDescent="0.3">
      <c r="A2243" t="s">
        <v>179</v>
      </c>
      <c r="B2243" t="str">
        <f>"00066935"</f>
        <v>00066935</v>
      </c>
      <c r="C2243" t="s">
        <v>4258</v>
      </c>
      <c r="D2243" t="s">
        <v>4966</v>
      </c>
      <c r="E2243" t="str">
        <f>"00068281"</f>
        <v>00068281</v>
      </c>
      <c r="F2243">
        <v>0</v>
      </c>
      <c r="G2243" s="243">
        <v>41016</v>
      </c>
      <c r="H2243" t="s">
        <v>182</v>
      </c>
      <c r="I2243">
        <v>15</v>
      </c>
      <c r="J2243">
        <v>1</v>
      </c>
      <c r="K2243">
        <v>1</v>
      </c>
      <c r="L2243">
        <v>54975</v>
      </c>
      <c r="M2243" t="str">
        <f t="shared" si="336"/>
        <v>13</v>
      </c>
      <c r="N2243" t="s">
        <v>3323</v>
      </c>
      <c r="O2243" t="str">
        <f t="shared" si="333"/>
        <v>57811</v>
      </c>
      <c r="P2243" t="str">
        <f t="shared" si="335"/>
        <v>2100L</v>
      </c>
      <c r="Q2243" t="str">
        <f t="shared" si="328"/>
        <v>0101</v>
      </c>
      <c r="R2243">
        <v>2100</v>
      </c>
      <c r="S2243" t="str">
        <f t="shared" si="334"/>
        <v>5780</v>
      </c>
      <c r="T2243" t="s">
        <v>3644</v>
      </c>
      <c r="U2243" t="s">
        <v>1917</v>
      </c>
    </row>
    <row r="2244" spans="1:21" ht="15" customHeight="1" x14ac:dyDescent="0.3">
      <c r="A2244" t="s">
        <v>179</v>
      </c>
      <c r="B2244" t="str">
        <f>"00074261"</f>
        <v>00074261</v>
      </c>
      <c r="C2244" t="s">
        <v>4260</v>
      </c>
      <c r="D2244" t="s">
        <v>3648</v>
      </c>
      <c r="E2244" t="str">
        <f>"00066306"</f>
        <v>00066306</v>
      </c>
      <c r="F2244">
        <v>0</v>
      </c>
      <c r="G2244" s="243">
        <v>40755</v>
      </c>
      <c r="H2244" t="s">
        <v>182</v>
      </c>
      <c r="I2244">
        <v>15</v>
      </c>
      <c r="J2244">
        <v>2</v>
      </c>
      <c r="K2244">
        <v>1</v>
      </c>
      <c r="L2244">
        <v>51716</v>
      </c>
      <c r="M2244" t="str">
        <f t="shared" si="336"/>
        <v>13</v>
      </c>
      <c r="N2244" t="s">
        <v>3323</v>
      </c>
      <c r="O2244" t="str">
        <f t="shared" si="333"/>
        <v>57811</v>
      </c>
      <c r="P2244" t="str">
        <f t="shared" si="335"/>
        <v>2100L</v>
      </c>
      <c r="Q2244" t="str">
        <f t="shared" si="328"/>
        <v>0101</v>
      </c>
      <c r="R2244">
        <v>2100</v>
      </c>
      <c r="S2244" t="str">
        <f t="shared" si="334"/>
        <v>5780</v>
      </c>
      <c r="T2244" t="s">
        <v>3644</v>
      </c>
      <c r="U2244" t="s">
        <v>1917</v>
      </c>
    </row>
    <row r="2245" spans="1:21" ht="15" customHeight="1" x14ac:dyDescent="0.3">
      <c r="A2245" t="s">
        <v>179</v>
      </c>
      <c r="B2245" t="str">
        <f>"00074262"</f>
        <v>00074262</v>
      </c>
      <c r="C2245" t="s">
        <v>4260</v>
      </c>
      <c r="D2245" t="s">
        <v>3649</v>
      </c>
      <c r="E2245" t="str">
        <f>"00066058"</f>
        <v>00066058</v>
      </c>
      <c r="F2245">
        <v>0</v>
      </c>
      <c r="G2245" s="243">
        <v>40755</v>
      </c>
      <c r="H2245" t="s">
        <v>182</v>
      </c>
      <c r="I2245">
        <v>15</v>
      </c>
      <c r="J2245">
        <v>2</v>
      </c>
      <c r="K2245">
        <v>1</v>
      </c>
      <c r="L2245">
        <v>58699</v>
      </c>
      <c r="M2245" t="str">
        <f t="shared" si="336"/>
        <v>13</v>
      </c>
      <c r="N2245" t="s">
        <v>3323</v>
      </c>
      <c r="O2245" t="str">
        <f t="shared" si="333"/>
        <v>57811</v>
      </c>
      <c r="P2245" t="str">
        <f t="shared" si="335"/>
        <v>2100L</v>
      </c>
      <c r="Q2245" t="str">
        <f t="shared" si="328"/>
        <v>0101</v>
      </c>
      <c r="R2245">
        <v>2100</v>
      </c>
      <c r="S2245" t="str">
        <f t="shared" si="334"/>
        <v>5780</v>
      </c>
      <c r="T2245" t="s">
        <v>3644</v>
      </c>
      <c r="U2245" t="s">
        <v>1917</v>
      </c>
    </row>
    <row r="2246" spans="1:21" ht="15" customHeight="1" x14ac:dyDescent="0.3">
      <c r="A2246" t="s">
        <v>179</v>
      </c>
      <c r="B2246" t="str">
        <f>"00074263"</f>
        <v>00074263</v>
      </c>
      <c r="C2246" t="s">
        <v>200</v>
      </c>
      <c r="D2246" t="s">
        <v>3647</v>
      </c>
      <c r="E2246" t="str">
        <f>"00054581"</f>
        <v>00054581</v>
      </c>
      <c r="F2246">
        <v>0</v>
      </c>
      <c r="G2246" s="243">
        <v>28996</v>
      </c>
      <c r="H2246" t="s">
        <v>182</v>
      </c>
      <c r="I2246">
        <v>15</v>
      </c>
      <c r="J2246">
        <v>10</v>
      </c>
      <c r="K2246">
        <v>1</v>
      </c>
      <c r="L2246">
        <v>78273</v>
      </c>
      <c r="M2246" t="str">
        <f t="shared" si="336"/>
        <v>13</v>
      </c>
      <c r="N2246" t="s">
        <v>3323</v>
      </c>
      <c r="O2246" t="str">
        <f t="shared" si="333"/>
        <v>57811</v>
      </c>
      <c r="P2246" t="str">
        <f t="shared" si="335"/>
        <v>2100L</v>
      </c>
      <c r="Q2246" t="str">
        <f t="shared" si="328"/>
        <v>0101</v>
      </c>
      <c r="R2246">
        <v>2100</v>
      </c>
      <c r="S2246" t="str">
        <f t="shared" si="334"/>
        <v>5780</v>
      </c>
      <c r="T2246" t="s">
        <v>3644</v>
      </c>
      <c r="U2246" t="s">
        <v>1917</v>
      </c>
    </row>
    <row r="2247" spans="1:21" ht="15" customHeight="1" x14ac:dyDescent="0.3">
      <c r="A2247" t="s">
        <v>179</v>
      </c>
      <c r="B2247" t="str">
        <f>"00076249"</f>
        <v>00076249</v>
      </c>
      <c r="C2247" t="s">
        <v>4271</v>
      </c>
      <c r="D2247" t="s">
        <v>4967</v>
      </c>
      <c r="E2247" t="str">
        <f>"00048675"</f>
        <v>00048675</v>
      </c>
      <c r="F2247">
        <v>0</v>
      </c>
      <c r="G2247" s="243">
        <v>38355</v>
      </c>
      <c r="H2247" t="s">
        <v>182</v>
      </c>
      <c r="I2247">
        <v>15</v>
      </c>
      <c r="J2247">
        <v>12</v>
      </c>
      <c r="K2247">
        <v>0.5</v>
      </c>
      <c r="L2247">
        <v>92613</v>
      </c>
      <c r="M2247" t="str">
        <f t="shared" si="336"/>
        <v>13</v>
      </c>
      <c r="N2247" t="s">
        <v>3370</v>
      </c>
      <c r="O2247" t="str">
        <f t="shared" si="333"/>
        <v>57811</v>
      </c>
      <c r="P2247" t="str">
        <f>"2100L"</f>
        <v>2100L</v>
      </c>
      <c r="Q2247" t="str">
        <f t="shared" si="328"/>
        <v>0101</v>
      </c>
      <c r="R2247">
        <v>2100</v>
      </c>
      <c r="S2247" t="str">
        <f t="shared" si="334"/>
        <v>5780</v>
      </c>
      <c r="T2247" t="s">
        <v>3644</v>
      </c>
      <c r="U2247" t="s">
        <v>1917</v>
      </c>
    </row>
    <row r="2248" spans="1:21" ht="15" customHeight="1" x14ac:dyDescent="0.3">
      <c r="A2248" t="s">
        <v>179</v>
      </c>
      <c r="B2248" t="str">
        <f>"00076250"</f>
        <v>00076250</v>
      </c>
      <c r="C2248" t="s">
        <v>4262</v>
      </c>
      <c r="D2248" t="s">
        <v>4968</v>
      </c>
      <c r="E2248" t="str">
        <f>"00069584"</f>
        <v>00069584</v>
      </c>
      <c r="F2248">
        <v>0</v>
      </c>
      <c r="G2248" s="243">
        <v>41133</v>
      </c>
      <c r="H2248" t="s">
        <v>182</v>
      </c>
      <c r="I2248">
        <v>15</v>
      </c>
      <c r="J2248">
        <v>1</v>
      </c>
      <c r="K2248">
        <v>1</v>
      </c>
      <c r="L2248">
        <v>51539</v>
      </c>
      <c r="M2248" t="str">
        <f t="shared" si="336"/>
        <v>13</v>
      </c>
      <c r="N2248" t="s">
        <v>3370</v>
      </c>
      <c r="O2248" t="str">
        <f t="shared" si="333"/>
        <v>57811</v>
      </c>
      <c r="P2248" t="str">
        <f>"2100L"</f>
        <v>2100L</v>
      </c>
      <c r="Q2248" t="str">
        <f t="shared" si="328"/>
        <v>0101</v>
      </c>
      <c r="R2248">
        <v>2100</v>
      </c>
      <c r="S2248" t="str">
        <f t="shared" si="334"/>
        <v>5780</v>
      </c>
      <c r="T2248" t="s">
        <v>3644</v>
      </c>
      <c r="U2248" t="s">
        <v>1917</v>
      </c>
    </row>
    <row r="2249" spans="1:21" ht="15" customHeight="1" x14ac:dyDescent="0.3">
      <c r="A2249" t="s">
        <v>179</v>
      </c>
      <c r="B2249" t="str">
        <f>"00076366"</f>
        <v>00076366</v>
      </c>
      <c r="C2249" t="s">
        <v>4294</v>
      </c>
      <c r="D2249" t="s">
        <v>4969</v>
      </c>
      <c r="E2249" t="str">
        <f>"00062960"</f>
        <v>00062960</v>
      </c>
      <c r="F2249">
        <v>0</v>
      </c>
      <c r="G2249" s="243">
        <v>40406</v>
      </c>
      <c r="H2249" t="s">
        <v>182</v>
      </c>
      <c r="I2249">
        <v>7</v>
      </c>
      <c r="J2249">
        <v>6</v>
      </c>
      <c r="K2249">
        <v>1</v>
      </c>
      <c r="L2249">
        <v>40407</v>
      </c>
      <c r="M2249" t="str">
        <f t="shared" si="336"/>
        <v>13</v>
      </c>
      <c r="N2249" t="s">
        <v>3323</v>
      </c>
      <c r="O2249" t="str">
        <f t="shared" si="333"/>
        <v>57811</v>
      </c>
      <c r="P2249" t="str">
        <f>"1502L"</f>
        <v>1502L</v>
      </c>
      <c r="Q2249" t="str">
        <f t="shared" si="328"/>
        <v>0101</v>
      </c>
      <c r="R2249">
        <v>1502</v>
      </c>
      <c r="S2249" t="str">
        <f t="shared" si="334"/>
        <v>5780</v>
      </c>
      <c r="T2249" t="s">
        <v>3644</v>
      </c>
      <c r="U2249" t="s">
        <v>1917</v>
      </c>
    </row>
    <row r="2250" spans="1:21" ht="15" customHeight="1" x14ac:dyDescent="0.3">
      <c r="A2250" t="s">
        <v>179</v>
      </c>
      <c r="B2250" t="str">
        <f>"00076377"</f>
        <v>00076377</v>
      </c>
      <c r="C2250" t="s">
        <v>4294</v>
      </c>
      <c r="D2250" t="s">
        <v>4970</v>
      </c>
      <c r="E2250" t="str">
        <f>"00061352"</f>
        <v>00061352</v>
      </c>
      <c r="F2250">
        <v>0</v>
      </c>
      <c r="G2250" s="243">
        <v>41169</v>
      </c>
      <c r="H2250" t="s">
        <v>182</v>
      </c>
      <c r="I2250">
        <v>7</v>
      </c>
      <c r="J2250">
        <v>4</v>
      </c>
      <c r="K2250">
        <v>1</v>
      </c>
      <c r="L2250">
        <v>38191</v>
      </c>
      <c r="M2250" t="str">
        <f t="shared" si="336"/>
        <v>13</v>
      </c>
      <c r="N2250" t="s">
        <v>3323</v>
      </c>
      <c r="O2250" t="str">
        <f t="shared" si="333"/>
        <v>57811</v>
      </c>
      <c r="P2250" t="str">
        <f>"1502L"</f>
        <v>1502L</v>
      </c>
      <c r="Q2250" t="str">
        <f t="shared" si="328"/>
        <v>0101</v>
      </c>
      <c r="R2250">
        <v>1502</v>
      </c>
      <c r="S2250" t="str">
        <f t="shared" si="334"/>
        <v>5780</v>
      </c>
      <c r="T2250" t="s">
        <v>3644</v>
      </c>
      <c r="U2250" t="s">
        <v>1917</v>
      </c>
    </row>
    <row r="2251" spans="1:21" ht="15" customHeight="1" x14ac:dyDescent="0.3">
      <c r="A2251" t="s">
        <v>179</v>
      </c>
      <c r="B2251" t="str">
        <f>"00076466"</f>
        <v>00076466</v>
      </c>
      <c r="C2251" t="s">
        <v>4274</v>
      </c>
      <c r="D2251" t="s">
        <v>4971</v>
      </c>
      <c r="E2251" t="str">
        <f>"00029958"</f>
        <v>00029958</v>
      </c>
      <c r="F2251">
        <v>1</v>
      </c>
      <c r="G2251" s="243">
        <v>41132</v>
      </c>
      <c r="H2251" t="s">
        <v>182</v>
      </c>
      <c r="I2251">
        <v>4</v>
      </c>
      <c r="J2251">
        <v>6</v>
      </c>
      <c r="K2251">
        <v>0.71</v>
      </c>
      <c r="L2251">
        <v>25935.88</v>
      </c>
      <c r="M2251" t="str">
        <f t="shared" si="336"/>
        <v>13</v>
      </c>
      <c r="N2251" t="s">
        <v>3323</v>
      </c>
      <c r="O2251" t="str">
        <f t="shared" si="333"/>
        <v>57811</v>
      </c>
      <c r="P2251" t="str">
        <f>"2200L"</f>
        <v>2200L</v>
      </c>
      <c r="Q2251" t="str">
        <f t="shared" si="328"/>
        <v>0101</v>
      </c>
      <c r="R2251">
        <v>2200</v>
      </c>
      <c r="S2251" t="str">
        <f t="shared" si="334"/>
        <v>5780</v>
      </c>
      <c r="T2251" t="s">
        <v>3644</v>
      </c>
      <c r="U2251" t="s">
        <v>1917</v>
      </c>
    </row>
    <row r="2252" spans="1:21" ht="15" customHeight="1" x14ac:dyDescent="0.3">
      <c r="A2252" t="s">
        <v>179</v>
      </c>
      <c r="B2252" t="str">
        <f>"00076545"</f>
        <v>00076545</v>
      </c>
      <c r="C2252" t="s">
        <v>4290</v>
      </c>
      <c r="D2252" t="s">
        <v>4972</v>
      </c>
      <c r="E2252" t="str">
        <f>"00066706"</f>
        <v>00066706</v>
      </c>
      <c r="F2252">
        <v>0</v>
      </c>
      <c r="G2252" s="243">
        <v>40812</v>
      </c>
      <c r="H2252" t="s">
        <v>182</v>
      </c>
      <c r="I2252">
        <v>4</v>
      </c>
      <c r="J2252">
        <v>8</v>
      </c>
      <c r="K2252">
        <v>0.71</v>
      </c>
      <c r="L2252">
        <v>27329.75</v>
      </c>
      <c r="M2252" t="str">
        <f t="shared" si="336"/>
        <v>13</v>
      </c>
      <c r="N2252" t="s">
        <v>3370</v>
      </c>
      <c r="O2252" t="str">
        <f t="shared" si="333"/>
        <v>57811</v>
      </c>
      <c r="P2252" t="str">
        <f>"3030L"</f>
        <v>3030L</v>
      </c>
      <c r="Q2252" t="str">
        <f t="shared" si="328"/>
        <v>0101</v>
      </c>
      <c r="R2252">
        <v>3030</v>
      </c>
      <c r="S2252" t="str">
        <f t="shared" si="334"/>
        <v>5780</v>
      </c>
      <c r="T2252" t="s">
        <v>3644</v>
      </c>
      <c r="U2252" t="s">
        <v>1917</v>
      </c>
    </row>
    <row r="2253" spans="1:21" ht="15" customHeight="1" x14ac:dyDescent="0.3">
      <c r="A2253" t="s">
        <v>179</v>
      </c>
      <c r="B2253" t="str">
        <f>"00076546"</f>
        <v>00076546</v>
      </c>
      <c r="C2253" t="s">
        <v>4290</v>
      </c>
      <c r="H2253" t="s">
        <v>170</v>
      </c>
      <c r="I2253">
        <v>4</v>
      </c>
      <c r="J2253">
        <v>0</v>
      </c>
      <c r="K2253">
        <v>0.71</v>
      </c>
      <c r="L2253">
        <v>25662</v>
      </c>
      <c r="M2253" t="str">
        <f t="shared" si="336"/>
        <v>13</v>
      </c>
      <c r="N2253" t="s">
        <v>3370</v>
      </c>
      <c r="O2253" t="str">
        <f t="shared" si="333"/>
        <v>57811</v>
      </c>
      <c r="P2253" t="str">
        <f>"3030L"</f>
        <v>3030L</v>
      </c>
      <c r="Q2253" t="str">
        <f t="shared" si="328"/>
        <v>0101</v>
      </c>
      <c r="R2253">
        <v>3030</v>
      </c>
      <c r="S2253" t="str">
        <f t="shared" si="334"/>
        <v>5780</v>
      </c>
      <c r="T2253" t="s">
        <v>3644</v>
      </c>
      <c r="U2253" t="s">
        <v>1917</v>
      </c>
    </row>
    <row r="2254" spans="1:21" ht="15" customHeight="1" x14ac:dyDescent="0.3">
      <c r="A2254" t="s">
        <v>179</v>
      </c>
      <c r="B2254" t="str">
        <f>"00076547"</f>
        <v>00076547</v>
      </c>
      <c r="C2254" t="s">
        <v>4290</v>
      </c>
      <c r="D2254" t="s">
        <v>4973</v>
      </c>
      <c r="E2254" t="str">
        <f>"00051494"</f>
        <v>00051494</v>
      </c>
      <c r="F2254">
        <v>0</v>
      </c>
      <c r="G2254" s="243">
        <v>37578</v>
      </c>
      <c r="H2254" t="s">
        <v>182</v>
      </c>
      <c r="I2254">
        <v>4</v>
      </c>
      <c r="J2254">
        <v>7</v>
      </c>
      <c r="K2254">
        <v>0.71</v>
      </c>
      <c r="L2254">
        <v>26633.25</v>
      </c>
      <c r="M2254" t="str">
        <f t="shared" si="336"/>
        <v>13</v>
      </c>
      <c r="N2254" t="s">
        <v>3370</v>
      </c>
      <c r="O2254" t="str">
        <f t="shared" si="333"/>
        <v>57811</v>
      </c>
      <c r="P2254" t="str">
        <f>"3030L"</f>
        <v>3030L</v>
      </c>
      <c r="Q2254" t="str">
        <f t="shared" si="328"/>
        <v>0101</v>
      </c>
      <c r="R2254">
        <v>3030</v>
      </c>
      <c r="S2254" t="str">
        <f t="shared" si="334"/>
        <v>5780</v>
      </c>
      <c r="T2254" t="s">
        <v>3644</v>
      </c>
      <c r="U2254" t="s">
        <v>1917</v>
      </c>
    </row>
    <row r="2255" spans="1:21" ht="15" customHeight="1" x14ac:dyDescent="0.3">
      <c r="A2255" t="s">
        <v>179</v>
      </c>
      <c r="B2255" t="str">
        <f>"00076660"</f>
        <v>00076660</v>
      </c>
      <c r="C2255" t="s">
        <v>4294</v>
      </c>
      <c r="H2255" t="s">
        <v>170</v>
      </c>
      <c r="I2255">
        <v>7</v>
      </c>
      <c r="J2255">
        <v>0</v>
      </c>
      <c r="K2255">
        <v>1</v>
      </c>
      <c r="L2255">
        <v>34871</v>
      </c>
      <c r="M2255" t="str">
        <f t="shared" si="336"/>
        <v>13</v>
      </c>
      <c r="N2255" t="s">
        <v>3370</v>
      </c>
      <c r="O2255" t="str">
        <f t="shared" si="333"/>
        <v>57811</v>
      </c>
      <c r="P2255" t="str">
        <f>"1502L"</f>
        <v>1502L</v>
      </c>
      <c r="Q2255" t="str">
        <f t="shared" si="328"/>
        <v>0101</v>
      </c>
      <c r="R2255">
        <v>1502</v>
      </c>
      <c r="S2255" t="str">
        <f t="shared" si="334"/>
        <v>5780</v>
      </c>
      <c r="T2255" t="s">
        <v>3644</v>
      </c>
      <c r="U2255" t="s">
        <v>1917</v>
      </c>
    </row>
    <row r="2256" spans="1:21" ht="15" customHeight="1" x14ac:dyDescent="0.3">
      <c r="A2256" t="s">
        <v>179</v>
      </c>
      <c r="B2256" t="str">
        <f>"00076661"</f>
        <v>00076661</v>
      </c>
      <c r="C2256" t="s">
        <v>4294</v>
      </c>
      <c r="H2256" t="s">
        <v>170</v>
      </c>
      <c r="I2256">
        <v>7</v>
      </c>
      <c r="J2256">
        <v>0</v>
      </c>
      <c r="K2256">
        <v>1</v>
      </c>
      <c r="L2256">
        <v>34871</v>
      </c>
      <c r="M2256" t="str">
        <f t="shared" si="336"/>
        <v>13</v>
      </c>
      <c r="N2256" t="s">
        <v>3370</v>
      </c>
      <c r="O2256" t="str">
        <f t="shared" si="333"/>
        <v>57811</v>
      </c>
      <c r="P2256" t="str">
        <f>"1502L"</f>
        <v>1502L</v>
      </c>
      <c r="Q2256" t="str">
        <f t="shared" si="328"/>
        <v>0101</v>
      </c>
      <c r="R2256">
        <v>1502</v>
      </c>
      <c r="S2256" t="str">
        <f t="shared" si="334"/>
        <v>5780</v>
      </c>
      <c r="T2256" t="s">
        <v>3644</v>
      </c>
      <c r="U2256" t="s">
        <v>1917</v>
      </c>
    </row>
    <row r="2257" spans="1:21" ht="15" customHeight="1" x14ac:dyDescent="0.3">
      <c r="A2257" t="s">
        <v>179</v>
      </c>
      <c r="B2257" t="str">
        <f>"00051602"</f>
        <v>00051602</v>
      </c>
      <c r="C2257" t="s">
        <v>4272</v>
      </c>
      <c r="D2257" t="s">
        <v>1933</v>
      </c>
      <c r="E2257" t="str">
        <f>"00045035"</f>
        <v>00045035</v>
      </c>
      <c r="F2257">
        <v>0</v>
      </c>
      <c r="G2257" s="243">
        <v>31712</v>
      </c>
      <c r="H2257" t="s">
        <v>182</v>
      </c>
      <c r="I2257">
        <v>15</v>
      </c>
      <c r="J2257">
        <v>16</v>
      </c>
      <c r="K2257">
        <v>1</v>
      </c>
      <c r="L2257">
        <v>106540</v>
      </c>
      <c r="M2257" t="str">
        <f t="shared" si="336"/>
        <v>13</v>
      </c>
      <c r="N2257" t="s">
        <v>3323</v>
      </c>
      <c r="O2257" t="str">
        <f t="shared" ref="O2257:O2292" si="337">"57911"</f>
        <v>57911</v>
      </c>
      <c r="P2257" t="str">
        <f>"2100L"</f>
        <v>2100L</v>
      </c>
      <c r="Q2257" t="str">
        <f t="shared" ref="Q2257:Q2315" si="338">"0101"</f>
        <v>0101</v>
      </c>
      <c r="R2257">
        <v>2100</v>
      </c>
      <c r="S2257" t="str">
        <f t="shared" ref="S2257:S2292" si="339">"5790"</f>
        <v>5790</v>
      </c>
      <c r="T2257" t="s">
        <v>3650</v>
      </c>
      <c r="U2257" t="s">
        <v>55</v>
      </c>
    </row>
    <row r="2258" spans="1:21" ht="15" customHeight="1" x14ac:dyDescent="0.3">
      <c r="A2258" t="s">
        <v>179</v>
      </c>
      <c r="B2258" t="str">
        <f>"00051780"</f>
        <v>00051780</v>
      </c>
      <c r="C2258" t="s">
        <v>4262</v>
      </c>
      <c r="D2258" t="s">
        <v>1934</v>
      </c>
      <c r="E2258" t="str">
        <f>"00045872"</f>
        <v>00045872</v>
      </c>
      <c r="F2258">
        <v>0</v>
      </c>
      <c r="G2258" s="243">
        <v>34578</v>
      </c>
      <c r="H2258" t="s">
        <v>182</v>
      </c>
      <c r="I2258">
        <v>15</v>
      </c>
      <c r="J2258">
        <v>15</v>
      </c>
      <c r="K2258">
        <v>1</v>
      </c>
      <c r="L2258">
        <v>98285</v>
      </c>
      <c r="M2258" t="str">
        <f t="shared" si="336"/>
        <v>13</v>
      </c>
      <c r="N2258" t="s">
        <v>3323</v>
      </c>
      <c r="O2258" t="str">
        <f t="shared" si="337"/>
        <v>57911</v>
      </c>
      <c r="P2258" t="str">
        <f>"2100L"</f>
        <v>2100L</v>
      </c>
      <c r="Q2258" t="str">
        <f t="shared" si="338"/>
        <v>0101</v>
      </c>
      <c r="R2258">
        <v>2100</v>
      </c>
      <c r="S2258" t="str">
        <f t="shared" si="339"/>
        <v>5790</v>
      </c>
      <c r="T2258" t="s">
        <v>3650</v>
      </c>
      <c r="U2258" t="s">
        <v>55</v>
      </c>
    </row>
    <row r="2259" spans="1:21" ht="15" customHeight="1" x14ac:dyDescent="0.3">
      <c r="A2259" t="s">
        <v>179</v>
      </c>
      <c r="B2259" t="str">
        <f>"00051840"</f>
        <v>00051840</v>
      </c>
      <c r="C2259" t="s">
        <v>4274</v>
      </c>
      <c r="D2259" t="s">
        <v>4974</v>
      </c>
      <c r="E2259" t="str">
        <f>"00004292"</f>
        <v>00004292</v>
      </c>
      <c r="F2259">
        <v>2</v>
      </c>
      <c r="G2259" s="243">
        <v>35382</v>
      </c>
      <c r="H2259" t="s">
        <v>182</v>
      </c>
      <c r="I2259">
        <v>4</v>
      </c>
      <c r="J2259">
        <v>10</v>
      </c>
      <c r="K2259">
        <v>0.875</v>
      </c>
      <c r="L2259">
        <v>28721</v>
      </c>
      <c r="M2259" t="str">
        <f t="shared" si="336"/>
        <v>13</v>
      </c>
      <c r="N2259" t="s">
        <v>3323</v>
      </c>
      <c r="O2259" t="str">
        <f t="shared" si="337"/>
        <v>57911</v>
      </c>
      <c r="P2259" t="str">
        <f>"2200L"</f>
        <v>2200L</v>
      </c>
      <c r="Q2259" t="str">
        <f t="shared" si="338"/>
        <v>0101</v>
      </c>
      <c r="R2259">
        <v>2200</v>
      </c>
      <c r="S2259" t="str">
        <f t="shared" si="339"/>
        <v>5790</v>
      </c>
      <c r="T2259" t="s">
        <v>3650</v>
      </c>
      <c r="U2259" t="s">
        <v>55</v>
      </c>
    </row>
    <row r="2260" spans="1:21" ht="15" customHeight="1" x14ac:dyDescent="0.3">
      <c r="A2260" t="s">
        <v>179</v>
      </c>
      <c r="B2260" t="str">
        <f>"00052269"</f>
        <v>00052269</v>
      </c>
      <c r="C2260" t="s">
        <v>4262</v>
      </c>
      <c r="H2260" t="s">
        <v>170</v>
      </c>
      <c r="I2260">
        <v>15</v>
      </c>
      <c r="J2260">
        <v>1</v>
      </c>
      <c r="K2260">
        <v>1</v>
      </c>
      <c r="L2260">
        <v>51539</v>
      </c>
      <c r="M2260" t="str">
        <f t="shared" si="336"/>
        <v>13</v>
      </c>
      <c r="N2260" t="s">
        <v>3323</v>
      </c>
      <c r="O2260" t="str">
        <f t="shared" si="337"/>
        <v>57911</v>
      </c>
      <c r="P2260" t="str">
        <f>"2100L"</f>
        <v>2100L</v>
      </c>
      <c r="Q2260" t="str">
        <f t="shared" si="338"/>
        <v>0101</v>
      </c>
      <c r="R2260">
        <v>2100</v>
      </c>
      <c r="S2260" t="str">
        <f t="shared" si="339"/>
        <v>5790</v>
      </c>
      <c r="T2260" t="s">
        <v>3650</v>
      </c>
      <c r="U2260" t="s">
        <v>55</v>
      </c>
    </row>
    <row r="2261" spans="1:21" ht="15" customHeight="1" x14ac:dyDescent="0.3">
      <c r="A2261" t="s">
        <v>179</v>
      </c>
      <c r="B2261" t="str">
        <f>"00052345"</f>
        <v>00052345</v>
      </c>
      <c r="C2261" t="s">
        <v>4262</v>
      </c>
      <c r="D2261" t="s">
        <v>1936</v>
      </c>
      <c r="E2261" t="str">
        <f>"00048065"</f>
        <v>00048065</v>
      </c>
      <c r="F2261">
        <v>0</v>
      </c>
      <c r="G2261" s="243">
        <v>34610</v>
      </c>
      <c r="H2261" t="s">
        <v>182</v>
      </c>
      <c r="I2261">
        <v>15</v>
      </c>
      <c r="J2261">
        <v>15</v>
      </c>
      <c r="K2261">
        <v>1</v>
      </c>
      <c r="L2261">
        <v>98285</v>
      </c>
      <c r="M2261" t="str">
        <f t="shared" si="336"/>
        <v>13</v>
      </c>
      <c r="N2261" t="s">
        <v>3323</v>
      </c>
      <c r="O2261" t="str">
        <f t="shared" si="337"/>
        <v>57911</v>
      </c>
      <c r="P2261" t="str">
        <f>"2100L"</f>
        <v>2100L</v>
      </c>
      <c r="Q2261" t="str">
        <f t="shared" si="338"/>
        <v>0101</v>
      </c>
      <c r="R2261">
        <v>2100</v>
      </c>
      <c r="S2261" t="str">
        <f t="shared" si="339"/>
        <v>5790</v>
      </c>
      <c r="T2261" t="s">
        <v>3650</v>
      </c>
      <c r="U2261" t="s">
        <v>55</v>
      </c>
    </row>
    <row r="2262" spans="1:21" ht="15" customHeight="1" x14ac:dyDescent="0.3">
      <c r="A2262" t="s">
        <v>179</v>
      </c>
      <c r="B2262" t="str">
        <f>"00052346"</f>
        <v>00052346</v>
      </c>
      <c r="C2262" t="s">
        <v>4260</v>
      </c>
      <c r="D2262" t="s">
        <v>1937</v>
      </c>
      <c r="E2262" t="str">
        <f>"00048071"</f>
        <v>00048071</v>
      </c>
      <c r="F2262">
        <v>0</v>
      </c>
      <c r="G2262" s="243">
        <v>32050</v>
      </c>
      <c r="H2262" t="s">
        <v>182</v>
      </c>
      <c r="I2262">
        <v>15</v>
      </c>
      <c r="J2262">
        <v>16</v>
      </c>
      <c r="K2262">
        <v>1</v>
      </c>
      <c r="L2262">
        <v>100839</v>
      </c>
      <c r="M2262" t="str">
        <f t="shared" si="336"/>
        <v>13</v>
      </c>
      <c r="N2262" t="s">
        <v>3323</v>
      </c>
      <c r="O2262" t="str">
        <f t="shared" si="337"/>
        <v>57911</v>
      </c>
      <c r="P2262" t="str">
        <f>"3030L"</f>
        <v>3030L</v>
      </c>
      <c r="Q2262" t="str">
        <f t="shared" si="338"/>
        <v>0101</v>
      </c>
      <c r="R2262">
        <v>3030</v>
      </c>
      <c r="S2262" t="str">
        <f t="shared" si="339"/>
        <v>5790</v>
      </c>
      <c r="T2262" t="s">
        <v>3650</v>
      </c>
      <c r="U2262" t="s">
        <v>55</v>
      </c>
    </row>
    <row r="2263" spans="1:21" ht="15" customHeight="1" x14ac:dyDescent="0.3">
      <c r="A2263" t="s">
        <v>179</v>
      </c>
      <c r="B2263" t="str">
        <f>"00052400"</f>
        <v>00052400</v>
      </c>
      <c r="C2263" t="s">
        <v>4260</v>
      </c>
      <c r="D2263" t="s">
        <v>1938</v>
      </c>
      <c r="E2263" t="str">
        <f>"00048176"</f>
        <v>00048176</v>
      </c>
      <c r="F2263">
        <v>0</v>
      </c>
      <c r="G2263" s="243">
        <v>32387</v>
      </c>
      <c r="H2263" t="s">
        <v>182</v>
      </c>
      <c r="I2263">
        <v>15</v>
      </c>
      <c r="J2263">
        <v>16</v>
      </c>
      <c r="K2263">
        <v>1</v>
      </c>
      <c r="L2263">
        <v>103347</v>
      </c>
      <c r="M2263" t="str">
        <f t="shared" si="336"/>
        <v>13</v>
      </c>
      <c r="N2263" t="s">
        <v>3323</v>
      </c>
      <c r="O2263" t="str">
        <f t="shared" si="337"/>
        <v>57911</v>
      </c>
      <c r="P2263" t="str">
        <f>"2100L"</f>
        <v>2100L</v>
      </c>
      <c r="Q2263" t="str">
        <f t="shared" si="338"/>
        <v>0101</v>
      </c>
      <c r="R2263">
        <v>2100</v>
      </c>
      <c r="S2263" t="str">
        <f t="shared" si="339"/>
        <v>5790</v>
      </c>
      <c r="T2263" t="s">
        <v>3650</v>
      </c>
      <c r="U2263" t="s">
        <v>55</v>
      </c>
    </row>
    <row r="2264" spans="1:21" ht="15" customHeight="1" x14ac:dyDescent="0.3">
      <c r="A2264" t="s">
        <v>179</v>
      </c>
      <c r="B2264" t="str">
        <f>"00052478"</f>
        <v>00052478</v>
      </c>
      <c r="C2264" t="s">
        <v>4272</v>
      </c>
      <c r="D2264" t="s">
        <v>1939</v>
      </c>
      <c r="E2264" t="str">
        <f>"00048368"</f>
        <v>00048368</v>
      </c>
      <c r="F2264">
        <v>0</v>
      </c>
      <c r="G2264" s="243">
        <v>32756</v>
      </c>
      <c r="H2264" t="s">
        <v>182</v>
      </c>
      <c r="I2264">
        <v>15</v>
      </c>
      <c r="J2264">
        <v>16</v>
      </c>
      <c r="K2264">
        <v>1</v>
      </c>
      <c r="L2264">
        <v>100839</v>
      </c>
      <c r="M2264" t="str">
        <f t="shared" si="336"/>
        <v>13</v>
      </c>
      <c r="N2264" t="s">
        <v>3323</v>
      </c>
      <c r="O2264" t="str">
        <f t="shared" si="337"/>
        <v>57911</v>
      </c>
      <c r="P2264" t="str">
        <f>"2100L"</f>
        <v>2100L</v>
      </c>
      <c r="Q2264" t="str">
        <f t="shared" si="338"/>
        <v>0101</v>
      </c>
      <c r="R2264">
        <v>2100</v>
      </c>
      <c r="S2264" t="str">
        <f t="shared" si="339"/>
        <v>5790</v>
      </c>
      <c r="T2264" t="s">
        <v>3650</v>
      </c>
      <c r="U2264" t="s">
        <v>55</v>
      </c>
    </row>
    <row r="2265" spans="1:21" ht="15" customHeight="1" x14ac:dyDescent="0.3">
      <c r="A2265" t="s">
        <v>179</v>
      </c>
      <c r="B2265" t="str">
        <f>"00052740"</f>
        <v>00052740</v>
      </c>
      <c r="C2265" t="s">
        <v>4259</v>
      </c>
      <c r="H2265" t="s">
        <v>170</v>
      </c>
      <c r="I2265">
        <v>15</v>
      </c>
      <c r="J2265">
        <v>1</v>
      </c>
      <c r="K2265">
        <v>1</v>
      </c>
      <c r="L2265">
        <v>60128</v>
      </c>
      <c r="M2265" t="str">
        <f t="shared" si="336"/>
        <v>13</v>
      </c>
      <c r="N2265" t="s">
        <v>3323</v>
      </c>
      <c r="O2265" t="str">
        <f t="shared" si="337"/>
        <v>57911</v>
      </c>
      <c r="P2265" t="str">
        <f>"2100L"</f>
        <v>2100L</v>
      </c>
      <c r="Q2265" t="str">
        <f t="shared" si="338"/>
        <v>0101</v>
      </c>
      <c r="R2265">
        <v>2100</v>
      </c>
      <c r="S2265" t="str">
        <f t="shared" si="339"/>
        <v>5790</v>
      </c>
      <c r="T2265" t="s">
        <v>3650</v>
      </c>
      <c r="U2265" t="s">
        <v>55</v>
      </c>
    </row>
    <row r="2266" spans="1:21" ht="15" customHeight="1" x14ac:dyDescent="0.3">
      <c r="A2266" t="s">
        <v>179</v>
      </c>
      <c r="B2266" t="str">
        <f>"00052945"</f>
        <v>00052945</v>
      </c>
      <c r="C2266" t="s">
        <v>4272</v>
      </c>
      <c r="D2266" t="s">
        <v>1940</v>
      </c>
      <c r="E2266" t="str">
        <f>"00050345"</f>
        <v>00050345</v>
      </c>
      <c r="F2266">
        <v>0</v>
      </c>
      <c r="G2266" s="243">
        <v>33484</v>
      </c>
      <c r="H2266" t="s">
        <v>182</v>
      </c>
      <c r="I2266">
        <v>15</v>
      </c>
      <c r="J2266">
        <v>16</v>
      </c>
      <c r="K2266">
        <v>1</v>
      </c>
      <c r="L2266">
        <v>103347</v>
      </c>
      <c r="M2266" t="str">
        <f t="shared" si="336"/>
        <v>13</v>
      </c>
      <c r="N2266" t="s">
        <v>3323</v>
      </c>
      <c r="O2266" t="str">
        <f t="shared" si="337"/>
        <v>57911</v>
      </c>
      <c r="P2266" t="str">
        <f>"2100L"</f>
        <v>2100L</v>
      </c>
      <c r="Q2266" t="str">
        <f t="shared" si="338"/>
        <v>0101</v>
      </c>
      <c r="R2266">
        <v>2100</v>
      </c>
      <c r="S2266" t="str">
        <f t="shared" si="339"/>
        <v>5790</v>
      </c>
      <c r="T2266" t="s">
        <v>3650</v>
      </c>
      <c r="U2266" t="s">
        <v>55</v>
      </c>
    </row>
    <row r="2267" spans="1:21" ht="15" customHeight="1" x14ac:dyDescent="0.3">
      <c r="A2267" t="s">
        <v>179</v>
      </c>
      <c r="B2267" t="str">
        <f>"00053068"</f>
        <v>00053068</v>
      </c>
      <c r="C2267" t="s">
        <v>4262</v>
      </c>
      <c r="D2267" t="s">
        <v>3652</v>
      </c>
      <c r="E2267" t="str">
        <f>"00063024"</f>
        <v>00063024</v>
      </c>
      <c r="F2267">
        <v>0</v>
      </c>
      <c r="G2267" s="243">
        <v>40406</v>
      </c>
      <c r="H2267" t="s">
        <v>182</v>
      </c>
      <c r="I2267">
        <v>15</v>
      </c>
      <c r="J2267">
        <v>4</v>
      </c>
      <c r="K2267">
        <v>1</v>
      </c>
      <c r="L2267">
        <v>61158</v>
      </c>
      <c r="M2267" t="str">
        <f t="shared" si="336"/>
        <v>13</v>
      </c>
      <c r="N2267" t="s">
        <v>3323</v>
      </c>
      <c r="O2267" t="str">
        <f t="shared" si="337"/>
        <v>57911</v>
      </c>
      <c r="P2267" t="str">
        <f>"2100L"</f>
        <v>2100L</v>
      </c>
      <c r="Q2267" t="str">
        <f t="shared" si="338"/>
        <v>0101</v>
      </c>
      <c r="R2267">
        <v>2100</v>
      </c>
      <c r="S2267" t="str">
        <f t="shared" si="339"/>
        <v>5790</v>
      </c>
      <c r="T2267" t="s">
        <v>3650</v>
      </c>
      <c r="U2267" t="s">
        <v>55</v>
      </c>
    </row>
    <row r="2268" spans="1:21" ht="15" customHeight="1" x14ac:dyDescent="0.3">
      <c r="A2268" t="s">
        <v>179</v>
      </c>
      <c r="B2268" t="str">
        <f>"00053570"</f>
        <v>00053570</v>
      </c>
      <c r="C2268" t="s">
        <v>4290</v>
      </c>
      <c r="D2268" t="s">
        <v>4975</v>
      </c>
      <c r="E2268" t="str">
        <f>"00066393"</f>
        <v>00066393</v>
      </c>
      <c r="F2268">
        <v>0</v>
      </c>
      <c r="G2268" s="243">
        <v>40770</v>
      </c>
      <c r="H2268" t="s">
        <v>182</v>
      </c>
      <c r="I2268">
        <v>4</v>
      </c>
      <c r="J2268">
        <v>2</v>
      </c>
      <c r="K2268">
        <v>1</v>
      </c>
      <c r="L2268">
        <v>23151.63</v>
      </c>
      <c r="M2268" t="str">
        <f t="shared" si="336"/>
        <v>13</v>
      </c>
      <c r="N2268" t="s">
        <v>3323</v>
      </c>
      <c r="O2268" t="str">
        <f t="shared" si="337"/>
        <v>57911</v>
      </c>
      <c r="P2268" t="str">
        <f>"2200L"</f>
        <v>2200L</v>
      </c>
      <c r="Q2268" t="str">
        <f t="shared" si="338"/>
        <v>0101</v>
      </c>
      <c r="R2268">
        <v>2200</v>
      </c>
      <c r="S2268" t="str">
        <f t="shared" si="339"/>
        <v>5790</v>
      </c>
      <c r="T2268" t="s">
        <v>3650</v>
      </c>
      <c r="U2268" t="s">
        <v>55</v>
      </c>
    </row>
    <row r="2269" spans="1:21" ht="15" customHeight="1" x14ac:dyDescent="0.3">
      <c r="A2269" t="s">
        <v>179</v>
      </c>
      <c r="B2269" t="str">
        <f>"00054325"</f>
        <v>00054325</v>
      </c>
      <c r="C2269" t="s">
        <v>4262</v>
      </c>
      <c r="D2269" t="s">
        <v>1941</v>
      </c>
      <c r="E2269" t="str">
        <f>"00053626"</f>
        <v>00053626</v>
      </c>
      <c r="F2269">
        <v>0</v>
      </c>
      <c r="G2269" s="243">
        <v>35305</v>
      </c>
      <c r="H2269" t="s">
        <v>182</v>
      </c>
      <c r="I2269">
        <v>15</v>
      </c>
      <c r="J2269">
        <v>14</v>
      </c>
      <c r="K2269">
        <v>1</v>
      </c>
      <c r="L2269">
        <v>96460</v>
      </c>
      <c r="M2269" t="str">
        <f t="shared" si="336"/>
        <v>13</v>
      </c>
      <c r="N2269" t="s">
        <v>3323</v>
      </c>
      <c r="O2269" t="str">
        <f t="shared" si="337"/>
        <v>57911</v>
      </c>
      <c r="P2269" t="str">
        <f>"2100L"</f>
        <v>2100L</v>
      </c>
      <c r="Q2269" t="str">
        <f t="shared" si="338"/>
        <v>0101</v>
      </c>
      <c r="R2269">
        <v>2100</v>
      </c>
      <c r="S2269" t="str">
        <f t="shared" si="339"/>
        <v>5790</v>
      </c>
      <c r="T2269" t="s">
        <v>3650</v>
      </c>
      <c r="U2269" t="s">
        <v>55</v>
      </c>
    </row>
    <row r="2270" spans="1:21" ht="15" customHeight="1" x14ac:dyDescent="0.3">
      <c r="A2270" t="s">
        <v>179</v>
      </c>
      <c r="B2270" t="str">
        <f>"00054827"</f>
        <v>00054827</v>
      </c>
      <c r="C2270" t="s">
        <v>4262</v>
      </c>
      <c r="D2270" t="s">
        <v>1942</v>
      </c>
      <c r="E2270" t="str">
        <f>"00054707"</f>
        <v>00054707</v>
      </c>
      <c r="F2270">
        <v>0</v>
      </c>
      <c r="G2270" s="243">
        <v>32050</v>
      </c>
      <c r="H2270" t="s">
        <v>182</v>
      </c>
      <c r="I2270">
        <v>15</v>
      </c>
      <c r="J2270">
        <v>16</v>
      </c>
      <c r="K2270">
        <v>1</v>
      </c>
      <c r="L2270">
        <v>100839</v>
      </c>
      <c r="M2270" t="str">
        <f t="shared" si="336"/>
        <v>13</v>
      </c>
      <c r="N2270" t="s">
        <v>3323</v>
      </c>
      <c r="O2270" t="str">
        <f t="shared" si="337"/>
        <v>57911</v>
      </c>
      <c r="P2270" t="str">
        <f>"2100L"</f>
        <v>2100L</v>
      </c>
      <c r="Q2270" t="str">
        <f t="shared" si="338"/>
        <v>0101</v>
      </c>
      <c r="R2270">
        <v>2100</v>
      </c>
      <c r="S2270" t="str">
        <f t="shared" si="339"/>
        <v>5790</v>
      </c>
      <c r="T2270" t="s">
        <v>3650</v>
      </c>
      <c r="U2270" t="s">
        <v>55</v>
      </c>
    </row>
    <row r="2271" spans="1:21" ht="15" customHeight="1" x14ac:dyDescent="0.3">
      <c r="A2271" t="s">
        <v>179</v>
      </c>
      <c r="B2271" t="str">
        <f>"00056542"</f>
        <v>00056542</v>
      </c>
      <c r="C2271" t="s">
        <v>4360</v>
      </c>
      <c r="D2271" t="s">
        <v>4976</v>
      </c>
      <c r="E2271" t="str">
        <f>"00053155"</f>
        <v>00053155</v>
      </c>
      <c r="F2271">
        <v>0</v>
      </c>
      <c r="G2271" s="243">
        <v>36069</v>
      </c>
      <c r="H2271" t="s">
        <v>182</v>
      </c>
      <c r="I2271">
        <v>7</v>
      </c>
      <c r="J2271">
        <v>8</v>
      </c>
      <c r="K2271">
        <v>1</v>
      </c>
      <c r="L2271">
        <v>42621</v>
      </c>
      <c r="M2271" t="str">
        <f t="shared" si="336"/>
        <v>13</v>
      </c>
      <c r="N2271" t="s">
        <v>3323</v>
      </c>
      <c r="O2271" t="str">
        <f t="shared" si="337"/>
        <v>57911</v>
      </c>
      <c r="P2271" t="str">
        <f>"1502L"</f>
        <v>1502L</v>
      </c>
      <c r="Q2271" t="str">
        <f t="shared" si="338"/>
        <v>0101</v>
      </c>
      <c r="R2271">
        <v>1502</v>
      </c>
      <c r="S2271" t="str">
        <f t="shared" si="339"/>
        <v>5790</v>
      </c>
      <c r="T2271" t="s">
        <v>3650</v>
      </c>
      <c r="U2271" t="s">
        <v>55</v>
      </c>
    </row>
    <row r="2272" spans="1:21" ht="15" customHeight="1" x14ac:dyDescent="0.3">
      <c r="A2272" t="s">
        <v>179</v>
      </c>
      <c r="B2272" t="str">
        <f>"00057635"</f>
        <v>00057635</v>
      </c>
      <c r="C2272" t="s">
        <v>4341</v>
      </c>
      <c r="D2272" t="s">
        <v>1943</v>
      </c>
      <c r="E2272" t="str">
        <f>"00032612"</f>
        <v>00032612</v>
      </c>
      <c r="F2272">
        <v>1</v>
      </c>
      <c r="G2272" s="243">
        <v>38656</v>
      </c>
      <c r="H2272" t="s">
        <v>182</v>
      </c>
      <c r="I2272">
        <v>10</v>
      </c>
      <c r="J2272">
        <v>8</v>
      </c>
      <c r="K2272">
        <v>1</v>
      </c>
      <c r="L2272">
        <v>80981</v>
      </c>
      <c r="M2272" t="str">
        <f t="shared" si="336"/>
        <v>13</v>
      </c>
      <c r="N2272" t="s">
        <v>3323</v>
      </c>
      <c r="O2272" t="str">
        <f t="shared" si="337"/>
        <v>57911</v>
      </c>
      <c r="P2272" t="str">
        <f>"2100L"</f>
        <v>2100L</v>
      </c>
      <c r="Q2272" t="str">
        <f t="shared" si="338"/>
        <v>0101</v>
      </c>
      <c r="R2272">
        <v>2100</v>
      </c>
      <c r="S2272" t="str">
        <f t="shared" si="339"/>
        <v>5790</v>
      </c>
      <c r="T2272" t="s">
        <v>3650</v>
      </c>
      <c r="U2272" t="s">
        <v>55</v>
      </c>
    </row>
    <row r="2273" spans="1:21" ht="15" customHeight="1" x14ac:dyDescent="0.3">
      <c r="A2273" t="s">
        <v>179</v>
      </c>
      <c r="B2273" t="str">
        <f>"00059042"</f>
        <v>00059042</v>
      </c>
      <c r="C2273" t="s">
        <v>3798</v>
      </c>
      <c r="D2273" t="s">
        <v>1945</v>
      </c>
      <c r="E2273" t="str">
        <f>"00044980"</f>
        <v>00044980</v>
      </c>
      <c r="F2273">
        <v>0</v>
      </c>
      <c r="G2273" s="243">
        <v>37522</v>
      </c>
      <c r="H2273" t="s">
        <v>182</v>
      </c>
      <c r="I2273">
        <v>61</v>
      </c>
      <c r="J2273">
        <v>4</v>
      </c>
      <c r="K2273">
        <v>1</v>
      </c>
      <c r="L2273">
        <v>115000</v>
      </c>
      <c r="M2273" t="str">
        <f t="shared" si="336"/>
        <v>13</v>
      </c>
      <c r="N2273" t="s">
        <v>3323</v>
      </c>
      <c r="O2273" t="str">
        <f t="shared" si="337"/>
        <v>57911</v>
      </c>
      <c r="P2273" t="str">
        <f>"1501L"</f>
        <v>1501L</v>
      </c>
      <c r="Q2273" t="str">
        <f t="shared" si="338"/>
        <v>0101</v>
      </c>
      <c r="R2273">
        <v>1501</v>
      </c>
      <c r="S2273" t="str">
        <f t="shared" si="339"/>
        <v>5790</v>
      </c>
      <c r="T2273" t="s">
        <v>3650</v>
      </c>
      <c r="U2273" t="s">
        <v>55</v>
      </c>
    </row>
    <row r="2274" spans="1:21" ht="15" customHeight="1" x14ac:dyDescent="0.3">
      <c r="A2274" t="s">
        <v>179</v>
      </c>
      <c r="B2274" t="str">
        <f>"00061388"</f>
        <v>00061388</v>
      </c>
      <c r="C2274" t="s">
        <v>4274</v>
      </c>
      <c r="D2274" t="s">
        <v>4977</v>
      </c>
      <c r="E2274" t="str">
        <f>"00053706"</f>
        <v>00053706</v>
      </c>
      <c r="F2274">
        <v>0</v>
      </c>
      <c r="G2274" s="243">
        <v>39048</v>
      </c>
      <c r="H2274" t="s">
        <v>182</v>
      </c>
      <c r="I2274">
        <v>4</v>
      </c>
      <c r="J2274">
        <v>5</v>
      </c>
      <c r="K2274">
        <v>0.875</v>
      </c>
      <c r="L2274">
        <v>25239.37</v>
      </c>
      <c r="M2274" t="str">
        <f t="shared" si="336"/>
        <v>13</v>
      </c>
      <c r="N2274" t="s">
        <v>3323</v>
      </c>
      <c r="O2274" t="str">
        <f t="shared" si="337"/>
        <v>57911</v>
      </c>
      <c r="P2274" t="str">
        <f>"2200L"</f>
        <v>2200L</v>
      </c>
      <c r="Q2274" t="str">
        <f t="shared" si="338"/>
        <v>0101</v>
      </c>
      <c r="R2274">
        <v>2200</v>
      </c>
      <c r="S2274" t="str">
        <f t="shared" si="339"/>
        <v>5790</v>
      </c>
      <c r="T2274" t="s">
        <v>3650</v>
      </c>
      <c r="U2274" t="s">
        <v>55</v>
      </c>
    </row>
    <row r="2275" spans="1:21" ht="15" customHeight="1" x14ac:dyDescent="0.3">
      <c r="A2275" t="s">
        <v>179</v>
      </c>
      <c r="B2275" t="str">
        <f>"00062542"</f>
        <v>00062542</v>
      </c>
      <c r="C2275" t="s">
        <v>4337</v>
      </c>
      <c r="D2275" t="s">
        <v>967</v>
      </c>
      <c r="E2275" t="str">
        <f>"00052780"</f>
        <v>00052780</v>
      </c>
      <c r="F2275">
        <v>0</v>
      </c>
      <c r="G2275" s="243">
        <v>34517</v>
      </c>
      <c r="H2275" t="s">
        <v>182</v>
      </c>
      <c r="I2275">
        <v>15</v>
      </c>
      <c r="J2275">
        <v>16</v>
      </c>
      <c r="K2275">
        <v>1</v>
      </c>
      <c r="L2275">
        <v>100839</v>
      </c>
      <c r="M2275" t="str">
        <f t="shared" si="336"/>
        <v>13</v>
      </c>
      <c r="N2275" t="s">
        <v>3323</v>
      </c>
      <c r="O2275" t="str">
        <f t="shared" si="337"/>
        <v>57911</v>
      </c>
      <c r="P2275" t="str">
        <f>"2100L"</f>
        <v>2100L</v>
      </c>
      <c r="Q2275" t="str">
        <f t="shared" si="338"/>
        <v>0101</v>
      </c>
      <c r="R2275">
        <v>2100</v>
      </c>
      <c r="S2275" t="str">
        <f t="shared" si="339"/>
        <v>5790</v>
      </c>
      <c r="T2275" t="s">
        <v>3650</v>
      </c>
      <c r="U2275" t="s">
        <v>55</v>
      </c>
    </row>
    <row r="2276" spans="1:21" ht="15" customHeight="1" x14ac:dyDescent="0.3">
      <c r="A2276" t="s">
        <v>179</v>
      </c>
      <c r="B2276" t="str">
        <f>"00062618"</f>
        <v>00062618</v>
      </c>
      <c r="C2276" t="s">
        <v>4291</v>
      </c>
      <c r="H2276" t="s">
        <v>170</v>
      </c>
      <c r="I2276">
        <v>15</v>
      </c>
      <c r="J2276">
        <v>1</v>
      </c>
      <c r="K2276">
        <v>1</v>
      </c>
      <c r="L2276">
        <v>53256</v>
      </c>
      <c r="M2276" t="str">
        <f t="shared" si="336"/>
        <v>13</v>
      </c>
      <c r="N2276" t="s">
        <v>3323</v>
      </c>
      <c r="O2276" t="str">
        <f t="shared" si="337"/>
        <v>57911</v>
      </c>
      <c r="P2276" t="str">
        <f>"2100L"</f>
        <v>2100L</v>
      </c>
      <c r="Q2276" t="str">
        <f t="shared" si="338"/>
        <v>0101</v>
      </c>
      <c r="R2276">
        <v>2100</v>
      </c>
      <c r="S2276" t="str">
        <f t="shared" si="339"/>
        <v>5790</v>
      </c>
      <c r="T2276" t="s">
        <v>3650</v>
      </c>
      <c r="U2276" t="s">
        <v>55</v>
      </c>
    </row>
    <row r="2277" spans="1:21" ht="15" customHeight="1" x14ac:dyDescent="0.3">
      <c r="A2277" t="s">
        <v>179</v>
      </c>
      <c r="B2277" t="str">
        <f>"00062728"</f>
        <v>00062728</v>
      </c>
      <c r="C2277" t="s">
        <v>4274</v>
      </c>
      <c r="D2277" t="s">
        <v>4978</v>
      </c>
      <c r="E2277" t="str">
        <f>"00057684"</f>
        <v>00057684</v>
      </c>
      <c r="F2277">
        <v>0</v>
      </c>
      <c r="G2277" s="243">
        <v>40042</v>
      </c>
      <c r="H2277" t="s">
        <v>182</v>
      </c>
      <c r="I2277">
        <v>4</v>
      </c>
      <c r="J2277">
        <v>6</v>
      </c>
      <c r="K2277">
        <v>0.875</v>
      </c>
      <c r="L2277">
        <v>25935.88</v>
      </c>
      <c r="M2277" t="str">
        <f t="shared" si="336"/>
        <v>13</v>
      </c>
      <c r="N2277" t="s">
        <v>3323</v>
      </c>
      <c r="O2277" t="str">
        <f t="shared" si="337"/>
        <v>57911</v>
      </c>
      <c r="P2277" t="str">
        <f>"2200L"</f>
        <v>2200L</v>
      </c>
      <c r="Q2277" t="str">
        <f t="shared" si="338"/>
        <v>0101</v>
      </c>
      <c r="R2277">
        <v>2200</v>
      </c>
      <c r="S2277" t="str">
        <f t="shared" si="339"/>
        <v>5790</v>
      </c>
      <c r="T2277" t="s">
        <v>3650</v>
      </c>
      <c r="U2277" t="s">
        <v>55</v>
      </c>
    </row>
    <row r="2278" spans="1:21" ht="15" customHeight="1" x14ac:dyDescent="0.3">
      <c r="A2278" t="s">
        <v>179</v>
      </c>
      <c r="B2278" t="str">
        <f>"00066037"</f>
        <v>00066037</v>
      </c>
      <c r="C2278" t="s">
        <v>4293</v>
      </c>
      <c r="H2278" t="s">
        <v>170</v>
      </c>
      <c r="I2278">
        <v>15</v>
      </c>
      <c r="J2278">
        <v>1</v>
      </c>
      <c r="K2278">
        <v>1</v>
      </c>
      <c r="L2278">
        <v>51539</v>
      </c>
      <c r="M2278" t="str">
        <f t="shared" si="336"/>
        <v>13</v>
      </c>
      <c r="N2278" t="s">
        <v>3323</v>
      </c>
      <c r="O2278" t="str">
        <f t="shared" si="337"/>
        <v>57911</v>
      </c>
      <c r="P2278" t="str">
        <f>"2100L"</f>
        <v>2100L</v>
      </c>
      <c r="Q2278" t="str">
        <f t="shared" si="338"/>
        <v>0101</v>
      </c>
      <c r="R2278">
        <v>2100</v>
      </c>
      <c r="S2278" t="str">
        <f t="shared" si="339"/>
        <v>5790</v>
      </c>
      <c r="T2278" t="s">
        <v>3650</v>
      </c>
      <c r="U2278" t="s">
        <v>55</v>
      </c>
    </row>
    <row r="2279" spans="1:21" ht="15" customHeight="1" x14ac:dyDescent="0.3">
      <c r="A2279" t="s">
        <v>179</v>
      </c>
      <c r="B2279" t="str">
        <f>"00066154"</f>
        <v>00066154</v>
      </c>
      <c r="C2279" t="s">
        <v>4288</v>
      </c>
      <c r="D2279" t="s">
        <v>4979</v>
      </c>
      <c r="E2279" t="str">
        <f>"00060173"</f>
        <v>00060173</v>
      </c>
      <c r="F2279">
        <v>0</v>
      </c>
      <c r="G2279" s="243">
        <v>40182</v>
      </c>
      <c r="H2279" t="s">
        <v>182</v>
      </c>
      <c r="I2279">
        <v>4</v>
      </c>
      <c r="J2279">
        <v>5</v>
      </c>
      <c r="K2279">
        <v>1</v>
      </c>
      <c r="L2279">
        <v>25239.37</v>
      </c>
      <c r="M2279" t="str">
        <f t="shared" si="336"/>
        <v>13</v>
      </c>
      <c r="N2279" t="s">
        <v>3323</v>
      </c>
      <c r="O2279" t="str">
        <f t="shared" si="337"/>
        <v>57911</v>
      </c>
      <c r="P2279" t="str">
        <f>"2100L"</f>
        <v>2100L</v>
      </c>
      <c r="Q2279" t="str">
        <f t="shared" si="338"/>
        <v>0101</v>
      </c>
      <c r="R2279">
        <v>2100</v>
      </c>
      <c r="S2279" t="str">
        <f t="shared" si="339"/>
        <v>5790</v>
      </c>
      <c r="T2279" t="s">
        <v>3650</v>
      </c>
      <c r="U2279" t="s">
        <v>55</v>
      </c>
    </row>
    <row r="2280" spans="1:21" ht="15" customHeight="1" x14ac:dyDescent="0.3">
      <c r="A2280" t="s">
        <v>179</v>
      </c>
      <c r="B2280" t="str">
        <f>"00066883"</f>
        <v>00066883</v>
      </c>
      <c r="C2280" t="s">
        <v>4274</v>
      </c>
      <c r="D2280" t="s">
        <v>4980</v>
      </c>
      <c r="E2280" t="str">
        <f>"00058240"</f>
        <v>00058240</v>
      </c>
      <c r="F2280">
        <v>0</v>
      </c>
      <c r="G2280" s="243">
        <v>40058</v>
      </c>
      <c r="H2280" t="s">
        <v>182</v>
      </c>
      <c r="I2280">
        <v>4</v>
      </c>
      <c r="J2280">
        <v>6</v>
      </c>
      <c r="K2280">
        <v>1</v>
      </c>
      <c r="L2280">
        <v>25935.88</v>
      </c>
      <c r="M2280" t="str">
        <f t="shared" si="336"/>
        <v>13</v>
      </c>
      <c r="N2280" t="s">
        <v>3323</v>
      </c>
      <c r="O2280" t="str">
        <f t="shared" si="337"/>
        <v>57911</v>
      </c>
      <c r="P2280" t="str">
        <f>"2200L"</f>
        <v>2200L</v>
      </c>
      <c r="Q2280" t="str">
        <f t="shared" si="338"/>
        <v>0101</v>
      </c>
      <c r="R2280">
        <v>2200</v>
      </c>
      <c r="S2280" t="str">
        <f t="shared" si="339"/>
        <v>5790</v>
      </c>
      <c r="T2280" t="s">
        <v>3650</v>
      </c>
      <c r="U2280" t="s">
        <v>55</v>
      </c>
    </row>
    <row r="2281" spans="1:21" ht="15" customHeight="1" x14ac:dyDescent="0.3">
      <c r="A2281" t="s">
        <v>179</v>
      </c>
      <c r="B2281" t="str">
        <f>"00067501"</f>
        <v>00067501</v>
      </c>
      <c r="C2281" t="s">
        <v>4262</v>
      </c>
      <c r="D2281" t="s">
        <v>1947</v>
      </c>
      <c r="E2281" t="str">
        <f>"00057019"</f>
        <v>00057019</v>
      </c>
      <c r="F2281">
        <v>0</v>
      </c>
      <c r="G2281" s="243">
        <v>40042</v>
      </c>
      <c r="H2281" t="s">
        <v>182</v>
      </c>
      <c r="I2281">
        <v>15</v>
      </c>
      <c r="J2281">
        <v>7</v>
      </c>
      <c r="K2281">
        <v>1</v>
      </c>
      <c r="L2281">
        <v>61068</v>
      </c>
      <c r="M2281" t="str">
        <f t="shared" si="336"/>
        <v>13</v>
      </c>
      <c r="N2281" t="s">
        <v>3323</v>
      </c>
      <c r="O2281" t="str">
        <f t="shared" si="337"/>
        <v>57911</v>
      </c>
      <c r="P2281" t="str">
        <f t="shared" ref="P2281:P2291" si="340">"2100L"</f>
        <v>2100L</v>
      </c>
      <c r="Q2281" t="str">
        <f t="shared" si="338"/>
        <v>0101</v>
      </c>
      <c r="R2281">
        <v>2100</v>
      </c>
      <c r="S2281" t="str">
        <f t="shared" si="339"/>
        <v>5790</v>
      </c>
      <c r="T2281" t="s">
        <v>3650</v>
      </c>
      <c r="U2281" t="s">
        <v>55</v>
      </c>
    </row>
    <row r="2282" spans="1:21" ht="15" customHeight="1" x14ac:dyDescent="0.3">
      <c r="A2282" t="s">
        <v>179</v>
      </c>
      <c r="B2282" t="str">
        <f>"00067912"</f>
        <v>00067912</v>
      </c>
      <c r="C2282" t="s">
        <v>4260</v>
      </c>
      <c r="H2282" t="s">
        <v>170</v>
      </c>
      <c r="I2282">
        <v>15</v>
      </c>
      <c r="J2282">
        <v>1</v>
      </c>
      <c r="K2282">
        <v>1</v>
      </c>
      <c r="L2282">
        <v>54975</v>
      </c>
      <c r="M2282" t="str">
        <f t="shared" si="336"/>
        <v>13</v>
      </c>
      <c r="N2282" t="s">
        <v>3323</v>
      </c>
      <c r="O2282" t="str">
        <f t="shared" si="337"/>
        <v>57911</v>
      </c>
      <c r="P2282" t="str">
        <f t="shared" si="340"/>
        <v>2100L</v>
      </c>
      <c r="Q2282" t="str">
        <f t="shared" si="338"/>
        <v>0101</v>
      </c>
      <c r="R2282">
        <v>2100</v>
      </c>
      <c r="S2282" t="str">
        <f t="shared" si="339"/>
        <v>5790</v>
      </c>
      <c r="T2282" t="s">
        <v>3650</v>
      </c>
      <c r="U2282" t="s">
        <v>55</v>
      </c>
    </row>
    <row r="2283" spans="1:21" ht="15" customHeight="1" x14ac:dyDescent="0.3">
      <c r="A2283" t="s">
        <v>179</v>
      </c>
      <c r="B2283" t="str">
        <f>"00071432"</f>
        <v>00071432</v>
      </c>
      <c r="C2283" t="s">
        <v>4387</v>
      </c>
      <c r="D2283" t="s">
        <v>1948</v>
      </c>
      <c r="E2283" t="str">
        <f>"00060590"</f>
        <v>00060590</v>
      </c>
      <c r="F2283">
        <v>0</v>
      </c>
      <c r="G2283" s="243">
        <v>40238</v>
      </c>
      <c r="H2283" t="s">
        <v>182</v>
      </c>
      <c r="I2283">
        <v>10</v>
      </c>
      <c r="J2283">
        <v>6</v>
      </c>
      <c r="K2283">
        <v>1</v>
      </c>
      <c r="L2283">
        <v>76942</v>
      </c>
      <c r="M2283" t="str">
        <f t="shared" si="336"/>
        <v>13</v>
      </c>
      <c r="N2283" t="s">
        <v>3370</v>
      </c>
      <c r="O2283" t="str">
        <f t="shared" si="337"/>
        <v>57911</v>
      </c>
      <c r="P2283" t="str">
        <f t="shared" si="340"/>
        <v>2100L</v>
      </c>
      <c r="Q2283" t="str">
        <f t="shared" si="338"/>
        <v>0101</v>
      </c>
      <c r="R2283">
        <v>2100</v>
      </c>
      <c r="S2283" t="str">
        <f t="shared" si="339"/>
        <v>5790</v>
      </c>
      <c r="T2283" t="s">
        <v>3650</v>
      </c>
      <c r="U2283" t="s">
        <v>55</v>
      </c>
    </row>
    <row r="2284" spans="1:21" ht="15" customHeight="1" x14ac:dyDescent="0.3">
      <c r="A2284" t="s">
        <v>179</v>
      </c>
      <c r="B2284" t="str">
        <f>"00072894"</f>
        <v>00072894</v>
      </c>
      <c r="C2284" t="s">
        <v>4288</v>
      </c>
      <c r="D2284" t="s">
        <v>4981</v>
      </c>
      <c r="E2284" t="str">
        <f>"00058768"</f>
        <v>00058768</v>
      </c>
      <c r="F2284">
        <v>0</v>
      </c>
      <c r="G2284" s="243">
        <v>40091</v>
      </c>
      <c r="H2284" t="s">
        <v>182</v>
      </c>
      <c r="I2284">
        <v>4</v>
      </c>
      <c r="J2284">
        <v>6</v>
      </c>
      <c r="K2284">
        <v>0.35499999999999998</v>
      </c>
      <c r="L2284">
        <v>25935.88</v>
      </c>
      <c r="M2284" t="str">
        <f t="shared" si="336"/>
        <v>13</v>
      </c>
      <c r="N2284" t="s">
        <v>3323</v>
      </c>
      <c r="O2284" t="str">
        <f t="shared" si="337"/>
        <v>57911</v>
      </c>
      <c r="P2284" t="str">
        <f t="shared" si="340"/>
        <v>2100L</v>
      </c>
      <c r="Q2284" t="str">
        <f t="shared" si="338"/>
        <v>0101</v>
      </c>
      <c r="R2284">
        <v>2100</v>
      </c>
      <c r="S2284" t="str">
        <f t="shared" si="339"/>
        <v>5790</v>
      </c>
      <c r="T2284" t="s">
        <v>3650</v>
      </c>
      <c r="U2284" t="s">
        <v>55</v>
      </c>
    </row>
    <row r="2285" spans="1:21" ht="15" customHeight="1" x14ac:dyDescent="0.3">
      <c r="A2285" t="s">
        <v>179</v>
      </c>
      <c r="B2285" t="str">
        <f>"00073773"</f>
        <v>00073773</v>
      </c>
      <c r="C2285" t="s">
        <v>4272</v>
      </c>
      <c r="D2285" t="s">
        <v>1946</v>
      </c>
      <c r="E2285" t="str">
        <f>"00053403"</f>
        <v>00053403</v>
      </c>
      <c r="F2285">
        <v>0</v>
      </c>
      <c r="G2285" s="243">
        <v>32804</v>
      </c>
      <c r="H2285" t="s">
        <v>182</v>
      </c>
      <c r="I2285">
        <v>15</v>
      </c>
      <c r="J2285">
        <v>11</v>
      </c>
      <c r="K2285">
        <v>1</v>
      </c>
      <c r="L2285">
        <v>81335</v>
      </c>
      <c r="M2285" t="str">
        <f t="shared" si="336"/>
        <v>13</v>
      </c>
      <c r="N2285" t="s">
        <v>3323</v>
      </c>
      <c r="O2285" t="str">
        <f t="shared" si="337"/>
        <v>57911</v>
      </c>
      <c r="P2285" t="str">
        <f t="shared" si="340"/>
        <v>2100L</v>
      </c>
      <c r="Q2285" t="str">
        <f t="shared" si="338"/>
        <v>0101</v>
      </c>
      <c r="R2285">
        <v>2100</v>
      </c>
      <c r="S2285" t="str">
        <f t="shared" si="339"/>
        <v>5790</v>
      </c>
      <c r="T2285" t="s">
        <v>3650</v>
      </c>
      <c r="U2285" t="s">
        <v>55</v>
      </c>
    </row>
    <row r="2286" spans="1:21" ht="15" customHeight="1" x14ac:dyDescent="0.3">
      <c r="A2286" t="s">
        <v>179</v>
      </c>
      <c r="B2286" t="str">
        <f>"00073915"</f>
        <v>00073915</v>
      </c>
      <c r="C2286" t="s">
        <v>4372</v>
      </c>
      <c r="D2286" t="s">
        <v>4982</v>
      </c>
      <c r="E2286" t="str">
        <f>"00058688"</f>
        <v>00058688</v>
      </c>
      <c r="F2286">
        <v>0</v>
      </c>
      <c r="G2286" s="243">
        <v>40091</v>
      </c>
      <c r="H2286" t="s">
        <v>182</v>
      </c>
      <c r="I2286">
        <v>4</v>
      </c>
      <c r="J2286">
        <v>3</v>
      </c>
      <c r="K2286">
        <v>1</v>
      </c>
      <c r="L2286">
        <v>27255</v>
      </c>
      <c r="M2286" t="str">
        <f t="shared" si="336"/>
        <v>13</v>
      </c>
      <c r="N2286" t="s">
        <v>3323</v>
      </c>
      <c r="O2286" t="str">
        <f t="shared" si="337"/>
        <v>57911</v>
      </c>
      <c r="P2286" t="str">
        <f t="shared" si="340"/>
        <v>2100L</v>
      </c>
      <c r="Q2286" t="str">
        <f t="shared" si="338"/>
        <v>0101</v>
      </c>
      <c r="R2286">
        <v>2100</v>
      </c>
      <c r="S2286" t="str">
        <f t="shared" si="339"/>
        <v>5790</v>
      </c>
      <c r="T2286" t="s">
        <v>3650</v>
      </c>
      <c r="U2286" t="s">
        <v>55</v>
      </c>
    </row>
    <row r="2287" spans="1:21" ht="15" customHeight="1" x14ac:dyDescent="0.3">
      <c r="A2287" t="s">
        <v>179</v>
      </c>
      <c r="B2287" t="str">
        <f>"00074171"</f>
        <v>00074171</v>
      </c>
      <c r="C2287" t="s">
        <v>4262</v>
      </c>
      <c r="D2287" t="s">
        <v>3651</v>
      </c>
      <c r="E2287" t="str">
        <f>"00049796"</f>
        <v>00049796</v>
      </c>
      <c r="F2287">
        <v>0</v>
      </c>
      <c r="G2287" s="243">
        <v>37124</v>
      </c>
      <c r="H2287" t="s">
        <v>182</v>
      </c>
      <c r="I2287">
        <v>15</v>
      </c>
      <c r="J2287">
        <v>14</v>
      </c>
      <c r="K2287">
        <v>1</v>
      </c>
      <c r="L2287">
        <v>102160</v>
      </c>
      <c r="M2287" t="str">
        <f t="shared" si="336"/>
        <v>13</v>
      </c>
      <c r="N2287" t="s">
        <v>3323</v>
      </c>
      <c r="O2287" t="str">
        <f t="shared" si="337"/>
        <v>57911</v>
      </c>
      <c r="P2287" t="str">
        <f t="shared" si="340"/>
        <v>2100L</v>
      </c>
      <c r="Q2287" t="str">
        <f t="shared" si="338"/>
        <v>0101</v>
      </c>
      <c r="R2287">
        <v>2100</v>
      </c>
      <c r="S2287" t="str">
        <f t="shared" si="339"/>
        <v>5790</v>
      </c>
      <c r="T2287" t="s">
        <v>3650</v>
      </c>
      <c r="U2287" t="s">
        <v>55</v>
      </c>
    </row>
    <row r="2288" spans="1:21" ht="15" customHeight="1" x14ac:dyDescent="0.3">
      <c r="A2288" t="s">
        <v>179</v>
      </c>
      <c r="B2288" t="str">
        <f>"00074562"</f>
        <v>00074562</v>
      </c>
      <c r="C2288" t="s">
        <v>4262</v>
      </c>
      <c r="H2288" t="s">
        <v>170</v>
      </c>
      <c r="I2288">
        <v>15</v>
      </c>
      <c r="J2288">
        <v>1</v>
      </c>
      <c r="K2288">
        <v>1</v>
      </c>
      <c r="L2288">
        <v>54975</v>
      </c>
      <c r="M2288" t="str">
        <f t="shared" si="336"/>
        <v>13</v>
      </c>
      <c r="N2288" t="s">
        <v>3323</v>
      </c>
      <c r="O2288" t="str">
        <f t="shared" si="337"/>
        <v>57911</v>
      </c>
      <c r="P2288" t="str">
        <f t="shared" si="340"/>
        <v>2100L</v>
      </c>
      <c r="Q2288" t="str">
        <f t="shared" si="338"/>
        <v>0101</v>
      </c>
      <c r="R2288">
        <v>2100</v>
      </c>
      <c r="S2288" t="str">
        <f t="shared" si="339"/>
        <v>5790</v>
      </c>
      <c r="T2288" t="s">
        <v>3650</v>
      </c>
      <c r="U2288" t="s">
        <v>55</v>
      </c>
    </row>
    <row r="2289" spans="1:21" ht="15" customHeight="1" x14ac:dyDescent="0.3">
      <c r="A2289" t="s">
        <v>179</v>
      </c>
      <c r="B2289" t="str">
        <f>"00074626"</f>
        <v>00074626</v>
      </c>
      <c r="C2289" t="s">
        <v>200</v>
      </c>
      <c r="D2289" t="s">
        <v>1818</v>
      </c>
      <c r="E2289" t="str">
        <f>"00047132"</f>
        <v>00047132</v>
      </c>
      <c r="F2289">
        <v>0</v>
      </c>
      <c r="G2289" s="243">
        <v>37130</v>
      </c>
      <c r="H2289" t="s">
        <v>182</v>
      </c>
      <c r="I2289">
        <v>15</v>
      </c>
      <c r="J2289">
        <v>10</v>
      </c>
      <c r="K2289">
        <v>1</v>
      </c>
      <c r="L2289">
        <v>78273</v>
      </c>
      <c r="M2289" t="str">
        <f t="shared" si="336"/>
        <v>13</v>
      </c>
      <c r="N2289" t="s">
        <v>3323</v>
      </c>
      <c r="O2289" t="str">
        <f t="shared" si="337"/>
        <v>57911</v>
      </c>
      <c r="P2289" t="str">
        <f t="shared" si="340"/>
        <v>2100L</v>
      </c>
      <c r="Q2289" t="str">
        <f t="shared" si="338"/>
        <v>0101</v>
      </c>
      <c r="R2289">
        <v>2100</v>
      </c>
      <c r="S2289" t="str">
        <f t="shared" si="339"/>
        <v>5790</v>
      </c>
      <c r="T2289" t="s">
        <v>3650</v>
      </c>
      <c r="U2289" t="s">
        <v>55</v>
      </c>
    </row>
    <row r="2290" spans="1:21" ht="15" customHeight="1" x14ac:dyDescent="0.3">
      <c r="A2290" t="s">
        <v>179</v>
      </c>
      <c r="B2290" t="str">
        <f>"00075773"</f>
        <v>00075773</v>
      </c>
      <c r="C2290" t="s">
        <v>4438</v>
      </c>
      <c r="D2290" t="s">
        <v>4983</v>
      </c>
      <c r="E2290" t="str">
        <f>"00070510"</f>
        <v>00070510</v>
      </c>
      <c r="F2290">
        <v>0</v>
      </c>
      <c r="G2290" s="243">
        <v>41183</v>
      </c>
      <c r="H2290" t="s">
        <v>182</v>
      </c>
      <c r="I2290">
        <v>11</v>
      </c>
      <c r="J2290">
        <v>5</v>
      </c>
      <c r="K2290">
        <v>1</v>
      </c>
      <c r="L2290">
        <v>70020</v>
      </c>
      <c r="M2290" t="str">
        <f t="shared" si="336"/>
        <v>13</v>
      </c>
      <c r="N2290" t="s">
        <v>3370</v>
      </c>
      <c r="O2290" t="str">
        <f t="shared" si="337"/>
        <v>57911</v>
      </c>
      <c r="P2290" t="str">
        <f t="shared" si="340"/>
        <v>2100L</v>
      </c>
      <c r="Q2290" t="str">
        <f t="shared" si="338"/>
        <v>0101</v>
      </c>
      <c r="R2290">
        <v>2100</v>
      </c>
      <c r="S2290" t="str">
        <f t="shared" si="339"/>
        <v>5790</v>
      </c>
      <c r="T2290" t="s">
        <v>3840</v>
      </c>
      <c r="U2290" t="s">
        <v>4269</v>
      </c>
    </row>
    <row r="2291" spans="1:21" ht="15" customHeight="1" x14ac:dyDescent="0.3">
      <c r="A2291" t="s">
        <v>179</v>
      </c>
      <c r="B2291" t="str">
        <f>"00076251"</f>
        <v>00076251</v>
      </c>
      <c r="C2291" t="s">
        <v>4271</v>
      </c>
      <c r="D2291" t="s">
        <v>4984</v>
      </c>
      <c r="E2291" t="str">
        <f>"00046345"</f>
        <v>00046345</v>
      </c>
      <c r="F2291">
        <v>0</v>
      </c>
      <c r="G2291" s="243">
        <v>38349</v>
      </c>
      <c r="H2291" t="s">
        <v>182</v>
      </c>
      <c r="I2291">
        <v>15</v>
      </c>
      <c r="J2291">
        <v>10</v>
      </c>
      <c r="K2291">
        <v>1</v>
      </c>
      <c r="L2291">
        <v>83199</v>
      </c>
      <c r="M2291" t="str">
        <f t="shared" si="336"/>
        <v>13</v>
      </c>
      <c r="N2291" t="s">
        <v>3323</v>
      </c>
      <c r="O2291" t="str">
        <f t="shared" si="337"/>
        <v>57911</v>
      </c>
      <c r="P2291" t="str">
        <f t="shared" si="340"/>
        <v>2100L</v>
      </c>
      <c r="Q2291" t="str">
        <f t="shared" si="338"/>
        <v>0101</v>
      </c>
      <c r="R2291">
        <v>2100</v>
      </c>
      <c r="S2291" t="str">
        <f t="shared" si="339"/>
        <v>5790</v>
      </c>
      <c r="T2291" t="s">
        <v>3650</v>
      </c>
      <c r="U2291" t="s">
        <v>55</v>
      </c>
    </row>
    <row r="2292" spans="1:21" ht="15" customHeight="1" x14ac:dyDescent="0.3">
      <c r="A2292" t="s">
        <v>179</v>
      </c>
      <c r="B2292" t="str">
        <f>"00076548"</f>
        <v>00076548</v>
      </c>
      <c r="C2292" t="s">
        <v>4290</v>
      </c>
      <c r="D2292" t="s">
        <v>4985</v>
      </c>
      <c r="E2292" t="str">
        <f>"00051787"</f>
        <v>00051787</v>
      </c>
      <c r="F2292">
        <v>0</v>
      </c>
      <c r="G2292" s="243">
        <v>35898</v>
      </c>
      <c r="H2292" t="s">
        <v>182</v>
      </c>
      <c r="I2292">
        <v>4</v>
      </c>
      <c r="J2292">
        <v>10</v>
      </c>
      <c r="K2292">
        <v>0.71</v>
      </c>
      <c r="L2292">
        <v>28721</v>
      </c>
      <c r="M2292" t="str">
        <f t="shared" si="336"/>
        <v>13</v>
      </c>
      <c r="N2292" t="s">
        <v>3370</v>
      </c>
      <c r="O2292" t="str">
        <f t="shared" si="337"/>
        <v>57911</v>
      </c>
      <c r="P2292" t="str">
        <f>"3030L"</f>
        <v>3030L</v>
      </c>
      <c r="Q2292" t="str">
        <f t="shared" si="338"/>
        <v>0101</v>
      </c>
      <c r="R2292">
        <v>3030</v>
      </c>
      <c r="S2292" t="str">
        <f t="shared" si="339"/>
        <v>5790</v>
      </c>
      <c r="T2292" t="s">
        <v>3650</v>
      </c>
      <c r="U2292" t="s">
        <v>55</v>
      </c>
    </row>
    <row r="2293" spans="1:21" ht="15" customHeight="1" x14ac:dyDescent="0.3">
      <c r="A2293" t="s">
        <v>179</v>
      </c>
      <c r="B2293" t="str">
        <f>"00053171"</f>
        <v>00053171</v>
      </c>
      <c r="C2293" t="s">
        <v>4272</v>
      </c>
      <c r="D2293" t="s">
        <v>1951</v>
      </c>
      <c r="E2293" t="str">
        <f>"00051055"</f>
        <v>00051055</v>
      </c>
      <c r="F2293">
        <v>0</v>
      </c>
      <c r="G2293" s="243">
        <v>31831</v>
      </c>
      <c r="H2293" t="s">
        <v>182</v>
      </c>
      <c r="I2293">
        <v>15</v>
      </c>
      <c r="J2293">
        <v>16</v>
      </c>
      <c r="K2293">
        <v>1</v>
      </c>
      <c r="L2293">
        <v>103347</v>
      </c>
      <c r="M2293" t="str">
        <f t="shared" si="336"/>
        <v>13</v>
      </c>
      <c r="N2293" t="s">
        <v>3323</v>
      </c>
      <c r="O2293" t="str">
        <f t="shared" ref="O2293:O2328" si="341">"58011"</f>
        <v>58011</v>
      </c>
      <c r="P2293" t="str">
        <f>"2100L"</f>
        <v>2100L</v>
      </c>
      <c r="Q2293" t="str">
        <f t="shared" si="338"/>
        <v>0101</v>
      </c>
      <c r="R2293">
        <v>2100</v>
      </c>
      <c r="S2293" t="str">
        <f t="shared" ref="S2293:S2328" si="342">"5800"</f>
        <v>5800</v>
      </c>
      <c r="T2293" t="s">
        <v>3653</v>
      </c>
      <c r="U2293" t="s">
        <v>1950</v>
      </c>
    </row>
    <row r="2294" spans="1:21" ht="15" customHeight="1" x14ac:dyDescent="0.3">
      <c r="A2294" t="s">
        <v>179</v>
      </c>
      <c r="B2294" t="str">
        <f>"00053209"</f>
        <v>00053209</v>
      </c>
      <c r="C2294" t="s">
        <v>4299</v>
      </c>
      <c r="D2294" t="s">
        <v>4986</v>
      </c>
      <c r="E2294" t="str">
        <f>"00051103"</f>
        <v>00051103</v>
      </c>
      <c r="F2294">
        <v>0</v>
      </c>
      <c r="G2294" s="243">
        <v>32881</v>
      </c>
      <c r="H2294" t="s">
        <v>182</v>
      </c>
      <c r="I2294">
        <v>7</v>
      </c>
      <c r="J2294">
        <v>8</v>
      </c>
      <c r="K2294">
        <v>1</v>
      </c>
      <c r="L2294">
        <v>43727</v>
      </c>
      <c r="M2294" t="str">
        <f t="shared" si="336"/>
        <v>13</v>
      </c>
      <c r="N2294" t="s">
        <v>3323</v>
      </c>
      <c r="O2294" t="str">
        <f t="shared" si="341"/>
        <v>58011</v>
      </c>
      <c r="P2294" t="str">
        <f>"1502L"</f>
        <v>1502L</v>
      </c>
      <c r="Q2294" t="str">
        <f t="shared" si="338"/>
        <v>0101</v>
      </c>
      <c r="R2294">
        <v>1502</v>
      </c>
      <c r="S2294" t="str">
        <f t="shared" si="342"/>
        <v>5800</v>
      </c>
      <c r="T2294" t="s">
        <v>3653</v>
      </c>
      <c r="U2294" t="s">
        <v>1950</v>
      </c>
    </row>
    <row r="2295" spans="1:21" ht="15" customHeight="1" x14ac:dyDescent="0.3">
      <c r="A2295" t="s">
        <v>179</v>
      </c>
      <c r="B2295" t="str">
        <f>"00053281"</f>
        <v>00053281</v>
      </c>
      <c r="C2295" t="s">
        <v>4272</v>
      </c>
      <c r="D2295" t="s">
        <v>1952</v>
      </c>
      <c r="E2295" t="str">
        <f>"00016476"</f>
        <v>00016476</v>
      </c>
      <c r="F2295">
        <v>1</v>
      </c>
      <c r="G2295" s="243">
        <v>33484</v>
      </c>
      <c r="H2295" t="s">
        <v>182</v>
      </c>
      <c r="I2295">
        <v>15</v>
      </c>
      <c r="J2295">
        <v>16</v>
      </c>
      <c r="K2295">
        <v>1</v>
      </c>
      <c r="L2295">
        <v>103347</v>
      </c>
      <c r="M2295" t="str">
        <f t="shared" si="336"/>
        <v>13</v>
      </c>
      <c r="N2295" t="s">
        <v>3323</v>
      </c>
      <c r="O2295" t="str">
        <f t="shared" si="341"/>
        <v>58011</v>
      </c>
      <c r="P2295" t="str">
        <f t="shared" ref="P2295:P2304" si="343">"2100L"</f>
        <v>2100L</v>
      </c>
      <c r="Q2295" t="str">
        <f t="shared" si="338"/>
        <v>0101</v>
      </c>
      <c r="R2295">
        <v>2100</v>
      </c>
      <c r="S2295" t="str">
        <f t="shared" si="342"/>
        <v>5800</v>
      </c>
      <c r="T2295" t="s">
        <v>3653</v>
      </c>
      <c r="U2295" t="s">
        <v>1950</v>
      </c>
    </row>
    <row r="2296" spans="1:21" ht="15" customHeight="1" x14ac:dyDescent="0.3">
      <c r="A2296" t="s">
        <v>179</v>
      </c>
      <c r="B2296" t="str">
        <f>"00053409"</f>
        <v>00053409</v>
      </c>
      <c r="C2296" t="s">
        <v>4274</v>
      </c>
      <c r="D2296" t="s">
        <v>4987</v>
      </c>
      <c r="E2296" t="str">
        <f>"00051433"</f>
        <v>00051433</v>
      </c>
      <c r="F2296">
        <v>0</v>
      </c>
      <c r="G2296" s="243">
        <v>35034</v>
      </c>
      <c r="H2296" t="s">
        <v>182</v>
      </c>
      <c r="I2296">
        <v>4</v>
      </c>
      <c r="J2296">
        <v>10</v>
      </c>
      <c r="K2296">
        <v>0.875</v>
      </c>
      <c r="L2296">
        <v>28721</v>
      </c>
      <c r="M2296" t="str">
        <f t="shared" si="336"/>
        <v>13</v>
      </c>
      <c r="N2296" t="s">
        <v>3323</v>
      </c>
      <c r="O2296" t="str">
        <f t="shared" si="341"/>
        <v>58011</v>
      </c>
      <c r="P2296" t="str">
        <f t="shared" si="343"/>
        <v>2100L</v>
      </c>
      <c r="Q2296" t="str">
        <f t="shared" si="338"/>
        <v>0101</v>
      </c>
      <c r="R2296">
        <v>2100</v>
      </c>
      <c r="S2296" t="str">
        <f t="shared" si="342"/>
        <v>5800</v>
      </c>
      <c r="T2296" t="s">
        <v>3653</v>
      </c>
      <c r="U2296" t="s">
        <v>1950</v>
      </c>
    </row>
    <row r="2297" spans="1:21" ht="15" customHeight="1" x14ac:dyDescent="0.3">
      <c r="A2297" t="s">
        <v>179</v>
      </c>
      <c r="B2297" t="str">
        <f>"00053493"</f>
        <v>00053493</v>
      </c>
      <c r="C2297" t="s">
        <v>4290</v>
      </c>
      <c r="H2297" t="s">
        <v>170</v>
      </c>
      <c r="I2297">
        <v>4</v>
      </c>
      <c r="J2297">
        <v>1</v>
      </c>
      <c r="K2297">
        <v>0.875</v>
      </c>
      <c r="L2297">
        <v>25662</v>
      </c>
      <c r="M2297" t="str">
        <f t="shared" si="336"/>
        <v>13</v>
      </c>
      <c r="N2297" t="s">
        <v>3323</v>
      </c>
      <c r="O2297" t="str">
        <f t="shared" si="341"/>
        <v>58011</v>
      </c>
      <c r="P2297" t="str">
        <f t="shared" si="343"/>
        <v>2100L</v>
      </c>
      <c r="Q2297" t="str">
        <f t="shared" si="338"/>
        <v>0101</v>
      </c>
      <c r="R2297">
        <v>2100</v>
      </c>
      <c r="S2297" t="str">
        <f t="shared" si="342"/>
        <v>5800</v>
      </c>
      <c r="T2297" t="s">
        <v>3653</v>
      </c>
      <c r="U2297" t="s">
        <v>1950</v>
      </c>
    </row>
    <row r="2298" spans="1:21" ht="15" customHeight="1" x14ac:dyDescent="0.3">
      <c r="A2298" t="s">
        <v>179</v>
      </c>
      <c r="B2298" t="str">
        <f>"00054432"</f>
        <v>00054432</v>
      </c>
      <c r="C2298" t="s">
        <v>4274</v>
      </c>
      <c r="D2298" t="s">
        <v>4988</v>
      </c>
      <c r="E2298" t="str">
        <f>"00054020"</f>
        <v>00054020</v>
      </c>
      <c r="F2298">
        <v>0</v>
      </c>
      <c r="G2298" s="243">
        <v>29108</v>
      </c>
      <c r="H2298" t="s">
        <v>182</v>
      </c>
      <c r="I2298">
        <v>4</v>
      </c>
      <c r="J2298">
        <v>10</v>
      </c>
      <c r="K2298">
        <v>0.875</v>
      </c>
      <c r="L2298">
        <v>28721</v>
      </c>
      <c r="M2298" t="str">
        <f t="shared" si="336"/>
        <v>13</v>
      </c>
      <c r="N2298" t="s">
        <v>3323</v>
      </c>
      <c r="O2298" t="str">
        <f t="shared" si="341"/>
        <v>58011</v>
      </c>
      <c r="P2298" t="str">
        <f t="shared" si="343"/>
        <v>2100L</v>
      </c>
      <c r="Q2298" t="str">
        <f t="shared" si="338"/>
        <v>0101</v>
      </c>
      <c r="R2298">
        <v>2100</v>
      </c>
      <c r="S2298" t="str">
        <f t="shared" si="342"/>
        <v>5800</v>
      </c>
      <c r="T2298" t="s">
        <v>3653</v>
      </c>
      <c r="U2298" t="s">
        <v>1950</v>
      </c>
    </row>
    <row r="2299" spans="1:21" ht="15" customHeight="1" x14ac:dyDescent="0.3">
      <c r="A2299" t="s">
        <v>179</v>
      </c>
      <c r="B2299" t="str">
        <f>"00054772"</f>
        <v>00054772</v>
      </c>
      <c r="C2299" t="s">
        <v>4274</v>
      </c>
      <c r="D2299" t="s">
        <v>4989</v>
      </c>
      <c r="E2299" t="str">
        <f>"00054602"</f>
        <v>00054602</v>
      </c>
      <c r="F2299">
        <v>0</v>
      </c>
      <c r="G2299" s="243">
        <v>33162</v>
      </c>
      <c r="H2299" t="s">
        <v>182</v>
      </c>
      <c r="I2299">
        <v>4</v>
      </c>
      <c r="J2299">
        <v>10</v>
      </c>
      <c r="K2299">
        <v>0.875</v>
      </c>
      <c r="L2299">
        <v>28721</v>
      </c>
      <c r="M2299" t="str">
        <f t="shared" ref="M2299:M2353" si="344">"13"</f>
        <v>13</v>
      </c>
      <c r="N2299" t="s">
        <v>3323</v>
      </c>
      <c r="O2299" t="str">
        <f t="shared" si="341"/>
        <v>58011</v>
      </c>
      <c r="P2299" t="str">
        <f t="shared" si="343"/>
        <v>2100L</v>
      </c>
      <c r="Q2299" t="str">
        <f t="shared" si="338"/>
        <v>0101</v>
      </c>
      <c r="R2299">
        <v>2100</v>
      </c>
      <c r="S2299" t="str">
        <f t="shared" si="342"/>
        <v>5800</v>
      </c>
      <c r="T2299" t="s">
        <v>3653</v>
      </c>
      <c r="U2299" t="s">
        <v>1950</v>
      </c>
    </row>
    <row r="2300" spans="1:21" ht="15" customHeight="1" x14ac:dyDescent="0.3">
      <c r="A2300" t="s">
        <v>179</v>
      </c>
      <c r="B2300" t="str">
        <f>"00054798"</f>
        <v>00054798</v>
      </c>
      <c r="C2300" t="s">
        <v>4288</v>
      </c>
      <c r="D2300" t="s">
        <v>4990</v>
      </c>
      <c r="E2300" t="str">
        <f>"00054653"</f>
        <v>00054653</v>
      </c>
      <c r="F2300">
        <v>0</v>
      </c>
      <c r="G2300" s="243">
        <v>33350</v>
      </c>
      <c r="H2300" t="s">
        <v>182</v>
      </c>
      <c r="I2300">
        <v>4</v>
      </c>
      <c r="J2300">
        <v>10</v>
      </c>
      <c r="K2300">
        <v>0.875</v>
      </c>
      <c r="L2300">
        <v>28721</v>
      </c>
      <c r="M2300" t="str">
        <f t="shared" si="344"/>
        <v>13</v>
      </c>
      <c r="N2300" t="s">
        <v>3323</v>
      </c>
      <c r="O2300" t="str">
        <f t="shared" si="341"/>
        <v>58011</v>
      </c>
      <c r="P2300" t="str">
        <f t="shared" si="343"/>
        <v>2100L</v>
      </c>
      <c r="Q2300" t="str">
        <f t="shared" si="338"/>
        <v>0101</v>
      </c>
      <c r="R2300">
        <v>2100</v>
      </c>
      <c r="S2300" t="str">
        <f t="shared" si="342"/>
        <v>5800</v>
      </c>
      <c r="T2300" t="s">
        <v>3653</v>
      </c>
      <c r="U2300" t="s">
        <v>1950</v>
      </c>
    </row>
    <row r="2301" spans="1:21" ht="15" customHeight="1" x14ac:dyDescent="0.3">
      <c r="A2301" t="s">
        <v>179</v>
      </c>
      <c r="B2301" t="str">
        <f>"00056753"</f>
        <v>00056753</v>
      </c>
      <c r="C2301" t="s">
        <v>4274</v>
      </c>
      <c r="D2301" t="s">
        <v>4991</v>
      </c>
      <c r="E2301" t="str">
        <f>"00052921"</f>
        <v>00052921</v>
      </c>
      <c r="F2301">
        <v>0</v>
      </c>
      <c r="G2301" s="243">
        <v>36431</v>
      </c>
      <c r="H2301" t="s">
        <v>182</v>
      </c>
      <c r="I2301">
        <v>4</v>
      </c>
      <c r="J2301">
        <v>9</v>
      </c>
      <c r="K2301">
        <v>0.875</v>
      </c>
      <c r="L2301">
        <v>28025.38</v>
      </c>
      <c r="M2301" t="str">
        <f t="shared" si="344"/>
        <v>13</v>
      </c>
      <c r="N2301" t="s">
        <v>3323</v>
      </c>
      <c r="O2301" t="str">
        <f t="shared" si="341"/>
        <v>58011</v>
      </c>
      <c r="P2301" t="str">
        <f t="shared" si="343"/>
        <v>2100L</v>
      </c>
      <c r="Q2301" t="str">
        <f t="shared" si="338"/>
        <v>0101</v>
      </c>
      <c r="R2301">
        <v>2100</v>
      </c>
      <c r="S2301" t="str">
        <f t="shared" si="342"/>
        <v>5800</v>
      </c>
      <c r="T2301" t="s">
        <v>3653</v>
      </c>
      <c r="U2301" t="s">
        <v>1950</v>
      </c>
    </row>
    <row r="2302" spans="1:21" ht="15" customHeight="1" x14ac:dyDescent="0.3">
      <c r="A2302" t="s">
        <v>179</v>
      </c>
      <c r="B2302" t="str">
        <f>"00056951"</f>
        <v>00056951</v>
      </c>
      <c r="C2302" t="s">
        <v>4272</v>
      </c>
      <c r="D2302" t="s">
        <v>3655</v>
      </c>
      <c r="E2302" t="str">
        <f>"00066473"</f>
        <v>00066473</v>
      </c>
      <c r="F2302">
        <v>0</v>
      </c>
      <c r="G2302" s="243">
        <v>40769</v>
      </c>
      <c r="H2302" t="s">
        <v>182</v>
      </c>
      <c r="I2302">
        <v>15</v>
      </c>
      <c r="J2302">
        <v>4</v>
      </c>
      <c r="K2302">
        <v>1</v>
      </c>
      <c r="L2302">
        <v>54725</v>
      </c>
      <c r="M2302" t="str">
        <f t="shared" si="344"/>
        <v>13</v>
      </c>
      <c r="N2302" t="s">
        <v>3323</v>
      </c>
      <c r="O2302" t="str">
        <f t="shared" si="341"/>
        <v>58011</v>
      </c>
      <c r="P2302" t="str">
        <f t="shared" si="343"/>
        <v>2100L</v>
      </c>
      <c r="Q2302" t="str">
        <f t="shared" si="338"/>
        <v>0101</v>
      </c>
      <c r="R2302">
        <v>2100</v>
      </c>
      <c r="S2302" t="str">
        <f t="shared" si="342"/>
        <v>5800</v>
      </c>
      <c r="T2302" t="s">
        <v>3653</v>
      </c>
      <c r="U2302" t="s">
        <v>1950</v>
      </c>
    </row>
    <row r="2303" spans="1:21" ht="15" customHeight="1" x14ac:dyDescent="0.3">
      <c r="A2303" t="s">
        <v>179</v>
      </c>
      <c r="B2303" t="str">
        <f>"00057750"</f>
        <v>00057750</v>
      </c>
      <c r="C2303" t="s">
        <v>4260</v>
      </c>
      <c r="D2303" t="s">
        <v>1955</v>
      </c>
      <c r="E2303" t="str">
        <f>"00049413"</f>
        <v>00049413</v>
      </c>
      <c r="F2303">
        <v>0</v>
      </c>
      <c r="G2303" s="243">
        <v>37132</v>
      </c>
      <c r="H2303" t="s">
        <v>182</v>
      </c>
      <c r="I2303">
        <v>15</v>
      </c>
      <c r="J2303">
        <v>12</v>
      </c>
      <c r="K2303">
        <v>1</v>
      </c>
      <c r="L2303">
        <v>87431</v>
      </c>
      <c r="M2303" t="str">
        <f t="shared" si="344"/>
        <v>13</v>
      </c>
      <c r="N2303" t="s">
        <v>3323</v>
      </c>
      <c r="O2303" t="str">
        <f t="shared" si="341"/>
        <v>58011</v>
      </c>
      <c r="P2303" t="str">
        <f t="shared" si="343"/>
        <v>2100L</v>
      </c>
      <c r="Q2303" t="str">
        <f t="shared" si="338"/>
        <v>0101</v>
      </c>
      <c r="R2303">
        <v>2100</v>
      </c>
      <c r="S2303" t="str">
        <f t="shared" si="342"/>
        <v>5800</v>
      </c>
      <c r="T2303" t="s">
        <v>3653</v>
      </c>
      <c r="U2303" t="s">
        <v>1950</v>
      </c>
    </row>
    <row r="2304" spans="1:21" ht="15" customHeight="1" x14ac:dyDescent="0.3">
      <c r="A2304" t="s">
        <v>179</v>
      </c>
      <c r="B2304" t="str">
        <f>"00058050"</f>
        <v>00058050</v>
      </c>
      <c r="C2304" t="s">
        <v>4272</v>
      </c>
      <c r="D2304" t="s">
        <v>1956</v>
      </c>
      <c r="E2304" t="str">
        <f>"00049021"</f>
        <v>00049021</v>
      </c>
      <c r="F2304">
        <v>0</v>
      </c>
      <c r="G2304" s="243">
        <v>37124</v>
      </c>
      <c r="H2304" t="s">
        <v>182</v>
      </c>
      <c r="I2304">
        <v>15</v>
      </c>
      <c r="J2304">
        <v>16</v>
      </c>
      <c r="K2304">
        <v>1</v>
      </c>
      <c r="L2304">
        <v>103347</v>
      </c>
      <c r="M2304" t="str">
        <f t="shared" si="344"/>
        <v>13</v>
      </c>
      <c r="N2304" t="s">
        <v>3323</v>
      </c>
      <c r="O2304" t="str">
        <f t="shared" si="341"/>
        <v>58011</v>
      </c>
      <c r="P2304" t="str">
        <f t="shared" si="343"/>
        <v>2100L</v>
      </c>
      <c r="Q2304" t="str">
        <f t="shared" si="338"/>
        <v>0101</v>
      </c>
      <c r="R2304">
        <v>2100</v>
      </c>
      <c r="S2304" t="str">
        <f t="shared" si="342"/>
        <v>5800</v>
      </c>
      <c r="T2304" t="s">
        <v>3653</v>
      </c>
      <c r="U2304" t="s">
        <v>1950</v>
      </c>
    </row>
    <row r="2305" spans="1:21" ht="15" customHeight="1" x14ac:dyDescent="0.3">
      <c r="A2305" t="s">
        <v>179</v>
      </c>
      <c r="B2305" t="str">
        <f>"00058091"</f>
        <v>00058091</v>
      </c>
      <c r="C2305" t="s">
        <v>3670</v>
      </c>
      <c r="D2305" t="s">
        <v>1958</v>
      </c>
      <c r="E2305" t="str">
        <f>"00049956"</f>
        <v>00049956</v>
      </c>
      <c r="F2305">
        <v>0</v>
      </c>
      <c r="G2305" s="243">
        <v>35305</v>
      </c>
      <c r="H2305" t="s">
        <v>182</v>
      </c>
      <c r="I2305">
        <v>8</v>
      </c>
      <c r="J2305">
        <v>6</v>
      </c>
      <c r="K2305">
        <v>1</v>
      </c>
      <c r="L2305">
        <v>94825</v>
      </c>
      <c r="M2305" t="str">
        <f t="shared" si="344"/>
        <v>13</v>
      </c>
      <c r="N2305" t="s">
        <v>3323</v>
      </c>
      <c r="O2305" t="str">
        <f t="shared" si="341"/>
        <v>58011</v>
      </c>
      <c r="P2305" t="str">
        <f>"1501L"</f>
        <v>1501L</v>
      </c>
      <c r="Q2305" t="str">
        <f t="shared" si="338"/>
        <v>0101</v>
      </c>
      <c r="R2305">
        <v>1501</v>
      </c>
      <c r="S2305" t="str">
        <f t="shared" si="342"/>
        <v>5800</v>
      </c>
      <c r="T2305" t="s">
        <v>3653</v>
      </c>
      <c r="U2305" t="s">
        <v>1950</v>
      </c>
    </row>
    <row r="2306" spans="1:21" ht="15" customHeight="1" x14ac:dyDescent="0.3">
      <c r="A2306" t="s">
        <v>179</v>
      </c>
      <c r="B2306" t="str">
        <f>"00058235"</f>
        <v>00058235</v>
      </c>
      <c r="C2306" t="s">
        <v>4274</v>
      </c>
      <c r="D2306" t="s">
        <v>4992</v>
      </c>
      <c r="E2306" t="str">
        <f>"00046522"</f>
        <v>00046522</v>
      </c>
      <c r="F2306">
        <v>0</v>
      </c>
      <c r="G2306" s="243">
        <v>37158</v>
      </c>
      <c r="H2306" t="s">
        <v>182</v>
      </c>
      <c r="I2306">
        <v>4</v>
      </c>
      <c r="J2306">
        <v>8</v>
      </c>
      <c r="K2306">
        <v>0.875</v>
      </c>
      <c r="L2306">
        <v>27329.75</v>
      </c>
      <c r="M2306" t="str">
        <f t="shared" si="344"/>
        <v>13</v>
      </c>
      <c r="N2306" t="s">
        <v>3323</v>
      </c>
      <c r="O2306" t="str">
        <f t="shared" si="341"/>
        <v>58011</v>
      </c>
      <c r="P2306" t="str">
        <f>"2100L"</f>
        <v>2100L</v>
      </c>
      <c r="Q2306" t="str">
        <f t="shared" si="338"/>
        <v>0101</v>
      </c>
      <c r="R2306">
        <v>2100</v>
      </c>
      <c r="S2306" t="str">
        <f t="shared" si="342"/>
        <v>5800</v>
      </c>
      <c r="T2306" t="s">
        <v>3653</v>
      </c>
      <c r="U2306" t="s">
        <v>1950</v>
      </c>
    </row>
    <row r="2307" spans="1:21" ht="15" customHeight="1" x14ac:dyDescent="0.3">
      <c r="A2307" t="s">
        <v>179</v>
      </c>
      <c r="B2307" t="str">
        <f>"00058596"</f>
        <v>00058596</v>
      </c>
      <c r="C2307" t="s">
        <v>4272</v>
      </c>
      <c r="D2307" t="s">
        <v>2726</v>
      </c>
      <c r="E2307" t="str">
        <f>"00062666"</f>
        <v>00062666</v>
      </c>
      <c r="F2307">
        <v>0</v>
      </c>
      <c r="G2307" s="243">
        <v>40406</v>
      </c>
      <c r="H2307" t="s">
        <v>182</v>
      </c>
      <c r="I2307">
        <v>15</v>
      </c>
      <c r="J2307">
        <v>3</v>
      </c>
      <c r="K2307">
        <v>1</v>
      </c>
      <c r="L2307">
        <v>52777</v>
      </c>
      <c r="M2307" t="str">
        <f t="shared" si="344"/>
        <v>13</v>
      </c>
      <c r="N2307" t="s">
        <v>3323</v>
      </c>
      <c r="O2307" t="str">
        <f t="shared" si="341"/>
        <v>58011</v>
      </c>
      <c r="P2307" t="str">
        <f>"2100L"</f>
        <v>2100L</v>
      </c>
      <c r="Q2307" t="str">
        <f t="shared" si="338"/>
        <v>0101</v>
      </c>
      <c r="R2307">
        <v>2100</v>
      </c>
      <c r="S2307" t="str">
        <f t="shared" si="342"/>
        <v>5800</v>
      </c>
      <c r="T2307" t="s">
        <v>3653</v>
      </c>
      <c r="U2307" t="s">
        <v>1950</v>
      </c>
    </row>
    <row r="2308" spans="1:21" ht="15" customHeight="1" x14ac:dyDescent="0.3">
      <c r="A2308" t="s">
        <v>179</v>
      </c>
      <c r="B2308" t="str">
        <f>"00059352"</f>
        <v>00059352</v>
      </c>
      <c r="C2308" t="s">
        <v>4272</v>
      </c>
      <c r="D2308" t="s">
        <v>1959</v>
      </c>
      <c r="E2308" t="str">
        <f>"00044975"</f>
        <v>00044975</v>
      </c>
      <c r="F2308">
        <v>0</v>
      </c>
      <c r="G2308" s="243">
        <v>37861</v>
      </c>
      <c r="H2308" t="s">
        <v>182</v>
      </c>
      <c r="I2308">
        <v>15</v>
      </c>
      <c r="J2308">
        <v>12</v>
      </c>
      <c r="K2308">
        <v>1</v>
      </c>
      <c r="L2308">
        <v>87431</v>
      </c>
      <c r="M2308" t="str">
        <f t="shared" si="344"/>
        <v>13</v>
      </c>
      <c r="N2308" t="s">
        <v>3323</v>
      </c>
      <c r="O2308" t="str">
        <f t="shared" si="341"/>
        <v>58011</v>
      </c>
      <c r="P2308" t="str">
        <f>"2100L"</f>
        <v>2100L</v>
      </c>
      <c r="Q2308" t="str">
        <f t="shared" si="338"/>
        <v>0101</v>
      </c>
      <c r="R2308">
        <v>2100</v>
      </c>
      <c r="S2308" t="str">
        <f t="shared" si="342"/>
        <v>5800</v>
      </c>
      <c r="T2308" t="s">
        <v>3653</v>
      </c>
      <c r="U2308" t="s">
        <v>1950</v>
      </c>
    </row>
    <row r="2309" spans="1:21" ht="15" customHeight="1" x14ac:dyDescent="0.3">
      <c r="A2309" t="s">
        <v>179</v>
      </c>
      <c r="B2309" t="str">
        <f>"00059576"</f>
        <v>00059576</v>
      </c>
      <c r="C2309" t="s">
        <v>4288</v>
      </c>
      <c r="D2309" t="s">
        <v>4993</v>
      </c>
      <c r="E2309" t="str">
        <f>"00066382"</f>
        <v>00066382</v>
      </c>
      <c r="F2309">
        <v>0</v>
      </c>
      <c r="G2309" s="243">
        <v>40770</v>
      </c>
      <c r="H2309" t="s">
        <v>182</v>
      </c>
      <c r="I2309">
        <v>4</v>
      </c>
      <c r="J2309">
        <v>8</v>
      </c>
      <c r="K2309">
        <v>0.875</v>
      </c>
      <c r="L2309">
        <v>27329.75</v>
      </c>
      <c r="M2309" t="str">
        <f t="shared" si="344"/>
        <v>13</v>
      </c>
      <c r="N2309" t="s">
        <v>3370</v>
      </c>
      <c r="O2309" t="str">
        <f t="shared" si="341"/>
        <v>58011</v>
      </c>
      <c r="P2309" t="str">
        <f>"2100L"</f>
        <v>2100L</v>
      </c>
      <c r="Q2309" t="str">
        <f t="shared" si="338"/>
        <v>0101</v>
      </c>
      <c r="R2309">
        <v>2100</v>
      </c>
      <c r="S2309" t="str">
        <f t="shared" si="342"/>
        <v>5800</v>
      </c>
      <c r="T2309" t="s">
        <v>3653</v>
      </c>
      <c r="U2309" t="s">
        <v>1950</v>
      </c>
    </row>
    <row r="2310" spans="1:21" ht="15" customHeight="1" x14ac:dyDescent="0.3">
      <c r="A2310" t="s">
        <v>179</v>
      </c>
      <c r="B2310" t="str">
        <f>"00060104"</f>
        <v>00060104</v>
      </c>
      <c r="C2310" t="s">
        <v>4272</v>
      </c>
      <c r="D2310" t="s">
        <v>4994</v>
      </c>
      <c r="E2310" t="str">
        <f>"00044733"</f>
        <v>00044733</v>
      </c>
      <c r="F2310">
        <v>0</v>
      </c>
      <c r="G2310" s="243">
        <v>38336</v>
      </c>
      <c r="H2310" t="s">
        <v>182</v>
      </c>
      <c r="I2310">
        <v>15</v>
      </c>
      <c r="J2310">
        <v>8</v>
      </c>
      <c r="K2310">
        <v>1</v>
      </c>
      <c r="L2310">
        <v>72171</v>
      </c>
      <c r="M2310" t="str">
        <f t="shared" si="344"/>
        <v>13</v>
      </c>
      <c r="N2310" t="s">
        <v>3323</v>
      </c>
      <c r="O2310" t="str">
        <f t="shared" si="341"/>
        <v>58011</v>
      </c>
      <c r="P2310" t="str">
        <f>"2100L"</f>
        <v>2100L</v>
      </c>
      <c r="Q2310" t="str">
        <f t="shared" si="338"/>
        <v>0101</v>
      </c>
      <c r="R2310">
        <v>2100</v>
      </c>
      <c r="S2310" t="str">
        <f t="shared" si="342"/>
        <v>5800</v>
      </c>
      <c r="T2310" t="s">
        <v>3653</v>
      </c>
      <c r="U2310" t="s">
        <v>1950</v>
      </c>
    </row>
    <row r="2311" spans="1:21" ht="15" customHeight="1" x14ac:dyDescent="0.3">
      <c r="A2311" t="s">
        <v>179</v>
      </c>
      <c r="B2311" t="str">
        <f>"00060335"</f>
        <v>00060335</v>
      </c>
      <c r="C2311" t="s">
        <v>4272</v>
      </c>
      <c r="D2311" t="s">
        <v>1960</v>
      </c>
      <c r="E2311" t="str">
        <f>"00054719"</f>
        <v>00054719</v>
      </c>
      <c r="F2311">
        <v>0</v>
      </c>
      <c r="G2311" s="243">
        <v>38587</v>
      </c>
      <c r="H2311" t="s">
        <v>182</v>
      </c>
      <c r="I2311">
        <v>15</v>
      </c>
      <c r="J2311">
        <v>12</v>
      </c>
      <c r="K2311">
        <v>1</v>
      </c>
      <c r="L2311">
        <v>87431</v>
      </c>
      <c r="M2311" t="str">
        <f t="shared" si="344"/>
        <v>13</v>
      </c>
      <c r="N2311" t="s">
        <v>3323</v>
      </c>
      <c r="O2311" t="str">
        <f t="shared" si="341"/>
        <v>58011</v>
      </c>
      <c r="P2311" t="str">
        <f>"2200L"</f>
        <v>2200L</v>
      </c>
      <c r="Q2311" t="str">
        <f t="shared" si="338"/>
        <v>0101</v>
      </c>
      <c r="R2311">
        <v>2200</v>
      </c>
      <c r="S2311" t="str">
        <f t="shared" si="342"/>
        <v>5800</v>
      </c>
      <c r="T2311" t="s">
        <v>3653</v>
      </c>
      <c r="U2311" t="s">
        <v>1950</v>
      </c>
    </row>
    <row r="2312" spans="1:21" ht="15" customHeight="1" x14ac:dyDescent="0.3">
      <c r="A2312" t="s">
        <v>179</v>
      </c>
      <c r="B2312" t="str">
        <f>"00060682"</f>
        <v>00060682</v>
      </c>
      <c r="C2312" t="s">
        <v>4256</v>
      </c>
      <c r="H2312" t="s">
        <v>170</v>
      </c>
      <c r="I2312">
        <v>15</v>
      </c>
      <c r="J2312">
        <v>1</v>
      </c>
      <c r="K2312">
        <v>0.5</v>
      </c>
      <c r="L2312">
        <v>56693</v>
      </c>
      <c r="M2312" t="str">
        <f t="shared" si="344"/>
        <v>13</v>
      </c>
      <c r="N2312" t="s">
        <v>3323</v>
      </c>
      <c r="O2312" t="str">
        <f t="shared" si="341"/>
        <v>58011</v>
      </c>
      <c r="P2312" t="str">
        <f>"2100L"</f>
        <v>2100L</v>
      </c>
      <c r="Q2312" t="str">
        <f t="shared" si="338"/>
        <v>0101</v>
      </c>
      <c r="R2312">
        <v>2100</v>
      </c>
      <c r="S2312" t="str">
        <f t="shared" si="342"/>
        <v>5800</v>
      </c>
      <c r="T2312" t="s">
        <v>3653</v>
      </c>
      <c r="U2312" t="s">
        <v>1950</v>
      </c>
    </row>
    <row r="2313" spans="1:21" ht="15" customHeight="1" x14ac:dyDescent="0.3">
      <c r="A2313" t="s">
        <v>179</v>
      </c>
      <c r="B2313" t="str">
        <f>"00060718"</f>
        <v>00060718</v>
      </c>
      <c r="C2313" t="s">
        <v>4258</v>
      </c>
      <c r="D2313" t="s">
        <v>1962</v>
      </c>
      <c r="E2313" t="str">
        <f>"00048063"</f>
        <v>00048063</v>
      </c>
      <c r="F2313">
        <v>0</v>
      </c>
      <c r="G2313" s="243">
        <v>34585</v>
      </c>
      <c r="H2313" t="s">
        <v>182</v>
      </c>
      <c r="I2313">
        <v>15</v>
      </c>
      <c r="J2313">
        <v>10</v>
      </c>
      <c r="K2313">
        <v>1</v>
      </c>
      <c r="L2313">
        <v>78273</v>
      </c>
      <c r="M2313" t="str">
        <f t="shared" si="344"/>
        <v>13</v>
      </c>
      <c r="N2313" t="s">
        <v>3323</v>
      </c>
      <c r="O2313" t="str">
        <f t="shared" si="341"/>
        <v>58011</v>
      </c>
      <c r="P2313" t="str">
        <f>"2100L"</f>
        <v>2100L</v>
      </c>
      <c r="Q2313" t="str">
        <f t="shared" si="338"/>
        <v>0101</v>
      </c>
      <c r="R2313">
        <v>2100</v>
      </c>
      <c r="S2313" t="str">
        <f t="shared" si="342"/>
        <v>5800</v>
      </c>
      <c r="T2313" t="s">
        <v>3653</v>
      </c>
      <c r="U2313" t="s">
        <v>1950</v>
      </c>
    </row>
    <row r="2314" spans="1:21" ht="15" customHeight="1" x14ac:dyDescent="0.3">
      <c r="A2314" t="s">
        <v>179</v>
      </c>
      <c r="B2314" t="str">
        <f>"00061877"</f>
        <v>00061877</v>
      </c>
      <c r="C2314" t="s">
        <v>4265</v>
      </c>
      <c r="H2314" t="s">
        <v>170</v>
      </c>
      <c r="I2314">
        <v>15</v>
      </c>
      <c r="J2314">
        <v>1</v>
      </c>
      <c r="K2314">
        <v>0.5</v>
      </c>
      <c r="L2314">
        <v>54975</v>
      </c>
      <c r="M2314" t="str">
        <f t="shared" si="344"/>
        <v>13</v>
      </c>
      <c r="N2314" t="s">
        <v>3323</v>
      </c>
      <c r="O2314" t="str">
        <f t="shared" si="341"/>
        <v>58011</v>
      </c>
      <c r="P2314" t="str">
        <f>"2100L"</f>
        <v>2100L</v>
      </c>
      <c r="Q2314" t="str">
        <f t="shared" si="338"/>
        <v>0101</v>
      </c>
      <c r="R2314">
        <v>2100</v>
      </c>
      <c r="S2314" t="str">
        <f t="shared" si="342"/>
        <v>5800</v>
      </c>
      <c r="T2314" t="s">
        <v>3653</v>
      </c>
      <c r="U2314" t="s">
        <v>1950</v>
      </c>
    </row>
    <row r="2315" spans="1:21" ht="15" customHeight="1" x14ac:dyDescent="0.3">
      <c r="A2315" t="s">
        <v>179</v>
      </c>
      <c r="B2315" t="str">
        <f>"00072498"</f>
        <v>00072498</v>
      </c>
      <c r="C2315" t="s">
        <v>4274</v>
      </c>
      <c r="D2315" t="s">
        <v>4995</v>
      </c>
      <c r="E2315" t="str">
        <f>"00069819"</f>
        <v>00069819</v>
      </c>
      <c r="F2315">
        <v>0</v>
      </c>
      <c r="G2315" s="243">
        <v>41133</v>
      </c>
      <c r="H2315" t="s">
        <v>182</v>
      </c>
      <c r="I2315">
        <v>4</v>
      </c>
      <c r="J2315">
        <v>9</v>
      </c>
      <c r="K2315">
        <v>0.71</v>
      </c>
      <c r="L2315">
        <v>28025.38</v>
      </c>
      <c r="M2315" t="str">
        <f t="shared" si="344"/>
        <v>13</v>
      </c>
      <c r="N2315" t="s">
        <v>3323</v>
      </c>
      <c r="O2315" t="str">
        <f t="shared" si="341"/>
        <v>58011</v>
      </c>
      <c r="P2315" t="str">
        <f>"2100L"</f>
        <v>2100L</v>
      </c>
      <c r="Q2315" t="str">
        <f t="shared" si="338"/>
        <v>0101</v>
      </c>
      <c r="R2315">
        <v>2100</v>
      </c>
      <c r="S2315" t="str">
        <f t="shared" si="342"/>
        <v>5800</v>
      </c>
      <c r="T2315" t="s">
        <v>3653</v>
      </c>
      <c r="U2315" t="s">
        <v>1950</v>
      </c>
    </row>
    <row r="2316" spans="1:21" ht="15" customHeight="1" x14ac:dyDescent="0.3">
      <c r="A2316" t="s">
        <v>179</v>
      </c>
      <c r="B2316" t="str">
        <f>"00074338"</f>
        <v>00074338</v>
      </c>
      <c r="C2316" t="s">
        <v>4337</v>
      </c>
      <c r="H2316" t="s">
        <v>170</v>
      </c>
      <c r="I2316">
        <v>15</v>
      </c>
      <c r="J2316">
        <v>1</v>
      </c>
      <c r="K2316">
        <v>0.5</v>
      </c>
      <c r="L2316">
        <v>53256</v>
      </c>
      <c r="M2316" t="str">
        <f t="shared" si="344"/>
        <v>13</v>
      </c>
      <c r="N2316" t="s">
        <v>3323</v>
      </c>
      <c r="O2316" t="str">
        <f t="shared" si="341"/>
        <v>58011</v>
      </c>
      <c r="P2316" t="str">
        <f t="shared" ref="P2316:P2323" si="345">"2100L"</f>
        <v>2100L</v>
      </c>
      <c r="Q2316" t="str">
        <f t="shared" ref="Q2316:Q2368" si="346">"0101"</f>
        <v>0101</v>
      </c>
      <c r="R2316">
        <v>2100</v>
      </c>
      <c r="S2316" t="str">
        <f t="shared" si="342"/>
        <v>5800</v>
      </c>
      <c r="T2316" t="s">
        <v>3653</v>
      </c>
      <c r="U2316" t="s">
        <v>1950</v>
      </c>
    </row>
    <row r="2317" spans="1:21" ht="15" customHeight="1" x14ac:dyDescent="0.3">
      <c r="A2317" t="s">
        <v>179</v>
      </c>
      <c r="B2317" t="str">
        <f>"00076252"</f>
        <v>00076252</v>
      </c>
      <c r="C2317" t="s">
        <v>4262</v>
      </c>
      <c r="D2317" t="s">
        <v>4996</v>
      </c>
      <c r="E2317" t="str">
        <f>"00069727"</f>
        <v>00069727</v>
      </c>
      <c r="F2317">
        <v>0</v>
      </c>
      <c r="G2317" s="243">
        <v>41133</v>
      </c>
      <c r="H2317" t="s">
        <v>182</v>
      </c>
      <c r="I2317">
        <v>15</v>
      </c>
      <c r="J2317">
        <v>1</v>
      </c>
      <c r="K2317">
        <v>1</v>
      </c>
      <c r="L2317">
        <v>51539</v>
      </c>
      <c r="M2317" t="str">
        <f t="shared" si="344"/>
        <v>13</v>
      </c>
      <c r="N2317" t="s">
        <v>3370</v>
      </c>
      <c r="O2317" t="str">
        <f t="shared" si="341"/>
        <v>58011</v>
      </c>
      <c r="P2317" t="str">
        <f t="shared" si="345"/>
        <v>2100L</v>
      </c>
      <c r="Q2317" t="str">
        <f t="shared" si="346"/>
        <v>0101</v>
      </c>
      <c r="R2317">
        <v>2100</v>
      </c>
      <c r="S2317" t="str">
        <f t="shared" si="342"/>
        <v>5800</v>
      </c>
      <c r="T2317" t="s">
        <v>3653</v>
      </c>
      <c r="U2317" t="s">
        <v>1950</v>
      </c>
    </row>
    <row r="2318" spans="1:21" ht="15" customHeight="1" x14ac:dyDescent="0.3">
      <c r="A2318" t="s">
        <v>179</v>
      </c>
      <c r="B2318" t="str">
        <f>"00076253"</f>
        <v>00076253</v>
      </c>
      <c r="C2318" t="s">
        <v>4262</v>
      </c>
      <c r="D2318" t="s">
        <v>1417</v>
      </c>
      <c r="E2318" t="str">
        <f>"00058340"</f>
        <v>00058340</v>
      </c>
      <c r="F2318">
        <v>0</v>
      </c>
      <c r="G2318" s="243">
        <v>40077</v>
      </c>
      <c r="H2318" t="s">
        <v>182</v>
      </c>
      <c r="I2318">
        <v>15</v>
      </c>
      <c r="J2318">
        <v>1</v>
      </c>
      <c r="K2318">
        <v>1</v>
      </c>
      <c r="L2318">
        <v>51539</v>
      </c>
      <c r="M2318" t="str">
        <f t="shared" si="344"/>
        <v>13</v>
      </c>
      <c r="N2318" t="s">
        <v>3370</v>
      </c>
      <c r="O2318" t="str">
        <f t="shared" si="341"/>
        <v>58011</v>
      </c>
      <c r="P2318" t="str">
        <f t="shared" si="345"/>
        <v>2100L</v>
      </c>
      <c r="Q2318" t="str">
        <f t="shared" si="346"/>
        <v>0101</v>
      </c>
      <c r="R2318">
        <v>2100</v>
      </c>
      <c r="S2318" t="str">
        <f t="shared" si="342"/>
        <v>5800</v>
      </c>
      <c r="T2318" t="s">
        <v>3653</v>
      </c>
      <c r="U2318" t="s">
        <v>1950</v>
      </c>
    </row>
    <row r="2319" spans="1:21" ht="15" customHeight="1" x14ac:dyDescent="0.3">
      <c r="A2319" t="s">
        <v>179</v>
      </c>
      <c r="B2319" t="str">
        <f>"00076256"</f>
        <v>00076256</v>
      </c>
      <c r="C2319" t="s">
        <v>4262</v>
      </c>
      <c r="D2319" t="s">
        <v>4997</v>
      </c>
      <c r="E2319" t="str">
        <f>"00069561"</f>
        <v>00069561</v>
      </c>
      <c r="F2319">
        <v>0</v>
      </c>
      <c r="G2319" s="243">
        <v>41133</v>
      </c>
      <c r="H2319" t="s">
        <v>182</v>
      </c>
      <c r="I2319">
        <v>15</v>
      </c>
      <c r="J2319">
        <v>7</v>
      </c>
      <c r="K2319">
        <v>1</v>
      </c>
      <c r="L2319">
        <v>69132</v>
      </c>
      <c r="M2319" t="str">
        <f t="shared" si="344"/>
        <v>13</v>
      </c>
      <c r="N2319" t="s">
        <v>3370</v>
      </c>
      <c r="O2319" t="str">
        <f t="shared" si="341"/>
        <v>58011</v>
      </c>
      <c r="P2319" t="str">
        <f t="shared" si="345"/>
        <v>2100L</v>
      </c>
      <c r="Q2319" t="str">
        <f t="shared" si="346"/>
        <v>0101</v>
      </c>
      <c r="R2319">
        <v>2100</v>
      </c>
      <c r="S2319" t="str">
        <f t="shared" si="342"/>
        <v>5800</v>
      </c>
      <c r="T2319" t="s">
        <v>3653</v>
      </c>
      <c r="U2319" t="s">
        <v>1950</v>
      </c>
    </row>
    <row r="2320" spans="1:21" ht="15" customHeight="1" x14ac:dyDescent="0.3">
      <c r="A2320" t="s">
        <v>179</v>
      </c>
      <c r="B2320" t="str">
        <f>"00076257"</f>
        <v>00076257</v>
      </c>
      <c r="C2320" t="s">
        <v>4262</v>
      </c>
      <c r="D2320" t="s">
        <v>1585</v>
      </c>
      <c r="E2320" t="str">
        <f>"00039194"</f>
        <v>00039194</v>
      </c>
      <c r="F2320">
        <v>0</v>
      </c>
      <c r="G2320" s="243">
        <v>40406</v>
      </c>
      <c r="H2320" t="s">
        <v>182</v>
      </c>
      <c r="I2320">
        <v>15</v>
      </c>
      <c r="J2320">
        <v>3</v>
      </c>
      <c r="K2320">
        <v>1</v>
      </c>
      <c r="L2320">
        <v>55210</v>
      </c>
      <c r="M2320" t="str">
        <f t="shared" si="344"/>
        <v>13</v>
      </c>
      <c r="N2320" t="s">
        <v>3370</v>
      </c>
      <c r="O2320" t="str">
        <f t="shared" si="341"/>
        <v>58011</v>
      </c>
      <c r="P2320" t="str">
        <f t="shared" si="345"/>
        <v>2100L</v>
      </c>
      <c r="Q2320" t="str">
        <f t="shared" si="346"/>
        <v>0101</v>
      </c>
      <c r="R2320">
        <v>2100</v>
      </c>
      <c r="S2320" t="str">
        <f t="shared" si="342"/>
        <v>5800</v>
      </c>
      <c r="T2320" t="s">
        <v>3653</v>
      </c>
      <c r="U2320" t="s">
        <v>1950</v>
      </c>
    </row>
    <row r="2321" spans="1:21" ht="15" customHeight="1" x14ac:dyDescent="0.3">
      <c r="A2321" t="s">
        <v>179</v>
      </c>
      <c r="B2321" t="str">
        <f>"00076258"</f>
        <v>00076258</v>
      </c>
      <c r="C2321" t="s">
        <v>4262</v>
      </c>
      <c r="D2321" t="s">
        <v>3801</v>
      </c>
      <c r="E2321" t="str">
        <f>"00066436"</f>
        <v>00066436</v>
      </c>
      <c r="F2321">
        <v>0</v>
      </c>
      <c r="G2321" s="243">
        <v>40755</v>
      </c>
      <c r="H2321" t="s">
        <v>182</v>
      </c>
      <c r="I2321">
        <v>15</v>
      </c>
      <c r="J2321">
        <v>9</v>
      </c>
      <c r="K2321">
        <v>1</v>
      </c>
      <c r="L2321">
        <v>75232</v>
      </c>
      <c r="M2321" t="str">
        <f t="shared" si="344"/>
        <v>13</v>
      </c>
      <c r="N2321" t="s">
        <v>3370</v>
      </c>
      <c r="O2321" t="str">
        <f t="shared" si="341"/>
        <v>58011</v>
      </c>
      <c r="P2321" t="str">
        <f t="shared" si="345"/>
        <v>2100L</v>
      </c>
      <c r="Q2321" t="str">
        <f t="shared" si="346"/>
        <v>0101</v>
      </c>
      <c r="R2321">
        <v>2100</v>
      </c>
      <c r="S2321" t="str">
        <f t="shared" si="342"/>
        <v>5800</v>
      </c>
      <c r="T2321" t="s">
        <v>3653</v>
      </c>
      <c r="U2321" t="s">
        <v>1950</v>
      </c>
    </row>
    <row r="2322" spans="1:21" ht="15" customHeight="1" x14ac:dyDescent="0.3">
      <c r="A2322" t="s">
        <v>179</v>
      </c>
      <c r="B2322" t="str">
        <f>"00076259"</f>
        <v>00076259</v>
      </c>
      <c r="C2322" t="s">
        <v>4256</v>
      </c>
      <c r="D2322" t="s">
        <v>1961</v>
      </c>
      <c r="E2322" t="str">
        <f>"00050115"</f>
        <v>00050115</v>
      </c>
      <c r="F2322">
        <v>0</v>
      </c>
      <c r="G2322" s="243">
        <v>39021</v>
      </c>
      <c r="H2322" t="s">
        <v>182</v>
      </c>
      <c r="I2322">
        <v>15</v>
      </c>
      <c r="J2322">
        <v>6</v>
      </c>
      <c r="K2322">
        <v>1</v>
      </c>
      <c r="L2322">
        <v>68537</v>
      </c>
      <c r="M2322" t="str">
        <f t="shared" si="344"/>
        <v>13</v>
      </c>
      <c r="N2322" t="s">
        <v>3370</v>
      </c>
      <c r="O2322" t="str">
        <f t="shared" si="341"/>
        <v>58011</v>
      </c>
      <c r="P2322" t="str">
        <f t="shared" si="345"/>
        <v>2100L</v>
      </c>
      <c r="Q2322" t="str">
        <f t="shared" si="346"/>
        <v>0101</v>
      </c>
      <c r="R2322">
        <v>2100</v>
      </c>
      <c r="S2322" t="str">
        <f t="shared" si="342"/>
        <v>5800</v>
      </c>
      <c r="T2322" t="s">
        <v>3653</v>
      </c>
      <c r="U2322" t="s">
        <v>1950</v>
      </c>
    </row>
    <row r="2323" spans="1:21" ht="15" customHeight="1" x14ac:dyDescent="0.3">
      <c r="A2323" t="s">
        <v>179</v>
      </c>
      <c r="B2323" t="str">
        <f>"00076260"</f>
        <v>00076260</v>
      </c>
      <c r="C2323" t="s">
        <v>4998</v>
      </c>
      <c r="H2323" t="s">
        <v>170</v>
      </c>
      <c r="I2323">
        <v>15</v>
      </c>
      <c r="J2323">
        <v>0</v>
      </c>
      <c r="K2323">
        <v>0.5</v>
      </c>
      <c r="L2323">
        <v>51539</v>
      </c>
      <c r="M2323" t="str">
        <f t="shared" si="344"/>
        <v>13</v>
      </c>
      <c r="N2323" t="s">
        <v>3370</v>
      </c>
      <c r="O2323" t="str">
        <f t="shared" si="341"/>
        <v>58011</v>
      </c>
      <c r="P2323" t="str">
        <f t="shared" si="345"/>
        <v>2100L</v>
      </c>
      <c r="Q2323" t="str">
        <f t="shared" si="346"/>
        <v>0101</v>
      </c>
      <c r="R2323">
        <v>2100</v>
      </c>
      <c r="S2323" t="str">
        <f t="shared" si="342"/>
        <v>5800</v>
      </c>
      <c r="T2323" t="s">
        <v>3653</v>
      </c>
      <c r="U2323" t="s">
        <v>1950</v>
      </c>
    </row>
    <row r="2324" spans="1:21" ht="15" customHeight="1" x14ac:dyDescent="0.3">
      <c r="A2324" t="s">
        <v>179</v>
      </c>
      <c r="B2324" t="str">
        <f>"00076467"</f>
        <v>00076467</v>
      </c>
      <c r="C2324" t="s">
        <v>4288</v>
      </c>
      <c r="D2324" t="s">
        <v>4999</v>
      </c>
      <c r="E2324" t="str">
        <f>"00069955"</f>
        <v>00069955</v>
      </c>
      <c r="F2324">
        <v>0</v>
      </c>
      <c r="G2324" s="243">
        <v>41133</v>
      </c>
      <c r="H2324" t="s">
        <v>182</v>
      </c>
      <c r="I2324">
        <v>4</v>
      </c>
      <c r="J2324">
        <v>6</v>
      </c>
      <c r="K2324">
        <v>0.71</v>
      </c>
      <c r="L2324">
        <v>25935.88</v>
      </c>
      <c r="M2324" t="str">
        <f t="shared" si="344"/>
        <v>13</v>
      </c>
      <c r="N2324" t="s">
        <v>3370</v>
      </c>
      <c r="O2324" t="str">
        <f t="shared" si="341"/>
        <v>58011</v>
      </c>
      <c r="P2324" t="str">
        <f>"2200L"</f>
        <v>2200L</v>
      </c>
      <c r="Q2324" t="str">
        <f t="shared" si="346"/>
        <v>0101</v>
      </c>
      <c r="R2324">
        <v>2200</v>
      </c>
      <c r="S2324" t="str">
        <f t="shared" si="342"/>
        <v>5800</v>
      </c>
      <c r="T2324" t="s">
        <v>3653</v>
      </c>
      <c r="U2324" t="s">
        <v>1950</v>
      </c>
    </row>
    <row r="2325" spans="1:21" ht="15" customHeight="1" x14ac:dyDescent="0.3">
      <c r="A2325" t="s">
        <v>179</v>
      </c>
      <c r="B2325" t="str">
        <f>"00076468"</f>
        <v>00076468</v>
      </c>
      <c r="C2325" t="s">
        <v>4274</v>
      </c>
      <c r="D2325" t="s">
        <v>5000</v>
      </c>
      <c r="E2325" t="str">
        <f>"00051895"</f>
        <v>00051895</v>
      </c>
      <c r="F2325">
        <v>0</v>
      </c>
      <c r="G2325" s="243">
        <v>39910</v>
      </c>
      <c r="H2325" t="s">
        <v>182</v>
      </c>
      <c r="I2325">
        <v>4</v>
      </c>
      <c r="J2325">
        <v>6</v>
      </c>
      <c r="K2325">
        <v>0.71</v>
      </c>
      <c r="L2325">
        <v>25935.88</v>
      </c>
      <c r="M2325" t="str">
        <f t="shared" si="344"/>
        <v>13</v>
      </c>
      <c r="N2325" t="s">
        <v>3370</v>
      </c>
      <c r="O2325" t="str">
        <f t="shared" si="341"/>
        <v>58011</v>
      </c>
      <c r="P2325" t="str">
        <f>"2200L"</f>
        <v>2200L</v>
      </c>
      <c r="Q2325" t="str">
        <f t="shared" si="346"/>
        <v>0101</v>
      </c>
      <c r="R2325">
        <v>2200</v>
      </c>
      <c r="S2325" t="str">
        <f t="shared" si="342"/>
        <v>5800</v>
      </c>
      <c r="T2325" t="s">
        <v>3653</v>
      </c>
      <c r="U2325" t="s">
        <v>1950</v>
      </c>
    </row>
    <row r="2326" spans="1:21" ht="15" customHeight="1" x14ac:dyDescent="0.3">
      <c r="A2326" t="s">
        <v>179</v>
      </c>
      <c r="B2326" t="str">
        <f>"00076469"</f>
        <v>00076469</v>
      </c>
      <c r="C2326" t="s">
        <v>4274</v>
      </c>
      <c r="D2326" t="s">
        <v>5001</v>
      </c>
      <c r="E2326" t="str">
        <f>"00053251"</f>
        <v>00053251</v>
      </c>
      <c r="F2326">
        <v>0</v>
      </c>
      <c r="G2326" s="243">
        <v>37124</v>
      </c>
      <c r="H2326" t="s">
        <v>182</v>
      </c>
      <c r="I2326">
        <v>4</v>
      </c>
      <c r="J2326">
        <v>7</v>
      </c>
      <c r="K2326">
        <v>0.71</v>
      </c>
      <c r="L2326">
        <v>26633.25</v>
      </c>
      <c r="M2326" t="str">
        <f t="shared" si="344"/>
        <v>13</v>
      </c>
      <c r="N2326" t="s">
        <v>3370</v>
      </c>
      <c r="O2326" t="str">
        <f t="shared" si="341"/>
        <v>58011</v>
      </c>
      <c r="P2326" t="str">
        <f>"2200L"</f>
        <v>2200L</v>
      </c>
      <c r="Q2326" t="str">
        <f t="shared" si="346"/>
        <v>0101</v>
      </c>
      <c r="R2326">
        <v>2200</v>
      </c>
      <c r="S2326" t="str">
        <f t="shared" si="342"/>
        <v>5800</v>
      </c>
      <c r="T2326" t="s">
        <v>3653</v>
      </c>
      <c r="U2326" t="s">
        <v>1950</v>
      </c>
    </row>
    <row r="2327" spans="1:21" ht="15" customHeight="1" x14ac:dyDescent="0.3">
      <c r="A2327" t="s">
        <v>179</v>
      </c>
      <c r="B2327" t="str">
        <f>"00076470"</f>
        <v>00076470</v>
      </c>
      <c r="C2327" t="s">
        <v>4274</v>
      </c>
      <c r="D2327" t="s">
        <v>5002</v>
      </c>
      <c r="E2327" t="str">
        <f>"00069758"</f>
        <v>00069758</v>
      </c>
      <c r="F2327">
        <v>0</v>
      </c>
      <c r="G2327" s="243">
        <v>41133</v>
      </c>
      <c r="H2327" t="s">
        <v>182</v>
      </c>
      <c r="I2327">
        <v>4</v>
      </c>
      <c r="J2327">
        <v>5</v>
      </c>
      <c r="K2327">
        <v>0.71</v>
      </c>
      <c r="L2327">
        <v>25239.37</v>
      </c>
      <c r="M2327" t="str">
        <f t="shared" si="344"/>
        <v>13</v>
      </c>
      <c r="N2327" t="s">
        <v>3370</v>
      </c>
      <c r="O2327" t="str">
        <f t="shared" si="341"/>
        <v>58011</v>
      </c>
      <c r="P2327" t="str">
        <f>"2200L"</f>
        <v>2200L</v>
      </c>
      <c r="Q2327" t="str">
        <f t="shared" si="346"/>
        <v>0101</v>
      </c>
      <c r="R2327">
        <v>2200</v>
      </c>
      <c r="S2327" t="str">
        <f t="shared" si="342"/>
        <v>5800</v>
      </c>
      <c r="T2327" t="s">
        <v>3653</v>
      </c>
      <c r="U2327" t="s">
        <v>1950</v>
      </c>
    </row>
    <row r="2328" spans="1:21" ht="15" customHeight="1" x14ac:dyDescent="0.3">
      <c r="A2328" t="s">
        <v>179</v>
      </c>
      <c r="B2328" t="str">
        <f>"00076471"</f>
        <v>00076471</v>
      </c>
      <c r="C2328" t="s">
        <v>4274</v>
      </c>
      <c r="D2328" t="s">
        <v>5003</v>
      </c>
      <c r="E2328" t="str">
        <f>"00055005"</f>
        <v>00055005</v>
      </c>
      <c r="F2328">
        <v>0</v>
      </c>
      <c r="G2328" s="243">
        <v>39679</v>
      </c>
      <c r="H2328" t="s">
        <v>182</v>
      </c>
      <c r="I2328">
        <v>4</v>
      </c>
      <c r="J2328">
        <v>6</v>
      </c>
      <c r="K2328">
        <v>0.71</v>
      </c>
      <c r="L2328">
        <v>25935.88</v>
      </c>
      <c r="M2328" t="str">
        <f t="shared" si="344"/>
        <v>13</v>
      </c>
      <c r="N2328" t="s">
        <v>3370</v>
      </c>
      <c r="O2328" t="str">
        <f t="shared" si="341"/>
        <v>58011</v>
      </c>
      <c r="P2328" t="str">
        <f>"2200L"</f>
        <v>2200L</v>
      </c>
      <c r="Q2328" t="str">
        <f t="shared" si="346"/>
        <v>0101</v>
      </c>
      <c r="R2328">
        <v>2200</v>
      </c>
      <c r="S2328" t="str">
        <f t="shared" si="342"/>
        <v>5800</v>
      </c>
      <c r="T2328" t="s">
        <v>3653</v>
      </c>
      <c r="U2328" t="s">
        <v>1950</v>
      </c>
    </row>
    <row r="2329" spans="1:21" ht="15" customHeight="1" x14ac:dyDescent="0.3">
      <c r="A2329" t="s">
        <v>179</v>
      </c>
      <c r="B2329" t="str">
        <f>"00051530"</f>
        <v>00051530</v>
      </c>
      <c r="C2329" t="s">
        <v>4258</v>
      </c>
      <c r="D2329" t="s">
        <v>2273</v>
      </c>
      <c r="E2329" t="str">
        <f>"00044736"</f>
        <v>00044736</v>
      </c>
      <c r="F2329">
        <v>0</v>
      </c>
      <c r="G2329" s="243">
        <v>34578</v>
      </c>
      <c r="H2329" t="s">
        <v>182</v>
      </c>
      <c r="I2329">
        <v>15</v>
      </c>
      <c r="J2329">
        <v>16</v>
      </c>
      <c r="K2329">
        <v>1</v>
      </c>
      <c r="L2329">
        <v>100839</v>
      </c>
      <c r="M2329" t="str">
        <f t="shared" si="344"/>
        <v>13</v>
      </c>
      <c r="N2329" t="s">
        <v>3323</v>
      </c>
      <c r="O2329" t="str">
        <f t="shared" ref="O2329:O2352" si="347">"58111"</f>
        <v>58111</v>
      </c>
      <c r="P2329" t="str">
        <f>"2100L"</f>
        <v>2100L</v>
      </c>
      <c r="Q2329" t="str">
        <f t="shared" si="346"/>
        <v>0101</v>
      </c>
      <c r="R2329">
        <v>2100</v>
      </c>
      <c r="S2329" t="str">
        <f t="shared" ref="S2329:S2352" si="348">"5810"</f>
        <v>5810</v>
      </c>
      <c r="T2329" t="s">
        <v>3656</v>
      </c>
      <c r="U2329" t="s">
        <v>1950</v>
      </c>
    </row>
    <row r="2330" spans="1:21" ht="15" customHeight="1" x14ac:dyDescent="0.3">
      <c r="A2330" t="s">
        <v>179</v>
      </c>
      <c r="B2330" t="str">
        <f>"00051753"</f>
        <v>00051753</v>
      </c>
      <c r="C2330" t="s">
        <v>4272</v>
      </c>
      <c r="D2330" t="s">
        <v>2272</v>
      </c>
      <c r="E2330" t="str">
        <f>"00062015"</f>
        <v>00062015</v>
      </c>
      <c r="F2330">
        <v>0</v>
      </c>
      <c r="G2330" s="243">
        <v>40406</v>
      </c>
      <c r="H2330" t="s">
        <v>182</v>
      </c>
      <c r="I2330">
        <v>15</v>
      </c>
      <c r="J2330">
        <v>6</v>
      </c>
      <c r="K2330">
        <v>1</v>
      </c>
      <c r="L2330">
        <v>66078</v>
      </c>
      <c r="M2330" t="str">
        <f t="shared" si="344"/>
        <v>13</v>
      </c>
      <c r="N2330" t="s">
        <v>3323</v>
      </c>
      <c r="O2330" t="str">
        <f t="shared" si="347"/>
        <v>58111</v>
      </c>
      <c r="P2330" t="str">
        <f>"2200L"</f>
        <v>2200L</v>
      </c>
      <c r="Q2330" t="str">
        <f t="shared" si="346"/>
        <v>0101</v>
      </c>
      <c r="R2330">
        <v>2200</v>
      </c>
      <c r="S2330" t="str">
        <f t="shared" si="348"/>
        <v>5810</v>
      </c>
      <c r="T2330" t="s">
        <v>3656</v>
      </c>
      <c r="U2330" t="s">
        <v>1950</v>
      </c>
    </row>
    <row r="2331" spans="1:21" ht="15" customHeight="1" x14ac:dyDescent="0.3">
      <c r="A2331" t="s">
        <v>179</v>
      </c>
      <c r="B2331" t="str">
        <f>"00051957"</f>
        <v>00051957</v>
      </c>
      <c r="C2331" t="s">
        <v>4272</v>
      </c>
      <c r="D2331" t="s">
        <v>2274</v>
      </c>
      <c r="E2331" t="str">
        <f>"00046683"</f>
        <v>00046683</v>
      </c>
      <c r="F2331">
        <v>0</v>
      </c>
      <c r="G2331" s="243">
        <v>32756</v>
      </c>
      <c r="H2331" t="s">
        <v>182</v>
      </c>
      <c r="I2331">
        <v>15</v>
      </c>
      <c r="J2331">
        <v>16</v>
      </c>
      <c r="K2331">
        <v>1</v>
      </c>
      <c r="L2331">
        <v>100839</v>
      </c>
      <c r="M2331" t="str">
        <f t="shared" si="344"/>
        <v>13</v>
      </c>
      <c r="N2331" t="s">
        <v>3323</v>
      </c>
      <c r="O2331" t="str">
        <f t="shared" si="347"/>
        <v>58111</v>
      </c>
      <c r="P2331" t="str">
        <f t="shared" ref="P2331:P2337" si="349">"2100L"</f>
        <v>2100L</v>
      </c>
      <c r="Q2331" t="str">
        <f t="shared" si="346"/>
        <v>0101</v>
      </c>
      <c r="R2331">
        <v>2100</v>
      </c>
      <c r="S2331" t="str">
        <f t="shared" si="348"/>
        <v>5810</v>
      </c>
      <c r="T2331" t="s">
        <v>3656</v>
      </c>
      <c r="U2331" t="s">
        <v>1950</v>
      </c>
    </row>
    <row r="2332" spans="1:21" ht="15" customHeight="1" x14ac:dyDescent="0.3">
      <c r="A2332" t="s">
        <v>179</v>
      </c>
      <c r="B2332" t="str">
        <f>"00052787"</f>
        <v>00052787</v>
      </c>
      <c r="C2332" t="s">
        <v>4272</v>
      </c>
      <c r="D2332" t="s">
        <v>5004</v>
      </c>
      <c r="E2332" t="str">
        <f>"00052059"</f>
        <v>00052059</v>
      </c>
      <c r="F2332">
        <v>0</v>
      </c>
      <c r="G2332" s="243">
        <v>39189</v>
      </c>
      <c r="H2332" t="s">
        <v>182</v>
      </c>
      <c r="I2332">
        <v>15</v>
      </c>
      <c r="J2332">
        <v>7</v>
      </c>
      <c r="K2332">
        <v>1</v>
      </c>
      <c r="L2332">
        <v>69132</v>
      </c>
      <c r="M2332" t="str">
        <f t="shared" si="344"/>
        <v>13</v>
      </c>
      <c r="N2332" t="s">
        <v>3370</v>
      </c>
      <c r="O2332" t="str">
        <f t="shared" si="347"/>
        <v>58111</v>
      </c>
      <c r="P2332" t="str">
        <f t="shared" si="349"/>
        <v>2100L</v>
      </c>
      <c r="Q2332" t="str">
        <f t="shared" si="346"/>
        <v>0101</v>
      </c>
      <c r="R2332">
        <v>2100</v>
      </c>
      <c r="S2332" t="str">
        <f t="shared" si="348"/>
        <v>5810</v>
      </c>
      <c r="T2332" t="s">
        <v>3656</v>
      </c>
      <c r="U2332" t="s">
        <v>1950</v>
      </c>
    </row>
    <row r="2333" spans="1:21" ht="15" customHeight="1" x14ac:dyDescent="0.3">
      <c r="A2333" t="s">
        <v>179</v>
      </c>
      <c r="B2333" t="str">
        <f>"00054647"</f>
        <v>00054647</v>
      </c>
      <c r="C2333" t="s">
        <v>4272</v>
      </c>
      <c r="D2333" t="s">
        <v>2276</v>
      </c>
      <c r="E2333" t="str">
        <f>"00054344"</f>
        <v>00054344</v>
      </c>
      <c r="F2333">
        <v>0</v>
      </c>
      <c r="G2333" s="243">
        <v>32050</v>
      </c>
      <c r="H2333" t="s">
        <v>182</v>
      </c>
      <c r="I2333">
        <v>15</v>
      </c>
      <c r="J2333">
        <v>15</v>
      </c>
      <c r="K2333">
        <v>1</v>
      </c>
      <c r="L2333">
        <v>98285</v>
      </c>
      <c r="M2333" t="str">
        <f t="shared" si="344"/>
        <v>13</v>
      </c>
      <c r="N2333" t="s">
        <v>3323</v>
      </c>
      <c r="O2333" t="str">
        <f t="shared" si="347"/>
        <v>58111</v>
      </c>
      <c r="P2333" t="str">
        <f t="shared" si="349"/>
        <v>2100L</v>
      </c>
      <c r="Q2333" t="str">
        <f t="shared" si="346"/>
        <v>0101</v>
      </c>
      <c r="R2333">
        <v>2100</v>
      </c>
      <c r="S2333" t="str">
        <f t="shared" si="348"/>
        <v>5810</v>
      </c>
      <c r="T2333" t="s">
        <v>3656</v>
      </c>
      <c r="U2333" t="s">
        <v>1950</v>
      </c>
    </row>
    <row r="2334" spans="1:21" ht="15" customHeight="1" x14ac:dyDescent="0.3">
      <c r="A2334" t="s">
        <v>179</v>
      </c>
      <c r="B2334" t="str">
        <f>"00054873"</f>
        <v>00054873</v>
      </c>
      <c r="C2334" t="s">
        <v>4274</v>
      </c>
      <c r="D2334" t="s">
        <v>5005</v>
      </c>
      <c r="E2334" t="str">
        <f>"00054828"</f>
        <v>00054828</v>
      </c>
      <c r="F2334">
        <v>0</v>
      </c>
      <c r="G2334" s="243">
        <v>33147</v>
      </c>
      <c r="H2334" t="s">
        <v>182</v>
      </c>
      <c r="I2334">
        <v>4</v>
      </c>
      <c r="J2334">
        <v>10</v>
      </c>
      <c r="K2334">
        <v>0.875</v>
      </c>
      <c r="L2334">
        <v>28721</v>
      </c>
      <c r="M2334" t="str">
        <f t="shared" si="344"/>
        <v>13</v>
      </c>
      <c r="N2334" t="s">
        <v>3323</v>
      </c>
      <c r="O2334" t="str">
        <f t="shared" si="347"/>
        <v>58111</v>
      </c>
      <c r="P2334" t="str">
        <f t="shared" si="349"/>
        <v>2100L</v>
      </c>
      <c r="Q2334" t="str">
        <f t="shared" si="346"/>
        <v>0101</v>
      </c>
      <c r="R2334">
        <v>2100</v>
      </c>
      <c r="S2334" t="str">
        <f t="shared" si="348"/>
        <v>5810</v>
      </c>
      <c r="T2334" t="s">
        <v>3656</v>
      </c>
      <c r="U2334" t="s">
        <v>1950</v>
      </c>
    </row>
    <row r="2335" spans="1:21" ht="15" customHeight="1" x14ac:dyDescent="0.3">
      <c r="A2335" t="s">
        <v>179</v>
      </c>
      <c r="B2335" t="str">
        <f>"00060682"</f>
        <v>00060682</v>
      </c>
      <c r="C2335" t="s">
        <v>4256</v>
      </c>
      <c r="H2335" t="s">
        <v>170</v>
      </c>
      <c r="I2335">
        <v>15</v>
      </c>
      <c r="J2335">
        <v>1</v>
      </c>
      <c r="K2335">
        <v>0.5</v>
      </c>
      <c r="L2335">
        <v>56693</v>
      </c>
      <c r="M2335" t="str">
        <f t="shared" si="344"/>
        <v>13</v>
      </c>
      <c r="N2335" t="s">
        <v>3323</v>
      </c>
      <c r="O2335" t="str">
        <f t="shared" si="347"/>
        <v>58111</v>
      </c>
      <c r="P2335" t="str">
        <f t="shared" si="349"/>
        <v>2100L</v>
      </c>
      <c r="Q2335" t="str">
        <f t="shared" si="346"/>
        <v>0101</v>
      </c>
      <c r="R2335">
        <v>2100</v>
      </c>
      <c r="S2335" t="str">
        <f t="shared" si="348"/>
        <v>5810</v>
      </c>
      <c r="T2335" t="s">
        <v>3653</v>
      </c>
      <c r="U2335" t="s">
        <v>1950</v>
      </c>
    </row>
    <row r="2336" spans="1:21" ht="15" customHeight="1" x14ac:dyDescent="0.3">
      <c r="A2336" t="s">
        <v>179</v>
      </c>
      <c r="B2336" t="str">
        <f>"00060790"</f>
        <v>00060790</v>
      </c>
      <c r="C2336" t="s">
        <v>4274</v>
      </c>
      <c r="D2336" t="s">
        <v>5006</v>
      </c>
      <c r="E2336" t="str">
        <f>"00057525"</f>
        <v>00057525</v>
      </c>
      <c r="F2336">
        <v>0</v>
      </c>
      <c r="G2336" s="243">
        <v>40042</v>
      </c>
      <c r="H2336" t="s">
        <v>182</v>
      </c>
      <c r="I2336">
        <v>4</v>
      </c>
      <c r="J2336">
        <v>7</v>
      </c>
      <c r="K2336">
        <v>0.75</v>
      </c>
      <c r="L2336">
        <v>22828.5</v>
      </c>
      <c r="M2336" t="str">
        <f t="shared" si="344"/>
        <v>13</v>
      </c>
      <c r="N2336" t="s">
        <v>3370</v>
      </c>
      <c r="O2336" t="str">
        <f t="shared" si="347"/>
        <v>58111</v>
      </c>
      <c r="P2336" t="str">
        <f t="shared" si="349"/>
        <v>2100L</v>
      </c>
      <c r="Q2336" t="str">
        <f t="shared" si="346"/>
        <v>0101</v>
      </c>
      <c r="R2336">
        <v>2100</v>
      </c>
      <c r="S2336" t="str">
        <f t="shared" si="348"/>
        <v>5810</v>
      </c>
      <c r="T2336" t="s">
        <v>3656</v>
      </c>
      <c r="U2336" t="s">
        <v>1950</v>
      </c>
    </row>
    <row r="2337" spans="1:21" ht="15" customHeight="1" x14ac:dyDescent="0.3">
      <c r="A2337" t="s">
        <v>179</v>
      </c>
      <c r="B2337" t="str">
        <f>"00061877"</f>
        <v>00061877</v>
      </c>
      <c r="C2337" t="s">
        <v>4265</v>
      </c>
      <c r="H2337" t="s">
        <v>170</v>
      </c>
      <c r="I2337">
        <v>15</v>
      </c>
      <c r="J2337">
        <v>1</v>
      </c>
      <c r="K2337">
        <v>0.5</v>
      </c>
      <c r="L2337">
        <v>54975</v>
      </c>
      <c r="M2337" t="str">
        <f t="shared" si="344"/>
        <v>13</v>
      </c>
      <c r="N2337" t="s">
        <v>3323</v>
      </c>
      <c r="O2337" t="str">
        <f t="shared" si="347"/>
        <v>58111</v>
      </c>
      <c r="P2337" t="str">
        <f t="shared" si="349"/>
        <v>2100L</v>
      </c>
      <c r="Q2337" t="str">
        <f t="shared" si="346"/>
        <v>0101</v>
      </c>
      <c r="R2337">
        <v>2100</v>
      </c>
      <c r="S2337" t="str">
        <f t="shared" si="348"/>
        <v>5810</v>
      </c>
      <c r="T2337" t="s">
        <v>3653</v>
      </c>
      <c r="U2337" t="s">
        <v>1950</v>
      </c>
    </row>
    <row r="2338" spans="1:21" ht="15" customHeight="1" x14ac:dyDescent="0.3">
      <c r="A2338" t="s">
        <v>179</v>
      </c>
      <c r="B2338" t="str">
        <f>"00062925"</f>
        <v>00062925</v>
      </c>
      <c r="C2338" t="s">
        <v>4274</v>
      </c>
      <c r="D2338" t="s">
        <v>5007</v>
      </c>
      <c r="E2338" t="str">
        <f>"00047610"</f>
        <v>00047610</v>
      </c>
      <c r="F2338">
        <v>0</v>
      </c>
      <c r="G2338" s="243">
        <v>39846</v>
      </c>
      <c r="H2338" t="s">
        <v>182</v>
      </c>
      <c r="I2338">
        <v>4</v>
      </c>
      <c r="J2338">
        <v>7</v>
      </c>
      <c r="K2338">
        <v>0.875</v>
      </c>
      <c r="L2338">
        <v>26633.25</v>
      </c>
      <c r="M2338" t="str">
        <f t="shared" si="344"/>
        <v>13</v>
      </c>
      <c r="N2338" t="s">
        <v>3323</v>
      </c>
      <c r="O2338" t="str">
        <f t="shared" si="347"/>
        <v>58111</v>
      </c>
      <c r="P2338" t="str">
        <f>"2200L"</f>
        <v>2200L</v>
      </c>
      <c r="Q2338" t="str">
        <f t="shared" si="346"/>
        <v>0101</v>
      </c>
      <c r="R2338">
        <v>2200</v>
      </c>
      <c r="S2338" t="str">
        <f t="shared" si="348"/>
        <v>5810</v>
      </c>
      <c r="T2338" t="s">
        <v>3656</v>
      </c>
      <c r="U2338" t="s">
        <v>1950</v>
      </c>
    </row>
    <row r="2339" spans="1:21" ht="15" customHeight="1" x14ac:dyDescent="0.3">
      <c r="A2339" t="s">
        <v>179</v>
      </c>
      <c r="B2339" t="str">
        <f>"00066687"</f>
        <v>00066687</v>
      </c>
      <c r="C2339" t="s">
        <v>4274</v>
      </c>
      <c r="D2339" t="s">
        <v>5008</v>
      </c>
      <c r="E2339" t="str">
        <f>"00067522"</f>
        <v>00067522</v>
      </c>
      <c r="F2339">
        <v>0</v>
      </c>
      <c r="G2339" s="243">
        <v>40917</v>
      </c>
      <c r="H2339" t="s">
        <v>182</v>
      </c>
      <c r="I2339">
        <v>4</v>
      </c>
      <c r="J2339">
        <v>5</v>
      </c>
      <c r="K2339">
        <v>1</v>
      </c>
      <c r="L2339">
        <v>25239.37</v>
      </c>
      <c r="M2339" t="str">
        <f t="shared" si="344"/>
        <v>13</v>
      </c>
      <c r="N2339" t="s">
        <v>3323</v>
      </c>
      <c r="O2339" t="str">
        <f t="shared" si="347"/>
        <v>58111</v>
      </c>
      <c r="P2339" t="str">
        <f>"2200L"</f>
        <v>2200L</v>
      </c>
      <c r="Q2339" t="str">
        <f t="shared" si="346"/>
        <v>0101</v>
      </c>
      <c r="R2339">
        <v>2200</v>
      </c>
      <c r="S2339" t="str">
        <f t="shared" si="348"/>
        <v>5810</v>
      </c>
      <c r="T2339" t="s">
        <v>3656</v>
      </c>
      <c r="U2339" t="s">
        <v>1950</v>
      </c>
    </row>
    <row r="2340" spans="1:21" ht="15" customHeight="1" x14ac:dyDescent="0.3">
      <c r="A2340" t="s">
        <v>179</v>
      </c>
      <c r="B2340" t="str">
        <f>"00066698"</f>
        <v>00066698</v>
      </c>
      <c r="C2340" t="s">
        <v>4274</v>
      </c>
      <c r="D2340" t="s">
        <v>5009</v>
      </c>
      <c r="E2340" t="str">
        <f>"00060260"</f>
        <v>00060260</v>
      </c>
      <c r="F2340">
        <v>0</v>
      </c>
      <c r="G2340" s="243">
        <v>40198</v>
      </c>
      <c r="H2340" t="s">
        <v>182</v>
      </c>
      <c r="I2340">
        <v>4</v>
      </c>
      <c r="J2340">
        <v>4</v>
      </c>
      <c r="K2340">
        <v>1</v>
      </c>
      <c r="L2340">
        <v>24543.75</v>
      </c>
      <c r="M2340" t="str">
        <f t="shared" si="344"/>
        <v>13</v>
      </c>
      <c r="N2340" t="s">
        <v>3323</v>
      </c>
      <c r="O2340" t="str">
        <f t="shared" si="347"/>
        <v>58111</v>
      </c>
      <c r="P2340" t="str">
        <f>"2200L"</f>
        <v>2200L</v>
      </c>
      <c r="Q2340" t="str">
        <f t="shared" si="346"/>
        <v>0101</v>
      </c>
      <c r="R2340">
        <v>2200</v>
      </c>
      <c r="S2340" t="str">
        <f t="shared" si="348"/>
        <v>5810</v>
      </c>
      <c r="T2340" t="s">
        <v>3656</v>
      </c>
      <c r="U2340" t="s">
        <v>1950</v>
      </c>
    </row>
    <row r="2341" spans="1:21" ht="15" customHeight="1" x14ac:dyDescent="0.3">
      <c r="A2341" t="s">
        <v>179</v>
      </c>
      <c r="B2341" t="str">
        <f>"00067457"</f>
        <v>00067457</v>
      </c>
      <c r="C2341" t="s">
        <v>4260</v>
      </c>
      <c r="D2341" t="s">
        <v>2277</v>
      </c>
      <c r="E2341" t="str">
        <f>"00057800"</f>
        <v>00057800</v>
      </c>
      <c r="F2341">
        <v>0</v>
      </c>
      <c r="G2341" s="243">
        <v>40042</v>
      </c>
      <c r="H2341" t="s">
        <v>182</v>
      </c>
      <c r="I2341">
        <v>15</v>
      </c>
      <c r="J2341">
        <v>11</v>
      </c>
      <c r="K2341">
        <v>1</v>
      </c>
      <c r="L2341">
        <v>83774</v>
      </c>
      <c r="M2341" t="str">
        <f t="shared" si="344"/>
        <v>13</v>
      </c>
      <c r="N2341" t="s">
        <v>3323</v>
      </c>
      <c r="O2341" t="str">
        <f t="shared" si="347"/>
        <v>58111</v>
      </c>
      <c r="P2341" t="str">
        <f>"2100L"</f>
        <v>2100L</v>
      </c>
      <c r="Q2341" t="str">
        <f t="shared" si="346"/>
        <v>0101</v>
      </c>
      <c r="R2341">
        <v>2100</v>
      </c>
      <c r="S2341" t="str">
        <f t="shared" si="348"/>
        <v>5810</v>
      </c>
      <c r="T2341" t="s">
        <v>3656</v>
      </c>
      <c r="U2341" t="s">
        <v>1950</v>
      </c>
    </row>
    <row r="2342" spans="1:21" ht="15" customHeight="1" x14ac:dyDescent="0.3">
      <c r="A2342" t="s">
        <v>179</v>
      </c>
      <c r="B2342" t="str">
        <f>"00068164"</f>
        <v>00068164</v>
      </c>
      <c r="C2342" t="s">
        <v>4272</v>
      </c>
      <c r="D2342" t="s">
        <v>2278</v>
      </c>
      <c r="E2342" t="str">
        <f>"00049275"</f>
        <v>00049275</v>
      </c>
      <c r="F2342">
        <v>0</v>
      </c>
      <c r="G2342" s="243">
        <v>38265</v>
      </c>
      <c r="H2342" t="s">
        <v>182</v>
      </c>
      <c r="I2342">
        <v>15</v>
      </c>
      <c r="J2342">
        <v>6</v>
      </c>
      <c r="K2342">
        <v>1</v>
      </c>
      <c r="L2342">
        <v>66078</v>
      </c>
      <c r="M2342" t="str">
        <f t="shared" si="344"/>
        <v>13</v>
      </c>
      <c r="N2342" t="s">
        <v>3323</v>
      </c>
      <c r="O2342" t="str">
        <f t="shared" si="347"/>
        <v>58111</v>
      </c>
      <c r="P2342" t="str">
        <f>"2200L"</f>
        <v>2200L</v>
      </c>
      <c r="Q2342" t="str">
        <f t="shared" si="346"/>
        <v>0101</v>
      </c>
      <c r="R2342">
        <v>2200</v>
      </c>
      <c r="S2342" t="str">
        <f t="shared" si="348"/>
        <v>5810</v>
      </c>
      <c r="T2342" t="s">
        <v>3656</v>
      </c>
      <c r="U2342" t="s">
        <v>1950</v>
      </c>
    </row>
    <row r="2343" spans="1:21" ht="15" customHeight="1" x14ac:dyDescent="0.3">
      <c r="A2343" t="s">
        <v>179</v>
      </c>
      <c r="B2343" t="str">
        <f>"00073807"</f>
        <v>00073807</v>
      </c>
      <c r="C2343" t="s">
        <v>4260</v>
      </c>
      <c r="D2343" t="s">
        <v>5010</v>
      </c>
      <c r="E2343" t="str">
        <f>"00069928"</f>
        <v>00069928</v>
      </c>
      <c r="F2343">
        <v>0</v>
      </c>
      <c r="G2343" s="243">
        <v>41133</v>
      </c>
      <c r="H2343" t="s">
        <v>182</v>
      </c>
      <c r="I2343">
        <v>15</v>
      </c>
      <c r="J2343">
        <v>5</v>
      </c>
      <c r="K2343">
        <v>1</v>
      </c>
      <c r="L2343">
        <v>66078</v>
      </c>
      <c r="M2343" t="str">
        <f t="shared" si="344"/>
        <v>13</v>
      </c>
      <c r="N2343" t="s">
        <v>3323</v>
      </c>
      <c r="O2343" t="str">
        <f t="shared" si="347"/>
        <v>58111</v>
      </c>
      <c r="P2343" t="str">
        <f>"3030L"</f>
        <v>3030L</v>
      </c>
      <c r="Q2343" t="str">
        <f t="shared" si="346"/>
        <v>0101</v>
      </c>
      <c r="R2343">
        <v>3030</v>
      </c>
      <c r="S2343" t="str">
        <f t="shared" si="348"/>
        <v>5810</v>
      </c>
      <c r="T2343" t="s">
        <v>3656</v>
      </c>
      <c r="U2343" t="s">
        <v>1950</v>
      </c>
    </row>
    <row r="2344" spans="1:21" ht="15" customHeight="1" x14ac:dyDescent="0.3">
      <c r="A2344" t="s">
        <v>179</v>
      </c>
      <c r="B2344" t="str">
        <f>"00074270"</f>
        <v>00074270</v>
      </c>
      <c r="C2344" t="s">
        <v>4290</v>
      </c>
      <c r="D2344" t="s">
        <v>5011</v>
      </c>
      <c r="E2344" t="str">
        <f>"00054886"</f>
        <v>00054886</v>
      </c>
      <c r="F2344">
        <v>0</v>
      </c>
      <c r="G2344" s="243">
        <v>40770</v>
      </c>
      <c r="H2344" t="s">
        <v>182</v>
      </c>
      <c r="I2344">
        <v>4</v>
      </c>
      <c r="J2344">
        <v>10</v>
      </c>
      <c r="K2344">
        <v>0.71</v>
      </c>
      <c r="L2344">
        <v>28721</v>
      </c>
      <c r="M2344" t="str">
        <f t="shared" si="344"/>
        <v>13</v>
      </c>
      <c r="N2344" t="s">
        <v>3323</v>
      </c>
      <c r="O2344" t="str">
        <f t="shared" si="347"/>
        <v>58111</v>
      </c>
      <c r="P2344" t="str">
        <f>"2100L"</f>
        <v>2100L</v>
      </c>
      <c r="Q2344" t="str">
        <f t="shared" si="346"/>
        <v>0101</v>
      </c>
      <c r="R2344">
        <v>2100</v>
      </c>
      <c r="S2344" t="str">
        <f t="shared" si="348"/>
        <v>5810</v>
      </c>
      <c r="T2344" t="s">
        <v>3656</v>
      </c>
      <c r="U2344" t="s">
        <v>1950</v>
      </c>
    </row>
    <row r="2345" spans="1:21" ht="15" customHeight="1" x14ac:dyDescent="0.3">
      <c r="A2345" t="s">
        <v>179</v>
      </c>
      <c r="B2345" t="str">
        <f>"00074272"</f>
        <v>00074272</v>
      </c>
      <c r="C2345" t="s">
        <v>4291</v>
      </c>
      <c r="D2345" t="s">
        <v>3657</v>
      </c>
      <c r="E2345" t="str">
        <f>"00066075"</f>
        <v>00066075</v>
      </c>
      <c r="F2345">
        <v>0</v>
      </c>
      <c r="G2345" s="243">
        <v>40755</v>
      </c>
      <c r="H2345" t="s">
        <v>182</v>
      </c>
      <c r="I2345">
        <v>15</v>
      </c>
      <c r="J2345">
        <v>6</v>
      </c>
      <c r="K2345">
        <v>0.5</v>
      </c>
      <c r="L2345">
        <v>29299.5</v>
      </c>
      <c r="M2345" t="str">
        <f t="shared" si="344"/>
        <v>13</v>
      </c>
      <c r="N2345" t="s">
        <v>3323</v>
      </c>
      <c r="O2345" t="str">
        <f t="shared" si="347"/>
        <v>58111</v>
      </c>
      <c r="P2345" t="str">
        <f>"2100L"</f>
        <v>2100L</v>
      </c>
      <c r="Q2345" t="str">
        <f t="shared" si="346"/>
        <v>0101</v>
      </c>
      <c r="R2345">
        <v>2100</v>
      </c>
      <c r="S2345" t="str">
        <f t="shared" si="348"/>
        <v>5810</v>
      </c>
      <c r="T2345" t="s">
        <v>3656</v>
      </c>
      <c r="U2345" t="s">
        <v>1950</v>
      </c>
    </row>
    <row r="2346" spans="1:21" ht="15" customHeight="1" x14ac:dyDescent="0.3">
      <c r="A2346" t="s">
        <v>179</v>
      </c>
      <c r="B2346" t="str">
        <f>"00075554"</f>
        <v>00075554</v>
      </c>
      <c r="C2346" t="s">
        <v>3798</v>
      </c>
      <c r="D2346" t="s">
        <v>2275</v>
      </c>
      <c r="E2346" t="str">
        <f>"00049474"</f>
        <v>00049474</v>
      </c>
      <c r="F2346">
        <v>0</v>
      </c>
      <c r="G2346" s="243">
        <v>33190</v>
      </c>
      <c r="H2346" t="s">
        <v>182</v>
      </c>
      <c r="I2346">
        <v>61</v>
      </c>
      <c r="J2346">
        <v>3</v>
      </c>
      <c r="K2346">
        <v>1</v>
      </c>
      <c r="L2346">
        <v>110000</v>
      </c>
      <c r="M2346" t="str">
        <f t="shared" si="344"/>
        <v>13</v>
      </c>
      <c r="N2346" t="s">
        <v>3370</v>
      </c>
      <c r="O2346" t="str">
        <f t="shared" si="347"/>
        <v>58111</v>
      </c>
      <c r="P2346" t="str">
        <f>"3030L"</f>
        <v>3030L</v>
      </c>
      <c r="Q2346" t="str">
        <f t="shared" si="346"/>
        <v>0101</v>
      </c>
      <c r="R2346">
        <v>3030</v>
      </c>
      <c r="S2346" t="str">
        <f t="shared" si="348"/>
        <v>5810</v>
      </c>
      <c r="T2346" t="s">
        <v>3656</v>
      </c>
      <c r="U2346" t="s">
        <v>1950</v>
      </c>
    </row>
    <row r="2347" spans="1:21" ht="15" customHeight="1" x14ac:dyDescent="0.3">
      <c r="A2347" t="s">
        <v>179</v>
      </c>
      <c r="B2347" t="str">
        <f>"00076312"</f>
        <v>00076312</v>
      </c>
      <c r="C2347" t="s">
        <v>4998</v>
      </c>
      <c r="D2347" t="s">
        <v>5012</v>
      </c>
      <c r="E2347" t="str">
        <f>"00069759"</f>
        <v>00069759</v>
      </c>
      <c r="F2347">
        <v>0</v>
      </c>
      <c r="G2347" s="243">
        <v>41133</v>
      </c>
      <c r="H2347" t="s">
        <v>182</v>
      </c>
      <c r="I2347">
        <v>15</v>
      </c>
      <c r="J2347">
        <v>10</v>
      </c>
      <c r="K2347">
        <v>0.5</v>
      </c>
      <c r="L2347">
        <v>39136.5</v>
      </c>
      <c r="M2347" t="str">
        <f t="shared" si="344"/>
        <v>13</v>
      </c>
      <c r="N2347" t="s">
        <v>3370</v>
      </c>
      <c r="O2347" t="str">
        <f t="shared" si="347"/>
        <v>58111</v>
      </c>
      <c r="P2347" t="str">
        <f t="shared" ref="P2347:P2354" si="350">"2100L"</f>
        <v>2100L</v>
      </c>
      <c r="Q2347" t="str">
        <f t="shared" si="346"/>
        <v>0101</v>
      </c>
      <c r="R2347">
        <v>2100</v>
      </c>
      <c r="S2347" t="str">
        <f t="shared" si="348"/>
        <v>5810</v>
      </c>
      <c r="T2347" t="s">
        <v>3656</v>
      </c>
      <c r="U2347" t="s">
        <v>1950</v>
      </c>
    </row>
    <row r="2348" spans="1:21" ht="15" customHeight="1" x14ac:dyDescent="0.3">
      <c r="A2348" t="s">
        <v>179</v>
      </c>
      <c r="B2348" t="str">
        <f>"00076313"</f>
        <v>00076313</v>
      </c>
      <c r="C2348" t="s">
        <v>4271</v>
      </c>
      <c r="H2348" t="s">
        <v>170</v>
      </c>
      <c r="I2348">
        <v>15</v>
      </c>
      <c r="J2348">
        <v>0</v>
      </c>
      <c r="K2348">
        <v>0.5</v>
      </c>
      <c r="L2348">
        <v>54975</v>
      </c>
      <c r="M2348" t="str">
        <f t="shared" si="344"/>
        <v>13</v>
      </c>
      <c r="N2348" t="s">
        <v>3370</v>
      </c>
      <c r="O2348" t="str">
        <f t="shared" si="347"/>
        <v>58111</v>
      </c>
      <c r="P2348" t="str">
        <f t="shared" si="350"/>
        <v>2100L</v>
      </c>
      <c r="Q2348" t="str">
        <f t="shared" si="346"/>
        <v>0101</v>
      </c>
      <c r="R2348">
        <v>2100</v>
      </c>
      <c r="S2348" t="str">
        <f t="shared" si="348"/>
        <v>5810</v>
      </c>
      <c r="T2348" t="s">
        <v>3656</v>
      </c>
      <c r="U2348" t="s">
        <v>1950</v>
      </c>
    </row>
    <row r="2349" spans="1:21" ht="15" customHeight="1" x14ac:dyDescent="0.3">
      <c r="A2349" t="s">
        <v>179</v>
      </c>
      <c r="B2349" t="str">
        <f>"00076314"</f>
        <v>00076314</v>
      </c>
      <c r="C2349" t="s">
        <v>4253</v>
      </c>
      <c r="D2349" t="s">
        <v>5013</v>
      </c>
      <c r="E2349" t="str">
        <f>"00069868"</f>
        <v>00069868</v>
      </c>
      <c r="F2349">
        <v>0</v>
      </c>
      <c r="G2349" s="243">
        <v>41133</v>
      </c>
      <c r="H2349" t="s">
        <v>182</v>
      </c>
      <c r="I2349">
        <v>15</v>
      </c>
      <c r="J2349">
        <v>10</v>
      </c>
      <c r="K2349">
        <v>1</v>
      </c>
      <c r="L2349">
        <v>78273</v>
      </c>
      <c r="M2349" t="str">
        <f t="shared" si="344"/>
        <v>13</v>
      </c>
      <c r="N2349" t="s">
        <v>3370</v>
      </c>
      <c r="O2349" t="str">
        <f t="shared" si="347"/>
        <v>58111</v>
      </c>
      <c r="P2349" t="str">
        <f t="shared" si="350"/>
        <v>2100L</v>
      </c>
      <c r="Q2349" t="str">
        <f t="shared" si="346"/>
        <v>0101</v>
      </c>
      <c r="R2349">
        <v>2100</v>
      </c>
      <c r="S2349" t="str">
        <f t="shared" si="348"/>
        <v>5810</v>
      </c>
      <c r="T2349" t="s">
        <v>3656</v>
      </c>
      <c r="U2349" t="s">
        <v>1950</v>
      </c>
    </row>
    <row r="2350" spans="1:21" ht="15" customHeight="1" x14ac:dyDescent="0.3">
      <c r="A2350" t="s">
        <v>179</v>
      </c>
      <c r="B2350" t="str">
        <f>"00076315"</f>
        <v>00076315</v>
      </c>
      <c r="C2350" t="s">
        <v>200</v>
      </c>
      <c r="D2350" t="s">
        <v>1963</v>
      </c>
      <c r="E2350" t="str">
        <f>"00051744"</f>
        <v>00051744</v>
      </c>
      <c r="F2350">
        <v>0</v>
      </c>
      <c r="G2350" s="243">
        <v>39677</v>
      </c>
      <c r="H2350" t="s">
        <v>182</v>
      </c>
      <c r="I2350">
        <v>15</v>
      </c>
      <c r="J2350">
        <v>12</v>
      </c>
      <c r="K2350">
        <v>1</v>
      </c>
      <c r="L2350">
        <v>92613</v>
      </c>
      <c r="M2350" t="str">
        <f t="shared" si="344"/>
        <v>13</v>
      </c>
      <c r="N2350" t="s">
        <v>3370</v>
      </c>
      <c r="O2350" t="str">
        <f t="shared" si="347"/>
        <v>58111</v>
      </c>
      <c r="P2350" t="str">
        <f t="shared" si="350"/>
        <v>2100L</v>
      </c>
      <c r="Q2350" t="str">
        <f t="shared" si="346"/>
        <v>0101</v>
      </c>
      <c r="R2350">
        <v>2100</v>
      </c>
      <c r="S2350" t="str">
        <f t="shared" si="348"/>
        <v>5810</v>
      </c>
      <c r="T2350" t="s">
        <v>3656</v>
      </c>
      <c r="U2350" t="s">
        <v>1950</v>
      </c>
    </row>
    <row r="2351" spans="1:21" ht="15" customHeight="1" x14ac:dyDescent="0.3">
      <c r="A2351" t="s">
        <v>179</v>
      </c>
      <c r="B2351" t="str">
        <f>"00076814"</f>
        <v>00076814</v>
      </c>
      <c r="C2351" t="s">
        <v>4271</v>
      </c>
      <c r="D2351" t="s">
        <v>5014</v>
      </c>
      <c r="E2351" t="str">
        <f>"00070087"</f>
        <v>00070087</v>
      </c>
      <c r="F2351">
        <v>0</v>
      </c>
      <c r="G2351" s="243">
        <v>41133</v>
      </c>
      <c r="H2351" t="s">
        <v>182</v>
      </c>
      <c r="I2351">
        <v>15</v>
      </c>
      <c r="J2351">
        <v>6</v>
      </c>
      <c r="K2351">
        <v>0.5</v>
      </c>
      <c r="L2351">
        <v>34268.5</v>
      </c>
      <c r="M2351" t="str">
        <f t="shared" si="344"/>
        <v>13</v>
      </c>
      <c r="N2351" t="s">
        <v>3370</v>
      </c>
      <c r="O2351" t="str">
        <f t="shared" si="347"/>
        <v>58111</v>
      </c>
      <c r="P2351" t="str">
        <f t="shared" si="350"/>
        <v>2100L</v>
      </c>
      <c r="Q2351" t="str">
        <f t="shared" si="346"/>
        <v>0101</v>
      </c>
      <c r="R2351">
        <v>2100</v>
      </c>
      <c r="S2351" t="str">
        <f t="shared" si="348"/>
        <v>5810</v>
      </c>
      <c r="T2351" t="s">
        <v>3656</v>
      </c>
      <c r="U2351" t="s">
        <v>1950</v>
      </c>
    </row>
    <row r="2352" spans="1:21" ht="15" customHeight="1" x14ac:dyDescent="0.3">
      <c r="A2352" t="s">
        <v>206</v>
      </c>
      <c r="B2352" t="str">
        <f>"00076854"</f>
        <v>00076854</v>
      </c>
      <c r="C2352" t="s">
        <v>4271</v>
      </c>
      <c r="H2352" t="s">
        <v>170</v>
      </c>
      <c r="I2352">
        <v>15</v>
      </c>
      <c r="J2352">
        <v>0</v>
      </c>
      <c r="K2352">
        <v>0.5</v>
      </c>
      <c r="L2352">
        <v>56693</v>
      </c>
      <c r="M2352" t="str">
        <f t="shared" si="344"/>
        <v>13</v>
      </c>
      <c r="N2352" t="s">
        <v>3370</v>
      </c>
      <c r="O2352" t="str">
        <f t="shared" si="347"/>
        <v>58111</v>
      </c>
      <c r="P2352" t="str">
        <f t="shared" si="350"/>
        <v>2100L</v>
      </c>
      <c r="Q2352" t="str">
        <f t="shared" si="346"/>
        <v>0101</v>
      </c>
      <c r="R2352">
        <v>2100</v>
      </c>
      <c r="S2352" t="str">
        <f t="shared" si="348"/>
        <v>5810</v>
      </c>
      <c r="T2352" t="s">
        <v>3656</v>
      </c>
      <c r="U2352" t="s">
        <v>1950</v>
      </c>
    </row>
    <row r="2353" spans="1:21" ht="15" customHeight="1" x14ac:dyDescent="0.3">
      <c r="A2353" t="s">
        <v>179</v>
      </c>
      <c r="B2353" t="str">
        <f>"00051873"</f>
        <v>00051873</v>
      </c>
      <c r="C2353" t="s">
        <v>4272</v>
      </c>
      <c r="D2353" t="s">
        <v>1984</v>
      </c>
      <c r="E2353" t="str">
        <f>"00046350"</f>
        <v>00046350</v>
      </c>
      <c r="F2353">
        <v>0</v>
      </c>
      <c r="G2353" s="243">
        <v>32387</v>
      </c>
      <c r="H2353" t="s">
        <v>182</v>
      </c>
      <c r="I2353">
        <v>15</v>
      </c>
      <c r="J2353">
        <v>16</v>
      </c>
      <c r="K2353">
        <v>1</v>
      </c>
      <c r="L2353">
        <v>100839</v>
      </c>
      <c r="M2353" t="str">
        <f t="shared" si="344"/>
        <v>13</v>
      </c>
      <c r="N2353" t="s">
        <v>3323</v>
      </c>
      <c r="O2353" t="str">
        <f t="shared" ref="O2353:O2385" si="351">"58211"</f>
        <v>58211</v>
      </c>
      <c r="P2353" t="str">
        <f t="shared" si="350"/>
        <v>2100L</v>
      </c>
      <c r="Q2353" t="str">
        <f t="shared" si="346"/>
        <v>0101</v>
      </c>
      <c r="R2353">
        <v>2100</v>
      </c>
      <c r="S2353" t="str">
        <f t="shared" ref="S2353:S2385" si="352">"5820"</f>
        <v>5820</v>
      </c>
      <c r="T2353" t="s">
        <v>3658</v>
      </c>
      <c r="U2353" t="s">
        <v>56</v>
      </c>
    </row>
    <row r="2354" spans="1:21" ht="15" customHeight="1" x14ac:dyDescent="0.3">
      <c r="A2354" t="s">
        <v>179</v>
      </c>
      <c r="B2354" t="str">
        <f>"00052458"</f>
        <v>00052458</v>
      </c>
      <c r="C2354" t="s">
        <v>4262</v>
      </c>
      <c r="D2354" t="s">
        <v>1985</v>
      </c>
      <c r="E2354" t="str">
        <f>"00048316"</f>
        <v>00048316</v>
      </c>
      <c r="F2354">
        <v>0</v>
      </c>
      <c r="G2354" s="243">
        <v>32690</v>
      </c>
      <c r="H2354" t="s">
        <v>182</v>
      </c>
      <c r="I2354">
        <v>15</v>
      </c>
      <c r="J2354">
        <v>13</v>
      </c>
      <c r="K2354">
        <v>1</v>
      </c>
      <c r="L2354">
        <v>81724</v>
      </c>
      <c r="M2354" t="str">
        <f t="shared" ref="M2354:M2410" si="353">"13"</f>
        <v>13</v>
      </c>
      <c r="N2354" t="s">
        <v>3323</v>
      </c>
      <c r="O2354" t="str">
        <f t="shared" si="351"/>
        <v>58211</v>
      </c>
      <c r="P2354" t="str">
        <f t="shared" si="350"/>
        <v>2100L</v>
      </c>
      <c r="Q2354" t="str">
        <f t="shared" si="346"/>
        <v>0101</v>
      </c>
      <c r="R2354">
        <v>2100</v>
      </c>
      <c r="S2354" t="str">
        <f t="shared" si="352"/>
        <v>5820</v>
      </c>
      <c r="T2354" t="s">
        <v>3658</v>
      </c>
      <c r="U2354" t="s">
        <v>56</v>
      </c>
    </row>
    <row r="2355" spans="1:21" ht="15" customHeight="1" x14ac:dyDescent="0.3">
      <c r="A2355" t="s">
        <v>179</v>
      </c>
      <c r="B2355" t="str">
        <f>"00052895"</f>
        <v>00052895</v>
      </c>
      <c r="C2355" t="s">
        <v>4272</v>
      </c>
      <c r="D2355" t="s">
        <v>1986</v>
      </c>
      <c r="E2355" t="str">
        <f>"00049732"</f>
        <v>00049732</v>
      </c>
      <c r="F2355">
        <v>0</v>
      </c>
      <c r="G2355" s="243">
        <v>31923</v>
      </c>
      <c r="H2355" t="s">
        <v>182</v>
      </c>
      <c r="I2355">
        <v>15</v>
      </c>
      <c r="J2355">
        <v>14</v>
      </c>
      <c r="K2355">
        <v>1</v>
      </c>
      <c r="L2355">
        <v>102160</v>
      </c>
      <c r="M2355" t="str">
        <f t="shared" si="353"/>
        <v>13</v>
      </c>
      <c r="N2355" t="s">
        <v>3323</v>
      </c>
      <c r="O2355" t="str">
        <f t="shared" si="351"/>
        <v>58211</v>
      </c>
      <c r="P2355" t="str">
        <f>"2200L"</f>
        <v>2200L</v>
      </c>
      <c r="Q2355" t="str">
        <f t="shared" si="346"/>
        <v>0101</v>
      </c>
      <c r="R2355">
        <v>2200</v>
      </c>
      <c r="S2355" t="str">
        <f t="shared" si="352"/>
        <v>5820</v>
      </c>
      <c r="T2355" t="s">
        <v>3658</v>
      </c>
      <c r="U2355" t="s">
        <v>56</v>
      </c>
    </row>
    <row r="2356" spans="1:21" ht="15" customHeight="1" x14ac:dyDescent="0.3">
      <c r="A2356" t="s">
        <v>179</v>
      </c>
      <c r="B2356" t="str">
        <f>"00053658"</f>
        <v>00053658</v>
      </c>
      <c r="C2356" t="s">
        <v>3798</v>
      </c>
      <c r="D2356" t="s">
        <v>1988</v>
      </c>
      <c r="E2356" t="str">
        <f>"00052093"</f>
        <v>00052093</v>
      </c>
      <c r="F2356">
        <v>0</v>
      </c>
      <c r="G2356" s="243">
        <v>36164</v>
      </c>
      <c r="H2356" t="s">
        <v>182</v>
      </c>
      <c r="I2356">
        <v>61</v>
      </c>
      <c r="J2356">
        <v>7</v>
      </c>
      <c r="K2356">
        <v>1</v>
      </c>
      <c r="L2356">
        <v>128000</v>
      </c>
      <c r="M2356" t="str">
        <f t="shared" si="353"/>
        <v>13</v>
      </c>
      <c r="N2356" t="s">
        <v>3323</v>
      </c>
      <c r="O2356" t="str">
        <f t="shared" si="351"/>
        <v>58211</v>
      </c>
      <c r="P2356" t="str">
        <f>"1501L"</f>
        <v>1501L</v>
      </c>
      <c r="Q2356" t="str">
        <f t="shared" si="346"/>
        <v>0101</v>
      </c>
      <c r="R2356">
        <v>1501</v>
      </c>
      <c r="S2356" t="str">
        <f t="shared" si="352"/>
        <v>5820</v>
      </c>
      <c r="T2356" t="s">
        <v>3658</v>
      </c>
      <c r="U2356" t="s">
        <v>56</v>
      </c>
    </row>
    <row r="2357" spans="1:21" ht="15" customHeight="1" x14ac:dyDescent="0.3">
      <c r="A2357" t="s">
        <v>179</v>
      </c>
      <c r="B2357" t="str">
        <f>"00054443"</f>
        <v>00054443</v>
      </c>
      <c r="C2357" t="s">
        <v>4274</v>
      </c>
      <c r="D2357" t="s">
        <v>5015</v>
      </c>
      <c r="E2357" t="str">
        <f>"00033106"</f>
        <v>00033106</v>
      </c>
      <c r="F2357">
        <v>0</v>
      </c>
      <c r="G2357" s="243">
        <v>40770</v>
      </c>
      <c r="H2357" t="s">
        <v>182</v>
      </c>
      <c r="I2357">
        <v>4</v>
      </c>
      <c r="J2357">
        <v>1</v>
      </c>
      <c r="K2357">
        <v>0.875</v>
      </c>
      <c r="L2357">
        <v>22454.25</v>
      </c>
      <c r="M2357" t="str">
        <f t="shared" si="353"/>
        <v>13</v>
      </c>
      <c r="N2357" t="s">
        <v>3323</v>
      </c>
      <c r="O2357" t="str">
        <f t="shared" si="351"/>
        <v>58211</v>
      </c>
      <c r="P2357" t="str">
        <f>"2200L"</f>
        <v>2200L</v>
      </c>
      <c r="Q2357" t="str">
        <f t="shared" si="346"/>
        <v>0101</v>
      </c>
      <c r="R2357">
        <v>2200</v>
      </c>
      <c r="S2357" t="str">
        <f t="shared" si="352"/>
        <v>5820</v>
      </c>
      <c r="T2357" t="s">
        <v>3658</v>
      </c>
      <c r="U2357" t="s">
        <v>56</v>
      </c>
    </row>
    <row r="2358" spans="1:21" ht="15" customHeight="1" x14ac:dyDescent="0.3">
      <c r="A2358" t="s">
        <v>179</v>
      </c>
      <c r="B2358" t="str">
        <f>"00054737"</f>
        <v>00054737</v>
      </c>
      <c r="C2358" t="s">
        <v>4272</v>
      </c>
      <c r="D2358" t="s">
        <v>1989</v>
      </c>
      <c r="E2358" t="str">
        <f>"00054511"</f>
        <v>00054511</v>
      </c>
      <c r="F2358">
        <v>0</v>
      </c>
      <c r="G2358" s="243">
        <v>32587</v>
      </c>
      <c r="H2358" t="s">
        <v>182</v>
      </c>
      <c r="I2358">
        <v>15</v>
      </c>
      <c r="J2358">
        <v>15</v>
      </c>
      <c r="K2358">
        <v>1</v>
      </c>
      <c r="L2358">
        <v>103985</v>
      </c>
      <c r="M2358" t="str">
        <f t="shared" si="353"/>
        <v>13</v>
      </c>
      <c r="N2358" t="s">
        <v>3323</v>
      </c>
      <c r="O2358" t="str">
        <f t="shared" si="351"/>
        <v>58211</v>
      </c>
      <c r="P2358" t="str">
        <f>"2100L"</f>
        <v>2100L</v>
      </c>
      <c r="Q2358" t="str">
        <f t="shared" si="346"/>
        <v>0101</v>
      </c>
      <c r="R2358">
        <v>2100</v>
      </c>
      <c r="S2358" t="str">
        <f t="shared" si="352"/>
        <v>5820</v>
      </c>
      <c r="T2358" t="s">
        <v>3658</v>
      </c>
      <c r="U2358" t="s">
        <v>56</v>
      </c>
    </row>
    <row r="2359" spans="1:21" ht="15" customHeight="1" x14ac:dyDescent="0.3">
      <c r="A2359" t="s">
        <v>179</v>
      </c>
      <c r="B2359" t="str">
        <f>"00054755"</f>
        <v>00054755</v>
      </c>
      <c r="C2359" t="s">
        <v>4262</v>
      </c>
      <c r="D2359" t="s">
        <v>1990</v>
      </c>
      <c r="E2359" t="str">
        <f>"00054576"</f>
        <v>00054576</v>
      </c>
      <c r="F2359">
        <v>0</v>
      </c>
      <c r="G2359" s="243">
        <v>32050</v>
      </c>
      <c r="H2359" t="s">
        <v>182</v>
      </c>
      <c r="I2359">
        <v>15</v>
      </c>
      <c r="J2359">
        <v>16</v>
      </c>
      <c r="K2359">
        <v>1</v>
      </c>
      <c r="L2359">
        <v>100839</v>
      </c>
      <c r="M2359" t="str">
        <f t="shared" si="353"/>
        <v>13</v>
      </c>
      <c r="N2359" t="s">
        <v>3323</v>
      </c>
      <c r="O2359" t="str">
        <f t="shared" si="351"/>
        <v>58211</v>
      </c>
      <c r="P2359" t="str">
        <f>"2100L"</f>
        <v>2100L</v>
      </c>
      <c r="Q2359" t="str">
        <f t="shared" si="346"/>
        <v>0101</v>
      </c>
      <c r="R2359">
        <v>2100</v>
      </c>
      <c r="S2359" t="str">
        <f t="shared" si="352"/>
        <v>5820</v>
      </c>
      <c r="T2359" t="s">
        <v>3658</v>
      </c>
      <c r="U2359" t="s">
        <v>56</v>
      </c>
    </row>
    <row r="2360" spans="1:21" ht="15" customHeight="1" x14ac:dyDescent="0.3">
      <c r="A2360" t="s">
        <v>179</v>
      </c>
      <c r="B2360" t="str">
        <f>"00054769"</f>
        <v>00054769</v>
      </c>
      <c r="C2360" t="s">
        <v>4260</v>
      </c>
      <c r="D2360" t="s">
        <v>1991</v>
      </c>
      <c r="E2360" t="str">
        <f>"00054597"</f>
        <v>00054597</v>
      </c>
      <c r="F2360">
        <v>0</v>
      </c>
      <c r="G2360" s="243">
        <v>31651</v>
      </c>
      <c r="H2360" t="s">
        <v>182</v>
      </c>
      <c r="I2360">
        <v>15</v>
      </c>
      <c r="J2360">
        <v>16</v>
      </c>
      <c r="K2360">
        <v>1</v>
      </c>
      <c r="L2360">
        <v>100839</v>
      </c>
      <c r="M2360" t="str">
        <f t="shared" si="353"/>
        <v>13</v>
      </c>
      <c r="N2360" t="s">
        <v>3323</v>
      </c>
      <c r="O2360" t="str">
        <f t="shared" si="351"/>
        <v>58211</v>
      </c>
      <c r="P2360" t="str">
        <f>"3030L"</f>
        <v>3030L</v>
      </c>
      <c r="Q2360" t="str">
        <f t="shared" si="346"/>
        <v>0101</v>
      </c>
      <c r="R2360">
        <v>3030</v>
      </c>
      <c r="S2360" t="str">
        <f t="shared" si="352"/>
        <v>5820</v>
      </c>
      <c r="T2360" t="s">
        <v>3658</v>
      </c>
      <c r="U2360" t="s">
        <v>56</v>
      </c>
    </row>
    <row r="2361" spans="1:21" ht="15" customHeight="1" x14ac:dyDescent="0.3">
      <c r="A2361" t="s">
        <v>179</v>
      </c>
      <c r="B2361" t="str">
        <f>"00056939"</f>
        <v>00056939</v>
      </c>
      <c r="C2361" t="s">
        <v>200</v>
      </c>
      <c r="D2361" t="s">
        <v>1992</v>
      </c>
      <c r="E2361" t="str">
        <f>"00053304"</f>
        <v>00053304</v>
      </c>
      <c r="F2361">
        <v>0</v>
      </c>
      <c r="G2361" s="243">
        <v>35996</v>
      </c>
      <c r="H2361" t="s">
        <v>182</v>
      </c>
      <c r="I2361">
        <v>15</v>
      </c>
      <c r="J2361">
        <v>14</v>
      </c>
      <c r="K2361">
        <v>1</v>
      </c>
      <c r="L2361">
        <v>102160</v>
      </c>
      <c r="M2361" t="str">
        <f t="shared" si="353"/>
        <v>13</v>
      </c>
      <c r="N2361" t="s">
        <v>3323</v>
      </c>
      <c r="O2361" t="str">
        <f t="shared" si="351"/>
        <v>58211</v>
      </c>
      <c r="P2361" t="str">
        <f>"3030L"</f>
        <v>3030L</v>
      </c>
      <c r="Q2361" t="str">
        <f t="shared" si="346"/>
        <v>0101</v>
      </c>
      <c r="R2361">
        <v>3030</v>
      </c>
      <c r="S2361" t="str">
        <f t="shared" si="352"/>
        <v>5820</v>
      </c>
      <c r="T2361" t="s">
        <v>3658</v>
      </c>
      <c r="U2361" t="s">
        <v>56</v>
      </c>
    </row>
    <row r="2362" spans="1:21" ht="15" customHeight="1" x14ac:dyDescent="0.3">
      <c r="A2362" t="s">
        <v>179</v>
      </c>
      <c r="B2362" t="str">
        <f>"00057082"</f>
        <v>00057082</v>
      </c>
      <c r="C2362" t="s">
        <v>4262</v>
      </c>
      <c r="D2362" t="s">
        <v>1993</v>
      </c>
      <c r="E2362" t="str">
        <f>"00046801"</f>
        <v>00046801</v>
      </c>
      <c r="F2362">
        <v>0</v>
      </c>
      <c r="G2362" s="243">
        <v>38218</v>
      </c>
      <c r="H2362" t="s">
        <v>182</v>
      </c>
      <c r="I2362">
        <v>15</v>
      </c>
      <c r="J2362">
        <v>12</v>
      </c>
      <c r="K2362">
        <v>1</v>
      </c>
      <c r="L2362">
        <v>75816</v>
      </c>
      <c r="M2362" t="str">
        <f t="shared" si="353"/>
        <v>13</v>
      </c>
      <c r="N2362" t="s">
        <v>3323</v>
      </c>
      <c r="O2362" t="str">
        <f t="shared" si="351"/>
        <v>58211</v>
      </c>
      <c r="P2362" t="str">
        <f>"2100L"</f>
        <v>2100L</v>
      </c>
      <c r="Q2362" t="str">
        <f t="shared" si="346"/>
        <v>0101</v>
      </c>
      <c r="R2362">
        <v>2100</v>
      </c>
      <c r="S2362" t="str">
        <f t="shared" si="352"/>
        <v>5820</v>
      </c>
      <c r="T2362" t="s">
        <v>3658</v>
      </c>
      <c r="U2362" t="s">
        <v>56</v>
      </c>
    </row>
    <row r="2363" spans="1:21" ht="15" customHeight="1" x14ac:dyDescent="0.3">
      <c r="A2363" t="s">
        <v>179</v>
      </c>
      <c r="B2363" t="str">
        <f>"00057161"</f>
        <v>00057161</v>
      </c>
      <c r="C2363" t="s">
        <v>4262</v>
      </c>
      <c r="D2363" t="s">
        <v>1994</v>
      </c>
      <c r="E2363" t="str">
        <f>"00048113"</f>
        <v>00048113</v>
      </c>
      <c r="F2363">
        <v>0</v>
      </c>
      <c r="G2363" s="243">
        <v>32063</v>
      </c>
      <c r="H2363" t="s">
        <v>182</v>
      </c>
      <c r="I2363">
        <v>15</v>
      </c>
      <c r="J2363">
        <v>13</v>
      </c>
      <c r="K2363">
        <v>1</v>
      </c>
      <c r="L2363">
        <v>86613</v>
      </c>
      <c r="M2363" t="str">
        <f t="shared" si="353"/>
        <v>13</v>
      </c>
      <c r="N2363" t="s">
        <v>3323</v>
      </c>
      <c r="O2363" t="str">
        <f t="shared" si="351"/>
        <v>58211</v>
      </c>
      <c r="P2363" t="str">
        <f>"2100L"</f>
        <v>2100L</v>
      </c>
      <c r="Q2363" t="str">
        <f t="shared" si="346"/>
        <v>0101</v>
      </c>
      <c r="R2363">
        <v>2100</v>
      </c>
      <c r="S2363" t="str">
        <f t="shared" si="352"/>
        <v>5820</v>
      </c>
      <c r="T2363" t="s">
        <v>3658</v>
      </c>
      <c r="U2363" t="s">
        <v>56</v>
      </c>
    </row>
    <row r="2364" spans="1:21" ht="15" customHeight="1" x14ac:dyDescent="0.3">
      <c r="A2364" t="s">
        <v>179</v>
      </c>
      <c r="B2364" t="str">
        <f>"00057450"</f>
        <v>00057450</v>
      </c>
      <c r="C2364" t="s">
        <v>4258</v>
      </c>
      <c r="D2364" t="s">
        <v>1995</v>
      </c>
      <c r="E2364" t="str">
        <f>"00054159"</f>
        <v>00054159</v>
      </c>
      <c r="F2364">
        <v>0</v>
      </c>
      <c r="G2364" s="243">
        <v>36761</v>
      </c>
      <c r="H2364" t="s">
        <v>182</v>
      </c>
      <c r="I2364">
        <v>15</v>
      </c>
      <c r="J2364">
        <v>15</v>
      </c>
      <c r="K2364">
        <v>1</v>
      </c>
      <c r="L2364">
        <v>98285</v>
      </c>
      <c r="M2364" t="str">
        <f t="shared" si="353"/>
        <v>13</v>
      </c>
      <c r="N2364" t="s">
        <v>3323</v>
      </c>
      <c r="O2364" t="str">
        <f t="shared" si="351"/>
        <v>58211</v>
      </c>
      <c r="P2364" t="str">
        <f>"2100L"</f>
        <v>2100L</v>
      </c>
      <c r="Q2364" t="str">
        <f t="shared" si="346"/>
        <v>0101</v>
      </c>
      <c r="R2364">
        <v>2100</v>
      </c>
      <c r="S2364" t="str">
        <f t="shared" si="352"/>
        <v>5820</v>
      </c>
      <c r="T2364" t="s">
        <v>3658</v>
      </c>
      <c r="U2364" t="s">
        <v>56</v>
      </c>
    </row>
    <row r="2365" spans="1:21" ht="15" customHeight="1" x14ac:dyDescent="0.3">
      <c r="A2365" t="s">
        <v>179</v>
      </c>
      <c r="B2365" t="str">
        <f>"00060328"</f>
        <v>00060328</v>
      </c>
      <c r="C2365" t="s">
        <v>4256</v>
      </c>
      <c r="H2365" t="s">
        <v>170</v>
      </c>
      <c r="I2365">
        <v>15</v>
      </c>
      <c r="J2365">
        <v>1</v>
      </c>
      <c r="K2365">
        <v>0.5</v>
      </c>
      <c r="L2365">
        <v>54975</v>
      </c>
      <c r="M2365" t="str">
        <f t="shared" si="353"/>
        <v>13</v>
      </c>
      <c r="N2365" t="s">
        <v>3323</v>
      </c>
      <c r="O2365" t="str">
        <f t="shared" si="351"/>
        <v>58211</v>
      </c>
      <c r="P2365" t="str">
        <f>"2100L"</f>
        <v>2100L</v>
      </c>
      <c r="Q2365" t="str">
        <f t="shared" si="346"/>
        <v>0101</v>
      </c>
      <c r="R2365">
        <v>2100</v>
      </c>
      <c r="S2365" t="str">
        <f t="shared" si="352"/>
        <v>5820</v>
      </c>
      <c r="T2365" t="s">
        <v>3658</v>
      </c>
      <c r="U2365" t="s">
        <v>56</v>
      </c>
    </row>
    <row r="2366" spans="1:21" ht="15" customHeight="1" x14ac:dyDescent="0.3">
      <c r="A2366" t="s">
        <v>179</v>
      </c>
      <c r="B2366" t="str">
        <f>"00061693"</f>
        <v>00061693</v>
      </c>
      <c r="C2366" t="s">
        <v>4272</v>
      </c>
      <c r="D2366" t="s">
        <v>1996</v>
      </c>
      <c r="E2366" t="str">
        <f>"00015086"</f>
        <v>00015086</v>
      </c>
      <c r="F2366">
        <v>1</v>
      </c>
      <c r="G2366" s="243">
        <v>39437</v>
      </c>
      <c r="H2366" t="s">
        <v>182</v>
      </c>
      <c r="I2366">
        <v>15</v>
      </c>
      <c r="J2366">
        <v>5</v>
      </c>
      <c r="K2366">
        <v>1</v>
      </c>
      <c r="L2366">
        <v>56655</v>
      </c>
      <c r="M2366" t="str">
        <f t="shared" si="353"/>
        <v>13</v>
      </c>
      <c r="N2366" t="s">
        <v>3323</v>
      </c>
      <c r="O2366" t="str">
        <f t="shared" si="351"/>
        <v>58211</v>
      </c>
      <c r="P2366" t="str">
        <f>"2200L"</f>
        <v>2200L</v>
      </c>
      <c r="Q2366" t="str">
        <f t="shared" si="346"/>
        <v>0101</v>
      </c>
      <c r="R2366">
        <v>2200</v>
      </c>
      <c r="S2366" t="str">
        <f t="shared" si="352"/>
        <v>5820</v>
      </c>
      <c r="T2366" t="s">
        <v>3658</v>
      </c>
      <c r="U2366" t="s">
        <v>56</v>
      </c>
    </row>
    <row r="2367" spans="1:21" ht="15" customHeight="1" x14ac:dyDescent="0.3">
      <c r="A2367" t="s">
        <v>179</v>
      </c>
      <c r="B2367" t="str">
        <f>"00062642"</f>
        <v>00062642</v>
      </c>
      <c r="C2367" t="s">
        <v>4292</v>
      </c>
      <c r="D2367" t="s">
        <v>5016</v>
      </c>
      <c r="E2367" t="str">
        <f>"00046520"</f>
        <v>00046520</v>
      </c>
      <c r="F2367">
        <v>0</v>
      </c>
      <c r="G2367" s="243">
        <v>39721</v>
      </c>
      <c r="H2367" t="s">
        <v>182</v>
      </c>
      <c r="I2367">
        <v>4</v>
      </c>
      <c r="J2367">
        <v>5</v>
      </c>
      <c r="K2367">
        <v>1</v>
      </c>
      <c r="L2367">
        <v>28845</v>
      </c>
      <c r="M2367" t="str">
        <f t="shared" si="353"/>
        <v>13</v>
      </c>
      <c r="N2367" t="s">
        <v>3323</v>
      </c>
      <c r="O2367" t="str">
        <f t="shared" si="351"/>
        <v>58211</v>
      </c>
      <c r="P2367" t="str">
        <f>"2200L"</f>
        <v>2200L</v>
      </c>
      <c r="Q2367" t="str">
        <f t="shared" si="346"/>
        <v>0101</v>
      </c>
      <c r="R2367">
        <v>2200</v>
      </c>
      <c r="S2367" t="str">
        <f t="shared" si="352"/>
        <v>5820</v>
      </c>
      <c r="T2367" t="s">
        <v>3658</v>
      </c>
      <c r="U2367" t="s">
        <v>56</v>
      </c>
    </row>
    <row r="2368" spans="1:21" ht="15" customHeight="1" x14ac:dyDescent="0.3">
      <c r="A2368" t="s">
        <v>179</v>
      </c>
      <c r="B2368" t="str">
        <f>"00062661"</f>
        <v>00062661</v>
      </c>
      <c r="C2368" t="s">
        <v>4288</v>
      </c>
      <c r="D2368" t="s">
        <v>5017</v>
      </c>
      <c r="E2368" t="str">
        <f>"00065589"</f>
        <v>00065589</v>
      </c>
      <c r="F2368">
        <v>0</v>
      </c>
      <c r="G2368" s="243">
        <v>40770</v>
      </c>
      <c r="H2368" t="s">
        <v>182</v>
      </c>
      <c r="I2368">
        <v>4</v>
      </c>
      <c r="J2368">
        <v>1</v>
      </c>
      <c r="K2368">
        <v>0.875</v>
      </c>
      <c r="L2368">
        <v>22454.25</v>
      </c>
      <c r="M2368" t="str">
        <f t="shared" si="353"/>
        <v>13</v>
      </c>
      <c r="N2368" t="s">
        <v>3323</v>
      </c>
      <c r="O2368" t="str">
        <f t="shared" si="351"/>
        <v>58211</v>
      </c>
      <c r="P2368" t="str">
        <f>"2200L"</f>
        <v>2200L</v>
      </c>
      <c r="Q2368" t="str">
        <f t="shared" si="346"/>
        <v>0101</v>
      </c>
      <c r="R2368">
        <v>2200</v>
      </c>
      <c r="S2368" t="str">
        <f t="shared" si="352"/>
        <v>5820</v>
      </c>
      <c r="T2368" t="s">
        <v>3658</v>
      </c>
      <c r="U2368" t="s">
        <v>56</v>
      </c>
    </row>
    <row r="2369" spans="1:21" ht="15" customHeight="1" x14ac:dyDescent="0.3">
      <c r="A2369" t="s">
        <v>179</v>
      </c>
      <c r="B2369" t="str">
        <f>"00066146"</f>
        <v>00066146</v>
      </c>
      <c r="C2369" t="s">
        <v>4290</v>
      </c>
      <c r="D2369" t="s">
        <v>5018</v>
      </c>
      <c r="E2369" t="str">
        <f>"00026211"</f>
        <v>00026211</v>
      </c>
      <c r="F2369">
        <v>1</v>
      </c>
      <c r="G2369" s="243">
        <v>36395</v>
      </c>
      <c r="H2369" t="s">
        <v>182</v>
      </c>
      <c r="I2369">
        <v>4</v>
      </c>
      <c r="J2369">
        <v>8</v>
      </c>
      <c r="K2369">
        <v>0.875</v>
      </c>
      <c r="L2369">
        <v>27329.75</v>
      </c>
      <c r="M2369" t="str">
        <f t="shared" si="353"/>
        <v>13</v>
      </c>
      <c r="N2369" t="s">
        <v>3323</v>
      </c>
      <c r="O2369" t="str">
        <f t="shared" si="351"/>
        <v>58211</v>
      </c>
      <c r="P2369" t="str">
        <f>"2200L"</f>
        <v>2200L</v>
      </c>
      <c r="Q2369" t="str">
        <f t="shared" ref="Q2369:Q2428" si="354">"0101"</f>
        <v>0101</v>
      </c>
      <c r="R2369">
        <v>2200</v>
      </c>
      <c r="S2369" t="str">
        <f t="shared" si="352"/>
        <v>5820</v>
      </c>
      <c r="T2369" t="s">
        <v>3658</v>
      </c>
      <c r="U2369" t="s">
        <v>56</v>
      </c>
    </row>
    <row r="2370" spans="1:21" ht="15" customHeight="1" x14ac:dyDescent="0.3">
      <c r="A2370" t="s">
        <v>179</v>
      </c>
      <c r="B2370" t="str">
        <f>"00066423"</f>
        <v>00066423</v>
      </c>
      <c r="C2370" t="s">
        <v>4337</v>
      </c>
      <c r="D2370" t="s">
        <v>1997</v>
      </c>
      <c r="E2370" t="str">
        <f>"00056181"</f>
        <v>00056181</v>
      </c>
      <c r="F2370">
        <v>0</v>
      </c>
      <c r="G2370" s="243">
        <v>40042</v>
      </c>
      <c r="H2370" t="s">
        <v>182</v>
      </c>
      <c r="I2370">
        <v>15</v>
      </c>
      <c r="J2370">
        <v>4</v>
      </c>
      <c r="K2370">
        <v>0.5</v>
      </c>
      <c r="L2370">
        <v>61158</v>
      </c>
      <c r="M2370" t="str">
        <f t="shared" si="353"/>
        <v>13</v>
      </c>
      <c r="N2370" t="s">
        <v>3323</v>
      </c>
      <c r="O2370" t="str">
        <f t="shared" si="351"/>
        <v>58211</v>
      </c>
      <c r="P2370" t="str">
        <f>"2100L"</f>
        <v>2100L</v>
      </c>
      <c r="Q2370" t="str">
        <f t="shared" si="354"/>
        <v>0101</v>
      </c>
      <c r="R2370">
        <v>2100</v>
      </c>
      <c r="S2370" t="str">
        <f t="shared" si="352"/>
        <v>5820</v>
      </c>
      <c r="T2370" t="s">
        <v>3658</v>
      </c>
      <c r="U2370" t="s">
        <v>56</v>
      </c>
    </row>
    <row r="2371" spans="1:21" ht="15" customHeight="1" x14ac:dyDescent="0.3">
      <c r="A2371" t="s">
        <v>179</v>
      </c>
      <c r="B2371" t="str">
        <f>"00066506"</f>
        <v>00066506</v>
      </c>
      <c r="C2371" t="s">
        <v>4272</v>
      </c>
      <c r="D2371" t="s">
        <v>1999</v>
      </c>
      <c r="E2371" t="str">
        <f>"00057126"</f>
        <v>00057126</v>
      </c>
      <c r="F2371">
        <v>0</v>
      </c>
      <c r="G2371" s="243">
        <v>40042</v>
      </c>
      <c r="H2371" t="s">
        <v>182</v>
      </c>
      <c r="I2371">
        <v>15</v>
      </c>
      <c r="J2371">
        <v>5</v>
      </c>
      <c r="K2371">
        <v>1</v>
      </c>
      <c r="L2371">
        <v>63611</v>
      </c>
      <c r="M2371" t="str">
        <f t="shared" si="353"/>
        <v>13</v>
      </c>
      <c r="N2371" t="s">
        <v>3323</v>
      </c>
      <c r="O2371" t="str">
        <f t="shared" si="351"/>
        <v>58211</v>
      </c>
      <c r="P2371" t="str">
        <f>"2100L"</f>
        <v>2100L</v>
      </c>
      <c r="Q2371" t="str">
        <f t="shared" si="354"/>
        <v>0101</v>
      </c>
      <c r="R2371">
        <v>2100</v>
      </c>
      <c r="S2371" t="str">
        <f t="shared" si="352"/>
        <v>5820</v>
      </c>
      <c r="T2371" t="s">
        <v>3658</v>
      </c>
      <c r="U2371" t="s">
        <v>56</v>
      </c>
    </row>
    <row r="2372" spans="1:21" ht="15" customHeight="1" x14ac:dyDescent="0.3">
      <c r="A2372" t="s">
        <v>179</v>
      </c>
      <c r="B2372" t="str">
        <f>"00067477"</f>
        <v>00067477</v>
      </c>
      <c r="C2372" t="s">
        <v>4262</v>
      </c>
      <c r="D2372" t="s">
        <v>3660</v>
      </c>
      <c r="E2372" t="str">
        <f>"00064286"</f>
        <v>00064286</v>
      </c>
      <c r="F2372">
        <v>0</v>
      </c>
      <c r="G2372" s="243">
        <v>40546</v>
      </c>
      <c r="H2372" t="s">
        <v>182</v>
      </c>
      <c r="I2372">
        <v>15</v>
      </c>
      <c r="J2372">
        <v>2</v>
      </c>
      <c r="K2372">
        <v>1</v>
      </c>
      <c r="L2372">
        <v>56242</v>
      </c>
      <c r="M2372" t="str">
        <f t="shared" si="353"/>
        <v>13</v>
      </c>
      <c r="N2372" t="s">
        <v>3323</v>
      </c>
      <c r="O2372" t="str">
        <f t="shared" si="351"/>
        <v>58211</v>
      </c>
      <c r="P2372" t="str">
        <f>"2100L"</f>
        <v>2100L</v>
      </c>
      <c r="Q2372" t="str">
        <f t="shared" si="354"/>
        <v>0101</v>
      </c>
      <c r="R2372">
        <v>2100</v>
      </c>
      <c r="S2372" t="str">
        <f t="shared" si="352"/>
        <v>5820</v>
      </c>
      <c r="T2372" t="s">
        <v>3658</v>
      </c>
      <c r="U2372" t="s">
        <v>56</v>
      </c>
    </row>
    <row r="2373" spans="1:21" ht="15" customHeight="1" x14ac:dyDescent="0.3">
      <c r="A2373" t="s">
        <v>179</v>
      </c>
      <c r="B2373" t="str">
        <f>"00072099"</f>
        <v>00072099</v>
      </c>
      <c r="C2373" t="s">
        <v>4274</v>
      </c>
      <c r="D2373" t="s">
        <v>5019</v>
      </c>
      <c r="E2373" t="str">
        <f>"00050485"</f>
        <v>00050485</v>
      </c>
      <c r="F2373">
        <v>0</v>
      </c>
      <c r="G2373" s="243">
        <v>38460</v>
      </c>
      <c r="H2373" t="s">
        <v>182</v>
      </c>
      <c r="I2373">
        <v>4</v>
      </c>
      <c r="J2373">
        <v>6</v>
      </c>
      <c r="K2373">
        <v>1</v>
      </c>
      <c r="L2373">
        <v>25935.88</v>
      </c>
      <c r="M2373" t="str">
        <f t="shared" si="353"/>
        <v>13</v>
      </c>
      <c r="N2373" t="s">
        <v>3323</v>
      </c>
      <c r="O2373" t="str">
        <f t="shared" si="351"/>
        <v>58211</v>
      </c>
      <c r="P2373" t="str">
        <f>"2200L"</f>
        <v>2200L</v>
      </c>
      <c r="Q2373" t="str">
        <f t="shared" si="354"/>
        <v>0101</v>
      </c>
      <c r="R2373">
        <v>2200</v>
      </c>
      <c r="S2373" t="str">
        <f t="shared" si="352"/>
        <v>5820</v>
      </c>
      <c r="T2373" t="s">
        <v>3658</v>
      </c>
      <c r="U2373" t="s">
        <v>56</v>
      </c>
    </row>
    <row r="2374" spans="1:21" ht="15" customHeight="1" x14ac:dyDescent="0.3">
      <c r="A2374" t="s">
        <v>179</v>
      </c>
      <c r="B2374" t="str">
        <f>"00072865"</f>
        <v>00072865</v>
      </c>
      <c r="C2374" t="s">
        <v>4499</v>
      </c>
      <c r="D2374" t="s">
        <v>2565</v>
      </c>
      <c r="E2374" t="str">
        <f>"00063428"</f>
        <v>00063428</v>
      </c>
      <c r="F2374">
        <v>0</v>
      </c>
      <c r="G2374" s="243">
        <v>40436</v>
      </c>
      <c r="H2374" t="s">
        <v>182</v>
      </c>
      <c r="I2374">
        <v>10</v>
      </c>
      <c r="J2374">
        <v>6</v>
      </c>
      <c r="K2374">
        <v>0.25</v>
      </c>
      <c r="L2374">
        <v>37543.5</v>
      </c>
      <c r="M2374" t="str">
        <f t="shared" si="353"/>
        <v>13</v>
      </c>
      <c r="N2374" t="s">
        <v>3323</v>
      </c>
      <c r="O2374" t="str">
        <f t="shared" si="351"/>
        <v>58211</v>
      </c>
      <c r="P2374" t="str">
        <f>"3030L"</f>
        <v>3030L</v>
      </c>
      <c r="Q2374" t="str">
        <f t="shared" si="354"/>
        <v>0101</v>
      </c>
      <c r="R2374">
        <v>3030</v>
      </c>
      <c r="S2374" t="str">
        <f t="shared" si="352"/>
        <v>5820</v>
      </c>
      <c r="T2374" t="s">
        <v>3325</v>
      </c>
      <c r="U2374" t="s">
        <v>70</v>
      </c>
    </row>
    <row r="2375" spans="1:21" ht="15" customHeight="1" x14ac:dyDescent="0.3">
      <c r="A2375" t="s">
        <v>179</v>
      </c>
      <c r="B2375" t="str">
        <f>"00073919"</f>
        <v>00073919</v>
      </c>
      <c r="C2375" t="s">
        <v>4274</v>
      </c>
      <c r="D2375" t="s">
        <v>5020</v>
      </c>
      <c r="E2375" t="str">
        <f>"00048271"</f>
        <v>00048271</v>
      </c>
      <c r="F2375">
        <v>0</v>
      </c>
      <c r="G2375" s="243">
        <v>34151</v>
      </c>
      <c r="H2375" t="s">
        <v>182</v>
      </c>
      <c r="I2375">
        <v>4</v>
      </c>
      <c r="J2375">
        <v>10</v>
      </c>
      <c r="K2375">
        <v>0.71</v>
      </c>
      <c r="L2375">
        <v>28721</v>
      </c>
      <c r="M2375" t="str">
        <f t="shared" si="353"/>
        <v>13</v>
      </c>
      <c r="N2375" t="s">
        <v>3323</v>
      </c>
      <c r="O2375" t="str">
        <f t="shared" si="351"/>
        <v>58211</v>
      </c>
      <c r="P2375" t="str">
        <f t="shared" ref="P2375:P2381" si="355">"2100L"</f>
        <v>2100L</v>
      </c>
      <c r="Q2375" t="str">
        <f t="shared" si="354"/>
        <v>0101</v>
      </c>
      <c r="R2375">
        <v>2100</v>
      </c>
      <c r="S2375" t="str">
        <f t="shared" si="352"/>
        <v>5820</v>
      </c>
      <c r="T2375" t="s">
        <v>3658</v>
      </c>
      <c r="U2375" t="s">
        <v>56</v>
      </c>
    </row>
    <row r="2376" spans="1:21" ht="15" customHeight="1" x14ac:dyDescent="0.3">
      <c r="A2376" t="s">
        <v>179</v>
      </c>
      <c r="B2376" t="str">
        <f>"00074644"</f>
        <v>00074644</v>
      </c>
      <c r="C2376" t="s">
        <v>4360</v>
      </c>
      <c r="D2376" t="s">
        <v>5021</v>
      </c>
      <c r="E2376" t="str">
        <f>"00047137"</f>
        <v>00047137</v>
      </c>
      <c r="F2376">
        <v>0</v>
      </c>
      <c r="G2376" s="243">
        <v>36595</v>
      </c>
      <c r="H2376" t="s">
        <v>182</v>
      </c>
      <c r="I2376">
        <v>7</v>
      </c>
      <c r="J2376">
        <v>8</v>
      </c>
      <c r="K2376">
        <v>1</v>
      </c>
      <c r="L2376">
        <v>42621</v>
      </c>
      <c r="M2376" t="str">
        <f t="shared" si="353"/>
        <v>13</v>
      </c>
      <c r="N2376" t="s">
        <v>3323</v>
      </c>
      <c r="O2376" t="str">
        <f t="shared" si="351"/>
        <v>58211</v>
      </c>
      <c r="P2376" t="str">
        <f t="shared" si="355"/>
        <v>2100L</v>
      </c>
      <c r="Q2376" t="str">
        <f t="shared" si="354"/>
        <v>0101</v>
      </c>
      <c r="R2376">
        <v>2100</v>
      </c>
      <c r="S2376" t="str">
        <f t="shared" si="352"/>
        <v>5820</v>
      </c>
      <c r="T2376" t="s">
        <v>3658</v>
      </c>
      <c r="U2376" t="s">
        <v>56</v>
      </c>
    </row>
    <row r="2377" spans="1:21" ht="15" customHeight="1" x14ac:dyDescent="0.3">
      <c r="A2377" t="s">
        <v>179</v>
      </c>
      <c r="B2377" t="str">
        <f>"00074836"</f>
        <v>00074836</v>
      </c>
      <c r="C2377" t="s">
        <v>4262</v>
      </c>
      <c r="D2377" t="s">
        <v>1998</v>
      </c>
      <c r="E2377" t="str">
        <f>"00057030"</f>
        <v>00057030</v>
      </c>
      <c r="F2377">
        <v>0</v>
      </c>
      <c r="G2377" s="243">
        <v>40042</v>
      </c>
      <c r="H2377" t="s">
        <v>182</v>
      </c>
      <c r="I2377">
        <v>15</v>
      </c>
      <c r="J2377">
        <v>10</v>
      </c>
      <c r="K2377">
        <v>1</v>
      </c>
      <c r="L2377">
        <v>68431</v>
      </c>
      <c r="M2377" t="str">
        <f t="shared" si="353"/>
        <v>13</v>
      </c>
      <c r="N2377" t="s">
        <v>3323</v>
      </c>
      <c r="O2377" t="str">
        <f t="shared" si="351"/>
        <v>58211</v>
      </c>
      <c r="P2377" t="str">
        <f t="shared" si="355"/>
        <v>2100L</v>
      </c>
      <c r="Q2377" t="str">
        <f t="shared" si="354"/>
        <v>0101</v>
      </c>
      <c r="R2377">
        <v>2100</v>
      </c>
      <c r="S2377" t="str">
        <f t="shared" si="352"/>
        <v>5820</v>
      </c>
      <c r="T2377" t="s">
        <v>3658</v>
      </c>
      <c r="U2377" t="s">
        <v>56</v>
      </c>
    </row>
    <row r="2378" spans="1:21" ht="15" customHeight="1" x14ac:dyDescent="0.3">
      <c r="A2378" t="s">
        <v>179</v>
      </c>
      <c r="B2378" t="str">
        <f>"00076268"</f>
        <v>00076268</v>
      </c>
      <c r="C2378" t="s">
        <v>4262</v>
      </c>
      <c r="D2378" t="s">
        <v>3694</v>
      </c>
      <c r="E2378" t="str">
        <f>"00066246"</f>
        <v>00066246</v>
      </c>
      <c r="F2378">
        <v>0</v>
      </c>
      <c r="G2378" s="243">
        <v>40755</v>
      </c>
      <c r="H2378" t="s">
        <v>182</v>
      </c>
      <c r="I2378">
        <v>15</v>
      </c>
      <c r="J2378">
        <v>2</v>
      </c>
      <c r="K2378">
        <v>1</v>
      </c>
      <c r="L2378">
        <v>51716</v>
      </c>
      <c r="M2378" t="str">
        <f t="shared" si="353"/>
        <v>13</v>
      </c>
      <c r="N2378" t="s">
        <v>3370</v>
      </c>
      <c r="O2378" t="str">
        <f t="shared" si="351"/>
        <v>58211</v>
      </c>
      <c r="P2378" t="str">
        <f t="shared" si="355"/>
        <v>2100L</v>
      </c>
      <c r="Q2378" t="str">
        <f t="shared" si="354"/>
        <v>0101</v>
      </c>
      <c r="R2378">
        <v>2100</v>
      </c>
      <c r="S2378" t="str">
        <f t="shared" si="352"/>
        <v>5820</v>
      </c>
      <c r="T2378" t="s">
        <v>3658</v>
      </c>
      <c r="U2378" t="s">
        <v>56</v>
      </c>
    </row>
    <row r="2379" spans="1:21" ht="15" customHeight="1" x14ac:dyDescent="0.3">
      <c r="A2379" t="s">
        <v>179</v>
      </c>
      <c r="B2379" t="str">
        <f>"00076269"</f>
        <v>00076269</v>
      </c>
      <c r="C2379" t="s">
        <v>4270</v>
      </c>
      <c r="H2379" t="s">
        <v>170</v>
      </c>
      <c r="I2379">
        <v>15</v>
      </c>
      <c r="J2379">
        <v>0</v>
      </c>
      <c r="K2379">
        <v>0.5</v>
      </c>
      <c r="L2379">
        <v>51539</v>
      </c>
      <c r="M2379" t="str">
        <f t="shared" si="353"/>
        <v>13</v>
      </c>
      <c r="N2379" t="s">
        <v>3370</v>
      </c>
      <c r="O2379" t="str">
        <f t="shared" si="351"/>
        <v>58211</v>
      </c>
      <c r="P2379" t="str">
        <f t="shared" si="355"/>
        <v>2100L</v>
      </c>
      <c r="Q2379" t="str">
        <f t="shared" si="354"/>
        <v>0101</v>
      </c>
      <c r="R2379">
        <v>2100</v>
      </c>
      <c r="S2379" t="str">
        <f t="shared" si="352"/>
        <v>5820</v>
      </c>
      <c r="T2379" t="s">
        <v>3658</v>
      </c>
      <c r="U2379" t="s">
        <v>56</v>
      </c>
    </row>
    <row r="2380" spans="1:21" ht="15" customHeight="1" x14ac:dyDescent="0.3">
      <c r="A2380" t="s">
        <v>179</v>
      </c>
      <c r="B2380" t="str">
        <f>"00076270"</f>
        <v>00076270</v>
      </c>
      <c r="C2380" t="s">
        <v>4270</v>
      </c>
      <c r="H2380" t="s">
        <v>170</v>
      </c>
      <c r="I2380">
        <v>15</v>
      </c>
      <c r="J2380">
        <v>0</v>
      </c>
      <c r="K2380">
        <v>1</v>
      </c>
      <c r="L2380">
        <v>51539</v>
      </c>
      <c r="M2380" t="str">
        <f t="shared" si="353"/>
        <v>13</v>
      </c>
      <c r="N2380" t="s">
        <v>3370</v>
      </c>
      <c r="O2380" t="str">
        <f t="shared" si="351"/>
        <v>58211</v>
      </c>
      <c r="P2380" t="str">
        <f t="shared" si="355"/>
        <v>2100L</v>
      </c>
      <c r="Q2380" t="str">
        <f t="shared" si="354"/>
        <v>0101</v>
      </c>
      <c r="R2380">
        <v>2100</v>
      </c>
      <c r="S2380" t="str">
        <f t="shared" si="352"/>
        <v>5820</v>
      </c>
      <c r="T2380" t="s">
        <v>3658</v>
      </c>
      <c r="U2380" t="s">
        <v>56</v>
      </c>
    </row>
    <row r="2381" spans="1:21" ht="15" customHeight="1" x14ac:dyDescent="0.3">
      <c r="A2381" t="s">
        <v>179</v>
      </c>
      <c r="B2381" t="str">
        <f>"00076271"</f>
        <v>00076271</v>
      </c>
      <c r="C2381" t="s">
        <v>4265</v>
      </c>
      <c r="D2381" t="s">
        <v>3501</v>
      </c>
      <c r="E2381" t="str">
        <f>"00053226"</f>
        <v>00053226</v>
      </c>
      <c r="F2381">
        <v>0</v>
      </c>
      <c r="G2381" s="243">
        <v>39776</v>
      </c>
      <c r="H2381" t="s">
        <v>182</v>
      </c>
      <c r="I2381">
        <v>15</v>
      </c>
      <c r="J2381">
        <v>7</v>
      </c>
      <c r="K2381">
        <v>0.5</v>
      </c>
      <c r="L2381">
        <v>34566</v>
      </c>
      <c r="M2381" t="str">
        <f t="shared" si="353"/>
        <v>13</v>
      </c>
      <c r="N2381" t="s">
        <v>3370</v>
      </c>
      <c r="O2381" t="str">
        <f t="shared" si="351"/>
        <v>58211</v>
      </c>
      <c r="P2381" t="str">
        <f t="shared" si="355"/>
        <v>2100L</v>
      </c>
      <c r="Q2381" t="str">
        <f t="shared" si="354"/>
        <v>0101</v>
      </c>
      <c r="R2381">
        <v>2100</v>
      </c>
      <c r="S2381" t="str">
        <f t="shared" si="352"/>
        <v>5820</v>
      </c>
      <c r="T2381" t="s">
        <v>3658</v>
      </c>
      <c r="U2381" t="s">
        <v>56</v>
      </c>
    </row>
    <row r="2382" spans="1:21" ht="15" customHeight="1" x14ac:dyDescent="0.3">
      <c r="A2382" t="s">
        <v>179</v>
      </c>
      <c r="B2382" t="str">
        <f>"00076472"</f>
        <v>00076472</v>
      </c>
      <c r="C2382" t="s">
        <v>4274</v>
      </c>
      <c r="D2382" t="s">
        <v>5022</v>
      </c>
      <c r="E2382" t="str">
        <f>"00051601"</f>
        <v>00051601</v>
      </c>
      <c r="F2382">
        <v>0</v>
      </c>
      <c r="G2382" s="243">
        <v>36472</v>
      </c>
      <c r="H2382" t="s">
        <v>182</v>
      </c>
      <c r="I2382">
        <v>4</v>
      </c>
      <c r="J2382">
        <v>9</v>
      </c>
      <c r="K2382">
        <v>0.71</v>
      </c>
      <c r="L2382">
        <v>28025.38</v>
      </c>
      <c r="M2382" t="str">
        <f t="shared" si="353"/>
        <v>13</v>
      </c>
      <c r="N2382" t="s">
        <v>3370</v>
      </c>
      <c r="O2382" t="str">
        <f t="shared" si="351"/>
        <v>58211</v>
      </c>
      <c r="P2382" t="str">
        <f>"2200L"</f>
        <v>2200L</v>
      </c>
      <c r="Q2382" t="str">
        <f t="shared" si="354"/>
        <v>0101</v>
      </c>
      <c r="R2382">
        <v>2200</v>
      </c>
      <c r="S2382" t="str">
        <f t="shared" si="352"/>
        <v>5820</v>
      </c>
      <c r="T2382" t="s">
        <v>3658</v>
      </c>
      <c r="U2382" t="s">
        <v>56</v>
      </c>
    </row>
    <row r="2383" spans="1:21" ht="15" customHeight="1" x14ac:dyDescent="0.3">
      <c r="A2383" t="s">
        <v>179</v>
      </c>
      <c r="B2383" t="str">
        <f>"00076549"</f>
        <v>00076549</v>
      </c>
      <c r="C2383" t="s">
        <v>4290</v>
      </c>
      <c r="H2383" t="s">
        <v>170</v>
      </c>
      <c r="I2383">
        <v>4</v>
      </c>
      <c r="J2383">
        <v>0</v>
      </c>
      <c r="K2383">
        <v>0.71</v>
      </c>
      <c r="L2383">
        <v>25662</v>
      </c>
      <c r="M2383" t="str">
        <f t="shared" si="353"/>
        <v>13</v>
      </c>
      <c r="N2383" t="s">
        <v>3370</v>
      </c>
      <c r="O2383" t="str">
        <f t="shared" si="351"/>
        <v>58211</v>
      </c>
      <c r="P2383" t="str">
        <f>"3030L"</f>
        <v>3030L</v>
      </c>
      <c r="Q2383" t="str">
        <f t="shared" si="354"/>
        <v>0101</v>
      </c>
      <c r="R2383">
        <v>3030</v>
      </c>
      <c r="S2383" t="str">
        <f t="shared" si="352"/>
        <v>5820</v>
      </c>
      <c r="T2383" t="s">
        <v>3658</v>
      </c>
      <c r="U2383" t="s">
        <v>56</v>
      </c>
    </row>
    <row r="2384" spans="1:21" ht="15" customHeight="1" x14ac:dyDescent="0.3">
      <c r="A2384" t="s">
        <v>179</v>
      </c>
      <c r="B2384" t="str">
        <f>"00076550"</f>
        <v>00076550</v>
      </c>
      <c r="C2384" t="s">
        <v>4290</v>
      </c>
      <c r="H2384" t="s">
        <v>170</v>
      </c>
      <c r="I2384">
        <v>4</v>
      </c>
      <c r="J2384">
        <v>0</v>
      </c>
      <c r="K2384">
        <v>0.71</v>
      </c>
      <c r="L2384">
        <v>25662</v>
      </c>
      <c r="M2384" t="str">
        <f t="shared" si="353"/>
        <v>13</v>
      </c>
      <c r="N2384" t="s">
        <v>3370</v>
      </c>
      <c r="O2384" t="str">
        <f t="shared" si="351"/>
        <v>58211</v>
      </c>
      <c r="P2384" t="str">
        <f>"3030L"</f>
        <v>3030L</v>
      </c>
      <c r="Q2384" t="str">
        <f t="shared" si="354"/>
        <v>0101</v>
      </c>
      <c r="R2384">
        <v>3030</v>
      </c>
      <c r="S2384" t="str">
        <f t="shared" si="352"/>
        <v>5820</v>
      </c>
      <c r="T2384" t="s">
        <v>3658</v>
      </c>
      <c r="U2384" t="s">
        <v>56</v>
      </c>
    </row>
    <row r="2385" spans="1:21" ht="15" customHeight="1" x14ac:dyDescent="0.3">
      <c r="A2385" t="s">
        <v>179</v>
      </c>
      <c r="B2385" t="str">
        <f>"00076551"</f>
        <v>00076551</v>
      </c>
      <c r="C2385" t="s">
        <v>4499</v>
      </c>
      <c r="H2385" t="s">
        <v>170</v>
      </c>
      <c r="I2385">
        <v>10</v>
      </c>
      <c r="J2385">
        <v>0</v>
      </c>
      <c r="K2385">
        <v>0.5</v>
      </c>
      <c r="L2385">
        <v>62794</v>
      </c>
      <c r="M2385" t="str">
        <f t="shared" si="353"/>
        <v>13</v>
      </c>
      <c r="N2385" t="s">
        <v>3370</v>
      </c>
      <c r="O2385" t="str">
        <f t="shared" si="351"/>
        <v>58211</v>
      </c>
      <c r="P2385" t="str">
        <f>"3030L"</f>
        <v>3030L</v>
      </c>
      <c r="Q2385" t="str">
        <f t="shared" si="354"/>
        <v>0101</v>
      </c>
      <c r="R2385">
        <v>3030</v>
      </c>
      <c r="S2385" t="str">
        <f t="shared" si="352"/>
        <v>5820</v>
      </c>
      <c r="T2385" t="s">
        <v>3658</v>
      </c>
      <c r="U2385" t="s">
        <v>56</v>
      </c>
    </row>
    <row r="2386" spans="1:21" ht="15" customHeight="1" x14ac:dyDescent="0.3">
      <c r="A2386" t="s">
        <v>179</v>
      </c>
      <c r="B2386" t="str">
        <f>"00052017"</f>
        <v>00052017</v>
      </c>
      <c r="C2386" t="s">
        <v>4256</v>
      </c>
      <c r="D2386" t="s">
        <v>2000</v>
      </c>
      <c r="E2386" t="str">
        <f>"00046954"</f>
        <v>00046954</v>
      </c>
      <c r="F2386">
        <v>0</v>
      </c>
      <c r="G2386" s="243">
        <v>36034</v>
      </c>
      <c r="H2386" t="s">
        <v>182</v>
      </c>
      <c r="I2386">
        <v>15</v>
      </c>
      <c r="J2386">
        <v>15</v>
      </c>
      <c r="K2386">
        <v>1</v>
      </c>
      <c r="L2386">
        <v>100792</v>
      </c>
      <c r="M2386" t="str">
        <f t="shared" si="353"/>
        <v>13</v>
      </c>
      <c r="N2386" t="s">
        <v>3323</v>
      </c>
      <c r="O2386" t="str">
        <f t="shared" ref="O2386:O2414" si="356">"58311"</f>
        <v>58311</v>
      </c>
      <c r="P2386" t="str">
        <f>"2100L"</f>
        <v>2100L</v>
      </c>
      <c r="Q2386" t="str">
        <f t="shared" si="354"/>
        <v>0101</v>
      </c>
      <c r="R2386">
        <v>2100</v>
      </c>
      <c r="S2386" t="str">
        <f t="shared" ref="S2386:S2414" si="357">"5830"</f>
        <v>5830</v>
      </c>
      <c r="T2386" t="s">
        <v>3661</v>
      </c>
      <c r="U2386" t="s">
        <v>57</v>
      </c>
    </row>
    <row r="2387" spans="1:21" ht="15" customHeight="1" x14ac:dyDescent="0.3">
      <c r="A2387" t="s">
        <v>179</v>
      </c>
      <c r="B2387" t="str">
        <f>"00052899"</f>
        <v>00052899</v>
      </c>
      <c r="C2387" t="s">
        <v>4262</v>
      </c>
      <c r="D2387" t="s">
        <v>5023</v>
      </c>
      <c r="E2387" t="str">
        <f>"00069854"</f>
        <v>00069854</v>
      </c>
      <c r="F2387">
        <v>0</v>
      </c>
      <c r="G2387" s="243">
        <v>41133</v>
      </c>
      <c r="H2387" t="s">
        <v>182</v>
      </c>
      <c r="I2387">
        <v>15</v>
      </c>
      <c r="J2387">
        <v>1</v>
      </c>
      <c r="K2387">
        <v>1</v>
      </c>
      <c r="L2387">
        <v>51539</v>
      </c>
      <c r="M2387" t="str">
        <f t="shared" si="353"/>
        <v>13</v>
      </c>
      <c r="N2387" t="s">
        <v>3370</v>
      </c>
      <c r="O2387" t="str">
        <f t="shared" si="356"/>
        <v>58311</v>
      </c>
      <c r="P2387" t="str">
        <f>"2200L"</f>
        <v>2200L</v>
      </c>
      <c r="Q2387" t="str">
        <f t="shared" si="354"/>
        <v>0101</v>
      </c>
      <c r="R2387">
        <v>2200</v>
      </c>
      <c r="S2387" t="str">
        <f t="shared" si="357"/>
        <v>5830</v>
      </c>
      <c r="T2387" t="s">
        <v>3661</v>
      </c>
      <c r="U2387" t="s">
        <v>57</v>
      </c>
    </row>
    <row r="2388" spans="1:21" ht="15" customHeight="1" x14ac:dyDescent="0.3">
      <c r="A2388" t="s">
        <v>179</v>
      </c>
      <c r="B2388" t="str">
        <f>"00052921"</f>
        <v>00052921</v>
      </c>
      <c r="C2388" t="s">
        <v>3798</v>
      </c>
      <c r="D2388" t="s">
        <v>2001</v>
      </c>
      <c r="E2388" t="str">
        <f>"00046218"</f>
        <v>00046218</v>
      </c>
      <c r="F2388">
        <v>0</v>
      </c>
      <c r="G2388" s="243">
        <v>36761</v>
      </c>
      <c r="H2388" t="s">
        <v>182</v>
      </c>
      <c r="I2388">
        <v>61</v>
      </c>
      <c r="J2388">
        <v>3</v>
      </c>
      <c r="K2388">
        <v>1</v>
      </c>
      <c r="L2388">
        <v>110000</v>
      </c>
      <c r="M2388" t="str">
        <f t="shared" si="353"/>
        <v>13</v>
      </c>
      <c r="N2388" t="s">
        <v>3323</v>
      </c>
      <c r="O2388" t="str">
        <f t="shared" si="356"/>
        <v>58311</v>
      </c>
      <c r="P2388" t="str">
        <f>"1501L"</f>
        <v>1501L</v>
      </c>
      <c r="Q2388" t="str">
        <f t="shared" si="354"/>
        <v>0101</v>
      </c>
      <c r="R2388">
        <v>1501</v>
      </c>
      <c r="S2388" t="str">
        <f t="shared" si="357"/>
        <v>5830</v>
      </c>
      <c r="T2388" t="s">
        <v>3661</v>
      </c>
      <c r="U2388" t="s">
        <v>57</v>
      </c>
    </row>
    <row r="2389" spans="1:21" ht="15" customHeight="1" x14ac:dyDescent="0.3">
      <c r="A2389" t="s">
        <v>179</v>
      </c>
      <c r="B2389" t="str">
        <f>"00056860"</f>
        <v>00056860</v>
      </c>
      <c r="C2389" t="s">
        <v>4266</v>
      </c>
      <c r="D2389" t="s">
        <v>2002</v>
      </c>
      <c r="E2389" t="str">
        <f>"00050235"</f>
        <v>00050235</v>
      </c>
      <c r="F2389">
        <v>0</v>
      </c>
      <c r="G2389" s="243">
        <v>36390</v>
      </c>
      <c r="H2389" t="s">
        <v>182</v>
      </c>
      <c r="I2389">
        <v>15</v>
      </c>
      <c r="J2389">
        <v>12</v>
      </c>
      <c r="K2389">
        <v>1</v>
      </c>
      <c r="L2389">
        <v>87431</v>
      </c>
      <c r="M2389" t="str">
        <f t="shared" si="353"/>
        <v>13</v>
      </c>
      <c r="N2389" t="s">
        <v>3323</v>
      </c>
      <c r="O2389" t="str">
        <f t="shared" si="356"/>
        <v>58311</v>
      </c>
      <c r="P2389" t="str">
        <f>"2300L"</f>
        <v>2300L</v>
      </c>
      <c r="Q2389" t="str">
        <f t="shared" si="354"/>
        <v>0101</v>
      </c>
      <c r="R2389">
        <v>2300</v>
      </c>
      <c r="S2389" t="str">
        <f t="shared" si="357"/>
        <v>5830</v>
      </c>
      <c r="T2389" t="s">
        <v>3661</v>
      </c>
      <c r="U2389" t="s">
        <v>57</v>
      </c>
    </row>
    <row r="2390" spans="1:21" ht="15" customHeight="1" x14ac:dyDescent="0.3">
      <c r="A2390" t="s">
        <v>179</v>
      </c>
      <c r="B2390" t="str">
        <f>"00058124"</f>
        <v>00058124</v>
      </c>
      <c r="C2390" t="s">
        <v>4260</v>
      </c>
      <c r="D2390" t="s">
        <v>5024</v>
      </c>
      <c r="E2390" t="str">
        <f>"00070065"</f>
        <v>00070065</v>
      </c>
      <c r="F2390">
        <v>0</v>
      </c>
      <c r="G2390" s="243">
        <v>41133</v>
      </c>
      <c r="H2390" t="s">
        <v>182</v>
      </c>
      <c r="I2390">
        <v>15</v>
      </c>
      <c r="J2390">
        <v>1</v>
      </c>
      <c r="K2390">
        <v>1</v>
      </c>
      <c r="L2390">
        <v>54975</v>
      </c>
      <c r="M2390" t="str">
        <f t="shared" si="353"/>
        <v>13</v>
      </c>
      <c r="N2390" t="s">
        <v>3323</v>
      </c>
      <c r="O2390" t="str">
        <f t="shared" si="356"/>
        <v>58311</v>
      </c>
      <c r="P2390" t="str">
        <f>"3030L"</f>
        <v>3030L</v>
      </c>
      <c r="Q2390" t="str">
        <f t="shared" si="354"/>
        <v>0101</v>
      </c>
      <c r="R2390">
        <v>3030</v>
      </c>
      <c r="S2390" t="str">
        <f t="shared" si="357"/>
        <v>5830</v>
      </c>
      <c r="T2390" t="s">
        <v>3661</v>
      </c>
      <c r="U2390" t="s">
        <v>57</v>
      </c>
    </row>
    <row r="2391" spans="1:21" ht="15" customHeight="1" x14ac:dyDescent="0.3">
      <c r="A2391" t="s">
        <v>179</v>
      </c>
      <c r="B2391" t="str">
        <f>"00058353"</f>
        <v>00058353</v>
      </c>
      <c r="C2391" t="s">
        <v>4266</v>
      </c>
      <c r="D2391" t="s">
        <v>2003</v>
      </c>
      <c r="E2391" t="str">
        <f>"00063044"</f>
        <v>00063044</v>
      </c>
      <c r="F2391">
        <v>0</v>
      </c>
      <c r="G2391" s="243">
        <v>40406</v>
      </c>
      <c r="H2391" t="s">
        <v>182</v>
      </c>
      <c r="I2391">
        <v>15</v>
      </c>
      <c r="J2391">
        <v>12</v>
      </c>
      <c r="K2391">
        <v>1</v>
      </c>
      <c r="L2391">
        <v>89887</v>
      </c>
      <c r="M2391" t="str">
        <f t="shared" si="353"/>
        <v>13</v>
      </c>
      <c r="N2391" t="s">
        <v>3323</v>
      </c>
      <c r="O2391" t="str">
        <f t="shared" si="356"/>
        <v>58311</v>
      </c>
      <c r="P2391" t="str">
        <f>"2300L"</f>
        <v>2300L</v>
      </c>
      <c r="Q2391" t="str">
        <f t="shared" si="354"/>
        <v>0101</v>
      </c>
      <c r="R2391">
        <v>2300</v>
      </c>
      <c r="S2391" t="str">
        <f t="shared" si="357"/>
        <v>5830</v>
      </c>
      <c r="T2391" t="s">
        <v>3661</v>
      </c>
      <c r="U2391" t="s">
        <v>57</v>
      </c>
    </row>
    <row r="2392" spans="1:21" ht="15" customHeight="1" x14ac:dyDescent="0.3">
      <c r="A2392" t="s">
        <v>179</v>
      </c>
      <c r="B2392" t="str">
        <f>"00058929"</f>
        <v>00058929</v>
      </c>
      <c r="C2392" t="s">
        <v>4262</v>
      </c>
      <c r="D2392" t="s">
        <v>3663</v>
      </c>
      <c r="E2392" t="str">
        <f>"00045931"</f>
        <v>00045931</v>
      </c>
      <c r="F2392">
        <v>0</v>
      </c>
      <c r="G2392" s="243">
        <v>37493</v>
      </c>
      <c r="H2392" t="s">
        <v>182</v>
      </c>
      <c r="I2392">
        <v>15</v>
      </c>
      <c r="J2392">
        <v>11</v>
      </c>
      <c r="K2392">
        <v>1</v>
      </c>
      <c r="L2392">
        <v>73325</v>
      </c>
      <c r="M2392" t="str">
        <f t="shared" si="353"/>
        <v>13</v>
      </c>
      <c r="N2392" t="s">
        <v>3323</v>
      </c>
      <c r="O2392" t="str">
        <f t="shared" si="356"/>
        <v>58311</v>
      </c>
      <c r="P2392" t="str">
        <f>"2100L"</f>
        <v>2100L</v>
      </c>
      <c r="Q2392" t="str">
        <f t="shared" si="354"/>
        <v>0101</v>
      </c>
      <c r="R2392">
        <v>2100</v>
      </c>
      <c r="S2392" t="str">
        <f t="shared" si="357"/>
        <v>5830</v>
      </c>
      <c r="T2392" t="s">
        <v>3661</v>
      </c>
      <c r="U2392" t="s">
        <v>57</v>
      </c>
    </row>
    <row r="2393" spans="1:21" ht="15" customHeight="1" x14ac:dyDescent="0.3">
      <c r="A2393" t="s">
        <v>179</v>
      </c>
      <c r="B2393" t="str">
        <f>"00059305"</f>
        <v>00059305</v>
      </c>
      <c r="C2393" t="s">
        <v>4274</v>
      </c>
      <c r="D2393" t="s">
        <v>5025</v>
      </c>
      <c r="E2393" t="str">
        <f>"00050760"</f>
        <v>00050760</v>
      </c>
      <c r="F2393">
        <v>0</v>
      </c>
      <c r="G2393" s="243">
        <v>38691</v>
      </c>
      <c r="H2393" t="s">
        <v>182</v>
      </c>
      <c r="I2393">
        <v>4</v>
      </c>
      <c r="J2393">
        <v>5</v>
      </c>
      <c r="K2393">
        <v>0.875</v>
      </c>
      <c r="L2393">
        <v>25239.37</v>
      </c>
      <c r="M2393" t="str">
        <f t="shared" si="353"/>
        <v>13</v>
      </c>
      <c r="N2393" t="s">
        <v>3323</v>
      </c>
      <c r="O2393" t="str">
        <f t="shared" si="356"/>
        <v>58311</v>
      </c>
      <c r="P2393" t="str">
        <f>"2200L"</f>
        <v>2200L</v>
      </c>
      <c r="Q2393" t="str">
        <f t="shared" si="354"/>
        <v>0101</v>
      </c>
      <c r="R2393">
        <v>2200</v>
      </c>
      <c r="S2393" t="str">
        <f t="shared" si="357"/>
        <v>5830</v>
      </c>
      <c r="T2393" t="s">
        <v>3661</v>
      </c>
      <c r="U2393" t="s">
        <v>57</v>
      </c>
    </row>
    <row r="2394" spans="1:21" ht="15" customHeight="1" x14ac:dyDescent="0.3">
      <c r="A2394" t="s">
        <v>179</v>
      </c>
      <c r="B2394" t="str">
        <f>"00059842"</f>
        <v>00059842</v>
      </c>
      <c r="C2394" t="s">
        <v>4262</v>
      </c>
      <c r="D2394" t="s">
        <v>2004</v>
      </c>
      <c r="E2394" t="str">
        <f>"00046541"</f>
        <v>00046541</v>
      </c>
      <c r="F2394">
        <v>0</v>
      </c>
      <c r="G2394" s="243">
        <v>38226</v>
      </c>
      <c r="H2394" t="s">
        <v>182</v>
      </c>
      <c r="I2394">
        <v>15</v>
      </c>
      <c r="J2394">
        <v>10</v>
      </c>
      <c r="K2394">
        <v>1</v>
      </c>
      <c r="L2394">
        <v>70879</v>
      </c>
      <c r="M2394" t="str">
        <f t="shared" si="353"/>
        <v>13</v>
      </c>
      <c r="N2394" t="s">
        <v>3323</v>
      </c>
      <c r="O2394" t="str">
        <f t="shared" si="356"/>
        <v>58311</v>
      </c>
      <c r="P2394" t="str">
        <f>"2100L"</f>
        <v>2100L</v>
      </c>
      <c r="Q2394" t="str">
        <f t="shared" si="354"/>
        <v>0101</v>
      </c>
      <c r="R2394">
        <v>2100</v>
      </c>
      <c r="S2394" t="str">
        <f t="shared" si="357"/>
        <v>5830</v>
      </c>
      <c r="T2394" t="s">
        <v>3661</v>
      </c>
      <c r="U2394" t="s">
        <v>57</v>
      </c>
    </row>
    <row r="2395" spans="1:21" ht="15" customHeight="1" x14ac:dyDescent="0.3">
      <c r="A2395" t="s">
        <v>179</v>
      </c>
      <c r="B2395" t="str">
        <f>"00059967"</f>
        <v>00059967</v>
      </c>
      <c r="C2395" t="s">
        <v>4274</v>
      </c>
      <c r="D2395" t="s">
        <v>5026</v>
      </c>
      <c r="E2395" t="str">
        <f>"00067245"</f>
        <v>00067245</v>
      </c>
      <c r="F2395">
        <v>0</v>
      </c>
      <c r="G2395" s="243">
        <v>40868</v>
      </c>
      <c r="H2395" t="s">
        <v>182</v>
      </c>
      <c r="I2395">
        <v>4</v>
      </c>
      <c r="J2395">
        <v>1</v>
      </c>
      <c r="K2395">
        <v>0.875</v>
      </c>
      <c r="L2395">
        <v>22454.25</v>
      </c>
      <c r="M2395" t="str">
        <f t="shared" si="353"/>
        <v>13</v>
      </c>
      <c r="N2395" t="s">
        <v>3323</v>
      </c>
      <c r="O2395" t="str">
        <f t="shared" si="356"/>
        <v>58311</v>
      </c>
      <c r="P2395" t="str">
        <f>"2200L"</f>
        <v>2200L</v>
      </c>
      <c r="Q2395" t="str">
        <f t="shared" si="354"/>
        <v>0101</v>
      </c>
      <c r="R2395">
        <v>2200</v>
      </c>
      <c r="S2395" t="str">
        <f t="shared" si="357"/>
        <v>5830</v>
      </c>
      <c r="T2395" t="s">
        <v>3661</v>
      </c>
      <c r="U2395" t="s">
        <v>57</v>
      </c>
    </row>
    <row r="2396" spans="1:21" ht="15" customHeight="1" x14ac:dyDescent="0.3">
      <c r="A2396" t="s">
        <v>179</v>
      </c>
      <c r="B2396" t="str">
        <f>"00060928"</f>
        <v>00060928</v>
      </c>
      <c r="C2396" t="s">
        <v>4266</v>
      </c>
      <c r="D2396" t="s">
        <v>5027</v>
      </c>
      <c r="E2396" t="str">
        <f>"00069531"</f>
        <v>00069531</v>
      </c>
      <c r="F2396">
        <v>0</v>
      </c>
      <c r="G2396" s="243">
        <v>41133</v>
      </c>
      <c r="H2396" t="s">
        <v>182</v>
      </c>
      <c r="I2396">
        <v>15</v>
      </c>
      <c r="J2396">
        <v>1</v>
      </c>
      <c r="K2396">
        <v>1</v>
      </c>
      <c r="L2396">
        <v>54975</v>
      </c>
      <c r="M2396" t="str">
        <f t="shared" si="353"/>
        <v>13</v>
      </c>
      <c r="N2396" t="s">
        <v>3370</v>
      </c>
      <c r="O2396" t="str">
        <f t="shared" si="356"/>
        <v>58311</v>
      </c>
      <c r="P2396" t="str">
        <f>"2300L"</f>
        <v>2300L</v>
      </c>
      <c r="Q2396" t="str">
        <f t="shared" si="354"/>
        <v>0101</v>
      </c>
      <c r="R2396">
        <v>2300</v>
      </c>
      <c r="S2396" t="str">
        <f t="shared" si="357"/>
        <v>5830</v>
      </c>
      <c r="T2396" t="s">
        <v>3661</v>
      </c>
      <c r="U2396" t="s">
        <v>57</v>
      </c>
    </row>
    <row r="2397" spans="1:21" ht="15" customHeight="1" x14ac:dyDescent="0.3">
      <c r="A2397" t="s">
        <v>179</v>
      </c>
      <c r="B2397" t="str">
        <f>"00061089"</f>
        <v>00061089</v>
      </c>
      <c r="C2397" t="s">
        <v>4262</v>
      </c>
      <c r="D2397" t="s">
        <v>3669</v>
      </c>
      <c r="E2397" t="str">
        <f>"00049122"</f>
        <v>00049122</v>
      </c>
      <c r="F2397">
        <v>0</v>
      </c>
      <c r="G2397" s="243">
        <v>40756</v>
      </c>
      <c r="H2397" t="s">
        <v>182</v>
      </c>
      <c r="I2397">
        <v>15</v>
      </c>
      <c r="J2397">
        <v>2</v>
      </c>
      <c r="K2397">
        <v>1</v>
      </c>
      <c r="L2397">
        <v>56242</v>
      </c>
      <c r="M2397" t="str">
        <f t="shared" si="353"/>
        <v>13</v>
      </c>
      <c r="N2397" t="s">
        <v>3323</v>
      </c>
      <c r="O2397" t="str">
        <f t="shared" si="356"/>
        <v>58311</v>
      </c>
      <c r="P2397" t="str">
        <f>"2100L"</f>
        <v>2100L</v>
      </c>
      <c r="Q2397" t="str">
        <f t="shared" si="354"/>
        <v>0101</v>
      </c>
      <c r="R2397">
        <v>2100</v>
      </c>
      <c r="S2397" t="str">
        <f t="shared" si="357"/>
        <v>5830</v>
      </c>
      <c r="T2397" t="s">
        <v>3661</v>
      </c>
      <c r="U2397" t="s">
        <v>57</v>
      </c>
    </row>
    <row r="2398" spans="1:21" ht="15" customHeight="1" x14ac:dyDescent="0.3">
      <c r="A2398" t="s">
        <v>179</v>
      </c>
      <c r="B2398" t="str">
        <f>"00061103"</f>
        <v>00061103</v>
      </c>
      <c r="C2398" t="s">
        <v>4262</v>
      </c>
      <c r="D2398" t="s">
        <v>3664</v>
      </c>
      <c r="E2398" t="str">
        <f>"00065610"</f>
        <v>00065610</v>
      </c>
      <c r="F2398">
        <v>0</v>
      </c>
      <c r="G2398" s="243">
        <v>40755</v>
      </c>
      <c r="H2398" t="s">
        <v>182</v>
      </c>
      <c r="I2398">
        <v>15</v>
      </c>
      <c r="J2398">
        <v>7</v>
      </c>
      <c r="K2398">
        <v>1</v>
      </c>
      <c r="L2398">
        <v>69132</v>
      </c>
      <c r="M2398" t="str">
        <f t="shared" si="353"/>
        <v>13</v>
      </c>
      <c r="N2398" t="s">
        <v>3323</v>
      </c>
      <c r="O2398" t="str">
        <f t="shared" si="356"/>
        <v>58311</v>
      </c>
      <c r="P2398" t="str">
        <f>"2100L"</f>
        <v>2100L</v>
      </c>
      <c r="Q2398" t="str">
        <f t="shared" si="354"/>
        <v>0101</v>
      </c>
      <c r="R2398">
        <v>2100</v>
      </c>
      <c r="S2398" t="str">
        <f t="shared" si="357"/>
        <v>5830</v>
      </c>
      <c r="T2398" t="s">
        <v>3661</v>
      </c>
      <c r="U2398" t="s">
        <v>57</v>
      </c>
    </row>
    <row r="2399" spans="1:21" ht="15" customHeight="1" x14ac:dyDescent="0.3">
      <c r="A2399" t="s">
        <v>179</v>
      </c>
      <c r="B2399" t="str">
        <f>"00061128"</f>
        <v>00061128</v>
      </c>
      <c r="C2399" t="s">
        <v>4262</v>
      </c>
      <c r="D2399" t="s">
        <v>2006</v>
      </c>
      <c r="E2399" t="str">
        <f>"00063064"</f>
        <v>00063064</v>
      </c>
      <c r="F2399">
        <v>0</v>
      </c>
      <c r="G2399" s="243">
        <v>40406</v>
      </c>
      <c r="H2399" t="s">
        <v>182</v>
      </c>
      <c r="I2399">
        <v>15</v>
      </c>
      <c r="J2399">
        <v>3</v>
      </c>
      <c r="K2399">
        <v>1</v>
      </c>
      <c r="L2399">
        <v>52777</v>
      </c>
      <c r="M2399" t="str">
        <f t="shared" si="353"/>
        <v>13</v>
      </c>
      <c r="N2399" t="s">
        <v>3323</v>
      </c>
      <c r="O2399" t="str">
        <f t="shared" si="356"/>
        <v>58311</v>
      </c>
      <c r="P2399" t="str">
        <f>"2100L"</f>
        <v>2100L</v>
      </c>
      <c r="Q2399" t="str">
        <f t="shared" si="354"/>
        <v>0101</v>
      </c>
      <c r="R2399">
        <v>2100</v>
      </c>
      <c r="S2399" t="str">
        <f t="shared" si="357"/>
        <v>5830</v>
      </c>
      <c r="T2399" t="s">
        <v>3661</v>
      </c>
      <c r="U2399" t="s">
        <v>57</v>
      </c>
    </row>
    <row r="2400" spans="1:21" ht="15" customHeight="1" x14ac:dyDescent="0.3">
      <c r="A2400" t="s">
        <v>179</v>
      </c>
      <c r="B2400" t="str">
        <f>"00061219"</f>
        <v>00061219</v>
      </c>
      <c r="C2400" t="s">
        <v>4266</v>
      </c>
      <c r="D2400" t="s">
        <v>2007</v>
      </c>
      <c r="E2400" t="str">
        <f>"00045410"</f>
        <v>00045410</v>
      </c>
      <c r="F2400">
        <v>0</v>
      </c>
      <c r="G2400" s="243">
        <v>39314</v>
      </c>
      <c r="H2400" t="s">
        <v>182</v>
      </c>
      <c r="I2400">
        <v>15</v>
      </c>
      <c r="J2400">
        <v>10</v>
      </c>
      <c r="K2400">
        <v>1</v>
      </c>
      <c r="L2400">
        <v>78273</v>
      </c>
      <c r="M2400" t="str">
        <f t="shared" si="353"/>
        <v>13</v>
      </c>
      <c r="N2400" t="s">
        <v>3323</v>
      </c>
      <c r="O2400" t="str">
        <f t="shared" si="356"/>
        <v>58311</v>
      </c>
      <c r="P2400" t="str">
        <f>"2300L"</f>
        <v>2300L</v>
      </c>
      <c r="Q2400" t="str">
        <f t="shared" si="354"/>
        <v>0101</v>
      </c>
      <c r="R2400">
        <v>2300</v>
      </c>
      <c r="S2400" t="str">
        <f t="shared" si="357"/>
        <v>5830</v>
      </c>
      <c r="T2400" t="s">
        <v>3661</v>
      </c>
      <c r="U2400" t="s">
        <v>57</v>
      </c>
    </row>
    <row r="2401" spans="1:21" ht="15" customHeight="1" x14ac:dyDescent="0.3">
      <c r="A2401" t="s">
        <v>179</v>
      </c>
      <c r="B2401" t="str">
        <f>"00061446"</f>
        <v>00061446</v>
      </c>
      <c r="C2401" t="s">
        <v>4262</v>
      </c>
      <c r="D2401" t="s">
        <v>5028</v>
      </c>
      <c r="E2401" t="str">
        <f>"00070128"</f>
        <v>00070128</v>
      </c>
      <c r="F2401">
        <v>0</v>
      </c>
      <c r="G2401" s="243">
        <v>41133</v>
      </c>
      <c r="H2401" t="s">
        <v>182</v>
      </c>
      <c r="I2401">
        <v>15</v>
      </c>
      <c r="J2401">
        <v>2</v>
      </c>
      <c r="K2401">
        <v>1</v>
      </c>
      <c r="L2401">
        <v>51716</v>
      </c>
      <c r="M2401" t="str">
        <f t="shared" si="353"/>
        <v>13</v>
      </c>
      <c r="N2401" t="s">
        <v>3323</v>
      </c>
      <c r="O2401" t="str">
        <f t="shared" si="356"/>
        <v>58311</v>
      </c>
      <c r="P2401" t="str">
        <f>"2100L"</f>
        <v>2100L</v>
      </c>
      <c r="Q2401" t="str">
        <f t="shared" si="354"/>
        <v>0101</v>
      </c>
      <c r="R2401">
        <v>2100</v>
      </c>
      <c r="S2401" t="str">
        <f t="shared" si="357"/>
        <v>5830</v>
      </c>
      <c r="T2401" t="s">
        <v>3661</v>
      </c>
      <c r="U2401" t="s">
        <v>57</v>
      </c>
    </row>
    <row r="2402" spans="1:21" ht="15" customHeight="1" x14ac:dyDescent="0.3">
      <c r="A2402" t="s">
        <v>179</v>
      </c>
      <c r="B2402" t="str">
        <f>"00061775"</f>
        <v>00061775</v>
      </c>
      <c r="C2402" t="s">
        <v>4262</v>
      </c>
      <c r="D2402" t="s">
        <v>2008</v>
      </c>
      <c r="E2402" t="str">
        <f>"00049301"</f>
        <v>00049301</v>
      </c>
      <c r="F2402">
        <v>0</v>
      </c>
      <c r="G2402" s="243">
        <v>39559</v>
      </c>
      <c r="H2402" t="s">
        <v>182</v>
      </c>
      <c r="I2402">
        <v>15</v>
      </c>
      <c r="J2402">
        <v>8</v>
      </c>
      <c r="K2402">
        <v>1</v>
      </c>
      <c r="L2402">
        <v>72171</v>
      </c>
      <c r="M2402" t="str">
        <f t="shared" si="353"/>
        <v>13</v>
      </c>
      <c r="N2402" t="s">
        <v>3323</v>
      </c>
      <c r="O2402" t="str">
        <f t="shared" si="356"/>
        <v>58311</v>
      </c>
      <c r="P2402" t="str">
        <f>"2100L"</f>
        <v>2100L</v>
      </c>
      <c r="Q2402" t="str">
        <f t="shared" si="354"/>
        <v>0101</v>
      </c>
      <c r="R2402">
        <v>2100</v>
      </c>
      <c r="S2402" t="str">
        <f t="shared" si="357"/>
        <v>5830</v>
      </c>
      <c r="T2402" t="s">
        <v>3661</v>
      </c>
      <c r="U2402" t="s">
        <v>57</v>
      </c>
    </row>
    <row r="2403" spans="1:21" ht="15" customHeight="1" x14ac:dyDescent="0.3">
      <c r="A2403" t="s">
        <v>179</v>
      </c>
      <c r="B2403" t="str">
        <f>"00062040"</f>
        <v>00062040</v>
      </c>
      <c r="C2403" t="s">
        <v>4262</v>
      </c>
      <c r="D2403" t="s">
        <v>5029</v>
      </c>
      <c r="E2403" t="str">
        <f>"00069820"</f>
        <v>00069820</v>
      </c>
      <c r="F2403">
        <v>0</v>
      </c>
      <c r="G2403" s="243">
        <v>41133</v>
      </c>
      <c r="H2403" t="s">
        <v>182</v>
      </c>
      <c r="I2403">
        <v>15</v>
      </c>
      <c r="J2403">
        <v>1</v>
      </c>
      <c r="K2403">
        <v>1</v>
      </c>
      <c r="L2403">
        <v>51539</v>
      </c>
      <c r="M2403" t="str">
        <f t="shared" si="353"/>
        <v>13</v>
      </c>
      <c r="N2403" t="s">
        <v>3370</v>
      </c>
      <c r="O2403" t="str">
        <f t="shared" si="356"/>
        <v>58311</v>
      </c>
      <c r="P2403" t="str">
        <f>"2100L"</f>
        <v>2100L</v>
      </c>
      <c r="Q2403" t="str">
        <f t="shared" si="354"/>
        <v>0101</v>
      </c>
      <c r="R2403">
        <v>2100</v>
      </c>
      <c r="S2403" t="str">
        <f t="shared" si="357"/>
        <v>5830</v>
      </c>
      <c r="T2403" t="s">
        <v>3661</v>
      </c>
      <c r="U2403" t="s">
        <v>57</v>
      </c>
    </row>
    <row r="2404" spans="1:21" ht="15" customHeight="1" x14ac:dyDescent="0.3">
      <c r="A2404" t="s">
        <v>179</v>
      </c>
      <c r="B2404" t="str">
        <f>"00062386"</f>
        <v>00062386</v>
      </c>
      <c r="C2404" t="s">
        <v>4258</v>
      </c>
      <c r="D2404" t="s">
        <v>2009</v>
      </c>
      <c r="E2404" t="str">
        <f>"00047179"</f>
        <v>00047179</v>
      </c>
      <c r="F2404">
        <v>0</v>
      </c>
      <c r="G2404" s="243">
        <v>39679</v>
      </c>
      <c r="H2404" t="s">
        <v>182</v>
      </c>
      <c r="I2404">
        <v>15</v>
      </c>
      <c r="J2404">
        <v>7</v>
      </c>
      <c r="K2404">
        <v>1</v>
      </c>
      <c r="L2404">
        <v>69132</v>
      </c>
      <c r="M2404" t="str">
        <f t="shared" si="353"/>
        <v>13</v>
      </c>
      <c r="N2404" t="s">
        <v>3323</v>
      </c>
      <c r="O2404" t="str">
        <f t="shared" si="356"/>
        <v>58311</v>
      </c>
      <c r="P2404" t="str">
        <f>"2100L"</f>
        <v>2100L</v>
      </c>
      <c r="Q2404" t="str">
        <f t="shared" si="354"/>
        <v>0101</v>
      </c>
      <c r="R2404">
        <v>2100</v>
      </c>
      <c r="S2404" t="str">
        <f t="shared" si="357"/>
        <v>5830</v>
      </c>
      <c r="T2404" t="s">
        <v>3661</v>
      </c>
      <c r="U2404" t="s">
        <v>57</v>
      </c>
    </row>
    <row r="2405" spans="1:21" ht="15" customHeight="1" x14ac:dyDescent="0.3">
      <c r="A2405" t="s">
        <v>179</v>
      </c>
      <c r="B2405" t="str">
        <f>"00062401"</f>
        <v>00062401</v>
      </c>
      <c r="C2405" t="s">
        <v>4254</v>
      </c>
      <c r="D2405" t="s">
        <v>2010</v>
      </c>
      <c r="E2405" t="str">
        <f>"00048729"</f>
        <v>00048729</v>
      </c>
      <c r="F2405">
        <v>0</v>
      </c>
      <c r="G2405" s="243">
        <v>35605</v>
      </c>
      <c r="H2405" t="s">
        <v>182</v>
      </c>
      <c r="I2405">
        <v>15</v>
      </c>
      <c r="J2405">
        <v>16</v>
      </c>
      <c r="K2405">
        <v>1</v>
      </c>
      <c r="L2405">
        <v>100839</v>
      </c>
      <c r="M2405" t="str">
        <f t="shared" si="353"/>
        <v>13</v>
      </c>
      <c r="N2405" t="s">
        <v>3323</v>
      </c>
      <c r="O2405" t="str">
        <f t="shared" si="356"/>
        <v>58311</v>
      </c>
      <c r="P2405" t="str">
        <f>"2100L"</f>
        <v>2100L</v>
      </c>
      <c r="Q2405" t="str">
        <f t="shared" si="354"/>
        <v>0101</v>
      </c>
      <c r="R2405">
        <v>2100</v>
      </c>
      <c r="S2405" t="str">
        <f t="shared" si="357"/>
        <v>5830</v>
      </c>
      <c r="T2405" t="s">
        <v>3661</v>
      </c>
      <c r="U2405" t="s">
        <v>57</v>
      </c>
    </row>
    <row r="2406" spans="1:21" ht="15" customHeight="1" x14ac:dyDescent="0.3">
      <c r="A2406" t="s">
        <v>179</v>
      </c>
      <c r="B2406" t="str">
        <f>"00062608"</f>
        <v>00062608</v>
      </c>
      <c r="C2406" t="s">
        <v>4343</v>
      </c>
      <c r="D2406" t="s">
        <v>2011</v>
      </c>
      <c r="E2406" t="str">
        <f>"00055038"</f>
        <v>00055038</v>
      </c>
      <c r="F2406">
        <v>0</v>
      </c>
      <c r="G2406" s="243">
        <v>39716</v>
      </c>
      <c r="H2406" t="s">
        <v>182</v>
      </c>
      <c r="I2406">
        <v>15</v>
      </c>
      <c r="J2406">
        <v>12</v>
      </c>
      <c r="K2406">
        <v>1</v>
      </c>
      <c r="L2406">
        <v>87431</v>
      </c>
      <c r="M2406" t="str">
        <f t="shared" si="353"/>
        <v>13</v>
      </c>
      <c r="N2406" t="s">
        <v>3323</v>
      </c>
      <c r="O2406" t="str">
        <f t="shared" si="356"/>
        <v>58311</v>
      </c>
      <c r="P2406" t="str">
        <f>"2300L"</f>
        <v>2300L</v>
      </c>
      <c r="Q2406" t="str">
        <f t="shared" si="354"/>
        <v>0101</v>
      </c>
      <c r="R2406">
        <v>2300</v>
      </c>
      <c r="S2406" t="str">
        <f t="shared" si="357"/>
        <v>5830</v>
      </c>
      <c r="T2406" t="s">
        <v>3661</v>
      </c>
      <c r="U2406" t="s">
        <v>57</v>
      </c>
    </row>
    <row r="2407" spans="1:21" ht="15" customHeight="1" x14ac:dyDescent="0.3">
      <c r="A2407" t="s">
        <v>179</v>
      </c>
      <c r="B2407" t="str">
        <f>"00065641"</f>
        <v>00065641</v>
      </c>
      <c r="C2407" t="s">
        <v>4274</v>
      </c>
      <c r="D2407" t="s">
        <v>5030</v>
      </c>
      <c r="E2407" t="str">
        <f>"00070337"</f>
        <v>00070337</v>
      </c>
      <c r="F2407">
        <v>0</v>
      </c>
      <c r="G2407" s="243">
        <v>41168</v>
      </c>
      <c r="H2407" t="s">
        <v>182</v>
      </c>
      <c r="I2407">
        <v>4</v>
      </c>
      <c r="J2407">
        <v>1</v>
      </c>
      <c r="K2407">
        <v>1</v>
      </c>
      <c r="L2407">
        <v>22454.25</v>
      </c>
      <c r="M2407" t="str">
        <f t="shared" si="353"/>
        <v>13</v>
      </c>
      <c r="N2407" t="s">
        <v>3370</v>
      </c>
      <c r="O2407" t="str">
        <f t="shared" si="356"/>
        <v>58311</v>
      </c>
      <c r="P2407" t="str">
        <f>"2200L"</f>
        <v>2200L</v>
      </c>
      <c r="Q2407" t="str">
        <f t="shared" si="354"/>
        <v>0101</v>
      </c>
      <c r="R2407">
        <v>2200</v>
      </c>
      <c r="S2407" t="str">
        <f t="shared" si="357"/>
        <v>5830</v>
      </c>
      <c r="T2407" t="s">
        <v>3661</v>
      </c>
      <c r="U2407" t="s">
        <v>57</v>
      </c>
    </row>
    <row r="2408" spans="1:21" ht="15" customHeight="1" x14ac:dyDescent="0.3">
      <c r="A2408" t="s">
        <v>179</v>
      </c>
      <c r="B2408" t="str">
        <f>"00065652"</f>
        <v>00065652</v>
      </c>
      <c r="C2408" t="s">
        <v>4274</v>
      </c>
      <c r="H2408" t="s">
        <v>170</v>
      </c>
      <c r="I2408">
        <v>4</v>
      </c>
      <c r="J2408">
        <v>1</v>
      </c>
      <c r="K2408">
        <v>1</v>
      </c>
      <c r="L2408">
        <v>25662</v>
      </c>
      <c r="M2408" t="str">
        <f t="shared" si="353"/>
        <v>13</v>
      </c>
      <c r="N2408" t="s">
        <v>3370</v>
      </c>
      <c r="O2408" t="str">
        <f t="shared" si="356"/>
        <v>58311</v>
      </c>
      <c r="P2408" t="str">
        <f>"2200L"</f>
        <v>2200L</v>
      </c>
      <c r="Q2408" t="str">
        <f t="shared" si="354"/>
        <v>0101</v>
      </c>
      <c r="R2408">
        <v>2200</v>
      </c>
      <c r="S2408" t="str">
        <f t="shared" si="357"/>
        <v>5830</v>
      </c>
      <c r="T2408" t="s">
        <v>3661</v>
      </c>
      <c r="U2408" t="s">
        <v>57</v>
      </c>
    </row>
    <row r="2409" spans="1:21" ht="15" customHeight="1" x14ac:dyDescent="0.3">
      <c r="A2409" t="s">
        <v>179</v>
      </c>
      <c r="B2409" t="str">
        <f>"00066145"</f>
        <v>00066145</v>
      </c>
      <c r="C2409" t="s">
        <v>4288</v>
      </c>
      <c r="D2409" t="s">
        <v>5031</v>
      </c>
      <c r="E2409" t="str">
        <f>"00058065"</f>
        <v>00058065</v>
      </c>
      <c r="F2409">
        <v>0</v>
      </c>
      <c r="G2409" s="243">
        <v>40056</v>
      </c>
      <c r="H2409" t="s">
        <v>182</v>
      </c>
      <c r="I2409">
        <v>4</v>
      </c>
      <c r="J2409">
        <v>5</v>
      </c>
      <c r="K2409">
        <v>0.875</v>
      </c>
      <c r="L2409">
        <v>25239.37</v>
      </c>
      <c r="M2409" t="str">
        <f t="shared" si="353"/>
        <v>13</v>
      </c>
      <c r="N2409" t="s">
        <v>3323</v>
      </c>
      <c r="O2409" t="str">
        <f t="shared" si="356"/>
        <v>58311</v>
      </c>
      <c r="P2409" t="str">
        <f>"2200L"</f>
        <v>2200L</v>
      </c>
      <c r="Q2409" t="str">
        <f t="shared" si="354"/>
        <v>0101</v>
      </c>
      <c r="R2409">
        <v>2200</v>
      </c>
      <c r="S2409" t="str">
        <f t="shared" si="357"/>
        <v>5830</v>
      </c>
      <c r="T2409" t="s">
        <v>3661</v>
      </c>
      <c r="U2409" t="s">
        <v>57</v>
      </c>
    </row>
    <row r="2410" spans="1:21" ht="15" customHeight="1" x14ac:dyDescent="0.3">
      <c r="A2410" t="s">
        <v>179</v>
      </c>
      <c r="B2410" t="str">
        <f>"00066357"</f>
        <v>00066357</v>
      </c>
      <c r="C2410" t="s">
        <v>4252</v>
      </c>
      <c r="H2410" t="s">
        <v>170</v>
      </c>
      <c r="I2410">
        <v>15</v>
      </c>
      <c r="J2410">
        <v>1</v>
      </c>
      <c r="K2410">
        <v>1</v>
      </c>
      <c r="L2410">
        <v>54975</v>
      </c>
      <c r="M2410" t="str">
        <f t="shared" si="353"/>
        <v>13</v>
      </c>
      <c r="N2410" t="s">
        <v>3323</v>
      </c>
      <c r="O2410" t="str">
        <f t="shared" si="356"/>
        <v>58311</v>
      </c>
      <c r="P2410" t="str">
        <f>"2100L"</f>
        <v>2100L</v>
      </c>
      <c r="Q2410" t="str">
        <f t="shared" si="354"/>
        <v>0101</v>
      </c>
      <c r="R2410">
        <v>2100</v>
      </c>
      <c r="S2410" t="str">
        <f t="shared" si="357"/>
        <v>5830</v>
      </c>
      <c r="T2410" t="s">
        <v>3661</v>
      </c>
      <c r="U2410" t="s">
        <v>57</v>
      </c>
    </row>
    <row r="2411" spans="1:21" ht="15" customHeight="1" x14ac:dyDescent="0.3">
      <c r="A2411" t="s">
        <v>179</v>
      </c>
      <c r="B2411" t="str">
        <f>"00066473"</f>
        <v>00066473</v>
      </c>
      <c r="C2411" t="s">
        <v>4266</v>
      </c>
      <c r="D2411" t="s">
        <v>2013</v>
      </c>
      <c r="E2411" t="str">
        <f>"00057934"</f>
        <v>00057934</v>
      </c>
      <c r="F2411">
        <v>0</v>
      </c>
      <c r="G2411" s="243">
        <v>40406</v>
      </c>
      <c r="H2411" t="s">
        <v>182</v>
      </c>
      <c r="I2411">
        <v>15</v>
      </c>
      <c r="J2411">
        <v>3</v>
      </c>
      <c r="K2411">
        <v>1</v>
      </c>
      <c r="L2411">
        <v>58699</v>
      </c>
      <c r="M2411" t="str">
        <f t="shared" ref="M2411:M2468" si="358">"13"</f>
        <v>13</v>
      </c>
      <c r="N2411" t="s">
        <v>3323</v>
      </c>
      <c r="O2411" t="str">
        <f t="shared" si="356"/>
        <v>58311</v>
      </c>
      <c r="P2411" t="str">
        <f>"2300L"</f>
        <v>2300L</v>
      </c>
      <c r="Q2411" t="str">
        <f t="shared" si="354"/>
        <v>0101</v>
      </c>
      <c r="R2411">
        <v>2300</v>
      </c>
      <c r="S2411" t="str">
        <f t="shared" si="357"/>
        <v>5830</v>
      </c>
      <c r="T2411" t="s">
        <v>3661</v>
      </c>
      <c r="U2411" t="s">
        <v>57</v>
      </c>
    </row>
    <row r="2412" spans="1:21" ht="15" customHeight="1" x14ac:dyDescent="0.3">
      <c r="A2412" t="s">
        <v>179</v>
      </c>
      <c r="B2412" t="str">
        <f>"00066474"</f>
        <v>00066474</v>
      </c>
      <c r="C2412" t="s">
        <v>4266</v>
      </c>
      <c r="D2412" t="s">
        <v>2014</v>
      </c>
      <c r="E2412" t="str">
        <f>"00062712"</f>
        <v>00062712</v>
      </c>
      <c r="F2412">
        <v>0</v>
      </c>
      <c r="G2412" s="243">
        <v>40406</v>
      </c>
      <c r="H2412" t="s">
        <v>182</v>
      </c>
      <c r="I2412">
        <v>15</v>
      </c>
      <c r="J2412">
        <v>3</v>
      </c>
      <c r="K2412">
        <v>1</v>
      </c>
      <c r="L2412">
        <v>52777</v>
      </c>
      <c r="M2412" t="str">
        <f t="shared" si="358"/>
        <v>13</v>
      </c>
      <c r="N2412" t="s">
        <v>3323</v>
      </c>
      <c r="O2412" t="str">
        <f t="shared" si="356"/>
        <v>58311</v>
      </c>
      <c r="P2412" t="str">
        <f>"2300L"</f>
        <v>2300L</v>
      </c>
      <c r="Q2412" t="str">
        <f t="shared" si="354"/>
        <v>0101</v>
      </c>
      <c r="R2412">
        <v>2300</v>
      </c>
      <c r="S2412" t="str">
        <f t="shared" si="357"/>
        <v>5830</v>
      </c>
      <c r="T2412" t="s">
        <v>3661</v>
      </c>
      <c r="U2412" t="s">
        <v>57</v>
      </c>
    </row>
    <row r="2413" spans="1:21" ht="15" customHeight="1" x14ac:dyDescent="0.3">
      <c r="A2413" t="s">
        <v>179</v>
      </c>
      <c r="B2413" t="str">
        <f>"00066476"</f>
        <v>00066476</v>
      </c>
      <c r="C2413" t="s">
        <v>4266</v>
      </c>
      <c r="D2413" t="s">
        <v>3668</v>
      </c>
      <c r="E2413" t="str">
        <f>"00065616"</f>
        <v>00065616</v>
      </c>
      <c r="F2413">
        <v>0</v>
      </c>
      <c r="G2413" s="243">
        <v>40755</v>
      </c>
      <c r="H2413" t="s">
        <v>182</v>
      </c>
      <c r="I2413">
        <v>15</v>
      </c>
      <c r="J2413">
        <v>8</v>
      </c>
      <c r="K2413">
        <v>1</v>
      </c>
      <c r="L2413">
        <v>63517</v>
      </c>
      <c r="M2413" t="str">
        <f t="shared" si="358"/>
        <v>13</v>
      </c>
      <c r="N2413" t="s">
        <v>3370</v>
      </c>
      <c r="O2413" t="str">
        <f t="shared" si="356"/>
        <v>58311</v>
      </c>
      <c r="P2413" t="str">
        <f>"2300L"</f>
        <v>2300L</v>
      </c>
      <c r="Q2413" t="str">
        <f t="shared" si="354"/>
        <v>0101</v>
      </c>
      <c r="R2413">
        <v>2300</v>
      </c>
      <c r="S2413" t="str">
        <f t="shared" si="357"/>
        <v>5830</v>
      </c>
      <c r="T2413" t="s">
        <v>3661</v>
      </c>
      <c r="U2413" t="s">
        <v>57</v>
      </c>
    </row>
    <row r="2414" spans="1:21" ht="15" customHeight="1" x14ac:dyDescent="0.3">
      <c r="A2414" t="s">
        <v>179</v>
      </c>
      <c r="B2414" t="str">
        <f>"00066479"</f>
        <v>00066479</v>
      </c>
      <c r="C2414" t="s">
        <v>4260</v>
      </c>
      <c r="D2414" t="s">
        <v>5032</v>
      </c>
      <c r="E2414" t="str">
        <f>"00070039"</f>
        <v>00070039</v>
      </c>
      <c r="F2414">
        <v>0</v>
      </c>
      <c r="G2414" s="243">
        <v>41133</v>
      </c>
      <c r="H2414" t="s">
        <v>182</v>
      </c>
      <c r="I2414">
        <v>15</v>
      </c>
      <c r="J2414">
        <v>7</v>
      </c>
      <c r="K2414">
        <v>1</v>
      </c>
      <c r="L2414">
        <v>69132</v>
      </c>
      <c r="M2414" t="str">
        <f t="shared" si="358"/>
        <v>13</v>
      </c>
      <c r="N2414" t="s">
        <v>3323</v>
      </c>
      <c r="O2414" t="str">
        <f t="shared" si="356"/>
        <v>58311</v>
      </c>
      <c r="P2414" t="str">
        <f>"3030L"</f>
        <v>3030L</v>
      </c>
      <c r="Q2414" t="str">
        <f t="shared" si="354"/>
        <v>0101</v>
      </c>
      <c r="R2414">
        <v>3030</v>
      </c>
      <c r="S2414" t="str">
        <f t="shared" si="357"/>
        <v>5830</v>
      </c>
      <c r="T2414" t="s">
        <v>3661</v>
      </c>
      <c r="U2414" t="s">
        <v>57</v>
      </c>
    </row>
    <row r="2415" spans="1:21" ht="15" customHeight="1" x14ac:dyDescent="0.3">
      <c r="A2415" t="s">
        <v>179</v>
      </c>
      <c r="B2415" t="str">
        <f>"00066480"</f>
        <v>00066480</v>
      </c>
      <c r="C2415" t="s">
        <v>4272</v>
      </c>
      <c r="D2415" t="s">
        <v>3665</v>
      </c>
      <c r="E2415" t="str">
        <f>"00060224"</f>
        <v>00060224</v>
      </c>
      <c r="F2415">
        <v>0</v>
      </c>
      <c r="G2415" s="243">
        <v>40755</v>
      </c>
      <c r="H2415" t="s">
        <v>182</v>
      </c>
      <c r="I2415">
        <v>15</v>
      </c>
      <c r="J2415">
        <v>2</v>
      </c>
      <c r="K2415">
        <v>1</v>
      </c>
      <c r="L2415">
        <v>56242</v>
      </c>
      <c r="M2415" t="str">
        <f t="shared" si="358"/>
        <v>13</v>
      </c>
      <c r="N2415" t="s">
        <v>3323</v>
      </c>
      <c r="O2415" t="str">
        <f t="shared" ref="O2415:O2444" si="359">"58311"</f>
        <v>58311</v>
      </c>
      <c r="P2415" t="str">
        <f>"2200L"</f>
        <v>2200L</v>
      </c>
      <c r="Q2415" t="str">
        <f t="shared" si="354"/>
        <v>0101</v>
      </c>
      <c r="R2415">
        <v>2200</v>
      </c>
      <c r="S2415" t="str">
        <f t="shared" ref="S2415:S2444" si="360">"5830"</f>
        <v>5830</v>
      </c>
      <c r="T2415" t="s">
        <v>3661</v>
      </c>
      <c r="U2415" t="s">
        <v>57</v>
      </c>
    </row>
    <row r="2416" spans="1:21" ht="15" customHeight="1" x14ac:dyDescent="0.3">
      <c r="A2416" t="s">
        <v>179</v>
      </c>
      <c r="B2416" t="str">
        <f>"00066481"</f>
        <v>00066481</v>
      </c>
      <c r="C2416" t="s">
        <v>4272</v>
      </c>
      <c r="D2416" t="s">
        <v>429</v>
      </c>
      <c r="E2416" t="str">
        <f>"00063038"</f>
        <v>00063038</v>
      </c>
      <c r="F2416">
        <v>0</v>
      </c>
      <c r="G2416" s="243">
        <v>40406</v>
      </c>
      <c r="H2416" t="s">
        <v>182</v>
      </c>
      <c r="J2416">
        <v>0</v>
      </c>
      <c r="K2416">
        <v>1</v>
      </c>
      <c r="L2416">
        <v>56242</v>
      </c>
      <c r="M2416" t="str">
        <f t="shared" si="358"/>
        <v>13</v>
      </c>
      <c r="N2416" t="s">
        <v>3323</v>
      </c>
      <c r="O2416" t="str">
        <f t="shared" si="359"/>
        <v>58311</v>
      </c>
      <c r="P2416" t="str">
        <f>"2100L"</f>
        <v>2100L</v>
      </c>
      <c r="Q2416" t="str">
        <f t="shared" si="354"/>
        <v>0101</v>
      </c>
      <c r="R2416">
        <v>2100</v>
      </c>
      <c r="S2416" t="str">
        <f t="shared" si="360"/>
        <v>5830</v>
      </c>
      <c r="T2416" t="s">
        <v>3661</v>
      </c>
      <c r="U2416" t="s">
        <v>57</v>
      </c>
    </row>
    <row r="2417" spans="1:21" ht="15" customHeight="1" x14ac:dyDescent="0.3">
      <c r="A2417" t="s">
        <v>179</v>
      </c>
      <c r="B2417" t="str">
        <f>"00066482"</f>
        <v>00066482</v>
      </c>
      <c r="C2417" t="s">
        <v>4272</v>
      </c>
      <c r="D2417" t="s">
        <v>5033</v>
      </c>
      <c r="E2417" t="str">
        <f>"00066609"</f>
        <v>00066609</v>
      </c>
      <c r="F2417">
        <v>0</v>
      </c>
      <c r="G2417" s="243">
        <v>40798</v>
      </c>
      <c r="H2417" t="s">
        <v>182</v>
      </c>
      <c r="I2417">
        <v>15</v>
      </c>
      <c r="J2417">
        <v>1</v>
      </c>
      <c r="K2417">
        <v>1</v>
      </c>
      <c r="L2417">
        <v>51539</v>
      </c>
      <c r="M2417" t="str">
        <f t="shared" si="358"/>
        <v>13</v>
      </c>
      <c r="N2417" t="s">
        <v>3370</v>
      </c>
      <c r="O2417" t="str">
        <f t="shared" si="359"/>
        <v>58311</v>
      </c>
      <c r="P2417" t="str">
        <f>"2200L"</f>
        <v>2200L</v>
      </c>
      <c r="Q2417" t="str">
        <f t="shared" si="354"/>
        <v>0101</v>
      </c>
      <c r="R2417">
        <v>2200</v>
      </c>
      <c r="S2417" t="str">
        <f t="shared" si="360"/>
        <v>5830</v>
      </c>
      <c r="T2417" t="s">
        <v>3661</v>
      </c>
      <c r="U2417" t="s">
        <v>57</v>
      </c>
    </row>
    <row r="2418" spans="1:21" ht="15" customHeight="1" x14ac:dyDescent="0.3">
      <c r="A2418" t="s">
        <v>179</v>
      </c>
      <c r="B2418" t="str">
        <f>"00067466"</f>
        <v>00067466</v>
      </c>
      <c r="C2418" t="s">
        <v>4262</v>
      </c>
      <c r="D2418" t="s">
        <v>2017</v>
      </c>
      <c r="E2418" t="str">
        <f>"00057208"</f>
        <v>00057208</v>
      </c>
      <c r="F2418">
        <v>0</v>
      </c>
      <c r="G2418" s="243">
        <v>40042</v>
      </c>
      <c r="H2418" t="s">
        <v>182</v>
      </c>
      <c r="I2418">
        <v>15</v>
      </c>
      <c r="J2418">
        <v>4</v>
      </c>
      <c r="K2418">
        <v>1</v>
      </c>
      <c r="L2418">
        <v>61158</v>
      </c>
      <c r="M2418" t="str">
        <f t="shared" si="358"/>
        <v>13</v>
      </c>
      <c r="N2418" t="s">
        <v>3323</v>
      </c>
      <c r="O2418" t="str">
        <f t="shared" si="359"/>
        <v>58311</v>
      </c>
      <c r="P2418" t="str">
        <f>"2100L"</f>
        <v>2100L</v>
      </c>
      <c r="Q2418" t="str">
        <f t="shared" si="354"/>
        <v>0101</v>
      </c>
      <c r="R2418">
        <v>2100</v>
      </c>
      <c r="S2418" t="str">
        <f t="shared" si="360"/>
        <v>5830</v>
      </c>
      <c r="T2418" t="s">
        <v>3661</v>
      </c>
      <c r="U2418" t="s">
        <v>57</v>
      </c>
    </row>
    <row r="2419" spans="1:21" ht="15" customHeight="1" x14ac:dyDescent="0.3">
      <c r="A2419" t="s">
        <v>179</v>
      </c>
      <c r="B2419" t="str">
        <f>"00067467"</f>
        <v>00067467</v>
      </c>
      <c r="C2419" t="s">
        <v>4272</v>
      </c>
      <c r="D2419" t="s">
        <v>2018</v>
      </c>
      <c r="E2419" t="str">
        <f>"00057218"</f>
        <v>00057218</v>
      </c>
      <c r="F2419">
        <v>0</v>
      </c>
      <c r="G2419" s="243">
        <v>40042</v>
      </c>
      <c r="H2419" t="s">
        <v>182</v>
      </c>
      <c r="I2419">
        <v>15</v>
      </c>
      <c r="J2419">
        <v>4</v>
      </c>
      <c r="K2419">
        <v>1</v>
      </c>
      <c r="L2419">
        <v>61158</v>
      </c>
      <c r="M2419" t="str">
        <f t="shared" si="358"/>
        <v>13</v>
      </c>
      <c r="N2419" t="s">
        <v>3323</v>
      </c>
      <c r="O2419" t="str">
        <f t="shared" si="359"/>
        <v>58311</v>
      </c>
      <c r="P2419" t="str">
        <f>"2100L"</f>
        <v>2100L</v>
      </c>
      <c r="Q2419" t="str">
        <f t="shared" si="354"/>
        <v>0101</v>
      </c>
      <c r="R2419">
        <v>2100</v>
      </c>
      <c r="S2419" t="str">
        <f t="shared" si="360"/>
        <v>5830</v>
      </c>
      <c r="T2419" t="s">
        <v>3661</v>
      </c>
      <c r="U2419" t="s">
        <v>57</v>
      </c>
    </row>
    <row r="2420" spans="1:21" ht="15" customHeight="1" x14ac:dyDescent="0.3">
      <c r="A2420" t="s">
        <v>179</v>
      </c>
      <c r="B2420" t="str">
        <f>"00068350"</f>
        <v>00068350</v>
      </c>
      <c r="C2420" t="s">
        <v>4257</v>
      </c>
      <c r="D2420" t="s">
        <v>3666</v>
      </c>
      <c r="E2420" t="str">
        <f>"00066192"</f>
        <v>00066192</v>
      </c>
      <c r="F2420">
        <v>0</v>
      </c>
      <c r="G2420" s="243">
        <v>40755</v>
      </c>
      <c r="H2420" t="s">
        <v>182</v>
      </c>
      <c r="I2420">
        <v>15</v>
      </c>
      <c r="J2420">
        <v>9</v>
      </c>
      <c r="K2420">
        <v>1</v>
      </c>
      <c r="L2420">
        <v>77687</v>
      </c>
      <c r="M2420" t="str">
        <f t="shared" si="358"/>
        <v>13</v>
      </c>
      <c r="N2420" t="s">
        <v>3323</v>
      </c>
      <c r="O2420" t="str">
        <f t="shared" si="359"/>
        <v>58311</v>
      </c>
      <c r="P2420" t="str">
        <f>"2100L"</f>
        <v>2100L</v>
      </c>
      <c r="Q2420" t="str">
        <f t="shared" si="354"/>
        <v>0101</v>
      </c>
      <c r="R2420">
        <v>2100</v>
      </c>
      <c r="S2420" t="str">
        <f t="shared" si="360"/>
        <v>5830</v>
      </c>
      <c r="T2420" t="s">
        <v>3661</v>
      </c>
      <c r="U2420" t="s">
        <v>57</v>
      </c>
    </row>
    <row r="2421" spans="1:21" ht="15" customHeight="1" x14ac:dyDescent="0.3">
      <c r="A2421" t="s">
        <v>179</v>
      </c>
      <c r="B2421" t="str">
        <f>"00071629"</f>
        <v>00071629</v>
      </c>
      <c r="C2421" t="s">
        <v>3670</v>
      </c>
      <c r="D2421" t="s">
        <v>5034</v>
      </c>
      <c r="E2421" t="str">
        <f>"00048287"</f>
        <v>00048287</v>
      </c>
      <c r="F2421">
        <v>0</v>
      </c>
      <c r="G2421" s="243">
        <v>37493</v>
      </c>
      <c r="H2421" t="s">
        <v>182</v>
      </c>
      <c r="I2421">
        <v>8</v>
      </c>
      <c r="J2421">
        <v>6</v>
      </c>
      <c r="K2421">
        <v>1</v>
      </c>
      <c r="L2421">
        <v>94825</v>
      </c>
      <c r="M2421" t="str">
        <f t="shared" si="358"/>
        <v>13</v>
      </c>
      <c r="N2421" t="s">
        <v>3323</v>
      </c>
      <c r="O2421" t="str">
        <f t="shared" si="359"/>
        <v>58311</v>
      </c>
      <c r="P2421" t="str">
        <f>"1501L"</f>
        <v>1501L</v>
      </c>
      <c r="Q2421" t="str">
        <f t="shared" si="354"/>
        <v>0101</v>
      </c>
      <c r="R2421">
        <v>1501</v>
      </c>
      <c r="S2421" t="str">
        <f t="shared" si="360"/>
        <v>5830</v>
      </c>
      <c r="T2421" t="s">
        <v>3661</v>
      </c>
      <c r="U2421" t="s">
        <v>57</v>
      </c>
    </row>
    <row r="2422" spans="1:21" ht="15" customHeight="1" x14ac:dyDescent="0.3">
      <c r="A2422" t="s">
        <v>179</v>
      </c>
      <c r="B2422" t="str">
        <f>"00072097"</f>
        <v>00072097</v>
      </c>
      <c r="C2422" t="s">
        <v>4274</v>
      </c>
      <c r="D2422" t="s">
        <v>5035</v>
      </c>
      <c r="E2422" t="str">
        <f>"00070059"</f>
        <v>00070059</v>
      </c>
      <c r="F2422">
        <v>0</v>
      </c>
      <c r="G2422" s="243">
        <v>41126</v>
      </c>
      <c r="H2422" t="s">
        <v>182</v>
      </c>
      <c r="I2422">
        <v>4</v>
      </c>
      <c r="J2422">
        <v>3</v>
      </c>
      <c r="K2422">
        <v>1</v>
      </c>
      <c r="L2422">
        <v>23848.12</v>
      </c>
      <c r="M2422" t="str">
        <f t="shared" si="358"/>
        <v>13</v>
      </c>
      <c r="N2422" t="s">
        <v>3323</v>
      </c>
      <c r="O2422" t="str">
        <f t="shared" si="359"/>
        <v>58311</v>
      </c>
      <c r="P2422" t="str">
        <f>"2200L"</f>
        <v>2200L</v>
      </c>
      <c r="Q2422" t="str">
        <f t="shared" si="354"/>
        <v>0101</v>
      </c>
      <c r="R2422">
        <v>2200</v>
      </c>
      <c r="S2422" t="str">
        <f t="shared" si="360"/>
        <v>5830</v>
      </c>
      <c r="T2422" t="s">
        <v>3661</v>
      </c>
      <c r="U2422" t="s">
        <v>57</v>
      </c>
    </row>
    <row r="2423" spans="1:21" ht="15" customHeight="1" x14ac:dyDescent="0.3">
      <c r="A2423" t="s">
        <v>179</v>
      </c>
      <c r="B2423" t="str">
        <f>"00072108"</f>
        <v>00072108</v>
      </c>
      <c r="C2423" t="s">
        <v>4288</v>
      </c>
      <c r="D2423" t="s">
        <v>4289</v>
      </c>
      <c r="E2423" t="str">
        <f>"00069924"</f>
        <v>00069924</v>
      </c>
      <c r="F2423">
        <v>0</v>
      </c>
      <c r="G2423" s="243">
        <v>41133</v>
      </c>
      <c r="H2423" t="s">
        <v>182</v>
      </c>
      <c r="I2423">
        <v>4</v>
      </c>
      <c r="J2423">
        <v>2</v>
      </c>
      <c r="K2423">
        <v>0.5</v>
      </c>
      <c r="L2423">
        <v>23151.63</v>
      </c>
      <c r="M2423" t="str">
        <f t="shared" si="358"/>
        <v>13</v>
      </c>
      <c r="N2423" t="s">
        <v>3323</v>
      </c>
      <c r="O2423" t="str">
        <f t="shared" si="359"/>
        <v>58311</v>
      </c>
      <c r="P2423" t="str">
        <f>"2200L"</f>
        <v>2200L</v>
      </c>
      <c r="Q2423" t="str">
        <f t="shared" si="354"/>
        <v>0101</v>
      </c>
      <c r="R2423">
        <v>2200</v>
      </c>
      <c r="S2423" t="str">
        <f t="shared" si="360"/>
        <v>5830</v>
      </c>
      <c r="T2423" t="s">
        <v>3324</v>
      </c>
      <c r="U2423" t="s">
        <v>14</v>
      </c>
    </row>
    <row r="2424" spans="1:21" ht="15" customHeight="1" x14ac:dyDescent="0.3">
      <c r="A2424" t="s">
        <v>179</v>
      </c>
      <c r="B2424" t="str">
        <f>"00072225"</f>
        <v>00072225</v>
      </c>
      <c r="C2424" t="s">
        <v>4272</v>
      </c>
      <c r="D2424" t="s">
        <v>2019</v>
      </c>
      <c r="E2424" t="str">
        <f>"00062536"</f>
        <v>00062536</v>
      </c>
      <c r="F2424">
        <v>0</v>
      </c>
      <c r="G2424" s="243">
        <v>40406</v>
      </c>
      <c r="H2424" t="s">
        <v>182</v>
      </c>
      <c r="I2424">
        <v>15</v>
      </c>
      <c r="J2424">
        <v>3</v>
      </c>
      <c r="K2424">
        <v>1</v>
      </c>
      <c r="L2424">
        <v>55210</v>
      </c>
      <c r="M2424" t="str">
        <f t="shared" si="358"/>
        <v>13</v>
      </c>
      <c r="N2424" t="s">
        <v>3323</v>
      </c>
      <c r="O2424" t="str">
        <f t="shared" si="359"/>
        <v>58311</v>
      </c>
      <c r="P2424" t="str">
        <f>"2100L"</f>
        <v>2100L</v>
      </c>
      <c r="Q2424" t="str">
        <f t="shared" si="354"/>
        <v>0101</v>
      </c>
      <c r="R2424">
        <v>2100</v>
      </c>
      <c r="S2424" t="str">
        <f t="shared" si="360"/>
        <v>5830</v>
      </c>
      <c r="T2424" t="s">
        <v>3661</v>
      </c>
      <c r="U2424" t="s">
        <v>57</v>
      </c>
    </row>
    <row r="2425" spans="1:21" ht="15" customHeight="1" x14ac:dyDescent="0.3">
      <c r="A2425" t="s">
        <v>179</v>
      </c>
      <c r="B2425" t="str">
        <f>"00073036"</f>
        <v>00073036</v>
      </c>
      <c r="C2425" t="s">
        <v>4262</v>
      </c>
      <c r="D2425" t="s">
        <v>2020</v>
      </c>
      <c r="E2425" t="str">
        <f>"00063387"</f>
        <v>00063387</v>
      </c>
      <c r="F2425">
        <v>0</v>
      </c>
      <c r="G2425" s="243">
        <v>40406</v>
      </c>
      <c r="H2425" t="s">
        <v>182</v>
      </c>
      <c r="I2425">
        <v>15</v>
      </c>
      <c r="J2425">
        <v>3</v>
      </c>
      <c r="K2425">
        <v>1</v>
      </c>
      <c r="L2425">
        <v>55210</v>
      </c>
      <c r="M2425" t="str">
        <f t="shared" si="358"/>
        <v>13</v>
      </c>
      <c r="N2425" t="s">
        <v>3323</v>
      </c>
      <c r="O2425" t="str">
        <f t="shared" si="359"/>
        <v>58311</v>
      </c>
      <c r="P2425" t="str">
        <f>"3030L"</f>
        <v>3030L</v>
      </c>
      <c r="Q2425" t="str">
        <f t="shared" si="354"/>
        <v>0101</v>
      </c>
      <c r="R2425">
        <v>3030</v>
      </c>
      <c r="S2425" t="str">
        <f t="shared" si="360"/>
        <v>5830</v>
      </c>
      <c r="T2425" t="s">
        <v>3661</v>
      </c>
      <c r="U2425" t="s">
        <v>57</v>
      </c>
    </row>
    <row r="2426" spans="1:21" ht="15" customHeight="1" x14ac:dyDescent="0.3">
      <c r="A2426" t="s">
        <v>179</v>
      </c>
      <c r="B2426" t="str">
        <f>"00073044"</f>
        <v>00073044</v>
      </c>
      <c r="C2426" t="s">
        <v>4260</v>
      </c>
      <c r="D2426" t="s">
        <v>2015</v>
      </c>
      <c r="E2426" t="str">
        <f>"00057645"</f>
        <v>00057645</v>
      </c>
      <c r="F2426">
        <v>0</v>
      </c>
      <c r="G2426" s="243">
        <v>40042</v>
      </c>
      <c r="H2426" t="s">
        <v>182</v>
      </c>
      <c r="I2426">
        <v>15</v>
      </c>
      <c r="J2426">
        <v>4</v>
      </c>
      <c r="K2426">
        <v>1</v>
      </c>
      <c r="L2426">
        <v>61158</v>
      </c>
      <c r="M2426" t="str">
        <f t="shared" si="358"/>
        <v>13</v>
      </c>
      <c r="N2426" t="s">
        <v>3370</v>
      </c>
      <c r="O2426" t="str">
        <f t="shared" si="359"/>
        <v>58311</v>
      </c>
      <c r="P2426" t="str">
        <f>"3030L"</f>
        <v>3030L</v>
      </c>
      <c r="Q2426" t="str">
        <f t="shared" si="354"/>
        <v>0101</v>
      </c>
      <c r="R2426">
        <v>3030</v>
      </c>
      <c r="S2426" t="str">
        <f t="shared" si="360"/>
        <v>5830</v>
      </c>
      <c r="T2426" t="s">
        <v>3661</v>
      </c>
      <c r="U2426" t="s">
        <v>57</v>
      </c>
    </row>
    <row r="2427" spans="1:21" ht="15" customHeight="1" x14ac:dyDescent="0.3">
      <c r="A2427" t="s">
        <v>179</v>
      </c>
      <c r="B2427" t="str">
        <f>"00073052"</f>
        <v>00073052</v>
      </c>
      <c r="C2427" t="s">
        <v>4326</v>
      </c>
      <c r="D2427" t="s">
        <v>5036</v>
      </c>
      <c r="E2427" t="str">
        <f>"00066129"</f>
        <v>00066129</v>
      </c>
      <c r="F2427">
        <v>0</v>
      </c>
      <c r="G2427" s="243">
        <v>40770</v>
      </c>
      <c r="H2427" t="s">
        <v>182</v>
      </c>
      <c r="I2427">
        <v>4</v>
      </c>
      <c r="J2427">
        <v>4</v>
      </c>
      <c r="K2427">
        <v>1</v>
      </c>
      <c r="L2427">
        <v>24543.75</v>
      </c>
      <c r="M2427" t="str">
        <f t="shared" si="358"/>
        <v>13</v>
      </c>
      <c r="N2427" t="s">
        <v>3323</v>
      </c>
      <c r="O2427" t="str">
        <f t="shared" si="359"/>
        <v>58311</v>
      </c>
      <c r="P2427" t="str">
        <f>"2200L"</f>
        <v>2200L</v>
      </c>
      <c r="Q2427" t="str">
        <f t="shared" si="354"/>
        <v>0101</v>
      </c>
      <c r="R2427">
        <v>2200</v>
      </c>
      <c r="S2427" t="str">
        <f t="shared" si="360"/>
        <v>5830</v>
      </c>
      <c r="T2427" t="s">
        <v>3661</v>
      </c>
      <c r="U2427" t="s">
        <v>57</v>
      </c>
    </row>
    <row r="2428" spans="1:21" ht="15" customHeight="1" x14ac:dyDescent="0.3">
      <c r="A2428" t="s">
        <v>179</v>
      </c>
      <c r="B2428" t="str">
        <f>"00073460"</f>
        <v>00073460</v>
      </c>
      <c r="C2428" t="s">
        <v>4290</v>
      </c>
      <c r="D2428" t="s">
        <v>5037</v>
      </c>
      <c r="E2428" t="str">
        <f>"00055035"</f>
        <v>00055035</v>
      </c>
      <c r="F2428">
        <v>0</v>
      </c>
      <c r="G2428" s="243">
        <v>40770</v>
      </c>
      <c r="H2428" t="s">
        <v>182</v>
      </c>
      <c r="I2428">
        <v>4</v>
      </c>
      <c r="J2428">
        <v>8</v>
      </c>
      <c r="K2428">
        <v>1</v>
      </c>
      <c r="L2428">
        <v>27329.75</v>
      </c>
      <c r="M2428" t="str">
        <f t="shared" si="358"/>
        <v>13</v>
      </c>
      <c r="N2428" t="s">
        <v>3323</v>
      </c>
      <c r="O2428" t="str">
        <f t="shared" si="359"/>
        <v>58311</v>
      </c>
      <c r="P2428" t="str">
        <f>"2200L"</f>
        <v>2200L</v>
      </c>
      <c r="Q2428" t="str">
        <f t="shared" si="354"/>
        <v>0101</v>
      </c>
      <c r="R2428">
        <v>2200</v>
      </c>
      <c r="S2428" t="str">
        <f t="shared" si="360"/>
        <v>5830</v>
      </c>
      <c r="T2428" t="s">
        <v>3661</v>
      </c>
      <c r="U2428" t="s">
        <v>57</v>
      </c>
    </row>
    <row r="2429" spans="1:21" ht="15" customHeight="1" x14ac:dyDescent="0.3">
      <c r="A2429" t="s">
        <v>179</v>
      </c>
      <c r="B2429" t="str">
        <f>"00073920"</f>
        <v>00073920</v>
      </c>
      <c r="C2429" t="s">
        <v>4306</v>
      </c>
      <c r="D2429" t="s">
        <v>5038</v>
      </c>
      <c r="E2429" t="str">
        <f>"00058350"</f>
        <v>00058350</v>
      </c>
      <c r="F2429">
        <v>0</v>
      </c>
      <c r="G2429" s="243">
        <v>40059</v>
      </c>
      <c r="H2429" t="s">
        <v>182</v>
      </c>
      <c r="I2429">
        <v>9</v>
      </c>
      <c r="J2429">
        <v>5</v>
      </c>
      <c r="K2429">
        <v>1</v>
      </c>
      <c r="L2429">
        <v>37415</v>
      </c>
      <c r="M2429" t="str">
        <f t="shared" si="358"/>
        <v>13</v>
      </c>
      <c r="N2429" t="s">
        <v>3323</v>
      </c>
      <c r="O2429" t="str">
        <f t="shared" si="359"/>
        <v>58311</v>
      </c>
      <c r="P2429" t="str">
        <f>"1502L"</f>
        <v>1502L</v>
      </c>
      <c r="Q2429" t="str">
        <f t="shared" ref="Q2429:Q2486" si="361">"0101"</f>
        <v>0101</v>
      </c>
      <c r="R2429">
        <v>1502</v>
      </c>
      <c r="S2429" t="str">
        <f t="shared" si="360"/>
        <v>5830</v>
      </c>
      <c r="T2429" t="s">
        <v>3661</v>
      </c>
      <c r="U2429" t="s">
        <v>57</v>
      </c>
    </row>
    <row r="2430" spans="1:21" ht="15" customHeight="1" x14ac:dyDescent="0.3">
      <c r="A2430" t="s">
        <v>179</v>
      </c>
      <c r="B2430" t="str">
        <f>"00073922"</f>
        <v>00073922</v>
      </c>
      <c r="C2430" t="s">
        <v>4381</v>
      </c>
      <c r="D2430" t="s">
        <v>1578</v>
      </c>
      <c r="E2430" t="str">
        <f>"00058303"</f>
        <v>00058303</v>
      </c>
      <c r="F2430">
        <v>0</v>
      </c>
      <c r="G2430" s="243">
        <v>40057</v>
      </c>
      <c r="H2430" t="s">
        <v>182</v>
      </c>
      <c r="I2430">
        <v>9</v>
      </c>
      <c r="J2430">
        <v>6</v>
      </c>
      <c r="K2430">
        <v>1</v>
      </c>
      <c r="L2430">
        <v>38478</v>
      </c>
      <c r="M2430" t="str">
        <f t="shared" si="358"/>
        <v>13</v>
      </c>
      <c r="N2430" t="s">
        <v>3323</v>
      </c>
      <c r="O2430" t="str">
        <f t="shared" si="359"/>
        <v>58311</v>
      </c>
      <c r="P2430" t="str">
        <f>"2100L"</f>
        <v>2100L</v>
      </c>
      <c r="Q2430" t="str">
        <f t="shared" si="361"/>
        <v>0101</v>
      </c>
      <c r="R2430">
        <v>2100</v>
      </c>
      <c r="S2430" t="str">
        <f t="shared" si="360"/>
        <v>5830</v>
      </c>
      <c r="T2430" t="s">
        <v>3661</v>
      </c>
      <c r="U2430" t="s">
        <v>57</v>
      </c>
    </row>
    <row r="2431" spans="1:21" ht="15" customHeight="1" x14ac:dyDescent="0.3">
      <c r="A2431" t="s">
        <v>179</v>
      </c>
      <c r="B2431" t="str">
        <f>"00073923"</f>
        <v>00073923</v>
      </c>
      <c r="C2431" t="s">
        <v>4262</v>
      </c>
      <c r="D2431" t="s">
        <v>3667</v>
      </c>
      <c r="E2431" t="str">
        <f>"00064567"</f>
        <v>00064567</v>
      </c>
      <c r="F2431">
        <v>0</v>
      </c>
      <c r="G2431" s="243">
        <v>40581</v>
      </c>
      <c r="H2431" t="s">
        <v>182</v>
      </c>
      <c r="I2431">
        <v>15</v>
      </c>
      <c r="J2431">
        <v>2</v>
      </c>
      <c r="K2431">
        <v>1</v>
      </c>
      <c r="L2431">
        <v>51716</v>
      </c>
      <c r="M2431" t="str">
        <f t="shared" si="358"/>
        <v>13</v>
      </c>
      <c r="N2431" t="s">
        <v>3323</v>
      </c>
      <c r="O2431" t="str">
        <f t="shared" si="359"/>
        <v>58311</v>
      </c>
      <c r="P2431" t="str">
        <f>"2100L"</f>
        <v>2100L</v>
      </c>
      <c r="Q2431" t="str">
        <f t="shared" si="361"/>
        <v>0101</v>
      </c>
      <c r="R2431">
        <v>2100</v>
      </c>
      <c r="S2431" t="str">
        <f t="shared" si="360"/>
        <v>5830</v>
      </c>
      <c r="T2431" t="s">
        <v>3661</v>
      </c>
      <c r="U2431" t="s">
        <v>57</v>
      </c>
    </row>
    <row r="2432" spans="1:21" ht="15" customHeight="1" x14ac:dyDescent="0.3">
      <c r="A2432" t="s">
        <v>179</v>
      </c>
      <c r="B2432" t="str">
        <f>"00073924"</f>
        <v>00073924</v>
      </c>
      <c r="C2432" t="s">
        <v>4260</v>
      </c>
      <c r="D2432" t="s">
        <v>5039</v>
      </c>
      <c r="E2432" t="str">
        <f>"00066811"</f>
        <v>00066811</v>
      </c>
      <c r="F2432">
        <v>0</v>
      </c>
      <c r="G2432" s="243">
        <v>41133</v>
      </c>
      <c r="H2432" t="s">
        <v>182</v>
      </c>
      <c r="I2432">
        <v>15</v>
      </c>
      <c r="J2432">
        <v>1</v>
      </c>
      <c r="K2432">
        <v>1</v>
      </c>
      <c r="L2432">
        <v>51539</v>
      </c>
      <c r="M2432" t="str">
        <f t="shared" si="358"/>
        <v>13</v>
      </c>
      <c r="N2432" t="s">
        <v>3323</v>
      </c>
      <c r="O2432" t="str">
        <f t="shared" si="359"/>
        <v>58311</v>
      </c>
      <c r="P2432" t="str">
        <f>"2100L"</f>
        <v>2100L</v>
      </c>
      <c r="Q2432" t="str">
        <f t="shared" si="361"/>
        <v>0101</v>
      </c>
      <c r="R2432">
        <v>2100</v>
      </c>
      <c r="S2432" t="str">
        <f t="shared" si="360"/>
        <v>5830</v>
      </c>
      <c r="T2432" t="s">
        <v>3661</v>
      </c>
      <c r="U2432" t="s">
        <v>57</v>
      </c>
    </row>
    <row r="2433" spans="1:21" ht="15" customHeight="1" x14ac:dyDescent="0.3">
      <c r="A2433" t="s">
        <v>179</v>
      </c>
      <c r="B2433" t="str">
        <f>"00074273"</f>
        <v>00074273</v>
      </c>
      <c r="C2433" t="s">
        <v>4266</v>
      </c>
      <c r="D2433" t="s">
        <v>5040</v>
      </c>
      <c r="E2433" t="str">
        <f>"00069848"</f>
        <v>00069848</v>
      </c>
      <c r="F2433">
        <v>0</v>
      </c>
      <c r="G2433" s="243">
        <v>41133</v>
      </c>
      <c r="H2433" t="s">
        <v>182</v>
      </c>
      <c r="I2433">
        <v>15</v>
      </c>
      <c r="J2433">
        <v>4</v>
      </c>
      <c r="K2433">
        <v>1</v>
      </c>
      <c r="L2433">
        <v>61158</v>
      </c>
      <c r="M2433" t="str">
        <f t="shared" si="358"/>
        <v>13</v>
      </c>
      <c r="N2433" t="s">
        <v>3370</v>
      </c>
      <c r="O2433" t="str">
        <f t="shared" si="359"/>
        <v>58311</v>
      </c>
      <c r="P2433" t="str">
        <f>"2100L"</f>
        <v>2100L</v>
      </c>
      <c r="Q2433" t="str">
        <f t="shared" si="361"/>
        <v>0101</v>
      </c>
      <c r="R2433">
        <v>2100</v>
      </c>
      <c r="S2433" t="str">
        <f t="shared" si="360"/>
        <v>5830</v>
      </c>
      <c r="T2433" t="s">
        <v>3661</v>
      </c>
      <c r="U2433" t="s">
        <v>57</v>
      </c>
    </row>
    <row r="2434" spans="1:21" ht="15" customHeight="1" x14ac:dyDescent="0.3">
      <c r="A2434" t="s">
        <v>179</v>
      </c>
      <c r="B2434" t="str">
        <f>"00074274"</f>
        <v>00074274</v>
      </c>
      <c r="C2434" t="s">
        <v>4265</v>
      </c>
      <c r="D2434" t="s">
        <v>3662</v>
      </c>
      <c r="E2434" t="str">
        <f>"00066358"</f>
        <v>00066358</v>
      </c>
      <c r="F2434">
        <v>0</v>
      </c>
      <c r="G2434" s="243">
        <v>40755</v>
      </c>
      <c r="H2434" t="s">
        <v>182</v>
      </c>
      <c r="I2434">
        <v>15</v>
      </c>
      <c r="J2434">
        <v>9</v>
      </c>
      <c r="K2434">
        <v>0.5</v>
      </c>
      <c r="L2434">
        <v>37616</v>
      </c>
      <c r="M2434" t="str">
        <f t="shared" si="358"/>
        <v>13</v>
      </c>
      <c r="N2434" t="s">
        <v>3323</v>
      </c>
      <c r="O2434" t="str">
        <f t="shared" si="359"/>
        <v>58311</v>
      </c>
      <c r="P2434" t="str">
        <f>"2100L"</f>
        <v>2100L</v>
      </c>
      <c r="Q2434" t="str">
        <f t="shared" si="361"/>
        <v>0101</v>
      </c>
      <c r="R2434">
        <v>2100</v>
      </c>
      <c r="S2434" t="str">
        <f t="shared" si="360"/>
        <v>5830</v>
      </c>
      <c r="T2434" t="s">
        <v>3661</v>
      </c>
      <c r="U2434" t="s">
        <v>57</v>
      </c>
    </row>
    <row r="2435" spans="1:21" ht="15" customHeight="1" x14ac:dyDescent="0.3">
      <c r="A2435" t="s">
        <v>179</v>
      </c>
      <c r="B2435" t="str">
        <f>"00074564"</f>
        <v>00074564</v>
      </c>
      <c r="C2435" t="s">
        <v>4499</v>
      </c>
      <c r="H2435" t="s">
        <v>170</v>
      </c>
      <c r="I2435">
        <v>10</v>
      </c>
      <c r="J2435">
        <v>1</v>
      </c>
      <c r="K2435">
        <v>0.5</v>
      </c>
      <c r="L2435">
        <v>62794</v>
      </c>
      <c r="M2435" t="str">
        <f t="shared" si="358"/>
        <v>13</v>
      </c>
      <c r="N2435" t="s">
        <v>3323</v>
      </c>
      <c r="O2435" t="str">
        <f t="shared" si="359"/>
        <v>58311</v>
      </c>
      <c r="P2435" t="str">
        <f>"3030L"</f>
        <v>3030L</v>
      </c>
      <c r="Q2435" t="str">
        <f t="shared" si="361"/>
        <v>0101</v>
      </c>
      <c r="R2435">
        <v>3030</v>
      </c>
      <c r="S2435" t="str">
        <f t="shared" si="360"/>
        <v>5830</v>
      </c>
      <c r="T2435" t="s">
        <v>3661</v>
      </c>
      <c r="U2435" t="s">
        <v>57</v>
      </c>
    </row>
    <row r="2436" spans="1:21" ht="15" customHeight="1" x14ac:dyDescent="0.3">
      <c r="A2436" t="s">
        <v>179</v>
      </c>
      <c r="B2436" t="str">
        <f>"00076272"</f>
        <v>00076272</v>
      </c>
      <c r="C2436" t="s">
        <v>4271</v>
      </c>
      <c r="H2436" t="s">
        <v>170</v>
      </c>
      <c r="I2436">
        <v>15</v>
      </c>
      <c r="J2436">
        <v>0</v>
      </c>
      <c r="K2436">
        <v>0.5</v>
      </c>
      <c r="L2436">
        <v>51539</v>
      </c>
      <c r="M2436" t="str">
        <f t="shared" si="358"/>
        <v>13</v>
      </c>
      <c r="N2436" t="s">
        <v>3370</v>
      </c>
      <c r="O2436" t="str">
        <f t="shared" si="359"/>
        <v>58311</v>
      </c>
      <c r="P2436" t="str">
        <f>"2100L"</f>
        <v>2100L</v>
      </c>
      <c r="Q2436" t="str">
        <f t="shared" si="361"/>
        <v>0101</v>
      </c>
      <c r="R2436">
        <v>2100</v>
      </c>
      <c r="S2436" t="str">
        <f t="shared" si="360"/>
        <v>5830</v>
      </c>
      <c r="T2436" t="s">
        <v>3661</v>
      </c>
      <c r="U2436" t="s">
        <v>57</v>
      </c>
    </row>
    <row r="2437" spans="1:21" ht="15" customHeight="1" x14ac:dyDescent="0.3">
      <c r="A2437" t="s">
        <v>179</v>
      </c>
      <c r="B2437" t="str">
        <f>"00076273"</f>
        <v>00076273</v>
      </c>
      <c r="C2437" t="s">
        <v>4262</v>
      </c>
      <c r="D2437" t="s">
        <v>5041</v>
      </c>
      <c r="E2437" t="str">
        <f>"00069540"</f>
        <v>00069540</v>
      </c>
      <c r="F2437">
        <v>0</v>
      </c>
      <c r="G2437" s="243">
        <v>41133</v>
      </c>
      <c r="H2437" t="s">
        <v>182</v>
      </c>
      <c r="I2437">
        <v>15</v>
      </c>
      <c r="J2437">
        <v>1</v>
      </c>
      <c r="K2437">
        <v>1</v>
      </c>
      <c r="L2437">
        <v>51539</v>
      </c>
      <c r="M2437" t="str">
        <f t="shared" si="358"/>
        <v>13</v>
      </c>
      <c r="N2437" t="s">
        <v>3370</v>
      </c>
      <c r="O2437" t="str">
        <f t="shared" si="359"/>
        <v>58311</v>
      </c>
      <c r="P2437" t="str">
        <f>"2100L"</f>
        <v>2100L</v>
      </c>
      <c r="Q2437" t="str">
        <f t="shared" si="361"/>
        <v>0101</v>
      </c>
      <c r="R2437">
        <v>2100</v>
      </c>
      <c r="S2437" t="str">
        <f t="shared" si="360"/>
        <v>5830</v>
      </c>
      <c r="T2437" t="s">
        <v>3661</v>
      </c>
      <c r="U2437" t="s">
        <v>57</v>
      </c>
    </row>
    <row r="2438" spans="1:21" ht="15" customHeight="1" x14ac:dyDescent="0.3">
      <c r="A2438" t="s">
        <v>179</v>
      </c>
      <c r="B2438" t="str">
        <f>"00076274"</f>
        <v>00076274</v>
      </c>
      <c r="C2438" t="s">
        <v>4262</v>
      </c>
      <c r="D2438" t="s">
        <v>5042</v>
      </c>
      <c r="E2438" t="str">
        <f>"00069539"</f>
        <v>00069539</v>
      </c>
      <c r="F2438">
        <v>0</v>
      </c>
      <c r="G2438" s="243">
        <v>41133</v>
      </c>
      <c r="H2438" t="s">
        <v>182</v>
      </c>
      <c r="I2438">
        <v>15</v>
      </c>
      <c r="J2438">
        <v>1</v>
      </c>
      <c r="K2438">
        <v>1</v>
      </c>
      <c r="L2438">
        <v>51539</v>
      </c>
      <c r="M2438" t="str">
        <f t="shared" si="358"/>
        <v>13</v>
      </c>
      <c r="N2438" t="s">
        <v>3370</v>
      </c>
      <c r="O2438" t="str">
        <f t="shared" si="359"/>
        <v>58311</v>
      </c>
      <c r="P2438" t="str">
        <f>"2100L"</f>
        <v>2100L</v>
      </c>
      <c r="Q2438" t="str">
        <f t="shared" si="361"/>
        <v>0101</v>
      </c>
      <c r="R2438">
        <v>2100</v>
      </c>
      <c r="S2438" t="str">
        <f t="shared" si="360"/>
        <v>5830</v>
      </c>
      <c r="T2438" t="s">
        <v>3661</v>
      </c>
      <c r="U2438" t="s">
        <v>57</v>
      </c>
    </row>
    <row r="2439" spans="1:21" ht="15" customHeight="1" x14ac:dyDescent="0.3">
      <c r="A2439" t="s">
        <v>179</v>
      </c>
      <c r="B2439" t="str">
        <f>"00076275"</f>
        <v>00076275</v>
      </c>
      <c r="C2439" t="s">
        <v>4262</v>
      </c>
      <c r="D2439" t="s">
        <v>5043</v>
      </c>
      <c r="E2439" t="str">
        <f>"00062658"</f>
        <v>00062658</v>
      </c>
      <c r="F2439">
        <v>0</v>
      </c>
      <c r="G2439" s="243">
        <v>41133</v>
      </c>
      <c r="H2439" t="s">
        <v>182</v>
      </c>
      <c r="I2439">
        <v>15</v>
      </c>
      <c r="J2439">
        <v>1</v>
      </c>
      <c r="K2439">
        <v>1</v>
      </c>
      <c r="L2439">
        <v>51539</v>
      </c>
      <c r="M2439" t="str">
        <f t="shared" si="358"/>
        <v>13</v>
      </c>
      <c r="N2439" t="s">
        <v>3370</v>
      </c>
      <c r="O2439" t="str">
        <f t="shared" si="359"/>
        <v>58311</v>
      </c>
      <c r="P2439" t="str">
        <f>"2100L"</f>
        <v>2100L</v>
      </c>
      <c r="Q2439" t="str">
        <f t="shared" si="361"/>
        <v>0101</v>
      </c>
      <c r="R2439">
        <v>2100</v>
      </c>
      <c r="S2439" t="str">
        <f t="shared" si="360"/>
        <v>5830</v>
      </c>
      <c r="T2439" t="s">
        <v>3661</v>
      </c>
      <c r="U2439" t="s">
        <v>57</v>
      </c>
    </row>
    <row r="2440" spans="1:21" ht="15" customHeight="1" x14ac:dyDescent="0.3">
      <c r="A2440" t="s">
        <v>179</v>
      </c>
      <c r="B2440" t="str">
        <f>"00076276"</f>
        <v>00076276</v>
      </c>
      <c r="C2440" t="s">
        <v>4395</v>
      </c>
      <c r="D2440" t="s">
        <v>2021</v>
      </c>
      <c r="E2440" t="str">
        <f>"00047994"</f>
        <v>00047994</v>
      </c>
      <c r="F2440">
        <v>0</v>
      </c>
      <c r="G2440" s="243">
        <v>40180</v>
      </c>
      <c r="H2440" t="s">
        <v>182</v>
      </c>
      <c r="I2440">
        <v>10</v>
      </c>
      <c r="J2440">
        <v>9</v>
      </c>
      <c r="K2440">
        <v>1</v>
      </c>
      <c r="L2440">
        <v>84226</v>
      </c>
      <c r="M2440" t="str">
        <f t="shared" si="358"/>
        <v>13</v>
      </c>
      <c r="N2440" t="s">
        <v>3323</v>
      </c>
      <c r="O2440" t="str">
        <f t="shared" si="359"/>
        <v>58311</v>
      </c>
      <c r="P2440" t="str">
        <f>"2100L"</f>
        <v>2100L</v>
      </c>
      <c r="Q2440" t="str">
        <f t="shared" si="361"/>
        <v>0101</v>
      </c>
      <c r="R2440">
        <v>2100</v>
      </c>
      <c r="S2440" t="str">
        <f t="shared" si="360"/>
        <v>5830</v>
      </c>
      <c r="T2440" t="s">
        <v>3661</v>
      </c>
      <c r="U2440" t="s">
        <v>57</v>
      </c>
    </row>
    <row r="2441" spans="1:21" ht="15" customHeight="1" x14ac:dyDescent="0.3">
      <c r="A2441" t="s">
        <v>179</v>
      </c>
      <c r="B2441" t="str">
        <f>"00076473"</f>
        <v>00076473</v>
      </c>
      <c r="C2441" t="s">
        <v>4274</v>
      </c>
      <c r="D2441" t="s">
        <v>5044</v>
      </c>
      <c r="E2441" t="str">
        <f>"00069541"</f>
        <v>00069541</v>
      </c>
      <c r="F2441">
        <v>0</v>
      </c>
      <c r="G2441" s="243">
        <v>41133</v>
      </c>
      <c r="H2441" t="s">
        <v>182</v>
      </c>
      <c r="I2441">
        <v>4</v>
      </c>
      <c r="J2441">
        <v>7</v>
      </c>
      <c r="K2441">
        <v>0.71</v>
      </c>
      <c r="L2441">
        <v>26633.25</v>
      </c>
      <c r="M2441" t="str">
        <f t="shared" si="358"/>
        <v>13</v>
      </c>
      <c r="N2441" t="s">
        <v>3323</v>
      </c>
      <c r="O2441" t="str">
        <f t="shared" si="359"/>
        <v>58311</v>
      </c>
      <c r="P2441" t="str">
        <f>"2200L"</f>
        <v>2200L</v>
      </c>
      <c r="Q2441" t="str">
        <f t="shared" si="361"/>
        <v>0101</v>
      </c>
      <c r="R2441">
        <v>2200</v>
      </c>
      <c r="S2441" t="str">
        <f t="shared" si="360"/>
        <v>5830</v>
      </c>
      <c r="T2441" t="s">
        <v>3661</v>
      </c>
      <c r="U2441" t="s">
        <v>57</v>
      </c>
    </row>
    <row r="2442" spans="1:21" ht="15" customHeight="1" x14ac:dyDescent="0.3">
      <c r="A2442" t="s">
        <v>179</v>
      </c>
      <c r="B2442" t="str">
        <f>"00076474"</f>
        <v>00076474</v>
      </c>
      <c r="C2442" t="s">
        <v>4274</v>
      </c>
      <c r="D2442" t="s">
        <v>5045</v>
      </c>
      <c r="E2442" t="str">
        <f>"00069574"</f>
        <v>00069574</v>
      </c>
      <c r="F2442">
        <v>0</v>
      </c>
      <c r="G2442" s="243">
        <v>41133</v>
      </c>
      <c r="H2442" t="s">
        <v>182</v>
      </c>
      <c r="I2442">
        <v>4</v>
      </c>
      <c r="J2442">
        <v>3</v>
      </c>
      <c r="K2442">
        <v>0.71</v>
      </c>
      <c r="L2442">
        <v>23848.12</v>
      </c>
      <c r="M2442" t="str">
        <f t="shared" si="358"/>
        <v>13</v>
      </c>
      <c r="N2442" t="s">
        <v>3323</v>
      </c>
      <c r="O2442" t="str">
        <f t="shared" si="359"/>
        <v>58311</v>
      </c>
      <c r="P2442" t="str">
        <f>"2200L"</f>
        <v>2200L</v>
      </c>
      <c r="Q2442" t="str">
        <f t="shared" si="361"/>
        <v>0101</v>
      </c>
      <c r="R2442">
        <v>2200</v>
      </c>
      <c r="S2442" t="str">
        <f t="shared" si="360"/>
        <v>5830</v>
      </c>
      <c r="T2442" t="s">
        <v>3661</v>
      </c>
      <c r="U2442" t="s">
        <v>57</v>
      </c>
    </row>
    <row r="2443" spans="1:21" ht="15" customHeight="1" x14ac:dyDescent="0.3">
      <c r="A2443" t="s">
        <v>179</v>
      </c>
      <c r="B2443" t="str">
        <f>"00076496"</f>
        <v>00076496</v>
      </c>
      <c r="C2443" t="s">
        <v>4343</v>
      </c>
      <c r="D2443" t="s">
        <v>2012</v>
      </c>
      <c r="E2443" t="str">
        <f>"00057209"</f>
        <v>00057209</v>
      </c>
      <c r="F2443">
        <v>0</v>
      </c>
      <c r="G2443" s="243">
        <v>40042</v>
      </c>
      <c r="H2443" t="s">
        <v>182</v>
      </c>
      <c r="I2443">
        <v>15</v>
      </c>
      <c r="J2443">
        <v>4</v>
      </c>
      <c r="K2443">
        <v>1</v>
      </c>
      <c r="L2443">
        <v>61158</v>
      </c>
      <c r="M2443" t="str">
        <f t="shared" si="358"/>
        <v>13</v>
      </c>
      <c r="N2443" t="s">
        <v>3370</v>
      </c>
      <c r="O2443" t="str">
        <f t="shared" si="359"/>
        <v>58311</v>
      </c>
      <c r="P2443" t="str">
        <f>"2300L"</f>
        <v>2300L</v>
      </c>
      <c r="Q2443" t="str">
        <f t="shared" si="361"/>
        <v>0101</v>
      </c>
      <c r="R2443">
        <v>2300</v>
      </c>
      <c r="S2443" t="str">
        <f t="shared" si="360"/>
        <v>5830</v>
      </c>
      <c r="T2443" t="s">
        <v>3661</v>
      </c>
      <c r="U2443" t="s">
        <v>57</v>
      </c>
    </row>
    <row r="2444" spans="1:21" ht="15" customHeight="1" x14ac:dyDescent="0.3">
      <c r="A2444" t="s">
        <v>179</v>
      </c>
      <c r="B2444" t="str">
        <f>"00076849"</f>
        <v>00076849</v>
      </c>
      <c r="C2444" t="s">
        <v>4262</v>
      </c>
      <c r="H2444" t="s">
        <v>170</v>
      </c>
      <c r="I2444">
        <v>15</v>
      </c>
      <c r="J2444">
        <v>0</v>
      </c>
      <c r="K2444">
        <v>1</v>
      </c>
      <c r="L2444">
        <v>51539</v>
      </c>
      <c r="M2444" t="str">
        <f t="shared" si="358"/>
        <v>13</v>
      </c>
      <c r="N2444" t="s">
        <v>3370</v>
      </c>
      <c r="O2444" t="str">
        <f t="shared" si="359"/>
        <v>58311</v>
      </c>
      <c r="P2444" t="str">
        <f t="shared" ref="P2444:P2449" si="362">"2100L"</f>
        <v>2100L</v>
      </c>
      <c r="Q2444" t="str">
        <f t="shared" si="361"/>
        <v>0101</v>
      </c>
      <c r="R2444">
        <v>2100</v>
      </c>
      <c r="S2444" t="str">
        <f t="shared" si="360"/>
        <v>5830</v>
      </c>
      <c r="T2444" t="s">
        <v>3661</v>
      </c>
      <c r="U2444" t="s">
        <v>57</v>
      </c>
    </row>
    <row r="2445" spans="1:21" ht="15" customHeight="1" x14ac:dyDescent="0.3">
      <c r="A2445" t="s">
        <v>179</v>
      </c>
      <c r="B2445" t="str">
        <f>"00051694"</f>
        <v>00051694</v>
      </c>
      <c r="C2445" t="s">
        <v>4272</v>
      </c>
      <c r="D2445" t="s">
        <v>2040</v>
      </c>
      <c r="E2445" t="str">
        <f>"00045533"</f>
        <v>00045533</v>
      </c>
      <c r="F2445">
        <v>0</v>
      </c>
      <c r="G2445" s="243">
        <v>32769</v>
      </c>
      <c r="H2445" t="s">
        <v>182</v>
      </c>
      <c r="I2445">
        <v>15</v>
      </c>
      <c r="J2445">
        <v>16</v>
      </c>
      <c r="K2445">
        <v>1</v>
      </c>
      <c r="L2445">
        <v>106540</v>
      </c>
      <c r="M2445" t="str">
        <f t="shared" si="358"/>
        <v>13</v>
      </c>
      <c r="N2445" t="s">
        <v>3323</v>
      </c>
      <c r="O2445" t="str">
        <f t="shared" ref="O2445:O2472" si="363">"58411"</f>
        <v>58411</v>
      </c>
      <c r="P2445" t="str">
        <f t="shared" si="362"/>
        <v>2100L</v>
      </c>
      <c r="Q2445" t="str">
        <f t="shared" si="361"/>
        <v>0101</v>
      </c>
      <c r="R2445">
        <v>2100</v>
      </c>
      <c r="S2445" t="str">
        <f t="shared" ref="S2445:S2472" si="364">"5840"</f>
        <v>5840</v>
      </c>
      <c r="T2445" t="s">
        <v>3671</v>
      </c>
      <c r="U2445" t="s">
        <v>2041</v>
      </c>
    </row>
    <row r="2446" spans="1:21" ht="15" customHeight="1" x14ac:dyDescent="0.3">
      <c r="A2446" t="s">
        <v>179</v>
      </c>
      <c r="B2446" t="str">
        <f>"00052636"</f>
        <v>00052636</v>
      </c>
      <c r="C2446" t="s">
        <v>4262</v>
      </c>
      <c r="D2446" t="s">
        <v>2042</v>
      </c>
      <c r="E2446" t="str">
        <f>"00048745"</f>
        <v>00048745</v>
      </c>
      <c r="F2446">
        <v>0</v>
      </c>
      <c r="G2446" s="243">
        <v>32050</v>
      </c>
      <c r="H2446" t="s">
        <v>182</v>
      </c>
      <c r="I2446">
        <v>15</v>
      </c>
      <c r="J2446">
        <v>13</v>
      </c>
      <c r="K2446">
        <v>1</v>
      </c>
      <c r="L2446">
        <v>81724</v>
      </c>
      <c r="M2446" t="str">
        <f t="shared" si="358"/>
        <v>13</v>
      </c>
      <c r="N2446" t="s">
        <v>3323</v>
      </c>
      <c r="O2446" t="str">
        <f t="shared" si="363"/>
        <v>58411</v>
      </c>
      <c r="P2446" t="str">
        <f t="shared" si="362"/>
        <v>2100L</v>
      </c>
      <c r="Q2446" t="str">
        <f t="shared" si="361"/>
        <v>0101</v>
      </c>
      <c r="R2446">
        <v>2100</v>
      </c>
      <c r="S2446" t="str">
        <f t="shared" si="364"/>
        <v>5840</v>
      </c>
      <c r="T2446" t="s">
        <v>3671</v>
      </c>
      <c r="U2446" t="s">
        <v>2041</v>
      </c>
    </row>
    <row r="2447" spans="1:21" ht="15" customHeight="1" x14ac:dyDescent="0.3">
      <c r="A2447" t="s">
        <v>179</v>
      </c>
      <c r="B2447" t="str">
        <f>"00053666"</f>
        <v>00053666</v>
      </c>
      <c r="C2447" t="s">
        <v>4262</v>
      </c>
      <c r="D2447" t="s">
        <v>2043</v>
      </c>
      <c r="E2447" t="str">
        <f>"00052159"</f>
        <v>00052159</v>
      </c>
      <c r="F2447">
        <v>0</v>
      </c>
      <c r="G2447" s="243">
        <v>35317</v>
      </c>
      <c r="H2447" t="s">
        <v>182</v>
      </c>
      <c r="I2447">
        <v>15</v>
      </c>
      <c r="J2447">
        <v>16</v>
      </c>
      <c r="K2447">
        <v>1</v>
      </c>
      <c r="L2447">
        <v>100839</v>
      </c>
      <c r="M2447" t="str">
        <f t="shared" si="358"/>
        <v>13</v>
      </c>
      <c r="N2447" t="s">
        <v>3323</v>
      </c>
      <c r="O2447" t="str">
        <f t="shared" si="363"/>
        <v>58411</v>
      </c>
      <c r="P2447" t="str">
        <f t="shared" si="362"/>
        <v>2100L</v>
      </c>
      <c r="Q2447" t="str">
        <f t="shared" si="361"/>
        <v>0101</v>
      </c>
      <c r="R2447">
        <v>2100</v>
      </c>
      <c r="S2447" t="str">
        <f t="shared" si="364"/>
        <v>5840</v>
      </c>
      <c r="T2447" t="s">
        <v>3671</v>
      </c>
      <c r="U2447" t="s">
        <v>2041</v>
      </c>
    </row>
    <row r="2448" spans="1:21" ht="15" customHeight="1" x14ac:dyDescent="0.3">
      <c r="A2448" t="s">
        <v>179</v>
      </c>
      <c r="B2448" t="str">
        <f>"00053936"</f>
        <v>00053936</v>
      </c>
      <c r="C2448" t="s">
        <v>4262</v>
      </c>
      <c r="D2448" t="s">
        <v>3677</v>
      </c>
      <c r="E2448" t="str">
        <f>"00066338"</f>
        <v>00066338</v>
      </c>
      <c r="F2448">
        <v>0</v>
      </c>
      <c r="G2448" s="243">
        <v>40755</v>
      </c>
      <c r="H2448" t="s">
        <v>182</v>
      </c>
      <c r="I2448">
        <v>15</v>
      </c>
      <c r="J2448">
        <v>3</v>
      </c>
      <c r="K2448">
        <v>1</v>
      </c>
      <c r="L2448">
        <v>52777</v>
      </c>
      <c r="M2448" t="str">
        <f t="shared" si="358"/>
        <v>13</v>
      </c>
      <c r="N2448" t="s">
        <v>3323</v>
      </c>
      <c r="O2448" t="str">
        <f t="shared" si="363"/>
        <v>58411</v>
      </c>
      <c r="P2448" t="str">
        <f t="shared" si="362"/>
        <v>2100L</v>
      </c>
      <c r="Q2448" t="str">
        <f t="shared" si="361"/>
        <v>0101</v>
      </c>
      <c r="R2448">
        <v>2100</v>
      </c>
      <c r="S2448" t="str">
        <f t="shared" si="364"/>
        <v>5840</v>
      </c>
      <c r="T2448" t="s">
        <v>3671</v>
      </c>
      <c r="U2448" t="s">
        <v>2041</v>
      </c>
    </row>
    <row r="2449" spans="1:21" ht="15" customHeight="1" x14ac:dyDescent="0.3">
      <c r="A2449" t="s">
        <v>179</v>
      </c>
      <c r="B2449" t="str">
        <f>"00053937"</f>
        <v>00053937</v>
      </c>
      <c r="C2449" t="s">
        <v>4262</v>
      </c>
      <c r="D2449" t="s">
        <v>2044</v>
      </c>
      <c r="E2449" t="str">
        <f>"00052768"</f>
        <v>00052768</v>
      </c>
      <c r="F2449">
        <v>0</v>
      </c>
      <c r="G2449" s="243">
        <v>34941</v>
      </c>
      <c r="H2449" t="s">
        <v>182</v>
      </c>
      <c r="I2449">
        <v>15</v>
      </c>
      <c r="J2449">
        <v>13</v>
      </c>
      <c r="K2449">
        <v>1</v>
      </c>
      <c r="L2449">
        <v>81724</v>
      </c>
      <c r="M2449" t="str">
        <f t="shared" si="358"/>
        <v>13</v>
      </c>
      <c r="N2449" t="s">
        <v>3323</v>
      </c>
      <c r="O2449" t="str">
        <f t="shared" si="363"/>
        <v>58411</v>
      </c>
      <c r="P2449" t="str">
        <f t="shared" si="362"/>
        <v>2100L</v>
      </c>
      <c r="Q2449" t="str">
        <f t="shared" si="361"/>
        <v>0101</v>
      </c>
      <c r="R2449">
        <v>2100</v>
      </c>
      <c r="S2449" t="str">
        <f t="shared" si="364"/>
        <v>5840</v>
      </c>
      <c r="T2449" t="s">
        <v>3671</v>
      </c>
      <c r="U2449" t="s">
        <v>2041</v>
      </c>
    </row>
    <row r="2450" spans="1:21" ht="15" customHeight="1" x14ac:dyDescent="0.3">
      <c r="A2450" t="s">
        <v>179</v>
      </c>
      <c r="B2450" t="str">
        <f>"00053964"</f>
        <v>00053964</v>
      </c>
      <c r="C2450" t="s">
        <v>4272</v>
      </c>
      <c r="D2450" t="s">
        <v>2045</v>
      </c>
      <c r="E2450" t="str">
        <f>"00052804"</f>
        <v>00052804</v>
      </c>
      <c r="F2450">
        <v>0</v>
      </c>
      <c r="G2450" s="243">
        <v>32810</v>
      </c>
      <c r="H2450" t="s">
        <v>182</v>
      </c>
      <c r="I2450">
        <v>15</v>
      </c>
      <c r="J2450">
        <v>16</v>
      </c>
      <c r="K2450">
        <v>1</v>
      </c>
      <c r="L2450">
        <v>100839</v>
      </c>
      <c r="M2450" t="str">
        <f t="shared" si="358"/>
        <v>13</v>
      </c>
      <c r="N2450" t="s">
        <v>3323</v>
      </c>
      <c r="O2450" t="str">
        <f t="shared" si="363"/>
        <v>58411</v>
      </c>
      <c r="P2450" t="str">
        <f>"2200L"</f>
        <v>2200L</v>
      </c>
      <c r="Q2450" t="str">
        <f t="shared" si="361"/>
        <v>0101</v>
      </c>
      <c r="R2450">
        <v>2200</v>
      </c>
      <c r="S2450" t="str">
        <f t="shared" si="364"/>
        <v>5840</v>
      </c>
      <c r="T2450" t="s">
        <v>3671</v>
      </c>
      <c r="U2450" t="s">
        <v>2041</v>
      </c>
    </row>
    <row r="2451" spans="1:21" ht="15" customHeight="1" x14ac:dyDescent="0.3">
      <c r="A2451" t="s">
        <v>179</v>
      </c>
      <c r="B2451" t="str">
        <f>"00054088"</f>
        <v>00054088</v>
      </c>
      <c r="C2451" t="s">
        <v>4274</v>
      </c>
      <c r="D2451" t="s">
        <v>5046</v>
      </c>
      <c r="E2451" t="str">
        <f>"00052997"</f>
        <v>00052997</v>
      </c>
      <c r="F2451">
        <v>0</v>
      </c>
      <c r="G2451" s="243">
        <v>32555</v>
      </c>
      <c r="H2451" t="s">
        <v>182</v>
      </c>
      <c r="I2451">
        <v>4</v>
      </c>
      <c r="J2451">
        <v>10</v>
      </c>
      <c r="K2451">
        <v>0.875</v>
      </c>
      <c r="L2451">
        <v>28721</v>
      </c>
      <c r="M2451" t="str">
        <f t="shared" si="358"/>
        <v>13</v>
      </c>
      <c r="N2451" t="s">
        <v>3323</v>
      </c>
      <c r="O2451" t="str">
        <f t="shared" si="363"/>
        <v>58411</v>
      </c>
      <c r="P2451" t="str">
        <f>"2200L"</f>
        <v>2200L</v>
      </c>
      <c r="Q2451" t="str">
        <f t="shared" si="361"/>
        <v>0101</v>
      </c>
      <c r="R2451">
        <v>2200</v>
      </c>
      <c r="S2451" t="str">
        <f t="shared" si="364"/>
        <v>5840</v>
      </c>
      <c r="T2451" t="s">
        <v>3671</v>
      </c>
      <c r="U2451" t="s">
        <v>2041</v>
      </c>
    </row>
    <row r="2452" spans="1:21" ht="15" customHeight="1" x14ac:dyDescent="0.3">
      <c r="A2452" t="s">
        <v>179</v>
      </c>
      <c r="B2452" t="str">
        <f>"00054608"</f>
        <v>00054608</v>
      </c>
      <c r="C2452" t="s">
        <v>4274</v>
      </c>
      <c r="D2452" t="s">
        <v>5047</v>
      </c>
      <c r="E2452" t="str">
        <f>"00050351"</f>
        <v>00050351</v>
      </c>
      <c r="F2452">
        <v>0</v>
      </c>
      <c r="G2452" s="243">
        <v>33491</v>
      </c>
      <c r="H2452" t="s">
        <v>182</v>
      </c>
      <c r="I2452">
        <v>4</v>
      </c>
      <c r="J2452">
        <v>10</v>
      </c>
      <c r="K2452">
        <v>0.875</v>
      </c>
      <c r="L2452">
        <v>28721</v>
      </c>
      <c r="M2452" t="str">
        <f t="shared" si="358"/>
        <v>13</v>
      </c>
      <c r="N2452" t="s">
        <v>3323</v>
      </c>
      <c r="O2452" t="str">
        <f t="shared" si="363"/>
        <v>58411</v>
      </c>
      <c r="P2452" t="str">
        <f>"2200L"</f>
        <v>2200L</v>
      </c>
      <c r="Q2452" t="str">
        <f t="shared" si="361"/>
        <v>0101</v>
      </c>
      <c r="R2452">
        <v>2200</v>
      </c>
      <c r="S2452" t="str">
        <f t="shared" si="364"/>
        <v>5840</v>
      </c>
      <c r="T2452" t="s">
        <v>3671</v>
      </c>
      <c r="U2452" t="s">
        <v>2041</v>
      </c>
    </row>
    <row r="2453" spans="1:21" ht="15" customHeight="1" x14ac:dyDescent="0.3">
      <c r="A2453" t="s">
        <v>179</v>
      </c>
      <c r="B2453" t="str">
        <f>"00054638"</f>
        <v>00054638</v>
      </c>
      <c r="C2453" t="s">
        <v>4262</v>
      </c>
      <c r="D2453" t="s">
        <v>2046</v>
      </c>
      <c r="E2453" t="str">
        <f>"00054332"</f>
        <v>00054332</v>
      </c>
      <c r="F2453">
        <v>0</v>
      </c>
      <c r="G2453" s="243">
        <v>32050</v>
      </c>
      <c r="H2453" t="s">
        <v>182</v>
      </c>
      <c r="I2453">
        <v>15</v>
      </c>
      <c r="J2453">
        <v>16</v>
      </c>
      <c r="K2453">
        <v>1</v>
      </c>
      <c r="L2453">
        <v>103347</v>
      </c>
      <c r="M2453" t="str">
        <f t="shared" si="358"/>
        <v>13</v>
      </c>
      <c r="N2453" t="s">
        <v>3323</v>
      </c>
      <c r="O2453" t="str">
        <f t="shared" si="363"/>
        <v>58411</v>
      </c>
      <c r="P2453" t="str">
        <f>"2100L"</f>
        <v>2100L</v>
      </c>
      <c r="Q2453" t="str">
        <f t="shared" si="361"/>
        <v>0101</v>
      </c>
      <c r="R2453">
        <v>2100</v>
      </c>
      <c r="S2453" t="str">
        <f t="shared" si="364"/>
        <v>5840</v>
      </c>
      <c r="T2453" t="s">
        <v>3671</v>
      </c>
      <c r="U2453" t="s">
        <v>2041</v>
      </c>
    </row>
    <row r="2454" spans="1:21" ht="15" customHeight="1" x14ac:dyDescent="0.3">
      <c r="A2454" t="s">
        <v>179</v>
      </c>
      <c r="B2454" t="str">
        <f>"00055000"</f>
        <v>00055000</v>
      </c>
      <c r="C2454" t="s">
        <v>4272</v>
      </c>
      <c r="D2454" t="s">
        <v>2047</v>
      </c>
      <c r="E2454" t="str">
        <f>"00053566"</f>
        <v>00053566</v>
      </c>
      <c r="F2454">
        <v>0</v>
      </c>
      <c r="G2454" s="243">
        <v>35880</v>
      </c>
      <c r="H2454" t="s">
        <v>182</v>
      </c>
      <c r="I2454">
        <v>15</v>
      </c>
      <c r="J2454">
        <v>12</v>
      </c>
      <c r="K2454">
        <v>1</v>
      </c>
      <c r="L2454">
        <v>87431</v>
      </c>
      <c r="M2454" t="str">
        <f t="shared" si="358"/>
        <v>13</v>
      </c>
      <c r="N2454" t="s">
        <v>3323</v>
      </c>
      <c r="O2454" t="str">
        <f t="shared" si="363"/>
        <v>58411</v>
      </c>
      <c r="P2454" t="str">
        <f>"2200L"</f>
        <v>2200L</v>
      </c>
      <c r="Q2454" t="str">
        <f t="shared" si="361"/>
        <v>0101</v>
      </c>
      <c r="R2454">
        <v>2200</v>
      </c>
      <c r="S2454" t="str">
        <f t="shared" si="364"/>
        <v>5840</v>
      </c>
      <c r="T2454" t="s">
        <v>3671</v>
      </c>
      <c r="U2454" t="s">
        <v>2041</v>
      </c>
    </row>
    <row r="2455" spans="1:21" ht="15" customHeight="1" x14ac:dyDescent="0.3">
      <c r="A2455" t="s">
        <v>179</v>
      </c>
      <c r="B2455" t="str">
        <f>"00055266"</f>
        <v>00055266</v>
      </c>
      <c r="C2455" t="s">
        <v>3798</v>
      </c>
      <c r="D2455" t="s">
        <v>575</v>
      </c>
      <c r="E2455" t="str">
        <f>"00050175"</f>
        <v>00050175</v>
      </c>
      <c r="F2455">
        <v>0</v>
      </c>
      <c r="G2455" s="243">
        <v>39258</v>
      </c>
      <c r="H2455" t="s">
        <v>182</v>
      </c>
      <c r="I2455">
        <v>61</v>
      </c>
      <c r="J2455">
        <v>2</v>
      </c>
      <c r="K2455">
        <v>1</v>
      </c>
      <c r="L2455">
        <v>105000</v>
      </c>
      <c r="M2455" t="str">
        <f t="shared" si="358"/>
        <v>13</v>
      </c>
      <c r="N2455" t="s">
        <v>3323</v>
      </c>
      <c r="O2455" t="str">
        <f t="shared" si="363"/>
        <v>58411</v>
      </c>
      <c r="P2455" t="str">
        <f>"1501L"</f>
        <v>1501L</v>
      </c>
      <c r="Q2455" t="str">
        <f t="shared" si="361"/>
        <v>0101</v>
      </c>
      <c r="R2455">
        <v>1501</v>
      </c>
      <c r="S2455" t="str">
        <f t="shared" si="364"/>
        <v>5840</v>
      </c>
      <c r="T2455" t="s">
        <v>3671</v>
      </c>
      <c r="U2455" t="s">
        <v>2041</v>
      </c>
    </row>
    <row r="2456" spans="1:21" ht="15" customHeight="1" x14ac:dyDescent="0.3">
      <c r="A2456" t="s">
        <v>179</v>
      </c>
      <c r="B2456" t="str">
        <f>"00056775"</f>
        <v>00056775</v>
      </c>
      <c r="C2456" t="s">
        <v>4274</v>
      </c>
      <c r="D2456" t="s">
        <v>5048</v>
      </c>
      <c r="E2456" t="str">
        <f>"00051917"</f>
        <v>00051917</v>
      </c>
      <c r="F2456">
        <v>0</v>
      </c>
      <c r="G2456" s="243">
        <v>36357</v>
      </c>
      <c r="H2456" t="s">
        <v>182</v>
      </c>
      <c r="I2456">
        <v>4</v>
      </c>
      <c r="J2456">
        <v>9</v>
      </c>
      <c r="K2456">
        <v>0.875</v>
      </c>
      <c r="L2456">
        <v>28025.38</v>
      </c>
      <c r="M2456" t="str">
        <f t="shared" si="358"/>
        <v>13</v>
      </c>
      <c r="N2456" t="s">
        <v>3323</v>
      </c>
      <c r="O2456" t="str">
        <f t="shared" si="363"/>
        <v>58411</v>
      </c>
      <c r="P2456" t="str">
        <f>"2200L"</f>
        <v>2200L</v>
      </c>
      <c r="Q2456" t="str">
        <f t="shared" si="361"/>
        <v>0101</v>
      </c>
      <c r="R2456">
        <v>2200</v>
      </c>
      <c r="S2456" t="str">
        <f t="shared" si="364"/>
        <v>5840</v>
      </c>
      <c r="T2456" t="s">
        <v>3671</v>
      </c>
      <c r="U2456" t="s">
        <v>2041</v>
      </c>
    </row>
    <row r="2457" spans="1:21" ht="15" customHeight="1" x14ac:dyDescent="0.3">
      <c r="A2457" t="s">
        <v>179</v>
      </c>
      <c r="B2457" t="str">
        <f>"00057320"</f>
        <v>00057320</v>
      </c>
      <c r="C2457" t="s">
        <v>4252</v>
      </c>
      <c r="H2457" t="s">
        <v>170</v>
      </c>
      <c r="I2457">
        <v>15</v>
      </c>
      <c r="J2457">
        <v>1</v>
      </c>
      <c r="K2457">
        <v>1</v>
      </c>
      <c r="L2457">
        <v>60128</v>
      </c>
      <c r="M2457" t="str">
        <f t="shared" si="358"/>
        <v>13</v>
      </c>
      <c r="N2457" t="s">
        <v>3323</v>
      </c>
      <c r="O2457" t="str">
        <f t="shared" si="363"/>
        <v>58411</v>
      </c>
      <c r="P2457" t="str">
        <f>"3030L"</f>
        <v>3030L</v>
      </c>
      <c r="Q2457" t="str">
        <f t="shared" si="361"/>
        <v>0101</v>
      </c>
      <c r="R2457">
        <v>3030</v>
      </c>
      <c r="S2457" t="str">
        <f t="shared" si="364"/>
        <v>5840</v>
      </c>
      <c r="T2457" t="s">
        <v>3671</v>
      </c>
      <c r="U2457" t="s">
        <v>2041</v>
      </c>
    </row>
    <row r="2458" spans="1:21" ht="15" customHeight="1" x14ac:dyDescent="0.3">
      <c r="A2458" t="s">
        <v>179</v>
      </c>
      <c r="B2458" t="str">
        <f>"00057686"</f>
        <v>00057686</v>
      </c>
      <c r="C2458" t="s">
        <v>4254</v>
      </c>
      <c r="D2458" t="s">
        <v>2050</v>
      </c>
      <c r="E2458" t="str">
        <f>"00054922"</f>
        <v>00054922</v>
      </c>
      <c r="F2458">
        <v>0</v>
      </c>
      <c r="G2458" s="243">
        <v>38587</v>
      </c>
      <c r="H2458" t="s">
        <v>182</v>
      </c>
      <c r="I2458">
        <v>15</v>
      </c>
      <c r="J2458">
        <v>13</v>
      </c>
      <c r="K2458">
        <v>1</v>
      </c>
      <c r="L2458">
        <v>95366</v>
      </c>
      <c r="M2458" t="str">
        <f t="shared" si="358"/>
        <v>13</v>
      </c>
      <c r="N2458" t="s">
        <v>3323</v>
      </c>
      <c r="O2458" t="str">
        <f t="shared" si="363"/>
        <v>58411</v>
      </c>
      <c r="P2458" t="str">
        <f>"2100L"</f>
        <v>2100L</v>
      </c>
      <c r="Q2458" t="str">
        <f t="shared" si="361"/>
        <v>0101</v>
      </c>
      <c r="R2458">
        <v>2100</v>
      </c>
      <c r="S2458" t="str">
        <f t="shared" si="364"/>
        <v>5840</v>
      </c>
      <c r="T2458" t="s">
        <v>3671</v>
      </c>
      <c r="U2458" t="s">
        <v>2041</v>
      </c>
    </row>
    <row r="2459" spans="1:21" ht="15" customHeight="1" x14ac:dyDescent="0.3">
      <c r="A2459" t="s">
        <v>179</v>
      </c>
      <c r="B2459" t="str">
        <f>"00058556"</f>
        <v>00058556</v>
      </c>
      <c r="C2459" t="s">
        <v>4274</v>
      </c>
      <c r="D2459" t="s">
        <v>5049</v>
      </c>
      <c r="E2459" t="str">
        <f>"00065628"</f>
        <v>00065628</v>
      </c>
      <c r="F2459">
        <v>0</v>
      </c>
      <c r="G2459" s="243">
        <v>40770</v>
      </c>
      <c r="H2459" t="s">
        <v>182</v>
      </c>
      <c r="I2459">
        <v>4</v>
      </c>
      <c r="J2459">
        <v>4</v>
      </c>
      <c r="K2459">
        <v>0.875</v>
      </c>
      <c r="L2459">
        <v>24543.75</v>
      </c>
      <c r="M2459" t="str">
        <f t="shared" si="358"/>
        <v>13</v>
      </c>
      <c r="N2459" t="s">
        <v>3323</v>
      </c>
      <c r="O2459" t="str">
        <f t="shared" si="363"/>
        <v>58411</v>
      </c>
      <c r="P2459" t="str">
        <f>"2200L"</f>
        <v>2200L</v>
      </c>
      <c r="Q2459" t="str">
        <f t="shared" si="361"/>
        <v>0101</v>
      </c>
      <c r="R2459">
        <v>2200</v>
      </c>
      <c r="S2459" t="str">
        <f t="shared" si="364"/>
        <v>5840</v>
      </c>
      <c r="T2459" t="s">
        <v>3671</v>
      </c>
      <c r="U2459" t="s">
        <v>2041</v>
      </c>
    </row>
    <row r="2460" spans="1:21" ht="15" customHeight="1" x14ac:dyDescent="0.3">
      <c r="A2460" t="s">
        <v>179</v>
      </c>
      <c r="B2460" t="str">
        <f>"00059034"</f>
        <v>00059034</v>
      </c>
      <c r="C2460" t="s">
        <v>4256</v>
      </c>
      <c r="H2460" t="s">
        <v>170</v>
      </c>
      <c r="I2460">
        <v>15</v>
      </c>
      <c r="J2460">
        <v>1</v>
      </c>
      <c r="K2460">
        <v>1</v>
      </c>
      <c r="L2460">
        <v>56693</v>
      </c>
      <c r="M2460" t="str">
        <f t="shared" si="358"/>
        <v>13</v>
      </c>
      <c r="N2460" t="s">
        <v>3323</v>
      </c>
      <c r="O2460" t="str">
        <f t="shared" si="363"/>
        <v>58411</v>
      </c>
      <c r="P2460" t="str">
        <f>"2100L"</f>
        <v>2100L</v>
      </c>
      <c r="Q2460" t="str">
        <f t="shared" si="361"/>
        <v>0101</v>
      </c>
      <c r="R2460">
        <v>2100</v>
      </c>
      <c r="S2460" t="str">
        <f t="shared" si="364"/>
        <v>5840</v>
      </c>
      <c r="T2460" t="s">
        <v>3671</v>
      </c>
      <c r="U2460" t="s">
        <v>2041</v>
      </c>
    </row>
    <row r="2461" spans="1:21" ht="15" customHeight="1" x14ac:dyDescent="0.3">
      <c r="A2461" t="s">
        <v>179</v>
      </c>
      <c r="B2461" t="str">
        <f>"00059428"</f>
        <v>00059428</v>
      </c>
      <c r="C2461" t="s">
        <v>4262</v>
      </c>
      <c r="D2461" t="s">
        <v>2052</v>
      </c>
      <c r="E2461" t="str">
        <f>"00062506"</f>
        <v>00062506</v>
      </c>
      <c r="F2461">
        <v>0</v>
      </c>
      <c r="G2461" s="243">
        <v>40406</v>
      </c>
      <c r="H2461" t="s">
        <v>182</v>
      </c>
      <c r="I2461">
        <v>15</v>
      </c>
      <c r="J2461">
        <v>2</v>
      </c>
      <c r="K2461">
        <v>1</v>
      </c>
      <c r="L2461">
        <v>54099</v>
      </c>
      <c r="M2461" t="str">
        <f t="shared" si="358"/>
        <v>13</v>
      </c>
      <c r="N2461" t="s">
        <v>3323</v>
      </c>
      <c r="O2461" t="str">
        <f t="shared" si="363"/>
        <v>58411</v>
      </c>
      <c r="P2461" t="str">
        <f>"2100L"</f>
        <v>2100L</v>
      </c>
      <c r="Q2461" t="str">
        <f t="shared" si="361"/>
        <v>0101</v>
      </c>
      <c r="R2461">
        <v>2100</v>
      </c>
      <c r="S2461" t="str">
        <f t="shared" si="364"/>
        <v>5840</v>
      </c>
      <c r="T2461" t="s">
        <v>3671</v>
      </c>
      <c r="U2461" t="s">
        <v>2041</v>
      </c>
    </row>
    <row r="2462" spans="1:21" ht="15" customHeight="1" x14ac:dyDescent="0.3">
      <c r="A2462" t="s">
        <v>179</v>
      </c>
      <c r="B2462" t="str">
        <f>"00060338"</f>
        <v>00060338</v>
      </c>
      <c r="C2462" t="s">
        <v>4262</v>
      </c>
      <c r="D2462" t="s">
        <v>3674</v>
      </c>
      <c r="E2462" t="str">
        <f>"00066074"</f>
        <v>00066074</v>
      </c>
      <c r="F2462">
        <v>0</v>
      </c>
      <c r="G2462" s="243">
        <v>40755</v>
      </c>
      <c r="H2462" t="s">
        <v>182</v>
      </c>
      <c r="I2462">
        <v>15</v>
      </c>
      <c r="J2462">
        <v>9</v>
      </c>
      <c r="K2462">
        <v>1</v>
      </c>
      <c r="L2462">
        <v>80147</v>
      </c>
      <c r="M2462" t="str">
        <f t="shared" si="358"/>
        <v>13</v>
      </c>
      <c r="N2462" t="s">
        <v>3323</v>
      </c>
      <c r="O2462" t="str">
        <f t="shared" si="363"/>
        <v>58411</v>
      </c>
      <c r="P2462" t="str">
        <f>"2100L"</f>
        <v>2100L</v>
      </c>
      <c r="Q2462" t="str">
        <f t="shared" si="361"/>
        <v>0101</v>
      </c>
      <c r="R2462">
        <v>2100</v>
      </c>
      <c r="S2462" t="str">
        <f t="shared" si="364"/>
        <v>5840</v>
      </c>
      <c r="T2462" t="s">
        <v>3671</v>
      </c>
      <c r="U2462" t="s">
        <v>2041</v>
      </c>
    </row>
    <row r="2463" spans="1:21" ht="15" customHeight="1" x14ac:dyDescent="0.3">
      <c r="A2463" t="s">
        <v>179</v>
      </c>
      <c r="B2463" t="str">
        <f>"00061043"</f>
        <v>00061043</v>
      </c>
      <c r="C2463" t="s">
        <v>4262</v>
      </c>
      <c r="D2463" t="s">
        <v>2053</v>
      </c>
      <c r="E2463" t="str">
        <f>"00054811"</f>
        <v>00054811</v>
      </c>
      <c r="F2463">
        <v>0</v>
      </c>
      <c r="G2463" s="243">
        <v>39314</v>
      </c>
      <c r="H2463" t="s">
        <v>182</v>
      </c>
      <c r="I2463">
        <v>15</v>
      </c>
      <c r="J2463">
        <v>6</v>
      </c>
      <c r="K2463">
        <v>1</v>
      </c>
      <c r="L2463">
        <v>66078</v>
      </c>
      <c r="M2463" t="str">
        <f t="shared" si="358"/>
        <v>13</v>
      </c>
      <c r="N2463" t="s">
        <v>3323</v>
      </c>
      <c r="O2463" t="str">
        <f t="shared" si="363"/>
        <v>58411</v>
      </c>
      <c r="P2463" t="str">
        <f>"2100L"</f>
        <v>2100L</v>
      </c>
      <c r="Q2463" t="str">
        <f t="shared" si="361"/>
        <v>0101</v>
      </c>
      <c r="R2463">
        <v>2100</v>
      </c>
      <c r="S2463" t="str">
        <f t="shared" si="364"/>
        <v>5840</v>
      </c>
      <c r="T2463" t="s">
        <v>3671</v>
      </c>
      <c r="U2463" t="s">
        <v>2041</v>
      </c>
    </row>
    <row r="2464" spans="1:21" ht="15" customHeight="1" x14ac:dyDescent="0.3">
      <c r="A2464" t="s">
        <v>179</v>
      </c>
      <c r="B2464" t="str">
        <f>"00062671"</f>
        <v>00062671</v>
      </c>
      <c r="C2464" t="s">
        <v>4274</v>
      </c>
      <c r="D2464" t="s">
        <v>5050</v>
      </c>
      <c r="E2464" t="str">
        <f>"00053249"</f>
        <v>00053249</v>
      </c>
      <c r="F2464">
        <v>0</v>
      </c>
      <c r="G2464" s="243">
        <v>38082</v>
      </c>
      <c r="H2464" t="s">
        <v>182</v>
      </c>
      <c r="I2464">
        <v>4</v>
      </c>
      <c r="J2464">
        <v>8</v>
      </c>
      <c r="K2464">
        <v>0.875</v>
      </c>
      <c r="L2464">
        <v>27329.75</v>
      </c>
      <c r="M2464" t="str">
        <f t="shared" si="358"/>
        <v>13</v>
      </c>
      <c r="N2464" t="s">
        <v>3323</v>
      </c>
      <c r="O2464" t="str">
        <f t="shared" si="363"/>
        <v>58411</v>
      </c>
      <c r="P2464" t="str">
        <f>"2200L"</f>
        <v>2200L</v>
      </c>
      <c r="Q2464" t="str">
        <f t="shared" si="361"/>
        <v>0101</v>
      </c>
      <c r="R2464">
        <v>2200</v>
      </c>
      <c r="S2464" t="str">
        <f t="shared" si="364"/>
        <v>5840</v>
      </c>
      <c r="T2464" t="s">
        <v>3671</v>
      </c>
      <c r="U2464" t="s">
        <v>2041</v>
      </c>
    </row>
    <row r="2465" spans="1:21" ht="15" customHeight="1" x14ac:dyDescent="0.3">
      <c r="A2465" t="s">
        <v>179</v>
      </c>
      <c r="B2465" t="str">
        <f>"00063053"</f>
        <v>00063053</v>
      </c>
      <c r="C2465" t="s">
        <v>4262</v>
      </c>
      <c r="D2465" t="s">
        <v>2054</v>
      </c>
      <c r="E2465" t="str">
        <f>"00047271"</f>
        <v>00047271</v>
      </c>
      <c r="F2465">
        <v>0</v>
      </c>
      <c r="G2465" s="243">
        <v>39849</v>
      </c>
      <c r="H2465" t="s">
        <v>182</v>
      </c>
      <c r="I2465">
        <v>15</v>
      </c>
      <c r="J2465">
        <v>4</v>
      </c>
      <c r="K2465">
        <v>1</v>
      </c>
      <c r="L2465">
        <v>54725</v>
      </c>
      <c r="M2465" t="str">
        <f t="shared" si="358"/>
        <v>13</v>
      </c>
      <c r="N2465" t="s">
        <v>3323</v>
      </c>
      <c r="O2465" t="str">
        <f t="shared" si="363"/>
        <v>58411</v>
      </c>
      <c r="P2465" t="str">
        <f>"2100L"</f>
        <v>2100L</v>
      </c>
      <c r="Q2465" t="str">
        <f t="shared" si="361"/>
        <v>0101</v>
      </c>
      <c r="R2465">
        <v>2100</v>
      </c>
      <c r="S2465" t="str">
        <f t="shared" si="364"/>
        <v>5840</v>
      </c>
      <c r="T2465" t="s">
        <v>3671</v>
      </c>
      <c r="U2465" t="s">
        <v>2041</v>
      </c>
    </row>
    <row r="2466" spans="1:21" ht="15" customHeight="1" x14ac:dyDescent="0.3">
      <c r="A2466" t="s">
        <v>179</v>
      </c>
      <c r="B2466" t="str">
        <f>"00065777"</f>
        <v>00065777</v>
      </c>
      <c r="C2466" t="s">
        <v>4274</v>
      </c>
      <c r="D2466" t="s">
        <v>5051</v>
      </c>
      <c r="E2466" t="str">
        <f>"00058336"</f>
        <v>00058336</v>
      </c>
      <c r="F2466">
        <v>0</v>
      </c>
      <c r="G2466" s="243">
        <v>40056</v>
      </c>
      <c r="H2466" t="s">
        <v>182</v>
      </c>
      <c r="I2466">
        <v>4</v>
      </c>
      <c r="J2466">
        <v>3</v>
      </c>
      <c r="K2466">
        <v>1</v>
      </c>
      <c r="L2466">
        <v>23848.12</v>
      </c>
      <c r="M2466" t="str">
        <f t="shared" si="358"/>
        <v>13</v>
      </c>
      <c r="N2466" t="s">
        <v>3323</v>
      </c>
      <c r="O2466" t="str">
        <f t="shared" si="363"/>
        <v>58411</v>
      </c>
      <c r="P2466" t="str">
        <f>"2200L"</f>
        <v>2200L</v>
      </c>
      <c r="Q2466" t="str">
        <f t="shared" si="361"/>
        <v>0101</v>
      </c>
      <c r="R2466">
        <v>2200</v>
      </c>
      <c r="S2466" t="str">
        <f t="shared" si="364"/>
        <v>5840</v>
      </c>
      <c r="T2466" t="s">
        <v>3671</v>
      </c>
      <c r="U2466" t="s">
        <v>2041</v>
      </c>
    </row>
    <row r="2467" spans="1:21" ht="15" customHeight="1" x14ac:dyDescent="0.3">
      <c r="A2467" t="s">
        <v>179</v>
      </c>
      <c r="B2467" t="str">
        <f>"00066306"</f>
        <v>00066306</v>
      </c>
      <c r="C2467" t="s">
        <v>4260</v>
      </c>
      <c r="D2467" t="s">
        <v>2048</v>
      </c>
      <c r="E2467" t="str">
        <f>"00046836"</f>
        <v>00046836</v>
      </c>
      <c r="F2467">
        <v>0</v>
      </c>
      <c r="G2467" s="243">
        <v>36390</v>
      </c>
      <c r="H2467" t="s">
        <v>182</v>
      </c>
      <c r="I2467">
        <v>15</v>
      </c>
      <c r="J2467">
        <v>13</v>
      </c>
      <c r="K2467">
        <v>1</v>
      </c>
      <c r="L2467">
        <v>95366</v>
      </c>
      <c r="M2467" t="str">
        <f t="shared" si="358"/>
        <v>13</v>
      </c>
      <c r="N2467" t="s">
        <v>3323</v>
      </c>
      <c r="O2467" t="str">
        <f t="shared" si="363"/>
        <v>58411</v>
      </c>
      <c r="P2467" t="str">
        <f t="shared" ref="P2467:P2473" si="365">"2100L"</f>
        <v>2100L</v>
      </c>
      <c r="Q2467" t="str">
        <f t="shared" si="361"/>
        <v>0101</v>
      </c>
      <c r="R2467">
        <v>2100</v>
      </c>
      <c r="S2467" t="str">
        <f t="shared" si="364"/>
        <v>5840</v>
      </c>
      <c r="T2467" t="s">
        <v>3671</v>
      </c>
      <c r="U2467" t="s">
        <v>2041</v>
      </c>
    </row>
    <row r="2468" spans="1:21" ht="15" customHeight="1" x14ac:dyDescent="0.3">
      <c r="A2468" t="s">
        <v>179</v>
      </c>
      <c r="B2468" t="str">
        <f>"00066451"</f>
        <v>00066451</v>
      </c>
      <c r="C2468" t="s">
        <v>4274</v>
      </c>
      <c r="D2468" t="s">
        <v>5052</v>
      </c>
      <c r="E2468" t="str">
        <f>"00058020"</f>
        <v>00058020</v>
      </c>
      <c r="F2468">
        <v>0</v>
      </c>
      <c r="G2468" s="243">
        <v>40042</v>
      </c>
      <c r="H2468" t="s">
        <v>182</v>
      </c>
      <c r="I2468">
        <v>4</v>
      </c>
      <c r="J2468">
        <v>9</v>
      </c>
      <c r="K2468">
        <v>1</v>
      </c>
      <c r="L2468">
        <v>28025.38</v>
      </c>
      <c r="M2468" t="str">
        <f t="shared" si="358"/>
        <v>13</v>
      </c>
      <c r="N2468" t="s">
        <v>3323</v>
      </c>
      <c r="O2468" t="str">
        <f t="shared" si="363"/>
        <v>58411</v>
      </c>
      <c r="P2468" t="str">
        <f t="shared" si="365"/>
        <v>2100L</v>
      </c>
      <c r="Q2468" t="str">
        <f t="shared" si="361"/>
        <v>0101</v>
      </c>
      <c r="R2468">
        <v>2100</v>
      </c>
      <c r="S2468" t="str">
        <f t="shared" si="364"/>
        <v>5840</v>
      </c>
      <c r="T2468" t="s">
        <v>3671</v>
      </c>
      <c r="U2468" t="s">
        <v>2041</v>
      </c>
    </row>
    <row r="2469" spans="1:21" ht="15" customHeight="1" x14ac:dyDescent="0.3">
      <c r="A2469" t="s">
        <v>179</v>
      </c>
      <c r="B2469" t="str">
        <f>"00066545"</f>
        <v>00066545</v>
      </c>
      <c r="C2469" t="s">
        <v>4272</v>
      </c>
      <c r="D2469" t="s">
        <v>1515</v>
      </c>
      <c r="E2469" t="str">
        <f>"00054257"</f>
        <v>00054257</v>
      </c>
      <c r="F2469">
        <v>0</v>
      </c>
      <c r="G2469" s="243">
        <v>32083</v>
      </c>
      <c r="H2469" t="s">
        <v>182</v>
      </c>
      <c r="I2469">
        <v>15</v>
      </c>
      <c r="J2469">
        <v>16</v>
      </c>
      <c r="K2469">
        <v>1</v>
      </c>
      <c r="L2469">
        <v>100839</v>
      </c>
      <c r="M2469" t="str">
        <f t="shared" ref="M2469:M2528" si="366">"13"</f>
        <v>13</v>
      </c>
      <c r="N2469" t="s">
        <v>3370</v>
      </c>
      <c r="O2469" t="str">
        <f t="shared" si="363"/>
        <v>58411</v>
      </c>
      <c r="P2469" t="str">
        <f t="shared" si="365"/>
        <v>2100L</v>
      </c>
      <c r="Q2469" t="str">
        <f t="shared" si="361"/>
        <v>0101</v>
      </c>
      <c r="R2469">
        <v>2100</v>
      </c>
      <c r="S2469" t="str">
        <f t="shared" si="364"/>
        <v>5840</v>
      </c>
      <c r="T2469" t="s">
        <v>3671</v>
      </c>
      <c r="U2469" t="s">
        <v>2041</v>
      </c>
    </row>
    <row r="2470" spans="1:21" ht="15" customHeight="1" x14ac:dyDescent="0.3">
      <c r="A2470" t="s">
        <v>179</v>
      </c>
      <c r="B2470" t="str">
        <f>"00066546"</f>
        <v>00066546</v>
      </c>
      <c r="C2470" t="s">
        <v>4272</v>
      </c>
      <c r="D2470" t="s">
        <v>2055</v>
      </c>
      <c r="E2470" t="str">
        <f>"00046326"</f>
        <v>00046326</v>
      </c>
      <c r="F2470">
        <v>0</v>
      </c>
      <c r="G2470" s="243">
        <v>40042</v>
      </c>
      <c r="H2470" t="s">
        <v>182</v>
      </c>
      <c r="I2470">
        <v>15</v>
      </c>
      <c r="J2470">
        <v>13</v>
      </c>
      <c r="K2470">
        <v>1</v>
      </c>
      <c r="L2470">
        <v>97873</v>
      </c>
      <c r="M2470" t="str">
        <f t="shared" si="366"/>
        <v>13</v>
      </c>
      <c r="N2470" t="s">
        <v>3323</v>
      </c>
      <c r="O2470" t="str">
        <f t="shared" si="363"/>
        <v>58411</v>
      </c>
      <c r="P2470" t="str">
        <f t="shared" si="365"/>
        <v>2100L</v>
      </c>
      <c r="Q2470" t="str">
        <f t="shared" si="361"/>
        <v>0101</v>
      </c>
      <c r="R2470">
        <v>2100</v>
      </c>
      <c r="S2470" t="str">
        <f t="shared" si="364"/>
        <v>5840</v>
      </c>
      <c r="T2470" t="s">
        <v>3671</v>
      </c>
      <c r="U2470" t="s">
        <v>2041</v>
      </c>
    </row>
    <row r="2471" spans="1:21" ht="15" customHeight="1" x14ac:dyDescent="0.3">
      <c r="A2471" t="s">
        <v>179</v>
      </c>
      <c r="B2471" t="str">
        <f>"00066548"</f>
        <v>00066548</v>
      </c>
      <c r="C2471" t="s">
        <v>4262</v>
      </c>
      <c r="D2471" t="s">
        <v>5053</v>
      </c>
      <c r="E2471" t="str">
        <f>"00064525"</f>
        <v>00064525</v>
      </c>
      <c r="F2471">
        <v>0</v>
      </c>
      <c r="G2471" s="243">
        <v>40577</v>
      </c>
      <c r="H2471" t="s">
        <v>182</v>
      </c>
      <c r="I2471">
        <v>15</v>
      </c>
      <c r="J2471">
        <v>1</v>
      </c>
      <c r="K2471">
        <v>1</v>
      </c>
      <c r="L2471">
        <v>51539</v>
      </c>
      <c r="M2471" t="str">
        <f t="shared" si="366"/>
        <v>13</v>
      </c>
      <c r="N2471" t="s">
        <v>3323</v>
      </c>
      <c r="O2471" t="str">
        <f t="shared" si="363"/>
        <v>58411</v>
      </c>
      <c r="P2471" t="str">
        <f t="shared" si="365"/>
        <v>2100L</v>
      </c>
      <c r="Q2471" t="str">
        <f t="shared" si="361"/>
        <v>0101</v>
      </c>
      <c r="R2471">
        <v>2100</v>
      </c>
      <c r="S2471" t="str">
        <f t="shared" si="364"/>
        <v>5840</v>
      </c>
      <c r="T2471" t="s">
        <v>3671</v>
      </c>
      <c r="U2471" t="s">
        <v>2041</v>
      </c>
    </row>
    <row r="2472" spans="1:21" ht="15" customHeight="1" x14ac:dyDescent="0.3">
      <c r="A2472" t="s">
        <v>179</v>
      </c>
      <c r="B2472" t="str">
        <f>"00066550"</f>
        <v>00066550</v>
      </c>
      <c r="C2472" t="s">
        <v>4262</v>
      </c>
      <c r="D2472" t="s">
        <v>2056</v>
      </c>
      <c r="E2472" t="str">
        <f>"00057000"</f>
        <v>00057000</v>
      </c>
      <c r="F2472">
        <v>0</v>
      </c>
      <c r="G2472" s="243">
        <v>40042</v>
      </c>
      <c r="H2472" t="s">
        <v>182</v>
      </c>
      <c r="I2472">
        <v>15</v>
      </c>
      <c r="J2472">
        <v>5</v>
      </c>
      <c r="K2472">
        <v>1</v>
      </c>
      <c r="L2472">
        <v>63611</v>
      </c>
      <c r="M2472" t="str">
        <f t="shared" si="366"/>
        <v>13</v>
      </c>
      <c r="N2472" t="s">
        <v>3323</v>
      </c>
      <c r="O2472" t="str">
        <f t="shared" si="363"/>
        <v>58411</v>
      </c>
      <c r="P2472" t="str">
        <f t="shared" si="365"/>
        <v>2100L</v>
      </c>
      <c r="Q2472" t="str">
        <f t="shared" si="361"/>
        <v>0101</v>
      </c>
      <c r="R2472">
        <v>2100</v>
      </c>
      <c r="S2472" t="str">
        <f t="shared" si="364"/>
        <v>5840</v>
      </c>
      <c r="T2472" t="s">
        <v>3671</v>
      </c>
      <c r="U2472" t="s">
        <v>2041</v>
      </c>
    </row>
    <row r="2473" spans="1:21" ht="15" customHeight="1" x14ac:dyDescent="0.3">
      <c r="A2473" t="s">
        <v>179</v>
      </c>
      <c r="B2473" t="str">
        <f>"00066551"</f>
        <v>00066551</v>
      </c>
      <c r="C2473" t="s">
        <v>4272</v>
      </c>
      <c r="D2473" t="s">
        <v>3675</v>
      </c>
      <c r="E2473" t="str">
        <f>"00066334"</f>
        <v>00066334</v>
      </c>
      <c r="F2473">
        <v>0</v>
      </c>
      <c r="G2473" s="243">
        <v>40755</v>
      </c>
      <c r="H2473" t="s">
        <v>182</v>
      </c>
      <c r="I2473">
        <v>15</v>
      </c>
      <c r="J2473">
        <v>2</v>
      </c>
      <c r="K2473">
        <v>1</v>
      </c>
      <c r="L2473">
        <v>51716</v>
      </c>
      <c r="M2473" t="str">
        <f t="shared" si="366"/>
        <v>13</v>
      </c>
      <c r="N2473" t="s">
        <v>3323</v>
      </c>
      <c r="O2473" t="str">
        <f t="shared" ref="O2473:O2490" si="367">"58411"</f>
        <v>58411</v>
      </c>
      <c r="P2473" t="str">
        <f t="shared" si="365"/>
        <v>2100L</v>
      </c>
      <c r="Q2473" t="str">
        <f t="shared" si="361"/>
        <v>0101</v>
      </c>
      <c r="R2473">
        <v>2100</v>
      </c>
      <c r="S2473" t="str">
        <f t="shared" ref="S2473:S2490" si="368">"5840"</f>
        <v>5840</v>
      </c>
      <c r="T2473" t="s">
        <v>3671</v>
      </c>
      <c r="U2473" t="s">
        <v>2041</v>
      </c>
    </row>
    <row r="2474" spans="1:21" ht="15" customHeight="1" x14ac:dyDescent="0.3">
      <c r="A2474" t="s">
        <v>179</v>
      </c>
      <c r="B2474" t="str">
        <f>"00066552"</f>
        <v>00066552</v>
      </c>
      <c r="C2474" t="s">
        <v>4260</v>
      </c>
      <c r="D2474" t="s">
        <v>2057</v>
      </c>
      <c r="E2474" t="str">
        <f>"00056983"</f>
        <v>00056983</v>
      </c>
      <c r="F2474">
        <v>0</v>
      </c>
      <c r="G2474" s="243">
        <v>40042</v>
      </c>
      <c r="H2474" t="s">
        <v>182</v>
      </c>
      <c r="I2474">
        <v>15</v>
      </c>
      <c r="J2474">
        <v>4</v>
      </c>
      <c r="K2474">
        <v>1</v>
      </c>
      <c r="L2474">
        <v>57147</v>
      </c>
      <c r="M2474" t="str">
        <f t="shared" si="366"/>
        <v>13</v>
      </c>
      <c r="N2474" t="s">
        <v>3323</v>
      </c>
      <c r="O2474" t="str">
        <f t="shared" si="367"/>
        <v>58411</v>
      </c>
      <c r="P2474" t="str">
        <f>"3030L"</f>
        <v>3030L</v>
      </c>
      <c r="Q2474" t="str">
        <f t="shared" si="361"/>
        <v>0101</v>
      </c>
      <c r="R2474">
        <v>3030</v>
      </c>
      <c r="S2474" t="str">
        <f t="shared" si="368"/>
        <v>5840</v>
      </c>
      <c r="T2474" t="s">
        <v>3671</v>
      </c>
      <c r="U2474" t="s">
        <v>2041</v>
      </c>
    </row>
    <row r="2475" spans="1:21" ht="15" customHeight="1" x14ac:dyDescent="0.3">
      <c r="A2475" t="s">
        <v>179</v>
      </c>
      <c r="B2475" t="str">
        <f>"00067487"</f>
        <v>00067487</v>
      </c>
      <c r="C2475" t="s">
        <v>4272</v>
      </c>
      <c r="D2475" t="s">
        <v>2058</v>
      </c>
      <c r="E2475" t="str">
        <f>"00057153"</f>
        <v>00057153</v>
      </c>
      <c r="F2475">
        <v>0</v>
      </c>
      <c r="G2475" s="243">
        <v>40042</v>
      </c>
      <c r="H2475" t="s">
        <v>182</v>
      </c>
      <c r="I2475">
        <v>15</v>
      </c>
      <c r="J2475">
        <v>6</v>
      </c>
      <c r="K2475">
        <v>1</v>
      </c>
      <c r="L2475">
        <v>66078</v>
      </c>
      <c r="M2475" t="str">
        <f t="shared" si="366"/>
        <v>13</v>
      </c>
      <c r="N2475" t="s">
        <v>3323</v>
      </c>
      <c r="O2475" t="str">
        <f t="shared" si="367"/>
        <v>58411</v>
      </c>
      <c r="P2475" t="str">
        <f>"2100L"</f>
        <v>2100L</v>
      </c>
      <c r="Q2475" t="str">
        <f t="shared" si="361"/>
        <v>0101</v>
      </c>
      <c r="R2475">
        <v>2100</v>
      </c>
      <c r="S2475" t="str">
        <f t="shared" si="368"/>
        <v>5840</v>
      </c>
      <c r="T2475" t="s">
        <v>3671</v>
      </c>
      <c r="U2475" t="s">
        <v>2041</v>
      </c>
    </row>
    <row r="2476" spans="1:21" ht="15" customHeight="1" x14ac:dyDescent="0.3">
      <c r="A2476" t="s">
        <v>179</v>
      </c>
      <c r="B2476" t="str">
        <f>"00067632"</f>
        <v>00067632</v>
      </c>
      <c r="C2476" t="s">
        <v>4260</v>
      </c>
      <c r="D2476" t="s">
        <v>1238</v>
      </c>
      <c r="E2476" t="str">
        <f>"00047644"</f>
        <v>00047644</v>
      </c>
      <c r="F2476">
        <v>0</v>
      </c>
      <c r="G2476" s="243">
        <v>38670</v>
      </c>
      <c r="H2476" t="s">
        <v>182</v>
      </c>
      <c r="I2476">
        <v>15</v>
      </c>
      <c r="J2476">
        <v>7</v>
      </c>
      <c r="K2476">
        <v>1</v>
      </c>
      <c r="L2476">
        <v>69132</v>
      </c>
      <c r="M2476" t="str">
        <f t="shared" si="366"/>
        <v>13</v>
      </c>
      <c r="N2476" t="s">
        <v>3323</v>
      </c>
      <c r="O2476" t="str">
        <f t="shared" si="367"/>
        <v>58411</v>
      </c>
      <c r="P2476" t="str">
        <f>"3030L"</f>
        <v>3030L</v>
      </c>
      <c r="Q2476" t="str">
        <f t="shared" si="361"/>
        <v>0101</v>
      </c>
      <c r="R2476">
        <v>3030</v>
      </c>
      <c r="S2476" t="str">
        <f t="shared" si="368"/>
        <v>5840</v>
      </c>
      <c r="T2476" t="s">
        <v>3671</v>
      </c>
      <c r="U2476" t="s">
        <v>2041</v>
      </c>
    </row>
    <row r="2477" spans="1:21" ht="15" customHeight="1" x14ac:dyDescent="0.3">
      <c r="A2477" t="s">
        <v>179</v>
      </c>
      <c r="B2477" t="str">
        <f>"00072389"</f>
        <v>00072389</v>
      </c>
      <c r="C2477" t="s">
        <v>4257</v>
      </c>
      <c r="D2477" t="s">
        <v>1667</v>
      </c>
      <c r="E2477" t="str">
        <f>"00044556"</f>
        <v>00044556</v>
      </c>
      <c r="F2477">
        <v>0</v>
      </c>
      <c r="G2477" s="243">
        <v>37928</v>
      </c>
      <c r="H2477" t="s">
        <v>182</v>
      </c>
      <c r="I2477">
        <v>15</v>
      </c>
      <c r="J2477">
        <v>12</v>
      </c>
      <c r="K2477">
        <v>1</v>
      </c>
      <c r="L2477">
        <v>87431</v>
      </c>
      <c r="M2477" t="str">
        <f t="shared" si="366"/>
        <v>13</v>
      </c>
      <c r="N2477" t="s">
        <v>3370</v>
      </c>
      <c r="O2477" t="str">
        <f t="shared" si="367"/>
        <v>58411</v>
      </c>
      <c r="P2477" t="str">
        <f>"2100L"</f>
        <v>2100L</v>
      </c>
      <c r="Q2477" t="str">
        <f t="shared" si="361"/>
        <v>0101</v>
      </c>
      <c r="R2477">
        <v>2100</v>
      </c>
      <c r="S2477" t="str">
        <f t="shared" si="368"/>
        <v>5840</v>
      </c>
      <c r="T2477" t="s">
        <v>3671</v>
      </c>
      <c r="U2477" t="s">
        <v>2041</v>
      </c>
    </row>
    <row r="2478" spans="1:21" ht="15" customHeight="1" x14ac:dyDescent="0.3">
      <c r="A2478" t="s">
        <v>179</v>
      </c>
      <c r="B2478" t="str">
        <f>"00072772"</f>
        <v>00072772</v>
      </c>
      <c r="C2478" t="s">
        <v>4258</v>
      </c>
      <c r="D2478" t="s">
        <v>5054</v>
      </c>
      <c r="E2478" t="str">
        <f>"00057539"</f>
        <v>00057539</v>
      </c>
      <c r="F2478">
        <v>0</v>
      </c>
      <c r="G2478" s="243">
        <v>41133</v>
      </c>
      <c r="H2478" t="s">
        <v>182</v>
      </c>
      <c r="I2478">
        <v>15</v>
      </c>
      <c r="J2478">
        <v>10</v>
      </c>
      <c r="K2478">
        <v>1</v>
      </c>
      <c r="L2478">
        <v>78273</v>
      </c>
      <c r="M2478" t="str">
        <f t="shared" si="366"/>
        <v>13</v>
      </c>
      <c r="N2478" t="s">
        <v>3370</v>
      </c>
      <c r="O2478" t="str">
        <f t="shared" si="367"/>
        <v>58411</v>
      </c>
      <c r="P2478" t="str">
        <f>"2100L"</f>
        <v>2100L</v>
      </c>
      <c r="Q2478" t="str">
        <f t="shared" si="361"/>
        <v>0101</v>
      </c>
      <c r="R2478">
        <v>2100</v>
      </c>
      <c r="S2478" t="str">
        <f t="shared" si="368"/>
        <v>5840</v>
      </c>
      <c r="T2478" t="s">
        <v>3671</v>
      </c>
      <c r="U2478" t="s">
        <v>2041</v>
      </c>
    </row>
    <row r="2479" spans="1:21" ht="15" customHeight="1" x14ac:dyDescent="0.3">
      <c r="A2479" t="s">
        <v>179</v>
      </c>
      <c r="B2479" t="str">
        <f>"00073061"</f>
        <v>00073061</v>
      </c>
      <c r="C2479" t="s">
        <v>4274</v>
      </c>
      <c r="H2479" t="s">
        <v>170</v>
      </c>
      <c r="I2479">
        <v>4</v>
      </c>
      <c r="J2479">
        <v>1</v>
      </c>
      <c r="K2479">
        <v>1</v>
      </c>
      <c r="L2479">
        <v>25662</v>
      </c>
      <c r="M2479" t="str">
        <f t="shared" si="366"/>
        <v>13</v>
      </c>
      <c r="N2479" t="s">
        <v>3323</v>
      </c>
      <c r="O2479" t="str">
        <f t="shared" si="367"/>
        <v>58411</v>
      </c>
      <c r="P2479" t="str">
        <f>"2200L"</f>
        <v>2200L</v>
      </c>
      <c r="Q2479" t="str">
        <f t="shared" si="361"/>
        <v>0101</v>
      </c>
      <c r="R2479">
        <v>2200</v>
      </c>
      <c r="S2479" t="str">
        <f t="shared" si="368"/>
        <v>5840</v>
      </c>
      <c r="T2479" t="s">
        <v>3671</v>
      </c>
      <c r="U2479" t="s">
        <v>2041</v>
      </c>
    </row>
    <row r="2480" spans="1:21" ht="15" customHeight="1" x14ac:dyDescent="0.3">
      <c r="A2480" t="s">
        <v>179</v>
      </c>
      <c r="B2480" t="str">
        <f>"00073818"</f>
        <v>00073818</v>
      </c>
      <c r="C2480" t="s">
        <v>200</v>
      </c>
      <c r="D2480" t="s">
        <v>3673</v>
      </c>
      <c r="E2480" t="str">
        <f>"00049951"</f>
        <v>00049951</v>
      </c>
      <c r="F2480">
        <v>0</v>
      </c>
      <c r="G2480" s="243">
        <v>32397</v>
      </c>
      <c r="H2480" t="s">
        <v>182</v>
      </c>
      <c r="I2480">
        <v>15</v>
      </c>
      <c r="J2480">
        <v>16</v>
      </c>
      <c r="K2480">
        <v>1</v>
      </c>
      <c r="L2480">
        <v>100839</v>
      </c>
      <c r="M2480" t="str">
        <f t="shared" si="366"/>
        <v>13</v>
      </c>
      <c r="N2480" t="s">
        <v>3323</v>
      </c>
      <c r="O2480" t="str">
        <f t="shared" si="367"/>
        <v>58411</v>
      </c>
      <c r="P2480" t="str">
        <f>"2100L"</f>
        <v>2100L</v>
      </c>
      <c r="Q2480" t="str">
        <f t="shared" si="361"/>
        <v>0101</v>
      </c>
      <c r="R2480">
        <v>2100</v>
      </c>
      <c r="S2480" t="str">
        <f t="shared" si="368"/>
        <v>5840</v>
      </c>
      <c r="T2480" t="s">
        <v>3671</v>
      </c>
      <c r="U2480" t="s">
        <v>2041</v>
      </c>
    </row>
    <row r="2481" spans="1:21" ht="15" customHeight="1" x14ac:dyDescent="0.3">
      <c r="A2481" t="s">
        <v>179</v>
      </c>
      <c r="B2481" t="str">
        <f>"00074275"</f>
        <v>00074275</v>
      </c>
      <c r="C2481" t="s">
        <v>4260</v>
      </c>
      <c r="D2481" t="s">
        <v>3676</v>
      </c>
      <c r="E2481" t="str">
        <f>"00063814"</f>
        <v>00063814</v>
      </c>
      <c r="F2481">
        <v>0</v>
      </c>
      <c r="G2481" s="243">
        <v>40472</v>
      </c>
      <c r="H2481" t="s">
        <v>182</v>
      </c>
      <c r="I2481">
        <v>15</v>
      </c>
      <c r="J2481">
        <v>7</v>
      </c>
      <c r="K2481">
        <v>1</v>
      </c>
      <c r="L2481">
        <v>71581</v>
      </c>
      <c r="M2481" t="str">
        <f t="shared" si="366"/>
        <v>13</v>
      </c>
      <c r="N2481" t="s">
        <v>3323</v>
      </c>
      <c r="O2481" t="str">
        <f t="shared" si="367"/>
        <v>58411</v>
      </c>
      <c r="P2481" t="str">
        <f>"3030L"</f>
        <v>3030L</v>
      </c>
      <c r="Q2481" t="str">
        <f t="shared" si="361"/>
        <v>0101</v>
      </c>
      <c r="R2481">
        <v>3030</v>
      </c>
      <c r="S2481" t="str">
        <f t="shared" si="368"/>
        <v>5840</v>
      </c>
      <c r="T2481" t="s">
        <v>3671</v>
      </c>
      <c r="U2481" t="s">
        <v>2041</v>
      </c>
    </row>
    <row r="2482" spans="1:21" ht="15" customHeight="1" x14ac:dyDescent="0.3">
      <c r="A2482" t="s">
        <v>179</v>
      </c>
      <c r="B2482" t="str">
        <f>"00074279"</f>
        <v>00074279</v>
      </c>
      <c r="C2482" t="s">
        <v>4288</v>
      </c>
      <c r="H2482" t="s">
        <v>170</v>
      </c>
      <c r="I2482">
        <v>4</v>
      </c>
      <c r="J2482">
        <v>1</v>
      </c>
      <c r="K2482">
        <v>0.71</v>
      </c>
      <c r="L2482">
        <v>25662</v>
      </c>
      <c r="M2482" t="str">
        <f t="shared" si="366"/>
        <v>13</v>
      </c>
      <c r="N2482" t="s">
        <v>3323</v>
      </c>
      <c r="O2482" t="str">
        <f t="shared" si="367"/>
        <v>58411</v>
      </c>
      <c r="P2482" t="str">
        <f>"2100L"</f>
        <v>2100L</v>
      </c>
      <c r="Q2482" t="str">
        <f t="shared" si="361"/>
        <v>0101</v>
      </c>
      <c r="R2482">
        <v>2100</v>
      </c>
      <c r="S2482" t="str">
        <f t="shared" si="368"/>
        <v>5840</v>
      </c>
      <c r="T2482" t="s">
        <v>3671</v>
      </c>
      <c r="U2482" t="s">
        <v>2041</v>
      </c>
    </row>
    <row r="2483" spans="1:21" ht="15" customHeight="1" x14ac:dyDescent="0.3">
      <c r="A2483" t="s">
        <v>179</v>
      </c>
      <c r="B2483" t="str">
        <f>"00074886"</f>
        <v>00074886</v>
      </c>
      <c r="C2483" t="s">
        <v>3670</v>
      </c>
      <c r="D2483" t="s">
        <v>2049</v>
      </c>
      <c r="E2483" t="str">
        <f>"00044628"</f>
        <v>00044628</v>
      </c>
      <c r="F2483">
        <v>0</v>
      </c>
      <c r="G2483" s="243">
        <v>36390</v>
      </c>
      <c r="H2483" t="s">
        <v>182</v>
      </c>
      <c r="I2483">
        <v>8</v>
      </c>
      <c r="J2483">
        <v>1</v>
      </c>
      <c r="K2483">
        <v>1</v>
      </c>
      <c r="L2483">
        <v>82397</v>
      </c>
      <c r="M2483" t="str">
        <f t="shared" si="366"/>
        <v>13</v>
      </c>
      <c r="N2483" t="s">
        <v>3323</v>
      </c>
      <c r="O2483" t="str">
        <f t="shared" si="367"/>
        <v>58411</v>
      </c>
      <c r="P2483" t="str">
        <f>"1501L"</f>
        <v>1501L</v>
      </c>
      <c r="Q2483" t="str">
        <f t="shared" si="361"/>
        <v>0101</v>
      </c>
      <c r="R2483">
        <v>1501</v>
      </c>
      <c r="S2483" t="str">
        <f t="shared" si="368"/>
        <v>5840</v>
      </c>
      <c r="T2483" t="s">
        <v>3671</v>
      </c>
      <c r="U2483" t="s">
        <v>2041</v>
      </c>
    </row>
    <row r="2484" spans="1:21" ht="15" customHeight="1" x14ac:dyDescent="0.3">
      <c r="A2484" t="s">
        <v>179</v>
      </c>
      <c r="B2484" t="str">
        <f>"00076281"</f>
        <v>00076281</v>
      </c>
      <c r="C2484" t="s">
        <v>4262</v>
      </c>
      <c r="D2484" t="s">
        <v>205</v>
      </c>
      <c r="E2484" t="str">
        <f>"00056937"</f>
        <v>00056937</v>
      </c>
      <c r="F2484">
        <v>0</v>
      </c>
      <c r="G2484" s="243">
        <v>40042</v>
      </c>
      <c r="H2484" t="s">
        <v>182</v>
      </c>
      <c r="I2484">
        <v>15</v>
      </c>
      <c r="J2484">
        <v>4</v>
      </c>
      <c r="K2484">
        <v>1</v>
      </c>
      <c r="L2484">
        <v>54725</v>
      </c>
      <c r="M2484" t="str">
        <f t="shared" si="366"/>
        <v>13</v>
      </c>
      <c r="N2484" t="s">
        <v>3370</v>
      </c>
      <c r="O2484" t="str">
        <f t="shared" si="367"/>
        <v>58411</v>
      </c>
      <c r="P2484" t="str">
        <f>"2100L"</f>
        <v>2100L</v>
      </c>
      <c r="Q2484" t="str">
        <f t="shared" si="361"/>
        <v>0101</v>
      </c>
      <c r="R2484">
        <v>2100</v>
      </c>
      <c r="S2484" t="str">
        <f t="shared" si="368"/>
        <v>5840</v>
      </c>
      <c r="T2484" t="s">
        <v>3671</v>
      </c>
      <c r="U2484" t="s">
        <v>2041</v>
      </c>
    </row>
    <row r="2485" spans="1:21" ht="15" customHeight="1" x14ac:dyDescent="0.3">
      <c r="A2485" t="s">
        <v>179</v>
      </c>
      <c r="B2485" t="str">
        <f>"00076282"</f>
        <v>00076282</v>
      </c>
      <c r="C2485" t="s">
        <v>4614</v>
      </c>
      <c r="D2485" t="s">
        <v>5055</v>
      </c>
      <c r="E2485" t="str">
        <f>"00069858"</f>
        <v>00069858</v>
      </c>
      <c r="F2485">
        <v>0</v>
      </c>
      <c r="G2485" s="243">
        <v>41133</v>
      </c>
      <c r="H2485" t="s">
        <v>182</v>
      </c>
      <c r="I2485">
        <v>7</v>
      </c>
      <c r="J2485">
        <v>2</v>
      </c>
      <c r="K2485">
        <v>1</v>
      </c>
      <c r="L2485">
        <v>35977</v>
      </c>
      <c r="M2485" t="str">
        <f t="shared" si="366"/>
        <v>13</v>
      </c>
      <c r="N2485" t="s">
        <v>3370</v>
      </c>
      <c r="O2485" t="str">
        <f t="shared" si="367"/>
        <v>58411</v>
      </c>
      <c r="P2485" t="str">
        <f>"2100L"</f>
        <v>2100L</v>
      </c>
      <c r="Q2485" t="str">
        <f t="shared" si="361"/>
        <v>0101</v>
      </c>
      <c r="R2485">
        <v>2100</v>
      </c>
      <c r="S2485" t="str">
        <f t="shared" si="368"/>
        <v>5840</v>
      </c>
      <c r="T2485" t="s">
        <v>3671</v>
      </c>
      <c r="U2485" t="s">
        <v>2041</v>
      </c>
    </row>
    <row r="2486" spans="1:21" ht="15" customHeight="1" x14ac:dyDescent="0.3">
      <c r="A2486" t="s">
        <v>179</v>
      </c>
      <c r="B2486" t="str">
        <f>"00076283"</f>
        <v>00076283</v>
      </c>
      <c r="C2486" t="s">
        <v>4262</v>
      </c>
      <c r="D2486" t="s">
        <v>2512</v>
      </c>
      <c r="E2486" t="str">
        <f>"00047863"</f>
        <v>00047863</v>
      </c>
      <c r="F2486">
        <v>0</v>
      </c>
      <c r="G2486" s="243">
        <v>36761</v>
      </c>
      <c r="H2486" t="s">
        <v>182</v>
      </c>
      <c r="I2486">
        <v>15</v>
      </c>
      <c r="J2486">
        <v>13</v>
      </c>
      <c r="K2486">
        <v>1</v>
      </c>
      <c r="L2486">
        <v>97873</v>
      </c>
      <c r="M2486" t="str">
        <f t="shared" si="366"/>
        <v>13</v>
      </c>
      <c r="N2486" t="s">
        <v>3370</v>
      </c>
      <c r="O2486" t="str">
        <f t="shared" si="367"/>
        <v>58411</v>
      </c>
      <c r="P2486" t="str">
        <f>"2100L"</f>
        <v>2100L</v>
      </c>
      <c r="Q2486" t="str">
        <f t="shared" si="361"/>
        <v>0101</v>
      </c>
      <c r="R2486">
        <v>2100</v>
      </c>
      <c r="S2486" t="str">
        <f t="shared" si="368"/>
        <v>5840</v>
      </c>
      <c r="T2486" t="s">
        <v>3671</v>
      </c>
      <c r="U2486" t="s">
        <v>2041</v>
      </c>
    </row>
    <row r="2487" spans="1:21" ht="15" customHeight="1" x14ac:dyDescent="0.3">
      <c r="A2487" t="s">
        <v>179</v>
      </c>
      <c r="B2487" t="str">
        <f>"00076284"</f>
        <v>00076284</v>
      </c>
      <c r="C2487" t="s">
        <v>4271</v>
      </c>
      <c r="D2487" t="s">
        <v>5056</v>
      </c>
      <c r="E2487" t="str">
        <f>"00046571"</f>
        <v>00046571</v>
      </c>
      <c r="F2487">
        <v>0</v>
      </c>
      <c r="G2487" s="243">
        <v>32050</v>
      </c>
      <c r="H2487" t="s">
        <v>182</v>
      </c>
      <c r="I2487">
        <v>15</v>
      </c>
      <c r="J2487">
        <v>16</v>
      </c>
      <c r="K2487">
        <v>1</v>
      </c>
      <c r="L2487">
        <v>106540</v>
      </c>
      <c r="M2487" t="str">
        <f t="shared" si="366"/>
        <v>13</v>
      </c>
      <c r="N2487" t="s">
        <v>3370</v>
      </c>
      <c r="O2487" t="str">
        <f t="shared" si="367"/>
        <v>58411</v>
      </c>
      <c r="P2487" t="str">
        <f>"2100L"</f>
        <v>2100L</v>
      </c>
      <c r="Q2487" t="str">
        <f t="shared" ref="Q2487:Q2544" si="369">"0101"</f>
        <v>0101</v>
      </c>
      <c r="R2487">
        <v>2100</v>
      </c>
      <c r="S2487" t="str">
        <f t="shared" si="368"/>
        <v>5840</v>
      </c>
      <c r="T2487" t="s">
        <v>3671</v>
      </c>
      <c r="U2487" t="s">
        <v>2041</v>
      </c>
    </row>
    <row r="2488" spans="1:21" ht="15" customHeight="1" x14ac:dyDescent="0.3">
      <c r="A2488" t="s">
        <v>179</v>
      </c>
      <c r="B2488" t="str">
        <f>"00076285"</f>
        <v>00076285</v>
      </c>
      <c r="C2488" t="s">
        <v>4262</v>
      </c>
      <c r="D2488" t="s">
        <v>5057</v>
      </c>
      <c r="E2488" t="str">
        <f>"00053539"</f>
        <v>00053539</v>
      </c>
      <c r="F2488">
        <v>0</v>
      </c>
      <c r="G2488" s="243">
        <v>41133</v>
      </c>
      <c r="H2488" t="s">
        <v>182</v>
      </c>
      <c r="I2488">
        <v>15</v>
      </c>
      <c r="J2488">
        <v>7</v>
      </c>
      <c r="K2488">
        <v>1</v>
      </c>
      <c r="L2488">
        <v>69132</v>
      </c>
      <c r="M2488" t="str">
        <f t="shared" si="366"/>
        <v>13</v>
      </c>
      <c r="N2488" t="s">
        <v>3370</v>
      </c>
      <c r="O2488" t="str">
        <f t="shared" si="367"/>
        <v>58411</v>
      </c>
      <c r="P2488" t="str">
        <f>"2100L"</f>
        <v>2100L</v>
      </c>
      <c r="Q2488" t="str">
        <f t="shared" si="369"/>
        <v>0101</v>
      </c>
      <c r="R2488">
        <v>2100</v>
      </c>
      <c r="S2488" t="str">
        <f t="shared" si="368"/>
        <v>5840</v>
      </c>
      <c r="T2488" t="s">
        <v>3671</v>
      </c>
      <c r="U2488" t="s">
        <v>2041</v>
      </c>
    </row>
    <row r="2489" spans="1:21" ht="15" customHeight="1" x14ac:dyDescent="0.3">
      <c r="A2489" t="s">
        <v>179</v>
      </c>
      <c r="B2489" t="str">
        <f>"00076421"</f>
        <v>00076421</v>
      </c>
      <c r="C2489" t="s">
        <v>4306</v>
      </c>
      <c r="D2489" t="s">
        <v>5058</v>
      </c>
      <c r="E2489" t="str">
        <f>"00050578"</f>
        <v>00050578</v>
      </c>
      <c r="F2489">
        <v>0</v>
      </c>
      <c r="G2489" s="243">
        <v>37242</v>
      </c>
      <c r="H2489" t="s">
        <v>182</v>
      </c>
      <c r="I2489">
        <v>9</v>
      </c>
      <c r="J2489">
        <v>3</v>
      </c>
      <c r="K2489">
        <v>1</v>
      </c>
      <c r="L2489">
        <v>35289</v>
      </c>
      <c r="M2489" t="str">
        <f t="shared" si="366"/>
        <v>13</v>
      </c>
      <c r="N2489" t="s">
        <v>3370</v>
      </c>
      <c r="O2489" t="str">
        <f t="shared" si="367"/>
        <v>58411</v>
      </c>
      <c r="P2489" t="str">
        <f>"1502L"</f>
        <v>1502L</v>
      </c>
      <c r="Q2489" t="str">
        <f t="shared" si="369"/>
        <v>0101</v>
      </c>
      <c r="R2489">
        <v>1502</v>
      </c>
      <c r="S2489" t="str">
        <f t="shared" si="368"/>
        <v>5840</v>
      </c>
      <c r="T2489" t="s">
        <v>3671</v>
      </c>
      <c r="U2489" t="s">
        <v>2041</v>
      </c>
    </row>
    <row r="2490" spans="1:21" ht="15" customHeight="1" x14ac:dyDescent="0.3">
      <c r="A2490" t="s">
        <v>179</v>
      </c>
      <c r="B2490" t="str">
        <f>"00076432"</f>
        <v>00076432</v>
      </c>
      <c r="C2490" t="s">
        <v>4306</v>
      </c>
      <c r="D2490" t="s">
        <v>5059</v>
      </c>
      <c r="E2490" t="str">
        <f>"00051272"</f>
        <v>00051272</v>
      </c>
      <c r="F2490">
        <v>0</v>
      </c>
      <c r="G2490" s="243">
        <v>32522</v>
      </c>
      <c r="H2490" t="s">
        <v>182</v>
      </c>
      <c r="I2490">
        <v>9</v>
      </c>
      <c r="J2490">
        <v>4</v>
      </c>
      <c r="K2490">
        <v>1</v>
      </c>
      <c r="L2490">
        <v>36352</v>
      </c>
      <c r="M2490" t="str">
        <f t="shared" si="366"/>
        <v>13</v>
      </c>
      <c r="N2490" t="s">
        <v>3370</v>
      </c>
      <c r="O2490" t="str">
        <f t="shared" si="367"/>
        <v>58411</v>
      </c>
      <c r="P2490" t="str">
        <f>"1502L"</f>
        <v>1502L</v>
      </c>
      <c r="Q2490" t="str">
        <f t="shared" si="369"/>
        <v>0101</v>
      </c>
      <c r="R2490">
        <v>1502</v>
      </c>
      <c r="S2490" t="str">
        <f t="shared" si="368"/>
        <v>5840</v>
      </c>
      <c r="T2490" t="s">
        <v>3671</v>
      </c>
      <c r="U2490" t="s">
        <v>2041</v>
      </c>
    </row>
    <row r="2491" spans="1:21" ht="15" customHeight="1" x14ac:dyDescent="0.3">
      <c r="A2491" t="s">
        <v>179</v>
      </c>
      <c r="B2491" t="str">
        <f>"00051532"</f>
        <v>00051532</v>
      </c>
      <c r="C2491" t="s">
        <v>4262</v>
      </c>
      <c r="D2491" t="s">
        <v>651</v>
      </c>
      <c r="E2491" t="str">
        <f>"00048292"</f>
        <v>00048292</v>
      </c>
      <c r="F2491">
        <v>0</v>
      </c>
      <c r="G2491" s="243">
        <v>37861</v>
      </c>
      <c r="H2491" t="s">
        <v>182</v>
      </c>
      <c r="J2491">
        <v>0</v>
      </c>
      <c r="K2491">
        <v>1</v>
      </c>
      <c r="L2491">
        <v>75816</v>
      </c>
      <c r="M2491" t="str">
        <f t="shared" si="366"/>
        <v>13</v>
      </c>
      <c r="N2491" t="s">
        <v>3323</v>
      </c>
      <c r="O2491" t="str">
        <f t="shared" ref="O2491:O2520" si="370">"58511"</f>
        <v>58511</v>
      </c>
      <c r="P2491" t="str">
        <f>"2100L"</f>
        <v>2100L</v>
      </c>
      <c r="Q2491" t="str">
        <f t="shared" si="369"/>
        <v>0101</v>
      </c>
      <c r="R2491">
        <v>2100</v>
      </c>
      <c r="S2491" t="str">
        <f t="shared" ref="S2491:S2520" si="371">"5850"</f>
        <v>5850</v>
      </c>
      <c r="T2491" t="s">
        <v>3679</v>
      </c>
      <c r="U2491" t="s">
        <v>59</v>
      </c>
    </row>
    <row r="2492" spans="1:21" ht="15" customHeight="1" x14ac:dyDescent="0.3">
      <c r="A2492" t="s">
        <v>179</v>
      </c>
      <c r="B2492" t="str">
        <f>"00051930"</f>
        <v>00051930</v>
      </c>
      <c r="C2492" t="s">
        <v>4262</v>
      </c>
      <c r="D2492" t="s">
        <v>2060</v>
      </c>
      <c r="E2492" t="str">
        <f>"00046599"</f>
        <v>00046599</v>
      </c>
      <c r="F2492">
        <v>0</v>
      </c>
      <c r="G2492" s="243">
        <v>33694</v>
      </c>
      <c r="H2492" t="s">
        <v>182</v>
      </c>
      <c r="I2492">
        <v>15</v>
      </c>
      <c r="J2492">
        <v>15</v>
      </c>
      <c r="K2492">
        <v>1</v>
      </c>
      <c r="L2492">
        <v>98285</v>
      </c>
      <c r="M2492" t="str">
        <f t="shared" si="366"/>
        <v>13</v>
      </c>
      <c r="N2492" t="s">
        <v>3323</v>
      </c>
      <c r="O2492" t="str">
        <f t="shared" si="370"/>
        <v>58511</v>
      </c>
      <c r="P2492" t="str">
        <f>"2100L"</f>
        <v>2100L</v>
      </c>
      <c r="Q2492" t="str">
        <f t="shared" si="369"/>
        <v>0101</v>
      </c>
      <c r="R2492">
        <v>2100</v>
      </c>
      <c r="S2492" t="str">
        <f t="shared" si="371"/>
        <v>5850</v>
      </c>
      <c r="T2492" t="s">
        <v>3679</v>
      </c>
      <c r="U2492" t="s">
        <v>59</v>
      </c>
    </row>
    <row r="2493" spans="1:21" ht="15" customHeight="1" x14ac:dyDescent="0.3">
      <c r="A2493" t="s">
        <v>179</v>
      </c>
      <c r="B2493" t="str">
        <f>"00051934"</f>
        <v>00051934</v>
      </c>
      <c r="C2493" t="s">
        <v>4262</v>
      </c>
      <c r="D2493" t="s">
        <v>2061</v>
      </c>
      <c r="E2493" t="str">
        <f>"00046604"</f>
        <v>00046604</v>
      </c>
      <c r="F2493">
        <v>0</v>
      </c>
      <c r="G2493" s="243">
        <v>34941</v>
      </c>
      <c r="H2493" t="s">
        <v>182</v>
      </c>
      <c r="I2493">
        <v>15</v>
      </c>
      <c r="J2493">
        <v>12</v>
      </c>
      <c r="K2493">
        <v>1</v>
      </c>
      <c r="L2493">
        <v>87431</v>
      </c>
      <c r="M2493" t="str">
        <f t="shared" si="366"/>
        <v>13</v>
      </c>
      <c r="N2493" t="s">
        <v>3323</v>
      </c>
      <c r="O2493" t="str">
        <f t="shared" si="370"/>
        <v>58511</v>
      </c>
      <c r="P2493" t="str">
        <f>"2100L"</f>
        <v>2100L</v>
      </c>
      <c r="Q2493" t="str">
        <f t="shared" si="369"/>
        <v>0101</v>
      </c>
      <c r="R2493">
        <v>2100</v>
      </c>
      <c r="S2493" t="str">
        <f t="shared" si="371"/>
        <v>5850</v>
      </c>
      <c r="T2493" t="s">
        <v>3679</v>
      </c>
      <c r="U2493" t="s">
        <v>59</v>
      </c>
    </row>
    <row r="2494" spans="1:21" ht="15" customHeight="1" x14ac:dyDescent="0.3">
      <c r="A2494" t="s">
        <v>179</v>
      </c>
      <c r="B2494" t="str">
        <f>"00051989"</f>
        <v>00051989</v>
      </c>
      <c r="C2494" t="s">
        <v>4262</v>
      </c>
      <c r="D2494" t="s">
        <v>2062</v>
      </c>
      <c r="E2494" t="str">
        <f>"00046838"</f>
        <v>00046838</v>
      </c>
      <c r="F2494">
        <v>0</v>
      </c>
      <c r="G2494" s="243">
        <v>29766</v>
      </c>
      <c r="H2494" t="s">
        <v>182</v>
      </c>
      <c r="I2494">
        <v>15</v>
      </c>
      <c r="J2494">
        <v>16</v>
      </c>
      <c r="K2494">
        <v>1</v>
      </c>
      <c r="L2494">
        <v>100839</v>
      </c>
      <c r="M2494" t="str">
        <f t="shared" si="366"/>
        <v>13</v>
      </c>
      <c r="N2494" t="s">
        <v>3323</v>
      </c>
      <c r="O2494" t="str">
        <f t="shared" si="370"/>
        <v>58511</v>
      </c>
      <c r="P2494" t="str">
        <f>"3030L"</f>
        <v>3030L</v>
      </c>
      <c r="Q2494" t="str">
        <f t="shared" si="369"/>
        <v>0101</v>
      </c>
      <c r="R2494">
        <v>3030</v>
      </c>
      <c r="S2494" t="str">
        <f t="shared" si="371"/>
        <v>5850</v>
      </c>
      <c r="T2494" t="s">
        <v>3679</v>
      </c>
      <c r="U2494" t="s">
        <v>59</v>
      </c>
    </row>
    <row r="2495" spans="1:21" ht="15" customHeight="1" x14ac:dyDescent="0.3">
      <c r="A2495" t="s">
        <v>179</v>
      </c>
      <c r="B2495" t="str">
        <f>"00052000"</f>
        <v>00052000</v>
      </c>
      <c r="C2495" t="s">
        <v>4272</v>
      </c>
      <c r="D2495" t="s">
        <v>2063</v>
      </c>
      <c r="E2495" t="str">
        <f>"00046878"</f>
        <v>00046878</v>
      </c>
      <c r="F2495">
        <v>0</v>
      </c>
      <c r="G2495" s="243">
        <v>34639</v>
      </c>
      <c r="H2495" t="s">
        <v>182</v>
      </c>
      <c r="I2495">
        <v>15</v>
      </c>
      <c r="J2495">
        <v>16</v>
      </c>
      <c r="K2495">
        <v>1</v>
      </c>
      <c r="L2495">
        <v>106540</v>
      </c>
      <c r="M2495" t="str">
        <f t="shared" si="366"/>
        <v>13</v>
      </c>
      <c r="N2495" t="s">
        <v>3323</v>
      </c>
      <c r="O2495" t="str">
        <f t="shared" si="370"/>
        <v>58511</v>
      </c>
      <c r="P2495" t="str">
        <f>"2200L"</f>
        <v>2200L</v>
      </c>
      <c r="Q2495" t="str">
        <f t="shared" si="369"/>
        <v>0101</v>
      </c>
      <c r="R2495">
        <v>2200</v>
      </c>
      <c r="S2495" t="str">
        <f t="shared" si="371"/>
        <v>5850</v>
      </c>
      <c r="T2495" t="s">
        <v>3679</v>
      </c>
      <c r="U2495" t="s">
        <v>59</v>
      </c>
    </row>
    <row r="2496" spans="1:21" ht="15" customHeight="1" x14ac:dyDescent="0.3">
      <c r="A2496" t="s">
        <v>179</v>
      </c>
      <c r="B2496" t="str">
        <f>"00052131"</f>
        <v>00052131</v>
      </c>
      <c r="C2496" t="s">
        <v>4256</v>
      </c>
      <c r="H2496" t="s">
        <v>170</v>
      </c>
      <c r="I2496">
        <v>15</v>
      </c>
      <c r="J2496">
        <v>1</v>
      </c>
      <c r="K2496">
        <v>1</v>
      </c>
      <c r="L2496">
        <v>54975</v>
      </c>
      <c r="M2496" t="str">
        <f t="shared" si="366"/>
        <v>13</v>
      </c>
      <c r="N2496" t="s">
        <v>3323</v>
      </c>
      <c r="O2496" t="str">
        <f t="shared" si="370"/>
        <v>58511</v>
      </c>
      <c r="P2496" t="str">
        <f>"2100L"</f>
        <v>2100L</v>
      </c>
      <c r="Q2496" t="str">
        <f t="shared" si="369"/>
        <v>0101</v>
      </c>
      <c r="R2496">
        <v>2100</v>
      </c>
      <c r="S2496" t="str">
        <f t="shared" si="371"/>
        <v>5850</v>
      </c>
      <c r="T2496" t="s">
        <v>3679</v>
      </c>
      <c r="U2496" t="s">
        <v>59</v>
      </c>
    </row>
    <row r="2497" spans="1:21" ht="15" customHeight="1" x14ac:dyDescent="0.3">
      <c r="A2497" t="s">
        <v>179</v>
      </c>
      <c r="B2497" t="str">
        <f>"00052393"</f>
        <v>00052393</v>
      </c>
      <c r="C2497" t="s">
        <v>4272</v>
      </c>
      <c r="D2497" t="s">
        <v>2065</v>
      </c>
      <c r="E2497" t="str">
        <f>"00048166"</f>
        <v>00048166</v>
      </c>
      <c r="F2497">
        <v>0</v>
      </c>
      <c r="G2497" s="243">
        <v>32181</v>
      </c>
      <c r="H2497" t="s">
        <v>182</v>
      </c>
      <c r="I2497">
        <v>15</v>
      </c>
      <c r="J2497">
        <v>16</v>
      </c>
      <c r="K2497">
        <v>1</v>
      </c>
      <c r="L2497">
        <v>100839</v>
      </c>
      <c r="M2497" t="str">
        <f t="shared" si="366"/>
        <v>13</v>
      </c>
      <c r="N2497" t="s">
        <v>3323</v>
      </c>
      <c r="O2497" t="str">
        <f t="shared" si="370"/>
        <v>58511</v>
      </c>
      <c r="P2497" t="str">
        <f>"2200L"</f>
        <v>2200L</v>
      </c>
      <c r="Q2497" t="str">
        <f t="shared" si="369"/>
        <v>0101</v>
      </c>
      <c r="R2497">
        <v>2200</v>
      </c>
      <c r="S2497" t="str">
        <f t="shared" si="371"/>
        <v>5850</v>
      </c>
      <c r="T2497" t="s">
        <v>3679</v>
      </c>
      <c r="U2497" t="s">
        <v>59</v>
      </c>
    </row>
    <row r="2498" spans="1:21" ht="15" customHeight="1" x14ac:dyDescent="0.3">
      <c r="A2498" t="s">
        <v>179</v>
      </c>
      <c r="B2498" t="str">
        <f>"00052454"</f>
        <v>00052454</v>
      </c>
      <c r="C2498" t="s">
        <v>4299</v>
      </c>
      <c r="D2498" t="s">
        <v>5060</v>
      </c>
      <c r="E2498" t="str">
        <f>"00048310"</f>
        <v>00048310</v>
      </c>
      <c r="F2498">
        <v>0</v>
      </c>
      <c r="G2498" s="243">
        <v>32204</v>
      </c>
      <c r="H2498" t="s">
        <v>182</v>
      </c>
      <c r="I2498">
        <v>7</v>
      </c>
      <c r="J2498">
        <v>6</v>
      </c>
      <c r="K2498">
        <v>1</v>
      </c>
      <c r="L2498">
        <v>41513</v>
      </c>
      <c r="M2498" t="str">
        <f t="shared" si="366"/>
        <v>13</v>
      </c>
      <c r="N2498" t="s">
        <v>3323</v>
      </c>
      <c r="O2498" t="str">
        <f t="shared" si="370"/>
        <v>58511</v>
      </c>
      <c r="P2498" t="str">
        <f>"1502L"</f>
        <v>1502L</v>
      </c>
      <c r="Q2498" t="str">
        <f t="shared" si="369"/>
        <v>0101</v>
      </c>
      <c r="R2498">
        <v>1502</v>
      </c>
      <c r="S2498" t="str">
        <f t="shared" si="371"/>
        <v>5850</v>
      </c>
      <c r="T2498" t="s">
        <v>3679</v>
      </c>
      <c r="U2498" t="s">
        <v>59</v>
      </c>
    </row>
    <row r="2499" spans="1:21" ht="15" customHeight="1" x14ac:dyDescent="0.3">
      <c r="A2499" t="s">
        <v>179</v>
      </c>
      <c r="B2499" t="str">
        <f>"00052512"</f>
        <v>00052512</v>
      </c>
      <c r="C2499" t="s">
        <v>4262</v>
      </c>
      <c r="D2499" t="s">
        <v>2066</v>
      </c>
      <c r="E2499" t="str">
        <f>"00048454"</f>
        <v>00048454</v>
      </c>
      <c r="F2499">
        <v>0</v>
      </c>
      <c r="G2499" s="243">
        <v>32405</v>
      </c>
      <c r="H2499" t="s">
        <v>182</v>
      </c>
      <c r="I2499">
        <v>15</v>
      </c>
      <c r="J2499">
        <v>16</v>
      </c>
      <c r="K2499">
        <v>1</v>
      </c>
      <c r="L2499">
        <v>100839</v>
      </c>
      <c r="M2499" t="str">
        <f t="shared" si="366"/>
        <v>13</v>
      </c>
      <c r="N2499" t="s">
        <v>3323</v>
      </c>
      <c r="O2499" t="str">
        <f t="shared" si="370"/>
        <v>58511</v>
      </c>
      <c r="P2499" t="str">
        <f>"2100L"</f>
        <v>2100L</v>
      </c>
      <c r="Q2499" t="str">
        <f t="shared" si="369"/>
        <v>0101</v>
      </c>
      <c r="R2499">
        <v>2100</v>
      </c>
      <c r="S2499" t="str">
        <f t="shared" si="371"/>
        <v>5850</v>
      </c>
      <c r="T2499" t="s">
        <v>3679</v>
      </c>
      <c r="U2499" t="s">
        <v>59</v>
      </c>
    </row>
    <row r="2500" spans="1:21" ht="15" customHeight="1" x14ac:dyDescent="0.3">
      <c r="A2500" t="s">
        <v>179</v>
      </c>
      <c r="B2500" t="str">
        <f>"00052652"</f>
        <v>00052652</v>
      </c>
      <c r="C2500" t="s">
        <v>4266</v>
      </c>
      <c r="D2500" t="s">
        <v>2067</v>
      </c>
      <c r="E2500" t="str">
        <f>"00048792"</f>
        <v>00048792</v>
      </c>
      <c r="F2500">
        <v>0</v>
      </c>
      <c r="G2500" s="243">
        <v>32050</v>
      </c>
      <c r="H2500" t="s">
        <v>182</v>
      </c>
      <c r="I2500">
        <v>15</v>
      </c>
      <c r="J2500">
        <v>16</v>
      </c>
      <c r="K2500">
        <v>1</v>
      </c>
      <c r="L2500">
        <v>103347</v>
      </c>
      <c r="M2500" t="str">
        <f t="shared" si="366"/>
        <v>13</v>
      </c>
      <c r="N2500" t="s">
        <v>3323</v>
      </c>
      <c r="O2500" t="str">
        <f t="shared" si="370"/>
        <v>58511</v>
      </c>
      <c r="P2500" t="str">
        <f>"2300L"</f>
        <v>2300L</v>
      </c>
      <c r="Q2500" t="str">
        <f t="shared" si="369"/>
        <v>0101</v>
      </c>
      <c r="R2500">
        <v>2300</v>
      </c>
      <c r="S2500" t="str">
        <f t="shared" si="371"/>
        <v>5850</v>
      </c>
      <c r="T2500" t="s">
        <v>3679</v>
      </c>
      <c r="U2500" t="s">
        <v>59</v>
      </c>
    </row>
    <row r="2501" spans="1:21" ht="15" customHeight="1" x14ac:dyDescent="0.3">
      <c r="A2501" t="s">
        <v>179</v>
      </c>
      <c r="B2501" t="str">
        <f>"00052768"</f>
        <v>00052768</v>
      </c>
      <c r="C2501" t="s">
        <v>4266</v>
      </c>
      <c r="D2501" t="s">
        <v>2068</v>
      </c>
      <c r="E2501" t="str">
        <f>"00049387"</f>
        <v>00049387</v>
      </c>
      <c r="F2501">
        <v>0</v>
      </c>
      <c r="G2501" s="243">
        <v>31414</v>
      </c>
      <c r="H2501" t="s">
        <v>182</v>
      </c>
      <c r="I2501">
        <v>15</v>
      </c>
      <c r="J2501">
        <v>16</v>
      </c>
      <c r="K2501">
        <v>1</v>
      </c>
      <c r="L2501">
        <v>106540</v>
      </c>
      <c r="M2501" t="str">
        <f t="shared" si="366"/>
        <v>13</v>
      </c>
      <c r="N2501" t="s">
        <v>3323</v>
      </c>
      <c r="O2501" t="str">
        <f t="shared" si="370"/>
        <v>58511</v>
      </c>
      <c r="P2501" t="str">
        <f>"2300L"</f>
        <v>2300L</v>
      </c>
      <c r="Q2501" t="str">
        <f t="shared" si="369"/>
        <v>0101</v>
      </c>
      <c r="R2501">
        <v>2300</v>
      </c>
      <c r="S2501" t="str">
        <f t="shared" si="371"/>
        <v>5850</v>
      </c>
      <c r="T2501" t="s">
        <v>3679</v>
      </c>
      <c r="U2501" t="s">
        <v>59</v>
      </c>
    </row>
    <row r="2502" spans="1:21" ht="15" customHeight="1" x14ac:dyDescent="0.3">
      <c r="A2502" t="s">
        <v>179</v>
      </c>
      <c r="B2502" t="str">
        <f>"00052978"</f>
        <v>00052978</v>
      </c>
      <c r="C2502" t="s">
        <v>4262</v>
      </c>
      <c r="D2502" t="s">
        <v>2080</v>
      </c>
      <c r="E2502" t="str">
        <f>"00047127"</f>
        <v>00047127</v>
      </c>
      <c r="F2502">
        <v>0</v>
      </c>
      <c r="G2502" s="243">
        <v>37152</v>
      </c>
      <c r="H2502" t="s">
        <v>182</v>
      </c>
      <c r="I2502">
        <v>15</v>
      </c>
      <c r="J2502">
        <v>11</v>
      </c>
      <c r="K2502">
        <v>1</v>
      </c>
      <c r="L2502">
        <v>81335</v>
      </c>
      <c r="M2502" t="str">
        <f t="shared" si="366"/>
        <v>13</v>
      </c>
      <c r="N2502" t="s">
        <v>3323</v>
      </c>
      <c r="O2502" t="str">
        <f t="shared" si="370"/>
        <v>58511</v>
      </c>
      <c r="P2502" t="str">
        <f>"2100L"</f>
        <v>2100L</v>
      </c>
      <c r="Q2502" t="str">
        <f t="shared" si="369"/>
        <v>0101</v>
      </c>
      <c r="R2502">
        <v>2100</v>
      </c>
      <c r="S2502" t="str">
        <f t="shared" si="371"/>
        <v>5850</v>
      </c>
      <c r="T2502" t="s">
        <v>3679</v>
      </c>
      <c r="U2502" t="s">
        <v>59</v>
      </c>
    </row>
    <row r="2503" spans="1:21" ht="15" customHeight="1" x14ac:dyDescent="0.3">
      <c r="A2503" t="s">
        <v>179</v>
      </c>
      <c r="B2503" t="str">
        <f>"00053168"</f>
        <v>00053168</v>
      </c>
      <c r="C2503" t="s">
        <v>4272</v>
      </c>
      <c r="D2503" t="s">
        <v>2069</v>
      </c>
      <c r="E2503" t="str">
        <f>"00051052"</f>
        <v>00051052</v>
      </c>
      <c r="F2503">
        <v>0</v>
      </c>
      <c r="G2503" s="243">
        <v>32050</v>
      </c>
      <c r="H2503" t="s">
        <v>182</v>
      </c>
      <c r="I2503">
        <v>15</v>
      </c>
      <c r="J2503">
        <v>16</v>
      </c>
      <c r="K2503">
        <v>1</v>
      </c>
      <c r="L2503">
        <v>103347</v>
      </c>
      <c r="M2503" t="str">
        <f t="shared" si="366"/>
        <v>13</v>
      </c>
      <c r="N2503" t="s">
        <v>3323</v>
      </c>
      <c r="O2503" t="str">
        <f t="shared" si="370"/>
        <v>58511</v>
      </c>
      <c r="P2503" t="str">
        <f>"2200L"</f>
        <v>2200L</v>
      </c>
      <c r="Q2503" t="str">
        <f t="shared" si="369"/>
        <v>0101</v>
      </c>
      <c r="R2503">
        <v>2200</v>
      </c>
      <c r="S2503" t="str">
        <f t="shared" si="371"/>
        <v>5850</v>
      </c>
      <c r="T2503" t="s">
        <v>3679</v>
      </c>
      <c r="U2503" t="s">
        <v>59</v>
      </c>
    </row>
    <row r="2504" spans="1:21" ht="15" customHeight="1" x14ac:dyDescent="0.3">
      <c r="A2504" t="s">
        <v>179</v>
      </c>
      <c r="B2504" t="str">
        <f>"00053480"</f>
        <v>00053480</v>
      </c>
      <c r="C2504" t="s">
        <v>4272</v>
      </c>
      <c r="D2504" t="s">
        <v>2070</v>
      </c>
      <c r="E2504" t="str">
        <f>"00051577"</f>
        <v>00051577</v>
      </c>
      <c r="F2504">
        <v>0</v>
      </c>
      <c r="G2504" s="243">
        <v>32021</v>
      </c>
      <c r="H2504" t="s">
        <v>182</v>
      </c>
      <c r="I2504">
        <v>15</v>
      </c>
      <c r="J2504">
        <v>13</v>
      </c>
      <c r="K2504">
        <v>1</v>
      </c>
      <c r="L2504">
        <v>81724</v>
      </c>
      <c r="M2504" t="str">
        <f t="shared" si="366"/>
        <v>13</v>
      </c>
      <c r="N2504" t="s">
        <v>3323</v>
      </c>
      <c r="O2504" t="str">
        <f t="shared" si="370"/>
        <v>58511</v>
      </c>
      <c r="P2504" t="str">
        <f>"2200L"</f>
        <v>2200L</v>
      </c>
      <c r="Q2504" t="str">
        <f t="shared" si="369"/>
        <v>0101</v>
      </c>
      <c r="R2504">
        <v>2200</v>
      </c>
      <c r="S2504" t="str">
        <f t="shared" si="371"/>
        <v>5850</v>
      </c>
      <c r="T2504" t="s">
        <v>3679</v>
      </c>
      <c r="U2504" t="s">
        <v>59</v>
      </c>
    </row>
    <row r="2505" spans="1:21" ht="15" customHeight="1" x14ac:dyDescent="0.3">
      <c r="A2505" t="s">
        <v>179</v>
      </c>
      <c r="B2505" t="str">
        <f>"00053562"</f>
        <v>00053562</v>
      </c>
      <c r="C2505" t="s">
        <v>3670</v>
      </c>
      <c r="D2505" t="s">
        <v>3678</v>
      </c>
      <c r="E2505" t="str">
        <f>"00051885"</f>
        <v>00051885</v>
      </c>
      <c r="F2505">
        <v>0</v>
      </c>
      <c r="G2505" s="243">
        <v>40765</v>
      </c>
      <c r="H2505" t="s">
        <v>182</v>
      </c>
      <c r="I2505">
        <v>8</v>
      </c>
      <c r="J2505">
        <v>2</v>
      </c>
      <c r="K2505">
        <v>1</v>
      </c>
      <c r="L2505">
        <v>86197</v>
      </c>
      <c r="M2505" t="str">
        <f t="shared" si="366"/>
        <v>13</v>
      </c>
      <c r="N2505" t="s">
        <v>3323</v>
      </c>
      <c r="O2505" t="str">
        <f t="shared" si="370"/>
        <v>58511</v>
      </c>
      <c r="P2505" t="str">
        <f>"1501L"</f>
        <v>1501L</v>
      </c>
      <c r="Q2505" t="str">
        <f t="shared" si="369"/>
        <v>0101</v>
      </c>
      <c r="R2505">
        <v>1501</v>
      </c>
      <c r="S2505" t="str">
        <f t="shared" si="371"/>
        <v>5850</v>
      </c>
      <c r="T2505" t="s">
        <v>3679</v>
      </c>
      <c r="U2505" t="s">
        <v>59</v>
      </c>
    </row>
    <row r="2506" spans="1:21" ht="15" customHeight="1" x14ac:dyDescent="0.3">
      <c r="A2506" t="s">
        <v>179</v>
      </c>
      <c r="B2506" t="str">
        <f>"00054132"</f>
        <v>00054132</v>
      </c>
      <c r="C2506" t="s">
        <v>4272</v>
      </c>
      <c r="D2506" t="s">
        <v>2071</v>
      </c>
      <c r="E2506" t="str">
        <f>"00053087"</f>
        <v>00053087</v>
      </c>
      <c r="F2506">
        <v>0</v>
      </c>
      <c r="G2506" s="243">
        <v>32050</v>
      </c>
      <c r="H2506" t="s">
        <v>182</v>
      </c>
      <c r="I2506">
        <v>15</v>
      </c>
      <c r="J2506">
        <v>13</v>
      </c>
      <c r="K2506">
        <v>1</v>
      </c>
      <c r="L2506">
        <v>81724</v>
      </c>
      <c r="M2506" t="str">
        <f t="shared" si="366"/>
        <v>13</v>
      </c>
      <c r="N2506" t="s">
        <v>3323</v>
      </c>
      <c r="O2506" t="str">
        <f t="shared" si="370"/>
        <v>58511</v>
      </c>
      <c r="P2506" t="str">
        <f>"2100L"</f>
        <v>2100L</v>
      </c>
      <c r="Q2506" t="str">
        <f t="shared" si="369"/>
        <v>0101</v>
      </c>
      <c r="R2506">
        <v>2100</v>
      </c>
      <c r="S2506" t="str">
        <f t="shared" si="371"/>
        <v>5850</v>
      </c>
      <c r="T2506" t="s">
        <v>3679</v>
      </c>
      <c r="U2506" t="s">
        <v>59</v>
      </c>
    </row>
    <row r="2507" spans="1:21" ht="15" customHeight="1" x14ac:dyDescent="0.3">
      <c r="A2507" t="s">
        <v>179</v>
      </c>
      <c r="B2507" t="str">
        <f>"00054144"</f>
        <v>00054144</v>
      </c>
      <c r="C2507" t="s">
        <v>4260</v>
      </c>
      <c r="D2507" t="s">
        <v>2072</v>
      </c>
      <c r="E2507" t="str">
        <f>"00053108"</f>
        <v>00053108</v>
      </c>
      <c r="F2507">
        <v>0</v>
      </c>
      <c r="G2507" s="243">
        <v>32050</v>
      </c>
      <c r="H2507" t="s">
        <v>182</v>
      </c>
      <c r="I2507">
        <v>15</v>
      </c>
      <c r="J2507">
        <v>16</v>
      </c>
      <c r="K2507">
        <v>1</v>
      </c>
      <c r="L2507">
        <v>103347</v>
      </c>
      <c r="M2507" t="str">
        <f t="shared" si="366"/>
        <v>13</v>
      </c>
      <c r="N2507" t="s">
        <v>3323</v>
      </c>
      <c r="O2507" t="str">
        <f t="shared" si="370"/>
        <v>58511</v>
      </c>
      <c r="P2507" t="str">
        <f>"2100L"</f>
        <v>2100L</v>
      </c>
      <c r="Q2507" t="str">
        <f t="shared" si="369"/>
        <v>0101</v>
      </c>
      <c r="R2507">
        <v>2100</v>
      </c>
      <c r="S2507" t="str">
        <f t="shared" si="371"/>
        <v>5850</v>
      </c>
      <c r="T2507" t="s">
        <v>3679</v>
      </c>
      <c r="U2507" t="s">
        <v>59</v>
      </c>
    </row>
    <row r="2508" spans="1:21" ht="15" customHeight="1" x14ac:dyDescent="0.3">
      <c r="A2508" t="s">
        <v>179</v>
      </c>
      <c r="B2508" t="str">
        <f>"00054280"</f>
        <v>00054280</v>
      </c>
      <c r="C2508" t="s">
        <v>4262</v>
      </c>
      <c r="D2508" t="s">
        <v>2073</v>
      </c>
      <c r="E2508" t="str">
        <f>"00053445"</f>
        <v>00053445</v>
      </c>
      <c r="F2508">
        <v>0</v>
      </c>
      <c r="G2508" s="243">
        <v>34213</v>
      </c>
      <c r="H2508" t="s">
        <v>182</v>
      </c>
      <c r="I2508">
        <v>15</v>
      </c>
      <c r="J2508">
        <v>15</v>
      </c>
      <c r="K2508">
        <v>1</v>
      </c>
      <c r="L2508">
        <v>98285</v>
      </c>
      <c r="M2508" t="str">
        <f t="shared" si="366"/>
        <v>13</v>
      </c>
      <c r="N2508" t="s">
        <v>3323</v>
      </c>
      <c r="O2508" t="str">
        <f t="shared" si="370"/>
        <v>58511</v>
      </c>
      <c r="P2508" t="str">
        <f>"2100L"</f>
        <v>2100L</v>
      </c>
      <c r="Q2508" t="str">
        <f t="shared" si="369"/>
        <v>0101</v>
      </c>
      <c r="R2508">
        <v>2100</v>
      </c>
      <c r="S2508" t="str">
        <f t="shared" si="371"/>
        <v>5850</v>
      </c>
      <c r="T2508" t="s">
        <v>3679</v>
      </c>
      <c r="U2508" t="s">
        <v>59</v>
      </c>
    </row>
    <row r="2509" spans="1:21" ht="15" customHeight="1" x14ac:dyDescent="0.3">
      <c r="A2509" t="s">
        <v>179</v>
      </c>
      <c r="B2509" t="str">
        <f>"00054297"</f>
        <v>00054297</v>
      </c>
      <c r="C2509" t="s">
        <v>4262</v>
      </c>
      <c r="D2509" t="s">
        <v>2074</v>
      </c>
      <c r="E2509" t="str">
        <f>"00053498"</f>
        <v>00053498</v>
      </c>
      <c r="F2509">
        <v>0</v>
      </c>
      <c r="G2509" s="243">
        <v>34337</v>
      </c>
      <c r="H2509" t="s">
        <v>182</v>
      </c>
      <c r="I2509">
        <v>15</v>
      </c>
      <c r="J2509">
        <v>15</v>
      </c>
      <c r="K2509">
        <v>1</v>
      </c>
      <c r="L2509">
        <v>98285</v>
      </c>
      <c r="M2509" t="str">
        <f t="shared" si="366"/>
        <v>13</v>
      </c>
      <c r="N2509" t="s">
        <v>3323</v>
      </c>
      <c r="O2509" t="str">
        <f t="shared" si="370"/>
        <v>58511</v>
      </c>
      <c r="P2509" t="str">
        <f>"2100L"</f>
        <v>2100L</v>
      </c>
      <c r="Q2509" t="str">
        <f t="shared" si="369"/>
        <v>0101</v>
      </c>
      <c r="R2509">
        <v>2100</v>
      </c>
      <c r="S2509" t="str">
        <f t="shared" si="371"/>
        <v>5850</v>
      </c>
      <c r="T2509" t="s">
        <v>3679</v>
      </c>
      <c r="U2509" t="s">
        <v>59</v>
      </c>
    </row>
    <row r="2510" spans="1:21" ht="15" customHeight="1" x14ac:dyDescent="0.3">
      <c r="A2510" t="s">
        <v>179</v>
      </c>
      <c r="B2510" t="str">
        <f>"00054701"</f>
        <v>00054701</v>
      </c>
      <c r="C2510" t="s">
        <v>4288</v>
      </c>
      <c r="D2510" t="s">
        <v>5061</v>
      </c>
      <c r="E2510" t="str">
        <f>"00054429"</f>
        <v>00054429</v>
      </c>
      <c r="F2510">
        <v>0</v>
      </c>
      <c r="G2510" s="243">
        <v>35389</v>
      </c>
      <c r="H2510" t="s">
        <v>182</v>
      </c>
      <c r="I2510">
        <v>4</v>
      </c>
      <c r="J2510">
        <v>10</v>
      </c>
      <c r="K2510">
        <v>0.875</v>
      </c>
      <c r="L2510">
        <v>28721</v>
      </c>
      <c r="M2510" t="str">
        <f t="shared" si="366"/>
        <v>13</v>
      </c>
      <c r="N2510" t="s">
        <v>3323</v>
      </c>
      <c r="O2510" t="str">
        <f t="shared" si="370"/>
        <v>58511</v>
      </c>
      <c r="P2510" t="str">
        <f>"2200L"</f>
        <v>2200L</v>
      </c>
      <c r="Q2510" t="str">
        <f t="shared" si="369"/>
        <v>0101</v>
      </c>
      <c r="R2510">
        <v>2200</v>
      </c>
      <c r="S2510" t="str">
        <f t="shared" si="371"/>
        <v>5850</v>
      </c>
      <c r="T2510" t="s">
        <v>3679</v>
      </c>
      <c r="U2510" t="s">
        <v>59</v>
      </c>
    </row>
    <row r="2511" spans="1:21" ht="15" customHeight="1" x14ac:dyDescent="0.3">
      <c r="A2511" t="s">
        <v>179</v>
      </c>
      <c r="B2511" t="str">
        <f>"00054713"</f>
        <v>00054713</v>
      </c>
      <c r="C2511" t="s">
        <v>4274</v>
      </c>
      <c r="D2511" t="s">
        <v>5062</v>
      </c>
      <c r="E2511" t="str">
        <f>"00054460"</f>
        <v>00054460</v>
      </c>
      <c r="F2511">
        <v>0</v>
      </c>
      <c r="G2511" s="243">
        <v>31098</v>
      </c>
      <c r="H2511" t="s">
        <v>182</v>
      </c>
      <c r="I2511">
        <v>4</v>
      </c>
      <c r="J2511">
        <v>10</v>
      </c>
      <c r="K2511">
        <v>0.875</v>
      </c>
      <c r="L2511">
        <v>28721</v>
      </c>
      <c r="M2511" t="str">
        <f t="shared" si="366"/>
        <v>13</v>
      </c>
      <c r="N2511" t="s">
        <v>3323</v>
      </c>
      <c r="O2511" t="str">
        <f t="shared" si="370"/>
        <v>58511</v>
      </c>
      <c r="P2511" t="str">
        <f>"2200L"</f>
        <v>2200L</v>
      </c>
      <c r="Q2511" t="str">
        <f t="shared" si="369"/>
        <v>0101</v>
      </c>
      <c r="R2511">
        <v>2200</v>
      </c>
      <c r="S2511" t="str">
        <f t="shared" si="371"/>
        <v>5850</v>
      </c>
      <c r="T2511" t="s">
        <v>3679</v>
      </c>
      <c r="U2511" t="s">
        <v>59</v>
      </c>
    </row>
    <row r="2512" spans="1:21" ht="15" customHeight="1" x14ac:dyDescent="0.3">
      <c r="A2512" t="s">
        <v>179</v>
      </c>
      <c r="B2512" t="str">
        <f>"00054981"</f>
        <v>00054981</v>
      </c>
      <c r="C2512" t="s">
        <v>4272</v>
      </c>
      <c r="D2512" t="s">
        <v>2075</v>
      </c>
      <c r="E2512" t="str">
        <f>"00052275"</f>
        <v>00052275</v>
      </c>
      <c r="F2512">
        <v>0</v>
      </c>
      <c r="G2512" s="243">
        <v>34082</v>
      </c>
      <c r="H2512" t="s">
        <v>182</v>
      </c>
      <c r="I2512">
        <v>15</v>
      </c>
      <c r="J2512">
        <v>10</v>
      </c>
      <c r="K2512">
        <v>1</v>
      </c>
      <c r="L2512">
        <v>80729</v>
      </c>
      <c r="M2512" t="str">
        <f t="shared" si="366"/>
        <v>13</v>
      </c>
      <c r="N2512" t="s">
        <v>3323</v>
      </c>
      <c r="O2512" t="str">
        <f t="shared" si="370"/>
        <v>58511</v>
      </c>
      <c r="P2512" t="str">
        <f>"2200L"</f>
        <v>2200L</v>
      </c>
      <c r="Q2512" t="str">
        <f t="shared" si="369"/>
        <v>0101</v>
      </c>
      <c r="R2512">
        <v>2200</v>
      </c>
      <c r="S2512" t="str">
        <f t="shared" si="371"/>
        <v>5850</v>
      </c>
      <c r="T2512" t="s">
        <v>3679</v>
      </c>
      <c r="U2512" t="s">
        <v>59</v>
      </c>
    </row>
    <row r="2513" spans="1:21" ht="15" customHeight="1" x14ac:dyDescent="0.3">
      <c r="A2513" t="s">
        <v>179</v>
      </c>
      <c r="B2513" t="str">
        <f>"00055019"</f>
        <v>00055019</v>
      </c>
      <c r="C2513" t="s">
        <v>4343</v>
      </c>
      <c r="D2513" t="s">
        <v>2076</v>
      </c>
      <c r="E2513" t="str">
        <f>"00054559"</f>
        <v>00054559</v>
      </c>
      <c r="F2513">
        <v>0</v>
      </c>
      <c r="G2513" s="243">
        <v>35739</v>
      </c>
      <c r="H2513" t="s">
        <v>182</v>
      </c>
      <c r="I2513">
        <v>15</v>
      </c>
      <c r="J2513">
        <v>16</v>
      </c>
      <c r="K2513">
        <v>1</v>
      </c>
      <c r="L2513">
        <v>103347</v>
      </c>
      <c r="M2513" t="str">
        <f t="shared" si="366"/>
        <v>13</v>
      </c>
      <c r="N2513" t="s">
        <v>3323</v>
      </c>
      <c r="O2513" t="str">
        <f t="shared" si="370"/>
        <v>58511</v>
      </c>
      <c r="P2513" t="str">
        <f>"2300L"</f>
        <v>2300L</v>
      </c>
      <c r="Q2513" t="str">
        <f t="shared" si="369"/>
        <v>0101</v>
      </c>
      <c r="R2513">
        <v>2300</v>
      </c>
      <c r="S2513" t="str">
        <f t="shared" si="371"/>
        <v>5850</v>
      </c>
      <c r="T2513" t="s">
        <v>3679</v>
      </c>
      <c r="U2513" t="s">
        <v>59</v>
      </c>
    </row>
    <row r="2514" spans="1:21" ht="15" customHeight="1" x14ac:dyDescent="0.3">
      <c r="A2514" t="s">
        <v>179</v>
      </c>
      <c r="B2514" t="str">
        <f>"00055233"</f>
        <v>00055233</v>
      </c>
      <c r="C2514" t="s">
        <v>4263</v>
      </c>
      <c r="D2514" t="s">
        <v>2077</v>
      </c>
      <c r="E2514" t="str">
        <f>"00051622"</f>
        <v>00051622</v>
      </c>
      <c r="F2514">
        <v>0</v>
      </c>
      <c r="G2514" s="243">
        <v>36332</v>
      </c>
      <c r="H2514" t="s">
        <v>182</v>
      </c>
      <c r="I2514">
        <v>15</v>
      </c>
      <c r="J2514">
        <v>13</v>
      </c>
      <c r="K2514">
        <v>1</v>
      </c>
      <c r="L2514">
        <v>81724</v>
      </c>
      <c r="M2514" t="str">
        <f t="shared" si="366"/>
        <v>13</v>
      </c>
      <c r="N2514" t="s">
        <v>3323</v>
      </c>
      <c r="O2514" t="str">
        <f t="shared" si="370"/>
        <v>58511</v>
      </c>
      <c r="P2514" t="str">
        <f>"2100L"</f>
        <v>2100L</v>
      </c>
      <c r="Q2514" t="str">
        <f t="shared" si="369"/>
        <v>0101</v>
      </c>
      <c r="R2514">
        <v>2100</v>
      </c>
      <c r="S2514" t="str">
        <f t="shared" si="371"/>
        <v>5850</v>
      </c>
      <c r="T2514" t="s">
        <v>3679</v>
      </c>
      <c r="U2514" t="s">
        <v>59</v>
      </c>
    </row>
    <row r="2515" spans="1:21" ht="15" customHeight="1" x14ac:dyDescent="0.3">
      <c r="A2515" t="s">
        <v>179</v>
      </c>
      <c r="B2515" t="str">
        <f>"00057461"</f>
        <v>00057461</v>
      </c>
      <c r="C2515" t="s">
        <v>4264</v>
      </c>
      <c r="H2515" t="s">
        <v>170</v>
      </c>
      <c r="I2515">
        <v>15</v>
      </c>
      <c r="J2515">
        <v>1</v>
      </c>
      <c r="K2515">
        <v>1</v>
      </c>
      <c r="L2515">
        <v>54975</v>
      </c>
      <c r="M2515" t="str">
        <f t="shared" si="366"/>
        <v>13</v>
      </c>
      <c r="N2515" t="s">
        <v>3323</v>
      </c>
      <c r="O2515" t="str">
        <f t="shared" si="370"/>
        <v>58511</v>
      </c>
      <c r="P2515" t="str">
        <f>"3030L"</f>
        <v>3030L</v>
      </c>
      <c r="Q2515" t="str">
        <f t="shared" si="369"/>
        <v>0101</v>
      </c>
      <c r="R2515">
        <v>3030</v>
      </c>
      <c r="S2515" t="str">
        <f t="shared" si="371"/>
        <v>5850</v>
      </c>
      <c r="T2515" t="s">
        <v>3679</v>
      </c>
      <c r="U2515" t="s">
        <v>59</v>
      </c>
    </row>
    <row r="2516" spans="1:21" ht="15" customHeight="1" x14ac:dyDescent="0.3">
      <c r="A2516" t="s">
        <v>179</v>
      </c>
      <c r="B2516" t="str">
        <f>"00057462"</f>
        <v>00057462</v>
      </c>
      <c r="C2516" t="s">
        <v>4262</v>
      </c>
      <c r="D2516" t="s">
        <v>3684</v>
      </c>
      <c r="E2516" t="str">
        <f>"00066383"</f>
        <v>00066383</v>
      </c>
      <c r="F2516">
        <v>0</v>
      </c>
      <c r="G2516" s="243">
        <v>40755</v>
      </c>
      <c r="H2516" t="s">
        <v>182</v>
      </c>
      <c r="I2516">
        <v>15</v>
      </c>
      <c r="J2516">
        <v>2</v>
      </c>
      <c r="K2516">
        <v>1</v>
      </c>
      <c r="L2516">
        <v>51716</v>
      </c>
      <c r="M2516" t="str">
        <f t="shared" si="366"/>
        <v>13</v>
      </c>
      <c r="N2516" t="s">
        <v>3323</v>
      </c>
      <c r="O2516" t="str">
        <f t="shared" si="370"/>
        <v>58511</v>
      </c>
      <c r="P2516" t="str">
        <f>"2100L"</f>
        <v>2100L</v>
      </c>
      <c r="Q2516" t="str">
        <f t="shared" si="369"/>
        <v>0101</v>
      </c>
      <c r="R2516">
        <v>2100</v>
      </c>
      <c r="S2516" t="str">
        <f t="shared" si="371"/>
        <v>5850</v>
      </c>
      <c r="T2516" t="s">
        <v>3679</v>
      </c>
      <c r="U2516" t="s">
        <v>59</v>
      </c>
    </row>
    <row r="2517" spans="1:21" ht="15" customHeight="1" x14ac:dyDescent="0.3">
      <c r="A2517" t="s">
        <v>179</v>
      </c>
      <c r="B2517" t="str">
        <f>"00058085"</f>
        <v>00058085</v>
      </c>
      <c r="C2517" t="s">
        <v>4266</v>
      </c>
      <c r="D2517" t="s">
        <v>2079</v>
      </c>
      <c r="E2517" t="str">
        <f>"00052286"</f>
        <v>00052286</v>
      </c>
      <c r="F2517">
        <v>0</v>
      </c>
      <c r="G2517" s="243">
        <v>37124</v>
      </c>
      <c r="H2517" t="s">
        <v>182</v>
      </c>
      <c r="I2517">
        <v>15</v>
      </c>
      <c r="J2517">
        <v>14</v>
      </c>
      <c r="K2517">
        <v>1</v>
      </c>
      <c r="L2517">
        <v>96460</v>
      </c>
      <c r="M2517" t="str">
        <f t="shared" si="366"/>
        <v>13</v>
      </c>
      <c r="N2517" t="s">
        <v>3323</v>
      </c>
      <c r="O2517" t="str">
        <f t="shared" si="370"/>
        <v>58511</v>
      </c>
      <c r="P2517" t="str">
        <f>"2300L"</f>
        <v>2300L</v>
      </c>
      <c r="Q2517" t="str">
        <f t="shared" si="369"/>
        <v>0101</v>
      </c>
      <c r="R2517">
        <v>2300</v>
      </c>
      <c r="S2517" t="str">
        <f t="shared" si="371"/>
        <v>5850</v>
      </c>
      <c r="T2517" t="s">
        <v>3679</v>
      </c>
      <c r="U2517" t="s">
        <v>59</v>
      </c>
    </row>
    <row r="2518" spans="1:21" ht="15" customHeight="1" x14ac:dyDescent="0.3">
      <c r="A2518" t="s">
        <v>179</v>
      </c>
      <c r="B2518" t="str">
        <f>"00058417"</f>
        <v>00058417</v>
      </c>
      <c r="C2518" t="s">
        <v>4262</v>
      </c>
      <c r="D2518" t="s">
        <v>3681</v>
      </c>
      <c r="E2518" t="str">
        <f>"00050372"</f>
        <v>00050372</v>
      </c>
      <c r="F2518">
        <v>0</v>
      </c>
      <c r="G2518" s="243">
        <v>40770</v>
      </c>
      <c r="H2518" t="s">
        <v>182</v>
      </c>
      <c r="I2518">
        <v>15</v>
      </c>
      <c r="J2518">
        <v>12</v>
      </c>
      <c r="K2518">
        <v>1</v>
      </c>
      <c r="L2518">
        <v>87431</v>
      </c>
      <c r="M2518" t="str">
        <f t="shared" si="366"/>
        <v>13</v>
      </c>
      <c r="N2518" t="s">
        <v>3323</v>
      </c>
      <c r="O2518" t="str">
        <f t="shared" si="370"/>
        <v>58511</v>
      </c>
      <c r="P2518" t="str">
        <f>"2100L"</f>
        <v>2100L</v>
      </c>
      <c r="Q2518" t="str">
        <f t="shared" si="369"/>
        <v>0101</v>
      </c>
      <c r="R2518">
        <v>2100</v>
      </c>
      <c r="S2518" t="str">
        <f t="shared" si="371"/>
        <v>5850</v>
      </c>
      <c r="T2518" t="s">
        <v>3679</v>
      </c>
      <c r="U2518" t="s">
        <v>59</v>
      </c>
    </row>
    <row r="2519" spans="1:21" ht="15" customHeight="1" x14ac:dyDescent="0.3">
      <c r="A2519" t="s">
        <v>179</v>
      </c>
      <c r="B2519" t="str">
        <f>"00058464"</f>
        <v>00058464</v>
      </c>
      <c r="C2519" t="s">
        <v>4288</v>
      </c>
      <c r="D2519" t="s">
        <v>5063</v>
      </c>
      <c r="E2519" t="str">
        <f>"00029072"</f>
        <v>00029072</v>
      </c>
      <c r="F2519">
        <v>1</v>
      </c>
      <c r="G2519" s="243">
        <v>37885</v>
      </c>
      <c r="H2519" t="s">
        <v>182</v>
      </c>
      <c r="I2519">
        <v>4</v>
      </c>
      <c r="J2519">
        <v>7</v>
      </c>
      <c r="K2519">
        <v>0.875</v>
      </c>
      <c r="L2519">
        <v>26633.25</v>
      </c>
      <c r="M2519" t="str">
        <f t="shared" si="366"/>
        <v>13</v>
      </c>
      <c r="N2519" t="s">
        <v>3323</v>
      </c>
      <c r="O2519" t="str">
        <f t="shared" si="370"/>
        <v>58511</v>
      </c>
      <c r="P2519" t="str">
        <f>"2200L"</f>
        <v>2200L</v>
      </c>
      <c r="Q2519" t="str">
        <f t="shared" si="369"/>
        <v>0101</v>
      </c>
      <c r="R2519">
        <v>2200</v>
      </c>
      <c r="S2519" t="str">
        <f t="shared" si="371"/>
        <v>5850</v>
      </c>
      <c r="T2519" t="s">
        <v>3679</v>
      </c>
      <c r="U2519" t="s">
        <v>59</v>
      </c>
    </row>
    <row r="2520" spans="1:21" ht="15" customHeight="1" x14ac:dyDescent="0.3">
      <c r="A2520" t="s">
        <v>179</v>
      </c>
      <c r="B2520" t="str">
        <f>"00059335"</f>
        <v>00059335</v>
      </c>
      <c r="C2520" t="s">
        <v>3798</v>
      </c>
      <c r="D2520" t="s">
        <v>2081</v>
      </c>
      <c r="E2520" t="str">
        <f>"00051762"</f>
        <v>00051762</v>
      </c>
      <c r="F2520">
        <v>0</v>
      </c>
      <c r="G2520" s="243">
        <v>36034</v>
      </c>
      <c r="H2520" t="s">
        <v>182</v>
      </c>
      <c r="I2520">
        <v>62</v>
      </c>
      <c r="J2520">
        <v>3</v>
      </c>
      <c r="K2520">
        <v>1</v>
      </c>
      <c r="L2520">
        <v>113000</v>
      </c>
      <c r="M2520" t="str">
        <f t="shared" si="366"/>
        <v>13</v>
      </c>
      <c r="N2520" t="s">
        <v>3323</v>
      </c>
      <c r="O2520" t="str">
        <f t="shared" si="370"/>
        <v>58511</v>
      </c>
      <c r="P2520" t="str">
        <f>"1501L"</f>
        <v>1501L</v>
      </c>
      <c r="Q2520" t="str">
        <f t="shared" si="369"/>
        <v>0101</v>
      </c>
      <c r="R2520">
        <v>1501</v>
      </c>
      <c r="S2520" t="str">
        <f t="shared" si="371"/>
        <v>5850</v>
      </c>
      <c r="T2520" t="s">
        <v>3679</v>
      </c>
      <c r="U2520" t="s">
        <v>59</v>
      </c>
    </row>
    <row r="2521" spans="1:21" ht="15" customHeight="1" x14ac:dyDescent="0.3">
      <c r="A2521" t="s">
        <v>179</v>
      </c>
      <c r="B2521" t="str">
        <f>"00061239"</f>
        <v>00061239</v>
      </c>
      <c r="C2521" t="s">
        <v>4262</v>
      </c>
      <c r="D2521" t="s">
        <v>3680</v>
      </c>
      <c r="E2521" t="str">
        <f>"00045267"</f>
        <v>00045267</v>
      </c>
      <c r="F2521">
        <v>0</v>
      </c>
      <c r="G2521" s="243">
        <v>39314</v>
      </c>
      <c r="H2521" t="s">
        <v>182</v>
      </c>
      <c r="I2521">
        <v>15</v>
      </c>
      <c r="J2521">
        <v>6</v>
      </c>
      <c r="K2521">
        <v>1</v>
      </c>
      <c r="L2521">
        <v>66078</v>
      </c>
      <c r="M2521" t="str">
        <f t="shared" si="366"/>
        <v>13</v>
      </c>
      <c r="N2521" t="s">
        <v>3323</v>
      </c>
      <c r="O2521" t="str">
        <f t="shared" ref="O2521:O2551" si="372">"58511"</f>
        <v>58511</v>
      </c>
      <c r="P2521" t="str">
        <f>"2100L"</f>
        <v>2100L</v>
      </c>
      <c r="Q2521" t="str">
        <f t="shared" si="369"/>
        <v>0101</v>
      </c>
      <c r="R2521">
        <v>2100</v>
      </c>
      <c r="S2521" t="str">
        <f t="shared" ref="S2521:S2551" si="373">"5850"</f>
        <v>5850</v>
      </c>
      <c r="T2521" t="s">
        <v>3679</v>
      </c>
      <c r="U2521" t="s">
        <v>59</v>
      </c>
    </row>
    <row r="2522" spans="1:21" ht="15" customHeight="1" x14ac:dyDescent="0.3">
      <c r="A2522" t="s">
        <v>179</v>
      </c>
      <c r="B2522" t="str">
        <f>"00061426"</f>
        <v>00061426</v>
      </c>
      <c r="C2522" t="s">
        <v>4260</v>
      </c>
      <c r="D2522" t="s">
        <v>2082</v>
      </c>
      <c r="E2522" t="str">
        <f>"00057297"</f>
        <v>00057297</v>
      </c>
      <c r="F2522">
        <v>0</v>
      </c>
      <c r="G2522" s="243">
        <v>40042</v>
      </c>
      <c r="H2522" t="s">
        <v>182</v>
      </c>
      <c r="I2522">
        <v>15</v>
      </c>
      <c r="J2522">
        <v>7</v>
      </c>
      <c r="K2522">
        <v>1</v>
      </c>
      <c r="L2522">
        <v>69132</v>
      </c>
      <c r="M2522" t="str">
        <f t="shared" si="366"/>
        <v>13</v>
      </c>
      <c r="N2522" t="s">
        <v>3323</v>
      </c>
      <c r="O2522" t="str">
        <f t="shared" si="372"/>
        <v>58511</v>
      </c>
      <c r="P2522" t="str">
        <f>"2100L"</f>
        <v>2100L</v>
      </c>
      <c r="Q2522" t="str">
        <f t="shared" si="369"/>
        <v>0101</v>
      </c>
      <c r="R2522">
        <v>2100</v>
      </c>
      <c r="S2522" t="str">
        <f t="shared" si="373"/>
        <v>5850</v>
      </c>
      <c r="T2522" t="s">
        <v>3679</v>
      </c>
      <c r="U2522" t="s">
        <v>59</v>
      </c>
    </row>
    <row r="2523" spans="1:21" ht="15" customHeight="1" x14ac:dyDescent="0.3">
      <c r="A2523" t="s">
        <v>179</v>
      </c>
      <c r="B2523" t="str">
        <f>"00062075"</f>
        <v>00062075</v>
      </c>
      <c r="C2523" t="s">
        <v>4271</v>
      </c>
      <c r="D2523" t="s">
        <v>1217</v>
      </c>
      <c r="E2523" t="str">
        <f>"00044622"</f>
        <v>00044622</v>
      </c>
      <c r="F2523">
        <v>0</v>
      </c>
      <c r="G2523" s="243">
        <v>39679</v>
      </c>
      <c r="H2523" t="s">
        <v>182</v>
      </c>
      <c r="J2523">
        <v>0</v>
      </c>
      <c r="K2523">
        <v>1</v>
      </c>
      <c r="L2523">
        <v>80147</v>
      </c>
      <c r="M2523" t="str">
        <f t="shared" si="366"/>
        <v>13</v>
      </c>
      <c r="N2523" t="s">
        <v>3323</v>
      </c>
      <c r="O2523" t="str">
        <f t="shared" si="372"/>
        <v>58511</v>
      </c>
      <c r="P2523" t="str">
        <f>"3030L"</f>
        <v>3030L</v>
      </c>
      <c r="Q2523" t="str">
        <f t="shared" si="369"/>
        <v>0101</v>
      </c>
      <c r="R2523">
        <v>3030</v>
      </c>
      <c r="S2523" t="str">
        <f t="shared" si="373"/>
        <v>5850</v>
      </c>
      <c r="T2523" t="s">
        <v>3679</v>
      </c>
      <c r="U2523" t="s">
        <v>59</v>
      </c>
    </row>
    <row r="2524" spans="1:21" ht="15" customHeight="1" x14ac:dyDescent="0.3">
      <c r="A2524" t="s">
        <v>179</v>
      </c>
      <c r="B2524" t="str">
        <f>"00062217"</f>
        <v>00062217</v>
      </c>
      <c r="C2524" t="s">
        <v>4274</v>
      </c>
      <c r="D2524" t="s">
        <v>5064</v>
      </c>
      <c r="E2524" t="str">
        <f>"00050467"</f>
        <v>00050467</v>
      </c>
      <c r="F2524">
        <v>0</v>
      </c>
      <c r="G2524" s="243">
        <v>39679</v>
      </c>
      <c r="H2524" t="s">
        <v>182</v>
      </c>
      <c r="I2524">
        <v>4</v>
      </c>
      <c r="J2524">
        <v>5</v>
      </c>
      <c r="K2524">
        <v>0.875</v>
      </c>
      <c r="L2524">
        <v>25239.37</v>
      </c>
      <c r="M2524" t="str">
        <f t="shared" si="366"/>
        <v>13</v>
      </c>
      <c r="N2524" t="s">
        <v>3323</v>
      </c>
      <c r="O2524" t="str">
        <f t="shared" si="372"/>
        <v>58511</v>
      </c>
      <c r="P2524" t="str">
        <f>"2200L"</f>
        <v>2200L</v>
      </c>
      <c r="Q2524" t="str">
        <f t="shared" si="369"/>
        <v>0101</v>
      </c>
      <c r="R2524">
        <v>2200</v>
      </c>
      <c r="S2524" t="str">
        <f t="shared" si="373"/>
        <v>5850</v>
      </c>
      <c r="T2524" t="s">
        <v>3679</v>
      </c>
      <c r="U2524" t="s">
        <v>59</v>
      </c>
    </row>
    <row r="2525" spans="1:21" ht="15" customHeight="1" x14ac:dyDescent="0.3">
      <c r="A2525" t="s">
        <v>179</v>
      </c>
      <c r="B2525" t="str">
        <f>"00062756"</f>
        <v>00062756</v>
      </c>
      <c r="C2525" t="s">
        <v>4274</v>
      </c>
      <c r="D2525" t="s">
        <v>5065</v>
      </c>
      <c r="E2525" t="str">
        <f>"00061503"</f>
        <v>00061503</v>
      </c>
      <c r="F2525">
        <v>0</v>
      </c>
      <c r="G2525" s="243">
        <v>41161</v>
      </c>
      <c r="H2525" t="s">
        <v>182</v>
      </c>
      <c r="I2525">
        <v>4</v>
      </c>
      <c r="J2525">
        <v>4</v>
      </c>
      <c r="K2525">
        <v>0.875</v>
      </c>
      <c r="L2525">
        <v>24543.75</v>
      </c>
      <c r="M2525" t="str">
        <f t="shared" si="366"/>
        <v>13</v>
      </c>
      <c r="N2525" t="s">
        <v>3323</v>
      </c>
      <c r="O2525" t="str">
        <f t="shared" si="372"/>
        <v>58511</v>
      </c>
      <c r="P2525" t="str">
        <f>"2200L"</f>
        <v>2200L</v>
      </c>
      <c r="Q2525" t="str">
        <f t="shared" si="369"/>
        <v>0101</v>
      </c>
      <c r="R2525">
        <v>2200</v>
      </c>
      <c r="S2525" t="str">
        <f t="shared" si="373"/>
        <v>5850</v>
      </c>
      <c r="T2525" t="s">
        <v>3679</v>
      </c>
      <c r="U2525" t="s">
        <v>59</v>
      </c>
    </row>
    <row r="2526" spans="1:21" ht="15" customHeight="1" x14ac:dyDescent="0.3">
      <c r="A2526" t="s">
        <v>179</v>
      </c>
      <c r="B2526" t="str">
        <f>"00063031"</f>
        <v>00063031</v>
      </c>
      <c r="C2526" t="s">
        <v>4288</v>
      </c>
      <c r="D2526" t="s">
        <v>5066</v>
      </c>
      <c r="E2526" t="str">
        <f>"00052156"</f>
        <v>00052156</v>
      </c>
      <c r="F2526">
        <v>0</v>
      </c>
      <c r="G2526" s="243">
        <v>39832</v>
      </c>
      <c r="H2526" t="s">
        <v>182</v>
      </c>
      <c r="I2526">
        <v>4</v>
      </c>
      <c r="J2526">
        <v>3</v>
      </c>
      <c r="K2526">
        <v>0.875</v>
      </c>
      <c r="L2526">
        <v>23848.12</v>
      </c>
      <c r="M2526" t="str">
        <f t="shared" si="366"/>
        <v>13</v>
      </c>
      <c r="N2526" t="s">
        <v>3323</v>
      </c>
      <c r="O2526" t="str">
        <f t="shared" si="372"/>
        <v>58511</v>
      </c>
      <c r="P2526" t="str">
        <f>"2200L"</f>
        <v>2200L</v>
      </c>
      <c r="Q2526" t="str">
        <f t="shared" si="369"/>
        <v>0101</v>
      </c>
      <c r="R2526">
        <v>2200</v>
      </c>
      <c r="S2526" t="str">
        <f t="shared" si="373"/>
        <v>5850</v>
      </c>
      <c r="T2526" t="s">
        <v>3679</v>
      </c>
      <c r="U2526" t="s">
        <v>59</v>
      </c>
    </row>
    <row r="2527" spans="1:21" ht="15" customHeight="1" x14ac:dyDescent="0.3">
      <c r="A2527" t="s">
        <v>179</v>
      </c>
      <c r="B2527" t="str">
        <f>"00065838"</f>
        <v>00065838</v>
      </c>
      <c r="C2527" t="s">
        <v>4253</v>
      </c>
      <c r="D2527" t="s">
        <v>1296</v>
      </c>
      <c r="E2527" t="str">
        <f>"00053418"</f>
        <v>00053418</v>
      </c>
      <c r="F2527">
        <v>0</v>
      </c>
      <c r="G2527" s="243">
        <v>34209</v>
      </c>
      <c r="H2527" t="s">
        <v>182</v>
      </c>
      <c r="I2527">
        <v>15</v>
      </c>
      <c r="J2527">
        <v>15</v>
      </c>
      <c r="K2527">
        <v>1</v>
      </c>
      <c r="L2527">
        <v>98285</v>
      </c>
      <c r="M2527" t="str">
        <f t="shared" si="366"/>
        <v>13</v>
      </c>
      <c r="N2527" t="s">
        <v>3370</v>
      </c>
      <c r="O2527" t="str">
        <f t="shared" si="372"/>
        <v>58511</v>
      </c>
      <c r="P2527" t="str">
        <f>"2100L"</f>
        <v>2100L</v>
      </c>
      <c r="Q2527" t="str">
        <f t="shared" si="369"/>
        <v>0101</v>
      </c>
      <c r="R2527">
        <v>2100</v>
      </c>
      <c r="S2527" t="str">
        <f t="shared" si="373"/>
        <v>5850</v>
      </c>
      <c r="T2527" t="s">
        <v>3679</v>
      </c>
      <c r="U2527" t="s">
        <v>59</v>
      </c>
    </row>
    <row r="2528" spans="1:21" ht="15" customHeight="1" x14ac:dyDescent="0.3">
      <c r="A2528" t="s">
        <v>179</v>
      </c>
      <c r="B2528" t="str">
        <f>"00065839"</f>
        <v>00065839</v>
      </c>
      <c r="C2528" t="s">
        <v>4253</v>
      </c>
      <c r="D2528" t="s">
        <v>2085</v>
      </c>
      <c r="E2528" t="str">
        <f>"00053467"</f>
        <v>00053467</v>
      </c>
      <c r="F2528">
        <v>0</v>
      </c>
      <c r="G2528" s="243">
        <v>41148</v>
      </c>
      <c r="H2528" t="s">
        <v>182</v>
      </c>
      <c r="I2528">
        <v>15</v>
      </c>
      <c r="J2528">
        <v>12</v>
      </c>
      <c r="K2528">
        <v>1</v>
      </c>
      <c r="L2528">
        <v>89887</v>
      </c>
      <c r="M2528" t="str">
        <f t="shared" si="366"/>
        <v>13</v>
      </c>
      <c r="N2528" t="s">
        <v>3370</v>
      </c>
      <c r="O2528" t="str">
        <f t="shared" si="372"/>
        <v>58511</v>
      </c>
      <c r="P2528" t="str">
        <f>"2100L"</f>
        <v>2100L</v>
      </c>
      <c r="Q2528" t="str">
        <f t="shared" si="369"/>
        <v>0101</v>
      </c>
      <c r="R2528">
        <v>2100</v>
      </c>
      <c r="S2528" t="str">
        <f t="shared" si="373"/>
        <v>5850</v>
      </c>
      <c r="T2528" t="s">
        <v>3679</v>
      </c>
      <c r="U2528" t="s">
        <v>59</v>
      </c>
    </row>
    <row r="2529" spans="1:21" ht="15" customHeight="1" x14ac:dyDescent="0.3">
      <c r="A2529" t="s">
        <v>179</v>
      </c>
      <c r="B2529" t="str">
        <f>"00065840"</f>
        <v>00065840</v>
      </c>
      <c r="C2529" t="s">
        <v>4253</v>
      </c>
      <c r="D2529" t="s">
        <v>3682</v>
      </c>
      <c r="E2529" t="str">
        <f>"00053683"</f>
        <v>00053683</v>
      </c>
      <c r="F2529">
        <v>0</v>
      </c>
      <c r="G2529" s="243">
        <v>40117</v>
      </c>
      <c r="H2529" t="s">
        <v>182</v>
      </c>
      <c r="I2529">
        <v>15</v>
      </c>
      <c r="J2529">
        <v>14</v>
      </c>
      <c r="K2529">
        <v>1</v>
      </c>
      <c r="L2529">
        <v>102160</v>
      </c>
      <c r="M2529" t="str">
        <f t="shared" ref="M2529:M2584" si="374">"13"</f>
        <v>13</v>
      </c>
      <c r="N2529" t="s">
        <v>3323</v>
      </c>
      <c r="O2529" t="str">
        <f t="shared" si="372"/>
        <v>58511</v>
      </c>
      <c r="P2529" t="str">
        <f>"2100L"</f>
        <v>2100L</v>
      </c>
      <c r="Q2529" t="str">
        <f t="shared" si="369"/>
        <v>0101</v>
      </c>
      <c r="R2529">
        <v>2100</v>
      </c>
      <c r="S2529" t="str">
        <f t="shared" si="373"/>
        <v>5850</v>
      </c>
      <c r="T2529" t="s">
        <v>3679</v>
      </c>
      <c r="U2529" t="s">
        <v>59</v>
      </c>
    </row>
    <row r="2530" spans="1:21" ht="15" customHeight="1" x14ac:dyDescent="0.3">
      <c r="A2530" t="s">
        <v>179</v>
      </c>
      <c r="B2530" t="str">
        <f>"00065841"</f>
        <v>00065841</v>
      </c>
      <c r="C2530" t="s">
        <v>4254</v>
      </c>
      <c r="H2530" t="s">
        <v>170</v>
      </c>
      <c r="I2530">
        <v>15</v>
      </c>
      <c r="J2530">
        <v>1</v>
      </c>
      <c r="K2530">
        <v>1</v>
      </c>
      <c r="L2530">
        <v>56693</v>
      </c>
      <c r="M2530" t="str">
        <f t="shared" si="374"/>
        <v>13</v>
      </c>
      <c r="N2530" t="s">
        <v>3323</v>
      </c>
      <c r="O2530" t="str">
        <f t="shared" si="372"/>
        <v>58511</v>
      </c>
      <c r="P2530" t="str">
        <f>"2100L"</f>
        <v>2100L</v>
      </c>
      <c r="Q2530" t="str">
        <f t="shared" si="369"/>
        <v>0101</v>
      </c>
      <c r="R2530">
        <v>2100</v>
      </c>
      <c r="S2530" t="str">
        <f t="shared" si="373"/>
        <v>5850</v>
      </c>
      <c r="T2530" t="s">
        <v>3679</v>
      </c>
      <c r="U2530" t="s">
        <v>59</v>
      </c>
    </row>
    <row r="2531" spans="1:21" ht="15" customHeight="1" x14ac:dyDescent="0.3">
      <c r="A2531" t="s">
        <v>179</v>
      </c>
      <c r="B2531" t="str">
        <f>"00066568"</f>
        <v>00066568</v>
      </c>
      <c r="C2531" t="s">
        <v>4274</v>
      </c>
      <c r="H2531" t="s">
        <v>170</v>
      </c>
      <c r="I2531">
        <v>4</v>
      </c>
      <c r="J2531">
        <v>1</v>
      </c>
      <c r="K2531">
        <v>1</v>
      </c>
      <c r="L2531">
        <v>25662</v>
      </c>
      <c r="M2531" t="str">
        <f t="shared" si="374"/>
        <v>13</v>
      </c>
      <c r="N2531" t="s">
        <v>3323</v>
      </c>
      <c r="O2531" t="str">
        <f t="shared" si="372"/>
        <v>58511</v>
      </c>
      <c r="P2531" t="str">
        <f>"2100L"</f>
        <v>2100L</v>
      </c>
      <c r="Q2531" t="str">
        <f t="shared" si="369"/>
        <v>0101</v>
      </c>
      <c r="R2531">
        <v>2100</v>
      </c>
      <c r="S2531" t="str">
        <f t="shared" si="373"/>
        <v>5850</v>
      </c>
      <c r="T2531" t="s">
        <v>3679</v>
      </c>
      <c r="U2531" t="s">
        <v>59</v>
      </c>
    </row>
    <row r="2532" spans="1:21" ht="15" customHeight="1" x14ac:dyDescent="0.3">
      <c r="A2532" t="s">
        <v>179</v>
      </c>
      <c r="B2532" t="str">
        <f>"00066967"</f>
        <v>00066967</v>
      </c>
      <c r="C2532" t="s">
        <v>200</v>
      </c>
      <c r="D2532" t="s">
        <v>2087</v>
      </c>
      <c r="E2532" t="str">
        <f>"00014850"</f>
        <v>00014850</v>
      </c>
      <c r="F2532">
        <v>0</v>
      </c>
      <c r="G2532" s="243">
        <v>40042</v>
      </c>
      <c r="H2532" t="s">
        <v>182</v>
      </c>
      <c r="I2532">
        <v>15</v>
      </c>
      <c r="J2532">
        <v>12</v>
      </c>
      <c r="K2532">
        <v>1</v>
      </c>
      <c r="L2532">
        <v>87431</v>
      </c>
      <c r="M2532" t="str">
        <f t="shared" si="374"/>
        <v>13</v>
      </c>
      <c r="N2532" t="s">
        <v>3323</v>
      </c>
      <c r="O2532" t="str">
        <f t="shared" si="372"/>
        <v>58511</v>
      </c>
      <c r="P2532" t="str">
        <f>"3030L"</f>
        <v>3030L</v>
      </c>
      <c r="Q2532" t="str">
        <f t="shared" si="369"/>
        <v>0101</v>
      </c>
      <c r="R2532">
        <v>3030</v>
      </c>
      <c r="S2532" t="str">
        <f t="shared" si="373"/>
        <v>5850</v>
      </c>
      <c r="T2532" t="s">
        <v>3679</v>
      </c>
      <c r="U2532" t="s">
        <v>59</v>
      </c>
    </row>
    <row r="2533" spans="1:21" ht="15" customHeight="1" x14ac:dyDescent="0.3">
      <c r="A2533" t="s">
        <v>179</v>
      </c>
      <c r="B2533" t="str">
        <f>"00068163"</f>
        <v>00068163</v>
      </c>
      <c r="C2533" t="s">
        <v>4266</v>
      </c>
      <c r="D2533" t="s">
        <v>2088</v>
      </c>
      <c r="E2533" t="str">
        <f>"00058053"</f>
        <v>00058053</v>
      </c>
      <c r="F2533">
        <v>0</v>
      </c>
      <c r="G2533" s="243">
        <v>40042</v>
      </c>
      <c r="H2533" t="s">
        <v>182</v>
      </c>
      <c r="I2533">
        <v>15</v>
      </c>
      <c r="J2533">
        <v>4</v>
      </c>
      <c r="K2533">
        <v>1</v>
      </c>
      <c r="L2533">
        <v>54725</v>
      </c>
      <c r="M2533" t="str">
        <f t="shared" si="374"/>
        <v>13</v>
      </c>
      <c r="N2533" t="s">
        <v>3323</v>
      </c>
      <c r="O2533" t="str">
        <f t="shared" si="372"/>
        <v>58511</v>
      </c>
      <c r="P2533" t="str">
        <f>"2300L"</f>
        <v>2300L</v>
      </c>
      <c r="Q2533" t="str">
        <f t="shared" si="369"/>
        <v>0101</v>
      </c>
      <c r="R2533">
        <v>2300</v>
      </c>
      <c r="S2533" t="str">
        <f t="shared" si="373"/>
        <v>5850</v>
      </c>
      <c r="T2533" t="s">
        <v>3679</v>
      </c>
      <c r="U2533" t="s">
        <v>59</v>
      </c>
    </row>
    <row r="2534" spans="1:21" ht="15" customHeight="1" x14ac:dyDescent="0.3">
      <c r="A2534" t="s">
        <v>179</v>
      </c>
      <c r="B2534" t="str">
        <f>"00072597"</f>
        <v>00072597</v>
      </c>
      <c r="C2534" t="s">
        <v>4274</v>
      </c>
      <c r="D2534" t="s">
        <v>5067</v>
      </c>
      <c r="E2534" t="str">
        <f>"00064883"</f>
        <v>00064883</v>
      </c>
      <c r="F2534">
        <v>0</v>
      </c>
      <c r="G2534" s="243">
        <v>40644</v>
      </c>
      <c r="H2534" t="s">
        <v>182</v>
      </c>
      <c r="I2534">
        <v>4</v>
      </c>
      <c r="J2534">
        <v>3</v>
      </c>
      <c r="K2534">
        <v>0.71</v>
      </c>
      <c r="L2534">
        <v>23848.12</v>
      </c>
      <c r="M2534" t="str">
        <f t="shared" si="374"/>
        <v>13</v>
      </c>
      <c r="N2534" t="s">
        <v>3323</v>
      </c>
      <c r="O2534" t="str">
        <f t="shared" si="372"/>
        <v>58511</v>
      </c>
      <c r="P2534" t="str">
        <f t="shared" ref="P2534:P2542" si="375">"2100L"</f>
        <v>2100L</v>
      </c>
      <c r="Q2534" t="str">
        <f t="shared" si="369"/>
        <v>0101</v>
      </c>
      <c r="R2534">
        <v>2100</v>
      </c>
      <c r="S2534" t="str">
        <f t="shared" si="373"/>
        <v>5850</v>
      </c>
      <c r="T2534" t="s">
        <v>3679</v>
      </c>
      <c r="U2534" t="s">
        <v>59</v>
      </c>
    </row>
    <row r="2535" spans="1:21" ht="15" customHeight="1" x14ac:dyDescent="0.3">
      <c r="A2535" t="s">
        <v>179</v>
      </c>
      <c r="B2535" t="str">
        <f>"00072616"</f>
        <v>00072616</v>
      </c>
      <c r="C2535" t="s">
        <v>4326</v>
      </c>
      <c r="D2535" t="s">
        <v>5068</v>
      </c>
      <c r="E2535" t="str">
        <f>"00053754"</f>
        <v>00053754</v>
      </c>
      <c r="F2535">
        <v>0</v>
      </c>
      <c r="G2535" s="243">
        <v>40637</v>
      </c>
      <c r="H2535" t="s">
        <v>182</v>
      </c>
      <c r="I2535">
        <v>4</v>
      </c>
      <c r="J2535">
        <v>5</v>
      </c>
      <c r="K2535">
        <v>0.71</v>
      </c>
      <c r="L2535">
        <v>25239.37</v>
      </c>
      <c r="M2535" t="str">
        <f t="shared" si="374"/>
        <v>13</v>
      </c>
      <c r="N2535" t="s">
        <v>3323</v>
      </c>
      <c r="O2535" t="str">
        <f t="shared" si="372"/>
        <v>58511</v>
      </c>
      <c r="P2535" t="str">
        <f t="shared" si="375"/>
        <v>2100L</v>
      </c>
      <c r="Q2535" t="str">
        <f t="shared" si="369"/>
        <v>0101</v>
      </c>
      <c r="R2535">
        <v>2100</v>
      </c>
      <c r="S2535" t="str">
        <f t="shared" si="373"/>
        <v>5850</v>
      </c>
      <c r="T2535" t="s">
        <v>3679</v>
      </c>
      <c r="U2535" t="s">
        <v>59</v>
      </c>
    </row>
    <row r="2536" spans="1:21" ht="15" customHeight="1" x14ac:dyDescent="0.3">
      <c r="A2536" t="s">
        <v>179</v>
      </c>
      <c r="B2536" t="str">
        <f>"00072773"</f>
        <v>00072773</v>
      </c>
      <c r="C2536" t="s">
        <v>4253</v>
      </c>
      <c r="D2536" t="s">
        <v>646</v>
      </c>
      <c r="E2536" t="str">
        <f>"00051775"</f>
        <v>00051775</v>
      </c>
      <c r="F2536">
        <v>0</v>
      </c>
      <c r="G2536" s="243">
        <v>36761</v>
      </c>
      <c r="H2536" t="s">
        <v>182</v>
      </c>
      <c r="I2536">
        <v>15</v>
      </c>
      <c r="J2536">
        <v>12</v>
      </c>
      <c r="K2536">
        <v>1</v>
      </c>
      <c r="L2536">
        <v>87431</v>
      </c>
      <c r="M2536" t="str">
        <f t="shared" si="374"/>
        <v>13</v>
      </c>
      <c r="N2536" t="s">
        <v>3370</v>
      </c>
      <c r="O2536" t="str">
        <f t="shared" si="372"/>
        <v>58511</v>
      </c>
      <c r="P2536" t="str">
        <f t="shared" si="375"/>
        <v>2100L</v>
      </c>
      <c r="Q2536" t="str">
        <f t="shared" si="369"/>
        <v>0101</v>
      </c>
      <c r="R2536">
        <v>2100</v>
      </c>
      <c r="S2536" t="str">
        <f t="shared" si="373"/>
        <v>5850</v>
      </c>
      <c r="T2536" t="s">
        <v>3679</v>
      </c>
      <c r="U2536" t="s">
        <v>59</v>
      </c>
    </row>
    <row r="2537" spans="1:21" ht="15" customHeight="1" x14ac:dyDescent="0.3">
      <c r="A2537" t="s">
        <v>179</v>
      </c>
      <c r="B2537" t="str">
        <f>"00072774"</f>
        <v>00072774</v>
      </c>
      <c r="C2537" t="s">
        <v>4263</v>
      </c>
      <c r="D2537" t="s">
        <v>2089</v>
      </c>
      <c r="E2537" t="str">
        <f>"00045054"</f>
        <v>00045054</v>
      </c>
      <c r="F2537">
        <v>0</v>
      </c>
      <c r="G2537" s="243">
        <v>36034</v>
      </c>
      <c r="H2537" t="s">
        <v>182</v>
      </c>
      <c r="I2537">
        <v>15</v>
      </c>
      <c r="J2537">
        <v>14</v>
      </c>
      <c r="K2537">
        <v>1</v>
      </c>
      <c r="L2537">
        <v>96460</v>
      </c>
      <c r="M2537" t="str">
        <f t="shared" si="374"/>
        <v>13</v>
      </c>
      <c r="N2537" t="s">
        <v>3323</v>
      </c>
      <c r="O2537" t="str">
        <f t="shared" si="372"/>
        <v>58511</v>
      </c>
      <c r="P2537" t="str">
        <f t="shared" si="375"/>
        <v>2100L</v>
      </c>
      <c r="Q2537" t="str">
        <f t="shared" si="369"/>
        <v>0101</v>
      </c>
      <c r="R2537">
        <v>2100</v>
      </c>
      <c r="S2537" t="str">
        <f t="shared" si="373"/>
        <v>5850</v>
      </c>
      <c r="T2537" t="s">
        <v>3679</v>
      </c>
      <c r="U2537" t="s">
        <v>59</v>
      </c>
    </row>
    <row r="2538" spans="1:21" ht="15" customHeight="1" x14ac:dyDescent="0.3">
      <c r="A2538" t="s">
        <v>179</v>
      </c>
      <c r="B2538" t="str">
        <f>"00072775"</f>
        <v>00072775</v>
      </c>
      <c r="C2538" t="s">
        <v>4262</v>
      </c>
      <c r="D2538" t="s">
        <v>2090</v>
      </c>
      <c r="E2538" t="str">
        <f>"00053133"</f>
        <v>00053133</v>
      </c>
      <c r="F2538">
        <v>0</v>
      </c>
      <c r="G2538" s="243">
        <v>31699</v>
      </c>
      <c r="H2538" t="s">
        <v>182</v>
      </c>
      <c r="I2538">
        <v>15</v>
      </c>
      <c r="J2538">
        <v>16</v>
      </c>
      <c r="K2538">
        <v>1</v>
      </c>
      <c r="L2538">
        <v>106540</v>
      </c>
      <c r="M2538" t="str">
        <f t="shared" si="374"/>
        <v>13</v>
      </c>
      <c r="N2538" t="s">
        <v>3323</v>
      </c>
      <c r="O2538" t="str">
        <f t="shared" si="372"/>
        <v>58511</v>
      </c>
      <c r="P2538" t="str">
        <f t="shared" si="375"/>
        <v>2100L</v>
      </c>
      <c r="Q2538" t="str">
        <f t="shared" si="369"/>
        <v>0101</v>
      </c>
      <c r="R2538">
        <v>2100</v>
      </c>
      <c r="S2538" t="str">
        <f t="shared" si="373"/>
        <v>5850</v>
      </c>
      <c r="T2538" t="s">
        <v>3679</v>
      </c>
      <c r="U2538" t="s">
        <v>59</v>
      </c>
    </row>
    <row r="2539" spans="1:21" ht="15" customHeight="1" x14ac:dyDescent="0.3">
      <c r="A2539" t="s">
        <v>179</v>
      </c>
      <c r="B2539" t="str">
        <f>"00072776"</f>
        <v>00072776</v>
      </c>
      <c r="C2539" t="s">
        <v>4272</v>
      </c>
      <c r="D2539" t="s">
        <v>2091</v>
      </c>
      <c r="E2539" t="str">
        <f>"00047881"</f>
        <v>00047881</v>
      </c>
      <c r="F2539">
        <v>0</v>
      </c>
      <c r="G2539" s="243">
        <v>32387</v>
      </c>
      <c r="H2539" t="s">
        <v>182</v>
      </c>
      <c r="I2539">
        <v>15</v>
      </c>
      <c r="J2539">
        <v>16</v>
      </c>
      <c r="K2539">
        <v>1</v>
      </c>
      <c r="L2539">
        <v>100839</v>
      </c>
      <c r="M2539" t="str">
        <f t="shared" si="374"/>
        <v>13</v>
      </c>
      <c r="N2539" t="s">
        <v>3323</v>
      </c>
      <c r="O2539" t="str">
        <f t="shared" si="372"/>
        <v>58511</v>
      </c>
      <c r="P2539" t="str">
        <f t="shared" si="375"/>
        <v>2100L</v>
      </c>
      <c r="Q2539" t="str">
        <f t="shared" si="369"/>
        <v>0101</v>
      </c>
      <c r="R2539">
        <v>2100</v>
      </c>
      <c r="S2539" t="str">
        <f t="shared" si="373"/>
        <v>5850</v>
      </c>
      <c r="T2539" t="s">
        <v>3679</v>
      </c>
      <c r="U2539" t="s">
        <v>59</v>
      </c>
    </row>
    <row r="2540" spans="1:21" ht="15" customHeight="1" x14ac:dyDescent="0.3">
      <c r="A2540" t="s">
        <v>179</v>
      </c>
      <c r="B2540" t="str">
        <f>"00072777"</f>
        <v>00072777</v>
      </c>
      <c r="C2540" t="s">
        <v>4260</v>
      </c>
      <c r="D2540" t="s">
        <v>1116</v>
      </c>
      <c r="E2540" t="str">
        <f>"00045417"</f>
        <v>00045417</v>
      </c>
      <c r="F2540">
        <v>0</v>
      </c>
      <c r="G2540" s="243">
        <v>39314</v>
      </c>
      <c r="H2540" t="s">
        <v>182</v>
      </c>
      <c r="I2540">
        <v>15</v>
      </c>
      <c r="J2540">
        <v>11</v>
      </c>
      <c r="K2540">
        <v>1</v>
      </c>
      <c r="L2540">
        <v>81335</v>
      </c>
      <c r="M2540" t="str">
        <f t="shared" si="374"/>
        <v>13</v>
      </c>
      <c r="N2540" t="s">
        <v>3323</v>
      </c>
      <c r="O2540" t="str">
        <f t="shared" si="372"/>
        <v>58511</v>
      </c>
      <c r="P2540" t="str">
        <f t="shared" si="375"/>
        <v>2100L</v>
      </c>
      <c r="Q2540" t="str">
        <f t="shared" si="369"/>
        <v>0101</v>
      </c>
      <c r="R2540">
        <v>2100</v>
      </c>
      <c r="S2540" t="str">
        <f t="shared" si="373"/>
        <v>5850</v>
      </c>
      <c r="T2540" t="s">
        <v>3679</v>
      </c>
      <c r="U2540" t="s">
        <v>59</v>
      </c>
    </row>
    <row r="2541" spans="1:21" ht="15" customHeight="1" x14ac:dyDescent="0.3">
      <c r="A2541" t="s">
        <v>179</v>
      </c>
      <c r="B2541" t="str">
        <f>"00072778"</f>
        <v>00072778</v>
      </c>
      <c r="C2541" t="s">
        <v>4266</v>
      </c>
      <c r="D2541" t="s">
        <v>2093</v>
      </c>
      <c r="E2541" t="str">
        <f>"00053662"</f>
        <v>00053662</v>
      </c>
      <c r="F2541">
        <v>0</v>
      </c>
      <c r="G2541" s="243">
        <v>36761</v>
      </c>
      <c r="H2541" t="s">
        <v>182</v>
      </c>
      <c r="I2541">
        <v>15</v>
      </c>
      <c r="J2541">
        <v>12</v>
      </c>
      <c r="K2541">
        <v>1</v>
      </c>
      <c r="L2541">
        <v>87431</v>
      </c>
      <c r="M2541" t="str">
        <f t="shared" si="374"/>
        <v>13</v>
      </c>
      <c r="N2541" t="s">
        <v>3323</v>
      </c>
      <c r="O2541" t="str">
        <f t="shared" si="372"/>
        <v>58511</v>
      </c>
      <c r="P2541" t="str">
        <f t="shared" si="375"/>
        <v>2100L</v>
      </c>
      <c r="Q2541" t="str">
        <f t="shared" si="369"/>
        <v>0101</v>
      </c>
      <c r="R2541">
        <v>2100</v>
      </c>
      <c r="S2541" t="str">
        <f t="shared" si="373"/>
        <v>5850</v>
      </c>
      <c r="T2541" t="s">
        <v>3679</v>
      </c>
      <c r="U2541" t="s">
        <v>59</v>
      </c>
    </row>
    <row r="2542" spans="1:21" ht="15" customHeight="1" x14ac:dyDescent="0.3">
      <c r="A2542" t="s">
        <v>179</v>
      </c>
      <c r="B2542" t="str">
        <f>"00074280"</f>
        <v>00074280</v>
      </c>
      <c r="C2542" t="s">
        <v>4292</v>
      </c>
      <c r="D2542" t="s">
        <v>5069</v>
      </c>
      <c r="E2542" t="str">
        <f>"00070515"</f>
        <v>00070515</v>
      </c>
      <c r="F2542">
        <v>0</v>
      </c>
      <c r="G2542" s="243">
        <v>41176</v>
      </c>
      <c r="H2542" t="s">
        <v>182</v>
      </c>
      <c r="I2542">
        <v>4</v>
      </c>
      <c r="J2542">
        <v>8</v>
      </c>
      <c r="K2542">
        <v>0.71</v>
      </c>
      <c r="L2542">
        <v>27329.75</v>
      </c>
      <c r="M2542" t="str">
        <f t="shared" si="374"/>
        <v>13</v>
      </c>
      <c r="N2542" t="s">
        <v>3323</v>
      </c>
      <c r="O2542" t="str">
        <f t="shared" si="372"/>
        <v>58511</v>
      </c>
      <c r="P2542" t="str">
        <f t="shared" si="375"/>
        <v>2100L</v>
      </c>
      <c r="Q2542" t="str">
        <f t="shared" si="369"/>
        <v>0101</v>
      </c>
      <c r="R2542">
        <v>2100</v>
      </c>
      <c r="S2542" t="str">
        <f t="shared" si="373"/>
        <v>5850</v>
      </c>
      <c r="T2542" t="s">
        <v>3679</v>
      </c>
      <c r="U2542" t="s">
        <v>59</v>
      </c>
    </row>
    <row r="2543" spans="1:21" ht="15" customHeight="1" x14ac:dyDescent="0.3">
      <c r="A2543" t="s">
        <v>179</v>
      </c>
      <c r="B2543" t="str">
        <f>"00074283"</f>
        <v>00074283</v>
      </c>
      <c r="C2543" t="s">
        <v>4260</v>
      </c>
      <c r="D2543" t="s">
        <v>3683</v>
      </c>
      <c r="E2543" t="str">
        <f>"00065637"</f>
        <v>00065637</v>
      </c>
      <c r="F2543">
        <v>0</v>
      </c>
      <c r="G2543" s="243">
        <v>40755</v>
      </c>
      <c r="H2543" t="s">
        <v>182</v>
      </c>
      <c r="I2543">
        <v>15</v>
      </c>
      <c r="J2543">
        <v>2</v>
      </c>
      <c r="K2543">
        <v>1</v>
      </c>
      <c r="L2543">
        <v>51716</v>
      </c>
      <c r="M2543" t="str">
        <f t="shared" si="374"/>
        <v>13</v>
      </c>
      <c r="N2543" t="s">
        <v>3323</v>
      </c>
      <c r="O2543" t="str">
        <f t="shared" si="372"/>
        <v>58511</v>
      </c>
      <c r="P2543" t="str">
        <f>"3030L"</f>
        <v>3030L</v>
      </c>
      <c r="Q2543" t="str">
        <f t="shared" si="369"/>
        <v>0101</v>
      </c>
      <c r="R2543">
        <v>3030</v>
      </c>
      <c r="S2543" t="str">
        <f t="shared" si="373"/>
        <v>5850</v>
      </c>
      <c r="T2543" t="s">
        <v>3679</v>
      </c>
      <c r="U2543" t="s">
        <v>59</v>
      </c>
    </row>
    <row r="2544" spans="1:21" ht="15" customHeight="1" x14ac:dyDescent="0.3">
      <c r="A2544" t="s">
        <v>179</v>
      </c>
      <c r="B2544" t="str">
        <f>"00076286"</f>
        <v>00076286</v>
      </c>
      <c r="C2544" t="s">
        <v>4262</v>
      </c>
      <c r="D2544" t="s">
        <v>5070</v>
      </c>
      <c r="E2544" t="str">
        <f>"00065738"</f>
        <v>00065738</v>
      </c>
      <c r="F2544">
        <v>0</v>
      </c>
      <c r="G2544" s="243">
        <v>40755</v>
      </c>
      <c r="H2544" t="s">
        <v>182</v>
      </c>
      <c r="I2544">
        <v>15</v>
      </c>
      <c r="J2544">
        <v>1</v>
      </c>
      <c r="K2544">
        <v>1</v>
      </c>
      <c r="L2544">
        <v>51539</v>
      </c>
      <c r="M2544" t="str">
        <f t="shared" si="374"/>
        <v>13</v>
      </c>
      <c r="N2544" t="s">
        <v>3323</v>
      </c>
      <c r="O2544" t="str">
        <f t="shared" si="372"/>
        <v>58511</v>
      </c>
      <c r="P2544" t="str">
        <f>"2100L"</f>
        <v>2100L</v>
      </c>
      <c r="Q2544" t="str">
        <f t="shared" si="369"/>
        <v>0101</v>
      </c>
      <c r="R2544">
        <v>2100</v>
      </c>
      <c r="S2544" t="str">
        <f t="shared" si="373"/>
        <v>5850</v>
      </c>
      <c r="T2544" t="s">
        <v>3679</v>
      </c>
      <c r="U2544" t="s">
        <v>59</v>
      </c>
    </row>
    <row r="2545" spans="1:21" ht="15" customHeight="1" x14ac:dyDescent="0.3">
      <c r="A2545" t="s">
        <v>179</v>
      </c>
      <c r="B2545" t="str">
        <f>"00076287"</f>
        <v>00076287</v>
      </c>
      <c r="C2545" t="s">
        <v>5071</v>
      </c>
      <c r="D2545" t="s">
        <v>5072</v>
      </c>
      <c r="E2545" t="str">
        <f>"00052834"</f>
        <v>00052834</v>
      </c>
      <c r="F2545">
        <v>0</v>
      </c>
      <c r="G2545" s="243">
        <v>36034</v>
      </c>
      <c r="H2545" t="s">
        <v>182</v>
      </c>
      <c r="I2545">
        <v>6</v>
      </c>
      <c r="J2545">
        <v>9</v>
      </c>
      <c r="K2545">
        <v>1</v>
      </c>
      <c r="L2545">
        <v>39510</v>
      </c>
      <c r="M2545" t="str">
        <f t="shared" si="374"/>
        <v>13</v>
      </c>
      <c r="N2545" t="s">
        <v>3323</v>
      </c>
      <c r="O2545" t="str">
        <f t="shared" si="372"/>
        <v>58511</v>
      </c>
      <c r="P2545" t="str">
        <f>"2100L"</f>
        <v>2100L</v>
      </c>
      <c r="Q2545" t="str">
        <f t="shared" ref="Q2545:Q2602" si="376">"0101"</f>
        <v>0101</v>
      </c>
      <c r="R2545">
        <v>2100</v>
      </c>
      <c r="S2545" t="str">
        <f t="shared" si="373"/>
        <v>5850</v>
      </c>
      <c r="T2545" t="s">
        <v>3679</v>
      </c>
      <c r="U2545" t="s">
        <v>59</v>
      </c>
    </row>
    <row r="2546" spans="1:21" ht="15" customHeight="1" x14ac:dyDescent="0.3">
      <c r="A2546" t="s">
        <v>179</v>
      </c>
      <c r="B2546" t="str">
        <f>"00076289"</f>
        <v>00076289</v>
      </c>
      <c r="C2546" t="s">
        <v>4290</v>
      </c>
      <c r="D2546" t="s">
        <v>5073</v>
      </c>
      <c r="E2546" t="str">
        <f>"00070046"</f>
        <v>00070046</v>
      </c>
      <c r="F2546">
        <v>0</v>
      </c>
      <c r="G2546" s="243">
        <v>41148</v>
      </c>
      <c r="H2546" t="s">
        <v>182</v>
      </c>
      <c r="I2546">
        <v>4</v>
      </c>
      <c r="J2546">
        <v>8</v>
      </c>
      <c r="K2546">
        <v>0.71</v>
      </c>
      <c r="L2546">
        <v>27329.75</v>
      </c>
      <c r="M2546" t="str">
        <f t="shared" si="374"/>
        <v>13</v>
      </c>
      <c r="N2546" t="s">
        <v>3370</v>
      </c>
      <c r="O2546" t="str">
        <f t="shared" si="372"/>
        <v>58511</v>
      </c>
      <c r="P2546" t="str">
        <f>"2100L"</f>
        <v>2100L</v>
      </c>
      <c r="Q2546" t="str">
        <f t="shared" si="376"/>
        <v>0101</v>
      </c>
      <c r="R2546">
        <v>2100</v>
      </c>
      <c r="S2546" t="str">
        <f t="shared" si="373"/>
        <v>5850</v>
      </c>
      <c r="T2546" t="s">
        <v>3679</v>
      </c>
      <c r="U2546" t="s">
        <v>59</v>
      </c>
    </row>
    <row r="2547" spans="1:21" ht="15" customHeight="1" x14ac:dyDescent="0.3">
      <c r="A2547" t="s">
        <v>179</v>
      </c>
      <c r="B2547" t="str">
        <f>"00076290"</f>
        <v>00076290</v>
      </c>
      <c r="C2547" t="s">
        <v>4262</v>
      </c>
      <c r="D2547" t="s">
        <v>2064</v>
      </c>
      <c r="E2547" t="str">
        <f>"00047378"</f>
        <v>00047378</v>
      </c>
      <c r="F2547">
        <v>0</v>
      </c>
      <c r="G2547" s="243">
        <v>32050</v>
      </c>
      <c r="H2547" t="s">
        <v>182</v>
      </c>
      <c r="I2547">
        <v>15</v>
      </c>
      <c r="J2547">
        <v>16</v>
      </c>
      <c r="K2547">
        <v>1</v>
      </c>
      <c r="L2547">
        <v>100839</v>
      </c>
      <c r="M2547" t="str">
        <f t="shared" si="374"/>
        <v>13</v>
      </c>
      <c r="N2547" t="s">
        <v>3370</v>
      </c>
      <c r="O2547" t="str">
        <f t="shared" si="372"/>
        <v>58511</v>
      </c>
      <c r="P2547" t="str">
        <f>"2100L"</f>
        <v>2100L</v>
      </c>
      <c r="Q2547" t="str">
        <f t="shared" si="376"/>
        <v>0101</v>
      </c>
      <c r="R2547">
        <v>2100</v>
      </c>
      <c r="S2547" t="str">
        <f t="shared" si="373"/>
        <v>5850</v>
      </c>
      <c r="T2547" t="s">
        <v>3679</v>
      </c>
      <c r="U2547" t="s">
        <v>59</v>
      </c>
    </row>
    <row r="2548" spans="1:21" ht="15" customHeight="1" x14ac:dyDescent="0.3">
      <c r="A2548" t="s">
        <v>179</v>
      </c>
      <c r="B2548" t="str">
        <f>"00076291"</f>
        <v>00076291</v>
      </c>
      <c r="C2548" t="s">
        <v>4270</v>
      </c>
      <c r="D2548" t="s">
        <v>5074</v>
      </c>
      <c r="E2548" t="str">
        <f>"00069545"</f>
        <v>00069545</v>
      </c>
      <c r="F2548">
        <v>0</v>
      </c>
      <c r="G2548" s="243">
        <v>41133</v>
      </c>
      <c r="H2548" t="s">
        <v>182</v>
      </c>
      <c r="I2548">
        <v>15</v>
      </c>
      <c r="J2548">
        <v>6</v>
      </c>
      <c r="K2548">
        <v>0.5</v>
      </c>
      <c r="L2548">
        <v>33039</v>
      </c>
      <c r="M2548" t="str">
        <f t="shared" si="374"/>
        <v>13</v>
      </c>
      <c r="N2548" t="s">
        <v>3370</v>
      </c>
      <c r="O2548" t="str">
        <f t="shared" si="372"/>
        <v>58511</v>
      </c>
      <c r="P2548" t="str">
        <f>"2100L"</f>
        <v>2100L</v>
      </c>
      <c r="Q2548" t="str">
        <f t="shared" si="376"/>
        <v>0101</v>
      </c>
      <c r="R2548">
        <v>2100</v>
      </c>
      <c r="S2548" t="str">
        <f t="shared" si="373"/>
        <v>5850</v>
      </c>
      <c r="T2548" t="s">
        <v>3679</v>
      </c>
      <c r="U2548" t="s">
        <v>59</v>
      </c>
    </row>
    <row r="2549" spans="1:21" ht="15" customHeight="1" x14ac:dyDescent="0.3">
      <c r="A2549" t="s">
        <v>179</v>
      </c>
      <c r="B2549" t="str">
        <f>"00076475"</f>
        <v>00076475</v>
      </c>
      <c r="C2549" t="s">
        <v>4274</v>
      </c>
      <c r="D2549" t="s">
        <v>5075</v>
      </c>
      <c r="E2549" t="str">
        <f>"00067288"</f>
        <v>00067288</v>
      </c>
      <c r="F2549">
        <v>0</v>
      </c>
      <c r="G2549" s="243">
        <v>40868</v>
      </c>
      <c r="H2549" t="s">
        <v>182</v>
      </c>
      <c r="I2549">
        <v>4</v>
      </c>
      <c r="J2549">
        <v>4</v>
      </c>
      <c r="K2549">
        <v>0.71</v>
      </c>
      <c r="L2549">
        <v>24543.75</v>
      </c>
      <c r="M2549" t="str">
        <f t="shared" si="374"/>
        <v>13</v>
      </c>
      <c r="N2549" t="s">
        <v>3370</v>
      </c>
      <c r="O2549" t="str">
        <f t="shared" si="372"/>
        <v>58511</v>
      </c>
      <c r="P2549" t="str">
        <f>"2200L"</f>
        <v>2200L</v>
      </c>
      <c r="Q2549" t="str">
        <f t="shared" si="376"/>
        <v>0101</v>
      </c>
      <c r="R2549">
        <v>2200</v>
      </c>
      <c r="S2549" t="str">
        <f t="shared" si="373"/>
        <v>5850</v>
      </c>
      <c r="T2549" t="s">
        <v>3679</v>
      </c>
      <c r="U2549" t="s">
        <v>59</v>
      </c>
    </row>
    <row r="2550" spans="1:21" ht="15" customHeight="1" x14ac:dyDescent="0.3">
      <c r="A2550" t="s">
        <v>179</v>
      </c>
      <c r="B2550" t="str">
        <f>"00076770"</f>
        <v>00076770</v>
      </c>
      <c r="C2550" t="s">
        <v>4262</v>
      </c>
      <c r="H2550" t="s">
        <v>170</v>
      </c>
      <c r="I2550">
        <v>15</v>
      </c>
      <c r="J2550">
        <v>0</v>
      </c>
      <c r="K2550">
        <v>1</v>
      </c>
      <c r="L2550">
        <v>51539</v>
      </c>
      <c r="M2550" t="str">
        <f t="shared" si="374"/>
        <v>13</v>
      </c>
      <c r="N2550" t="s">
        <v>3370</v>
      </c>
      <c r="O2550" t="str">
        <f t="shared" si="372"/>
        <v>58511</v>
      </c>
      <c r="P2550" t="str">
        <f>"2100L"</f>
        <v>2100L</v>
      </c>
      <c r="Q2550" t="str">
        <f t="shared" si="376"/>
        <v>0101</v>
      </c>
      <c r="R2550">
        <v>2100</v>
      </c>
      <c r="S2550" t="str">
        <f t="shared" si="373"/>
        <v>5850</v>
      </c>
      <c r="T2550" t="s">
        <v>3679</v>
      </c>
      <c r="U2550" t="s">
        <v>59</v>
      </c>
    </row>
    <row r="2551" spans="1:21" ht="15" customHeight="1" x14ac:dyDescent="0.3">
      <c r="A2551" t="s">
        <v>179</v>
      </c>
      <c r="B2551" t="str">
        <f>"00076813"</f>
        <v>00076813</v>
      </c>
      <c r="C2551" t="s">
        <v>4262</v>
      </c>
      <c r="H2551" t="s">
        <v>170</v>
      </c>
      <c r="I2551">
        <v>15</v>
      </c>
      <c r="J2551">
        <v>0</v>
      </c>
      <c r="K2551">
        <v>1</v>
      </c>
      <c r="L2551">
        <v>51539</v>
      </c>
      <c r="M2551" t="str">
        <f t="shared" si="374"/>
        <v>13</v>
      </c>
      <c r="N2551" t="s">
        <v>3370</v>
      </c>
      <c r="O2551" t="str">
        <f t="shared" si="372"/>
        <v>58511</v>
      </c>
      <c r="P2551" t="str">
        <f>"2200L"</f>
        <v>2200L</v>
      </c>
      <c r="Q2551" t="str">
        <f t="shared" si="376"/>
        <v>0101</v>
      </c>
      <c r="R2551">
        <v>2200</v>
      </c>
      <c r="S2551" t="str">
        <f t="shared" si="373"/>
        <v>5850</v>
      </c>
      <c r="T2551" t="s">
        <v>3679</v>
      </c>
      <c r="U2551" t="s">
        <v>59</v>
      </c>
    </row>
    <row r="2552" spans="1:21" ht="15" customHeight="1" x14ac:dyDescent="0.3">
      <c r="A2552" t="s">
        <v>179</v>
      </c>
      <c r="B2552" t="str">
        <f>"00051582"</f>
        <v>00051582</v>
      </c>
      <c r="C2552" t="s">
        <v>3798</v>
      </c>
      <c r="D2552" t="s">
        <v>2094</v>
      </c>
      <c r="E2552" t="str">
        <f>"00056584"</f>
        <v>00056584</v>
      </c>
      <c r="F2552">
        <v>0</v>
      </c>
      <c r="G2552" s="243">
        <v>40000</v>
      </c>
      <c r="H2552" t="s">
        <v>182</v>
      </c>
      <c r="I2552">
        <v>61</v>
      </c>
      <c r="J2552">
        <v>7</v>
      </c>
      <c r="K2552">
        <v>1</v>
      </c>
      <c r="L2552">
        <v>128000</v>
      </c>
      <c r="M2552" t="str">
        <f t="shared" si="374"/>
        <v>13</v>
      </c>
      <c r="N2552" t="s">
        <v>3323</v>
      </c>
      <c r="O2552" t="str">
        <f t="shared" ref="O2552:O2579" si="377">"58611"</f>
        <v>58611</v>
      </c>
      <c r="P2552" t="str">
        <f>"1501L"</f>
        <v>1501L</v>
      </c>
      <c r="Q2552" t="str">
        <f t="shared" si="376"/>
        <v>0101</v>
      </c>
      <c r="R2552">
        <v>1501</v>
      </c>
      <c r="S2552" t="str">
        <f t="shared" ref="S2552:S2579" si="378">"5860"</f>
        <v>5860</v>
      </c>
      <c r="T2552" t="s">
        <v>3685</v>
      </c>
      <c r="U2552" t="s">
        <v>2095</v>
      </c>
    </row>
    <row r="2553" spans="1:21" ht="15" customHeight="1" x14ac:dyDescent="0.3">
      <c r="A2553" t="s">
        <v>179</v>
      </c>
      <c r="B2553" t="str">
        <f>"00052007"</f>
        <v>00052007</v>
      </c>
      <c r="C2553" t="s">
        <v>4274</v>
      </c>
      <c r="D2553" t="s">
        <v>5076</v>
      </c>
      <c r="E2553" t="str">
        <f>"00046915"</f>
        <v>00046915</v>
      </c>
      <c r="F2553">
        <v>0</v>
      </c>
      <c r="G2553" s="243">
        <v>34239</v>
      </c>
      <c r="H2553" t="s">
        <v>182</v>
      </c>
      <c r="I2553">
        <v>4</v>
      </c>
      <c r="J2553">
        <v>10</v>
      </c>
      <c r="K2553">
        <v>0.875</v>
      </c>
      <c r="L2553">
        <v>28721</v>
      </c>
      <c r="M2553" t="str">
        <f t="shared" si="374"/>
        <v>13</v>
      </c>
      <c r="N2553" t="s">
        <v>3323</v>
      </c>
      <c r="O2553" t="str">
        <f t="shared" si="377"/>
        <v>58611</v>
      </c>
      <c r="P2553" t="str">
        <f>"2200L"</f>
        <v>2200L</v>
      </c>
      <c r="Q2553" t="str">
        <f t="shared" si="376"/>
        <v>0101</v>
      </c>
      <c r="R2553">
        <v>2200</v>
      </c>
      <c r="S2553" t="str">
        <f t="shared" si="378"/>
        <v>5860</v>
      </c>
      <c r="T2553" t="s">
        <v>3685</v>
      </c>
      <c r="U2553" t="s">
        <v>2095</v>
      </c>
    </row>
    <row r="2554" spans="1:21" ht="15" customHeight="1" x14ac:dyDescent="0.3">
      <c r="A2554" t="s">
        <v>179</v>
      </c>
      <c r="B2554" t="str">
        <f>"00052192"</f>
        <v>00052192</v>
      </c>
      <c r="C2554" t="s">
        <v>4262</v>
      </c>
      <c r="D2554" t="s">
        <v>5077</v>
      </c>
      <c r="E2554" t="str">
        <f>"00057808"</f>
        <v>00057808</v>
      </c>
      <c r="F2554">
        <v>0</v>
      </c>
      <c r="G2554" s="243">
        <v>40049</v>
      </c>
      <c r="H2554" t="s">
        <v>182</v>
      </c>
      <c r="I2554">
        <v>15</v>
      </c>
      <c r="J2554">
        <v>12</v>
      </c>
      <c r="K2554">
        <v>1</v>
      </c>
      <c r="L2554">
        <v>87431</v>
      </c>
      <c r="M2554" t="str">
        <f t="shared" si="374"/>
        <v>13</v>
      </c>
      <c r="N2554" t="s">
        <v>3323</v>
      </c>
      <c r="O2554" t="str">
        <f t="shared" si="377"/>
        <v>58611</v>
      </c>
      <c r="P2554" t="str">
        <f>"2100L"</f>
        <v>2100L</v>
      </c>
      <c r="Q2554" t="str">
        <f t="shared" si="376"/>
        <v>0101</v>
      </c>
      <c r="R2554">
        <v>2100</v>
      </c>
      <c r="S2554" t="str">
        <f t="shared" si="378"/>
        <v>5860</v>
      </c>
      <c r="T2554" t="s">
        <v>3685</v>
      </c>
      <c r="U2554" t="s">
        <v>2095</v>
      </c>
    </row>
    <row r="2555" spans="1:21" ht="15" customHeight="1" x14ac:dyDescent="0.3">
      <c r="A2555" t="s">
        <v>179</v>
      </c>
      <c r="B2555" t="str">
        <f>"00052751"</f>
        <v>00052751</v>
      </c>
      <c r="C2555" t="s">
        <v>4258</v>
      </c>
      <c r="D2555" t="s">
        <v>2096</v>
      </c>
      <c r="E2555" t="str">
        <f>"00049282"</f>
        <v>00049282</v>
      </c>
      <c r="F2555">
        <v>0</v>
      </c>
      <c r="G2555" s="243">
        <v>31442</v>
      </c>
      <c r="H2555" t="s">
        <v>182</v>
      </c>
      <c r="I2555">
        <v>15</v>
      </c>
      <c r="J2555">
        <v>13</v>
      </c>
      <c r="K2555">
        <v>1</v>
      </c>
      <c r="L2555">
        <v>81724</v>
      </c>
      <c r="M2555" t="str">
        <f t="shared" si="374"/>
        <v>13</v>
      </c>
      <c r="N2555" t="s">
        <v>3323</v>
      </c>
      <c r="O2555" t="str">
        <f t="shared" si="377"/>
        <v>58611</v>
      </c>
      <c r="P2555" t="str">
        <f>"2100L"</f>
        <v>2100L</v>
      </c>
      <c r="Q2555" t="str">
        <f t="shared" si="376"/>
        <v>0101</v>
      </c>
      <c r="R2555">
        <v>2100</v>
      </c>
      <c r="S2555" t="str">
        <f t="shared" si="378"/>
        <v>5860</v>
      </c>
      <c r="T2555" t="s">
        <v>3685</v>
      </c>
      <c r="U2555" t="s">
        <v>2095</v>
      </c>
    </row>
    <row r="2556" spans="1:21" ht="15" customHeight="1" x14ac:dyDescent="0.3">
      <c r="A2556" t="s">
        <v>179</v>
      </c>
      <c r="B2556" t="str">
        <f>"00052875"</f>
        <v>00052875</v>
      </c>
      <c r="C2556" t="s">
        <v>4266</v>
      </c>
      <c r="D2556" t="s">
        <v>2097</v>
      </c>
      <c r="E2556" t="str">
        <f>"00049822"</f>
        <v>00049822</v>
      </c>
      <c r="F2556">
        <v>0</v>
      </c>
      <c r="G2556" s="243">
        <v>32387</v>
      </c>
      <c r="H2556" t="s">
        <v>182</v>
      </c>
      <c r="I2556">
        <v>15</v>
      </c>
      <c r="J2556">
        <v>16</v>
      </c>
      <c r="K2556">
        <v>1</v>
      </c>
      <c r="L2556">
        <v>103347</v>
      </c>
      <c r="M2556" t="str">
        <f t="shared" si="374"/>
        <v>13</v>
      </c>
      <c r="N2556" t="s">
        <v>3323</v>
      </c>
      <c r="O2556" t="str">
        <f t="shared" si="377"/>
        <v>58611</v>
      </c>
      <c r="P2556" t="str">
        <f>"2100L"</f>
        <v>2100L</v>
      </c>
      <c r="Q2556" t="str">
        <f t="shared" si="376"/>
        <v>0101</v>
      </c>
      <c r="R2556">
        <v>2100</v>
      </c>
      <c r="S2556" t="str">
        <f t="shared" si="378"/>
        <v>5860</v>
      </c>
      <c r="T2556" t="s">
        <v>3685</v>
      </c>
      <c r="U2556" t="s">
        <v>2095</v>
      </c>
    </row>
    <row r="2557" spans="1:21" ht="15" customHeight="1" x14ac:dyDescent="0.3">
      <c r="A2557" t="s">
        <v>179</v>
      </c>
      <c r="B2557" t="str">
        <f>"00052890"</f>
        <v>00052890</v>
      </c>
      <c r="C2557" t="s">
        <v>4260</v>
      </c>
      <c r="D2557" t="s">
        <v>2098</v>
      </c>
      <c r="E2557" t="str">
        <f>"00049913"</f>
        <v>00049913</v>
      </c>
      <c r="F2557">
        <v>0</v>
      </c>
      <c r="G2557" s="243">
        <v>31651</v>
      </c>
      <c r="H2557" t="s">
        <v>182</v>
      </c>
      <c r="I2557">
        <v>15</v>
      </c>
      <c r="J2557">
        <v>16</v>
      </c>
      <c r="K2557">
        <v>1</v>
      </c>
      <c r="L2557">
        <v>103347</v>
      </c>
      <c r="M2557" t="str">
        <f t="shared" si="374"/>
        <v>13</v>
      </c>
      <c r="N2557" t="s">
        <v>3323</v>
      </c>
      <c r="O2557" t="str">
        <f t="shared" si="377"/>
        <v>58611</v>
      </c>
      <c r="P2557" t="str">
        <f>"3030L"</f>
        <v>3030L</v>
      </c>
      <c r="Q2557" t="str">
        <f t="shared" si="376"/>
        <v>0101</v>
      </c>
      <c r="R2557">
        <v>3030</v>
      </c>
      <c r="S2557" t="str">
        <f t="shared" si="378"/>
        <v>5860</v>
      </c>
      <c r="T2557" t="s">
        <v>3685</v>
      </c>
      <c r="U2557" t="s">
        <v>2095</v>
      </c>
    </row>
    <row r="2558" spans="1:21" ht="15" customHeight="1" x14ac:dyDescent="0.3">
      <c r="A2558" t="s">
        <v>179</v>
      </c>
      <c r="B2558" t="str">
        <f>"00052976"</f>
        <v>00052976</v>
      </c>
      <c r="C2558" t="s">
        <v>4272</v>
      </c>
      <c r="D2558" t="s">
        <v>2099</v>
      </c>
      <c r="E2558" t="str">
        <f>"00050492"</f>
        <v>00050492</v>
      </c>
      <c r="F2558">
        <v>0</v>
      </c>
      <c r="G2558" s="243">
        <v>34578</v>
      </c>
      <c r="H2558" t="s">
        <v>182</v>
      </c>
      <c r="I2558">
        <v>15</v>
      </c>
      <c r="J2558">
        <v>13</v>
      </c>
      <c r="K2558">
        <v>1</v>
      </c>
      <c r="L2558">
        <v>86613</v>
      </c>
      <c r="M2558" t="str">
        <f t="shared" si="374"/>
        <v>13</v>
      </c>
      <c r="N2558" t="s">
        <v>3323</v>
      </c>
      <c r="O2558" t="str">
        <f t="shared" si="377"/>
        <v>58611</v>
      </c>
      <c r="P2558" t="str">
        <f>"2200L"</f>
        <v>2200L</v>
      </c>
      <c r="Q2558" t="str">
        <f t="shared" si="376"/>
        <v>0101</v>
      </c>
      <c r="R2558">
        <v>2200</v>
      </c>
      <c r="S2558" t="str">
        <f t="shared" si="378"/>
        <v>5860</v>
      </c>
      <c r="T2558" t="s">
        <v>3685</v>
      </c>
      <c r="U2558" t="s">
        <v>2095</v>
      </c>
    </row>
    <row r="2559" spans="1:21" ht="15" customHeight="1" x14ac:dyDescent="0.3">
      <c r="A2559" t="s">
        <v>179</v>
      </c>
      <c r="B2559" t="str">
        <f>"00053109"</f>
        <v>00053109</v>
      </c>
      <c r="C2559" t="s">
        <v>4272</v>
      </c>
      <c r="D2559" t="s">
        <v>2100</v>
      </c>
      <c r="E2559" t="str">
        <f>"00050967"</f>
        <v>00050967</v>
      </c>
      <c r="F2559">
        <v>0</v>
      </c>
      <c r="G2559" s="243">
        <v>26546</v>
      </c>
      <c r="H2559" t="s">
        <v>182</v>
      </c>
      <c r="I2559">
        <v>15</v>
      </c>
      <c r="J2559">
        <v>16</v>
      </c>
      <c r="K2559">
        <v>1</v>
      </c>
      <c r="L2559">
        <v>100839</v>
      </c>
      <c r="M2559" t="str">
        <f t="shared" si="374"/>
        <v>13</v>
      </c>
      <c r="N2559" t="s">
        <v>3323</v>
      </c>
      <c r="O2559" t="str">
        <f t="shared" si="377"/>
        <v>58611</v>
      </c>
      <c r="P2559" t="str">
        <f>"2100L"</f>
        <v>2100L</v>
      </c>
      <c r="Q2559" t="str">
        <f t="shared" si="376"/>
        <v>0101</v>
      </c>
      <c r="R2559">
        <v>2100</v>
      </c>
      <c r="S2559" t="str">
        <f t="shared" si="378"/>
        <v>5860</v>
      </c>
      <c r="T2559" t="s">
        <v>3685</v>
      </c>
      <c r="U2559" t="s">
        <v>2095</v>
      </c>
    </row>
    <row r="2560" spans="1:21" ht="15" customHeight="1" x14ac:dyDescent="0.3">
      <c r="A2560" t="s">
        <v>179</v>
      </c>
      <c r="B2560" t="str">
        <f>"00053345"</f>
        <v>00053345</v>
      </c>
      <c r="C2560" t="s">
        <v>4266</v>
      </c>
      <c r="D2560" t="s">
        <v>2101</v>
      </c>
      <c r="E2560" t="str">
        <f>"00051341"</f>
        <v>00051341</v>
      </c>
      <c r="F2560">
        <v>0</v>
      </c>
      <c r="G2560" s="243">
        <v>29495</v>
      </c>
      <c r="H2560" t="s">
        <v>182</v>
      </c>
      <c r="I2560">
        <v>15</v>
      </c>
      <c r="J2560">
        <v>16</v>
      </c>
      <c r="K2560">
        <v>1</v>
      </c>
      <c r="L2560">
        <v>100839</v>
      </c>
      <c r="M2560" t="str">
        <f t="shared" si="374"/>
        <v>13</v>
      </c>
      <c r="N2560" t="s">
        <v>3323</v>
      </c>
      <c r="O2560" t="str">
        <f t="shared" si="377"/>
        <v>58611</v>
      </c>
      <c r="P2560" t="str">
        <f>"2300L"</f>
        <v>2300L</v>
      </c>
      <c r="Q2560" t="str">
        <f t="shared" si="376"/>
        <v>0101</v>
      </c>
      <c r="R2560">
        <v>2300</v>
      </c>
      <c r="S2560" t="str">
        <f t="shared" si="378"/>
        <v>5860</v>
      </c>
      <c r="T2560" t="s">
        <v>3685</v>
      </c>
      <c r="U2560" t="s">
        <v>2095</v>
      </c>
    </row>
    <row r="2561" spans="1:21" ht="15" customHeight="1" x14ac:dyDescent="0.3">
      <c r="A2561" t="s">
        <v>179</v>
      </c>
      <c r="B2561" t="str">
        <f>"00053447"</f>
        <v>00053447</v>
      </c>
      <c r="C2561" t="s">
        <v>4343</v>
      </c>
      <c r="H2561" t="s">
        <v>170</v>
      </c>
      <c r="I2561">
        <v>15</v>
      </c>
      <c r="J2561">
        <v>1</v>
      </c>
      <c r="K2561">
        <v>1</v>
      </c>
      <c r="L2561">
        <v>60128</v>
      </c>
      <c r="M2561" t="str">
        <f t="shared" si="374"/>
        <v>13</v>
      </c>
      <c r="N2561" t="s">
        <v>3323</v>
      </c>
      <c r="O2561" t="str">
        <f t="shared" si="377"/>
        <v>58611</v>
      </c>
      <c r="P2561" t="str">
        <f>"2300L"</f>
        <v>2300L</v>
      </c>
      <c r="Q2561" t="str">
        <f t="shared" si="376"/>
        <v>0101</v>
      </c>
      <c r="R2561">
        <v>2300</v>
      </c>
      <c r="S2561" t="str">
        <f t="shared" si="378"/>
        <v>5860</v>
      </c>
      <c r="T2561" t="s">
        <v>3495</v>
      </c>
      <c r="U2561" t="s">
        <v>119</v>
      </c>
    </row>
    <row r="2562" spans="1:21" ht="15" customHeight="1" x14ac:dyDescent="0.3">
      <c r="A2562" t="s">
        <v>179</v>
      </c>
      <c r="B2562" t="str">
        <f>"00053569"</f>
        <v>00053569</v>
      </c>
      <c r="C2562" t="s">
        <v>4274</v>
      </c>
      <c r="D2562" t="s">
        <v>5078</v>
      </c>
      <c r="E2562" t="str">
        <f>"00051786"</f>
        <v>00051786</v>
      </c>
      <c r="F2562">
        <v>0</v>
      </c>
      <c r="G2562" s="243">
        <v>34974</v>
      </c>
      <c r="H2562" t="s">
        <v>182</v>
      </c>
      <c r="I2562">
        <v>4</v>
      </c>
      <c r="J2562">
        <v>10</v>
      </c>
      <c r="K2562">
        <v>0.875</v>
      </c>
      <c r="L2562">
        <v>28721</v>
      </c>
      <c r="M2562" t="str">
        <f t="shared" si="374"/>
        <v>13</v>
      </c>
      <c r="N2562" t="s">
        <v>3323</v>
      </c>
      <c r="O2562" t="str">
        <f t="shared" si="377"/>
        <v>58611</v>
      </c>
      <c r="P2562" t="str">
        <f>"2200L"</f>
        <v>2200L</v>
      </c>
      <c r="Q2562" t="str">
        <f t="shared" si="376"/>
        <v>0101</v>
      </c>
      <c r="R2562">
        <v>2200</v>
      </c>
      <c r="S2562" t="str">
        <f t="shared" si="378"/>
        <v>5860</v>
      </c>
      <c r="T2562" t="s">
        <v>3685</v>
      </c>
      <c r="U2562" t="s">
        <v>2095</v>
      </c>
    </row>
    <row r="2563" spans="1:21" ht="15" customHeight="1" x14ac:dyDescent="0.3">
      <c r="A2563" t="s">
        <v>179</v>
      </c>
      <c r="B2563" t="str">
        <f>"00053677"</f>
        <v>00053677</v>
      </c>
      <c r="C2563" t="s">
        <v>4266</v>
      </c>
      <c r="D2563" t="s">
        <v>3690</v>
      </c>
      <c r="E2563" t="str">
        <f>"00052242"</f>
        <v>00052242</v>
      </c>
      <c r="F2563">
        <v>0</v>
      </c>
      <c r="G2563" s="243">
        <v>33504</v>
      </c>
      <c r="H2563" t="s">
        <v>182</v>
      </c>
      <c r="I2563">
        <v>15</v>
      </c>
      <c r="J2563">
        <v>16</v>
      </c>
      <c r="K2563">
        <v>1</v>
      </c>
      <c r="L2563">
        <v>100839</v>
      </c>
      <c r="M2563" t="str">
        <f t="shared" si="374"/>
        <v>13</v>
      </c>
      <c r="N2563" t="s">
        <v>3323</v>
      </c>
      <c r="O2563" t="str">
        <f t="shared" si="377"/>
        <v>58611</v>
      </c>
      <c r="P2563" t="str">
        <f>"2300L"</f>
        <v>2300L</v>
      </c>
      <c r="Q2563" t="str">
        <f t="shared" si="376"/>
        <v>0101</v>
      </c>
      <c r="R2563">
        <v>2300</v>
      </c>
      <c r="S2563" t="str">
        <f t="shared" si="378"/>
        <v>5860</v>
      </c>
      <c r="T2563" t="s">
        <v>3685</v>
      </c>
      <c r="U2563" t="s">
        <v>2095</v>
      </c>
    </row>
    <row r="2564" spans="1:21" ht="15" customHeight="1" x14ac:dyDescent="0.3">
      <c r="A2564" t="s">
        <v>179</v>
      </c>
      <c r="B2564" t="str">
        <f>"00053678"</f>
        <v>00053678</v>
      </c>
      <c r="C2564" t="s">
        <v>4274</v>
      </c>
      <c r="D2564" t="s">
        <v>5079</v>
      </c>
      <c r="E2564" t="str">
        <f>"00068811"</f>
        <v>00068811</v>
      </c>
      <c r="F2564">
        <v>0</v>
      </c>
      <c r="G2564" s="243">
        <v>41064</v>
      </c>
      <c r="H2564" t="s">
        <v>182</v>
      </c>
      <c r="I2564">
        <v>4</v>
      </c>
      <c r="J2564">
        <v>1</v>
      </c>
      <c r="K2564">
        <v>0.875</v>
      </c>
      <c r="L2564">
        <v>22454.25</v>
      </c>
      <c r="M2564" t="str">
        <f t="shared" si="374"/>
        <v>13</v>
      </c>
      <c r="N2564" t="s">
        <v>3323</v>
      </c>
      <c r="O2564" t="str">
        <f t="shared" si="377"/>
        <v>58611</v>
      </c>
      <c r="P2564" t="str">
        <f>"2200L"</f>
        <v>2200L</v>
      </c>
      <c r="Q2564" t="str">
        <f t="shared" si="376"/>
        <v>0101</v>
      </c>
      <c r="R2564">
        <v>2200</v>
      </c>
      <c r="S2564" t="str">
        <f t="shared" si="378"/>
        <v>5860</v>
      </c>
      <c r="T2564" t="s">
        <v>3685</v>
      </c>
      <c r="U2564" t="s">
        <v>2095</v>
      </c>
    </row>
    <row r="2565" spans="1:21" ht="15" customHeight="1" x14ac:dyDescent="0.3">
      <c r="A2565" t="s">
        <v>179</v>
      </c>
      <c r="B2565" t="str">
        <f>"00054684"</f>
        <v>00054684</v>
      </c>
      <c r="C2565" t="s">
        <v>4274</v>
      </c>
      <c r="D2565" t="s">
        <v>5080</v>
      </c>
      <c r="E2565" t="str">
        <f>"00058539"</f>
        <v>00058539</v>
      </c>
      <c r="F2565">
        <v>0</v>
      </c>
      <c r="G2565" s="243">
        <v>40099</v>
      </c>
      <c r="H2565" t="s">
        <v>182</v>
      </c>
      <c r="I2565">
        <v>4</v>
      </c>
      <c r="J2565">
        <v>4</v>
      </c>
      <c r="K2565">
        <v>0.875</v>
      </c>
      <c r="L2565">
        <v>24543.75</v>
      </c>
      <c r="M2565" t="str">
        <f t="shared" si="374"/>
        <v>13</v>
      </c>
      <c r="N2565" t="s">
        <v>3323</v>
      </c>
      <c r="O2565" t="str">
        <f t="shared" si="377"/>
        <v>58611</v>
      </c>
      <c r="P2565" t="str">
        <f>"2200L"</f>
        <v>2200L</v>
      </c>
      <c r="Q2565" t="str">
        <f t="shared" si="376"/>
        <v>0101</v>
      </c>
      <c r="R2565">
        <v>2200</v>
      </c>
      <c r="S2565" t="str">
        <f t="shared" si="378"/>
        <v>5860</v>
      </c>
      <c r="T2565" t="s">
        <v>3685</v>
      </c>
      <c r="U2565" t="s">
        <v>2095</v>
      </c>
    </row>
    <row r="2566" spans="1:21" ht="15" customHeight="1" x14ac:dyDescent="0.3">
      <c r="A2566" t="s">
        <v>179</v>
      </c>
      <c r="B2566" t="str">
        <f>"00054712"</f>
        <v>00054712</v>
      </c>
      <c r="C2566" t="s">
        <v>4262</v>
      </c>
      <c r="D2566" t="s">
        <v>2103</v>
      </c>
      <c r="E2566" t="str">
        <f>"00054451"</f>
        <v>00054451</v>
      </c>
      <c r="F2566">
        <v>0</v>
      </c>
      <c r="G2566" s="243">
        <v>32690</v>
      </c>
      <c r="H2566" t="s">
        <v>182</v>
      </c>
      <c r="I2566">
        <v>15</v>
      </c>
      <c r="J2566">
        <v>16</v>
      </c>
      <c r="K2566">
        <v>1</v>
      </c>
      <c r="L2566">
        <v>106540</v>
      </c>
      <c r="M2566" t="str">
        <f t="shared" si="374"/>
        <v>13</v>
      </c>
      <c r="N2566" t="s">
        <v>3323</v>
      </c>
      <c r="O2566" t="str">
        <f t="shared" si="377"/>
        <v>58611</v>
      </c>
      <c r="P2566" t="str">
        <f>"2100L"</f>
        <v>2100L</v>
      </c>
      <c r="Q2566" t="str">
        <f t="shared" si="376"/>
        <v>0101</v>
      </c>
      <c r="R2566">
        <v>2100</v>
      </c>
      <c r="S2566" t="str">
        <f t="shared" si="378"/>
        <v>5860</v>
      </c>
      <c r="T2566" t="s">
        <v>3685</v>
      </c>
      <c r="U2566" t="s">
        <v>2095</v>
      </c>
    </row>
    <row r="2567" spans="1:21" ht="15" customHeight="1" x14ac:dyDescent="0.3">
      <c r="A2567" t="s">
        <v>179</v>
      </c>
      <c r="B2567" t="str">
        <f>"00054861"</f>
        <v>00054861</v>
      </c>
      <c r="C2567" t="s">
        <v>4272</v>
      </c>
      <c r="D2567" t="s">
        <v>2104</v>
      </c>
      <c r="E2567" t="str">
        <f>"00054804"</f>
        <v>00054804</v>
      </c>
      <c r="F2567">
        <v>0</v>
      </c>
      <c r="G2567" s="243">
        <v>34669</v>
      </c>
      <c r="H2567" t="s">
        <v>182</v>
      </c>
      <c r="I2567">
        <v>15</v>
      </c>
      <c r="J2567">
        <v>14</v>
      </c>
      <c r="K2567">
        <v>1</v>
      </c>
      <c r="L2567">
        <v>96460</v>
      </c>
      <c r="M2567" t="str">
        <f t="shared" si="374"/>
        <v>13</v>
      </c>
      <c r="N2567" t="s">
        <v>3323</v>
      </c>
      <c r="O2567" t="str">
        <f t="shared" si="377"/>
        <v>58611</v>
      </c>
      <c r="P2567" t="str">
        <f>"2100L"</f>
        <v>2100L</v>
      </c>
      <c r="Q2567" t="str">
        <f t="shared" si="376"/>
        <v>0101</v>
      </c>
      <c r="R2567">
        <v>2100</v>
      </c>
      <c r="S2567" t="str">
        <f t="shared" si="378"/>
        <v>5860</v>
      </c>
      <c r="T2567" t="s">
        <v>3685</v>
      </c>
      <c r="U2567" t="s">
        <v>2095</v>
      </c>
    </row>
    <row r="2568" spans="1:21" ht="15" customHeight="1" x14ac:dyDescent="0.3">
      <c r="A2568" t="s">
        <v>179</v>
      </c>
      <c r="B2568" t="str">
        <f>"00057326"</f>
        <v>00057326</v>
      </c>
      <c r="C2568" t="s">
        <v>4274</v>
      </c>
      <c r="D2568" t="s">
        <v>5081</v>
      </c>
      <c r="E2568" t="str">
        <f>"00067430"</f>
        <v>00067430</v>
      </c>
      <c r="F2568">
        <v>0</v>
      </c>
      <c r="G2568" s="243">
        <v>40904</v>
      </c>
      <c r="H2568" t="s">
        <v>182</v>
      </c>
      <c r="I2568">
        <v>4</v>
      </c>
      <c r="J2568">
        <v>7</v>
      </c>
      <c r="K2568">
        <v>0.875</v>
      </c>
      <c r="L2568">
        <v>26633.25</v>
      </c>
      <c r="M2568" t="str">
        <f t="shared" si="374"/>
        <v>13</v>
      </c>
      <c r="N2568" t="s">
        <v>3323</v>
      </c>
      <c r="O2568" t="str">
        <f t="shared" si="377"/>
        <v>58611</v>
      </c>
      <c r="P2568" t="str">
        <f>"2300L"</f>
        <v>2300L</v>
      </c>
      <c r="Q2568" t="str">
        <f t="shared" si="376"/>
        <v>0101</v>
      </c>
      <c r="R2568">
        <v>2300</v>
      </c>
      <c r="S2568" t="str">
        <f t="shared" si="378"/>
        <v>5860</v>
      </c>
      <c r="T2568" t="s">
        <v>3685</v>
      </c>
      <c r="U2568" t="s">
        <v>2095</v>
      </c>
    </row>
    <row r="2569" spans="1:21" ht="15" customHeight="1" x14ac:dyDescent="0.3">
      <c r="A2569" t="s">
        <v>179</v>
      </c>
      <c r="B2569" t="str">
        <f>"00057652"</f>
        <v>00057652</v>
      </c>
      <c r="C2569" t="s">
        <v>4262</v>
      </c>
      <c r="D2569" t="s">
        <v>2105</v>
      </c>
      <c r="E2569" t="str">
        <f>"00050640"</f>
        <v>00050640</v>
      </c>
      <c r="F2569">
        <v>0</v>
      </c>
      <c r="G2569" s="243">
        <v>37250</v>
      </c>
      <c r="H2569" t="s">
        <v>182</v>
      </c>
      <c r="I2569">
        <v>15</v>
      </c>
      <c r="J2569">
        <v>12</v>
      </c>
      <c r="K2569">
        <v>1</v>
      </c>
      <c r="L2569">
        <v>87431</v>
      </c>
      <c r="M2569" t="str">
        <f t="shared" si="374"/>
        <v>13</v>
      </c>
      <c r="N2569" t="s">
        <v>3323</v>
      </c>
      <c r="O2569" t="str">
        <f t="shared" si="377"/>
        <v>58611</v>
      </c>
      <c r="P2569" t="str">
        <f>"2100L"</f>
        <v>2100L</v>
      </c>
      <c r="Q2569" t="str">
        <f t="shared" si="376"/>
        <v>0101</v>
      </c>
      <c r="R2569">
        <v>2100</v>
      </c>
      <c r="S2569" t="str">
        <f t="shared" si="378"/>
        <v>5860</v>
      </c>
      <c r="T2569" t="s">
        <v>3685</v>
      </c>
      <c r="U2569" t="s">
        <v>2095</v>
      </c>
    </row>
    <row r="2570" spans="1:21" ht="15" customHeight="1" x14ac:dyDescent="0.3">
      <c r="A2570" t="s">
        <v>179</v>
      </c>
      <c r="B2570" t="str">
        <f>"00057859"</f>
        <v>00057859</v>
      </c>
      <c r="C2570" t="s">
        <v>4262</v>
      </c>
      <c r="D2570" t="s">
        <v>2106</v>
      </c>
      <c r="E2570" t="str">
        <f>"00055206"</f>
        <v>00055206</v>
      </c>
      <c r="F2570">
        <v>0</v>
      </c>
      <c r="G2570" s="243">
        <v>38951</v>
      </c>
      <c r="H2570" t="s">
        <v>182</v>
      </c>
      <c r="I2570">
        <v>15</v>
      </c>
      <c r="J2570">
        <v>7</v>
      </c>
      <c r="K2570">
        <v>1</v>
      </c>
      <c r="L2570">
        <v>69132</v>
      </c>
      <c r="M2570" t="str">
        <f t="shared" si="374"/>
        <v>13</v>
      </c>
      <c r="N2570" t="s">
        <v>3323</v>
      </c>
      <c r="O2570" t="str">
        <f t="shared" si="377"/>
        <v>58611</v>
      </c>
      <c r="P2570" t="str">
        <f>"2100L"</f>
        <v>2100L</v>
      </c>
      <c r="Q2570" t="str">
        <f t="shared" si="376"/>
        <v>0101</v>
      </c>
      <c r="R2570">
        <v>2100</v>
      </c>
      <c r="S2570" t="str">
        <f t="shared" si="378"/>
        <v>5860</v>
      </c>
      <c r="T2570" t="s">
        <v>3685</v>
      </c>
      <c r="U2570" t="s">
        <v>2095</v>
      </c>
    </row>
    <row r="2571" spans="1:21" ht="15" customHeight="1" x14ac:dyDescent="0.3">
      <c r="A2571" t="s">
        <v>179</v>
      </c>
      <c r="B2571" t="str">
        <f>"00058025"</f>
        <v>00058025</v>
      </c>
      <c r="C2571" t="s">
        <v>4262</v>
      </c>
      <c r="D2571" t="s">
        <v>3691</v>
      </c>
      <c r="E2571" t="str">
        <f>"00066323"</f>
        <v>00066323</v>
      </c>
      <c r="F2571">
        <v>0</v>
      </c>
      <c r="G2571" s="243">
        <v>40755</v>
      </c>
      <c r="H2571" t="s">
        <v>182</v>
      </c>
      <c r="I2571">
        <v>15</v>
      </c>
      <c r="J2571">
        <v>11</v>
      </c>
      <c r="K2571">
        <v>1</v>
      </c>
      <c r="L2571">
        <v>81335</v>
      </c>
      <c r="M2571" t="str">
        <f t="shared" si="374"/>
        <v>13</v>
      </c>
      <c r="N2571" t="s">
        <v>3323</v>
      </c>
      <c r="O2571" t="str">
        <f t="shared" si="377"/>
        <v>58611</v>
      </c>
      <c r="P2571" t="str">
        <f>"2100L"</f>
        <v>2100L</v>
      </c>
      <c r="Q2571" t="str">
        <f t="shared" si="376"/>
        <v>0101</v>
      </c>
      <c r="R2571">
        <v>2100</v>
      </c>
      <c r="S2571" t="str">
        <f t="shared" si="378"/>
        <v>5860</v>
      </c>
      <c r="T2571" t="s">
        <v>3685</v>
      </c>
      <c r="U2571" t="s">
        <v>2095</v>
      </c>
    </row>
    <row r="2572" spans="1:21" ht="15" customHeight="1" x14ac:dyDescent="0.3">
      <c r="A2572" t="s">
        <v>179</v>
      </c>
      <c r="B2572" t="str">
        <f>"00058341"</f>
        <v>00058341</v>
      </c>
      <c r="C2572" t="s">
        <v>4254</v>
      </c>
      <c r="D2572" t="s">
        <v>2108</v>
      </c>
      <c r="E2572" t="str">
        <f>"00027717"</f>
        <v>00027717</v>
      </c>
      <c r="F2572">
        <v>0</v>
      </c>
      <c r="G2572" s="243">
        <v>40064</v>
      </c>
      <c r="H2572" t="s">
        <v>182</v>
      </c>
      <c r="I2572">
        <v>15</v>
      </c>
      <c r="J2572">
        <v>12</v>
      </c>
      <c r="K2572">
        <v>1</v>
      </c>
      <c r="L2572">
        <v>89887</v>
      </c>
      <c r="M2572" t="str">
        <f t="shared" si="374"/>
        <v>13</v>
      </c>
      <c r="N2572" t="s">
        <v>3323</v>
      </c>
      <c r="O2572" t="str">
        <f t="shared" si="377"/>
        <v>58611</v>
      </c>
      <c r="P2572" t="str">
        <f>"2100L"</f>
        <v>2100L</v>
      </c>
      <c r="Q2572" t="str">
        <f t="shared" si="376"/>
        <v>0101</v>
      </c>
      <c r="R2572">
        <v>2100</v>
      </c>
      <c r="S2572" t="str">
        <f t="shared" si="378"/>
        <v>5860</v>
      </c>
      <c r="T2572" t="s">
        <v>3685</v>
      </c>
      <c r="U2572" t="s">
        <v>2095</v>
      </c>
    </row>
    <row r="2573" spans="1:21" ht="15" customHeight="1" x14ac:dyDescent="0.3">
      <c r="A2573" t="s">
        <v>179</v>
      </c>
      <c r="B2573" t="str">
        <f>"00058933"</f>
        <v>00058933</v>
      </c>
      <c r="C2573" t="s">
        <v>4262</v>
      </c>
      <c r="D2573" t="s">
        <v>3686</v>
      </c>
      <c r="E2573" t="str">
        <f>"00062895"</f>
        <v>00062895</v>
      </c>
      <c r="F2573">
        <v>0</v>
      </c>
      <c r="G2573" s="243">
        <v>40406</v>
      </c>
      <c r="H2573" t="s">
        <v>182</v>
      </c>
      <c r="I2573">
        <v>15</v>
      </c>
      <c r="J2573">
        <v>2</v>
      </c>
      <c r="K2573">
        <v>1</v>
      </c>
      <c r="L2573">
        <v>58699</v>
      </c>
      <c r="M2573" t="str">
        <f t="shared" si="374"/>
        <v>13</v>
      </c>
      <c r="N2573" t="s">
        <v>3323</v>
      </c>
      <c r="O2573" t="str">
        <f t="shared" si="377"/>
        <v>58611</v>
      </c>
      <c r="P2573" t="str">
        <f>"2100L"</f>
        <v>2100L</v>
      </c>
      <c r="Q2573" t="str">
        <f t="shared" si="376"/>
        <v>0101</v>
      </c>
      <c r="R2573">
        <v>2100</v>
      </c>
      <c r="S2573" t="str">
        <f t="shared" si="378"/>
        <v>5860</v>
      </c>
      <c r="T2573" t="s">
        <v>3685</v>
      </c>
      <c r="U2573" t="s">
        <v>2095</v>
      </c>
    </row>
    <row r="2574" spans="1:21" ht="15" customHeight="1" x14ac:dyDescent="0.3">
      <c r="A2574" t="s">
        <v>179</v>
      </c>
      <c r="B2574" t="str">
        <f>"00058985"</f>
        <v>00058985</v>
      </c>
      <c r="C2574" t="s">
        <v>4343</v>
      </c>
      <c r="D2574" t="s">
        <v>824</v>
      </c>
      <c r="E2574" t="str">
        <f>"00055156"</f>
        <v>00055156</v>
      </c>
      <c r="F2574">
        <v>0</v>
      </c>
      <c r="G2574" s="243">
        <v>37214</v>
      </c>
      <c r="H2574" t="s">
        <v>182</v>
      </c>
      <c r="I2574">
        <v>15</v>
      </c>
      <c r="J2574">
        <v>12</v>
      </c>
      <c r="K2574">
        <v>1</v>
      </c>
      <c r="L2574">
        <v>87431</v>
      </c>
      <c r="M2574" t="str">
        <f t="shared" si="374"/>
        <v>13</v>
      </c>
      <c r="N2574" t="s">
        <v>3370</v>
      </c>
      <c r="O2574" t="str">
        <f t="shared" si="377"/>
        <v>58611</v>
      </c>
      <c r="P2574" t="str">
        <f>"2300L"</f>
        <v>2300L</v>
      </c>
      <c r="Q2574" t="str">
        <f t="shared" si="376"/>
        <v>0101</v>
      </c>
      <c r="R2574">
        <v>2300</v>
      </c>
      <c r="S2574" t="str">
        <f t="shared" si="378"/>
        <v>5860</v>
      </c>
      <c r="T2574" t="s">
        <v>3685</v>
      </c>
      <c r="U2574" t="s">
        <v>2095</v>
      </c>
    </row>
    <row r="2575" spans="1:21" ht="15" customHeight="1" x14ac:dyDescent="0.3">
      <c r="A2575" t="s">
        <v>179</v>
      </c>
      <c r="B2575" t="str">
        <f>"00059430"</f>
        <v>00059430</v>
      </c>
      <c r="C2575" t="s">
        <v>4266</v>
      </c>
      <c r="D2575" t="s">
        <v>3687</v>
      </c>
      <c r="E2575" t="str">
        <f>"00066290"</f>
        <v>00066290</v>
      </c>
      <c r="F2575">
        <v>0</v>
      </c>
      <c r="G2575" s="243">
        <v>40755</v>
      </c>
      <c r="H2575" t="s">
        <v>182</v>
      </c>
      <c r="I2575">
        <v>15</v>
      </c>
      <c r="J2575">
        <v>2</v>
      </c>
      <c r="K2575">
        <v>1</v>
      </c>
      <c r="L2575">
        <v>56242</v>
      </c>
      <c r="M2575" t="str">
        <f t="shared" si="374"/>
        <v>13</v>
      </c>
      <c r="N2575" t="s">
        <v>3323</v>
      </c>
      <c r="O2575" t="str">
        <f t="shared" si="377"/>
        <v>58611</v>
      </c>
      <c r="P2575" t="str">
        <f>"2300L"</f>
        <v>2300L</v>
      </c>
      <c r="Q2575" t="str">
        <f t="shared" si="376"/>
        <v>0101</v>
      </c>
      <c r="R2575">
        <v>2300</v>
      </c>
      <c r="S2575" t="str">
        <f t="shared" si="378"/>
        <v>5860</v>
      </c>
      <c r="T2575" t="s">
        <v>3685</v>
      </c>
      <c r="U2575" t="s">
        <v>2095</v>
      </c>
    </row>
    <row r="2576" spans="1:21" ht="15" customHeight="1" x14ac:dyDescent="0.3">
      <c r="A2576" t="s">
        <v>179</v>
      </c>
      <c r="B2576" t="str">
        <f>"00059463"</f>
        <v>00059463</v>
      </c>
      <c r="C2576" t="s">
        <v>4266</v>
      </c>
      <c r="D2576" t="s">
        <v>5082</v>
      </c>
      <c r="E2576" t="str">
        <f>"00069509"</f>
        <v>00069509</v>
      </c>
      <c r="F2576">
        <v>0</v>
      </c>
      <c r="G2576" s="243">
        <v>41133</v>
      </c>
      <c r="H2576" t="s">
        <v>182</v>
      </c>
      <c r="I2576">
        <v>15</v>
      </c>
      <c r="J2576">
        <v>7</v>
      </c>
      <c r="K2576">
        <v>1</v>
      </c>
      <c r="L2576">
        <v>61068</v>
      </c>
      <c r="M2576" t="str">
        <f t="shared" si="374"/>
        <v>13</v>
      </c>
      <c r="N2576" t="s">
        <v>3370</v>
      </c>
      <c r="O2576" t="str">
        <f t="shared" si="377"/>
        <v>58611</v>
      </c>
      <c r="P2576" t="str">
        <f>"2300L"</f>
        <v>2300L</v>
      </c>
      <c r="Q2576" t="str">
        <f t="shared" si="376"/>
        <v>0101</v>
      </c>
      <c r="R2576">
        <v>2300</v>
      </c>
      <c r="S2576" t="str">
        <f t="shared" si="378"/>
        <v>5860</v>
      </c>
      <c r="T2576" t="s">
        <v>3685</v>
      </c>
      <c r="U2576" t="s">
        <v>2095</v>
      </c>
    </row>
    <row r="2577" spans="1:21" ht="15" customHeight="1" x14ac:dyDescent="0.3">
      <c r="A2577" t="s">
        <v>179</v>
      </c>
      <c r="B2577" t="str">
        <f>"00059612"</f>
        <v>00059612</v>
      </c>
      <c r="C2577" t="s">
        <v>4262</v>
      </c>
      <c r="D2577" t="s">
        <v>2111</v>
      </c>
      <c r="E2577" t="str">
        <f>"00062940"</f>
        <v>00062940</v>
      </c>
      <c r="F2577">
        <v>0</v>
      </c>
      <c r="G2577" s="243">
        <v>40406</v>
      </c>
      <c r="H2577" t="s">
        <v>182</v>
      </c>
      <c r="I2577">
        <v>15</v>
      </c>
      <c r="J2577">
        <v>3</v>
      </c>
      <c r="K2577">
        <v>1</v>
      </c>
      <c r="L2577">
        <v>58699</v>
      </c>
      <c r="M2577" t="str">
        <f t="shared" si="374"/>
        <v>13</v>
      </c>
      <c r="N2577" t="s">
        <v>3323</v>
      </c>
      <c r="O2577" t="str">
        <f t="shared" si="377"/>
        <v>58611</v>
      </c>
      <c r="P2577" t="str">
        <f>"2100L"</f>
        <v>2100L</v>
      </c>
      <c r="Q2577" t="str">
        <f t="shared" si="376"/>
        <v>0101</v>
      </c>
      <c r="R2577">
        <v>2100</v>
      </c>
      <c r="S2577" t="str">
        <f t="shared" si="378"/>
        <v>5860</v>
      </c>
      <c r="T2577" t="s">
        <v>3685</v>
      </c>
      <c r="U2577" t="s">
        <v>2095</v>
      </c>
    </row>
    <row r="2578" spans="1:21" ht="15" customHeight="1" x14ac:dyDescent="0.3">
      <c r="A2578" t="s">
        <v>179</v>
      </c>
      <c r="B2578" t="str">
        <f>"00059772"</f>
        <v>00059772</v>
      </c>
      <c r="C2578" t="s">
        <v>4262</v>
      </c>
      <c r="H2578" t="s">
        <v>170</v>
      </c>
      <c r="I2578">
        <v>15</v>
      </c>
      <c r="J2578">
        <v>1</v>
      </c>
      <c r="K2578">
        <v>1</v>
      </c>
      <c r="L2578">
        <v>51539</v>
      </c>
      <c r="M2578" t="str">
        <f t="shared" si="374"/>
        <v>13</v>
      </c>
      <c r="N2578" t="s">
        <v>3323</v>
      </c>
      <c r="O2578" t="str">
        <f t="shared" si="377"/>
        <v>58611</v>
      </c>
      <c r="P2578" t="str">
        <f>"2100L"</f>
        <v>2100L</v>
      </c>
      <c r="Q2578" t="str">
        <f t="shared" si="376"/>
        <v>0101</v>
      </c>
      <c r="R2578">
        <v>2100</v>
      </c>
      <c r="S2578" t="str">
        <f t="shared" si="378"/>
        <v>5860</v>
      </c>
      <c r="T2578" t="s">
        <v>3685</v>
      </c>
      <c r="U2578" t="s">
        <v>2095</v>
      </c>
    </row>
    <row r="2579" spans="1:21" ht="15" customHeight="1" x14ac:dyDescent="0.3">
      <c r="A2579" t="s">
        <v>179</v>
      </c>
      <c r="B2579" t="str">
        <f>"00059776"</f>
        <v>00059776</v>
      </c>
      <c r="C2579" t="s">
        <v>4272</v>
      </c>
      <c r="D2579" t="s">
        <v>5083</v>
      </c>
      <c r="E2579" t="str">
        <f>"00070002"</f>
        <v>00070002</v>
      </c>
      <c r="F2579">
        <v>0</v>
      </c>
      <c r="G2579" s="243">
        <v>41133</v>
      </c>
      <c r="H2579" t="s">
        <v>182</v>
      </c>
      <c r="I2579">
        <v>15</v>
      </c>
      <c r="J2579">
        <v>7</v>
      </c>
      <c r="K2579">
        <v>1</v>
      </c>
      <c r="L2579">
        <v>69132</v>
      </c>
      <c r="M2579" t="str">
        <f t="shared" si="374"/>
        <v>13</v>
      </c>
      <c r="N2579" t="s">
        <v>3323</v>
      </c>
      <c r="O2579" t="str">
        <f t="shared" si="377"/>
        <v>58611</v>
      </c>
      <c r="P2579" t="str">
        <f>"2200L"</f>
        <v>2200L</v>
      </c>
      <c r="Q2579" t="str">
        <f t="shared" si="376"/>
        <v>0101</v>
      </c>
      <c r="R2579">
        <v>2200</v>
      </c>
      <c r="S2579" t="str">
        <f t="shared" si="378"/>
        <v>5860</v>
      </c>
      <c r="T2579" t="s">
        <v>3685</v>
      </c>
      <c r="U2579" t="s">
        <v>2095</v>
      </c>
    </row>
    <row r="2580" spans="1:21" ht="15" customHeight="1" x14ac:dyDescent="0.3">
      <c r="A2580" t="s">
        <v>179</v>
      </c>
      <c r="B2580" t="str">
        <f>"00061155"</f>
        <v>00061155</v>
      </c>
      <c r="C2580" t="s">
        <v>4256</v>
      </c>
      <c r="H2580" t="s">
        <v>170</v>
      </c>
      <c r="I2580">
        <v>15</v>
      </c>
      <c r="J2580">
        <v>1</v>
      </c>
      <c r="K2580">
        <v>1</v>
      </c>
      <c r="L2580">
        <v>56693</v>
      </c>
      <c r="M2580" t="str">
        <f t="shared" si="374"/>
        <v>13</v>
      </c>
      <c r="N2580" t="s">
        <v>3323</v>
      </c>
      <c r="O2580" t="str">
        <f t="shared" ref="O2580:O2606" si="379">"58611"</f>
        <v>58611</v>
      </c>
      <c r="P2580" t="str">
        <f>"2100L"</f>
        <v>2100L</v>
      </c>
      <c r="Q2580" t="str">
        <f t="shared" si="376"/>
        <v>0101</v>
      </c>
      <c r="R2580">
        <v>2100</v>
      </c>
      <c r="S2580" t="str">
        <f t="shared" ref="S2580:S2606" si="380">"5860"</f>
        <v>5860</v>
      </c>
      <c r="T2580" t="s">
        <v>3685</v>
      </c>
      <c r="U2580" t="s">
        <v>2095</v>
      </c>
    </row>
    <row r="2581" spans="1:21" ht="15" customHeight="1" x14ac:dyDescent="0.3">
      <c r="A2581" t="s">
        <v>179</v>
      </c>
      <c r="B2581" t="str">
        <f>"00061740"</f>
        <v>00061740</v>
      </c>
      <c r="C2581" t="s">
        <v>4266</v>
      </c>
      <c r="H2581" t="s">
        <v>170</v>
      </c>
      <c r="I2581">
        <v>15</v>
      </c>
      <c r="J2581">
        <v>1</v>
      </c>
      <c r="K2581">
        <v>1</v>
      </c>
      <c r="L2581">
        <v>54975</v>
      </c>
      <c r="M2581" t="str">
        <f t="shared" si="374"/>
        <v>13</v>
      </c>
      <c r="N2581" t="s">
        <v>3323</v>
      </c>
      <c r="O2581" t="str">
        <f t="shared" si="379"/>
        <v>58611</v>
      </c>
      <c r="P2581" t="str">
        <f>"2300L"</f>
        <v>2300L</v>
      </c>
      <c r="Q2581" t="str">
        <f t="shared" si="376"/>
        <v>0101</v>
      </c>
      <c r="R2581">
        <v>2300</v>
      </c>
      <c r="S2581" t="str">
        <f t="shared" si="380"/>
        <v>5860</v>
      </c>
      <c r="T2581" t="s">
        <v>3685</v>
      </c>
      <c r="U2581" t="s">
        <v>2095</v>
      </c>
    </row>
    <row r="2582" spans="1:21" ht="15" customHeight="1" x14ac:dyDescent="0.3">
      <c r="A2582" t="s">
        <v>179</v>
      </c>
      <c r="B2582" t="str">
        <f>"00063000"</f>
        <v>00063000</v>
      </c>
      <c r="C2582" t="s">
        <v>4262</v>
      </c>
      <c r="D2582" t="s">
        <v>2112</v>
      </c>
      <c r="E2582" t="str">
        <f>"00062393"</f>
        <v>00062393</v>
      </c>
      <c r="F2582">
        <v>0</v>
      </c>
      <c r="G2582" s="243">
        <v>40406</v>
      </c>
      <c r="H2582" t="s">
        <v>182</v>
      </c>
      <c r="I2582">
        <v>15</v>
      </c>
      <c r="J2582">
        <v>11</v>
      </c>
      <c r="K2582">
        <v>1</v>
      </c>
      <c r="L2582">
        <v>70891</v>
      </c>
      <c r="M2582" t="str">
        <f t="shared" si="374"/>
        <v>13</v>
      </c>
      <c r="N2582" t="s">
        <v>3323</v>
      </c>
      <c r="O2582" t="str">
        <f t="shared" si="379"/>
        <v>58611</v>
      </c>
      <c r="P2582" t="str">
        <f>"2100L"</f>
        <v>2100L</v>
      </c>
      <c r="Q2582" t="str">
        <f t="shared" si="376"/>
        <v>0101</v>
      </c>
      <c r="R2582">
        <v>2100</v>
      </c>
      <c r="S2582" t="str">
        <f t="shared" si="380"/>
        <v>5860</v>
      </c>
      <c r="T2582" t="s">
        <v>3685</v>
      </c>
      <c r="U2582" t="s">
        <v>2095</v>
      </c>
    </row>
    <row r="2583" spans="1:21" ht="15" customHeight="1" x14ac:dyDescent="0.3">
      <c r="A2583" t="s">
        <v>179</v>
      </c>
      <c r="B2583" t="str">
        <f>"00063023"</f>
        <v>00063023</v>
      </c>
      <c r="C2583" t="s">
        <v>4272</v>
      </c>
      <c r="D2583" t="s">
        <v>5084</v>
      </c>
      <c r="E2583" t="str">
        <f>"00049059"</f>
        <v>00049059</v>
      </c>
      <c r="F2583">
        <v>0</v>
      </c>
      <c r="G2583" s="243">
        <v>39836</v>
      </c>
      <c r="H2583" t="s">
        <v>182</v>
      </c>
      <c r="I2583">
        <v>15</v>
      </c>
      <c r="J2583">
        <v>5</v>
      </c>
      <c r="K2583">
        <v>1</v>
      </c>
      <c r="L2583">
        <v>56655</v>
      </c>
      <c r="M2583" t="str">
        <f t="shared" si="374"/>
        <v>13</v>
      </c>
      <c r="N2583" t="s">
        <v>3323</v>
      </c>
      <c r="O2583" t="str">
        <f t="shared" si="379"/>
        <v>58611</v>
      </c>
      <c r="P2583" t="str">
        <f>"2200L"</f>
        <v>2200L</v>
      </c>
      <c r="Q2583" t="str">
        <f t="shared" si="376"/>
        <v>0101</v>
      </c>
      <c r="R2583">
        <v>2200</v>
      </c>
      <c r="S2583" t="str">
        <f t="shared" si="380"/>
        <v>5860</v>
      </c>
      <c r="T2583" t="s">
        <v>3685</v>
      </c>
      <c r="U2583" t="s">
        <v>2095</v>
      </c>
    </row>
    <row r="2584" spans="1:21" ht="15" customHeight="1" x14ac:dyDescent="0.3">
      <c r="A2584" t="s">
        <v>179</v>
      </c>
      <c r="B2584" t="str">
        <f>"00063087"</f>
        <v>00063087</v>
      </c>
      <c r="C2584" t="s">
        <v>4260</v>
      </c>
      <c r="D2584" t="s">
        <v>2113</v>
      </c>
      <c r="E2584" t="str">
        <f>"00060587"</f>
        <v>00060587</v>
      </c>
      <c r="F2584">
        <v>0</v>
      </c>
      <c r="G2584" s="243">
        <v>40252</v>
      </c>
      <c r="H2584" t="s">
        <v>182</v>
      </c>
      <c r="I2584">
        <v>15</v>
      </c>
      <c r="J2584">
        <v>10</v>
      </c>
      <c r="K2584">
        <v>1</v>
      </c>
      <c r="L2584">
        <v>78273</v>
      </c>
      <c r="M2584" t="str">
        <f t="shared" si="374"/>
        <v>13</v>
      </c>
      <c r="N2584" t="s">
        <v>3323</v>
      </c>
      <c r="O2584" t="str">
        <f t="shared" si="379"/>
        <v>58611</v>
      </c>
      <c r="P2584" t="str">
        <f>"2100L"</f>
        <v>2100L</v>
      </c>
      <c r="Q2584" t="str">
        <f t="shared" si="376"/>
        <v>0101</v>
      </c>
      <c r="R2584">
        <v>2100</v>
      </c>
      <c r="S2584" t="str">
        <f t="shared" si="380"/>
        <v>5860</v>
      </c>
      <c r="T2584" t="s">
        <v>3685</v>
      </c>
      <c r="U2584" t="s">
        <v>2095</v>
      </c>
    </row>
    <row r="2585" spans="1:21" ht="15" customHeight="1" x14ac:dyDescent="0.3">
      <c r="A2585" t="s">
        <v>179</v>
      </c>
      <c r="B2585" t="str">
        <f>"00066596"</f>
        <v>00066596</v>
      </c>
      <c r="C2585" t="s">
        <v>4262</v>
      </c>
      <c r="D2585" t="s">
        <v>2114</v>
      </c>
      <c r="E2585" t="str">
        <f>"00053642"</f>
        <v>00053642</v>
      </c>
      <c r="F2585">
        <v>0</v>
      </c>
      <c r="G2585" s="243">
        <v>33591</v>
      </c>
      <c r="H2585" t="s">
        <v>182</v>
      </c>
      <c r="I2585">
        <v>15</v>
      </c>
      <c r="J2585">
        <v>11</v>
      </c>
      <c r="K2585">
        <v>1</v>
      </c>
      <c r="L2585">
        <v>73325</v>
      </c>
      <c r="M2585" t="str">
        <f t="shared" ref="M2585:M2644" si="381">"13"</f>
        <v>13</v>
      </c>
      <c r="N2585" t="s">
        <v>3323</v>
      </c>
      <c r="O2585" t="str">
        <f t="shared" si="379"/>
        <v>58611</v>
      </c>
      <c r="P2585" t="str">
        <f>"2300L"</f>
        <v>2300L</v>
      </c>
      <c r="Q2585" t="str">
        <f t="shared" si="376"/>
        <v>0101</v>
      </c>
      <c r="R2585">
        <v>2300</v>
      </c>
      <c r="S2585" t="str">
        <f t="shared" si="380"/>
        <v>5860</v>
      </c>
      <c r="T2585" t="s">
        <v>3685</v>
      </c>
      <c r="U2585" t="s">
        <v>2095</v>
      </c>
    </row>
    <row r="2586" spans="1:21" ht="15" customHeight="1" x14ac:dyDescent="0.3">
      <c r="A2586" t="s">
        <v>179</v>
      </c>
      <c r="B2586" t="str">
        <f>"00066597"</f>
        <v>00066597</v>
      </c>
      <c r="C2586" t="s">
        <v>4262</v>
      </c>
      <c r="D2586" t="s">
        <v>5085</v>
      </c>
      <c r="E2586" t="str">
        <f>"00057170"</f>
        <v>00057170</v>
      </c>
      <c r="F2586">
        <v>0</v>
      </c>
      <c r="G2586" s="243">
        <v>40042</v>
      </c>
      <c r="H2586" t="s">
        <v>182</v>
      </c>
      <c r="I2586">
        <v>15</v>
      </c>
      <c r="J2586">
        <v>6</v>
      </c>
      <c r="K2586">
        <v>1</v>
      </c>
      <c r="L2586">
        <v>66078</v>
      </c>
      <c r="M2586" t="str">
        <f t="shared" si="381"/>
        <v>13</v>
      </c>
      <c r="N2586" t="s">
        <v>3323</v>
      </c>
      <c r="O2586" t="str">
        <f t="shared" si="379"/>
        <v>58611</v>
      </c>
      <c r="P2586" t="str">
        <f>"2100L"</f>
        <v>2100L</v>
      </c>
      <c r="Q2586" t="str">
        <f t="shared" si="376"/>
        <v>0101</v>
      </c>
      <c r="R2586">
        <v>2100</v>
      </c>
      <c r="S2586" t="str">
        <f t="shared" si="380"/>
        <v>5860</v>
      </c>
      <c r="T2586" t="s">
        <v>3685</v>
      </c>
      <c r="U2586" t="s">
        <v>2095</v>
      </c>
    </row>
    <row r="2587" spans="1:21" ht="15" customHeight="1" x14ac:dyDescent="0.3">
      <c r="A2587" t="s">
        <v>179</v>
      </c>
      <c r="B2587" t="str">
        <f>"00066600"</f>
        <v>00066600</v>
      </c>
      <c r="C2587" t="s">
        <v>4266</v>
      </c>
      <c r="D2587" t="s">
        <v>2115</v>
      </c>
      <c r="E2587" t="str">
        <f>"00057698"</f>
        <v>00057698</v>
      </c>
      <c r="F2587">
        <v>0</v>
      </c>
      <c r="G2587" s="243">
        <v>40045</v>
      </c>
      <c r="H2587" t="s">
        <v>182</v>
      </c>
      <c r="I2587">
        <v>15</v>
      </c>
      <c r="J2587">
        <v>4</v>
      </c>
      <c r="K2587">
        <v>1</v>
      </c>
      <c r="L2587">
        <v>61158</v>
      </c>
      <c r="M2587" t="str">
        <f t="shared" si="381"/>
        <v>13</v>
      </c>
      <c r="N2587" t="s">
        <v>3323</v>
      </c>
      <c r="O2587" t="str">
        <f t="shared" si="379"/>
        <v>58611</v>
      </c>
      <c r="P2587" t="str">
        <f>"2300L"</f>
        <v>2300L</v>
      </c>
      <c r="Q2587" t="str">
        <f t="shared" si="376"/>
        <v>0101</v>
      </c>
      <c r="R2587">
        <v>2300</v>
      </c>
      <c r="S2587" t="str">
        <f t="shared" si="380"/>
        <v>5860</v>
      </c>
      <c r="T2587" t="s">
        <v>3685</v>
      </c>
      <c r="U2587" t="s">
        <v>2095</v>
      </c>
    </row>
    <row r="2588" spans="1:21" ht="15" customHeight="1" x14ac:dyDescent="0.3">
      <c r="A2588" t="s">
        <v>179</v>
      </c>
      <c r="B2588" t="str">
        <f>"00072093"</f>
        <v>00072093</v>
      </c>
      <c r="C2588" t="s">
        <v>4288</v>
      </c>
      <c r="D2588" t="s">
        <v>5086</v>
      </c>
      <c r="E2588" t="str">
        <f>"00057749"</f>
        <v>00057749</v>
      </c>
      <c r="F2588">
        <v>0</v>
      </c>
      <c r="G2588" s="243">
        <v>40042</v>
      </c>
      <c r="H2588" t="s">
        <v>182</v>
      </c>
      <c r="I2588">
        <v>4</v>
      </c>
      <c r="J2588">
        <v>3</v>
      </c>
      <c r="K2588">
        <v>1</v>
      </c>
      <c r="L2588">
        <v>23848.12</v>
      </c>
      <c r="M2588" t="str">
        <f t="shared" si="381"/>
        <v>13</v>
      </c>
      <c r="N2588" t="s">
        <v>3323</v>
      </c>
      <c r="O2588" t="str">
        <f t="shared" si="379"/>
        <v>58611</v>
      </c>
      <c r="P2588" t="str">
        <f>"2100L"</f>
        <v>2100L</v>
      </c>
      <c r="Q2588" t="str">
        <f t="shared" si="376"/>
        <v>0101</v>
      </c>
      <c r="R2588">
        <v>2100</v>
      </c>
      <c r="S2588" t="str">
        <f t="shared" si="380"/>
        <v>5860</v>
      </c>
      <c r="T2588" t="s">
        <v>3685</v>
      </c>
      <c r="U2588" t="s">
        <v>2095</v>
      </c>
    </row>
    <row r="2589" spans="1:21" ht="15" customHeight="1" x14ac:dyDescent="0.3">
      <c r="A2589" t="s">
        <v>179</v>
      </c>
      <c r="B2589" t="str">
        <f>"00072094"</f>
        <v>00072094</v>
      </c>
      <c r="C2589" t="s">
        <v>4288</v>
      </c>
      <c r="D2589" t="s">
        <v>5087</v>
      </c>
      <c r="E2589" t="str">
        <f>"00044737"</f>
        <v>00044737</v>
      </c>
      <c r="F2589">
        <v>0</v>
      </c>
      <c r="G2589" s="243">
        <v>40616</v>
      </c>
      <c r="H2589" t="s">
        <v>182</v>
      </c>
      <c r="I2589">
        <v>4</v>
      </c>
      <c r="J2589">
        <v>8</v>
      </c>
      <c r="K2589">
        <v>1</v>
      </c>
      <c r="L2589">
        <v>27329.75</v>
      </c>
      <c r="M2589" t="str">
        <f t="shared" si="381"/>
        <v>13</v>
      </c>
      <c r="N2589" t="s">
        <v>3323</v>
      </c>
      <c r="O2589" t="str">
        <f t="shared" si="379"/>
        <v>58611</v>
      </c>
      <c r="P2589" t="str">
        <f>"2100L"</f>
        <v>2100L</v>
      </c>
      <c r="Q2589" t="str">
        <f t="shared" si="376"/>
        <v>0101</v>
      </c>
      <c r="R2589">
        <v>2100</v>
      </c>
      <c r="S2589" t="str">
        <f t="shared" si="380"/>
        <v>5860</v>
      </c>
      <c r="T2589" t="s">
        <v>3685</v>
      </c>
      <c r="U2589" t="s">
        <v>2095</v>
      </c>
    </row>
    <row r="2590" spans="1:21" ht="15" customHeight="1" x14ac:dyDescent="0.3">
      <c r="A2590" t="s">
        <v>179</v>
      </c>
      <c r="B2590" t="str">
        <f>"00072194"</f>
        <v>00072194</v>
      </c>
      <c r="C2590" t="s">
        <v>4262</v>
      </c>
      <c r="D2590" t="s">
        <v>5088</v>
      </c>
      <c r="E2590" t="str">
        <f>"00062851"</f>
        <v>00062851</v>
      </c>
      <c r="F2590">
        <v>0</v>
      </c>
      <c r="G2590" s="243">
        <v>40406</v>
      </c>
      <c r="H2590" t="s">
        <v>182</v>
      </c>
      <c r="I2590">
        <v>15</v>
      </c>
      <c r="J2590">
        <v>2</v>
      </c>
      <c r="K2590">
        <v>1</v>
      </c>
      <c r="L2590">
        <v>56242</v>
      </c>
      <c r="M2590" t="str">
        <f t="shared" si="381"/>
        <v>13</v>
      </c>
      <c r="N2590" t="s">
        <v>3323</v>
      </c>
      <c r="O2590" t="str">
        <f t="shared" si="379"/>
        <v>58611</v>
      </c>
      <c r="P2590" t="str">
        <f>"2200L"</f>
        <v>2200L</v>
      </c>
      <c r="Q2590" t="str">
        <f t="shared" si="376"/>
        <v>0101</v>
      </c>
      <c r="R2590">
        <v>2200</v>
      </c>
      <c r="S2590" t="str">
        <f t="shared" si="380"/>
        <v>5860</v>
      </c>
      <c r="T2590" t="s">
        <v>3685</v>
      </c>
      <c r="U2590" t="s">
        <v>2095</v>
      </c>
    </row>
    <row r="2591" spans="1:21" ht="15" customHeight="1" x14ac:dyDescent="0.3">
      <c r="A2591" t="s">
        <v>179</v>
      </c>
      <c r="B2591" t="str">
        <f>"00072379"</f>
        <v>00072379</v>
      </c>
      <c r="C2591" t="s">
        <v>4266</v>
      </c>
      <c r="D2591" t="s">
        <v>2116</v>
      </c>
      <c r="E2591" t="str">
        <f>"00063167"</f>
        <v>00063167</v>
      </c>
      <c r="F2591">
        <v>0</v>
      </c>
      <c r="G2591" s="243">
        <v>40406</v>
      </c>
      <c r="H2591" t="s">
        <v>182</v>
      </c>
      <c r="I2591">
        <v>15</v>
      </c>
      <c r="J2591">
        <v>6</v>
      </c>
      <c r="K2591">
        <v>1</v>
      </c>
      <c r="L2591">
        <v>66078</v>
      </c>
      <c r="M2591" t="str">
        <f t="shared" si="381"/>
        <v>13</v>
      </c>
      <c r="N2591" t="s">
        <v>3323</v>
      </c>
      <c r="O2591" t="str">
        <f t="shared" si="379"/>
        <v>58611</v>
      </c>
      <c r="P2591" t="str">
        <f>"2100L"</f>
        <v>2100L</v>
      </c>
      <c r="Q2591" t="str">
        <f t="shared" si="376"/>
        <v>0101</v>
      </c>
      <c r="R2591">
        <v>2100</v>
      </c>
      <c r="S2591" t="str">
        <f t="shared" si="380"/>
        <v>5860</v>
      </c>
      <c r="T2591" t="s">
        <v>3685</v>
      </c>
      <c r="U2591" t="s">
        <v>2095</v>
      </c>
    </row>
    <row r="2592" spans="1:21" ht="15" customHeight="1" x14ac:dyDescent="0.3">
      <c r="A2592" t="s">
        <v>179</v>
      </c>
      <c r="B2592" t="str">
        <f>"00072499"</f>
        <v>00072499</v>
      </c>
      <c r="C2592" t="s">
        <v>4274</v>
      </c>
      <c r="D2592" t="s">
        <v>5089</v>
      </c>
      <c r="E2592" t="str">
        <f>"00058582"</f>
        <v>00058582</v>
      </c>
      <c r="F2592">
        <v>0</v>
      </c>
      <c r="G2592" s="243">
        <v>40085</v>
      </c>
      <c r="H2592" t="s">
        <v>182</v>
      </c>
      <c r="I2592">
        <v>4</v>
      </c>
      <c r="J2592">
        <v>5</v>
      </c>
      <c r="K2592">
        <v>0.71</v>
      </c>
      <c r="L2592">
        <v>25239.37</v>
      </c>
      <c r="M2592" t="str">
        <f t="shared" si="381"/>
        <v>13</v>
      </c>
      <c r="N2592" t="s">
        <v>3323</v>
      </c>
      <c r="O2592" t="str">
        <f t="shared" si="379"/>
        <v>58611</v>
      </c>
      <c r="P2592" t="str">
        <f>"2200L"</f>
        <v>2200L</v>
      </c>
      <c r="Q2592" t="str">
        <f t="shared" si="376"/>
        <v>0101</v>
      </c>
      <c r="R2592">
        <v>2200</v>
      </c>
      <c r="S2592" t="str">
        <f t="shared" si="380"/>
        <v>5860</v>
      </c>
      <c r="T2592" t="s">
        <v>3685</v>
      </c>
      <c r="U2592" t="s">
        <v>2095</v>
      </c>
    </row>
    <row r="2593" spans="1:21" ht="15" customHeight="1" x14ac:dyDescent="0.3">
      <c r="A2593" t="s">
        <v>179</v>
      </c>
      <c r="B2593" t="str">
        <f>"00072962"</f>
        <v>00072962</v>
      </c>
      <c r="C2593" t="s">
        <v>4262</v>
      </c>
      <c r="D2593" t="s">
        <v>2118</v>
      </c>
      <c r="E2593" t="str">
        <f>"00063015"</f>
        <v>00063015</v>
      </c>
      <c r="F2593">
        <v>0</v>
      </c>
      <c r="G2593" s="243">
        <v>40406</v>
      </c>
      <c r="H2593" t="s">
        <v>182</v>
      </c>
      <c r="I2593">
        <v>15</v>
      </c>
      <c r="J2593">
        <v>3</v>
      </c>
      <c r="K2593">
        <v>1</v>
      </c>
      <c r="L2593">
        <v>52777</v>
      </c>
      <c r="M2593" t="str">
        <f t="shared" si="381"/>
        <v>13</v>
      </c>
      <c r="N2593" t="s">
        <v>3323</v>
      </c>
      <c r="O2593" t="str">
        <f t="shared" si="379"/>
        <v>58611</v>
      </c>
      <c r="P2593" t="str">
        <f>"2100L"</f>
        <v>2100L</v>
      </c>
      <c r="Q2593" t="str">
        <f t="shared" si="376"/>
        <v>0101</v>
      </c>
      <c r="R2593">
        <v>2100</v>
      </c>
      <c r="S2593" t="str">
        <f t="shared" si="380"/>
        <v>5860</v>
      </c>
      <c r="T2593" t="s">
        <v>3685</v>
      </c>
      <c r="U2593" t="s">
        <v>2095</v>
      </c>
    </row>
    <row r="2594" spans="1:21" ht="15" customHeight="1" x14ac:dyDescent="0.3">
      <c r="A2594" t="s">
        <v>179</v>
      </c>
      <c r="B2594" t="str">
        <f>"00073929"</f>
        <v>00073929</v>
      </c>
      <c r="C2594" t="s">
        <v>3670</v>
      </c>
      <c r="H2594" t="s">
        <v>170</v>
      </c>
      <c r="I2594">
        <v>8</v>
      </c>
      <c r="J2594">
        <v>1</v>
      </c>
      <c r="K2594">
        <v>1</v>
      </c>
      <c r="L2594">
        <v>82397</v>
      </c>
      <c r="M2594" t="str">
        <f t="shared" si="381"/>
        <v>13</v>
      </c>
      <c r="N2594" t="s">
        <v>3323</v>
      </c>
      <c r="O2594" t="str">
        <f t="shared" si="379"/>
        <v>58611</v>
      </c>
      <c r="P2594" t="str">
        <f>"1501L"</f>
        <v>1501L</v>
      </c>
      <c r="Q2594" t="str">
        <f t="shared" si="376"/>
        <v>0101</v>
      </c>
      <c r="R2594">
        <v>1501</v>
      </c>
      <c r="S2594" t="str">
        <f t="shared" si="380"/>
        <v>5860</v>
      </c>
      <c r="T2594" t="s">
        <v>3685</v>
      </c>
      <c r="U2594" t="s">
        <v>2095</v>
      </c>
    </row>
    <row r="2595" spans="1:21" ht="15" customHeight="1" x14ac:dyDescent="0.3">
      <c r="A2595" t="s">
        <v>179</v>
      </c>
      <c r="B2595" t="str">
        <f>"00073930"</f>
        <v>00073930</v>
      </c>
      <c r="C2595" t="s">
        <v>4360</v>
      </c>
      <c r="D2595" t="s">
        <v>5090</v>
      </c>
      <c r="E2595" t="str">
        <f>"00052229"</f>
        <v>00052229</v>
      </c>
      <c r="F2595">
        <v>0</v>
      </c>
      <c r="G2595" s="243">
        <v>36437</v>
      </c>
      <c r="H2595" t="s">
        <v>182</v>
      </c>
      <c r="I2595">
        <v>7</v>
      </c>
      <c r="J2595">
        <v>2</v>
      </c>
      <c r="K2595">
        <v>1</v>
      </c>
      <c r="L2595">
        <v>35977</v>
      </c>
      <c r="M2595" t="str">
        <f t="shared" si="381"/>
        <v>13</v>
      </c>
      <c r="N2595" t="s">
        <v>3323</v>
      </c>
      <c r="O2595" t="str">
        <f t="shared" si="379"/>
        <v>58611</v>
      </c>
      <c r="P2595" t="str">
        <f>"1502L"</f>
        <v>1502L</v>
      </c>
      <c r="Q2595" t="str">
        <f t="shared" si="376"/>
        <v>0101</v>
      </c>
      <c r="R2595">
        <v>1502</v>
      </c>
      <c r="S2595" t="str">
        <f t="shared" si="380"/>
        <v>5860</v>
      </c>
      <c r="T2595" t="s">
        <v>3685</v>
      </c>
      <c r="U2595" t="s">
        <v>2095</v>
      </c>
    </row>
    <row r="2596" spans="1:21" ht="15" customHeight="1" x14ac:dyDescent="0.3">
      <c r="A2596" t="s">
        <v>179</v>
      </c>
      <c r="B2596" t="str">
        <f>"00073931"</f>
        <v>00073931</v>
      </c>
      <c r="C2596" t="s">
        <v>4341</v>
      </c>
      <c r="H2596" t="s">
        <v>170</v>
      </c>
      <c r="I2596">
        <v>10</v>
      </c>
      <c r="J2596">
        <v>1</v>
      </c>
      <c r="K2596">
        <v>1</v>
      </c>
      <c r="L2596">
        <v>64547</v>
      </c>
      <c r="M2596" t="str">
        <f t="shared" si="381"/>
        <v>13</v>
      </c>
      <c r="N2596" t="s">
        <v>3323</v>
      </c>
      <c r="O2596" t="str">
        <f t="shared" si="379"/>
        <v>58611</v>
      </c>
      <c r="P2596" t="str">
        <f>"3030L"</f>
        <v>3030L</v>
      </c>
      <c r="Q2596" t="str">
        <f t="shared" si="376"/>
        <v>0101</v>
      </c>
      <c r="R2596">
        <v>3030</v>
      </c>
      <c r="S2596" t="str">
        <f t="shared" si="380"/>
        <v>5860</v>
      </c>
      <c r="T2596" t="s">
        <v>3685</v>
      </c>
      <c r="U2596" t="s">
        <v>2095</v>
      </c>
    </row>
    <row r="2597" spans="1:21" ht="15" customHeight="1" x14ac:dyDescent="0.3">
      <c r="A2597" t="s">
        <v>179</v>
      </c>
      <c r="B2597" t="str">
        <f>"00073932"</f>
        <v>00073932</v>
      </c>
      <c r="C2597" t="s">
        <v>4266</v>
      </c>
      <c r="D2597" t="s">
        <v>3688</v>
      </c>
      <c r="E2597" t="str">
        <f>"00066038"</f>
        <v>00066038</v>
      </c>
      <c r="F2597">
        <v>0</v>
      </c>
      <c r="G2597" s="243">
        <v>40755</v>
      </c>
      <c r="H2597" t="s">
        <v>182</v>
      </c>
      <c r="I2597">
        <v>15</v>
      </c>
      <c r="J2597">
        <v>5</v>
      </c>
      <c r="K2597">
        <v>1</v>
      </c>
      <c r="L2597">
        <v>63611</v>
      </c>
      <c r="M2597" t="str">
        <f t="shared" si="381"/>
        <v>13</v>
      </c>
      <c r="N2597" t="s">
        <v>3323</v>
      </c>
      <c r="O2597" t="str">
        <f t="shared" si="379"/>
        <v>58611</v>
      </c>
      <c r="P2597" t="str">
        <f>"2300L"</f>
        <v>2300L</v>
      </c>
      <c r="Q2597" t="str">
        <f t="shared" si="376"/>
        <v>0101</v>
      </c>
      <c r="R2597">
        <v>2300</v>
      </c>
      <c r="S2597" t="str">
        <f t="shared" si="380"/>
        <v>5860</v>
      </c>
      <c r="T2597" t="s">
        <v>3685</v>
      </c>
      <c r="U2597" t="s">
        <v>2095</v>
      </c>
    </row>
    <row r="2598" spans="1:21" ht="15" customHeight="1" x14ac:dyDescent="0.3">
      <c r="A2598" t="s">
        <v>179</v>
      </c>
      <c r="B2598" t="str">
        <f>"00074284"</f>
        <v>00074284</v>
      </c>
      <c r="C2598" t="s">
        <v>4272</v>
      </c>
      <c r="D2598" t="s">
        <v>5091</v>
      </c>
      <c r="E2598" t="str">
        <f>"00065908"</f>
        <v>00065908</v>
      </c>
      <c r="F2598">
        <v>0</v>
      </c>
      <c r="G2598" s="243">
        <v>41008</v>
      </c>
      <c r="H2598" t="s">
        <v>182</v>
      </c>
      <c r="I2598">
        <v>15</v>
      </c>
      <c r="J2598">
        <v>2</v>
      </c>
      <c r="K2598">
        <v>1</v>
      </c>
      <c r="L2598">
        <v>56242</v>
      </c>
      <c r="M2598" t="str">
        <f t="shared" si="381"/>
        <v>13</v>
      </c>
      <c r="N2598" t="s">
        <v>3323</v>
      </c>
      <c r="O2598" t="str">
        <f t="shared" si="379"/>
        <v>58611</v>
      </c>
      <c r="P2598" t="str">
        <f>"2100L"</f>
        <v>2100L</v>
      </c>
      <c r="Q2598" t="str">
        <f t="shared" si="376"/>
        <v>0101</v>
      </c>
      <c r="R2598">
        <v>2100</v>
      </c>
      <c r="S2598" t="str">
        <f t="shared" si="380"/>
        <v>5860</v>
      </c>
      <c r="T2598" t="s">
        <v>3685</v>
      </c>
      <c r="U2598" t="s">
        <v>2095</v>
      </c>
    </row>
    <row r="2599" spans="1:21" ht="15" customHeight="1" x14ac:dyDescent="0.3">
      <c r="A2599" t="s">
        <v>179</v>
      </c>
      <c r="B2599" t="str">
        <f>"00074566"</f>
        <v>00074566</v>
      </c>
      <c r="C2599" t="s">
        <v>4260</v>
      </c>
      <c r="D2599" t="s">
        <v>3689</v>
      </c>
      <c r="E2599" t="str">
        <f>"00066165"</f>
        <v>00066165</v>
      </c>
      <c r="F2599">
        <v>0</v>
      </c>
      <c r="G2599" s="243">
        <v>40755</v>
      </c>
      <c r="H2599" t="s">
        <v>182</v>
      </c>
      <c r="I2599">
        <v>15</v>
      </c>
      <c r="J2599">
        <v>9</v>
      </c>
      <c r="K2599">
        <v>1</v>
      </c>
      <c r="L2599">
        <v>75232</v>
      </c>
      <c r="M2599" t="str">
        <f t="shared" si="381"/>
        <v>13</v>
      </c>
      <c r="N2599" t="s">
        <v>3323</v>
      </c>
      <c r="O2599" t="str">
        <f t="shared" si="379"/>
        <v>58611</v>
      </c>
      <c r="P2599" t="str">
        <f>"3030L"</f>
        <v>3030L</v>
      </c>
      <c r="Q2599" t="str">
        <f t="shared" si="376"/>
        <v>0101</v>
      </c>
      <c r="R2599">
        <v>3030</v>
      </c>
      <c r="S2599" t="str">
        <f t="shared" si="380"/>
        <v>5860</v>
      </c>
      <c r="T2599" t="s">
        <v>3685</v>
      </c>
      <c r="U2599" t="s">
        <v>2095</v>
      </c>
    </row>
    <row r="2600" spans="1:21" ht="15" customHeight="1" x14ac:dyDescent="0.3">
      <c r="A2600" t="s">
        <v>179</v>
      </c>
      <c r="B2600" t="str">
        <f>"00074636"</f>
        <v>00074636</v>
      </c>
      <c r="C2600" t="s">
        <v>200</v>
      </c>
      <c r="D2600" t="s">
        <v>5092</v>
      </c>
      <c r="E2600" t="str">
        <f>"00044417"</f>
        <v>00044417</v>
      </c>
      <c r="F2600">
        <v>0</v>
      </c>
      <c r="G2600" s="243">
        <v>39916</v>
      </c>
      <c r="H2600" t="s">
        <v>182</v>
      </c>
      <c r="I2600">
        <v>15</v>
      </c>
      <c r="J2600">
        <v>6</v>
      </c>
      <c r="K2600">
        <v>1</v>
      </c>
      <c r="L2600">
        <v>66078</v>
      </c>
      <c r="M2600" t="str">
        <f t="shared" si="381"/>
        <v>13</v>
      </c>
      <c r="N2600" t="s">
        <v>3323</v>
      </c>
      <c r="O2600" t="str">
        <f t="shared" si="379"/>
        <v>58611</v>
      </c>
      <c r="P2600" t="str">
        <f t="shared" ref="P2600:P2605" si="382">"2100L"</f>
        <v>2100L</v>
      </c>
      <c r="Q2600" t="str">
        <f t="shared" si="376"/>
        <v>0101</v>
      </c>
      <c r="R2600">
        <v>2100</v>
      </c>
      <c r="S2600" t="str">
        <f t="shared" si="380"/>
        <v>5860</v>
      </c>
      <c r="T2600" t="s">
        <v>3685</v>
      </c>
      <c r="U2600" t="s">
        <v>2095</v>
      </c>
    </row>
    <row r="2601" spans="1:21" ht="15" customHeight="1" x14ac:dyDescent="0.3">
      <c r="A2601" t="s">
        <v>179</v>
      </c>
      <c r="B2601" t="str">
        <f>"00076207"</f>
        <v>00076207</v>
      </c>
      <c r="C2601" t="s">
        <v>4271</v>
      </c>
      <c r="D2601" t="s">
        <v>5093</v>
      </c>
      <c r="E2601" t="str">
        <f>"00051536"</f>
        <v>00051536</v>
      </c>
      <c r="F2601">
        <v>0</v>
      </c>
      <c r="G2601" s="243">
        <v>35149</v>
      </c>
      <c r="H2601" t="s">
        <v>182</v>
      </c>
      <c r="I2601">
        <v>15</v>
      </c>
      <c r="J2601">
        <v>10</v>
      </c>
      <c r="K2601">
        <v>0.5</v>
      </c>
      <c r="L2601">
        <v>83199</v>
      </c>
      <c r="M2601" t="str">
        <f t="shared" si="381"/>
        <v>13</v>
      </c>
      <c r="N2601" t="s">
        <v>3370</v>
      </c>
      <c r="O2601" t="str">
        <f t="shared" si="379"/>
        <v>58611</v>
      </c>
      <c r="P2601" t="str">
        <f t="shared" si="382"/>
        <v>2100L</v>
      </c>
      <c r="Q2601" t="str">
        <f t="shared" si="376"/>
        <v>0101</v>
      </c>
      <c r="R2601">
        <v>2100</v>
      </c>
      <c r="S2601" t="str">
        <f t="shared" si="380"/>
        <v>5860</v>
      </c>
      <c r="T2601" t="s">
        <v>3685</v>
      </c>
      <c r="U2601" t="s">
        <v>2095</v>
      </c>
    </row>
    <row r="2602" spans="1:21" ht="15" customHeight="1" x14ac:dyDescent="0.3">
      <c r="A2602" t="s">
        <v>179</v>
      </c>
      <c r="B2602" t="str">
        <f>"00076208"</f>
        <v>00076208</v>
      </c>
      <c r="C2602" t="s">
        <v>4262</v>
      </c>
      <c r="D2602" t="s">
        <v>5094</v>
      </c>
      <c r="E2602" t="str">
        <f>"00069917"</f>
        <v>00069917</v>
      </c>
      <c r="F2602">
        <v>0</v>
      </c>
      <c r="G2602" s="243">
        <v>41133</v>
      </c>
      <c r="H2602" t="s">
        <v>182</v>
      </c>
      <c r="I2602">
        <v>15</v>
      </c>
      <c r="J2602">
        <v>4</v>
      </c>
      <c r="K2602">
        <v>0.5</v>
      </c>
      <c r="L2602">
        <v>57147</v>
      </c>
      <c r="M2602" t="str">
        <f t="shared" si="381"/>
        <v>13</v>
      </c>
      <c r="N2602" t="s">
        <v>3323</v>
      </c>
      <c r="O2602" t="str">
        <f t="shared" si="379"/>
        <v>58611</v>
      </c>
      <c r="P2602" t="str">
        <f t="shared" si="382"/>
        <v>2100L</v>
      </c>
      <c r="Q2602" t="str">
        <f t="shared" si="376"/>
        <v>0101</v>
      </c>
      <c r="R2602">
        <v>2100</v>
      </c>
      <c r="S2602" t="str">
        <f t="shared" si="380"/>
        <v>5860</v>
      </c>
      <c r="T2602" t="s">
        <v>3685</v>
      </c>
      <c r="U2602" t="s">
        <v>2095</v>
      </c>
    </row>
    <row r="2603" spans="1:21" ht="15" customHeight="1" x14ac:dyDescent="0.3">
      <c r="A2603" t="s">
        <v>179</v>
      </c>
      <c r="B2603" t="str">
        <f>"00076209"</f>
        <v>00076209</v>
      </c>
      <c r="C2603" t="s">
        <v>4395</v>
      </c>
      <c r="D2603" t="s">
        <v>2117</v>
      </c>
      <c r="E2603" t="str">
        <f>"00046752"</f>
        <v>00046752</v>
      </c>
      <c r="F2603">
        <v>0</v>
      </c>
      <c r="G2603" s="243">
        <v>36761</v>
      </c>
      <c r="H2603" t="s">
        <v>182</v>
      </c>
      <c r="I2603">
        <v>10</v>
      </c>
      <c r="J2603">
        <v>9</v>
      </c>
      <c r="K2603">
        <v>1</v>
      </c>
      <c r="L2603">
        <v>86183</v>
      </c>
      <c r="M2603" t="str">
        <f t="shared" si="381"/>
        <v>13</v>
      </c>
      <c r="N2603" t="s">
        <v>3370</v>
      </c>
      <c r="O2603" t="str">
        <f t="shared" si="379"/>
        <v>58611</v>
      </c>
      <c r="P2603" t="str">
        <f t="shared" si="382"/>
        <v>2100L</v>
      </c>
      <c r="Q2603" t="str">
        <f t="shared" ref="Q2603:Q2659" si="383">"0101"</f>
        <v>0101</v>
      </c>
      <c r="R2603">
        <v>2100</v>
      </c>
      <c r="S2603" t="str">
        <f t="shared" si="380"/>
        <v>5860</v>
      </c>
      <c r="T2603" t="s">
        <v>3685</v>
      </c>
      <c r="U2603" t="s">
        <v>2095</v>
      </c>
    </row>
    <row r="2604" spans="1:21" ht="15" customHeight="1" x14ac:dyDescent="0.3">
      <c r="A2604" t="s">
        <v>179</v>
      </c>
      <c r="B2604" t="str">
        <f>"00076211"</f>
        <v>00076211</v>
      </c>
      <c r="C2604" t="s">
        <v>4256</v>
      </c>
      <c r="D2604" t="s">
        <v>5095</v>
      </c>
      <c r="E2604" t="str">
        <f>"00028142"</f>
        <v>00028142</v>
      </c>
      <c r="F2604">
        <v>1</v>
      </c>
      <c r="G2604" s="243">
        <v>40755</v>
      </c>
      <c r="H2604" t="s">
        <v>182</v>
      </c>
      <c r="I2604">
        <v>15</v>
      </c>
      <c r="J2604">
        <v>9</v>
      </c>
      <c r="K2604">
        <v>1</v>
      </c>
      <c r="L2604">
        <v>75232</v>
      </c>
      <c r="M2604" t="str">
        <f t="shared" si="381"/>
        <v>13</v>
      </c>
      <c r="N2604" t="s">
        <v>3370</v>
      </c>
      <c r="O2604" t="str">
        <f t="shared" si="379"/>
        <v>58611</v>
      </c>
      <c r="P2604" t="str">
        <f t="shared" si="382"/>
        <v>2100L</v>
      </c>
      <c r="Q2604" t="str">
        <f t="shared" si="383"/>
        <v>0101</v>
      </c>
      <c r="R2604">
        <v>2100</v>
      </c>
      <c r="S2604" t="str">
        <f t="shared" si="380"/>
        <v>5860</v>
      </c>
      <c r="T2604" t="s">
        <v>3685</v>
      </c>
      <c r="U2604" t="s">
        <v>2095</v>
      </c>
    </row>
    <row r="2605" spans="1:21" ht="15" customHeight="1" x14ac:dyDescent="0.3">
      <c r="A2605" t="s">
        <v>179</v>
      </c>
      <c r="B2605" t="str">
        <f>"00076212"</f>
        <v>00076212</v>
      </c>
      <c r="C2605" t="s">
        <v>4381</v>
      </c>
      <c r="H2605" t="s">
        <v>170</v>
      </c>
      <c r="I2605">
        <v>9</v>
      </c>
      <c r="J2605">
        <v>0</v>
      </c>
      <c r="K2605">
        <v>1</v>
      </c>
      <c r="L2605">
        <v>33163</v>
      </c>
      <c r="M2605" t="str">
        <f t="shared" si="381"/>
        <v>13</v>
      </c>
      <c r="N2605" t="s">
        <v>3370</v>
      </c>
      <c r="O2605" t="str">
        <f t="shared" si="379"/>
        <v>58611</v>
      </c>
      <c r="P2605" t="str">
        <f t="shared" si="382"/>
        <v>2100L</v>
      </c>
      <c r="Q2605" t="str">
        <f t="shared" si="383"/>
        <v>0101</v>
      </c>
      <c r="R2605">
        <v>2100</v>
      </c>
      <c r="S2605" t="str">
        <f t="shared" si="380"/>
        <v>5860</v>
      </c>
      <c r="T2605" t="s">
        <v>3685</v>
      </c>
      <c r="U2605" t="s">
        <v>2095</v>
      </c>
    </row>
    <row r="2606" spans="1:21" ht="15" customHeight="1" x14ac:dyDescent="0.3">
      <c r="A2606" t="s">
        <v>179</v>
      </c>
      <c r="B2606" t="str">
        <f>"00076845"</f>
        <v>00076845</v>
      </c>
      <c r="C2606" t="s">
        <v>4381</v>
      </c>
      <c r="D2606" t="s">
        <v>5096</v>
      </c>
      <c r="E2606" t="str">
        <f>"00056227"</f>
        <v>00056227</v>
      </c>
      <c r="F2606">
        <v>0</v>
      </c>
      <c r="G2606" s="243">
        <v>40042</v>
      </c>
      <c r="H2606" t="s">
        <v>182</v>
      </c>
      <c r="I2606">
        <v>9</v>
      </c>
      <c r="J2606">
        <v>1</v>
      </c>
      <c r="K2606">
        <v>1</v>
      </c>
      <c r="L2606">
        <v>33163</v>
      </c>
      <c r="M2606" t="str">
        <f t="shared" si="381"/>
        <v>13</v>
      </c>
      <c r="N2606" t="s">
        <v>3370</v>
      </c>
      <c r="O2606" t="str">
        <f t="shared" si="379"/>
        <v>58611</v>
      </c>
      <c r="P2606" t="str">
        <f>"2100L"</f>
        <v>2100L</v>
      </c>
      <c r="Q2606" t="str">
        <f t="shared" si="383"/>
        <v>0101</v>
      </c>
      <c r="R2606">
        <v>2100</v>
      </c>
      <c r="S2606" t="str">
        <f t="shared" si="380"/>
        <v>5860</v>
      </c>
      <c r="T2606" t="s">
        <v>3685</v>
      </c>
      <c r="U2606" t="s">
        <v>2095</v>
      </c>
    </row>
    <row r="2607" spans="1:21" ht="15" customHeight="1" x14ac:dyDescent="0.3">
      <c r="A2607" t="s">
        <v>179</v>
      </c>
      <c r="B2607" t="str">
        <f>"00052986"</f>
        <v>00052986</v>
      </c>
      <c r="C2607" t="s">
        <v>3798</v>
      </c>
      <c r="H2607" t="s">
        <v>170</v>
      </c>
      <c r="I2607">
        <v>61</v>
      </c>
      <c r="J2607">
        <v>1</v>
      </c>
      <c r="K2607">
        <v>1</v>
      </c>
      <c r="L2607">
        <v>100000</v>
      </c>
      <c r="M2607" t="str">
        <f t="shared" si="381"/>
        <v>13</v>
      </c>
      <c r="N2607" t="s">
        <v>3323</v>
      </c>
      <c r="O2607" t="str">
        <f t="shared" ref="O2607:O2620" si="384">"58711"</f>
        <v>58711</v>
      </c>
      <c r="P2607" t="str">
        <f>"1501L"</f>
        <v>1501L</v>
      </c>
      <c r="Q2607" t="str">
        <f t="shared" si="383"/>
        <v>0101</v>
      </c>
      <c r="R2607">
        <v>1501</v>
      </c>
      <c r="S2607" t="str">
        <f t="shared" ref="S2607:S2620" si="385">"5870"</f>
        <v>5870</v>
      </c>
      <c r="T2607" t="s">
        <v>3693</v>
      </c>
      <c r="U2607" t="s">
        <v>61</v>
      </c>
    </row>
    <row r="2608" spans="1:21" ht="15" customHeight="1" x14ac:dyDescent="0.3">
      <c r="A2608" t="s">
        <v>179</v>
      </c>
      <c r="B2608" t="str">
        <f>"00054534"</f>
        <v>00054534</v>
      </c>
      <c r="C2608" t="s">
        <v>4262</v>
      </c>
      <c r="H2608" t="s">
        <v>170</v>
      </c>
      <c r="I2608">
        <v>15</v>
      </c>
      <c r="J2608">
        <v>1</v>
      </c>
      <c r="K2608">
        <v>1</v>
      </c>
      <c r="L2608">
        <v>53256</v>
      </c>
      <c r="M2608" t="str">
        <f t="shared" si="381"/>
        <v>13</v>
      </c>
      <c r="N2608" t="s">
        <v>3323</v>
      </c>
      <c r="O2608" t="str">
        <f t="shared" si="384"/>
        <v>58711</v>
      </c>
      <c r="P2608" t="str">
        <f>"2100L"</f>
        <v>2100L</v>
      </c>
      <c r="Q2608" t="str">
        <f t="shared" si="383"/>
        <v>0101</v>
      </c>
      <c r="R2608">
        <v>2100</v>
      </c>
      <c r="S2608" t="str">
        <f t="shared" si="385"/>
        <v>5870</v>
      </c>
      <c r="T2608" t="s">
        <v>3693</v>
      </c>
      <c r="U2608" t="s">
        <v>61</v>
      </c>
    </row>
    <row r="2609" spans="1:21" ht="15" customHeight="1" x14ac:dyDescent="0.3">
      <c r="A2609" t="s">
        <v>179</v>
      </c>
      <c r="B2609" t="str">
        <f>"00054897"</f>
        <v>00054897</v>
      </c>
      <c r="C2609" t="s">
        <v>4272</v>
      </c>
      <c r="H2609" t="s">
        <v>170</v>
      </c>
      <c r="I2609">
        <v>15</v>
      </c>
      <c r="J2609">
        <v>1</v>
      </c>
      <c r="K2609">
        <v>1</v>
      </c>
      <c r="L2609">
        <v>51539</v>
      </c>
      <c r="M2609" t="str">
        <f t="shared" si="381"/>
        <v>13</v>
      </c>
      <c r="N2609" t="s">
        <v>3323</v>
      </c>
      <c r="O2609" t="str">
        <f t="shared" si="384"/>
        <v>58711</v>
      </c>
      <c r="P2609" t="str">
        <f>"2200L"</f>
        <v>2200L</v>
      </c>
      <c r="Q2609" t="str">
        <f t="shared" si="383"/>
        <v>0101</v>
      </c>
      <c r="R2609">
        <v>2200</v>
      </c>
      <c r="S2609" t="str">
        <f t="shared" si="385"/>
        <v>5870</v>
      </c>
      <c r="T2609" t="s">
        <v>3693</v>
      </c>
      <c r="U2609" t="s">
        <v>61</v>
      </c>
    </row>
    <row r="2610" spans="1:21" ht="15" customHeight="1" x14ac:dyDescent="0.3">
      <c r="A2610" t="s">
        <v>179</v>
      </c>
      <c r="B2610" t="str">
        <f>"00057710"</f>
        <v>00057710</v>
      </c>
      <c r="C2610" t="s">
        <v>4262</v>
      </c>
      <c r="H2610" t="s">
        <v>170</v>
      </c>
      <c r="I2610">
        <v>15</v>
      </c>
      <c r="J2610">
        <v>1</v>
      </c>
      <c r="K2610">
        <v>1</v>
      </c>
      <c r="L2610">
        <v>54975</v>
      </c>
      <c r="M2610" t="str">
        <f t="shared" si="381"/>
        <v>13</v>
      </c>
      <c r="N2610" t="s">
        <v>3323</v>
      </c>
      <c r="O2610" t="str">
        <f t="shared" si="384"/>
        <v>58711</v>
      </c>
      <c r="P2610" t="str">
        <f t="shared" ref="P2610:P2618" si="386">"2100L"</f>
        <v>2100L</v>
      </c>
      <c r="Q2610" t="str">
        <f t="shared" si="383"/>
        <v>0101</v>
      </c>
      <c r="R2610">
        <v>2100</v>
      </c>
      <c r="S2610" t="str">
        <f t="shared" si="385"/>
        <v>5870</v>
      </c>
      <c r="T2610" t="s">
        <v>3693</v>
      </c>
      <c r="U2610" t="s">
        <v>61</v>
      </c>
    </row>
    <row r="2611" spans="1:21" ht="15" customHeight="1" x14ac:dyDescent="0.3">
      <c r="A2611" t="s">
        <v>179</v>
      </c>
      <c r="B2611" t="str">
        <f>"00058170"</f>
        <v>00058170</v>
      </c>
      <c r="C2611" t="s">
        <v>4272</v>
      </c>
      <c r="H2611" t="s">
        <v>170</v>
      </c>
      <c r="I2611">
        <v>15</v>
      </c>
      <c r="J2611">
        <v>1</v>
      </c>
      <c r="K2611">
        <v>1</v>
      </c>
      <c r="L2611">
        <v>51539</v>
      </c>
      <c r="M2611" t="str">
        <f t="shared" si="381"/>
        <v>13</v>
      </c>
      <c r="N2611" t="s">
        <v>3323</v>
      </c>
      <c r="O2611" t="str">
        <f t="shared" si="384"/>
        <v>58711</v>
      </c>
      <c r="P2611" t="str">
        <f t="shared" si="386"/>
        <v>2100L</v>
      </c>
      <c r="Q2611" t="str">
        <f t="shared" si="383"/>
        <v>0101</v>
      </c>
      <c r="R2611">
        <v>2100</v>
      </c>
      <c r="S2611" t="str">
        <f t="shared" si="385"/>
        <v>5870</v>
      </c>
      <c r="T2611" t="s">
        <v>3693</v>
      </c>
      <c r="U2611" t="s">
        <v>61</v>
      </c>
    </row>
    <row r="2612" spans="1:21" ht="15" customHeight="1" x14ac:dyDescent="0.3">
      <c r="A2612" t="s">
        <v>179</v>
      </c>
      <c r="B2612" t="str">
        <f>"00058507"</f>
        <v>00058507</v>
      </c>
      <c r="C2612" t="s">
        <v>4288</v>
      </c>
      <c r="H2612" t="s">
        <v>170</v>
      </c>
      <c r="I2612">
        <v>4</v>
      </c>
      <c r="J2612">
        <v>1</v>
      </c>
      <c r="K2612">
        <v>0.875</v>
      </c>
      <c r="L2612">
        <v>25662</v>
      </c>
      <c r="M2612" t="str">
        <f t="shared" si="381"/>
        <v>13</v>
      </c>
      <c r="N2612" t="s">
        <v>3323</v>
      </c>
      <c r="O2612" t="str">
        <f t="shared" si="384"/>
        <v>58711</v>
      </c>
      <c r="P2612" t="str">
        <f t="shared" si="386"/>
        <v>2100L</v>
      </c>
      <c r="Q2612" t="str">
        <f t="shared" si="383"/>
        <v>0101</v>
      </c>
      <c r="R2612">
        <v>2100</v>
      </c>
      <c r="S2612" t="str">
        <f t="shared" si="385"/>
        <v>5870</v>
      </c>
      <c r="T2612" t="s">
        <v>3693</v>
      </c>
      <c r="U2612" t="s">
        <v>61</v>
      </c>
    </row>
    <row r="2613" spans="1:21" ht="15" customHeight="1" x14ac:dyDescent="0.3">
      <c r="A2613" t="s">
        <v>179</v>
      </c>
      <c r="B2613" t="str">
        <f>"00060672"</f>
        <v>00060672</v>
      </c>
      <c r="C2613" t="s">
        <v>4256</v>
      </c>
      <c r="H2613" t="s">
        <v>170</v>
      </c>
      <c r="I2613">
        <v>15</v>
      </c>
      <c r="J2613">
        <v>1</v>
      </c>
      <c r="K2613">
        <v>0.5</v>
      </c>
      <c r="L2613">
        <v>53256</v>
      </c>
      <c r="M2613" t="str">
        <f t="shared" si="381"/>
        <v>13</v>
      </c>
      <c r="N2613" t="s">
        <v>3323</v>
      </c>
      <c r="O2613" t="str">
        <f t="shared" si="384"/>
        <v>58711</v>
      </c>
      <c r="P2613" t="str">
        <f t="shared" si="386"/>
        <v>2100L</v>
      </c>
      <c r="Q2613" t="str">
        <f t="shared" si="383"/>
        <v>0101</v>
      </c>
      <c r="R2613">
        <v>2100</v>
      </c>
      <c r="S2613" t="str">
        <f t="shared" si="385"/>
        <v>5870</v>
      </c>
      <c r="T2613" t="s">
        <v>3693</v>
      </c>
      <c r="U2613" t="s">
        <v>61</v>
      </c>
    </row>
    <row r="2614" spans="1:21" ht="15" customHeight="1" x14ac:dyDescent="0.3">
      <c r="A2614" t="s">
        <v>179</v>
      </c>
      <c r="B2614" t="str">
        <f>"00062115"</f>
        <v>00062115</v>
      </c>
      <c r="C2614" t="s">
        <v>4262</v>
      </c>
      <c r="H2614" t="s">
        <v>170</v>
      </c>
      <c r="I2614">
        <v>15</v>
      </c>
      <c r="J2614">
        <v>1</v>
      </c>
      <c r="K2614">
        <v>1</v>
      </c>
      <c r="L2614">
        <v>51539</v>
      </c>
      <c r="M2614" t="str">
        <f t="shared" si="381"/>
        <v>13</v>
      </c>
      <c r="N2614" t="s">
        <v>3323</v>
      </c>
      <c r="O2614" t="str">
        <f t="shared" si="384"/>
        <v>58711</v>
      </c>
      <c r="P2614" t="str">
        <f t="shared" si="386"/>
        <v>2100L</v>
      </c>
      <c r="Q2614" t="str">
        <f t="shared" si="383"/>
        <v>0101</v>
      </c>
      <c r="R2614">
        <v>2100</v>
      </c>
      <c r="S2614" t="str">
        <f t="shared" si="385"/>
        <v>5870</v>
      </c>
      <c r="T2614" t="s">
        <v>3693</v>
      </c>
      <c r="U2614" t="s">
        <v>61</v>
      </c>
    </row>
    <row r="2615" spans="1:21" ht="15" customHeight="1" x14ac:dyDescent="0.3">
      <c r="A2615" t="s">
        <v>179</v>
      </c>
      <c r="B2615" t="str">
        <f>"00062116"</f>
        <v>00062116</v>
      </c>
      <c r="C2615" t="s">
        <v>4262</v>
      </c>
      <c r="H2615" t="s">
        <v>170</v>
      </c>
      <c r="I2615">
        <v>15</v>
      </c>
      <c r="J2615">
        <v>1</v>
      </c>
      <c r="K2615">
        <v>1</v>
      </c>
      <c r="L2615">
        <v>51539</v>
      </c>
      <c r="M2615" t="str">
        <f t="shared" si="381"/>
        <v>13</v>
      </c>
      <c r="N2615" t="s">
        <v>3323</v>
      </c>
      <c r="O2615" t="str">
        <f t="shared" si="384"/>
        <v>58711</v>
      </c>
      <c r="P2615" t="str">
        <f t="shared" si="386"/>
        <v>2100L</v>
      </c>
      <c r="Q2615" t="str">
        <f t="shared" si="383"/>
        <v>0101</v>
      </c>
      <c r="R2615">
        <v>2100</v>
      </c>
      <c r="S2615" t="str">
        <f t="shared" si="385"/>
        <v>5870</v>
      </c>
      <c r="T2615" t="s">
        <v>3693</v>
      </c>
      <c r="U2615" t="s">
        <v>61</v>
      </c>
    </row>
    <row r="2616" spans="1:21" ht="15" customHeight="1" x14ac:dyDescent="0.3">
      <c r="A2616" t="s">
        <v>179</v>
      </c>
      <c r="B2616" t="str">
        <f>"00067470"</f>
        <v>00067470</v>
      </c>
      <c r="C2616" t="s">
        <v>4260</v>
      </c>
      <c r="H2616" t="s">
        <v>170</v>
      </c>
      <c r="I2616">
        <v>15</v>
      </c>
      <c r="J2616">
        <v>1</v>
      </c>
      <c r="K2616">
        <v>1</v>
      </c>
      <c r="L2616">
        <v>51539</v>
      </c>
      <c r="M2616" t="str">
        <f t="shared" si="381"/>
        <v>13</v>
      </c>
      <c r="N2616" t="s">
        <v>3323</v>
      </c>
      <c r="O2616" t="str">
        <f t="shared" si="384"/>
        <v>58711</v>
      </c>
      <c r="P2616" t="str">
        <f t="shared" si="386"/>
        <v>2100L</v>
      </c>
      <c r="Q2616" t="str">
        <f t="shared" si="383"/>
        <v>0101</v>
      </c>
      <c r="R2616">
        <v>2100</v>
      </c>
      <c r="S2616" t="str">
        <f t="shared" si="385"/>
        <v>5870</v>
      </c>
      <c r="T2616" t="s">
        <v>3693</v>
      </c>
      <c r="U2616" t="s">
        <v>61</v>
      </c>
    </row>
    <row r="2617" spans="1:21" ht="15" customHeight="1" x14ac:dyDescent="0.3">
      <c r="A2617" t="s">
        <v>179</v>
      </c>
      <c r="B2617" t="str">
        <f>"00067910"</f>
        <v>00067910</v>
      </c>
      <c r="C2617" t="s">
        <v>4272</v>
      </c>
      <c r="H2617" t="s">
        <v>170</v>
      </c>
      <c r="I2617">
        <v>15</v>
      </c>
      <c r="J2617">
        <v>1</v>
      </c>
      <c r="K2617">
        <v>1</v>
      </c>
      <c r="L2617">
        <v>53256</v>
      </c>
      <c r="M2617" t="str">
        <f t="shared" si="381"/>
        <v>13</v>
      </c>
      <c r="N2617" t="s">
        <v>3323</v>
      </c>
      <c r="O2617" t="str">
        <f t="shared" si="384"/>
        <v>58711</v>
      </c>
      <c r="P2617" t="str">
        <f t="shared" si="386"/>
        <v>2100L</v>
      </c>
      <c r="Q2617" t="str">
        <f t="shared" si="383"/>
        <v>0101</v>
      </c>
      <c r="R2617">
        <v>2100</v>
      </c>
      <c r="S2617" t="str">
        <f t="shared" si="385"/>
        <v>5870</v>
      </c>
      <c r="T2617" t="s">
        <v>3693</v>
      </c>
      <c r="U2617" t="s">
        <v>61</v>
      </c>
    </row>
    <row r="2618" spans="1:21" ht="15" customHeight="1" x14ac:dyDescent="0.3">
      <c r="A2618" t="s">
        <v>179</v>
      </c>
      <c r="B2618" t="str">
        <f>"00074287"</f>
        <v>00074287</v>
      </c>
      <c r="C2618" t="s">
        <v>4254</v>
      </c>
      <c r="H2618" t="s">
        <v>170</v>
      </c>
      <c r="I2618">
        <v>15</v>
      </c>
      <c r="J2618">
        <v>1</v>
      </c>
      <c r="K2618">
        <v>1</v>
      </c>
      <c r="L2618">
        <v>54975</v>
      </c>
      <c r="M2618" t="str">
        <f t="shared" si="381"/>
        <v>13</v>
      </c>
      <c r="N2618" t="s">
        <v>3323</v>
      </c>
      <c r="O2618" t="str">
        <f t="shared" si="384"/>
        <v>58711</v>
      </c>
      <c r="P2618" t="str">
        <f t="shared" si="386"/>
        <v>2100L</v>
      </c>
      <c r="Q2618" t="str">
        <f t="shared" si="383"/>
        <v>0101</v>
      </c>
      <c r="R2618">
        <v>2100</v>
      </c>
      <c r="S2618" t="str">
        <f t="shared" si="385"/>
        <v>5870</v>
      </c>
      <c r="T2618" t="s">
        <v>3693</v>
      </c>
      <c r="U2618" t="s">
        <v>61</v>
      </c>
    </row>
    <row r="2619" spans="1:21" ht="15" customHeight="1" x14ac:dyDescent="0.3">
      <c r="A2619" t="s">
        <v>179</v>
      </c>
      <c r="B2619" t="str">
        <f>"00074695"</f>
        <v>00074695</v>
      </c>
      <c r="C2619" t="s">
        <v>4260</v>
      </c>
      <c r="H2619" t="s">
        <v>170</v>
      </c>
      <c r="I2619">
        <v>15</v>
      </c>
      <c r="J2619">
        <v>1</v>
      </c>
      <c r="K2619">
        <v>1</v>
      </c>
      <c r="L2619">
        <v>54975</v>
      </c>
      <c r="M2619" t="str">
        <f t="shared" si="381"/>
        <v>13</v>
      </c>
      <c r="N2619" t="s">
        <v>3323</v>
      </c>
      <c r="O2619" t="str">
        <f t="shared" si="384"/>
        <v>58711</v>
      </c>
      <c r="P2619" t="str">
        <f>"3030L"</f>
        <v>3030L</v>
      </c>
      <c r="Q2619" t="str">
        <f t="shared" si="383"/>
        <v>0101</v>
      </c>
      <c r="R2619">
        <v>3030</v>
      </c>
      <c r="S2619" t="str">
        <f t="shared" si="385"/>
        <v>5870</v>
      </c>
      <c r="T2619" t="s">
        <v>3693</v>
      </c>
      <c r="U2619" t="s">
        <v>61</v>
      </c>
    </row>
    <row r="2620" spans="1:21" ht="15" customHeight="1" x14ac:dyDescent="0.3">
      <c r="A2620" t="s">
        <v>179</v>
      </c>
      <c r="B2620" t="str">
        <f>"00074742"</f>
        <v>00074742</v>
      </c>
      <c r="C2620" t="s">
        <v>4499</v>
      </c>
      <c r="H2620" t="s">
        <v>170</v>
      </c>
      <c r="I2620">
        <v>10</v>
      </c>
      <c r="J2620">
        <v>1</v>
      </c>
      <c r="K2620">
        <v>0.5</v>
      </c>
      <c r="L2620">
        <v>62794</v>
      </c>
      <c r="M2620" t="str">
        <f t="shared" si="381"/>
        <v>13</v>
      </c>
      <c r="N2620" t="s">
        <v>3323</v>
      </c>
      <c r="O2620" t="str">
        <f t="shared" si="384"/>
        <v>58711</v>
      </c>
      <c r="P2620" t="str">
        <f>"2200L"</f>
        <v>2200L</v>
      </c>
      <c r="Q2620" t="str">
        <f t="shared" si="383"/>
        <v>0101</v>
      </c>
      <c r="R2620">
        <v>2200</v>
      </c>
      <c r="S2620" t="str">
        <f t="shared" si="385"/>
        <v>5870</v>
      </c>
      <c r="T2620" t="s">
        <v>3693</v>
      </c>
      <c r="U2620" t="s">
        <v>61</v>
      </c>
    </row>
    <row r="2621" spans="1:21" ht="15" customHeight="1" x14ac:dyDescent="0.3">
      <c r="A2621" t="s">
        <v>179</v>
      </c>
      <c r="B2621" t="str">
        <f>"00051768"</f>
        <v>00051768</v>
      </c>
      <c r="C2621" t="s">
        <v>4262</v>
      </c>
      <c r="D2621" t="s">
        <v>2200</v>
      </c>
      <c r="E2621" t="str">
        <f>"00057326"</f>
        <v>00057326</v>
      </c>
      <c r="F2621">
        <v>0</v>
      </c>
      <c r="G2621" s="243">
        <v>40042</v>
      </c>
      <c r="H2621" t="s">
        <v>182</v>
      </c>
      <c r="I2621">
        <v>15</v>
      </c>
      <c r="J2621">
        <v>7</v>
      </c>
      <c r="K2621">
        <v>1</v>
      </c>
      <c r="L2621">
        <v>69132</v>
      </c>
      <c r="M2621" t="str">
        <f t="shared" si="381"/>
        <v>13</v>
      </c>
      <c r="N2621" t="s">
        <v>3323</v>
      </c>
      <c r="O2621" t="str">
        <f t="shared" ref="O2621:O2644" si="387">"58811"</f>
        <v>58811</v>
      </c>
      <c r="P2621" t="str">
        <f t="shared" ref="P2621:P2626" si="388">"2100L"</f>
        <v>2100L</v>
      </c>
      <c r="Q2621" t="str">
        <f t="shared" si="383"/>
        <v>0101</v>
      </c>
      <c r="R2621">
        <v>2100</v>
      </c>
      <c r="S2621" t="str">
        <f t="shared" ref="S2621:S2644" si="389">"5880"</f>
        <v>5880</v>
      </c>
      <c r="T2621" t="s">
        <v>3696</v>
      </c>
      <c r="U2621" t="s">
        <v>2201</v>
      </c>
    </row>
    <row r="2622" spans="1:21" ht="15" customHeight="1" x14ac:dyDescent="0.3">
      <c r="A2622" t="s">
        <v>179</v>
      </c>
      <c r="B2622" t="str">
        <f>"00052332"</f>
        <v>00052332</v>
      </c>
      <c r="C2622" t="s">
        <v>4252</v>
      </c>
      <c r="D2622" t="s">
        <v>2202</v>
      </c>
      <c r="E2622" t="str">
        <f>"00048028"</f>
        <v>00048028</v>
      </c>
      <c r="F2622">
        <v>0</v>
      </c>
      <c r="G2622" s="243">
        <v>33848</v>
      </c>
      <c r="H2622" t="s">
        <v>182</v>
      </c>
      <c r="I2622">
        <v>15</v>
      </c>
      <c r="J2622">
        <v>15</v>
      </c>
      <c r="K2622">
        <v>1</v>
      </c>
      <c r="L2622">
        <v>100792</v>
      </c>
      <c r="M2622" t="str">
        <f t="shared" si="381"/>
        <v>13</v>
      </c>
      <c r="N2622" t="s">
        <v>3323</v>
      </c>
      <c r="O2622" t="str">
        <f t="shared" si="387"/>
        <v>58811</v>
      </c>
      <c r="P2622" t="str">
        <f t="shared" si="388"/>
        <v>2100L</v>
      </c>
      <c r="Q2622" t="str">
        <f t="shared" si="383"/>
        <v>0101</v>
      </c>
      <c r="R2622">
        <v>2100</v>
      </c>
      <c r="S2622" t="str">
        <f t="shared" si="389"/>
        <v>5880</v>
      </c>
      <c r="T2622" t="s">
        <v>3696</v>
      </c>
      <c r="U2622" t="s">
        <v>2201</v>
      </c>
    </row>
    <row r="2623" spans="1:21" ht="15" customHeight="1" x14ac:dyDescent="0.3">
      <c r="A2623" t="s">
        <v>179</v>
      </c>
      <c r="B2623" t="str">
        <f>"00053542"</f>
        <v>00053542</v>
      </c>
      <c r="C2623" t="s">
        <v>4272</v>
      </c>
      <c r="D2623" t="s">
        <v>2205</v>
      </c>
      <c r="E2623" t="str">
        <f>"00051699"</f>
        <v>00051699</v>
      </c>
      <c r="F2623">
        <v>0</v>
      </c>
      <c r="G2623" s="243">
        <v>33151</v>
      </c>
      <c r="H2623" t="s">
        <v>182</v>
      </c>
      <c r="I2623">
        <v>15</v>
      </c>
      <c r="J2623">
        <v>16</v>
      </c>
      <c r="K2623">
        <v>1</v>
      </c>
      <c r="L2623">
        <v>106540</v>
      </c>
      <c r="M2623" t="str">
        <f t="shared" si="381"/>
        <v>13</v>
      </c>
      <c r="N2623" t="s">
        <v>3323</v>
      </c>
      <c r="O2623" t="str">
        <f t="shared" si="387"/>
        <v>58811</v>
      </c>
      <c r="P2623" t="str">
        <f t="shared" si="388"/>
        <v>2100L</v>
      </c>
      <c r="Q2623" t="str">
        <f t="shared" si="383"/>
        <v>0101</v>
      </c>
      <c r="R2623">
        <v>2100</v>
      </c>
      <c r="S2623" t="str">
        <f t="shared" si="389"/>
        <v>5880</v>
      </c>
      <c r="T2623" t="s">
        <v>3696</v>
      </c>
      <c r="U2623" t="s">
        <v>2201</v>
      </c>
    </row>
    <row r="2624" spans="1:21" ht="15" customHeight="1" x14ac:dyDescent="0.3">
      <c r="A2624" t="s">
        <v>179</v>
      </c>
      <c r="B2624" t="str">
        <f>"00054635"</f>
        <v>00054635</v>
      </c>
      <c r="C2624" t="s">
        <v>4274</v>
      </c>
      <c r="D2624" t="s">
        <v>5097</v>
      </c>
      <c r="E2624" t="str">
        <f>"00070070"</f>
        <v>00070070</v>
      </c>
      <c r="F2624">
        <v>0</v>
      </c>
      <c r="G2624" s="243">
        <v>41141</v>
      </c>
      <c r="H2624" t="s">
        <v>182</v>
      </c>
      <c r="I2624">
        <v>4</v>
      </c>
      <c r="J2624">
        <v>10</v>
      </c>
      <c r="K2624">
        <v>0.875</v>
      </c>
      <c r="L2624">
        <v>28721</v>
      </c>
      <c r="M2624" t="str">
        <f t="shared" si="381"/>
        <v>13</v>
      </c>
      <c r="N2624" t="s">
        <v>3370</v>
      </c>
      <c r="O2624" t="str">
        <f t="shared" si="387"/>
        <v>58811</v>
      </c>
      <c r="P2624" t="str">
        <f t="shared" si="388"/>
        <v>2100L</v>
      </c>
      <c r="Q2624" t="str">
        <f t="shared" si="383"/>
        <v>0101</v>
      </c>
      <c r="R2624">
        <v>2100</v>
      </c>
      <c r="S2624" t="str">
        <f t="shared" si="389"/>
        <v>5880</v>
      </c>
      <c r="T2624" t="s">
        <v>3696</v>
      </c>
      <c r="U2624" t="s">
        <v>2201</v>
      </c>
    </row>
    <row r="2625" spans="1:21" ht="15" customHeight="1" x14ac:dyDescent="0.3">
      <c r="A2625" t="s">
        <v>179</v>
      </c>
      <c r="B2625" t="str">
        <f>"00057056"</f>
        <v>00057056</v>
      </c>
      <c r="C2625" t="s">
        <v>4292</v>
      </c>
      <c r="D2625" t="s">
        <v>5098</v>
      </c>
      <c r="E2625" t="str">
        <f>"00053767"</f>
        <v>00053767</v>
      </c>
      <c r="F2625">
        <v>0</v>
      </c>
      <c r="G2625" s="243">
        <v>39202</v>
      </c>
      <c r="H2625" t="s">
        <v>182</v>
      </c>
      <c r="I2625">
        <v>4</v>
      </c>
      <c r="J2625">
        <v>6</v>
      </c>
      <c r="K2625">
        <v>0.75</v>
      </c>
      <c r="L2625">
        <v>25935.88</v>
      </c>
      <c r="M2625" t="str">
        <f t="shared" si="381"/>
        <v>13</v>
      </c>
      <c r="N2625" t="s">
        <v>3323</v>
      </c>
      <c r="O2625" t="str">
        <f t="shared" si="387"/>
        <v>58811</v>
      </c>
      <c r="P2625" t="str">
        <f t="shared" si="388"/>
        <v>2100L</v>
      </c>
      <c r="Q2625" t="str">
        <f t="shared" si="383"/>
        <v>0101</v>
      </c>
      <c r="R2625">
        <v>2100</v>
      </c>
      <c r="S2625" t="str">
        <f t="shared" si="389"/>
        <v>5880</v>
      </c>
      <c r="T2625" t="s">
        <v>3696</v>
      </c>
      <c r="U2625" t="s">
        <v>2201</v>
      </c>
    </row>
    <row r="2626" spans="1:21" ht="15" customHeight="1" x14ac:dyDescent="0.3">
      <c r="A2626" t="s">
        <v>179</v>
      </c>
      <c r="B2626" t="str">
        <f>"00057380"</f>
        <v>00057380</v>
      </c>
      <c r="C2626" t="s">
        <v>4259</v>
      </c>
      <c r="D2626" t="s">
        <v>5099</v>
      </c>
      <c r="E2626" t="str">
        <f>"00057392"</f>
        <v>00057392</v>
      </c>
      <c r="F2626">
        <v>0</v>
      </c>
      <c r="G2626" s="243">
        <v>41133</v>
      </c>
      <c r="H2626" t="s">
        <v>182</v>
      </c>
      <c r="I2626">
        <v>15</v>
      </c>
      <c r="J2626">
        <v>10</v>
      </c>
      <c r="K2626">
        <v>1</v>
      </c>
      <c r="L2626">
        <v>78273</v>
      </c>
      <c r="M2626" t="str">
        <f t="shared" si="381"/>
        <v>13</v>
      </c>
      <c r="N2626" t="s">
        <v>3370</v>
      </c>
      <c r="O2626" t="str">
        <f t="shared" si="387"/>
        <v>58811</v>
      </c>
      <c r="P2626" t="str">
        <f t="shared" si="388"/>
        <v>2100L</v>
      </c>
      <c r="Q2626" t="str">
        <f t="shared" si="383"/>
        <v>0101</v>
      </c>
      <c r="R2626">
        <v>2100</v>
      </c>
      <c r="S2626" t="str">
        <f t="shared" si="389"/>
        <v>5880</v>
      </c>
      <c r="T2626" t="s">
        <v>3696</v>
      </c>
      <c r="U2626" t="s">
        <v>2201</v>
      </c>
    </row>
    <row r="2627" spans="1:21" ht="15" customHeight="1" x14ac:dyDescent="0.3">
      <c r="A2627" t="s">
        <v>179</v>
      </c>
      <c r="B2627" t="str">
        <f>"00057823"</f>
        <v>00057823</v>
      </c>
      <c r="C2627" t="s">
        <v>3798</v>
      </c>
      <c r="D2627" t="s">
        <v>2207</v>
      </c>
      <c r="E2627" t="str">
        <f>"00062059"</f>
        <v>00062059</v>
      </c>
      <c r="F2627">
        <v>0</v>
      </c>
      <c r="G2627" s="243">
        <v>40357</v>
      </c>
      <c r="H2627" t="s">
        <v>182</v>
      </c>
      <c r="I2627">
        <v>61</v>
      </c>
      <c r="J2627">
        <v>6</v>
      </c>
      <c r="K2627">
        <v>1</v>
      </c>
      <c r="L2627">
        <v>125000</v>
      </c>
      <c r="M2627" t="str">
        <f t="shared" si="381"/>
        <v>13</v>
      </c>
      <c r="N2627" t="s">
        <v>3323</v>
      </c>
      <c r="O2627" t="str">
        <f t="shared" si="387"/>
        <v>58811</v>
      </c>
      <c r="P2627" t="str">
        <f>"1501L"</f>
        <v>1501L</v>
      </c>
      <c r="Q2627" t="str">
        <f t="shared" si="383"/>
        <v>0101</v>
      </c>
      <c r="R2627">
        <v>1501</v>
      </c>
      <c r="S2627" t="str">
        <f t="shared" si="389"/>
        <v>5880</v>
      </c>
      <c r="T2627" t="s">
        <v>3696</v>
      </c>
      <c r="U2627" t="s">
        <v>2201</v>
      </c>
    </row>
    <row r="2628" spans="1:21" ht="15" customHeight="1" x14ac:dyDescent="0.3">
      <c r="A2628" t="s">
        <v>179</v>
      </c>
      <c r="B2628" t="str">
        <f>"00060315"</f>
        <v>00060315</v>
      </c>
      <c r="C2628" t="s">
        <v>4262</v>
      </c>
      <c r="D2628" t="s">
        <v>2208</v>
      </c>
      <c r="E2628" t="str">
        <f>"00062569"</f>
        <v>00062569</v>
      </c>
      <c r="F2628">
        <v>0</v>
      </c>
      <c r="G2628" s="243">
        <v>40406</v>
      </c>
      <c r="H2628" t="s">
        <v>182</v>
      </c>
      <c r="I2628">
        <v>15</v>
      </c>
      <c r="J2628">
        <v>6</v>
      </c>
      <c r="K2628">
        <v>1</v>
      </c>
      <c r="L2628">
        <v>66078</v>
      </c>
      <c r="M2628" t="str">
        <f t="shared" si="381"/>
        <v>13</v>
      </c>
      <c r="N2628" t="s">
        <v>3323</v>
      </c>
      <c r="O2628" t="str">
        <f t="shared" si="387"/>
        <v>58811</v>
      </c>
      <c r="P2628" t="str">
        <f t="shared" ref="P2628:P2636" si="390">"2100L"</f>
        <v>2100L</v>
      </c>
      <c r="Q2628" t="str">
        <f t="shared" si="383"/>
        <v>0101</v>
      </c>
      <c r="R2628">
        <v>2100</v>
      </c>
      <c r="S2628" t="str">
        <f t="shared" si="389"/>
        <v>5880</v>
      </c>
      <c r="T2628" t="s">
        <v>3696</v>
      </c>
      <c r="U2628" t="s">
        <v>2201</v>
      </c>
    </row>
    <row r="2629" spans="1:21" ht="15" customHeight="1" x14ac:dyDescent="0.3">
      <c r="A2629" t="s">
        <v>179</v>
      </c>
      <c r="B2629" t="str">
        <f>"00061134"</f>
        <v>00061134</v>
      </c>
      <c r="C2629" t="s">
        <v>4272</v>
      </c>
      <c r="D2629" t="s">
        <v>2209</v>
      </c>
      <c r="E2629" t="str">
        <f>"00048969"</f>
        <v>00048969</v>
      </c>
      <c r="F2629">
        <v>0</v>
      </c>
      <c r="G2629" s="243">
        <v>39314</v>
      </c>
      <c r="H2629" t="s">
        <v>182</v>
      </c>
      <c r="I2629">
        <v>15</v>
      </c>
      <c r="J2629">
        <v>14</v>
      </c>
      <c r="K2629">
        <v>1</v>
      </c>
      <c r="L2629">
        <v>98967</v>
      </c>
      <c r="M2629" t="str">
        <f t="shared" si="381"/>
        <v>13</v>
      </c>
      <c r="N2629" t="s">
        <v>3323</v>
      </c>
      <c r="O2629" t="str">
        <f t="shared" si="387"/>
        <v>58811</v>
      </c>
      <c r="P2629" t="str">
        <f t="shared" si="390"/>
        <v>2100L</v>
      </c>
      <c r="Q2629" t="str">
        <f t="shared" si="383"/>
        <v>0101</v>
      </c>
      <c r="R2629">
        <v>2100</v>
      </c>
      <c r="S2629" t="str">
        <f t="shared" si="389"/>
        <v>5880</v>
      </c>
      <c r="T2629" t="s">
        <v>3696</v>
      </c>
      <c r="U2629" t="s">
        <v>2201</v>
      </c>
    </row>
    <row r="2630" spans="1:21" ht="15" customHeight="1" x14ac:dyDescent="0.3">
      <c r="A2630" t="s">
        <v>179</v>
      </c>
      <c r="B2630" t="str">
        <f>"00066494"</f>
        <v>00066494</v>
      </c>
      <c r="C2630" t="s">
        <v>4274</v>
      </c>
      <c r="D2630" t="s">
        <v>5100</v>
      </c>
      <c r="E2630" t="str">
        <f>"00061450"</f>
        <v>00061450</v>
      </c>
      <c r="F2630">
        <v>0</v>
      </c>
      <c r="G2630" s="243">
        <v>40429</v>
      </c>
      <c r="H2630" t="s">
        <v>182</v>
      </c>
      <c r="I2630">
        <v>4</v>
      </c>
      <c r="J2630">
        <v>5</v>
      </c>
      <c r="K2630">
        <v>1</v>
      </c>
      <c r="L2630">
        <v>25239.37</v>
      </c>
      <c r="M2630" t="str">
        <f t="shared" si="381"/>
        <v>13</v>
      </c>
      <c r="N2630" t="s">
        <v>3323</v>
      </c>
      <c r="O2630" t="str">
        <f t="shared" si="387"/>
        <v>58811</v>
      </c>
      <c r="P2630" t="str">
        <f t="shared" si="390"/>
        <v>2100L</v>
      </c>
      <c r="Q2630" t="str">
        <f t="shared" si="383"/>
        <v>0101</v>
      </c>
      <c r="R2630">
        <v>2100</v>
      </c>
      <c r="S2630" t="str">
        <f t="shared" si="389"/>
        <v>5880</v>
      </c>
      <c r="T2630" t="s">
        <v>3696</v>
      </c>
      <c r="U2630" t="s">
        <v>2201</v>
      </c>
    </row>
    <row r="2631" spans="1:21" ht="15" customHeight="1" x14ac:dyDescent="0.3">
      <c r="A2631" t="s">
        <v>179</v>
      </c>
      <c r="B2631" t="str">
        <f>"00066678"</f>
        <v>00066678</v>
      </c>
      <c r="C2631" t="s">
        <v>4260</v>
      </c>
      <c r="D2631" t="s">
        <v>2339</v>
      </c>
      <c r="E2631" t="str">
        <f>"00057776"</f>
        <v>00057776</v>
      </c>
      <c r="F2631">
        <v>0</v>
      </c>
      <c r="G2631" s="243">
        <v>40042</v>
      </c>
      <c r="H2631" t="s">
        <v>182</v>
      </c>
      <c r="I2631">
        <v>15</v>
      </c>
      <c r="J2631">
        <v>12</v>
      </c>
      <c r="K2631">
        <v>1</v>
      </c>
      <c r="L2631">
        <v>87431</v>
      </c>
      <c r="M2631" t="str">
        <f t="shared" si="381"/>
        <v>13</v>
      </c>
      <c r="N2631" t="s">
        <v>3323</v>
      </c>
      <c r="O2631" t="str">
        <f t="shared" si="387"/>
        <v>58811</v>
      </c>
      <c r="P2631" t="str">
        <f t="shared" si="390"/>
        <v>2100L</v>
      </c>
      <c r="Q2631" t="str">
        <f t="shared" si="383"/>
        <v>0101</v>
      </c>
      <c r="R2631">
        <v>2100</v>
      </c>
      <c r="S2631" t="str">
        <f t="shared" si="389"/>
        <v>5880</v>
      </c>
      <c r="T2631" t="s">
        <v>3696</v>
      </c>
      <c r="U2631" t="s">
        <v>2201</v>
      </c>
    </row>
    <row r="2632" spans="1:21" ht="15" customHeight="1" x14ac:dyDescent="0.3">
      <c r="A2632" t="s">
        <v>179</v>
      </c>
      <c r="B2632" t="str">
        <f>"00066681"</f>
        <v>00066681</v>
      </c>
      <c r="C2632" t="s">
        <v>4262</v>
      </c>
      <c r="D2632" t="s">
        <v>2211</v>
      </c>
      <c r="E2632" t="str">
        <f>"00056061"</f>
        <v>00056061</v>
      </c>
      <c r="F2632">
        <v>0</v>
      </c>
      <c r="G2632" s="243">
        <v>40042</v>
      </c>
      <c r="H2632" t="s">
        <v>182</v>
      </c>
      <c r="I2632">
        <v>15</v>
      </c>
      <c r="J2632">
        <v>7</v>
      </c>
      <c r="K2632">
        <v>1</v>
      </c>
      <c r="L2632">
        <v>69132</v>
      </c>
      <c r="M2632" t="str">
        <f t="shared" si="381"/>
        <v>13</v>
      </c>
      <c r="N2632" t="s">
        <v>3323</v>
      </c>
      <c r="O2632" t="str">
        <f t="shared" si="387"/>
        <v>58811</v>
      </c>
      <c r="P2632" t="str">
        <f t="shared" si="390"/>
        <v>2100L</v>
      </c>
      <c r="Q2632" t="str">
        <f t="shared" si="383"/>
        <v>0101</v>
      </c>
      <c r="R2632">
        <v>2100</v>
      </c>
      <c r="S2632" t="str">
        <f t="shared" si="389"/>
        <v>5880</v>
      </c>
      <c r="T2632" t="s">
        <v>3696</v>
      </c>
      <c r="U2632" t="s">
        <v>2201</v>
      </c>
    </row>
    <row r="2633" spans="1:21" ht="15" customHeight="1" x14ac:dyDescent="0.3">
      <c r="A2633" t="s">
        <v>179</v>
      </c>
      <c r="B2633" t="str">
        <f>"00072277"</f>
        <v>00072277</v>
      </c>
      <c r="C2633" t="s">
        <v>4262</v>
      </c>
      <c r="D2633" t="s">
        <v>3697</v>
      </c>
      <c r="E2633" t="str">
        <f>"00066162"</f>
        <v>00066162</v>
      </c>
      <c r="F2633">
        <v>0</v>
      </c>
      <c r="G2633" s="243">
        <v>40770</v>
      </c>
      <c r="H2633" t="s">
        <v>182</v>
      </c>
      <c r="I2633">
        <v>15</v>
      </c>
      <c r="J2633">
        <v>1</v>
      </c>
      <c r="K2633">
        <v>1</v>
      </c>
      <c r="L2633">
        <v>51539</v>
      </c>
      <c r="M2633" t="str">
        <f t="shared" si="381"/>
        <v>13</v>
      </c>
      <c r="N2633" t="s">
        <v>3323</v>
      </c>
      <c r="O2633" t="str">
        <f t="shared" si="387"/>
        <v>58811</v>
      </c>
      <c r="P2633" t="str">
        <f t="shared" si="390"/>
        <v>2100L</v>
      </c>
      <c r="Q2633" t="str">
        <f t="shared" si="383"/>
        <v>0101</v>
      </c>
      <c r="R2633">
        <v>2100</v>
      </c>
      <c r="S2633" t="str">
        <f t="shared" si="389"/>
        <v>5880</v>
      </c>
      <c r="T2633" t="s">
        <v>3696</v>
      </c>
      <c r="U2633" t="s">
        <v>2201</v>
      </c>
    </row>
    <row r="2634" spans="1:21" ht="15" customHeight="1" x14ac:dyDescent="0.3">
      <c r="A2634" t="s">
        <v>179</v>
      </c>
      <c r="B2634" t="str">
        <f>"00072435"</f>
        <v>00072435</v>
      </c>
      <c r="C2634" t="s">
        <v>4360</v>
      </c>
      <c r="H2634" t="s">
        <v>170</v>
      </c>
      <c r="I2634">
        <v>7</v>
      </c>
      <c r="J2634">
        <v>1</v>
      </c>
      <c r="K2634">
        <v>1</v>
      </c>
      <c r="L2634">
        <v>34871</v>
      </c>
      <c r="M2634" t="str">
        <f t="shared" si="381"/>
        <v>13</v>
      </c>
      <c r="N2634" t="s">
        <v>3323</v>
      </c>
      <c r="O2634" t="str">
        <f t="shared" si="387"/>
        <v>58811</v>
      </c>
      <c r="P2634" t="str">
        <f t="shared" si="390"/>
        <v>2100L</v>
      </c>
      <c r="Q2634" t="str">
        <f t="shared" si="383"/>
        <v>0101</v>
      </c>
      <c r="R2634">
        <v>2100</v>
      </c>
      <c r="S2634" t="str">
        <f t="shared" si="389"/>
        <v>5880</v>
      </c>
      <c r="T2634" t="s">
        <v>3696</v>
      </c>
      <c r="U2634" t="s">
        <v>2201</v>
      </c>
    </row>
    <row r="2635" spans="1:21" ht="15" customHeight="1" x14ac:dyDescent="0.3">
      <c r="A2635" t="s">
        <v>179</v>
      </c>
      <c r="B2635" t="str">
        <f>"00072718"</f>
        <v>00072718</v>
      </c>
      <c r="C2635" t="s">
        <v>4270</v>
      </c>
      <c r="H2635" t="s">
        <v>170</v>
      </c>
      <c r="I2635">
        <v>15</v>
      </c>
      <c r="J2635">
        <v>1</v>
      </c>
      <c r="K2635">
        <v>0.5</v>
      </c>
      <c r="L2635">
        <v>54975</v>
      </c>
      <c r="M2635" t="str">
        <f t="shared" si="381"/>
        <v>13</v>
      </c>
      <c r="N2635" t="s">
        <v>3323</v>
      </c>
      <c r="O2635" t="str">
        <f t="shared" si="387"/>
        <v>58811</v>
      </c>
      <c r="P2635" t="str">
        <f t="shared" si="390"/>
        <v>2100L</v>
      </c>
      <c r="Q2635" t="str">
        <f t="shared" si="383"/>
        <v>0101</v>
      </c>
      <c r="R2635">
        <v>2100</v>
      </c>
      <c r="S2635" t="str">
        <f t="shared" si="389"/>
        <v>5880</v>
      </c>
      <c r="T2635" t="s">
        <v>3583</v>
      </c>
      <c r="U2635" t="s">
        <v>124</v>
      </c>
    </row>
    <row r="2636" spans="1:21" ht="15" customHeight="1" x14ac:dyDescent="0.3">
      <c r="A2636" t="s">
        <v>179</v>
      </c>
      <c r="B2636" t="str">
        <f>"00073783"</f>
        <v>00073783</v>
      </c>
      <c r="C2636" t="s">
        <v>4272</v>
      </c>
      <c r="D2636" t="s">
        <v>2613</v>
      </c>
      <c r="E2636" t="str">
        <f>"00062907"</f>
        <v>00062907</v>
      </c>
      <c r="F2636">
        <v>0</v>
      </c>
      <c r="G2636" s="243">
        <v>40406</v>
      </c>
      <c r="H2636" t="s">
        <v>182</v>
      </c>
      <c r="I2636">
        <v>15</v>
      </c>
      <c r="J2636">
        <v>12</v>
      </c>
      <c r="K2636">
        <v>1</v>
      </c>
      <c r="L2636">
        <v>87431</v>
      </c>
      <c r="M2636" t="str">
        <f t="shared" si="381"/>
        <v>13</v>
      </c>
      <c r="N2636" t="s">
        <v>3323</v>
      </c>
      <c r="O2636" t="str">
        <f t="shared" si="387"/>
        <v>58811</v>
      </c>
      <c r="P2636" t="str">
        <f t="shared" si="390"/>
        <v>2100L</v>
      </c>
      <c r="Q2636" t="str">
        <f t="shared" si="383"/>
        <v>0101</v>
      </c>
      <c r="R2636">
        <v>2100</v>
      </c>
      <c r="S2636" t="str">
        <f t="shared" si="389"/>
        <v>5880</v>
      </c>
      <c r="T2636" t="s">
        <v>3696</v>
      </c>
      <c r="U2636" t="s">
        <v>2201</v>
      </c>
    </row>
    <row r="2637" spans="1:21" ht="15" customHeight="1" x14ac:dyDescent="0.3">
      <c r="A2637" t="s">
        <v>179</v>
      </c>
      <c r="B2637" t="str">
        <f>"00073933"</f>
        <v>00073933</v>
      </c>
      <c r="C2637" t="s">
        <v>4877</v>
      </c>
      <c r="H2637" t="s">
        <v>170</v>
      </c>
      <c r="I2637">
        <v>9</v>
      </c>
      <c r="J2637">
        <v>0</v>
      </c>
      <c r="K2637">
        <v>0.5</v>
      </c>
      <c r="L2637">
        <v>33155.199999999997</v>
      </c>
      <c r="M2637" t="str">
        <f t="shared" si="381"/>
        <v>13</v>
      </c>
      <c r="N2637" t="s">
        <v>3323</v>
      </c>
      <c r="O2637" t="str">
        <f t="shared" si="387"/>
        <v>58811</v>
      </c>
      <c r="P2637" t="str">
        <f>"1502L"</f>
        <v>1502L</v>
      </c>
      <c r="Q2637" t="str">
        <f t="shared" si="383"/>
        <v>0101</v>
      </c>
      <c r="R2637">
        <v>1502</v>
      </c>
      <c r="S2637" t="str">
        <f t="shared" si="389"/>
        <v>5880</v>
      </c>
      <c r="T2637" t="s">
        <v>3696</v>
      </c>
      <c r="U2637" t="s">
        <v>2201</v>
      </c>
    </row>
    <row r="2638" spans="1:21" ht="15" customHeight="1" x14ac:dyDescent="0.3">
      <c r="A2638" t="s">
        <v>179</v>
      </c>
      <c r="B2638" t="str">
        <f>"00073934"</f>
        <v>00073934</v>
      </c>
      <c r="C2638" t="s">
        <v>4253</v>
      </c>
      <c r="D2638" t="s">
        <v>2212</v>
      </c>
      <c r="E2638" t="str">
        <f>"00052319"</f>
        <v>00052319</v>
      </c>
      <c r="F2638">
        <v>0</v>
      </c>
      <c r="G2638" s="243">
        <v>39104</v>
      </c>
      <c r="H2638" t="s">
        <v>182</v>
      </c>
      <c r="I2638">
        <v>15</v>
      </c>
      <c r="J2638">
        <v>12</v>
      </c>
      <c r="K2638">
        <v>1</v>
      </c>
      <c r="L2638">
        <v>89887</v>
      </c>
      <c r="M2638" t="str">
        <f t="shared" si="381"/>
        <v>13</v>
      </c>
      <c r="N2638" t="s">
        <v>3323</v>
      </c>
      <c r="O2638" t="str">
        <f t="shared" si="387"/>
        <v>58811</v>
      </c>
      <c r="P2638" t="str">
        <f t="shared" ref="P2638:P2644" si="391">"2100L"</f>
        <v>2100L</v>
      </c>
      <c r="Q2638" t="str">
        <f t="shared" si="383"/>
        <v>0101</v>
      </c>
      <c r="R2638">
        <v>2100</v>
      </c>
      <c r="S2638" t="str">
        <f t="shared" si="389"/>
        <v>5880</v>
      </c>
      <c r="T2638" t="s">
        <v>3696</v>
      </c>
      <c r="U2638" t="s">
        <v>2201</v>
      </c>
    </row>
    <row r="2639" spans="1:21" ht="15" customHeight="1" x14ac:dyDescent="0.3">
      <c r="A2639" t="s">
        <v>179</v>
      </c>
      <c r="B2639" t="str">
        <f>"00073935"</f>
        <v>00073935</v>
      </c>
      <c r="C2639" t="s">
        <v>4675</v>
      </c>
      <c r="H2639" t="s">
        <v>170</v>
      </c>
      <c r="I2639">
        <v>15</v>
      </c>
      <c r="J2639">
        <v>1</v>
      </c>
      <c r="K2639">
        <v>0.5</v>
      </c>
      <c r="L2639">
        <v>54975</v>
      </c>
      <c r="M2639" t="str">
        <f t="shared" si="381"/>
        <v>13</v>
      </c>
      <c r="N2639" t="s">
        <v>3323</v>
      </c>
      <c r="O2639" t="str">
        <f t="shared" si="387"/>
        <v>58811</v>
      </c>
      <c r="P2639" t="str">
        <f t="shared" si="391"/>
        <v>2100L</v>
      </c>
      <c r="Q2639" t="str">
        <f t="shared" si="383"/>
        <v>0101</v>
      </c>
      <c r="R2639">
        <v>2100</v>
      </c>
      <c r="S2639" t="str">
        <f t="shared" si="389"/>
        <v>5880</v>
      </c>
      <c r="T2639" t="s">
        <v>3696</v>
      </c>
      <c r="U2639" t="s">
        <v>2201</v>
      </c>
    </row>
    <row r="2640" spans="1:21" ht="15" customHeight="1" x14ac:dyDescent="0.3">
      <c r="A2640" t="s">
        <v>179</v>
      </c>
      <c r="B2640" t="str">
        <f>"00073936"</f>
        <v>00073936</v>
      </c>
      <c r="C2640" t="s">
        <v>4574</v>
      </c>
      <c r="H2640" t="s">
        <v>170</v>
      </c>
      <c r="I2640">
        <v>15</v>
      </c>
      <c r="J2640">
        <v>1</v>
      </c>
      <c r="K2640">
        <v>0.5</v>
      </c>
      <c r="L2640">
        <v>51539</v>
      </c>
      <c r="M2640" t="str">
        <f t="shared" si="381"/>
        <v>13</v>
      </c>
      <c r="N2640" t="s">
        <v>3323</v>
      </c>
      <c r="O2640" t="str">
        <f t="shared" si="387"/>
        <v>58811</v>
      </c>
      <c r="P2640" t="str">
        <f t="shared" si="391"/>
        <v>2100L</v>
      </c>
      <c r="Q2640" t="str">
        <f t="shared" si="383"/>
        <v>0101</v>
      </c>
      <c r="R2640">
        <v>2100</v>
      </c>
      <c r="S2640" t="str">
        <f t="shared" si="389"/>
        <v>5880</v>
      </c>
      <c r="T2640" t="s">
        <v>3696</v>
      </c>
      <c r="U2640" t="s">
        <v>2201</v>
      </c>
    </row>
    <row r="2641" spans="1:21" ht="15" customHeight="1" x14ac:dyDescent="0.3">
      <c r="A2641" t="s">
        <v>179</v>
      </c>
      <c r="B2641" t="str">
        <f>"00074291"</f>
        <v>00074291</v>
      </c>
      <c r="C2641" t="s">
        <v>4288</v>
      </c>
      <c r="D2641" t="s">
        <v>5101</v>
      </c>
      <c r="E2641" t="str">
        <f>"00061500"</f>
        <v>00061500</v>
      </c>
      <c r="F2641">
        <v>0</v>
      </c>
      <c r="G2641" s="243">
        <v>40770</v>
      </c>
      <c r="H2641" t="s">
        <v>182</v>
      </c>
      <c r="I2641">
        <v>4</v>
      </c>
      <c r="J2641">
        <v>7</v>
      </c>
      <c r="K2641">
        <v>0.71</v>
      </c>
      <c r="L2641">
        <v>26633.25</v>
      </c>
      <c r="M2641" t="str">
        <f t="shared" si="381"/>
        <v>13</v>
      </c>
      <c r="N2641" t="s">
        <v>3323</v>
      </c>
      <c r="O2641" t="str">
        <f t="shared" si="387"/>
        <v>58811</v>
      </c>
      <c r="P2641" t="str">
        <f t="shared" si="391"/>
        <v>2100L</v>
      </c>
      <c r="Q2641" t="str">
        <f t="shared" si="383"/>
        <v>0101</v>
      </c>
      <c r="R2641">
        <v>2100</v>
      </c>
      <c r="S2641" t="str">
        <f t="shared" si="389"/>
        <v>5880</v>
      </c>
      <c r="T2641" t="s">
        <v>3696</v>
      </c>
      <c r="U2641" t="s">
        <v>2201</v>
      </c>
    </row>
    <row r="2642" spans="1:21" ht="15" customHeight="1" x14ac:dyDescent="0.3">
      <c r="A2642" t="s">
        <v>179</v>
      </c>
      <c r="B2642" t="str">
        <f>"00074592"</f>
        <v>00074592</v>
      </c>
      <c r="C2642" t="s">
        <v>4265</v>
      </c>
      <c r="D2642" t="s">
        <v>3596</v>
      </c>
      <c r="E2642" t="str">
        <f>"00039316"</f>
        <v>00039316</v>
      </c>
      <c r="F2642">
        <v>1</v>
      </c>
      <c r="G2642" s="243">
        <v>39888</v>
      </c>
      <c r="H2642" t="s">
        <v>182</v>
      </c>
      <c r="I2642">
        <v>15</v>
      </c>
      <c r="J2642">
        <v>3</v>
      </c>
      <c r="K2642">
        <v>0.5</v>
      </c>
      <c r="L2642">
        <v>61159</v>
      </c>
      <c r="M2642" t="str">
        <f t="shared" si="381"/>
        <v>13</v>
      </c>
      <c r="N2642" t="s">
        <v>3323</v>
      </c>
      <c r="O2642" t="str">
        <f t="shared" si="387"/>
        <v>58811</v>
      </c>
      <c r="P2642" t="str">
        <f t="shared" si="391"/>
        <v>2100L</v>
      </c>
      <c r="Q2642" t="str">
        <f t="shared" si="383"/>
        <v>0101</v>
      </c>
      <c r="R2642">
        <v>2100</v>
      </c>
      <c r="S2642" t="str">
        <f t="shared" si="389"/>
        <v>5880</v>
      </c>
      <c r="T2642" t="s">
        <v>3593</v>
      </c>
      <c r="U2642" t="s">
        <v>49</v>
      </c>
    </row>
    <row r="2643" spans="1:21" ht="15" customHeight="1" x14ac:dyDescent="0.3">
      <c r="A2643" t="s">
        <v>179</v>
      </c>
      <c r="B2643" t="str">
        <f>"00074696"</f>
        <v>00074696</v>
      </c>
      <c r="C2643" t="s">
        <v>4292</v>
      </c>
      <c r="D2643" t="s">
        <v>5102</v>
      </c>
      <c r="E2643" t="str">
        <f>"00065929"</f>
        <v>00065929</v>
      </c>
      <c r="F2643">
        <v>0</v>
      </c>
      <c r="G2643" s="243">
        <v>40770</v>
      </c>
      <c r="H2643" t="s">
        <v>182</v>
      </c>
      <c r="I2643">
        <v>4</v>
      </c>
      <c r="J2643">
        <v>5</v>
      </c>
      <c r="K2643">
        <v>0.71</v>
      </c>
      <c r="L2643">
        <v>25239.37</v>
      </c>
      <c r="M2643" t="str">
        <f t="shared" si="381"/>
        <v>13</v>
      </c>
      <c r="N2643" t="s">
        <v>3323</v>
      </c>
      <c r="O2643" t="str">
        <f t="shared" si="387"/>
        <v>58811</v>
      </c>
      <c r="P2643" t="str">
        <f t="shared" si="391"/>
        <v>2100L</v>
      </c>
      <c r="Q2643" t="str">
        <f t="shared" si="383"/>
        <v>0101</v>
      </c>
      <c r="R2643">
        <v>2100</v>
      </c>
      <c r="S2643" t="str">
        <f t="shared" si="389"/>
        <v>5880</v>
      </c>
      <c r="T2643" t="s">
        <v>3696</v>
      </c>
      <c r="U2643" t="s">
        <v>2201</v>
      </c>
    </row>
    <row r="2644" spans="1:21" ht="15" customHeight="1" x14ac:dyDescent="0.3">
      <c r="A2644" t="s">
        <v>179</v>
      </c>
      <c r="B2644" t="str">
        <f>"00076306"</f>
        <v>00076306</v>
      </c>
      <c r="C2644" t="s">
        <v>4262</v>
      </c>
      <c r="D2644" t="s">
        <v>5103</v>
      </c>
      <c r="E2644" t="str">
        <f>"00069927"</f>
        <v>00069927</v>
      </c>
      <c r="F2644">
        <v>0</v>
      </c>
      <c r="G2644" s="243">
        <v>41133</v>
      </c>
      <c r="H2644" t="s">
        <v>182</v>
      </c>
      <c r="I2644">
        <v>15</v>
      </c>
      <c r="J2644">
        <v>1</v>
      </c>
      <c r="K2644">
        <v>1</v>
      </c>
      <c r="L2644">
        <v>51539</v>
      </c>
      <c r="M2644" t="str">
        <f t="shared" si="381"/>
        <v>13</v>
      </c>
      <c r="N2644" t="s">
        <v>3370</v>
      </c>
      <c r="O2644" t="str">
        <f t="shared" si="387"/>
        <v>58811</v>
      </c>
      <c r="P2644" t="str">
        <f t="shared" si="391"/>
        <v>2100L</v>
      </c>
      <c r="Q2644" t="str">
        <f t="shared" si="383"/>
        <v>0101</v>
      </c>
      <c r="R2644">
        <v>2100</v>
      </c>
      <c r="S2644" t="str">
        <f t="shared" si="389"/>
        <v>5880</v>
      </c>
      <c r="T2644" t="s">
        <v>3696</v>
      </c>
      <c r="U2644" t="s">
        <v>2201</v>
      </c>
    </row>
    <row r="2645" spans="1:21" ht="15" customHeight="1" x14ac:dyDescent="0.3">
      <c r="A2645" t="s">
        <v>179</v>
      </c>
      <c r="B2645" t="str">
        <f>"00052018"</f>
        <v>00052018</v>
      </c>
      <c r="C2645" t="s">
        <v>4257</v>
      </c>
      <c r="D2645" t="s">
        <v>2213</v>
      </c>
      <c r="E2645" t="str">
        <f>"00046955"</f>
        <v>00046955</v>
      </c>
      <c r="F2645">
        <v>0</v>
      </c>
      <c r="G2645" s="243">
        <v>32050</v>
      </c>
      <c r="H2645" t="s">
        <v>182</v>
      </c>
      <c r="I2645">
        <v>15</v>
      </c>
      <c r="J2645">
        <v>16</v>
      </c>
      <c r="K2645">
        <v>1</v>
      </c>
      <c r="L2645">
        <v>100839</v>
      </c>
      <c r="M2645" t="str">
        <f t="shared" ref="M2645:M2702" si="392">"13"</f>
        <v>13</v>
      </c>
      <c r="N2645" t="s">
        <v>3323</v>
      </c>
      <c r="O2645" t="str">
        <f t="shared" ref="O2645:O2687" si="393">"59011"</f>
        <v>59011</v>
      </c>
      <c r="P2645" t="str">
        <f>"2100L"</f>
        <v>2100L</v>
      </c>
      <c r="Q2645" t="str">
        <f t="shared" si="383"/>
        <v>0101</v>
      </c>
      <c r="R2645">
        <v>2100</v>
      </c>
      <c r="S2645" t="str">
        <f t="shared" ref="S2645:S2687" si="394">"5900"</f>
        <v>5900</v>
      </c>
      <c r="T2645" t="s">
        <v>3698</v>
      </c>
      <c r="U2645" t="s">
        <v>63</v>
      </c>
    </row>
    <row r="2646" spans="1:21" ht="15" customHeight="1" x14ac:dyDescent="0.3">
      <c r="A2646" t="s">
        <v>179</v>
      </c>
      <c r="B2646" t="str">
        <f>"00052175"</f>
        <v>00052175</v>
      </c>
      <c r="C2646" t="s">
        <v>4272</v>
      </c>
      <c r="D2646" t="s">
        <v>2214</v>
      </c>
      <c r="E2646" t="str">
        <f>"00047532"</f>
        <v>00047532</v>
      </c>
      <c r="F2646">
        <v>0</v>
      </c>
      <c r="G2646" s="243">
        <v>32050</v>
      </c>
      <c r="H2646" t="s">
        <v>182</v>
      </c>
      <c r="I2646">
        <v>15</v>
      </c>
      <c r="J2646">
        <v>16</v>
      </c>
      <c r="K2646">
        <v>1</v>
      </c>
      <c r="L2646">
        <v>106540</v>
      </c>
      <c r="M2646" t="str">
        <f t="shared" si="392"/>
        <v>13</v>
      </c>
      <c r="N2646" t="s">
        <v>3323</v>
      </c>
      <c r="O2646" t="str">
        <f t="shared" si="393"/>
        <v>59011</v>
      </c>
      <c r="P2646" t="str">
        <f>"2200L"</f>
        <v>2200L</v>
      </c>
      <c r="Q2646" t="str">
        <f t="shared" si="383"/>
        <v>0101</v>
      </c>
      <c r="R2646">
        <v>2200</v>
      </c>
      <c r="S2646" t="str">
        <f t="shared" si="394"/>
        <v>5900</v>
      </c>
      <c r="T2646" t="s">
        <v>3698</v>
      </c>
      <c r="U2646" t="s">
        <v>63</v>
      </c>
    </row>
    <row r="2647" spans="1:21" ht="15" customHeight="1" x14ac:dyDescent="0.3">
      <c r="A2647" t="s">
        <v>179</v>
      </c>
      <c r="B2647" t="str">
        <f>"00052219"</f>
        <v>00052219</v>
      </c>
      <c r="C2647" t="s">
        <v>4274</v>
      </c>
      <c r="D2647" t="s">
        <v>5104</v>
      </c>
      <c r="E2647" t="str">
        <f>"00028945"</f>
        <v>00028945</v>
      </c>
      <c r="F2647">
        <v>1</v>
      </c>
      <c r="G2647" s="243">
        <v>29978</v>
      </c>
      <c r="H2647" t="s">
        <v>182</v>
      </c>
      <c r="I2647">
        <v>4</v>
      </c>
      <c r="J2647">
        <v>10</v>
      </c>
      <c r="K2647">
        <v>0.875</v>
      </c>
      <c r="L2647">
        <v>28721</v>
      </c>
      <c r="M2647" t="str">
        <f t="shared" si="392"/>
        <v>13</v>
      </c>
      <c r="N2647" t="s">
        <v>3323</v>
      </c>
      <c r="O2647" t="str">
        <f t="shared" si="393"/>
        <v>59011</v>
      </c>
      <c r="P2647" t="str">
        <f>"2200L"</f>
        <v>2200L</v>
      </c>
      <c r="Q2647" t="str">
        <f t="shared" si="383"/>
        <v>0101</v>
      </c>
      <c r="R2647">
        <v>2200</v>
      </c>
      <c r="S2647" t="str">
        <f t="shared" si="394"/>
        <v>5900</v>
      </c>
      <c r="T2647" t="s">
        <v>3698</v>
      </c>
      <c r="U2647" t="s">
        <v>63</v>
      </c>
    </row>
    <row r="2648" spans="1:21" ht="15" customHeight="1" x14ac:dyDescent="0.3">
      <c r="A2648" t="s">
        <v>179</v>
      </c>
      <c r="B2648" t="str">
        <f>"00052461"</f>
        <v>00052461</v>
      </c>
      <c r="C2648" t="s">
        <v>4262</v>
      </c>
      <c r="D2648" t="s">
        <v>5105</v>
      </c>
      <c r="E2648" t="str">
        <f>"00069785"</f>
        <v>00069785</v>
      </c>
      <c r="F2648">
        <v>0</v>
      </c>
      <c r="G2648" s="243">
        <v>41133</v>
      </c>
      <c r="H2648" t="s">
        <v>182</v>
      </c>
      <c r="I2648">
        <v>15</v>
      </c>
      <c r="J2648">
        <v>1</v>
      </c>
      <c r="K2648">
        <v>1</v>
      </c>
      <c r="L2648">
        <v>56693</v>
      </c>
      <c r="M2648" t="str">
        <f t="shared" si="392"/>
        <v>13</v>
      </c>
      <c r="N2648" t="s">
        <v>3370</v>
      </c>
      <c r="O2648" t="str">
        <f t="shared" si="393"/>
        <v>59011</v>
      </c>
      <c r="P2648" t="str">
        <f>"2100L"</f>
        <v>2100L</v>
      </c>
      <c r="Q2648" t="str">
        <f t="shared" si="383"/>
        <v>0101</v>
      </c>
      <c r="R2648">
        <v>2100</v>
      </c>
      <c r="S2648" t="str">
        <f t="shared" si="394"/>
        <v>5900</v>
      </c>
      <c r="T2648" t="s">
        <v>3698</v>
      </c>
      <c r="U2648" t="s">
        <v>63</v>
      </c>
    </row>
    <row r="2649" spans="1:21" ht="15" customHeight="1" x14ac:dyDescent="0.3">
      <c r="A2649" t="s">
        <v>179</v>
      </c>
      <c r="B2649" t="str">
        <f>"00052576"</f>
        <v>00052576</v>
      </c>
      <c r="C2649" t="s">
        <v>4262</v>
      </c>
      <c r="D2649" t="s">
        <v>840</v>
      </c>
      <c r="E2649" t="str">
        <f>"00050006"</f>
        <v>00050006</v>
      </c>
      <c r="F2649">
        <v>0</v>
      </c>
      <c r="G2649" s="243">
        <v>37861</v>
      </c>
      <c r="H2649" t="s">
        <v>182</v>
      </c>
      <c r="I2649">
        <v>15</v>
      </c>
      <c r="J2649">
        <v>13</v>
      </c>
      <c r="K2649">
        <v>1</v>
      </c>
      <c r="L2649">
        <v>95366</v>
      </c>
      <c r="M2649" t="str">
        <f t="shared" si="392"/>
        <v>13</v>
      </c>
      <c r="N2649" t="s">
        <v>3323</v>
      </c>
      <c r="O2649" t="str">
        <f t="shared" si="393"/>
        <v>59011</v>
      </c>
      <c r="P2649" t="str">
        <f>"2100L"</f>
        <v>2100L</v>
      </c>
      <c r="Q2649" t="str">
        <f t="shared" si="383"/>
        <v>0101</v>
      </c>
      <c r="R2649">
        <v>2100</v>
      </c>
      <c r="S2649" t="str">
        <f t="shared" si="394"/>
        <v>5900</v>
      </c>
      <c r="T2649" t="s">
        <v>3698</v>
      </c>
      <c r="U2649" t="s">
        <v>63</v>
      </c>
    </row>
    <row r="2650" spans="1:21" ht="15" customHeight="1" x14ac:dyDescent="0.3">
      <c r="A2650" t="s">
        <v>179</v>
      </c>
      <c r="B2650" t="str">
        <f>"00052609"</f>
        <v>00052609</v>
      </c>
      <c r="C2650" t="s">
        <v>4262</v>
      </c>
      <c r="D2650" t="s">
        <v>2215</v>
      </c>
      <c r="E2650" t="str">
        <f>"00048681"</f>
        <v>00048681</v>
      </c>
      <c r="F2650">
        <v>0</v>
      </c>
      <c r="G2650" s="243">
        <v>32050</v>
      </c>
      <c r="H2650" t="s">
        <v>182</v>
      </c>
      <c r="I2650">
        <v>15</v>
      </c>
      <c r="J2650">
        <v>16</v>
      </c>
      <c r="K2650">
        <v>1</v>
      </c>
      <c r="L2650">
        <v>100839</v>
      </c>
      <c r="M2650" t="str">
        <f t="shared" si="392"/>
        <v>13</v>
      </c>
      <c r="N2650" t="s">
        <v>3323</v>
      </c>
      <c r="O2650" t="str">
        <f t="shared" si="393"/>
        <v>59011</v>
      </c>
      <c r="P2650" t="str">
        <f>"2100L"</f>
        <v>2100L</v>
      </c>
      <c r="Q2650" t="str">
        <f t="shared" si="383"/>
        <v>0101</v>
      </c>
      <c r="R2650">
        <v>2100</v>
      </c>
      <c r="S2650" t="str">
        <f t="shared" si="394"/>
        <v>5900</v>
      </c>
      <c r="T2650" t="s">
        <v>3698</v>
      </c>
      <c r="U2650" t="s">
        <v>63</v>
      </c>
    </row>
    <row r="2651" spans="1:21" ht="15" customHeight="1" x14ac:dyDescent="0.3">
      <c r="A2651" t="s">
        <v>179</v>
      </c>
      <c r="B2651" t="str">
        <f>"00052718"</f>
        <v>00052718</v>
      </c>
      <c r="C2651" t="s">
        <v>4258</v>
      </c>
      <c r="D2651" t="s">
        <v>1034</v>
      </c>
      <c r="E2651" t="str">
        <f>"00046249"</f>
        <v>00046249</v>
      </c>
      <c r="F2651">
        <v>0</v>
      </c>
      <c r="G2651" s="243">
        <v>40041</v>
      </c>
      <c r="H2651" t="s">
        <v>182</v>
      </c>
      <c r="I2651">
        <v>15</v>
      </c>
      <c r="J2651">
        <v>5</v>
      </c>
      <c r="K2651">
        <v>1</v>
      </c>
      <c r="L2651">
        <v>63611</v>
      </c>
      <c r="M2651" t="str">
        <f t="shared" si="392"/>
        <v>13</v>
      </c>
      <c r="N2651" t="s">
        <v>3323</v>
      </c>
      <c r="O2651" t="str">
        <f t="shared" si="393"/>
        <v>59011</v>
      </c>
      <c r="P2651" t="str">
        <f>"2100L"</f>
        <v>2100L</v>
      </c>
      <c r="Q2651" t="str">
        <f t="shared" si="383"/>
        <v>0101</v>
      </c>
      <c r="R2651">
        <v>2100</v>
      </c>
      <c r="S2651" t="str">
        <f t="shared" si="394"/>
        <v>5900</v>
      </c>
      <c r="T2651" t="s">
        <v>3698</v>
      </c>
      <c r="U2651" t="s">
        <v>63</v>
      </c>
    </row>
    <row r="2652" spans="1:21" ht="15" customHeight="1" x14ac:dyDescent="0.3">
      <c r="A2652" t="s">
        <v>179</v>
      </c>
      <c r="B2652" t="str">
        <f>"00053145"</f>
        <v>00053145</v>
      </c>
      <c r="C2652" t="s">
        <v>4254</v>
      </c>
      <c r="D2652" t="s">
        <v>2216</v>
      </c>
      <c r="E2652" t="str">
        <f>"00051020"</f>
        <v>00051020</v>
      </c>
      <c r="F2652">
        <v>0</v>
      </c>
      <c r="G2652" s="243">
        <v>32050</v>
      </c>
      <c r="H2652" t="s">
        <v>182</v>
      </c>
      <c r="I2652">
        <v>15</v>
      </c>
      <c r="J2652">
        <v>16</v>
      </c>
      <c r="K2652">
        <v>1</v>
      </c>
      <c r="L2652">
        <v>106540</v>
      </c>
      <c r="M2652" t="str">
        <f t="shared" si="392"/>
        <v>13</v>
      </c>
      <c r="N2652" t="s">
        <v>3323</v>
      </c>
      <c r="O2652" t="str">
        <f t="shared" si="393"/>
        <v>59011</v>
      </c>
      <c r="P2652" t="str">
        <f>"2100L"</f>
        <v>2100L</v>
      </c>
      <c r="Q2652" t="str">
        <f t="shared" si="383"/>
        <v>0101</v>
      </c>
      <c r="R2652">
        <v>2100</v>
      </c>
      <c r="S2652" t="str">
        <f t="shared" si="394"/>
        <v>5900</v>
      </c>
      <c r="T2652" t="s">
        <v>3698</v>
      </c>
      <c r="U2652" t="s">
        <v>63</v>
      </c>
    </row>
    <row r="2653" spans="1:21" ht="15" customHeight="1" x14ac:dyDescent="0.3">
      <c r="A2653" t="s">
        <v>179</v>
      </c>
      <c r="B2653" t="str">
        <f>"00053506"</f>
        <v>00053506</v>
      </c>
      <c r="C2653" t="s">
        <v>3798</v>
      </c>
      <c r="D2653" t="s">
        <v>1126</v>
      </c>
      <c r="E2653" t="str">
        <f>"00049833"</f>
        <v>00049833</v>
      </c>
      <c r="F2653">
        <v>0</v>
      </c>
      <c r="G2653" s="243">
        <v>29876</v>
      </c>
      <c r="H2653" t="s">
        <v>182</v>
      </c>
      <c r="I2653">
        <v>61</v>
      </c>
      <c r="J2653">
        <v>9</v>
      </c>
      <c r="K2653">
        <v>1</v>
      </c>
      <c r="L2653">
        <v>134000</v>
      </c>
      <c r="M2653" t="str">
        <f t="shared" si="392"/>
        <v>13</v>
      </c>
      <c r="N2653" t="s">
        <v>3323</v>
      </c>
      <c r="O2653" t="str">
        <f t="shared" si="393"/>
        <v>59011</v>
      </c>
      <c r="P2653" t="str">
        <f>"1501L"</f>
        <v>1501L</v>
      </c>
      <c r="Q2653" t="str">
        <f t="shared" si="383"/>
        <v>0101</v>
      </c>
      <c r="R2653">
        <v>1501</v>
      </c>
      <c r="S2653" t="str">
        <f t="shared" si="394"/>
        <v>5900</v>
      </c>
      <c r="T2653" t="s">
        <v>3698</v>
      </c>
      <c r="U2653" t="s">
        <v>63</v>
      </c>
    </row>
    <row r="2654" spans="1:21" ht="15" customHeight="1" x14ac:dyDescent="0.3">
      <c r="A2654" t="s">
        <v>179</v>
      </c>
      <c r="B2654" t="str">
        <f>"00053517"</f>
        <v>00053517</v>
      </c>
      <c r="C2654" t="s">
        <v>4288</v>
      </c>
      <c r="D2654" t="s">
        <v>5106</v>
      </c>
      <c r="E2654" t="str">
        <f>"00051647"</f>
        <v>00051647</v>
      </c>
      <c r="F2654">
        <v>0</v>
      </c>
      <c r="G2654" s="243">
        <v>33161</v>
      </c>
      <c r="H2654" t="s">
        <v>182</v>
      </c>
      <c r="I2654">
        <v>4</v>
      </c>
      <c r="J2654">
        <v>10</v>
      </c>
      <c r="K2654">
        <v>0.875</v>
      </c>
      <c r="L2654">
        <v>28721</v>
      </c>
      <c r="M2654" t="str">
        <f t="shared" si="392"/>
        <v>13</v>
      </c>
      <c r="N2654" t="s">
        <v>3323</v>
      </c>
      <c r="O2654" t="str">
        <f t="shared" si="393"/>
        <v>59011</v>
      </c>
      <c r="P2654" t="str">
        <f>"2200L"</f>
        <v>2200L</v>
      </c>
      <c r="Q2654" t="str">
        <f t="shared" si="383"/>
        <v>0101</v>
      </c>
      <c r="R2654">
        <v>2200</v>
      </c>
      <c r="S2654" t="str">
        <f t="shared" si="394"/>
        <v>5900</v>
      </c>
      <c r="T2654" t="s">
        <v>3698</v>
      </c>
      <c r="U2654" t="s">
        <v>63</v>
      </c>
    </row>
    <row r="2655" spans="1:21" ht="15" customHeight="1" x14ac:dyDescent="0.3">
      <c r="A2655" t="s">
        <v>179</v>
      </c>
      <c r="B2655" t="str">
        <f>"00053803"</f>
        <v>00053803</v>
      </c>
      <c r="C2655" t="s">
        <v>4272</v>
      </c>
      <c r="D2655" t="s">
        <v>1022</v>
      </c>
      <c r="E2655" t="str">
        <f>"00057837"</f>
        <v>00057837</v>
      </c>
      <c r="F2655">
        <v>0</v>
      </c>
      <c r="G2655" s="243">
        <v>40042</v>
      </c>
      <c r="H2655" t="s">
        <v>182</v>
      </c>
      <c r="I2655">
        <v>15</v>
      </c>
      <c r="J2655">
        <v>12</v>
      </c>
      <c r="K2655">
        <v>1</v>
      </c>
      <c r="L2655">
        <v>87431</v>
      </c>
      <c r="M2655" t="str">
        <f t="shared" si="392"/>
        <v>13</v>
      </c>
      <c r="N2655" t="s">
        <v>3370</v>
      </c>
      <c r="O2655" t="str">
        <f t="shared" si="393"/>
        <v>59011</v>
      </c>
      <c r="P2655" t="str">
        <f>"2200L"</f>
        <v>2200L</v>
      </c>
      <c r="Q2655" t="str">
        <f t="shared" si="383"/>
        <v>0101</v>
      </c>
      <c r="R2655">
        <v>2200</v>
      </c>
      <c r="S2655" t="str">
        <f t="shared" si="394"/>
        <v>5900</v>
      </c>
      <c r="T2655" t="s">
        <v>3698</v>
      </c>
      <c r="U2655" t="s">
        <v>63</v>
      </c>
    </row>
    <row r="2656" spans="1:21" ht="15" customHeight="1" x14ac:dyDescent="0.3">
      <c r="A2656" t="s">
        <v>179</v>
      </c>
      <c r="B2656" t="str">
        <f>"00053902"</f>
        <v>00053902</v>
      </c>
      <c r="C2656" t="s">
        <v>4262</v>
      </c>
      <c r="D2656" t="s">
        <v>2217</v>
      </c>
      <c r="E2656" t="str">
        <f>"00052719"</f>
        <v>00052719</v>
      </c>
      <c r="F2656">
        <v>0</v>
      </c>
      <c r="G2656" s="243">
        <v>34942</v>
      </c>
      <c r="H2656" t="s">
        <v>182</v>
      </c>
      <c r="I2656">
        <v>15</v>
      </c>
      <c r="J2656">
        <v>14</v>
      </c>
      <c r="K2656">
        <v>1</v>
      </c>
      <c r="L2656">
        <v>96460</v>
      </c>
      <c r="M2656" t="str">
        <f t="shared" si="392"/>
        <v>13</v>
      </c>
      <c r="N2656" t="s">
        <v>3323</v>
      </c>
      <c r="O2656" t="str">
        <f t="shared" si="393"/>
        <v>59011</v>
      </c>
      <c r="P2656" t="str">
        <f>"2100L"</f>
        <v>2100L</v>
      </c>
      <c r="Q2656" t="str">
        <f t="shared" si="383"/>
        <v>0101</v>
      </c>
      <c r="R2656">
        <v>2100</v>
      </c>
      <c r="S2656" t="str">
        <f t="shared" si="394"/>
        <v>5900</v>
      </c>
      <c r="T2656" t="s">
        <v>3698</v>
      </c>
      <c r="U2656" t="s">
        <v>63</v>
      </c>
    </row>
    <row r="2657" spans="1:21" ht="15" customHeight="1" x14ac:dyDescent="0.3">
      <c r="A2657" t="s">
        <v>179</v>
      </c>
      <c r="B2657" t="str">
        <f>"00054426"</f>
        <v>00054426</v>
      </c>
      <c r="C2657" t="s">
        <v>4272</v>
      </c>
      <c r="D2657" t="s">
        <v>2218</v>
      </c>
      <c r="E2657" t="str">
        <f>"00054011"</f>
        <v>00054011</v>
      </c>
      <c r="F2657">
        <v>0</v>
      </c>
      <c r="G2657" s="243">
        <v>32148</v>
      </c>
      <c r="H2657" t="s">
        <v>182</v>
      </c>
      <c r="I2657">
        <v>15</v>
      </c>
      <c r="J2657">
        <v>16</v>
      </c>
      <c r="K2657">
        <v>1</v>
      </c>
      <c r="L2657">
        <v>100839</v>
      </c>
      <c r="M2657" t="str">
        <f t="shared" si="392"/>
        <v>13</v>
      </c>
      <c r="N2657" t="s">
        <v>3323</v>
      </c>
      <c r="O2657" t="str">
        <f t="shared" si="393"/>
        <v>59011</v>
      </c>
      <c r="P2657" t="str">
        <f>"2200L"</f>
        <v>2200L</v>
      </c>
      <c r="Q2657" t="str">
        <f t="shared" si="383"/>
        <v>0101</v>
      </c>
      <c r="R2657">
        <v>2200</v>
      </c>
      <c r="S2657" t="str">
        <f t="shared" si="394"/>
        <v>5900</v>
      </c>
      <c r="T2657" t="s">
        <v>3698</v>
      </c>
      <c r="U2657" t="s">
        <v>63</v>
      </c>
    </row>
    <row r="2658" spans="1:21" ht="15" customHeight="1" x14ac:dyDescent="0.3">
      <c r="A2658" t="s">
        <v>179</v>
      </c>
      <c r="B2658" t="str">
        <f>"00054498"</f>
        <v>00054498</v>
      </c>
      <c r="C2658" t="s">
        <v>4274</v>
      </c>
      <c r="D2658" t="s">
        <v>5107</v>
      </c>
      <c r="E2658" t="str">
        <f>"00024890"</f>
        <v>00024890</v>
      </c>
      <c r="F2658">
        <v>1</v>
      </c>
      <c r="G2658" s="243">
        <v>30083</v>
      </c>
      <c r="H2658" t="s">
        <v>182</v>
      </c>
      <c r="I2658">
        <v>4</v>
      </c>
      <c r="J2658">
        <v>10</v>
      </c>
      <c r="K2658">
        <v>0.875</v>
      </c>
      <c r="L2658">
        <v>28721</v>
      </c>
      <c r="M2658" t="str">
        <f t="shared" si="392"/>
        <v>13</v>
      </c>
      <c r="N2658" t="s">
        <v>3323</v>
      </c>
      <c r="O2658" t="str">
        <f t="shared" si="393"/>
        <v>59011</v>
      </c>
      <c r="P2658" t="str">
        <f>"2200L"</f>
        <v>2200L</v>
      </c>
      <c r="Q2658" t="str">
        <f t="shared" si="383"/>
        <v>0101</v>
      </c>
      <c r="R2658">
        <v>2200</v>
      </c>
      <c r="S2658" t="str">
        <f t="shared" si="394"/>
        <v>5900</v>
      </c>
      <c r="T2658" t="s">
        <v>3698</v>
      </c>
      <c r="U2658" t="s">
        <v>63</v>
      </c>
    </row>
    <row r="2659" spans="1:21" ht="15" customHeight="1" x14ac:dyDescent="0.3">
      <c r="A2659" t="s">
        <v>179</v>
      </c>
      <c r="B2659" t="str">
        <f>"00054572"</f>
        <v>00054572</v>
      </c>
      <c r="C2659" t="s">
        <v>4262</v>
      </c>
      <c r="D2659" t="s">
        <v>2219</v>
      </c>
      <c r="E2659" t="str">
        <f>"00054219"</f>
        <v>00054219</v>
      </c>
      <c r="F2659">
        <v>0</v>
      </c>
      <c r="G2659" s="243">
        <v>35669</v>
      </c>
      <c r="H2659" t="s">
        <v>182</v>
      </c>
      <c r="I2659">
        <v>15</v>
      </c>
      <c r="J2659">
        <v>14</v>
      </c>
      <c r="K2659">
        <v>1</v>
      </c>
      <c r="L2659">
        <v>96460</v>
      </c>
      <c r="M2659" t="str">
        <f t="shared" si="392"/>
        <v>13</v>
      </c>
      <c r="N2659" t="s">
        <v>3323</v>
      </c>
      <c r="O2659" t="str">
        <f t="shared" si="393"/>
        <v>59011</v>
      </c>
      <c r="P2659" t="str">
        <f>"2100L"</f>
        <v>2100L</v>
      </c>
      <c r="Q2659" t="str">
        <f t="shared" si="383"/>
        <v>0101</v>
      </c>
      <c r="R2659">
        <v>2100</v>
      </c>
      <c r="S2659" t="str">
        <f t="shared" si="394"/>
        <v>5900</v>
      </c>
      <c r="T2659" t="s">
        <v>3698</v>
      </c>
      <c r="U2659" t="s">
        <v>63</v>
      </c>
    </row>
    <row r="2660" spans="1:21" ht="15" customHeight="1" x14ac:dyDescent="0.3">
      <c r="A2660" t="s">
        <v>179</v>
      </c>
      <c r="B2660" t="str">
        <f>"00055285"</f>
        <v>00055285</v>
      </c>
      <c r="C2660" t="s">
        <v>4260</v>
      </c>
      <c r="D2660" t="s">
        <v>2220</v>
      </c>
      <c r="E2660" t="str">
        <f>"00050429"</f>
        <v>00050429</v>
      </c>
      <c r="F2660">
        <v>0</v>
      </c>
      <c r="G2660" s="243">
        <v>36397</v>
      </c>
      <c r="H2660" t="s">
        <v>182</v>
      </c>
      <c r="I2660">
        <v>15</v>
      </c>
      <c r="J2660">
        <v>12</v>
      </c>
      <c r="K2660">
        <v>1</v>
      </c>
      <c r="L2660">
        <v>87431</v>
      </c>
      <c r="M2660" t="str">
        <f t="shared" si="392"/>
        <v>13</v>
      </c>
      <c r="N2660" t="s">
        <v>3323</v>
      </c>
      <c r="O2660" t="str">
        <f t="shared" si="393"/>
        <v>59011</v>
      </c>
      <c r="P2660" t="str">
        <f>"3030L"</f>
        <v>3030L</v>
      </c>
      <c r="Q2660" t="str">
        <f t="shared" ref="Q2660:Q2718" si="395">"0101"</f>
        <v>0101</v>
      </c>
      <c r="R2660">
        <v>3030</v>
      </c>
      <c r="S2660" t="str">
        <f t="shared" si="394"/>
        <v>5900</v>
      </c>
      <c r="T2660" t="s">
        <v>3698</v>
      </c>
      <c r="U2660" t="s">
        <v>63</v>
      </c>
    </row>
    <row r="2661" spans="1:21" ht="15" customHeight="1" x14ac:dyDescent="0.3">
      <c r="A2661" t="s">
        <v>179</v>
      </c>
      <c r="B2661" t="str">
        <f>"00055330"</f>
        <v>00055330</v>
      </c>
      <c r="C2661" t="s">
        <v>4292</v>
      </c>
      <c r="D2661" t="s">
        <v>5108</v>
      </c>
      <c r="E2661" t="str">
        <f>"00052434"</f>
        <v>00052434</v>
      </c>
      <c r="F2661">
        <v>0</v>
      </c>
      <c r="G2661" s="243">
        <v>36397</v>
      </c>
      <c r="H2661" t="s">
        <v>182</v>
      </c>
      <c r="I2661">
        <v>4</v>
      </c>
      <c r="J2661">
        <v>9</v>
      </c>
      <c r="K2661">
        <v>1</v>
      </c>
      <c r="L2661">
        <v>32029</v>
      </c>
      <c r="M2661" t="str">
        <f t="shared" si="392"/>
        <v>13</v>
      </c>
      <c r="N2661" t="s">
        <v>3323</v>
      </c>
      <c r="O2661" t="str">
        <f t="shared" si="393"/>
        <v>59011</v>
      </c>
      <c r="P2661" t="str">
        <f>"3030L"</f>
        <v>3030L</v>
      </c>
      <c r="Q2661" t="str">
        <f t="shared" si="395"/>
        <v>0101</v>
      </c>
      <c r="R2661">
        <v>3030</v>
      </c>
      <c r="S2661" t="str">
        <f t="shared" si="394"/>
        <v>5900</v>
      </c>
      <c r="T2661" t="s">
        <v>3698</v>
      </c>
      <c r="U2661" t="s">
        <v>63</v>
      </c>
    </row>
    <row r="2662" spans="1:21" ht="15" customHeight="1" x14ac:dyDescent="0.3">
      <c r="A2662" t="s">
        <v>179</v>
      </c>
      <c r="B2662" t="str">
        <f>"00056874"</f>
        <v>00056874</v>
      </c>
      <c r="C2662" t="s">
        <v>4272</v>
      </c>
      <c r="D2662" t="s">
        <v>2221</v>
      </c>
      <c r="E2662" t="str">
        <f>"00054428"</f>
        <v>00054428</v>
      </c>
      <c r="F2662">
        <v>0</v>
      </c>
      <c r="G2662" s="243">
        <v>36390</v>
      </c>
      <c r="H2662" t="s">
        <v>182</v>
      </c>
      <c r="I2662">
        <v>15</v>
      </c>
      <c r="J2662">
        <v>14</v>
      </c>
      <c r="K2662">
        <v>1</v>
      </c>
      <c r="L2662">
        <v>96460</v>
      </c>
      <c r="M2662" t="str">
        <f t="shared" si="392"/>
        <v>13</v>
      </c>
      <c r="N2662" t="s">
        <v>3323</v>
      </c>
      <c r="O2662" t="str">
        <f t="shared" si="393"/>
        <v>59011</v>
      </c>
      <c r="P2662" t="str">
        <f>"2100L"</f>
        <v>2100L</v>
      </c>
      <c r="Q2662" t="str">
        <f t="shared" si="395"/>
        <v>0101</v>
      </c>
      <c r="R2662">
        <v>2100</v>
      </c>
      <c r="S2662" t="str">
        <f t="shared" si="394"/>
        <v>5900</v>
      </c>
      <c r="T2662" t="s">
        <v>3698</v>
      </c>
      <c r="U2662" t="s">
        <v>63</v>
      </c>
    </row>
    <row r="2663" spans="1:21" ht="15" customHeight="1" x14ac:dyDescent="0.3">
      <c r="A2663" t="s">
        <v>179</v>
      </c>
      <c r="B2663" t="str">
        <f>"00057387"</f>
        <v>00057387</v>
      </c>
      <c r="C2663" t="s">
        <v>4272</v>
      </c>
      <c r="D2663" t="s">
        <v>2222</v>
      </c>
      <c r="E2663" t="str">
        <f>"00044985"</f>
        <v>00044985</v>
      </c>
      <c r="F2663">
        <v>0</v>
      </c>
      <c r="G2663" s="243">
        <v>36761</v>
      </c>
      <c r="H2663" t="s">
        <v>182</v>
      </c>
      <c r="I2663">
        <v>15</v>
      </c>
      <c r="J2663">
        <v>16</v>
      </c>
      <c r="K2663">
        <v>1</v>
      </c>
      <c r="L2663">
        <v>103347</v>
      </c>
      <c r="M2663" t="str">
        <f t="shared" si="392"/>
        <v>13</v>
      </c>
      <c r="N2663" t="s">
        <v>3323</v>
      </c>
      <c r="O2663" t="str">
        <f t="shared" si="393"/>
        <v>59011</v>
      </c>
      <c r="P2663" t="str">
        <f>"2200L"</f>
        <v>2200L</v>
      </c>
      <c r="Q2663" t="str">
        <f t="shared" si="395"/>
        <v>0101</v>
      </c>
      <c r="R2663">
        <v>2200</v>
      </c>
      <c r="S2663" t="str">
        <f t="shared" si="394"/>
        <v>5900</v>
      </c>
      <c r="T2663" t="s">
        <v>3698</v>
      </c>
      <c r="U2663" t="s">
        <v>63</v>
      </c>
    </row>
    <row r="2664" spans="1:21" ht="15" customHeight="1" x14ac:dyDescent="0.3">
      <c r="A2664" t="s">
        <v>179</v>
      </c>
      <c r="B2664" t="str">
        <f>"00057744"</f>
        <v>00057744</v>
      </c>
      <c r="C2664" t="s">
        <v>4272</v>
      </c>
      <c r="D2664" t="s">
        <v>2223</v>
      </c>
      <c r="E2664" t="str">
        <f>"00048532"</f>
        <v>00048532</v>
      </c>
      <c r="F2664">
        <v>0</v>
      </c>
      <c r="G2664" s="243">
        <v>36893</v>
      </c>
      <c r="H2664" t="s">
        <v>182</v>
      </c>
      <c r="I2664">
        <v>15</v>
      </c>
      <c r="J2664">
        <v>15</v>
      </c>
      <c r="K2664">
        <v>1</v>
      </c>
      <c r="L2664">
        <v>98285</v>
      </c>
      <c r="M2664" t="str">
        <f t="shared" si="392"/>
        <v>13</v>
      </c>
      <c r="N2664" t="s">
        <v>3323</v>
      </c>
      <c r="O2664" t="str">
        <f t="shared" si="393"/>
        <v>59011</v>
      </c>
      <c r="P2664" t="str">
        <f>"2200L"</f>
        <v>2200L</v>
      </c>
      <c r="Q2664" t="str">
        <f t="shared" si="395"/>
        <v>0101</v>
      </c>
      <c r="R2664">
        <v>2200</v>
      </c>
      <c r="S2664" t="str">
        <f t="shared" si="394"/>
        <v>5900</v>
      </c>
      <c r="T2664" t="s">
        <v>3698</v>
      </c>
      <c r="U2664" t="s">
        <v>63</v>
      </c>
    </row>
    <row r="2665" spans="1:21" ht="15" customHeight="1" x14ac:dyDescent="0.3">
      <c r="A2665" t="s">
        <v>179</v>
      </c>
      <c r="B2665" t="str">
        <f>"00059505"</f>
        <v>00059505</v>
      </c>
      <c r="C2665" t="s">
        <v>4260</v>
      </c>
      <c r="D2665" t="s">
        <v>2224</v>
      </c>
      <c r="E2665" t="str">
        <f>"00046699"</f>
        <v>00046699</v>
      </c>
      <c r="F2665">
        <v>0</v>
      </c>
      <c r="G2665" s="243">
        <v>37928</v>
      </c>
      <c r="H2665" t="s">
        <v>182</v>
      </c>
      <c r="I2665">
        <v>15</v>
      </c>
      <c r="J2665">
        <v>13</v>
      </c>
      <c r="K2665">
        <v>1</v>
      </c>
      <c r="L2665">
        <v>86613</v>
      </c>
      <c r="M2665" t="str">
        <f t="shared" si="392"/>
        <v>13</v>
      </c>
      <c r="N2665" t="s">
        <v>3323</v>
      </c>
      <c r="O2665" t="str">
        <f t="shared" si="393"/>
        <v>59011</v>
      </c>
      <c r="P2665" t="str">
        <f>"2100L"</f>
        <v>2100L</v>
      </c>
      <c r="Q2665" t="str">
        <f t="shared" si="395"/>
        <v>0101</v>
      </c>
      <c r="R2665">
        <v>2100</v>
      </c>
      <c r="S2665" t="str">
        <f t="shared" si="394"/>
        <v>5900</v>
      </c>
      <c r="T2665" t="s">
        <v>3698</v>
      </c>
      <c r="U2665" t="s">
        <v>63</v>
      </c>
    </row>
    <row r="2666" spans="1:21" ht="15" customHeight="1" x14ac:dyDescent="0.3">
      <c r="A2666" t="s">
        <v>179</v>
      </c>
      <c r="B2666" t="str">
        <f>"00059813"</f>
        <v>00059813</v>
      </c>
      <c r="C2666" t="s">
        <v>4262</v>
      </c>
      <c r="D2666" t="s">
        <v>5109</v>
      </c>
      <c r="E2666" t="str">
        <f>"00070590"</f>
        <v>00070590</v>
      </c>
      <c r="F2666">
        <v>0</v>
      </c>
      <c r="G2666" s="243">
        <v>41179</v>
      </c>
      <c r="H2666" t="s">
        <v>182</v>
      </c>
      <c r="I2666">
        <v>15</v>
      </c>
      <c r="J2666">
        <v>5</v>
      </c>
      <c r="K2666">
        <v>1</v>
      </c>
      <c r="L2666">
        <v>63611</v>
      </c>
      <c r="M2666" t="str">
        <f t="shared" si="392"/>
        <v>13</v>
      </c>
      <c r="N2666" t="s">
        <v>3323</v>
      </c>
      <c r="O2666" t="str">
        <f t="shared" si="393"/>
        <v>59011</v>
      </c>
      <c r="P2666" t="str">
        <f>"2100L"</f>
        <v>2100L</v>
      </c>
      <c r="Q2666" t="str">
        <f t="shared" si="395"/>
        <v>0101</v>
      </c>
      <c r="R2666">
        <v>2100</v>
      </c>
      <c r="S2666" t="str">
        <f t="shared" si="394"/>
        <v>5900</v>
      </c>
      <c r="T2666" t="s">
        <v>3698</v>
      </c>
      <c r="U2666" t="s">
        <v>63</v>
      </c>
    </row>
    <row r="2667" spans="1:21" ht="15" customHeight="1" x14ac:dyDescent="0.3">
      <c r="A2667" t="s">
        <v>179</v>
      </c>
      <c r="B2667" t="str">
        <f>"00059854"</f>
        <v>00059854</v>
      </c>
      <c r="C2667" t="s">
        <v>4262</v>
      </c>
      <c r="D2667" t="s">
        <v>2225</v>
      </c>
      <c r="E2667" t="str">
        <f>"00060635"</f>
        <v>00060635</v>
      </c>
      <c r="F2667">
        <v>0</v>
      </c>
      <c r="G2667" s="243">
        <v>40252</v>
      </c>
      <c r="H2667" t="s">
        <v>182</v>
      </c>
      <c r="I2667">
        <v>15</v>
      </c>
      <c r="J2667">
        <v>10</v>
      </c>
      <c r="K2667">
        <v>1</v>
      </c>
      <c r="L2667">
        <v>78273</v>
      </c>
      <c r="M2667" t="str">
        <f t="shared" si="392"/>
        <v>13</v>
      </c>
      <c r="N2667" t="s">
        <v>3323</v>
      </c>
      <c r="O2667" t="str">
        <f t="shared" si="393"/>
        <v>59011</v>
      </c>
      <c r="P2667" t="str">
        <f>"2100L"</f>
        <v>2100L</v>
      </c>
      <c r="Q2667" t="str">
        <f t="shared" si="395"/>
        <v>0101</v>
      </c>
      <c r="R2667">
        <v>2100</v>
      </c>
      <c r="S2667" t="str">
        <f t="shared" si="394"/>
        <v>5900</v>
      </c>
      <c r="T2667" t="s">
        <v>3698</v>
      </c>
      <c r="U2667" t="s">
        <v>63</v>
      </c>
    </row>
    <row r="2668" spans="1:21" ht="15" customHeight="1" x14ac:dyDescent="0.3">
      <c r="A2668" t="s">
        <v>179</v>
      </c>
      <c r="B2668" t="str">
        <f>"00060022"</f>
        <v>00060022</v>
      </c>
      <c r="C2668" t="s">
        <v>4274</v>
      </c>
      <c r="D2668" t="s">
        <v>5110</v>
      </c>
      <c r="E2668" t="str">
        <f>"00051990"</f>
        <v>00051990</v>
      </c>
      <c r="F2668">
        <v>0</v>
      </c>
      <c r="G2668" s="243">
        <v>35878</v>
      </c>
      <c r="H2668" t="s">
        <v>182</v>
      </c>
      <c r="I2668">
        <v>4</v>
      </c>
      <c r="J2668">
        <v>9</v>
      </c>
      <c r="K2668">
        <v>0.875</v>
      </c>
      <c r="L2668">
        <v>28025.38</v>
      </c>
      <c r="M2668" t="str">
        <f t="shared" si="392"/>
        <v>13</v>
      </c>
      <c r="N2668" t="s">
        <v>3323</v>
      </c>
      <c r="O2668" t="str">
        <f t="shared" si="393"/>
        <v>59011</v>
      </c>
      <c r="P2668" t="str">
        <f>"2200L"</f>
        <v>2200L</v>
      </c>
      <c r="Q2668" t="str">
        <f t="shared" si="395"/>
        <v>0101</v>
      </c>
      <c r="R2668">
        <v>2200</v>
      </c>
      <c r="S2668" t="str">
        <f t="shared" si="394"/>
        <v>5900</v>
      </c>
      <c r="T2668" t="s">
        <v>3698</v>
      </c>
      <c r="U2668" t="s">
        <v>63</v>
      </c>
    </row>
    <row r="2669" spans="1:21" ht="15" customHeight="1" x14ac:dyDescent="0.3">
      <c r="A2669" t="s">
        <v>179</v>
      </c>
      <c r="B2669" t="str">
        <f>"00062109"</f>
        <v>00062109</v>
      </c>
      <c r="C2669" t="s">
        <v>200</v>
      </c>
      <c r="D2669" t="s">
        <v>2226</v>
      </c>
      <c r="E2669" t="str">
        <f>"00048749"</f>
        <v>00048749</v>
      </c>
      <c r="F2669">
        <v>0</v>
      </c>
      <c r="G2669" s="243">
        <v>39679</v>
      </c>
      <c r="H2669" t="s">
        <v>182</v>
      </c>
      <c r="I2669">
        <v>15</v>
      </c>
      <c r="J2669">
        <v>12</v>
      </c>
      <c r="K2669">
        <v>1</v>
      </c>
      <c r="L2669">
        <v>89887</v>
      </c>
      <c r="M2669" t="str">
        <f t="shared" si="392"/>
        <v>13</v>
      </c>
      <c r="N2669" t="s">
        <v>3323</v>
      </c>
      <c r="O2669" t="str">
        <f t="shared" si="393"/>
        <v>59011</v>
      </c>
      <c r="P2669" t="str">
        <f>"3030L"</f>
        <v>3030L</v>
      </c>
      <c r="Q2669" t="str">
        <f t="shared" si="395"/>
        <v>0101</v>
      </c>
      <c r="R2669">
        <v>3030</v>
      </c>
      <c r="S2669" t="str">
        <f t="shared" si="394"/>
        <v>5900</v>
      </c>
      <c r="T2669" t="s">
        <v>3698</v>
      </c>
      <c r="U2669" t="s">
        <v>63</v>
      </c>
    </row>
    <row r="2670" spans="1:21" ht="15" customHeight="1" x14ac:dyDescent="0.3">
      <c r="A2670" t="s">
        <v>179</v>
      </c>
      <c r="B2670" t="str">
        <f>"00062143"</f>
        <v>00062143</v>
      </c>
      <c r="C2670" t="s">
        <v>4274</v>
      </c>
      <c r="H2670" t="s">
        <v>170</v>
      </c>
      <c r="I2670">
        <v>4</v>
      </c>
      <c r="J2670">
        <v>1</v>
      </c>
      <c r="K2670">
        <v>0.875</v>
      </c>
      <c r="L2670">
        <v>25662</v>
      </c>
      <c r="M2670" t="str">
        <f t="shared" si="392"/>
        <v>13</v>
      </c>
      <c r="N2670" t="s">
        <v>3323</v>
      </c>
      <c r="O2670" t="str">
        <f t="shared" si="393"/>
        <v>59011</v>
      </c>
      <c r="P2670" t="str">
        <f>"2200L"</f>
        <v>2200L</v>
      </c>
      <c r="Q2670" t="str">
        <f t="shared" si="395"/>
        <v>0101</v>
      </c>
      <c r="R2670">
        <v>2200</v>
      </c>
      <c r="S2670" t="str">
        <f t="shared" si="394"/>
        <v>5900</v>
      </c>
      <c r="T2670" t="s">
        <v>3698</v>
      </c>
      <c r="U2670" t="s">
        <v>63</v>
      </c>
    </row>
    <row r="2671" spans="1:21" ht="15" customHeight="1" x14ac:dyDescent="0.3">
      <c r="A2671" t="s">
        <v>179</v>
      </c>
      <c r="B2671" t="str">
        <f>"00062683"</f>
        <v>00062683</v>
      </c>
      <c r="C2671" t="s">
        <v>4292</v>
      </c>
      <c r="D2671" t="s">
        <v>5111</v>
      </c>
      <c r="E2671" t="str">
        <f>"00048319"</f>
        <v>00048319</v>
      </c>
      <c r="F2671">
        <v>0</v>
      </c>
      <c r="G2671" s="243">
        <v>40042</v>
      </c>
      <c r="H2671" t="s">
        <v>182</v>
      </c>
      <c r="I2671">
        <v>4</v>
      </c>
      <c r="J2671">
        <v>9</v>
      </c>
      <c r="K2671">
        <v>1</v>
      </c>
      <c r="L2671">
        <v>28025.38</v>
      </c>
      <c r="M2671" t="str">
        <f t="shared" si="392"/>
        <v>13</v>
      </c>
      <c r="N2671" t="s">
        <v>3323</v>
      </c>
      <c r="O2671" t="str">
        <f t="shared" si="393"/>
        <v>59011</v>
      </c>
      <c r="P2671" t="str">
        <f>"2200L"</f>
        <v>2200L</v>
      </c>
      <c r="Q2671" t="str">
        <f t="shared" si="395"/>
        <v>0101</v>
      </c>
      <c r="R2671">
        <v>2200</v>
      </c>
      <c r="S2671" t="str">
        <f t="shared" si="394"/>
        <v>5900</v>
      </c>
      <c r="T2671" t="s">
        <v>3698</v>
      </c>
      <c r="U2671" t="s">
        <v>63</v>
      </c>
    </row>
    <row r="2672" spans="1:21" ht="15" customHeight="1" x14ac:dyDescent="0.3">
      <c r="A2672" t="s">
        <v>179</v>
      </c>
      <c r="B2672" t="str">
        <f>"00066001"</f>
        <v>00066001</v>
      </c>
      <c r="C2672" t="s">
        <v>4256</v>
      </c>
      <c r="D2672" t="s">
        <v>2230</v>
      </c>
      <c r="E2672" t="str">
        <f>"00057598"</f>
        <v>00057598</v>
      </c>
      <c r="F2672">
        <v>0</v>
      </c>
      <c r="G2672" s="243">
        <v>40042</v>
      </c>
      <c r="H2672" t="s">
        <v>182</v>
      </c>
      <c r="I2672">
        <v>15</v>
      </c>
      <c r="J2672">
        <v>11</v>
      </c>
      <c r="K2672">
        <v>1</v>
      </c>
      <c r="L2672">
        <v>81335</v>
      </c>
      <c r="M2672" t="str">
        <f t="shared" si="392"/>
        <v>13</v>
      </c>
      <c r="N2672" t="s">
        <v>3323</v>
      </c>
      <c r="O2672" t="str">
        <f t="shared" si="393"/>
        <v>59011</v>
      </c>
      <c r="P2672" t="str">
        <f>"2100L"</f>
        <v>2100L</v>
      </c>
      <c r="Q2672" t="str">
        <f t="shared" si="395"/>
        <v>0101</v>
      </c>
      <c r="R2672">
        <v>2100</v>
      </c>
      <c r="S2672" t="str">
        <f t="shared" si="394"/>
        <v>5900</v>
      </c>
      <c r="T2672" t="s">
        <v>3698</v>
      </c>
      <c r="U2672" t="s">
        <v>63</v>
      </c>
    </row>
    <row r="2673" spans="1:21" ht="15" customHeight="1" x14ac:dyDescent="0.3">
      <c r="A2673" t="s">
        <v>179</v>
      </c>
      <c r="B2673" t="str">
        <f>"00066502"</f>
        <v>00066502</v>
      </c>
      <c r="C2673" t="s">
        <v>4262</v>
      </c>
      <c r="D2673" t="s">
        <v>3700</v>
      </c>
      <c r="E2673" t="str">
        <f>"00064285"</f>
        <v>00064285</v>
      </c>
      <c r="F2673">
        <v>0</v>
      </c>
      <c r="G2673" s="243">
        <v>40546</v>
      </c>
      <c r="H2673" t="s">
        <v>182</v>
      </c>
      <c r="I2673">
        <v>15</v>
      </c>
      <c r="J2673">
        <v>2</v>
      </c>
      <c r="K2673">
        <v>1</v>
      </c>
      <c r="L2673">
        <v>51716</v>
      </c>
      <c r="M2673" t="str">
        <f t="shared" si="392"/>
        <v>13</v>
      </c>
      <c r="N2673" t="s">
        <v>3323</v>
      </c>
      <c r="O2673" t="str">
        <f t="shared" si="393"/>
        <v>59011</v>
      </c>
      <c r="P2673" t="str">
        <f>"2100L"</f>
        <v>2100L</v>
      </c>
      <c r="Q2673" t="str">
        <f t="shared" si="395"/>
        <v>0101</v>
      </c>
      <c r="R2673">
        <v>2100</v>
      </c>
      <c r="S2673" t="str">
        <f t="shared" si="394"/>
        <v>5900</v>
      </c>
      <c r="T2673" t="s">
        <v>3698</v>
      </c>
      <c r="U2673" t="s">
        <v>63</v>
      </c>
    </row>
    <row r="2674" spans="1:21" ht="15" customHeight="1" x14ac:dyDescent="0.3">
      <c r="A2674" t="s">
        <v>179</v>
      </c>
      <c r="B2674" t="str">
        <f>"00067264"</f>
        <v>00067264</v>
      </c>
      <c r="C2674" t="s">
        <v>4292</v>
      </c>
      <c r="D2674" t="s">
        <v>5112</v>
      </c>
      <c r="E2674" t="str">
        <f>"00051726"</f>
        <v>00051726</v>
      </c>
      <c r="F2674">
        <v>0</v>
      </c>
      <c r="G2674" s="243">
        <v>36694</v>
      </c>
      <c r="H2674" t="s">
        <v>182</v>
      </c>
      <c r="I2674">
        <v>4</v>
      </c>
      <c r="J2674">
        <v>9</v>
      </c>
      <c r="K2674">
        <v>1</v>
      </c>
      <c r="L2674">
        <v>28025.38</v>
      </c>
      <c r="M2674" t="str">
        <f t="shared" si="392"/>
        <v>13</v>
      </c>
      <c r="N2674" t="s">
        <v>3323</v>
      </c>
      <c r="O2674" t="str">
        <f t="shared" si="393"/>
        <v>59011</v>
      </c>
      <c r="P2674" t="str">
        <f>"3030L"</f>
        <v>3030L</v>
      </c>
      <c r="Q2674" t="str">
        <f t="shared" si="395"/>
        <v>0101</v>
      </c>
      <c r="R2674">
        <v>3030</v>
      </c>
      <c r="S2674" t="str">
        <f t="shared" si="394"/>
        <v>5900</v>
      </c>
      <c r="T2674" t="s">
        <v>3698</v>
      </c>
      <c r="U2674" t="s">
        <v>63</v>
      </c>
    </row>
    <row r="2675" spans="1:21" ht="15" customHeight="1" x14ac:dyDescent="0.3">
      <c r="A2675" t="s">
        <v>179</v>
      </c>
      <c r="B2675" t="str">
        <f>"00067476"</f>
        <v>00067476</v>
      </c>
      <c r="C2675" t="s">
        <v>4262</v>
      </c>
      <c r="D2675" t="s">
        <v>3701</v>
      </c>
      <c r="E2675" t="str">
        <f>"00054947"</f>
        <v>00054947</v>
      </c>
      <c r="F2675">
        <v>0</v>
      </c>
      <c r="G2675" s="243">
        <v>40755</v>
      </c>
      <c r="H2675" t="s">
        <v>182</v>
      </c>
      <c r="I2675">
        <v>15</v>
      </c>
      <c r="J2675">
        <v>11</v>
      </c>
      <c r="K2675">
        <v>1</v>
      </c>
      <c r="L2675">
        <v>81335</v>
      </c>
      <c r="M2675" t="str">
        <f t="shared" si="392"/>
        <v>13</v>
      </c>
      <c r="N2675" t="s">
        <v>3323</v>
      </c>
      <c r="O2675" t="str">
        <f t="shared" si="393"/>
        <v>59011</v>
      </c>
      <c r="P2675" t="str">
        <f t="shared" ref="P2675:P2680" si="396">"2100L"</f>
        <v>2100L</v>
      </c>
      <c r="Q2675" t="str">
        <f t="shared" si="395"/>
        <v>0101</v>
      </c>
      <c r="R2675">
        <v>2100</v>
      </c>
      <c r="S2675" t="str">
        <f t="shared" si="394"/>
        <v>5900</v>
      </c>
      <c r="T2675" t="s">
        <v>3698</v>
      </c>
      <c r="U2675" t="s">
        <v>63</v>
      </c>
    </row>
    <row r="2676" spans="1:21" ht="15" customHeight="1" x14ac:dyDescent="0.3">
      <c r="A2676" t="s">
        <v>179</v>
      </c>
      <c r="B2676" t="str">
        <f>"00068255"</f>
        <v>00068255</v>
      </c>
      <c r="C2676" t="s">
        <v>4262</v>
      </c>
      <c r="D2676" t="s">
        <v>2708</v>
      </c>
      <c r="E2676" t="str">
        <f>"00050208"</f>
        <v>00050208</v>
      </c>
      <c r="F2676">
        <v>0</v>
      </c>
      <c r="G2676" s="243">
        <v>38222</v>
      </c>
      <c r="H2676" t="s">
        <v>182</v>
      </c>
      <c r="I2676">
        <v>15</v>
      </c>
      <c r="J2676">
        <v>9</v>
      </c>
      <c r="K2676">
        <v>1</v>
      </c>
      <c r="L2676">
        <v>80147</v>
      </c>
      <c r="M2676" t="str">
        <f t="shared" si="392"/>
        <v>13</v>
      </c>
      <c r="N2676" t="s">
        <v>3323</v>
      </c>
      <c r="O2676" t="str">
        <f t="shared" si="393"/>
        <v>59011</v>
      </c>
      <c r="P2676" t="str">
        <f t="shared" si="396"/>
        <v>2100L</v>
      </c>
      <c r="Q2676" t="str">
        <f t="shared" si="395"/>
        <v>0101</v>
      </c>
      <c r="R2676">
        <v>2100</v>
      </c>
      <c r="S2676" t="str">
        <f t="shared" si="394"/>
        <v>5900</v>
      </c>
      <c r="T2676" t="s">
        <v>3698</v>
      </c>
      <c r="U2676" t="s">
        <v>63</v>
      </c>
    </row>
    <row r="2677" spans="1:21" ht="15" customHeight="1" x14ac:dyDescent="0.3">
      <c r="A2677" t="s">
        <v>179</v>
      </c>
      <c r="B2677" t="str">
        <f>"00072617"</f>
        <v>00072617</v>
      </c>
      <c r="C2677" t="s">
        <v>5113</v>
      </c>
      <c r="H2677" t="s">
        <v>170</v>
      </c>
      <c r="I2677">
        <v>4</v>
      </c>
      <c r="J2677">
        <v>1</v>
      </c>
      <c r="K2677">
        <v>0.71</v>
      </c>
      <c r="L2677">
        <v>25662</v>
      </c>
      <c r="M2677" t="str">
        <f t="shared" si="392"/>
        <v>13</v>
      </c>
      <c r="N2677" t="s">
        <v>3323</v>
      </c>
      <c r="O2677" t="str">
        <f t="shared" si="393"/>
        <v>59011</v>
      </c>
      <c r="P2677" t="str">
        <f t="shared" si="396"/>
        <v>2100L</v>
      </c>
      <c r="Q2677" t="str">
        <f t="shared" si="395"/>
        <v>0101</v>
      </c>
      <c r="R2677">
        <v>2100</v>
      </c>
      <c r="S2677" t="str">
        <f t="shared" si="394"/>
        <v>5900</v>
      </c>
      <c r="T2677" t="s">
        <v>3698</v>
      </c>
      <c r="U2677" t="s">
        <v>63</v>
      </c>
    </row>
    <row r="2678" spans="1:21" ht="15" customHeight="1" x14ac:dyDescent="0.3">
      <c r="A2678" t="s">
        <v>179</v>
      </c>
      <c r="B2678" t="str">
        <f>"00072785"</f>
        <v>00072785</v>
      </c>
      <c r="C2678" t="s">
        <v>4256</v>
      </c>
      <c r="D2678" t="s">
        <v>2227</v>
      </c>
      <c r="E2678" t="str">
        <f>"00046393"</f>
        <v>00046393</v>
      </c>
      <c r="F2678">
        <v>0</v>
      </c>
      <c r="G2678" s="243">
        <v>40040</v>
      </c>
      <c r="H2678" t="s">
        <v>182</v>
      </c>
      <c r="I2678">
        <v>15</v>
      </c>
      <c r="J2678">
        <v>11</v>
      </c>
      <c r="K2678">
        <v>1</v>
      </c>
      <c r="L2678">
        <v>81335</v>
      </c>
      <c r="M2678" t="str">
        <f t="shared" si="392"/>
        <v>13</v>
      </c>
      <c r="N2678" t="s">
        <v>3323</v>
      </c>
      <c r="O2678" t="str">
        <f t="shared" si="393"/>
        <v>59011</v>
      </c>
      <c r="P2678" t="str">
        <f t="shared" si="396"/>
        <v>2100L</v>
      </c>
      <c r="Q2678" t="str">
        <f t="shared" si="395"/>
        <v>0101</v>
      </c>
      <c r="R2678">
        <v>2100</v>
      </c>
      <c r="S2678" t="str">
        <f t="shared" si="394"/>
        <v>5900</v>
      </c>
      <c r="T2678" t="s">
        <v>3698</v>
      </c>
      <c r="U2678" t="s">
        <v>63</v>
      </c>
    </row>
    <row r="2679" spans="1:21" ht="15" customHeight="1" x14ac:dyDescent="0.3">
      <c r="A2679" t="s">
        <v>179</v>
      </c>
      <c r="B2679" t="str">
        <f>"00072786"</f>
        <v>00072786</v>
      </c>
      <c r="C2679" t="s">
        <v>4260</v>
      </c>
      <c r="D2679" t="s">
        <v>2228</v>
      </c>
      <c r="E2679" t="str">
        <f>"00057025"</f>
        <v>00057025</v>
      </c>
      <c r="F2679">
        <v>0</v>
      </c>
      <c r="G2679" s="243">
        <v>40042</v>
      </c>
      <c r="H2679" t="s">
        <v>182</v>
      </c>
      <c r="I2679">
        <v>15</v>
      </c>
      <c r="J2679">
        <v>9</v>
      </c>
      <c r="K2679">
        <v>1</v>
      </c>
      <c r="L2679">
        <v>75232</v>
      </c>
      <c r="M2679" t="str">
        <f t="shared" si="392"/>
        <v>13</v>
      </c>
      <c r="N2679" t="s">
        <v>3323</v>
      </c>
      <c r="O2679" t="str">
        <f t="shared" si="393"/>
        <v>59011</v>
      </c>
      <c r="P2679" t="str">
        <f t="shared" si="396"/>
        <v>2100L</v>
      </c>
      <c r="Q2679" t="str">
        <f t="shared" si="395"/>
        <v>0101</v>
      </c>
      <c r="R2679">
        <v>2100</v>
      </c>
      <c r="S2679" t="str">
        <f t="shared" si="394"/>
        <v>5900</v>
      </c>
      <c r="T2679" t="s">
        <v>3698</v>
      </c>
      <c r="U2679" t="s">
        <v>63</v>
      </c>
    </row>
    <row r="2680" spans="1:21" ht="15" customHeight="1" x14ac:dyDescent="0.3">
      <c r="A2680" t="s">
        <v>179</v>
      </c>
      <c r="B2680" t="str">
        <f>"00072862"</f>
        <v>00072862</v>
      </c>
      <c r="C2680" t="s">
        <v>4341</v>
      </c>
      <c r="D2680" t="s">
        <v>2229</v>
      </c>
      <c r="E2680" t="str">
        <f>"00051233"</f>
        <v>00051233</v>
      </c>
      <c r="F2680">
        <v>0</v>
      </c>
      <c r="G2680" s="243">
        <v>36423</v>
      </c>
      <c r="H2680" t="s">
        <v>182</v>
      </c>
      <c r="I2680">
        <v>10</v>
      </c>
      <c r="J2680">
        <v>9</v>
      </c>
      <c r="K2680">
        <v>1</v>
      </c>
      <c r="L2680">
        <v>88084</v>
      </c>
      <c r="M2680" t="str">
        <f t="shared" si="392"/>
        <v>13</v>
      </c>
      <c r="N2680" t="s">
        <v>3323</v>
      </c>
      <c r="O2680" t="str">
        <f t="shared" si="393"/>
        <v>59011</v>
      </c>
      <c r="P2680" t="str">
        <f t="shared" si="396"/>
        <v>2100L</v>
      </c>
      <c r="Q2680" t="str">
        <f t="shared" si="395"/>
        <v>0101</v>
      </c>
      <c r="R2680">
        <v>2100</v>
      </c>
      <c r="S2680" t="str">
        <f t="shared" si="394"/>
        <v>5900</v>
      </c>
      <c r="T2680" t="s">
        <v>3698</v>
      </c>
      <c r="U2680" t="s">
        <v>63</v>
      </c>
    </row>
    <row r="2681" spans="1:21" ht="15" customHeight="1" x14ac:dyDescent="0.3">
      <c r="A2681" t="s">
        <v>179</v>
      </c>
      <c r="B2681" t="str">
        <f>"00074292"</f>
        <v>00074292</v>
      </c>
      <c r="C2681" t="s">
        <v>3670</v>
      </c>
      <c r="D2681" t="s">
        <v>1028</v>
      </c>
      <c r="E2681" t="str">
        <f>"00050061"</f>
        <v>00050061</v>
      </c>
      <c r="F2681">
        <v>0</v>
      </c>
      <c r="G2681" s="243">
        <v>36034</v>
      </c>
      <c r="H2681" t="s">
        <v>182</v>
      </c>
      <c r="I2681">
        <v>8</v>
      </c>
      <c r="J2681">
        <v>6</v>
      </c>
      <c r="K2681">
        <v>1</v>
      </c>
      <c r="L2681">
        <v>96453</v>
      </c>
      <c r="M2681" t="str">
        <f t="shared" si="392"/>
        <v>13</v>
      </c>
      <c r="N2681" t="s">
        <v>3323</v>
      </c>
      <c r="O2681" t="str">
        <f t="shared" si="393"/>
        <v>59011</v>
      </c>
      <c r="P2681" t="str">
        <f>"1501L"</f>
        <v>1501L</v>
      </c>
      <c r="Q2681" t="str">
        <f t="shared" si="395"/>
        <v>0101</v>
      </c>
      <c r="R2681">
        <v>1501</v>
      </c>
      <c r="S2681" t="str">
        <f t="shared" si="394"/>
        <v>5900</v>
      </c>
      <c r="T2681" t="s">
        <v>3698</v>
      </c>
      <c r="U2681" t="s">
        <v>63</v>
      </c>
    </row>
    <row r="2682" spans="1:21" ht="15" customHeight="1" x14ac:dyDescent="0.3">
      <c r="A2682" t="s">
        <v>179</v>
      </c>
      <c r="B2682" t="str">
        <f>"00074295"</f>
        <v>00074295</v>
      </c>
      <c r="C2682" t="s">
        <v>4360</v>
      </c>
      <c r="D2682" t="s">
        <v>5114</v>
      </c>
      <c r="E2682" t="str">
        <f>"00051440"</f>
        <v>00051440</v>
      </c>
      <c r="F2682">
        <v>0</v>
      </c>
      <c r="G2682" s="243">
        <v>31861</v>
      </c>
      <c r="H2682" t="s">
        <v>182</v>
      </c>
      <c r="I2682">
        <v>7</v>
      </c>
      <c r="J2682">
        <v>10</v>
      </c>
      <c r="K2682">
        <v>1</v>
      </c>
      <c r="L2682">
        <v>44837</v>
      </c>
      <c r="M2682" t="str">
        <f t="shared" si="392"/>
        <v>13</v>
      </c>
      <c r="N2682" t="s">
        <v>3323</v>
      </c>
      <c r="O2682" t="str">
        <f t="shared" si="393"/>
        <v>59011</v>
      </c>
      <c r="P2682" t="str">
        <f>"1502L"</f>
        <v>1502L</v>
      </c>
      <c r="Q2682" t="str">
        <f t="shared" si="395"/>
        <v>0101</v>
      </c>
      <c r="R2682">
        <v>1502</v>
      </c>
      <c r="S2682" t="str">
        <f t="shared" si="394"/>
        <v>5900</v>
      </c>
      <c r="T2682" t="s">
        <v>3698</v>
      </c>
      <c r="U2682" t="s">
        <v>63</v>
      </c>
    </row>
    <row r="2683" spans="1:21" ht="15" customHeight="1" x14ac:dyDescent="0.3">
      <c r="A2683" t="s">
        <v>179</v>
      </c>
      <c r="B2683" t="str">
        <f>"00074921"</f>
        <v>00074921</v>
      </c>
      <c r="C2683" t="s">
        <v>1565</v>
      </c>
      <c r="D2683" t="s">
        <v>3699</v>
      </c>
      <c r="E2683" t="str">
        <f>"00059967"</f>
        <v>00059967</v>
      </c>
      <c r="F2683">
        <v>0</v>
      </c>
      <c r="G2683" s="243">
        <v>41133</v>
      </c>
      <c r="H2683" t="s">
        <v>182</v>
      </c>
      <c r="I2683">
        <v>13</v>
      </c>
      <c r="J2683">
        <v>1</v>
      </c>
      <c r="K2683">
        <v>0.5</v>
      </c>
      <c r="L2683">
        <v>28485.599999999999</v>
      </c>
      <c r="M2683" t="str">
        <f t="shared" si="392"/>
        <v>13</v>
      </c>
      <c r="N2683" t="s">
        <v>3323</v>
      </c>
      <c r="O2683" t="str">
        <f t="shared" si="393"/>
        <v>59011</v>
      </c>
      <c r="P2683" t="str">
        <f>"2100L"</f>
        <v>2100L</v>
      </c>
      <c r="Q2683" t="str">
        <f t="shared" si="395"/>
        <v>0101</v>
      </c>
      <c r="R2683">
        <v>2100</v>
      </c>
      <c r="S2683" t="str">
        <f t="shared" si="394"/>
        <v>5900</v>
      </c>
      <c r="T2683" t="s">
        <v>3698</v>
      </c>
      <c r="U2683" t="s">
        <v>63</v>
      </c>
    </row>
    <row r="2684" spans="1:21" ht="15" customHeight="1" x14ac:dyDescent="0.3">
      <c r="A2684" t="s">
        <v>179</v>
      </c>
      <c r="B2684" t="str">
        <f>"00076307"</f>
        <v>00076307</v>
      </c>
      <c r="C2684" t="s">
        <v>4271</v>
      </c>
      <c r="D2684" t="s">
        <v>5115</v>
      </c>
      <c r="E2684" t="str">
        <f>"00053266"</f>
        <v>00053266</v>
      </c>
      <c r="F2684">
        <v>0</v>
      </c>
      <c r="G2684" s="243">
        <v>35675</v>
      </c>
      <c r="H2684" t="s">
        <v>182</v>
      </c>
      <c r="I2684">
        <v>15</v>
      </c>
      <c r="J2684">
        <v>16</v>
      </c>
      <c r="K2684">
        <v>0.5</v>
      </c>
      <c r="L2684">
        <v>106540</v>
      </c>
      <c r="M2684" t="str">
        <f t="shared" si="392"/>
        <v>13</v>
      </c>
      <c r="N2684" t="s">
        <v>3323</v>
      </c>
      <c r="O2684" t="str">
        <f t="shared" si="393"/>
        <v>59011</v>
      </c>
      <c r="P2684" t="str">
        <f>"2100L"</f>
        <v>2100L</v>
      </c>
      <c r="Q2684" t="str">
        <f t="shared" si="395"/>
        <v>0101</v>
      </c>
      <c r="R2684">
        <v>2100</v>
      </c>
      <c r="S2684" t="str">
        <f t="shared" si="394"/>
        <v>5900</v>
      </c>
      <c r="T2684" t="s">
        <v>3698</v>
      </c>
      <c r="U2684" t="s">
        <v>63</v>
      </c>
    </row>
    <row r="2685" spans="1:21" ht="15" customHeight="1" x14ac:dyDescent="0.3">
      <c r="A2685" t="s">
        <v>179</v>
      </c>
      <c r="B2685" t="str">
        <f>"00076308"</f>
        <v>00076308</v>
      </c>
      <c r="C2685" t="s">
        <v>4262</v>
      </c>
      <c r="D2685" t="s">
        <v>1239</v>
      </c>
      <c r="E2685" t="str">
        <f>"00045151"</f>
        <v>00045151</v>
      </c>
      <c r="F2685">
        <v>0</v>
      </c>
      <c r="G2685" s="243">
        <v>34213</v>
      </c>
      <c r="H2685" t="s">
        <v>182</v>
      </c>
      <c r="I2685">
        <v>15</v>
      </c>
      <c r="J2685">
        <v>15</v>
      </c>
      <c r="K2685">
        <v>1</v>
      </c>
      <c r="L2685">
        <v>103985</v>
      </c>
      <c r="M2685" t="str">
        <f t="shared" si="392"/>
        <v>13</v>
      </c>
      <c r="N2685" t="s">
        <v>3370</v>
      </c>
      <c r="O2685" t="str">
        <f t="shared" si="393"/>
        <v>59011</v>
      </c>
      <c r="P2685" t="str">
        <f>"2100L"</f>
        <v>2100L</v>
      </c>
      <c r="Q2685" t="str">
        <f t="shared" si="395"/>
        <v>0101</v>
      </c>
      <c r="R2685">
        <v>2100</v>
      </c>
      <c r="S2685" t="str">
        <f t="shared" si="394"/>
        <v>5900</v>
      </c>
      <c r="T2685" t="s">
        <v>3698</v>
      </c>
      <c r="U2685" t="s">
        <v>63</v>
      </c>
    </row>
    <row r="2686" spans="1:21" ht="15" customHeight="1" x14ac:dyDescent="0.3">
      <c r="A2686" t="s">
        <v>179</v>
      </c>
      <c r="B2686" t="str">
        <f>"00076478"</f>
        <v>00076478</v>
      </c>
      <c r="C2686" t="s">
        <v>4274</v>
      </c>
      <c r="D2686" t="s">
        <v>5116</v>
      </c>
      <c r="E2686" t="str">
        <f>"00029333"</f>
        <v>00029333</v>
      </c>
      <c r="F2686">
        <v>0</v>
      </c>
      <c r="G2686" s="243">
        <v>41176</v>
      </c>
      <c r="H2686" t="s">
        <v>182</v>
      </c>
      <c r="I2686">
        <v>4</v>
      </c>
      <c r="J2686">
        <v>7</v>
      </c>
      <c r="K2686">
        <v>0.71</v>
      </c>
      <c r="L2686">
        <v>26633.25</v>
      </c>
      <c r="M2686" t="str">
        <f t="shared" si="392"/>
        <v>13</v>
      </c>
      <c r="N2686" t="s">
        <v>3323</v>
      </c>
      <c r="O2686" t="str">
        <f t="shared" si="393"/>
        <v>59011</v>
      </c>
      <c r="P2686" t="str">
        <f>"2200L"</f>
        <v>2200L</v>
      </c>
      <c r="Q2686" t="str">
        <f t="shared" si="395"/>
        <v>0101</v>
      </c>
      <c r="R2686">
        <v>2200</v>
      </c>
      <c r="S2686" t="str">
        <f t="shared" si="394"/>
        <v>5900</v>
      </c>
      <c r="T2686" t="s">
        <v>3698</v>
      </c>
      <c r="U2686" t="s">
        <v>63</v>
      </c>
    </row>
    <row r="2687" spans="1:21" ht="15" customHeight="1" x14ac:dyDescent="0.3">
      <c r="A2687" t="s">
        <v>179</v>
      </c>
      <c r="B2687" t="str">
        <f>"00076555"</f>
        <v>00076555</v>
      </c>
      <c r="C2687" t="s">
        <v>5117</v>
      </c>
      <c r="D2687" t="s">
        <v>2078</v>
      </c>
      <c r="E2687" t="str">
        <f>"00049817"</f>
        <v>00049817</v>
      </c>
      <c r="F2687">
        <v>0</v>
      </c>
      <c r="G2687" s="243">
        <v>36761</v>
      </c>
      <c r="H2687" t="s">
        <v>182</v>
      </c>
      <c r="I2687">
        <v>15</v>
      </c>
      <c r="J2687">
        <v>14</v>
      </c>
      <c r="K2687">
        <v>1</v>
      </c>
      <c r="L2687">
        <v>96460</v>
      </c>
      <c r="M2687" t="str">
        <f t="shared" si="392"/>
        <v>13</v>
      </c>
      <c r="N2687" t="s">
        <v>3323</v>
      </c>
      <c r="O2687" t="str">
        <f t="shared" si="393"/>
        <v>59011</v>
      </c>
      <c r="P2687" t="str">
        <f>"3030L"</f>
        <v>3030L</v>
      </c>
      <c r="Q2687" t="str">
        <f t="shared" si="395"/>
        <v>0101</v>
      </c>
      <c r="R2687">
        <v>3030</v>
      </c>
      <c r="S2687" t="str">
        <f t="shared" si="394"/>
        <v>5900</v>
      </c>
      <c r="T2687" t="s">
        <v>3698</v>
      </c>
      <c r="U2687" t="s">
        <v>63</v>
      </c>
    </row>
    <row r="2688" spans="1:21" ht="15" customHeight="1" x14ac:dyDescent="0.3">
      <c r="A2688" t="s">
        <v>179</v>
      </c>
      <c r="B2688" t="str">
        <f>"00052053"</f>
        <v>00052053</v>
      </c>
      <c r="C2688" t="s">
        <v>4260</v>
      </c>
      <c r="D2688" t="s">
        <v>3707</v>
      </c>
      <c r="E2688" t="str">
        <f>"00066357"</f>
        <v>00066357</v>
      </c>
      <c r="F2688">
        <v>0</v>
      </c>
      <c r="G2688" s="243">
        <v>40759</v>
      </c>
      <c r="H2688" t="s">
        <v>182</v>
      </c>
      <c r="I2688">
        <v>15</v>
      </c>
      <c r="J2688">
        <v>2</v>
      </c>
      <c r="K2688">
        <v>1</v>
      </c>
      <c r="L2688">
        <v>56242</v>
      </c>
      <c r="M2688" t="str">
        <f t="shared" si="392"/>
        <v>13</v>
      </c>
      <c r="N2688" t="s">
        <v>3323</v>
      </c>
      <c r="O2688" t="str">
        <f t="shared" ref="O2688:O2717" si="397">"59111"</f>
        <v>59111</v>
      </c>
      <c r="P2688" t="str">
        <f>"3030L"</f>
        <v>3030L</v>
      </c>
      <c r="Q2688" t="str">
        <f t="shared" si="395"/>
        <v>0101</v>
      </c>
      <c r="R2688">
        <v>3030</v>
      </c>
      <c r="S2688" t="str">
        <f t="shared" ref="S2688:S2717" si="398">"5910"</f>
        <v>5910</v>
      </c>
      <c r="T2688" t="s">
        <v>3702</v>
      </c>
      <c r="U2688" t="s">
        <v>64</v>
      </c>
    </row>
    <row r="2689" spans="1:21" ht="15" customHeight="1" x14ac:dyDescent="0.3">
      <c r="A2689" t="s">
        <v>179</v>
      </c>
      <c r="B2689" t="str">
        <f>"00052494"</f>
        <v>00052494</v>
      </c>
      <c r="C2689" t="s">
        <v>4272</v>
      </c>
      <c r="D2689" t="s">
        <v>2279</v>
      </c>
      <c r="E2689" t="str">
        <f>"00048400"</f>
        <v>00048400</v>
      </c>
      <c r="F2689">
        <v>0</v>
      </c>
      <c r="G2689" s="243">
        <v>31714</v>
      </c>
      <c r="H2689" t="s">
        <v>182</v>
      </c>
      <c r="I2689">
        <v>15</v>
      </c>
      <c r="J2689">
        <v>16</v>
      </c>
      <c r="K2689">
        <v>1</v>
      </c>
      <c r="L2689">
        <v>100839</v>
      </c>
      <c r="M2689" t="str">
        <f t="shared" si="392"/>
        <v>13</v>
      </c>
      <c r="N2689" t="s">
        <v>3323</v>
      </c>
      <c r="O2689" t="str">
        <f t="shared" si="397"/>
        <v>59111</v>
      </c>
      <c r="P2689" t="str">
        <f>"2100L"</f>
        <v>2100L</v>
      </c>
      <c r="Q2689" t="str">
        <f t="shared" si="395"/>
        <v>0101</v>
      </c>
      <c r="R2689">
        <v>2100</v>
      </c>
      <c r="S2689" t="str">
        <f t="shared" si="398"/>
        <v>5910</v>
      </c>
      <c r="T2689" t="s">
        <v>3702</v>
      </c>
      <c r="U2689" t="s">
        <v>64</v>
      </c>
    </row>
    <row r="2690" spans="1:21" ht="15" customHeight="1" x14ac:dyDescent="0.3">
      <c r="A2690" t="s">
        <v>179</v>
      </c>
      <c r="B2690" t="str">
        <f>"00052552"</f>
        <v>00052552</v>
      </c>
      <c r="C2690" t="s">
        <v>4272</v>
      </c>
      <c r="D2690" t="s">
        <v>2280</v>
      </c>
      <c r="E2690" t="str">
        <f>"00048536"</f>
        <v>00048536</v>
      </c>
      <c r="F2690">
        <v>0</v>
      </c>
      <c r="G2690" s="243">
        <v>32050</v>
      </c>
      <c r="H2690" t="s">
        <v>182</v>
      </c>
      <c r="I2690">
        <v>15</v>
      </c>
      <c r="J2690">
        <v>16</v>
      </c>
      <c r="K2690">
        <v>1</v>
      </c>
      <c r="L2690">
        <v>100839</v>
      </c>
      <c r="M2690" t="str">
        <f t="shared" si="392"/>
        <v>13</v>
      </c>
      <c r="N2690" t="s">
        <v>3323</v>
      </c>
      <c r="O2690" t="str">
        <f t="shared" si="397"/>
        <v>59111</v>
      </c>
      <c r="P2690" t="str">
        <f>"2200L"</f>
        <v>2200L</v>
      </c>
      <c r="Q2690" t="str">
        <f t="shared" si="395"/>
        <v>0101</v>
      </c>
      <c r="R2690">
        <v>2200</v>
      </c>
      <c r="S2690" t="str">
        <f t="shared" si="398"/>
        <v>5910</v>
      </c>
      <c r="T2690" t="s">
        <v>3702</v>
      </c>
      <c r="U2690" t="s">
        <v>64</v>
      </c>
    </row>
    <row r="2691" spans="1:21" ht="15" customHeight="1" x14ac:dyDescent="0.3">
      <c r="A2691" t="s">
        <v>179</v>
      </c>
      <c r="B2691" t="str">
        <f>"00052956"</f>
        <v>00052956</v>
      </c>
      <c r="C2691" t="s">
        <v>4272</v>
      </c>
      <c r="D2691" t="s">
        <v>3708</v>
      </c>
      <c r="E2691" t="str">
        <f>"00065805"</f>
        <v>00065805</v>
      </c>
      <c r="F2691">
        <v>0</v>
      </c>
      <c r="G2691" s="243">
        <v>40755</v>
      </c>
      <c r="H2691" t="s">
        <v>182</v>
      </c>
      <c r="I2691">
        <v>15</v>
      </c>
      <c r="J2691">
        <v>2</v>
      </c>
      <c r="K2691">
        <v>1</v>
      </c>
      <c r="L2691">
        <v>51716</v>
      </c>
      <c r="M2691" t="str">
        <f t="shared" si="392"/>
        <v>13</v>
      </c>
      <c r="N2691" t="s">
        <v>3323</v>
      </c>
      <c r="O2691" t="str">
        <f t="shared" si="397"/>
        <v>59111</v>
      </c>
      <c r="P2691" t="str">
        <f>"2100L"</f>
        <v>2100L</v>
      </c>
      <c r="Q2691" t="str">
        <f t="shared" si="395"/>
        <v>0101</v>
      </c>
      <c r="R2691">
        <v>2100</v>
      </c>
      <c r="S2691" t="str">
        <f t="shared" si="398"/>
        <v>5910</v>
      </c>
      <c r="T2691" t="s">
        <v>3702</v>
      </c>
      <c r="U2691" t="s">
        <v>64</v>
      </c>
    </row>
    <row r="2692" spans="1:21" ht="15" customHeight="1" x14ac:dyDescent="0.3">
      <c r="A2692" t="s">
        <v>179</v>
      </c>
      <c r="B2692" t="str">
        <f>"00052963"</f>
        <v>00052963</v>
      </c>
      <c r="C2692" t="s">
        <v>4274</v>
      </c>
      <c r="D2692" t="s">
        <v>5118</v>
      </c>
      <c r="E2692" t="str">
        <f>"00050435"</f>
        <v>00050435</v>
      </c>
      <c r="F2692">
        <v>0</v>
      </c>
      <c r="G2692" s="243">
        <v>33286</v>
      </c>
      <c r="H2692" t="s">
        <v>182</v>
      </c>
      <c r="I2692">
        <v>4</v>
      </c>
      <c r="J2692">
        <v>10</v>
      </c>
      <c r="K2692">
        <v>0.875</v>
      </c>
      <c r="L2692">
        <v>28721</v>
      </c>
      <c r="M2692" t="str">
        <f t="shared" si="392"/>
        <v>13</v>
      </c>
      <c r="N2692" t="s">
        <v>3323</v>
      </c>
      <c r="O2692" t="str">
        <f t="shared" si="397"/>
        <v>59111</v>
      </c>
      <c r="P2692" t="str">
        <f>"2200L"</f>
        <v>2200L</v>
      </c>
      <c r="Q2692" t="str">
        <f t="shared" si="395"/>
        <v>0101</v>
      </c>
      <c r="R2692">
        <v>2200</v>
      </c>
      <c r="S2692" t="str">
        <f t="shared" si="398"/>
        <v>5910</v>
      </c>
      <c r="T2692" t="s">
        <v>3702</v>
      </c>
      <c r="U2692" t="s">
        <v>64</v>
      </c>
    </row>
    <row r="2693" spans="1:21" ht="15" customHeight="1" x14ac:dyDescent="0.3">
      <c r="A2693" t="s">
        <v>179</v>
      </c>
      <c r="B2693" t="str">
        <f>"00053669"</f>
        <v>00053669</v>
      </c>
      <c r="C2693" t="s">
        <v>4262</v>
      </c>
      <c r="D2693" t="s">
        <v>2281</v>
      </c>
      <c r="E2693" t="str">
        <f>"00052167"</f>
        <v>00052167</v>
      </c>
      <c r="F2693">
        <v>0</v>
      </c>
      <c r="G2693" s="243">
        <v>36034</v>
      </c>
      <c r="H2693" t="s">
        <v>182</v>
      </c>
      <c r="I2693">
        <v>15</v>
      </c>
      <c r="J2693">
        <v>12</v>
      </c>
      <c r="K2693">
        <v>1</v>
      </c>
      <c r="L2693">
        <v>75816</v>
      </c>
      <c r="M2693" t="str">
        <f t="shared" si="392"/>
        <v>13</v>
      </c>
      <c r="N2693" t="s">
        <v>3323</v>
      </c>
      <c r="O2693" t="str">
        <f t="shared" si="397"/>
        <v>59111</v>
      </c>
      <c r="P2693" t="str">
        <f>"2100L"</f>
        <v>2100L</v>
      </c>
      <c r="Q2693" t="str">
        <f t="shared" si="395"/>
        <v>0101</v>
      </c>
      <c r="R2693">
        <v>2100</v>
      </c>
      <c r="S2693" t="str">
        <f t="shared" si="398"/>
        <v>5910</v>
      </c>
      <c r="T2693" t="s">
        <v>3702</v>
      </c>
      <c r="U2693" t="s">
        <v>64</v>
      </c>
    </row>
    <row r="2694" spans="1:21" ht="15" customHeight="1" x14ac:dyDescent="0.3">
      <c r="A2694" t="s">
        <v>179</v>
      </c>
      <c r="B2694" t="str">
        <f>"00053928"</f>
        <v>00053928</v>
      </c>
      <c r="C2694" t="s">
        <v>4274</v>
      </c>
      <c r="D2694" t="s">
        <v>5119</v>
      </c>
      <c r="E2694" t="str">
        <f>"00052756"</f>
        <v>00052756</v>
      </c>
      <c r="F2694">
        <v>0</v>
      </c>
      <c r="G2694" s="243">
        <v>35384</v>
      </c>
      <c r="H2694" t="s">
        <v>182</v>
      </c>
      <c r="I2694">
        <v>4</v>
      </c>
      <c r="J2694">
        <v>10</v>
      </c>
      <c r="K2694">
        <v>0.875</v>
      </c>
      <c r="L2694">
        <v>28721</v>
      </c>
      <c r="M2694" t="str">
        <f t="shared" si="392"/>
        <v>13</v>
      </c>
      <c r="N2694" t="s">
        <v>3323</v>
      </c>
      <c r="O2694" t="str">
        <f t="shared" si="397"/>
        <v>59111</v>
      </c>
      <c r="P2694" t="str">
        <f>"2200L"</f>
        <v>2200L</v>
      </c>
      <c r="Q2694" t="str">
        <f t="shared" si="395"/>
        <v>0101</v>
      </c>
      <c r="R2694">
        <v>2200</v>
      </c>
      <c r="S2694" t="str">
        <f t="shared" si="398"/>
        <v>5910</v>
      </c>
      <c r="T2694" t="s">
        <v>3702</v>
      </c>
      <c r="U2694" t="s">
        <v>64</v>
      </c>
    </row>
    <row r="2695" spans="1:21" ht="15" customHeight="1" x14ac:dyDescent="0.3">
      <c r="A2695" t="s">
        <v>179</v>
      </c>
      <c r="B2695" t="str">
        <f>"00054119"</f>
        <v>00054119</v>
      </c>
      <c r="C2695" t="s">
        <v>4262</v>
      </c>
      <c r="D2695" t="s">
        <v>2282</v>
      </c>
      <c r="E2695" t="str">
        <f>"00053066"</f>
        <v>00053066</v>
      </c>
      <c r="F2695">
        <v>0</v>
      </c>
      <c r="G2695" s="243">
        <v>32050</v>
      </c>
      <c r="H2695" t="s">
        <v>182</v>
      </c>
      <c r="I2695">
        <v>15</v>
      </c>
      <c r="J2695">
        <v>16</v>
      </c>
      <c r="K2695">
        <v>1</v>
      </c>
      <c r="L2695">
        <v>100839</v>
      </c>
      <c r="M2695" t="str">
        <f t="shared" si="392"/>
        <v>13</v>
      </c>
      <c r="N2695" t="s">
        <v>3323</v>
      </c>
      <c r="O2695" t="str">
        <f t="shared" si="397"/>
        <v>59111</v>
      </c>
      <c r="P2695" t="str">
        <f>"2100L"</f>
        <v>2100L</v>
      </c>
      <c r="Q2695" t="str">
        <f t="shared" si="395"/>
        <v>0101</v>
      </c>
      <c r="R2695">
        <v>2100</v>
      </c>
      <c r="S2695" t="str">
        <f t="shared" si="398"/>
        <v>5910</v>
      </c>
      <c r="T2695" t="s">
        <v>3702</v>
      </c>
      <c r="U2695" t="s">
        <v>64</v>
      </c>
    </row>
    <row r="2696" spans="1:21" ht="15" customHeight="1" x14ac:dyDescent="0.3">
      <c r="A2696" t="s">
        <v>179</v>
      </c>
      <c r="B2696" t="str">
        <f>"00054185"</f>
        <v>00054185</v>
      </c>
      <c r="C2696" t="s">
        <v>4272</v>
      </c>
      <c r="D2696" t="s">
        <v>2283</v>
      </c>
      <c r="E2696" t="str">
        <f>"00053204"</f>
        <v>00053204</v>
      </c>
      <c r="F2696">
        <v>0</v>
      </c>
      <c r="G2696" s="243">
        <v>33848</v>
      </c>
      <c r="H2696" t="s">
        <v>182</v>
      </c>
      <c r="I2696">
        <v>15</v>
      </c>
      <c r="J2696">
        <v>16</v>
      </c>
      <c r="K2696">
        <v>1</v>
      </c>
      <c r="L2696">
        <v>100839</v>
      </c>
      <c r="M2696" t="str">
        <f t="shared" si="392"/>
        <v>13</v>
      </c>
      <c r="N2696" t="s">
        <v>3323</v>
      </c>
      <c r="O2696" t="str">
        <f t="shared" si="397"/>
        <v>59111</v>
      </c>
      <c r="P2696" t="str">
        <f>"2100L"</f>
        <v>2100L</v>
      </c>
      <c r="Q2696" t="str">
        <f t="shared" si="395"/>
        <v>0101</v>
      </c>
      <c r="R2696">
        <v>2100</v>
      </c>
      <c r="S2696" t="str">
        <f t="shared" si="398"/>
        <v>5910</v>
      </c>
      <c r="T2696" t="s">
        <v>3702</v>
      </c>
      <c r="U2696" t="s">
        <v>64</v>
      </c>
    </row>
    <row r="2697" spans="1:21" ht="15" customHeight="1" x14ac:dyDescent="0.3">
      <c r="A2697" t="s">
        <v>179</v>
      </c>
      <c r="B2697" t="str">
        <f>"00054836"</f>
        <v>00054836</v>
      </c>
      <c r="C2697" t="s">
        <v>4274</v>
      </c>
      <c r="D2697" t="s">
        <v>5120</v>
      </c>
      <c r="E2697" t="str">
        <f>"00061426"</f>
        <v>00061426</v>
      </c>
      <c r="F2697">
        <v>0</v>
      </c>
      <c r="G2697" s="243">
        <v>40770</v>
      </c>
      <c r="H2697" t="s">
        <v>182</v>
      </c>
      <c r="I2697">
        <v>4</v>
      </c>
      <c r="J2697">
        <v>4</v>
      </c>
      <c r="K2697">
        <v>0.875</v>
      </c>
      <c r="L2697">
        <v>24543.75</v>
      </c>
      <c r="M2697" t="str">
        <f t="shared" si="392"/>
        <v>13</v>
      </c>
      <c r="N2697" t="s">
        <v>3323</v>
      </c>
      <c r="O2697" t="str">
        <f t="shared" si="397"/>
        <v>59111</v>
      </c>
      <c r="P2697" t="str">
        <f>"2200L"</f>
        <v>2200L</v>
      </c>
      <c r="Q2697" t="str">
        <f t="shared" si="395"/>
        <v>0101</v>
      </c>
      <c r="R2697">
        <v>2200</v>
      </c>
      <c r="S2697" t="str">
        <f t="shared" si="398"/>
        <v>5910</v>
      </c>
      <c r="T2697" t="s">
        <v>3702</v>
      </c>
      <c r="U2697" t="s">
        <v>64</v>
      </c>
    </row>
    <row r="2698" spans="1:21" ht="15" customHeight="1" x14ac:dyDescent="0.3">
      <c r="A2698" t="s">
        <v>179</v>
      </c>
      <c r="B2698" t="str">
        <f>"00054896"</f>
        <v>00054896</v>
      </c>
      <c r="C2698" t="s">
        <v>4260</v>
      </c>
      <c r="D2698" t="s">
        <v>2285</v>
      </c>
      <c r="E2698" t="str">
        <f>"00062732"</f>
        <v>00062732</v>
      </c>
      <c r="F2698">
        <v>0</v>
      </c>
      <c r="G2698" s="243">
        <v>40406</v>
      </c>
      <c r="H2698" t="s">
        <v>182</v>
      </c>
      <c r="I2698">
        <v>15</v>
      </c>
      <c r="J2698">
        <v>3</v>
      </c>
      <c r="K2698">
        <v>1</v>
      </c>
      <c r="L2698">
        <v>52777</v>
      </c>
      <c r="M2698" t="str">
        <f t="shared" si="392"/>
        <v>13</v>
      </c>
      <c r="N2698" t="s">
        <v>3323</v>
      </c>
      <c r="O2698" t="str">
        <f t="shared" si="397"/>
        <v>59111</v>
      </c>
      <c r="P2698" t="str">
        <f>"3030L"</f>
        <v>3030L</v>
      </c>
      <c r="Q2698" t="str">
        <f t="shared" si="395"/>
        <v>0101</v>
      </c>
      <c r="R2698">
        <v>3030</v>
      </c>
      <c r="S2698" t="str">
        <f t="shared" si="398"/>
        <v>5910</v>
      </c>
      <c r="T2698" t="s">
        <v>3702</v>
      </c>
      <c r="U2698" t="s">
        <v>64</v>
      </c>
    </row>
    <row r="2699" spans="1:21" ht="15" customHeight="1" x14ac:dyDescent="0.3">
      <c r="A2699" t="s">
        <v>179</v>
      </c>
      <c r="B2699" t="str">
        <f>"00055195"</f>
        <v>00055195</v>
      </c>
      <c r="C2699" t="s">
        <v>4266</v>
      </c>
      <c r="D2699" t="s">
        <v>5121</v>
      </c>
      <c r="E2699" t="str">
        <f>"00069898"</f>
        <v>00069898</v>
      </c>
      <c r="F2699">
        <v>0</v>
      </c>
      <c r="G2699" s="243">
        <v>41133</v>
      </c>
      <c r="H2699" t="s">
        <v>182</v>
      </c>
      <c r="I2699">
        <v>15</v>
      </c>
      <c r="J2699">
        <v>1</v>
      </c>
      <c r="K2699">
        <v>1</v>
      </c>
      <c r="L2699">
        <v>54975</v>
      </c>
      <c r="M2699" t="str">
        <f t="shared" si="392"/>
        <v>13</v>
      </c>
      <c r="N2699" t="s">
        <v>3370</v>
      </c>
      <c r="O2699" t="str">
        <f t="shared" si="397"/>
        <v>59111</v>
      </c>
      <c r="P2699" t="str">
        <f>"2300L"</f>
        <v>2300L</v>
      </c>
      <c r="Q2699" t="str">
        <f t="shared" si="395"/>
        <v>0101</v>
      </c>
      <c r="R2699">
        <v>2300</v>
      </c>
      <c r="S2699" t="str">
        <f t="shared" si="398"/>
        <v>5910</v>
      </c>
      <c r="T2699" t="s">
        <v>3702</v>
      </c>
      <c r="U2699" t="s">
        <v>64</v>
      </c>
    </row>
    <row r="2700" spans="1:21" ht="15" customHeight="1" x14ac:dyDescent="0.3">
      <c r="A2700" t="s">
        <v>179</v>
      </c>
      <c r="B2700" t="str">
        <f>"00056761"</f>
        <v>00056761</v>
      </c>
      <c r="C2700" t="s">
        <v>4290</v>
      </c>
      <c r="H2700" t="s">
        <v>170</v>
      </c>
      <c r="I2700">
        <v>4</v>
      </c>
      <c r="J2700">
        <v>1</v>
      </c>
      <c r="K2700">
        <v>0.875</v>
      </c>
      <c r="L2700">
        <v>25662</v>
      </c>
      <c r="M2700" t="str">
        <f t="shared" si="392"/>
        <v>13</v>
      </c>
      <c r="N2700" t="s">
        <v>3323</v>
      </c>
      <c r="O2700" t="str">
        <f t="shared" si="397"/>
        <v>59111</v>
      </c>
      <c r="P2700" t="str">
        <f>"2200L"</f>
        <v>2200L</v>
      </c>
      <c r="Q2700" t="str">
        <f t="shared" si="395"/>
        <v>0101</v>
      </c>
      <c r="R2700">
        <v>2200</v>
      </c>
      <c r="S2700" t="str">
        <f t="shared" si="398"/>
        <v>5910</v>
      </c>
      <c r="T2700" t="s">
        <v>3702</v>
      </c>
      <c r="U2700" t="s">
        <v>64</v>
      </c>
    </row>
    <row r="2701" spans="1:21" ht="15" customHeight="1" x14ac:dyDescent="0.3">
      <c r="A2701" t="s">
        <v>179</v>
      </c>
      <c r="B2701" t="str">
        <f>"00057254"</f>
        <v>00057254</v>
      </c>
      <c r="C2701" t="s">
        <v>4262</v>
      </c>
      <c r="D2701" t="s">
        <v>2286</v>
      </c>
      <c r="E2701" t="str">
        <f>"00056424"</f>
        <v>00056424</v>
      </c>
      <c r="F2701">
        <v>0</v>
      </c>
      <c r="G2701" s="243">
        <v>40042</v>
      </c>
      <c r="H2701" t="s">
        <v>182</v>
      </c>
      <c r="I2701">
        <v>15</v>
      </c>
      <c r="J2701">
        <v>3</v>
      </c>
      <c r="K2701">
        <v>1</v>
      </c>
      <c r="L2701">
        <v>58699</v>
      </c>
      <c r="M2701" t="str">
        <f t="shared" si="392"/>
        <v>13</v>
      </c>
      <c r="N2701" t="s">
        <v>3323</v>
      </c>
      <c r="O2701" t="str">
        <f t="shared" si="397"/>
        <v>59111</v>
      </c>
      <c r="P2701" t="str">
        <f>"2100L"</f>
        <v>2100L</v>
      </c>
      <c r="Q2701" t="str">
        <f t="shared" si="395"/>
        <v>0101</v>
      </c>
      <c r="R2701">
        <v>2100</v>
      </c>
      <c r="S2701" t="str">
        <f t="shared" si="398"/>
        <v>5910</v>
      </c>
      <c r="T2701" t="s">
        <v>3702</v>
      </c>
      <c r="U2701" t="s">
        <v>64</v>
      </c>
    </row>
    <row r="2702" spans="1:21" ht="15" customHeight="1" x14ac:dyDescent="0.3">
      <c r="A2702" t="s">
        <v>179</v>
      </c>
      <c r="B2702" t="str">
        <f>"00057566"</f>
        <v>00057566</v>
      </c>
      <c r="C2702" t="s">
        <v>4341</v>
      </c>
      <c r="D2702" t="s">
        <v>2287</v>
      </c>
      <c r="E2702" t="str">
        <f>"00053685"</f>
        <v>00053685</v>
      </c>
      <c r="F2702">
        <v>0</v>
      </c>
      <c r="G2702" s="243">
        <v>36761</v>
      </c>
      <c r="H2702" t="s">
        <v>182</v>
      </c>
      <c r="I2702">
        <v>10</v>
      </c>
      <c r="J2702">
        <v>9</v>
      </c>
      <c r="K2702">
        <v>1</v>
      </c>
      <c r="L2702">
        <v>84226</v>
      </c>
      <c r="M2702" t="str">
        <f t="shared" si="392"/>
        <v>13</v>
      </c>
      <c r="N2702" t="s">
        <v>3323</v>
      </c>
      <c r="O2702" t="str">
        <f t="shared" si="397"/>
        <v>59111</v>
      </c>
      <c r="P2702" t="str">
        <f>"3030L"</f>
        <v>3030L</v>
      </c>
      <c r="Q2702" t="str">
        <f t="shared" si="395"/>
        <v>0101</v>
      </c>
      <c r="R2702">
        <v>3030</v>
      </c>
      <c r="S2702" t="str">
        <f t="shared" si="398"/>
        <v>5910</v>
      </c>
      <c r="T2702" t="s">
        <v>3702</v>
      </c>
      <c r="U2702" t="s">
        <v>64</v>
      </c>
    </row>
    <row r="2703" spans="1:21" ht="15" customHeight="1" x14ac:dyDescent="0.3">
      <c r="A2703" t="s">
        <v>179</v>
      </c>
      <c r="B2703" t="str">
        <f>"00057653"</f>
        <v>00057653</v>
      </c>
      <c r="C2703" t="s">
        <v>4290</v>
      </c>
      <c r="D2703" t="s">
        <v>5122</v>
      </c>
      <c r="E2703" t="str">
        <f>"00052146"</f>
        <v>00052146</v>
      </c>
      <c r="F2703">
        <v>0</v>
      </c>
      <c r="G2703" s="243">
        <v>37875</v>
      </c>
      <c r="H2703" t="s">
        <v>182</v>
      </c>
      <c r="I2703">
        <v>4</v>
      </c>
      <c r="J2703">
        <v>8</v>
      </c>
      <c r="K2703">
        <v>0.875</v>
      </c>
      <c r="L2703">
        <v>27329.75</v>
      </c>
      <c r="M2703" t="str">
        <f t="shared" ref="M2703:M2759" si="399">"13"</f>
        <v>13</v>
      </c>
      <c r="N2703" t="s">
        <v>3323</v>
      </c>
      <c r="O2703" t="str">
        <f t="shared" si="397"/>
        <v>59111</v>
      </c>
      <c r="P2703" t="str">
        <f>"2100L"</f>
        <v>2100L</v>
      </c>
      <c r="Q2703" t="str">
        <f t="shared" si="395"/>
        <v>0101</v>
      </c>
      <c r="R2703">
        <v>2100</v>
      </c>
      <c r="S2703" t="str">
        <f t="shared" si="398"/>
        <v>5910</v>
      </c>
      <c r="T2703" t="s">
        <v>3702</v>
      </c>
      <c r="U2703" t="s">
        <v>64</v>
      </c>
    </row>
    <row r="2704" spans="1:21" ht="15" customHeight="1" x14ac:dyDescent="0.3">
      <c r="A2704" t="s">
        <v>179</v>
      </c>
      <c r="B2704" t="str">
        <f>"00057825"</f>
        <v>00057825</v>
      </c>
      <c r="C2704" t="s">
        <v>3798</v>
      </c>
      <c r="D2704" t="s">
        <v>5123</v>
      </c>
      <c r="E2704" t="str">
        <f>"00069261"</f>
        <v>00069261</v>
      </c>
      <c r="F2704">
        <v>0</v>
      </c>
      <c r="G2704" s="243">
        <v>41106</v>
      </c>
      <c r="H2704" t="s">
        <v>182</v>
      </c>
      <c r="I2704">
        <v>61</v>
      </c>
      <c r="J2704">
        <v>10</v>
      </c>
      <c r="K2704">
        <v>1</v>
      </c>
      <c r="L2704">
        <v>137000</v>
      </c>
      <c r="M2704" t="str">
        <f t="shared" si="399"/>
        <v>13</v>
      </c>
      <c r="N2704" t="s">
        <v>3323</v>
      </c>
      <c r="O2704" t="str">
        <f t="shared" si="397"/>
        <v>59111</v>
      </c>
      <c r="P2704" t="str">
        <f>"1501L"</f>
        <v>1501L</v>
      </c>
      <c r="Q2704" t="str">
        <f t="shared" si="395"/>
        <v>0101</v>
      </c>
      <c r="R2704">
        <v>1501</v>
      </c>
      <c r="S2704" t="str">
        <f t="shared" si="398"/>
        <v>5910</v>
      </c>
      <c r="T2704" t="s">
        <v>3702</v>
      </c>
      <c r="U2704" t="s">
        <v>64</v>
      </c>
    </row>
    <row r="2705" spans="1:21" ht="15" customHeight="1" x14ac:dyDescent="0.3">
      <c r="A2705" t="s">
        <v>179</v>
      </c>
      <c r="B2705" t="str">
        <f>"00057960"</f>
        <v>00057960</v>
      </c>
      <c r="C2705" t="s">
        <v>4262</v>
      </c>
      <c r="D2705" t="s">
        <v>2288</v>
      </c>
      <c r="E2705" t="str">
        <f>"00044951"</f>
        <v>00044951</v>
      </c>
      <c r="F2705">
        <v>0</v>
      </c>
      <c r="G2705" s="243">
        <v>38951</v>
      </c>
      <c r="H2705" t="s">
        <v>182</v>
      </c>
      <c r="I2705">
        <v>15</v>
      </c>
      <c r="J2705">
        <v>6</v>
      </c>
      <c r="K2705">
        <v>1</v>
      </c>
      <c r="L2705">
        <v>66078</v>
      </c>
      <c r="M2705" t="str">
        <f t="shared" si="399"/>
        <v>13</v>
      </c>
      <c r="N2705" t="s">
        <v>3323</v>
      </c>
      <c r="O2705" t="str">
        <f t="shared" si="397"/>
        <v>59111</v>
      </c>
      <c r="P2705" t="str">
        <f>"2100L"</f>
        <v>2100L</v>
      </c>
      <c r="Q2705" t="str">
        <f t="shared" si="395"/>
        <v>0101</v>
      </c>
      <c r="R2705">
        <v>2100</v>
      </c>
      <c r="S2705" t="str">
        <f t="shared" si="398"/>
        <v>5910</v>
      </c>
      <c r="T2705" t="s">
        <v>3702</v>
      </c>
      <c r="U2705" t="s">
        <v>64</v>
      </c>
    </row>
    <row r="2706" spans="1:21" ht="15" customHeight="1" x14ac:dyDescent="0.3">
      <c r="A2706" t="s">
        <v>179</v>
      </c>
      <c r="B2706" t="str">
        <f>"00057973"</f>
        <v>00057973</v>
      </c>
      <c r="C2706" t="s">
        <v>4266</v>
      </c>
      <c r="D2706" t="s">
        <v>2289</v>
      </c>
      <c r="E2706" t="str">
        <f>"00053816"</f>
        <v>00053816</v>
      </c>
      <c r="F2706">
        <v>0</v>
      </c>
      <c r="G2706" s="243">
        <v>37124</v>
      </c>
      <c r="H2706" t="s">
        <v>182</v>
      </c>
      <c r="I2706">
        <v>15</v>
      </c>
      <c r="J2706">
        <v>15</v>
      </c>
      <c r="K2706">
        <v>1</v>
      </c>
      <c r="L2706">
        <v>100792</v>
      </c>
      <c r="M2706" t="str">
        <f t="shared" si="399"/>
        <v>13</v>
      </c>
      <c r="N2706" t="s">
        <v>3323</v>
      </c>
      <c r="O2706" t="str">
        <f t="shared" si="397"/>
        <v>59111</v>
      </c>
      <c r="P2706" t="str">
        <f>"2300L"</f>
        <v>2300L</v>
      </c>
      <c r="Q2706" t="str">
        <f t="shared" si="395"/>
        <v>0101</v>
      </c>
      <c r="R2706">
        <v>2300</v>
      </c>
      <c r="S2706" t="str">
        <f t="shared" si="398"/>
        <v>5910</v>
      </c>
      <c r="T2706" t="s">
        <v>3702</v>
      </c>
      <c r="U2706" t="s">
        <v>64</v>
      </c>
    </row>
    <row r="2707" spans="1:21" ht="15" customHeight="1" x14ac:dyDescent="0.3">
      <c r="A2707" t="s">
        <v>179</v>
      </c>
      <c r="B2707" t="str">
        <f>"00058027"</f>
        <v>00058027</v>
      </c>
      <c r="C2707" t="s">
        <v>4258</v>
      </c>
      <c r="D2707" t="s">
        <v>2290</v>
      </c>
      <c r="E2707" t="str">
        <f>"00048154"</f>
        <v>00048154</v>
      </c>
      <c r="F2707">
        <v>0</v>
      </c>
      <c r="G2707" s="243">
        <v>37124</v>
      </c>
      <c r="H2707" t="s">
        <v>182</v>
      </c>
      <c r="I2707">
        <v>15</v>
      </c>
      <c r="J2707">
        <v>15</v>
      </c>
      <c r="K2707">
        <v>1</v>
      </c>
      <c r="L2707">
        <v>100792</v>
      </c>
      <c r="M2707" t="str">
        <f t="shared" si="399"/>
        <v>13</v>
      </c>
      <c r="N2707" t="s">
        <v>3323</v>
      </c>
      <c r="O2707" t="str">
        <f t="shared" si="397"/>
        <v>59111</v>
      </c>
      <c r="P2707" t="str">
        <f>"2100L"</f>
        <v>2100L</v>
      </c>
      <c r="Q2707" t="str">
        <f t="shared" si="395"/>
        <v>0101</v>
      </c>
      <c r="R2707">
        <v>2100</v>
      </c>
      <c r="S2707" t="str">
        <f t="shared" si="398"/>
        <v>5910</v>
      </c>
      <c r="T2707" t="s">
        <v>3702</v>
      </c>
      <c r="U2707" t="s">
        <v>64</v>
      </c>
    </row>
    <row r="2708" spans="1:21" ht="15" customHeight="1" x14ac:dyDescent="0.3">
      <c r="A2708" t="s">
        <v>179</v>
      </c>
      <c r="B2708" t="str">
        <f>"00059015"</f>
        <v>00059015</v>
      </c>
      <c r="C2708" t="s">
        <v>4260</v>
      </c>
      <c r="D2708" t="s">
        <v>2291</v>
      </c>
      <c r="E2708" t="str">
        <f>"00055052"</f>
        <v>00055052</v>
      </c>
      <c r="F2708">
        <v>0</v>
      </c>
      <c r="G2708" s="243">
        <v>37496</v>
      </c>
      <c r="H2708" t="s">
        <v>182</v>
      </c>
      <c r="I2708">
        <v>15</v>
      </c>
      <c r="J2708">
        <v>15</v>
      </c>
      <c r="K2708">
        <v>1</v>
      </c>
      <c r="L2708">
        <v>100792</v>
      </c>
      <c r="M2708" t="str">
        <f t="shared" si="399"/>
        <v>13</v>
      </c>
      <c r="N2708" t="s">
        <v>3323</v>
      </c>
      <c r="O2708" t="str">
        <f t="shared" si="397"/>
        <v>59111</v>
      </c>
      <c r="P2708" t="str">
        <f>"3030L"</f>
        <v>3030L</v>
      </c>
      <c r="Q2708" t="str">
        <f t="shared" si="395"/>
        <v>0101</v>
      </c>
      <c r="R2708">
        <v>3030</v>
      </c>
      <c r="S2708" t="str">
        <f t="shared" si="398"/>
        <v>5910</v>
      </c>
      <c r="T2708" t="s">
        <v>3702</v>
      </c>
      <c r="U2708" t="s">
        <v>64</v>
      </c>
    </row>
    <row r="2709" spans="1:21" ht="15" customHeight="1" x14ac:dyDescent="0.3">
      <c r="A2709" t="s">
        <v>179</v>
      </c>
      <c r="B2709" t="str">
        <f>"00059332"</f>
        <v>00059332</v>
      </c>
      <c r="C2709" t="s">
        <v>4272</v>
      </c>
      <c r="D2709" t="s">
        <v>3705</v>
      </c>
      <c r="E2709" t="str">
        <f>"00060328"</f>
        <v>00060328</v>
      </c>
      <c r="F2709">
        <v>0</v>
      </c>
      <c r="G2709" s="243">
        <v>40546</v>
      </c>
      <c r="H2709" t="s">
        <v>182</v>
      </c>
      <c r="I2709">
        <v>15</v>
      </c>
      <c r="J2709">
        <v>2</v>
      </c>
      <c r="K2709">
        <v>1</v>
      </c>
      <c r="L2709">
        <v>56242</v>
      </c>
      <c r="M2709" t="str">
        <f t="shared" si="399"/>
        <v>13</v>
      </c>
      <c r="N2709" t="s">
        <v>3323</v>
      </c>
      <c r="O2709" t="str">
        <f t="shared" si="397"/>
        <v>59111</v>
      </c>
      <c r="P2709" t="str">
        <f>"2200L"</f>
        <v>2200L</v>
      </c>
      <c r="Q2709" t="str">
        <f t="shared" si="395"/>
        <v>0101</v>
      </c>
      <c r="R2709">
        <v>2200</v>
      </c>
      <c r="S2709" t="str">
        <f t="shared" si="398"/>
        <v>5910</v>
      </c>
      <c r="T2709" t="s">
        <v>3702</v>
      </c>
      <c r="U2709" t="s">
        <v>64</v>
      </c>
    </row>
    <row r="2710" spans="1:21" ht="15" customHeight="1" x14ac:dyDescent="0.3">
      <c r="A2710" t="s">
        <v>179</v>
      </c>
      <c r="B2710" t="str">
        <f>"00059436"</f>
        <v>00059436</v>
      </c>
      <c r="C2710" t="s">
        <v>4266</v>
      </c>
      <c r="D2710" t="s">
        <v>2292</v>
      </c>
      <c r="E2710" t="str">
        <f>"00053813"</f>
        <v>00053813</v>
      </c>
      <c r="F2710">
        <v>0</v>
      </c>
      <c r="G2710" s="243">
        <v>37881</v>
      </c>
      <c r="H2710" t="s">
        <v>182</v>
      </c>
      <c r="I2710">
        <v>15</v>
      </c>
      <c r="J2710">
        <v>10</v>
      </c>
      <c r="K2710">
        <v>1</v>
      </c>
      <c r="L2710">
        <v>83199</v>
      </c>
      <c r="M2710" t="str">
        <f t="shared" si="399"/>
        <v>13</v>
      </c>
      <c r="N2710" t="s">
        <v>3323</v>
      </c>
      <c r="O2710" t="str">
        <f t="shared" si="397"/>
        <v>59111</v>
      </c>
      <c r="P2710" t="str">
        <f>"2300L"</f>
        <v>2300L</v>
      </c>
      <c r="Q2710" t="str">
        <f t="shared" si="395"/>
        <v>0101</v>
      </c>
      <c r="R2710">
        <v>2300</v>
      </c>
      <c r="S2710" t="str">
        <f t="shared" si="398"/>
        <v>5910</v>
      </c>
      <c r="T2710" t="s">
        <v>3702</v>
      </c>
      <c r="U2710" t="s">
        <v>64</v>
      </c>
    </row>
    <row r="2711" spans="1:21" ht="15" customHeight="1" x14ac:dyDescent="0.3">
      <c r="A2711" t="s">
        <v>179</v>
      </c>
      <c r="B2711" t="str">
        <f>"00059676"</f>
        <v>00059676</v>
      </c>
      <c r="C2711" t="s">
        <v>4262</v>
      </c>
      <c r="D2711" t="s">
        <v>2293</v>
      </c>
      <c r="E2711" t="str">
        <f>"00048502"</f>
        <v>00048502</v>
      </c>
      <c r="F2711">
        <v>0</v>
      </c>
      <c r="G2711" s="243">
        <v>33848</v>
      </c>
      <c r="H2711" t="s">
        <v>182</v>
      </c>
      <c r="I2711">
        <v>15</v>
      </c>
      <c r="J2711">
        <v>16</v>
      </c>
      <c r="K2711">
        <v>1</v>
      </c>
      <c r="L2711">
        <v>103347</v>
      </c>
      <c r="M2711" t="str">
        <f t="shared" si="399"/>
        <v>13</v>
      </c>
      <c r="N2711" t="s">
        <v>3323</v>
      </c>
      <c r="O2711" t="str">
        <f t="shared" si="397"/>
        <v>59111</v>
      </c>
      <c r="P2711" t="str">
        <f>"2100L"</f>
        <v>2100L</v>
      </c>
      <c r="Q2711" t="str">
        <f t="shared" si="395"/>
        <v>0101</v>
      </c>
      <c r="R2711">
        <v>2100</v>
      </c>
      <c r="S2711" t="str">
        <f t="shared" si="398"/>
        <v>5910</v>
      </c>
      <c r="T2711" t="s">
        <v>3702</v>
      </c>
      <c r="U2711" t="s">
        <v>64</v>
      </c>
    </row>
    <row r="2712" spans="1:21" ht="15" customHeight="1" x14ac:dyDescent="0.3">
      <c r="A2712" t="s">
        <v>179</v>
      </c>
      <c r="B2712" t="str">
        <f>"00060211"</f>
        <v>00060211</v>
      </c>
      <c r="C2712" t="s">
        <v>4290</v>
      </c>
      <c r="D2712" t="s">
        <v>5124</v>
      </c>
      <c r="E2712" t="str">
        <f>"00053218"</f>
        <v>00053218</v>
      </c>
      <c r="F2712">
        <v>0</v>
      </c>
      <c r="G2712" s="243">
        <v>38474</v>
      </c>
      <c r="H2712" t="s">
        <v>182</v>
      </c>
      <c r="I2712">
        <v>4</v>
      </c>
      <c r="J2712">
        <v>8</v>
      </c>
      <c r="K2712">
        <v>1</v>
      </c>
      <c r="L2712">
        <v>27329.75</v>
      </c>
      <c r="M2712" t="str">
        <f t="shared" si="399"/>
        <v>13</v>
      </c>
      <c r="N2712" t="s">
        <v>3323</v>
      </c>
      <c r="O2712" t="str">
        <f t="shared" si="397"/>
        <v>59111</v>
      </c>
      <c r="P2712" t="str">
        <f>"2200L"</f>
        <v>2200L</v>
      </c>
      <c r="Q2712" t="str">
        <f t="shared" si="395"/>
        <v>0101</v>
      </c>
      <c r="R2712">
        <v>2200</v>
      </c>
      <c r="S2712" t="str">
        <f t="shared" si="398"/>
        <v>5910</v>
      </c>
      <c r="T2712" t="s">
        <v>3702</v>
      </c>
      <c r="U2712" t="s">
        <v>64</v>
      </c>
    </row>
    <row r="2713" spans="1:21" ht="15" customHeight="1" x14ac:dyDescent="0.3">
      <c r="A2713" t="s">
        <v>179</v>
      </c>
      <c r="B2713" t="str">
        <f>"00060297"</f>
        <v>00060297</v>
      </c>
      <c r="C2713" t="s">
        <v>4254</v>
      </c>
      <c r="D2713" t="s">
        <v>2294</v>
      </c>
      <c r="E2713" t="str">
        <f>"00044880"</f>
        <v>00044880</v>
      </c>
      <c r="F2713">
        <v>0</v>
      </c>
      <c r="G2713" s="243">
        <v>36769</v>
      </c>
      <c r="H2713" t="s">
        <v>182</v>
      </c>
      <c r="I2713">
        <v>15</v>
      </c>
      <c r="J2713">
        <v>8</v>
      </c>
      <c r="K2713">
        <v>1</v>
      </c>
      <c r="L2713">
        <v>72171</v>
      </c>
      <c r="M2713" t="str">
        <f t="shared" si="399"/>
        <v>13</v>
      </c>
      <c r="N2713" t="s">
        <v>3323</v>
      </c>
      <c r="O2713" t="str">
        <f t="shared" si="397"/>
        <v>59111</v>
      </c>
      <c r="P2713" t="str">
        <f>"2100L"</f>
        <v>2100L</v>
      </c>
      <c r="Q2713" t="str">
        <f t="shared" si="395"/>
        <v>0101</v>
      </c>
      <c r="R2713">
        <v>2100</v>
      </c>
      <c r="S2713" t="str">
        <f t="shared" si="398"/>
        <v>5910</v>
      </c>
      <c r="T2713" t="s">
        <v>3702</v>
      </c>
      <c r="U2713" t="s">
        <v>64</v>
      </c>
    </row>
    <row r="2714" spans="1:21" ht="15" customHeight="1" x14ac:dyDescent="0.3">
      <c r="A2714" t="s">
        <v>179</v>
      </c>
      <c r="B2714" t="str">
        <f>"00062196"</f>
        <v>00062196</v>
      </c>
      <c r="C2714" t="s">
        <v>4262</v>
      </c>
      <c r="D2714" t="s">
        <v>2295</v>
      </c>
      <c r="E2714" t="str">
        <f>"00062573"</f>
        <v>00062573</v>
      </c>
      <c r="F2714">
        <v>0</v>
      </c>
      <c r="G2714" s="243">
        <v>40406</v>
      </c>
      <c r="H2714" t="s">
        <v>182</v>
      </c>
      <c r="I2714">
        <v>15</v>
      </c>
      <c r="J2714">
        <v>3</v>
      </c>
      <c r="K2714">
        <v>1</v>
      </c>
      <c r="L2714">
        <v>52777</v>
      </c>
      <c r="M2714" t="str">
        <f t="shared" si="399"/>
        <v>13</v>
      </c>
      <c r="N2714" t="s">
        <v>3323</v>
      </c>
      <c r="O2714" t="str">
        <f t="shared" si="397"/>
        <v>59111</v>
      </c>
      <c r="P2714" t="str">
        <f>"2100L"</f>
        <v>2100L</v>
      </c>
      <c r="Q2714" t="str">
        <f t="shared" si="395"/>
        <v>0101</v>
      </c>
      <c r="R2714">
        <v>2100</v>
      </c>
      <c r="S2714" t="str">
        <f t="shared" si="398"/>
        <v>5910</v>
      </c>
      <c r="T2714" t="s">
        <v>3702</v>
      </c>
      <c r="U2714" t="s">
        <v>64</v>
      </c>
    </row>
    <row r="2715" spans="1:21" ht="15" customHeight="1" x14ac:dyDescent="0.3">
      <c r="A2715" t="s">
        <v>179</v>
      </c>
      <c r="B2715" t="str">
        <f>"00062898"</f>
        <v>00062898</v>
      </c>
      <c r="C2715" t="s">
        <v>4266</v>
      </c>
      <c r="D2715" t="s">
        <v>2296</v>
      </c>
      <c r="E2715" t="str">
        <f>"00045947"</f>
        <v>00045947</v>
      </c>
      <c r="F2715">
        <v>0</v>
      </c>
      <c r="G2715" s="243">
        <v>39804</v>
      </c>
      <c r="H2715" t="s">
        <v>182</v>
      </c>
      <c r="I2715">
        <v>15</v>
      </c>
      <c r="J2715">
        <v>8</v>
      </c>
      <c r="K2715">
        <v>1</v>
      </c>
      <c r="L2715">
        <v>74640</v>
      </c>
      <c r="M2715" t="str">
        <f t="shared" si="399"/>
        <v>13</v>
      </c>
      <c r="N2715" t="s">
        <v>3323</v>
      </c>
      <c r="O2715" t="str">
        <f t="shared" si="397"/>
        <v>59111</v>
      </c>
      <c r="P2715" t="str">
        <f>"2300L"</f>
        <v>2300L</v>
      </c>
      <c r="Q2715" t="str">
        <f t="shared" si="395"/>
        <v>0101</v>
      </c>
      <c r="R2715">
        <v>2300</v>
      </c>
      <c r="S2715" t="str">
        <f t="shared" si="398"/>
        <v>5910</v>
      </c>
      <c r="T2715" t="s">
        <v>3702</v>
      </c>
      <c r="U2715" t="s">
        <v>64</v>
      </c>
    </row>
    <row r="2716" spans="1:21" ht="15" customHeight="1" x14ac:dyDescent="0.3">
      <c r="A2716" t="s">
        <v>179</v>
      </c>
      <c r="B2716" t="str">
        <f>"00063037"</f>
        <v>00063037</v>
      </c>
      <c r="C2716" t="s">
        <v>4262</v>
      </c>
      <c r="D2716" t="s">
        <v>2297</v>
      </c>
      <c r="E2716" t="str">
        <f>"00057385"</f>
        <v>00057385</v>
      </c>
      <c r="F2716">
        <v>0</v>
      </c>
      <c r="G2716" s="243">
        <v>40042</v>
      </c>
      <c r="H2716" t="s">
        <v>182</v>
      </c>
      <c r="I2716">
        <v>15</v>
      </c>
      <c r="J2716">
        <v>12</v>
      </c>
      <c r="K2716">
        <v>1</v>
      </c>
      <c r="L2716">
        <v>87431</v>
      </c>
      <c r="M2716" t="str">
        <f t="shared" si="399"/>
        <v>13</v>
      </c>
      <c r="N2716" t="s">
        <v>3323</v>
      </c>
      <c r="O2716" t="str">
        <f t="shared" si="397"/>
        <v>59111</v>
      </c>
      <c r="P2716" t="str">
        <f>"2100L"</f>
        <v>2100L</v>
      </c>
      <c r="Q2716" t="str">
        <f t="shared" si="395"/>
        <v>0101</v>
      </c>
      <c r="R2716">
        <v>2100</v>
      </c>
      <c r="S2716" t="str">
        <f t="shared" si="398"/>
        <v>5910</v>
      </c>
      <c r="T2716" t="s">
        <v>3702</v>
      </c>
      <c r="U2716" t="s">
        <v>64</v>
      </c>
    </row>
    <row r="2717" spans="1:21" ht="15" customHeight="1" x14ac:dyDescent="0.3">
      <c r="A2717" t="s">
        <v>179</v>
      </c>
      <c r="B2717" t="str">
        <f>"00065790"</f>
        <v>00065790</v>
      </c>
      <c r="C2717" t="s">
        <v>4262</v>
      </c>
      <c r="D2717" t="s">
        <v>2298</v>
      </c>
      <c r="E2717" t="str">
        <f>"00056971"</f>
        <v>00056971</v>
      </c>
      <c r="F2717">
        <v>0</v>
      </c>
      <c r="G2717" s="243">
        <v>40042</v>
      </c>
      <c r="H2717" t="s">
        <v>182</v>
      </c>
      <c r="I2717">
        <v>15</v>
      </c>
      <c r="J2717">
        <v>3</v>
      </c>
      <c r="K2717">
        <v>1</v>
      </c>
      <c r="L2717">
        <v>58699</v>
      </c>
      <c r="M2717" t="str">
        <f t="shared" si="399"/>
        <v>13</v>
      </c>
      <c r="N2717" t="s">
        <v>3323</v>
      </c>
      <c r="O2717" t="str">
        <f t="shared" si="397"/>
        <v>59111</v>
      </c>
      <c r="P2717" t="str">
        <f>"2100L"</f>
        <v>2100L</v>
      </c>
      <c r="Q2717" t="str">
        <f t="shared" si="395"/>
        <v>0101</v>
      </c>
      <c r="R2717">
        <v>2100</v>
      </c>
      <c r="S2717" t="str">
        <f t="shared" si="398"/>
        <v>5910</v>
      </c>
      <c r="T2717" t="s">
        <v>3702</v>
      </c>
      <c r="U2717" t="s">
        <v>64</v>
      </c>
    </row>
    <row r="2718" spans="1:21" ht="15" customHeight="1" x14ac:dyDescent="0.3">
      <c r="A2718" t="s">
        <v>179</v>
      </c>
      <c r="B2718" t="str">
        <f>"00072101"</f>
        <v>00072101</v>
      </c>
      <c r="C2718" t="s">
        <v>4288</v>
      </c>
      <c r="D2718" t="s">
        <v>5125</v>
      </c>
      <c r="E2718" t="str">
        <f>"00066751"</f>
        <v>00066751</v>
      </c>
      <c r="F2718">
        <v>0</v>
      </c>
      <c r="G2718" s="243">
        <v>40812</v>
      </c>
      <c r="H2718" t="s">
        <v>182</v>
      </c>
      <c r="I2718">
        <v>4</v>
      </c>
      <c r="J2718">
        <v>6</v>
      </c>
      <c r="K2718">
        <v>1</v>
      </c>
      <c r="L2718">
        <v>25935.88</v>
      </c>
      <c r="M2718" t="str">
        <f t="shared" si="399"/>
        <v>13</v>
      </c>
      <c r="N2718" t="s">
        <v>3323</v>
      </c>
      <c r="O2718" t="str">
        <f t="shared" ref="O2718:O2733" si="400">"59111"</f>
        <v>59111</v>
      </c>
      <c r="P2718" t="str">
        <f>"2200L"</f>
        <v>2200L</v>
      </c>
      <c r="Q2718" t="str">
        <f t="shared" si="395"/>
        <v>0101</v>
      </c>
      <c r="R2718">
        <v>2200</v>
      </c>
      <c r="S2718" t="str">
        <f t="shared" ref="S2718:S2733" si="401">"5910"</f>
        <v>5910</v>
      </c>
      <c r="T2718" t="s">
        <v>3702</v>
      </c>
      <c r="U2718" t="s">
        <v>64</v>
      </c>
    </row>
    <row r="2719" spans="1:21" ht="15" customHeight="1" x14ac:dyDescent="0.3">
      <c r="A2719" t="s">
        <v>179</v>
      </c>
      <c r="B2719" t="str">
        <f>"00072102"</f>
        <v>00072102</v>
      </c>
      <c r="C2719" t="s">
        <v>4288</v>
      </c>
      <c r="D2719" t="s">
        <v>5126</v>
      </c>
      <c r="E2719" t="str">
        <f>"00070452"</f>
        <v>00070452</v>
      </c>
      <c r="F2719">
        <v>0</v>
      </c>
      <c r="G2719" s="243">
        <v>41156</v>
      </c>
      <c r="H2719" t="s">
        <v>182</v>
      </c>
      <c r="I2719">
        <v>4</v>
      </c>
      <c r="J2719">
        <v>4</v>
      </c>
      <c r="K2719">
        <v>1</v>
      </c>
      <c r="L2719">
        <v>24543.75</v>
      </c>
      <c r="M2719" t="str">
        <f t="shared" si="399"/>
        <v>13</v>
      </c>
      <c r="N2719" t="s">
        <v>3323</v>
      </c>
      <c r="O2719" t="str">
        <f t="shared" si="400"/>
        <v>59111</v>
      </c>
      <c r="P2719" t="str">
        <f>"2200L"</f>
        <v>2200L</v>
      </c>
      <c r="Q2719" t="str">
        <f t="shared" ref="Q2719:Q2775" si="402">"0101"</f>
        <v>0101</v>
      </c>
      <c r="R2719">
        <v>2200</v>
      </c>
      <c r="S2719" t="str">
        <f t="shared" si="401"/>
        <v>5910</v>
      </c>
      <c r="T2719" t="s">
        <v>3702</v>
      </c>
      <c r="U2719" t="s">
        <v>64</v>
      </c>
    </row>
    <row r="2720" spans="1:21" ht="15" customHeight="1" x14ac:dyDescent="0.3">
      <c r="A2720" t="s">
        <v>179</v>
      </c>
      <c r="B2720" t="str">
        <f>"00072346"</f>
        <v>00072346</v>
      </c>
      <c r="C2720" t="s">
        <v>4272</v>
      </c>
      <c r="D2720" t="s">
        <v>2299</v>
      </c>
      <c r="E2720" t="str">
        <f>"00062731"</f>
        <v>00062731</v>
      </c>
      <c r="F2720">
        <v>0</v>
      </c>
      <c r="G2720" s="243">
        <v>40406</v>
      </c>
      <c r="H2720" t="s">
        <v>182</v>
      </c>
      <c r="I2720">
        <v>15</v>
      </c>
      <c r="J2720">
        <v>3</v>
      </c>
      <c r="K2720">
        <v>1</v>
      </c>
      <c r="L2720">
        <v>58699</v>
      </c>
      <c r="M2720" t="str">
        <f t="shared" si="399"/>
        <v>13</v>
      </c>
      <c r="N2720" t="s">
        <v>3323</v>
      </c>
      <c r="O2720" t="str">
        <f t="shared" si="400"/>
        <v>59111</v>
      </c>
      <c r="P2720" t="str">
        <f>"2100L"</f>
        <v>2100L</v>
      </c>
      <c r="Q2720" t="str">
        <f t="shared" si="402"/>
        <v>0101</v>
      </c>
      <c r="R2720">
        <v>2100</v>
      </c>
      <c r="S2720" t="str">
        <f t="shared" si="401"/>
        <v>5910</v>
      </c>
      <c r="T2720" t="s">
        <v>3702</v>
      </c>
      <c r="U2720" t="s">
        <v>64</v>
      </c>
    </row>
    <row r="2721" spans="1:21" ht="15" customHeight="1" x14ac:dyDescent="0.3">
      <c r="A2721" t="s">
        <v>179</v>
      </c>
      <c r="B2721" t="str">
        <f>"00072788"</f>
        <v>00072788</v>
      </c>
      <c r="C2721" t="s">
        <v>4260</v>
      </c>
      <c r="D2721" t="s">
        <v>2300</v>
      </c>
      <c r="E2721" t="str">
        <f>"00053146"</f>
        <v>00053146</v>
      </c>
      <c r="F2721">
        <v>0</v>
      </c>
      <c r="G2721" s="243">
        <v>32050</v>
      </c>
      <c r="H2721" t="s">
        <v>182</v>
      </c>
      <c r="I2721">
        <v>15</v>
      </c>
      <c r="J2721">
        <v>16</v>
      </c>
      <c r="K2721">
        <v>1</v>
      </c>
      <c r="L2721">
        <v>100839</v>
      </c>
      <c r="M2721" t="str">
        <f t="shared" si="399"/>
        <v>13</v>
      </c>
      <c r="N2721" t="s">
        <v>3323</v>
      </c>
      <c r="O2721" t="str">
        <f t="shared" si="400"/>
        <v>59111</v>
      </c>
      <c r="P2721" t="str">
        <f>"2100L"</f>
        <v>2100L</v>
      </c>
      <c r="Q2721" t="str">
        <f t="shared" si="402"/>
        <v>0101</v>
      </c>
      <c r="R2721">
        <v>2100</v>
      </c>
      <c r="S2721" t="str">
        <f t="shared" si="401"/>
        <v>5910</v>
      </c>
      <c r="T2721" t="s">
        <v>3702</v>
      </c>
      <c r="U2721" t="s">
        <v>64</v>
      </c>
    </row>
    <row r="2722" spans="1:21" ht="15" customHeight="1" x14ac:dyDescent="0.3">
      <c r="A2722" t="s">
        <v>179</v>
      </c>
      <c r="B2722" t="str">
        <f>"00073937"</f>
        <v>00073937</v>
      </c>
      <c r="C2722" t="s">
        <v>4290</v>
      </c>
      <c r="D2722" t="s">
        <v>5127</v>
      </c>
      <c r="E2722" t="str">
        <f>"00063720"</f>
        <v>00063720</v>
      </c>
      <c r="F2722">
        <v>0</v>
      </c>
      <c r="G2722" s="243">
        <v>40770</v>
      </c>
      <c r="H2722" t="s">
        <v>182</v>
      </c>
      <c r="I2722">
        <v>4</v>
      </c>
      <c r="J2722">
        <v>6</v>
      </c>
      <c r="K2722">
        <v>0.71</v>
      </c>
      <c r="L2722">
        <v>25935.88</v>
      </c>
      <c r="M2722" t="str">
        <f t="shared" si="399"/>
        <v>13</v>
      </c>
      <c r="N2722" t="s">
        <v>3323</v>
      </c>
      <c r="O2722" t="str">
        <f t="shared" si="400"/>
        <v>59111</v>
      </c>
      <c r="P2722" t="str">
        <f>"3030L"</f>
        <v>3030L</v>
      </c>
      <c r="Q2722" t="str">
        <f t="shared" si="402"/>
        <v>0101</v>
      </c>
      <c r="R2722">
        <v>3030</v>
      </c>
      <c r="S2722" t="str">
        <f t="shared" si="401"/>
        <v>5910</v>
      </c>
      <c r="T2722" t="s">
        <v>3702</v>
      </c>
      <c r="U2722" t="s">
        <v>64</v>
      </c>
    </row>
    <row r="2723" spans="1:21" ht="15" customHeight="1" x14ac:dyDescent="0.3">
      <c r="A2723" t="s">
        <v>179</v>
      </c>
      <c r="B2723" t="str">
        <f>"00073938"</f>
        <v>00073938</v>
      </c>
      <c r="C2723" t="s">
        <v>4343</v>
      </c>
      <c r="D2723" t="s">
        <v>2284</v>
      </c>
      <c r="E2723" t="str">
        <f>"00053923"</f>
        <v>00053923</v>
      </c>
      <c r="F2723">
        <v>0</v>
      </c>
      <c r="G2723" s="243">
        <v>32050</v>
      </c>
      <c r="H2723" t="s">
        <v>182</v>
      </c>
      <c r="I2723">
        <v>15</v>
      </c>
      <c r="J2723">
        <v>16</v>
      </c>
      <c r="K2723">
        <v>1</v>
      </c>
      <c r="L2723">
        <v>106540</v>
      </c>
      <c r="M2723" t="str">
        <f t="shared" si="399"/>
        <v>13</v>
      </c>
      <c r="N2723" t="s">
        <v>3323</v>
      </c>
      <c r="O2723" t="str">
        <f t="shared" si="400"/>
        <v>59111</v>
      </c>
      <c r="P2723" t="str">
        <f>"2100L"</f>
        <v>2100L</v>
      </c>
      <c r="Q2723" t="str">
        <f t="shared" si="402"/>
        <v>0101</v>
      </c>
      <c r="R2723">
        <v>2100</v>
      </c>
      <c r="S2723" t="str">
        <f t="shared" si="401"/>
        <v>5910</v>
      </c>
      <c r="T2723" t="s">
        <v>3702</v>
      </c>
      <c r="U2723" t="s">
        <v>64</v>
      </c>
    </row>
    <row r="2724" spans="1:21" ht="15" customHeight="1" x14ac:dyDescent="0.3">
      <c r="A2724" t="s">
        <v>179</v>
      </c>
      <c r="B2724" t="str">
        <f>"00074094"</f>
        <v>00074094</v>
      </c>
      <c r="C2724" t="s">
        <v>200</v>
      </c>
      <c r="D2724" t="s">
        <v>3703</v>
      </c>
      <c r="E2724" t="str">
        <f>"00053084"</f>
        <v>00053084</v>
      </c>
      <c r="F2724">
        <v>0</v>
      </c>
      <c r="G2724" s="243">
        <v>31205</v>
      </c>
      <c r="H2724" t="s">
        <v>182</v>
      </c>
      <c r="I2724">
        <v>15</v>
      </c>
      <c r="J2724">
        <v>16</v>
      </c>
      <c r="K2724">
        <v>0.5</v>
      </c>
      <c r="L2724">
        <v>103347</v>
      </c>
      <c r="M2724" t="str">
        <f t="shared" si="399"/>
        <v>13</v>
      </c>
      <c r="N2724" t="s">
        <v>3323</v>
      </c>
      <c r="O2724" t="str">
        <f t="shared" si="400"/>
        <v>59111</v>
      </c>
      <c r="P2724" t="str">
        <f>"2100L"</f>
        <v>2100L</v>
      </c>
      <c r="Q2724" t="str">
        <f t="shared" si="402"/>
        <v>0101</v>
      </c>
      <c r="R2724">
        <v>2100</v>
      </c>
      <c r="S2724" t="str">
        <f t="shared" si="401"/>
        <v>5910</v>
      </c>
      <c r="T2724" t="s">
        <v>3704</v>
      </c>
      <c r="U2724" t="s">
        <v>2567</v>
      </c>
    </row>
    <row r="2725" spans="1:21" ht="15" customHeight="1" x14ac:dyDescent="0.3">
      <c r="A2725" t="s">
        <v>179</v>
      </c>
      <c r="B2725" t="str">
        <f>"00074297"</f>
        <v>00074297</v>
      </c>
      <c r="C2725" t="s">
        <v>4266</v>
      </c>
      <c r="D2725" t="s">
        <v>3706</v>
      </c>
      <c r="E2725" t="str">
        <f>"00065800"</f>
        <v>00065800</v>
      </c>
      <c r="F2725">
        <v>0</v>
      </c>
      <c r="G2725" s="243">
        <v>40755</v>
      </c>
      <c r="H2725" t="s">
        <v>182</v>
      </c>
      <c r="I2725">
        <v>15</v>
      </c>
      <c r="J2725">
        <v>2</v>
      </c>
      <c r="K2725">
        <v>1</v>
      </c>
      <c r="L2725">
        <v>51716</v>
      </c>
      <c r="M2725" t="str">
        <f t="shared" si="399"/>
        <v>13</v>
      </c>
      <c r="N2725" t="s">
        <v>3323</v>
      </c>
      <c r="O2725" t="str">
        <f t="shared" si="400"/>
        <v>59111</v>
      </c>
      <c r="P2725" t="str">
        <f>"2300L"</f>
        <v>2300L</v>
      </c>
      <c r="Q2725" t="str">
        <f t="shared" si="402"/>
        <v>0101</v>
      </c>
      <c r="R2725">
        <v>2300</v>
      </c>
      <c r="S2725" t="str">
        <f t="shared" si="401"/>
        <v>5910</v>
      </c>
      <c r="T2725" t="s">
        <v>3702</v>
      </c>
      <c r="U2725" t="s">
        <v>64</v>
      </c>
    </row>
    <row r="2726" spans="1:21" ht="15" customHeight="1" x14ac:dyDescent="0.3">
      <c r="A2726" t="s">
        <v>179</v>
      </c>
      <c r="B2726" t="str">
        <f>"00074548"</f>
        <v>00074548</v>
      </c>
      <c r="C2726" t="s">
        <v>4291</v>
      </c>
      <c r="D2726" t="s">
        <v>4589</v>
      </c>
      <c r="E2726" t="str">
        <f>"00014431"</f>
        <v>00014431</v>
      </c>
      <c r="F2726">
        <v>0</v>
      </c>
      <c r="G2726" s="243">
        <v>40056</v>
      </c>
      <c r="H2726" t="s">
        <v>182</v>
      </c>
      <c r="I2726">
        <v>15</v>
      </c>
      <c r="J2726">
        <v>3</v>
      </c>
      <c r="K2726">
        <v>0.5</v>
      </c>
      <c r="L2726">
        <v>52777</v>
      </c>
      <c r="M2726" t="str">
        <f t="shared" si="399"/>
        <v>13</v>
      </c>
      <c r="N2726" t="s">
        <v>3370</v>
      </c>
      <c r="O2726" t="str">
        <f t="shared" si="400"/>
        <v>59111</v>
      </c>
      <c r="P2726" t="str">
        <f>"2100L"</f>
        <v>2100L</v>
      </c>
      <c r="Q2726" t="str">
        <f t="shared" si="402"/>
        <v>0101</v>
      </c>
      <c r="R2726">
        <v>2100</v>
      </c>
      <c r="S2726" t="str">
        <f t="shared" si="401"/>
        <v>5910</v>
      </c>
      <c r="T2726" t="s">
        <v>3702</v>
      </c>
      <c r="U2726" t="s">
        <v>64</v>
      </c>
    </row>
    <row r="2727" spans="1:21" ht="15" customHeight="1" x14ac:dyDescent="0.3">
      <c r="A2727" t="s">
        <v>179</v>
      </c>
      <c r="B2727" t="str">
        <f>"00074567"</f>
        <v>00074567</v>
      </c>
      <c r="C2727" t="s">
        <v>4360</v>
      </c>
      <c r="D2727" t="s">
        <v>5128</v>
      </c>
      <c r="E2727" t="str">
        <f>"00047072"</f>
        <v>00047072</v>
      </c>
      <c r="F2727">
        <v>0</v>
      </c>
      <c r="G2727" s="243">
        <v>37157</v>
      </c>
      <c r="H2727" t="s">
        <v>182</v>
      </c>
      <c r="I2727">
        <v>7</v>
      </c>
      <c r="J2727">
        <v>10</v>
      </c>
      <c r="K2727">
        <v>1</v>
      </c>
      <c r="L2727">
        <v>44837</v>
      </c>
      <c r="M2727" t="str">
        <f t="shared" si="399"/>
        <v>13</v>
      </c>
      <c r="N2727" t="s">
        <v>3323</v>
      </c>
      <c r="O2727" t="str">
        <f t="shared" si="400"/>
        <v>59111</v>
      </c>
      <c r="P2727" t="str">
        <f>"1502L"</f>
        <v>1502L</v>
      </c>
      <c r="Q2727" t="str">
        <f t="shared" si="402"/>
        <v>0101</v>
      </c>
      <c r="R2727">
        <v>1502</v>
      </c>
      <c r="S2727" t="str">
        <f t="shared" si="401"/>
        <v>5910</v>
      </c>
      <c r="T2727" t="s">
        <v>3702</v>
      </c>
      <c r="U2727" t="s">
        <v>64</v>
      </c>
    </row>
    <row r="2728" spans="1:21" ht="15" customHeight="1" x14ac:dyDescent="0.3">
      <c r="A2728" t="s">
        <v>179</v>
      </c>
      <c r="B2728" t="str">
        <f>"00076316"</f>
        <v>00076316</v>
      </c>
      <c r="C2728" t="s">
        <v>4262</v>
      </c>
      <c r="H2728" t="s">
        <v>170</v>
      </c>
      <c r="I2728">
        <v>15</v>
      </c>
      <c r="J2728">
        <v>0</v>
      </c>
      <c r="K2728">
        <v>0.5</v>
      </c>
      <c r="L2728">
        <v>51539</v>
      </c>
      <c r="M2728" t="str">
        <f t="shared" si="399"/>
        <v>13</v>
      </c>
      <c r="N2728" t="s">
        <v>3370</v>
      </c>
      <c r="O2728" t="str">
        <f t="shared" si="400"/>
        <v>59111</v>
      </c>
      <c r="P2728" t="str">
        <f>"2100L"</f>
        <v>2100L</v>
      </c>
      <c r="Q2728" t="str">
        <f t="shared" si="402"/>
        <v>0101</v>
      </c>
      <c r="R2728">
        <v>2100</v>
      </c>
      <c r="S2728" t="str">
        <f t="shared" si="401"/>
        <v>5910</v>
      </c>
      <c r="T2728" t="s">
        <v>3702</v>
      </c>
      <c r="U2728" t="s">
        <v>64</v>
      </c>
    </row>
    <row r="2729" spans="1:21" ht="15" customHeight="1" x14ac:dyDescent="0.3">
      <c r="A2729" t="s">
        <v>179</v>
      </c>
      <c r="B2729" t="str">
        <f>"00076317"</f>
        <v>00076317</v>
      </c>
      <c r="C2729" t="s">
        <v>4271</v>
      </c>
      <c r="H2729" t="s">
        <v>170</v>
      </c>
      <c r="I2729">
        <v>15</v>
      </c>
      <c r="J2729">
        <v>0</v>
      </c>
      <c r="K2729">
        <v>0.5</v>
      </c>
      <c r="L2729">
        <v>54975</v>
      </c>
      <c r="M2729" t="str">
        <f t="shared" si="399"/>
        <v>13</v>
      </c>
      <c r="N2729" t="s">
        <v>3370</v>
      </c>
      <c r="O2729" t="str">
        <f t="shared" si="400"/>
        <v>59111</v>
      </c>
      <c r="P2729" t="str">
        <f>"2100L"</f>
        <v>2100L</v>
      </c>
      <c r="Q2729" t="str">
        <f t="shared" si="402"/>
        <v>0101</v>
      </c>
      <c r="R2729">
        <v>2100</v>
      </c>
      <c r="S2729" t="str">
        <f t="shared" si="401"/>
        <v>5910</v>
      </c>
      <c r="T2729" t="s">
        <v>3702</v>
      </c>
      <c r="U2729" t="s">
        <v>64</v>
      </c>
    </row>
    <row r="2730" spans="1:21" ht="15" customHeight="1" x14ac:dyDescent="0.3">
      <c r="A2730" t="s">
        <v>179</v>
      </c>
      <c r="B2730" t="str">
        <f>"00076331"</f>
        <v>00076331</v>
      </c>
      <c r="C2730" t="s">
        <v>4271</v>
      </c>
      <c r="D2730" t="s">
        <v>5129</v>
      </c>
      <c r="E2730" t="str">
        <f>"00048069"</f>
        <v>00048069</v>
      </c>
      <c r="F2730">
        <v>0</v>
      </c>
      <c r="G2730" s="243">
        <v>31999</v>
      </c>
      <c r="H2730" t="s">
        <v>182</v>
      </c>
      <c r="I2730">
        <v>15</v>
      </c>
      <c r="J2730">
        <v>16</v>
      </c>
      <c r="K2730">
        <v>0.25</v>
      </c>
      <c r="L2730">
        <v>100839</v>
      </c>
      <c r="M2730" t="str">
        <f t="shared" si="399"/>
        <v>13</v>
      </c>
      <c r="N2730" t="s">
        <v>3370</v>
      </c>
      <c r="O2730" t="str">
        <f t="shared" si="400"/>
        <v>59111</v>
      </c>
      <c r="P2730" t="str">
        <f>"2100L"</f>
        <v>2100L</v>
      </c>
      <c r="Q2730" t="str">
        <f t="shared" si="402"/>
        <v>0101</v>
      </c>
      <c r="R2730">
        <v>2100</v>
      </c>
      <c r="S2730" t="str">
        <f t="shared" si="401"/>
        <v>5910</v>
      </c>
      <c r="T2730" t="s">
        <v>3711</v>
      </c>
      <c r="U2730" t="s">
        <v>65</v>
      </c>
    </row>
    <row r="2731" spans="1:21" ht="15" customHeight="1" x14ac:dyDescent="0.3">
      <c r="A2731" t="s">
        <v>179</v>
      </c>
      <c r="B2731" t="str">
        <f>"00076479"</f>
        <v>00076479</v>
      </c>
      <c r="C2731" t="s">
        <v>4274</v>
      </c>
      <c r="H2731" t="s">
        <v>170</v>
      </c>
      <c r="I2731">
        <v>4</v>
      </c>
      <c r="J2731">
        <v>0</v>
      </c>
      <c r="K2731">
        <v>0.71</v>
      </c>
      <c r="L2731">
        <v>25662</v>
      </c>
      <c r="M2731" t="str">
        <f t="shared" si="399"/>
        <v>13</v>
      </c>
      <c r="N2731" t="s">
        <v>3323</v>
      </c>
      <c r="O2731" t="str">
        <f t="shared" si="400"/>
        <v>59111</v>
      </c>
      <c r="P2731" t="str">
        <f>"2200L"</f>
        <v>2200L</v>
      </c>
      <c r="Q2731" t="str">
        <f t="shared" si="402"/>
        <v>0101</v>
      </c>
      <c r="R2731">
        <v>2200</v>
      </c>
      <c r="S2731" t="str">
        <f t="shared" si="401"/>
        <v>5910</v>
      </c>
      <c r="T2731" t="s">
        <v>3702</v>
      </c>
      <c r="U2731" t="s">
        <v>64</v>
      </c>
    </row>
    <row r="2732" spans="1:21" ht="15" customHeight="1" x14ac:dyDescent="0.3">
      <c r="A2732" t="s">
        <v>179</v>
      </c>
      <c r="B2732" t="str">
        <f>"00076480"</f>
        <v>00076480</v>
      </c>
      <c r="C2732" t="s">
        <v>4274</v>
      </c>
      <c r="D2732" t="s">
        <v>5130</v>
      </c>
      <c r="E2732" t="str">
        <f>"00069583"</f>
        <v>00069583</v>
      </c>
      <c r="F2732">
        <v>0</v>
      </c>
      <c r="G2732" s="243">
        <v>41133</v>
      </c>
      <c r="H2732" t="s">
        <v>182</v>
      </c>
      <c r="I2732">
        <v>4</v>
      </c>
      <c r="J2732">
        <v>4</v>
      </c>
      <c r="K2732">
        <v>0.71</v>
      </c>
      <c r="L2732">
        <v>24543.75</v>
      </c>
      <c r="M2732" t="str">
        <f t="shared" si="399"/>
        <v>13</v>
      </c>
      <c r="N2732" t="s">
        <v>3370</v>
      </c>
      <c r="O2732" t="str">
        <f t="shared" si="400"/>
        <v>59111</v>
      </c>
      <c r="P2732" t="str">
        <f>"2200L"</f>
        <v>2200L</v>
      </c>
      <c r="Q2732" t="str">
        <f t="shared" si="402"/>
        <v>0101</v>
      </c>
      <c r="R2732">
        <v>2200</v>
      </c>
      <c r="S2732" t="str">
        <f t="shared" si="401"/>
        <v>5910</v>
      </c>
      <c r="T2732" t="s">
        <v>3702</v>
      </c>
      <c r="U2732" t="s">
        <v>64</v>
      </c>
    </row>
    <row r="2733" spans="1:21" ht="15" customHeight="1" x14ac:dyDescent="0.3">
      <c r="A2733" t="s">
        <v>179</v>
      </c>
      <c r="B2733" t="str">
        <f>"00076557"</f>
        <v>00076557</v>
      </c>
      <c r="C2733" t="s">
        <v>4499</v>
      </c>
      <c r="D2733" t="s">
        <v>1627</v>
      </c>
      <c r="E2733" t="str">
        <f>"00050044"</f>
        <v>00050044</v>
      </c>
      <c r="F2733">
        <v>0</v>
      </c>
      <c r="G2733" s="243">
        <v>36390</v>
      </c>
      <c r="H2733" t="s">
        <v>182</v>
      </c>
      <c r="I2733">
        <v>10</v>
      </c>
      <c r="J2733">
        <v>6</v>
      </c>
      <c r="K2733">
        <v>0.5</v>
      </c>
      <c r="L2733">
        <v>37543.5</v>
      </c>
      <c r="M2733" t="str">
        <f t="shared" si="399"/>
        <v>13</v>
      </c>
      <c r="N2733" t="s">
        <v>3370</v>
      </c>
      <c r="O2733" t="str">
        <f t="shared" si="400"/>
        <v>59111</v>
      </c>
      <c r="P2733" t="str">
        <f>"3030L"</f>
        <v>3030L</v>
      </c>
      <c r="Q2733" t="str">
        <f t="shared" si="402"/>
        <v>0101</v>
      </c>
      <c r="R2733">
        <v>3030</v>
      </c>
      <c r="S2733" t="str">
        <f t="shared" si="401"/>
        <v>5910</v>
      </c>
      <c r="T2733" t="s">
        <v>3702</v>
      </c>
      <c r="U2733" t="s">
        <v>64</v>
      </c>
    </row>
    <row r="2734" spans="1:21" ht="15" customHeight="1" x14ac:dyDescent="0.3">
      <c r="A2734" t="s">
        <v>179</v>
      </c>
      <c r="B2734" t="str">
        <f>"00051542"</f>
        <v>00051542</v>
      </c>
      <c r="C2734" t="s">
        <v>4262</v>
      </c>
      <c r="D2734" t="s">
        <v>5131</v>
      </c>
      <c r="E2734" t="str">
        <f>"00070057"</f>
        <v>00070057</v>
      </c>
      <c r="F2734">
        <v>0</v>
      </c>
      <c r="G2734" s="243">
        <v>41133</v>
      </c>
      <c r="H2734" t="s">
        <v>182</v>
      </c>
      <c r="I2734">
        <v>15</v>
      </c>
      <c r="J2734">
        <v>1</v>
      </c>
      <c r="K2734">
        <v>1</v>
      </c>
      <c r="L2734">
        <v>51539</v>
      </c>
      <c r="M2734" t="str">
        <f t="shared" si="399"/>
        <v>13</v>
      </c>
      <c r="N2734" t="s">
        <v>3370</v>
      </c>
      <c r="O2734" t="str">
        <f t="shared" ref="O2734:O2770" si="403">"59411"</f>
        <v>59411</v>
      </c>
      <c r="P2734" t="str">
        <f>"2100L"</f>
        <v>2100L</v>
      </c>
      <c r="Q2734" t="str">
        <f t="shared" si="402"/>
        <v>0101</v>
      </c>
      <c r="R2734">
        <v>2100</v>
      </c>
      <c r="S2734" t="str">
        <f t="shared" ref="S2734:S2770" si="404">"5940"</f>
        <v>5940</v>
      </c>
      <c r="T2734" t="s">
        <v>3533</v>
      </c>
      <c r="U2734" t="s">
        <v>129</v>
      </c>
    </row>
    <row r="2735" spans="1:21" ht="15" customHeight="1" x14ac:dyDescent="0.3">
      <c r="A2735" t="s">
        <v>179</v>
      </c>
      <c r="B2735" t="str">
        <f>"00051584"</f>
        <v>00051584</v>
      </c>
      <c r="C2735" t="s">
        <v>4274</v>
      </c>
      <c r="D2735" t="s">
        <v>5132</v>
      </c>
      <c r="E2735" t="str">
        <f>"00044994"</f>
        <v>00044994</v>
      </c>
      <c r="F2735">
        <v>0</v>
      </c>
      <c r="G2735" s="243">
        <v>40409</v>
      </c>
      <c r="H2735" t="s">
        <v>182</v>
      </c>
      <c r="I2735">
        <v>4</v>
      </c>
      <c r="J2735">
        <v>10</v>
      </c>
      <c r="K2735">
        <v>0.875</v>
      </c>
      <c r="L2735">
        <v>28721</v>
      </c>
      <c r="M2735" t="str">
        <f t="shared" si="399"/>
        <v>13</v>
      </c>
      <c r="N2735" t="s">
        <v>3323</v>
      </c>
      <c r="O2735" t="str">
        <f t="shared" si="403"/>
        <v>59411</v>
      </c>
      <c r="P2735" t="str">
        <f>"2200L"</f>
        <v>2200L</v>
      </c>
      <c r="Q2735" t="str">
        <f t="shared" si="402"/>
        <v>0101</v>
      </c>
      <c r="R2735">
        <v>2200</v>
      </c>
      <c r="S2735" t="str">
        <f t="shared" si="404"/>
        <v>5940</v>
      </c>
      <c r="T2735" t="s">
        <v>3533</v>
      </c>
      <c r="U2735" t="s">
        <v>129</v>
      </c>
    </row>
    <row r="2736" spans="1:21" ht="15" customHeight="1" x14ac:dyDescent="0.3">
      <c r="A2736" t="s">
        <v>179</v>
      </c>
      <c r="B2736" t="str">
        <f>"00051797"</f>
        <v>00051797</v>
      </c>
      <c r="C2736" t="s">
        <v>4262</v>
      </c>
      <c r="D2736" t="s">
        <v>2346</v>
      </c>
      <c r="E2736" t="str">
        <f>"00044847"</f>
        <v>00044847</v>
      </c>
      <c r="F2736">
        <v>0</v>
      </c>
      <c r="G2736" s="243">
        <v>38951</v>
      </c>
      <c r="H2736" t="s">
        <v>182</v>
      </c>
      <c r="I2736">
        <v>15</v>
      </c>
      <c r="J2736">
        <v>5</v>
      </c>
      <c r="K2736">
        <v>1</v>
      </c>
      <c r="L2736">
        <v>63611</v>
      </c>
      <c r="M2736" t="str">
        <f t="shared" si="399"/>
        <v>13</v>
      </c>
      <c r="N2736" t="s">
        <v>3323</v>
      </c>
      <c r="O2736" t="str">
        <f t="shared" si="403"/>
        <v>59411</v>
      </c>
      <c r="P2736" t="str">
        <f>"2100L"</f>
        <v>2100L</v>
      </c>
      <c r="Q2736" t="str">
        <f t="shared" si="402"/>
        <v>0101</v>
      </c>
      <c r="R2736">
        <v>2100</v>
      </c>
      <c r="S2736" t="str">
        <f t="shared" si="404"/>
        <v>5940</v>
      </c>
      <c r="T2736" t="s">
        <v>3533</v>
      </c>
      <c r="U2736" t="s">
        <v>129</v>
      </c>
    </row>
    <row r="2737" spans="1:21" ht="15" customHeight="1" x14ac:dyDescent="0.3">
      <c r="A2737" t="s">
        <v>179</v>
      </c>
      <c r="B2737" t="str">
        <f>"00051808"</f>
        <v>00051808</v>
      </c>
      <c r="C2737" t="s">
        <v>4262</v>
      </c>
      <c r="D2737" t="s">
        <v>2347</v>
      </c>
      <c r="E2737" t="str">
        <f>"00046040"</f>
        <v>00046040</v>
      </c>
      <c r="F2737">
        <v>0</v>
      </c>
      <c r="G2737" s="243">
        <v>34372</v>
      </c>
      <c r="H2737" t="s">
        <v>182</v>
      </c>
      <c r="I2737">
        <v>15</v>
      </c>
      <c r="J2737">
        <v>16</v>
      </c>
      <c r="K2737">
        <v>1</v>
      </c>
      <c r="L2737">
        <v>100839</v>
      </c>
      <c r="M2737" t="str">
        <f t="shared" si="399"/>
        <v>13</v>
      </c>
      <c r="N2737" t="s">
        <v>3323</v>
      </c>
      <c r="O2737" t="str">
        <f t="shared" si="403"/>
        <v>59411</v>
      </c>
      <c r="P2737" t="str">
        <f>"2100L"</f>
        <v>2100L</v>
      </c>
      <c r="Q2737" t="str">
        <f t="shared" si="402"/>
        <v>0101</v>
      </c>
      <c r="R2737">
        <v>2100</v>
      </c>
      <c r="S2737" t="str">
        <f t="shared" si="404"/>
        <v>5940</v>
      </c>
      <c r="T2737" t="s">
        <v>3533</v>
      </c>
      <c r="U2737" t="s">
        <v>129</v>
      </c>
    </row>
    <row r="2738" spans="1:21" ht="15" customHeight="1" x14ac:dyDescent="0.3">
      <c r="A2738" t="s">
        <v>179</v>
      </c>
      <c r="B2738" t="str">
        <f>"00052757"</f>
        <v>00052757</v>
      </c>
      <c r="C2738" t="s">
        <v>4262</v>
      </c>
      <c r="D2738" t="s">
        <v>5133</v>
      </c>
      <c r="E2738" t="str">
        <f>"00070095"</f>
        <v>00070095</v>
      </c>
      <c r="F2738">
        <v>0</v>
      </c>
      <c r="G2738" s="243">
        <v>41133</v>
      </c>
      <c r="H2738" t="s">
        <v>182</v>
      </c>
      <c r="I2738">
        <v>15</v>
      </c>
      <c r="J2738">
        <v>2</v>
      </c>
      <c r="K2738">
        <v>1</v>
      </c>
      <c r="L2738">
        <v>56242</v>
      </c>
      <c r="M2738" t="str">
        <f t="shared" si="399"/>
        <v>13</v>
      </c>
      <c r="N2738" t="s">
        <v>3370</v>
      </c>
      <c r="O2738" t="str">
        <f t="shared" si="403"/>
        <v>59411</v>
      </c>
      <c r="P2738" t="str">
        <f>"2100L"</f>
        <v>2100L</v>
      </c>
      <c r="Q2738" t="str">
        <f t="shared" si="402"/>
        <v>0101</v>
      </c>
      <c r="R2738">
        <v>2100</v>
      </c>
      <c r="S2738" t="str">
        <f t="shared" si="404"/>
        <v>5940</v>
      </c>
      <c r="T2738" t="s">
        <v>3533</v>
      </c>
      <c r="U2738" t="s">
        <v>129</v>
      </c>
    </row>
    <row r="2739" spans="1:21" ht="15" customHeight="1" x14ac:dyDescent="0.3">
      <c r="A2739" t="s">
        <v>179</v>
      </c>
      <c r="B2739" t="str">
        <f>"00052855"</f>
        <v>00052855</v>
      </c>
      <c r="C2739" t="s">
        <v>4272</v>
      </c>
      <c r="D2739" t="s">
        <v>2349</v>
      </c>
      <c r="E2739" t="str">
        <f>"00049728"</f>
        <v>00049728</v>
      </c>
      <c r="F2739">
        <v>0</v>
      </c>
      <c r="G2739" s="243">
        <v>35920</v>
      </c>
      <c r="H2739" t="s">
        <v>182</v>
      </c>
      <c r="I2739">
        <v>15</v>
      </c>
      <c r="J2739">
        <v>12</v>
      </c>
      <c r="K2739">
        <v>1</v>
      </c>
      <c r="L2739">
        <v>75816</v>
      </c>
      <c r="M2739" t="str">
        <f t="shared" si="399"/>
        <v>13</v>
      </c>
      <c r="N2739" t="s">
        <v>3323</v>
      </c>
      <c r="O2739" t="str">
        <f t="shared" si="403"/>
        <v>59411</v>
      </c>
      <c r="P2739" t="str">
        <f>"2200L"</f>
        <v>2200L</v>
      </c>
      <c r="Q2739" t="str">
        <f t="shared" si="402"/>
        <v>0101</v>
      </c>
      <c r="R2739">
        <v>2200</v>
      </c>
      <c r="S2739" t="str">
        <f t="shared" si="404"/>
        <v>5940</v>
      </c>
      <c r="T2739" t="s">
        <v>3533</v>
      </c>
      <c r="U2739" t="s">
        <v>129</v>
      </c>
    </row>
    <row r="2740" spans="1:21" ht="15" customHeight="1" x14ac:dyDescent="0.3">
      <c r="A2740" t="s">
        <v>179</v>
      </c>
      <c r="B2740" t="str">
        <f>"00053337"</f>
        <v>00053337</v>
      </c>
      <c r="C2740" t="s">
        <v>4252</v>
      </c>
      <c r="D2740" t="s">
        <v>2350</v>
      </c>
      <c r="E2740" t="str">
        <f>"00051324"</f>
        <v>00051324</v>
      </c>
      <c r="F2740">
        <v>0</v>
      </c>
      <c r="G2740" s="243">
        <v>31446</v>
      </c>
      <c r="H2740" t="s">
        <v>182</v>
      </c>
      <c r="I2740">
        <v>15</v>
      </c>
      <c r="J2740">
        <v>16</v>
      </c>
      <c r="K2740">
        <v>1</v>
      </c>
      <c r="L2740">
        <v>103347</v>
      </c>
      <c r="M2740" t="str">
        <f t="shared" si="399"/>
        <v>13</v>
      </c>
      <c r="N2740" t="s">
        <v>3323</v>
      </c>
      <c r="O2740" t="str">
        <f t="shared" si="403"/>
        <v>59411</v>
      </c>
      <c r="P2740" t="str">
        <f t="shared" ref="P2740:P2746" si="405">"2100L"</f>
        <v>2100L</v>
      </c>
      <c r="Q2740" t="str">
        <f t="shared" si="402"/>
        <v>0101</v>
      </c>
      <c r="R2740">
        <v>2100</v>
      </c>
      <c r="S2740" t="str">
        <f t="shared" si="404"/>
        <v>5940</v>
      </c>
      <c r="T2740" t="s">
        <v>3533</v>
      </c>
      <c r="U2740" t="s">
        <v>129</v>
      </c>
    </row>
    <row r="2741" spans="1:21" ht="15" customHeight="1" x14ac:dyDescent="0.3">
      <c r="A2741" t="s">
        <v>179</v>
      </c>
      <c r="B2741" t="str">
        <f>"00053722"</f>
        <v>00053722</v>
      </c>
      <c r="C2741" t="s">
        <v>4262</v>
      </c>
      <c r="D2741" t="s">
        <v>5134</v>
      </c>
      <c r="E2741" t="str">
        <f>"00070484"</f>
        <v>00070484</v>
      </c>
      <c r="F2741">
        <v>0</v>
      </c>
      <c r="G2741" s="243">
        <v>41173</v>
      </c>
      <c r="H2741" t="s">
        <v>182</v>
      </c>
      <c r="I2741">
        <v>15</v>
      </c>
      <c r="J2741">
        <v>10</v>
      </c>
      <c r="K2741">
        <v>1</v>
      </c>
      <c r="L2741">
        <v>78273</v>
      </c>
      <c r="M2741" t="str">
        <f t="shared" si="399"/>
        <v>13</v>
      </c>
      <c r="N2741" t="s">
        <v>3323</v>
      </c>
      <c r="O2741" t="str">
        <f t="shared" si="403"/>
        <v>59411</v>
      </c>
      <c r="P2741" t="str">
        <f t="shared" si="405"/>
        <v>2100L</v>
      </c>
      <c r="Q2741" t="str">
        <f t="shared" si="402"/>
        <v>0101</v>
      </c>
      <c r="R2741">
        <v>2100</v>
      </c>
      <c r="S2741" t="str">
        <f t="shared" si="404"/>
        <v>5940</v>
      </c>
      <c r="T2741" t="s">
        <v>3533</v>
      </c>
      <c r="U2741" t="s">
        <v>129</v>
      </c>
    </row>
    <row r="2742" spans="1:21" ht="15" customHeight="1" x14ac:dyDescent="0.3">
      <c r="A2742" t="s">
        <v>179</v>
      </c>
      <c r="B2742" t="str">
        <f>"00054166"</f>
        <v>00054166</v>
      </c>
      <c r="C2742" t="s">
        <v>4260</v>
      </c>
      <c r="D2742" t="s">
        <v>2351</v>
      </c>
      <c r="E2742" t="str">
        <f>"00053154"</f>
        <v>00053154</v>
      </c>
      <c r="F2742">
        <v>0</v>
      </c>
      <c r="G2742" s="243">
        <v>32387</v>
      </c>
      <c r="H2742" t="s">
        <v>182</v>
      </c>
      <c r="I2742">
        <v>15</v>
      </c>
      <c r="J2742">
        <v>16</v>
      </c>
      <c r="K2742">
        <v>1</v>
      </c>
      <c r="L2742">
        <v>100839</v>
      </c>
      <c r="M2742" t="str">
        <f t="shared" si="399"/>
        <v>13</v>
      </c>
      <c r="N2742" t="s">
        <v>3323</v>
      </c>
      <c r="O2742" t="str">
        <f t="shared" si="403"/>
        <v>59411</v>
      </c>
      <c r="P2742" t="str">
        <f t="shared" si="405"/>
        <v>2100L</v>
      </c>
      <c r="Q2742" t="str">
        <f t="shared" si="402"/>
        <v>0101</v>
      </c>
      <c r="R2742">
        <v>2100</v>
      </c>
      <c r="S2742" t="str">
        <f t="shared" si="404"/>
        <v>5940</v>
      </c>
      <c r="T2742" t="s">
        <v>3533</v>
      </c>
      <c r="U2742" t="s">
        <v>129</v>
      </c>
    </row>
    <row r="2743" spans="1:21" ht="15" customHeight="1" x14ac:dyDescent="0.3">
      <c r="A2743" t="s">
        <v>179</v>
      </c>
      <c r="B2743" t="str">
        <f>"00054767"</f>
        <v>00054767</v>
      </c>
      <c r="C2743" t="s">
        <v>4260</v>
      </c>
      <c r="D2743" t="s">
        <v>2352</v>
      </c>
      <c r="E2743" t="str">
        <f>"00054595"</f>
        <v>00054595</v>
      </c>
      <c r="F2743">
        <v>0</v>
      </c>
      <c r="G2743" s="243">
        <v>32050</v>
      </c>
      <c r="H2743" t="s">
        <v>182</v>
      </c>
      <c r="I2743">
        <v>15</v>
      </c>
      <c r="J2743">
        <v>16</v>
      </c>
      <c r="K2743">
        <v>1</v>
      </c>
      <c r="L2743">
        <v>100839</v>
      </c>
      <c r="M2743" t="str">
        <f t="shared" si="399"/>
        <v>13</v>
      </c>
      <c r="N2743" t="s">
        <v>3323</v>
      </c>
      <c r="O2743" t="str">
        <f t="shared" si="403"/>
        <v>59411</v>
      </c>
      <c r="P2743" t="str">
        <f t="shared" si="405"/>
        <v>2100L</v>
      </c>
      <c r="Q2743" t="str">
        <f t="shared" si="402"/>
        <v>0101</v>
      </c>
      <c r="R2743">
        <v>2100</v>
      </c>
      <c r="S2743" t="str">
        <f t="shared" si="404"/>
        <v>5940</v>
      </c>
      <c r="T2743" t="s">
        <v>3533</v>
      </c>
      <c r="U2743" t="s">
        <v>129</v>
      </c>
    </row>
    <row r="2744" spans="1:21" ht="15" customHeight="1" x14ac:dyDescent="0.3">
      <c r="A2744" t="s">
        <v>179</v>
      </c>
      <c r="B2744" t="str">
        <f>"00055098"</f>
        <v>00055098</v>
      </c>
      <c r="C2744" t="s">
        <v>4272</v>
      </c>
      <c r="D2744" t="s">
        <v>5135</v>
      </c>
      <c r="E2744" t="str">
        <f>"00069530"</f>
        <v>00069530</v>
      </c>
      <c r="F2744">
        <v>0</v>
      </c>
      <c r="G2744" s="243">
        <v>41133</v>
      </c>
      <c r="H2744" t="s">
        <v>182</v>
      </c>
      <c r="I2744">
        <v>15</v>
      </c>
      <c r="J2744">
        <v>9</v>
      </c>
      <c r="K2744">
        <v>1</v>
      </c>
      <c r="L2744">
        <v>75232</v>
      </c>
      <c r="M2744" t="str">
        <f t="shared" si="399"/>
        <v>13</v>
      </c>
      <c r="N2744" t="s">
        <v>3370</v>
      </c>
      <c r="O2744" t="str">
        <f t="shared" si="403"/>
        <v>59411</v>
      </c>
      <c r="P2744" t="str">
        <f t="shared" si="405"/>
        <v>2100L</v>
      </c>
      <c r="Q2744" t="str">
        <f t="shared" si="402"/>
        <v>0101</v>
      </c>
      <c r="R2744">
        <v>2100</v>
      </c>
      <c r="S2744" t="str">
        <f t="shared" si="404"/>
        <v>5940</v>
      </c>
      <c r="T2744" t="s">
        <v>3533</v>
      </c>
      <c r="U2744" t="s">
        <v>129</v>
      </c>
    </row>
    <row r="2745" spans="1:21" ht="15" customHeight="1" x14ac:dyDescent="0.3">
      <c r="A2745" t="s">
        <v>179</v>
      </c>
      <c r="B2745" t="str">
        <f>"00056547"</f>
        <v>00056547</v>
      </c>
      <c r="C2745" t="s">
        <v>4262</v>
      </c>
      <c r="D2745" t="s">
        <v>2353</v>
      </c>
      <c r="E2745" t="str">
        <f>"00053515"</f>
        <v>00053515</v>
      </c>
      <c r="F2745">
        <v>0</v>
      </c>
      <c r="G2745" s="243">
        <v>36332</v>
      </c>
      <c r="H2745" t="s">
        <v>182</v>
      </c>
      <c r="I2745">
        <v>15</v>
      </c>
      <c r="J2745">
        <v>13</v>
      </c>
      <c r="K2745">
        <v>1</v>
      </c>
      <c r="L2745">
        <v>86613</v>
      </c>
      <c r="M2745" t="str">
        <f t="shared" si="399"/>
        <v>13</v>
      </c>
      <c r="N2745" t="s">
        <v>3323</v>
      </c>
      <c r="O2745" t="str">
        <f t="shared" si="403"/>
        <v>59411</v>
      </c>
      <c r="P2745" t="str">
        <f t="shared" si="405"/>
        <v>2100L</v>
      </c>
      <c r="Q2745" t="str">
        <f t="shared" si="402"/>
        <v>0101</v>
      </c>
      <c r="R2745">
        <v>2100</v>
      </c>
      <c r="S2745" t="str">
        <f t="shared" si="404"/>
        <v>5940</v>
      </c>
      <c r="T2745" t="s">
        <v>3533</v>
      </c>
      <c r="U2745" t="s">
        <v>129</v>
      </c>
    </row>
    <row r="2746" spans="1:21" ht="15" customHeight="1" x14ac:dyDescent="0.3">
      <c r="A2746" t="s">
        <v>179</v>
      </c>
      <c r="B2746" t="str">
        <f>"00057327"</f>
        <v>00057327</v>
      </c>
      <c r="C2746" t="s">
        <v>4262</v>
      </c>
      <c r="D2746" t="s">
        <v>2355</v>
      </c>
      <c r="E2746" t="str">
        <f>"00054910"</f>
        <v>00054910</v>
      </c>
      <c r="F2746">
        <v>0</v>
      </c>
      <c r="G2746" s="243">
        <v>36761</v>
      </c>
      <c r="H2746" t="s">
        <v>182</v>
      </c>
      <c r="I2746">
        <v>15</v>
      </c>
      <c r="J2746">
        <v>12</v>
      </c>
      <c r="K2746">
        <v>1</v>
      </c>
      <c r="L2746">
        <v>89887</v>
      </c>
      <c r="M2746" t="str">
        <f t="shared" si="399"/>
        <v>13</v>
      </c>
      <c r="N2746" t="s">
        <v>3323</v>
      </c>
      <c r="O2746" t="str">
        <f t="shared" si="403"/>
        <v>59411</v>
      </c>
      <c r="P2746" t="str">
        <f t="shared" si="405"/>
        <v>2100L</v>
      </c>
      <c r="Q2746" t="str">
        <f t="shared" si="402"/>
        <v>0101</v>
      </c>
      <c r="R2746">
        <v>2100</v>
      </c>
      <c r="S2746" t="str">
        <f t="shared" si="404"/>
        <v>5940</v>
      </c>
      <c r="T2746" t="s">
        <v>3533</v>
      </c>
      <c r="U2746" t="s">
        <v>129</v>
      </c>
    </row>
    <row r="2747" spans="1:21" ht="15" customHeight="1" x14ac:dyDescent="0.3">
      <c r="A2747" t="s">
        <v>179</v>
      </c>
      <c r="B2747" t="str">
        <f>"00057344"</f>
        <v>00057344</v>
      </c>
      <c r="C2747" t="s">
        <v>4272</v>
      </c>
      <c r="D2747" t="s">
        <v>2356</v>
      </c>
      <c r="E2747" t="str">
        <f>"00046625"</f>
        <v>00046625</v>
      </c>
      <c r="F2747">
        <v>0</v>
      </c>
      <c r="G2747" s="243">
        <v>36761</v>
      </c>
      <c r="H2747" t="s">
        <v>182</v>
      </c>
      <c r="I2747">
        <v>15</v>
      </c>
      <c r="J2747">
        <v>13</v>
      </c>
      <c r="K2747">
        <v>1</v>
      </c>
      <c r="L2747">
        <v>95366</v>
      </c>
      <c r="M2747" t="str">
        <f t="shared" si="399"/>
        <v>13</v>
      </c>
      <c r="N2747" t="s">
        <v>3323</v>
      </c>
      <c r="O2747" t="str">
        <f t="shared" si="403"/>
        <v>59411</v>
      </c>
      <c r="P2747" t="str">
        <f>"2200L"</f>
        <v>2200L</v>
      </c>
      <c r="Q2747" t="str">
        <f t="shared" si="402"/>
        <v>0101</v>
      </c>
      <c r="R2747">
        <v>2200</v>
      </c>
      <c r="S2747" t="str">
        <f t="shared" si="404"/>
        <v>5940</v>
      </c>
      <c r="T2747" t="s">
        <v>3533</v>
      </c>
      <c r="U2747" t="s">
        <v>129</v>
      </c>
    </row>
    <row r="2748" spans="1:21" ht="15" customHeight="1" x14ac:dyDescent="0.3">
      <c r="A2748" t="s">
        <v>179</v>
      </c>
      <c r="B2748" t="str">
        <f>"00057645"</f>
        <v>00057645</v>
      </c>
      <c r="C2748" t="s">
        <v>4299</v>
      </c>
      <c r="D2748" t="s">
        <v>5136</v>
      </c>
      <c r="E2748" t="str">
        <f>"00054453"</f>
        <v>00054453</v>
      </c>
      <c r="F2748">
        <v>0</v>
      </c>
      <c r="G2748" s="243">
        <v>36843</v>
      </c>
      <c r="H2748" t="s">
        <v>182</v>
      </c>
      <c r="I2748">
        <v>7</v>
      </c>
      <c r="J2748">
        <v>6</v>
      </c>
      <c r="K2748">
        <v>1</v>
      </c>
      <c r="L2748">
        <v>41513</v>
      </c>
      <c r="M2748" t="str">
        <f t="shared" si="399"/>
        <v>13</v>
      </c>
      <c r="N2748" t="s">
        <v>3323</v>
      </c>
      <c r="O2748" t="str">
        <f t="shared" si="403"/>
        <v>59411</v>
      </c>
      <c r="P2748" t="str">
        <f>"1502L"</f>
        <v>1502L</v>
      </c>
      <c r="Q2748" t="str">
        <f t="shared" si="402"/>
        <v>0101</v>
      </c>
      <c r="R2748">
        <v>1502</v>
      </c>
      <c r="S2748" t="str">
        <f t="shared" si="404"/>
        <v>5940</v>
      </c>
      <c r="T2748" t="s">
        <v>3533</v>
      </c>
      <c r="U2748" t="s">
        <v>129</v>
      </c>
    </row>
    <row r="2749" spans="1:21" ht="15" customHeight="1" x14ac:dyDescent="0.3">
      <c r="A2749" t="s">
        <v>179</v>
      </c>
      <c r="B2749" t="str">
        <f>"00059342"</f>
        <v>00059342</v>
      </c>
      <c r="C2749" t="s">
        <v>4262</v>
      </c>
      <c r="D2749" t="s">
        <v>2357</v>
      </c>
      <c r="E2749" t="str">
        <f>"00049399"</f>
        <v>00049399</v>
      </c>
      <c r="F2749">
        <v>0</v>
      </c>
      <c r="G2749" s="243">
        <v>36391</v>
      </c>
      <c r="H2749" t="s">
        <v>182</v>
      </c>
      <c r="I2749">
        <v>15</v>
      </c>
      <c r="J2749">
        <v>10</v>
      </c>
      <c r="K2749">
        <v>1</v>
      </c>
      <c r="L2749">
        <v>80729</v>
      </c>
      <c r="M2749" t="str">
        <f t="shared" si="399"/>
        <v>13</v>
      </c>
      <c r="N2749" t="s">
        <v>3323</v>
      </c>
      <c r="O2749" t="str">
        <f t="shared" si="403"/>
        <v>59411</v>
      </c>
      <c r="P2749" t="str">
        <f>"2100L"</f>
        <v>2100L</v>
      </c>
      <c r="Q2749" t="str">
        <f t="shared" si="402"/>
        <v>0101</v>
      </c>
      <c r="R2749">
        <v>2100</v>
      </c>
      <c r="S2749" t="str">
        <f t="shared" si="404"/>
        <v>5940</v>
      </c>
      <c r="T2749" t="s">
        <v>3533</v>
      </c>
      <c r="U2749" t="s">
        <v>129</v>
      </c>
    </row>
    <row r="2750" spans="1:21" ht="15" customHeight="1" x14ac:dyDescent="0.3">
      <c r="A2750" t="s">
        <v>179</v>
      </c>
      <c r="B2750" t="str">
        <f>"00059867"</f>
        <v>00059867</v>
      </c>
      <c r="C2750" t="s">
        <v>4263</v>
      </c>
      <c r="H2750" t="s">
        <v>170</v>
      </c>
      <c r="I2750">
        <v>15</v>
      </c>
      <c r="J2750">
        <v>1</v>
      </c>
      <c r="K2750">
        <v>1</v>
      </c>
      <c r="L2750">
        <v>54975</v>
      </c>
      <c r="M2750" t="str">
        <f t="shared" si="399"/>
        <v>13</v>
      </c>
      <c r="N2750" t="s">
        <v>3323</v>
      </c>
      <c r="O2750" t="str">
        <f t="shared" si="403"/>
        <v>59411</v>
      </c>
      <c r="P2750" t="str">
        <f>"2100L"</f>
        <v>2100L</v>
      </c>
      <c r="Q2750" t="str">
        <f t="shared" si="402"/>
        <v>0101</v>
      </c>
      <c r="R2750">
        <v>2100</v>
      </c>
      <c r="S2750" t="str">
        <f t="shared" si="404"/>
        <v>5940</v>
      </c>
      <c r="T2750" t="s">
        <v>3533</v>
      </c>
      <c r="U2750" t="s">
        <v>129</v>
      </c>
    </row>
    <row r="2751" spans="1:21" ht="15" customHeight="1" x14ac:dyDescent="0.3">
      <c r="A2751" t="s">
        <v>179</v>
      </c>
      <c r="B2751" t="str">
        <f>"00060366"</f>
        <v>00060366</v>
      </c>
      <c r="C2751" t="s">
        <v>4262</v>
      </c>
      <c r="D2751" t="s">
        <v>2358</v>
      </c>
      <c r="E2751" t="str">
        <f>"00062838"</f>
        <v>00062838</v>
      </c>
      <c r="F2751">
        <v>0</v>
      </c>
      <c r="G2751" s="243">
        <v>40406</v>
      </c>
      <c r="H2751" t="s">
        <v>182</v>
      </c>
      <c r="I2751">
        <v>15</v>
      </c>
      <c r="J2751">
        <v>3</v>
      </c>
      <c r="K2751">
        <v>1</v>
      </c>
      <c r="L2751">
        <v>58699</v>
      </c>
      <c r="M2751" t="str">
        <f t="shared" si="399"/>
        <v>13</v>
      </c>
      <c r="N2751" t="s">
        <v>3323</v>
      </c>
      <c r="O2751" t="str">
        <f t="shared" si="403"/>
        <v>59411</v>
      </c>
      <c r="P2751" t="str">
        <f>"2100L"</f>
        <v>2100L</v>
      </c>
      <c r="Q2751" t="str">
        <f t="shared" si="402"/>
        <v>0101</v>
      </c>
      <c r="R2751">
        <v>2100</v>
      </c>
      <c r="S2751" t="str">
        <f t="shared" si="404"/>
        <v>5940</v>
      </c>
      <c r="T2751" t="s">
        <v>3533</v>
      </c>
      <c r="U2751" t="s">
        <v>129</v>
      </c>
    </row>
    <row r="2752" spans="1:21" ht="15" customHeight="1" x14ac:dyDescent="0.3">
      <c r="A2752" t="s">
        <v>179</v>
      </c>
      <c r="B2752" t="str">
        <f>"00060489"</f>
        <v>00060489</v>
      </c>
      <c r="C2752" t="s">
        <v>4274</v>
      </c>
      <c r="D2752" t="s">
        <v>5137</v>
      </c>
      <c r="E2752" t="str">
        <f>"00051217"</f>
        <v>00051217</v>
      </c>
      <c r="F2752">
        <v>0</v>
      </c>
      <c r="G2752" s="243">
        <v>38713</v>
      </c>
      <c r="H2752" t="s">
        <v>182</v>
      </c>
      <c r="I2752">
        <v>4</v>
      </c>
      <c r="J2752">
        <v>5</v>
      </c>
      <c r="K2752">
        <v>0.875</v>
      </c>
      <c r="L2752">
        <v>25239.37</v>
      </c>
      <c r="M2752" t="str">
        <f t="shared" si="399"/>
        <v>13</v>
      </c>
      <c r="N2752" t="s">
        <v>3323</v>
      </c>
      <c r="O2752" t="str">
        <f t="shared" si="403"/>
        <v>59411</v>
      </c>
      <c r="P2752" t="str">
        <f>"2200L"</f>
        <v>2200L</v>
      </c>
      <c r="Q2752" t="str">
        <f t="shared" si="402"/>
        <v>0101</v>
      </c>
      <c r="R2752">
        <v>2200</v>
      </c>
      <c r="S2752" t="str">
        <f t="shared" si="404"/>
        <v>5940</v>
      </c>
      <c r="T2752" t="s">
        <v>3533</v>
      </c>
      <c r="U2752" t="s">
        <v>129</v>
      </c>
    </row>
    <row r="2753" spans="1:21" ht="15" customHeight="1" x14ac:dyDescent="0.3">
      <c r="A2753" t="s">
        <v>179</v>
      </c>
      <c r="B2753" t="str">
        <f>"00060542"</f>
        <v>00060542</v>
      </c>
      <c r="C2753" t="s">
        <v>4259</v>
      </c>
      <c r="H2753" t="s">
        <v>170</v>
      </c>
      <c r="I2753">
        <v>15</v>
      </c>
      <c r="J2753">
        <v>1</v>
      </c>
      <c r="K2753">
        <v>1</v>
      </c>
      <c r="L2753">
        <v>54975</v>
      </c>
      <c r="M2753" t="str">
        <f t="shared" si="399"/>
        <v>13</v>
      </c>
      <c r="N2753" t="s">
        <v>3323</v>
      </c>
      <c r="O2753" t="str">
        <f t="shared" si="403"/>
        <v>59411</v>
      </c>
      <c r="P2753" t="str">
        <f>"2100L"</f>
        <v>2100L</v>
      </c>
      <c r="Q2753" t="str">
        <f t="shared" si="402"/>
        <v>0101</v>
      </c>
      <c r="R2753">
        <v>2100</v>
      </c>
      <c r="S2753" t="str">
        <f t="shared" si="404"/>
        <v>5940</v>
      </c>
      <c r="T2753" t="s">
        <v>3533</v>
      </c>
      <c r="U2753" t="s">
        <v>129</v>
      </c>
    </row>
    <row r="2754" spans="1:21" ht="15" customHeight="1" x14ac:dyDescent="0.3">
      <c r="A2754" t="s">
        <v>179</v>
      </c>
      <c r="B2754" t="str">
        <f>"00060763"</f>
        <v>00060763</v>
      </c>
      <c r="C2754" t="s">
        <v>4272</v>
      </c>
      <c r="D2754" t="s">
        <v>5138</v>
      </c>
      <c r="E2754" t="str">
        <f>"00068053"</f>
        <v>00068053</v>
      </c>
      <c r="F2754">
        <v>0</v>
      </c>
      <c r="G2754" s="243">
        <v>40987</v>
      </c>
      <c r="H2754" t="s">
        <v>182</v>
      </c>
      <c r="I2754">
        <v>15</v>
      </c>
      <c r="J2754">
        <v>2</v>
      </c>
      <c r="K2754">
        <v>1</v>
      </c>
      <c r="L2754">
        <v>56242</v>
      </c>
      <c r="M2754" t="str">
        <f t="shared" si="399"/>
        <v>13</v>
      </c>
      <c r="N2754" t="s">
        <v>3323</v>
      </c>
      <c r="O2754" t="str">
        <f t="shared" si="403"/>
        <v>59411</v>
      </c>
      <c r="P2754" t="str">
        <f>"2100L"</f>
        <v>2100L</v>
      </c>
      <c r="Q2754" t="str">
        <f t="shared" si="402"/>
        <v>0101</v>
      </c>
      <c r="R2754">
        <v>2100</v>
      </c>
      <c r="S2754" t="str">
        <f t="shared" si="404"/>
        <v>5940</v>
      </c>
      <c r="T2754" t="s">
        <v>3533</v>
      </c>
      <c r="U2754" t="s">
        <v>129</v>
      </c>
    </row>
    <row r="2755" spans="1:21" ht="15" customHeight="1" x14ac:dyDescent="0.3">
      <c r="A2755" t="s">
        <v>179</v>
      </c>
      <c r="B2755" t="str">
        <f>"00061144"</f>
        <v>00061144</v>
      </c>
      <c r="C2755" t="s">
        <v>4262</v>
      </c>
      <c r="D2755" t="s">
        <v>2359</v>
      </c>
      <c r="E2755" t="str">
        <f>"00045705"</f>
        <v>00045705</v>
      </c>
      <c r="F2755">
        <v>0</v>
      </c>
      <c r="G2755" s="243">
        <v>39314</v>
      </c>
      <c r="H2755" t="s">
        <v>182</v>
      </c>
      <c r="I2755">
        <v>15</v>
      </c>
      <c r="J2755">
        <v>6</v>
      </c>
      <c r="K2755">
        <v>1</v>
      </c>
      <c r="L2755">
        <v>66078</v>
      </c>
      <c r="M2755" t="str">
        <f t="shared" si="399"/>
        <v>13</v>
      </c>
      <c r="N2755" t="s">
        <v>3323</v>
      </c>
      <c r="O2755" t="str">
        <f t="shared" si="403"/>
        <v>59411</v>
      </c>
      <c r="P2755" t="str">
        <f>"2100L"</f>
        <v>2100L</v>
      </c>
      <c r="Q2755" t="str">
        <f t="shared" si="402"/>
        <v>0101</v>
      </c>
      <c r="R2755">
        <v>2100</v>
      </c>
      <c r="S2755" t="str">
        <f t="shared" si="404"/>
        <v>5940</v>
      </c>
      <c r="T2755" t="s">
        <v>3533</v>
      </c>
      <c r="U2755" t="s">
        <v>129</v>
      </c>
    </row>
    <row r="2756" spans="1:21" ht="15" customHeight="1" x14ac:dyDescent="0.3">
      <c r="A2756" t="s">
        <v>179</v>
      </c>
      <c r="B2756" t="str">
        <f>"00061316"</f>
        <v>00061316</v>
      </c>
      <c r="C2756" t="s">
        <v>3798</v>
      </c>
      <c r="D2756" t="s">
        <v>2360</v>
      </c>
      <c r="E2756" t="str">
        <f>"00048078"</f>
        <v>00048078</v>
      </c>
      <c r="F2756">
        <v>0</v>
      </c>
      <c r="G2756" s="243">
        <v>39342</v>
      </c>
      <c r="H2756" t="s">
        <v>182</v>
      </c>
      <c r="I2756">
        <v>61</v>
      </c>
      <c r="J2756">
        <v>3</v>
      </c>
      <c r="K2756">
        <v>1</v>
      </c>
      <c r="L2756">
        <v>110000</v>
      </c>
      <c r="M2756" t="str">
        <f t="shared" si="399"/>
        <v>13</v>
      </c>
      <c r="N2756" t="s">
        <v>3323</v>
      </c>
      <c r="O2756" t="str">
        <f t="shared" si="403"/>
        <v>59411</v>
      </c>
      <c r="P2756" t="str">
        <f>"1501L"</f>
        <v>1501L</v>
      </c>
      <c r="Q2756" t="str">
        <f t="shared" si="402"/>
        <v>0101</v>
      </c>
      <c r="R2756">
        <v>1501</v>
      </c>
      <c r="S2756" t="str">
        <f t="shared" si="404"/>
        <v>5940</v>
      </c>
      <c r="T2756" t="s">
        <v>3533</v>
      </c>
      <c r="U2756" t="s">
        <v>129</v>
      </c>
    </row>
    <row r="2757" spans="1:21" ht="15" customHeight="1" x14ac:dyDescent="0.3">
      <c r="A2757" t="s">
        <v>179</v>
      </c>
      <c r="B2757" t="str">
        <f>"00062192"</f>
        <v>00062192</v>
      </c>
      <c r="C2757" t="s">
        <v>4257</v>
      </c>
      <c r="D2757" t="s">
        <v>2361</v>
      </c>
      <c r="E2757" t="str">
        <f>"00049084"</f>
        <v>00049084</v>
      </c>
      <c r="F2757">
        <v>0</v>
      </c>
      <c r="G2757" s="243">
        <v>39679</v>
      </c>
      <c r="H2757" t="s">
        <v>182</v>
      </c>
      <c r="I2757">
        <v>15</v>
      </c>
      <c r="J2757">
        <v>5</v>
      </c>
      <c r="K2757">
        <v>1</v>
      </c>
      <c r="L2757">
        <v>56655</v>
      </c>
      <c r="M2757" t="str">
        <f t="shared" si="399"/>
        <v>13</v>
      </c>
      <c r="N2757" t="s">
        <v>3323</v>
      </c>
      <c r="O2757" t="str">
        <f t="shared" si="403"/>
        <v>59411</v>
      </c>
      <c r="P2757" t="str">
        <f>"2100L"</f>
        <v>2100L</v>
      </c>
      <c r="Q2757" t="str">
        <f t="shared" si="402"/>
        <v>0101</v>
      </c>
      <c r="R2757">
        <v>2100</v>
      </c>
      <c r="S2757" t="str">
        <f t="shared" si="404"/>
        <v>5940</v>
      </c>
      <c r="T2757" t="s">
        <v>3533</v>
      </c>
      <c r="U2757" t="s">
        <v>129</v>
      </c>
    </row>
    <row r="2758" spans="1:21" ht="15" customHeight="1" x14ac:dyDescent="0.3">
      <c r="A2758" t="s">
        <v>179</v>
      </c>
      <c r="B2758" t="str">
        <f>"00062419"</f>
        <v>00062419</v>
      </c>
      <c r="C2758" t="s">
        <v>4259</v>
      </c>
      <c r="D2758" t="s">
        <v>2362</v>
      </c>
      <c r="E2758" t="str">
        <f>"00046222"</f>
        <v>00046222</v>
      </c>
      <c r="F2758">
        <v>0</v>
      </c>
      <c r="G2758" s="243">
        <v>39679</v>
      </c>
      <c r="H2758" t="s">
        <v>182</v>
      </c>
      <c r="I2758">
        <v>15</v>
      </c>
      <c r="J2758">
        <v>12</v>
      </c>
      <c r="K2758">
        <v>1</v>
      </c>
      <c r="L2758">
        <v>87431</v>
      </c>
      <c r="M2758" t="str">
        <f t="shared" si="399"/>
        <v>13</v>
      </c>
      <c r="N2758" t="s">
        <v>3323</v>
      </c>
      <c r="O2758" t="str">
        <f t="shared" si="403"/>
        <v>59411</v>
      </c>
      <c r="P2758" t="str">
        <f>"2100L"</f>
        <v>2100L</v>
      </c>
      <c r="Q2758" t="str">
        <f t="shared" si="402"/>
        <v>0101</v>
      </c>
      <c r="R2758">
        <v>2100</v>
      </c>
      <c r="S2758" t="str">
        <f t="shared" si="404"/>
        <v>5940</v>
      </c>
      <c r="T2758" t="s">
        <v>3533</v>
      </c>
      <c r="U2758" t="s">
        <v>129</v>
      </c>
    </row>
    <row r="2759" spans="1:21" ht="15" customHeight="1" x14ac:dyDescent="0.3">
      <c r="A2759" t="s">
        <v>179</v>
      </c>
      <c r="B2759" t="str">
        <f>"00062533"</f>
        <v>00062533</v>
      </c>
      <c r="C2759" t="s">
        <v>4274</v>
      </c>
      <c r="D2759" t="s">
        <v>5139</v>
      </c>
      <c r="E2759" t="str">
        <f>"00051607"</f>
        <v>00051607</v>
      </c>
      <c r="F2759">
        <v>0</v>
      </c>
      <c r="G2759" s="243">
        <v>32710</v>
      </c>
      <c r="H2759" t="s">
        <v>182</v>
      </c>
      <c r="I2759">
        <v>4</v>
      </c>
      <c r="J2759">
        <v>6</v>
      </c>
      <c r="K2759">
        <v>0.875</v>
      </c>
      <c r="L2759">
        <v>25935.88</v>
      </c>
      <c r="M2759" t="str">
        <f t="shared" si="399"/>
        <v>13</v>
      </c>
      <c r="N2759" t="s">
        <v>3323</v>
      </c>
      <c r="O2759" t="str">
        <f t="shared" si="403"/>
        <v>59411</v>
      </c>
      <c r="P2759" t="str">
        <f>"2200L"</f>
        <v>2200L</v>
      </c>
      <c r="Q2759" t="str">
        <f t="shared" si="402"/>
        <v>0101</v>
      </c>
      <c r="R2759">
        <v>2200</v>
      </c>
      <c r="S2759" t="str">
        <f t="shared" si="404"/>
        <v>5940</v>
      </c>
      <c r="T2759" t="s">
        <v>3533</v>
      </c>
      <c r="U2759" t="s">
        <v>129</v>
      </c>
    </row>
    <row r="2760" spans="1:21" ht="15" customHeight="1" x14ac:dyDescent="0.3">
      <c r="A2760" t="s">
        <v>179</v>
      </c>
      <c r="B2760" t="str">
        <f>"00062699"</f>
        <v>00062699</v>
      </c>
      <c r="C2760" t="s">
        <v>4274</v>
      </c>
      <c r="D2760" t="s">
        <v>5140</v>
      </c>
      <c r="E2760" t="str">
        <f>"00053820"</f>
        <v>00053820</v>
      </c>
      <c r="F2760">
        <v>0</v>
      </c>
      <c r="G2760" s="243">
        <v>39727</v>
      </c>
      <c r="H2760" t="s">
        <v>182</v>
      </c>
      <c r="I2760">
        <v>4</v>
      </c>
      <c r="J2760">
        <v>3</v>
      </c>
      <c r="K2760">
        <v>0.875</v>
      </c>
      <c r="L2760">
        <v>23848.12</v>
      </c>
      <c r="M2760" t="str">
        <f t="shared" ref="M2760:M2816" si="406">"13"</f>
        <v>13</v>
      </c>
      <c r="N2760" t="s">
        <v>3323</v>
      </c>
      <c r="O2760" t="str">
        <f t="shared" si="403"/>
        <v>59411</v>
      </c>
      <c r="P2760" t="str">
        <f>"2200L"</f>
        <v>2200L</v>
      </c>
      <c r="Q2760" t="str">
        <f t="shared" si="402"/>
        <v>0101</v>
      </c>
      <c r="R2760">
        <v>2200</v>
      </c>
      <c r="S2760" t="str">
        <f t="shared" si="404"/>
        <v>5940</v>
      </c>
      <c r="T2760" t="s">
        <v>3533</v>
      </c>
      <c r="U2760" t="s">
        <v>129</v>
      </c>
    </row>
    <row r="2761" spans="1:21" ht="15" customHeight="1" x14ac:dyDescent="0.3">
      <c r="A2761" t="s">
        <v>179</v>
      </c>
      <c r="B2761" t="str">
        <f>"00062847"</f>
        <v>00062847</v>
      </c>
      <c r="C2761" t="s">
        <v>4254</v>
      </c>
      <c r="D2761" t="s">
        <v>3710</v>
      </c>
      <c r="E2761" t="str">
        <f>"00050688"</f>
        <v>00050688</v>
      </c>
      <c r="F2761">
        <v>0</v>
      </c>
      <c r="G2761" s="243">
        <v>39790</v>
      </c>
      <c r="H2761" t="s">
        <v>182</v>
      </c>
      <c r="I2761">
        <v>15</v>
      </c>
      <c r="J2761">
        <v>5</v>
      </c>
      <c r="K2761">
        <v>1</v>
      </c>
      <c r="L2761">
        <v>63611</v>
      </c>
      <c r="M2761" t="str">
        <f t="shared" si="406"/>
        <v>13</v>
      </c>
      <c r="N2761" t="s">
        <v>3323</v>
      </c>
      <c r="O2761" t="str">
        <f t="shared" si="403"/>
        <v>59411</v>
      </c>
      <c r="P2761" t="str">
        <f>"2100L"</f>
        <v>2100L</v>
      </c>
      <c r="Q2761" t="str">
        <f t="shared" si="402"/>
        <v>0101</v>
      </c>
      <c r="R2761">
        <v>2100</v>
      </c>
      <c r="S2761" t="str">
        <f t="shared" si="404"/>
        <v>5940</v>
      </c>
      <c r="T2761" t="s">
        <v>3533</v>
      </c>
      <c r="U2761" t="s">
        <v>129</v>
      </c>
    </row>
    <row r="2762" spans="1:21" ht="15" customHeight="1" x14ac:dyDescent="0.3">
      <c r="A2762" t="s">
        <v>179</v>
      </c>
      <c r="B2762" t="str">
        <f>"00065754"</f>
        <v>00065754</v>
      </c>
      <c r="C2762" t="s">
        <v>4263</v>
      </c>
      <c r="D2762" t="s">
        <v>2363</v>
      </c>
      <c r="E2762" t="str">
        <f>"00046717"</f>
        <v>00046717</v>
      </c>
      <c r="F2762">
        <v>0</v>
      </c>
      <c r="G2762" s="243">
        <v>40042</v>
      </c>
      <c r="H2762" t="s">
        <v>182</v>
      </c>
      <c r="I2762">
        <v>15</v>
      </c>
      <c r="J2762">
        <v>12</v>
      </c>
      <c r="K2762">
        <v>1</v>
      </c>
      <c r="L2762">
        <v>89887</v>
      </c>
      <c r="M2762" t="str">
        <f t="shared" si="406"/>
        <v>13</v>
      </c>
      <c r="N2762" t="s">
        <v>3323</v>
      </c>
      <c r="O2762" t="str">
        <f t="shared" si="403"/>
        <v>59411</v>
      </c>
      <c r="P2762" t="str">
        <f>"2100L"</f>
        <v>2100L</v>
      </c>
      <c r="Q2762" t="str">
        <f t="shared" si="402"/>
        <v>0101</v>
      </c>
      <c r="R2762">
        <v>2100</v>
      </c>
      <c r="S2762" t="str">
        <f t="shared" si="404"/>
        <v>5940</v>
      </c>
      <c r="T2762" t="s">
        <v>3533</v>
      </c>
      <c r="U2762" t="s">
        <v>129</v>
      </c>
    </row>
    <row r="2763" spans="1:21" ht="15" customHeight="1" x14ac:dyDescent="0.3">
      <c r="A2763" t="s">
        <v>179</v>
      </c>
      <c r="B2763" t="str">
        <f>"00069582"</f>
        <v>00069582</v>
      </c>
      <c r="C2763" t="s">
        <v>4262</v>
      </c>
      <c r="D2763" t="s">
        <v>5141</v>
      </c>
      <c r="E2763" t="str">
        <f>"00069851"</f>
        <v>00069851</v>
      </c>
      <c r="F2763">
        <v>0</v>
      </c>
      <c r="G2763" s="243">
        <v>41133</v>
      </c>
      <c r="H2763" t="s">
        <v>182</v>
      </c>
      <c r="I2763">
        <v>15</v>
      </c>
      <c r="J2763">
        <v>10</v>
      </c>
      <c r="K2763">
        <v>1</v>
      </c>
      <c r="L2763">
        <v>78273</v>
      </c>
      <c r="M2763" t="str">
        <f t="shared" si="406"/>
        <v>13</v>
      </c>
      <c r="N2763" t="s">
        <v>3370</v>
      </c>
      <c r="O2763" t="str">
        <f t="shared" si="403"/>
        <v>59411</v>
      </c>
      <c r="P2763" t="str">
        <f>"2100L"</f>
        <v>2100L</v>
      </c>
      <c r="Q2763" t="str">
        <f t="shared" si="402"/>
        <v>0101</v>
      </c>
      <c r="R2763">
        <v>2100</v>
      </c>
      <c r="S2763" t="str">
        <f t="shared" si="404"/>
        <v>5940</v>
      </c>
      <c r="T2763" t="s">
        <v>3533</v>
      </c>
      <c r="U2763" t="s">
        <v>129</v>
      </c>
    </row>
    <row r="2764" spans="1:21" ht="15" customHeight="1" x14ac:dyDescent="0.3">
      <c r="A2764" t="s">
        <v>179</v>
      </c>
      <c r="B2764" t="str">
        <f>"00072384"</f>
        <v>00072384</v>
      </c>
      <c r="C2764" t="s">
        <v>4518</v>
      </c>
      <c r="D2764" t="s">
        <v>2364</v>
      </c>
      <c r="E2764" t="str">
        <f>"00063018"</f>
        <v>00063018</v>
      </c>
      <c r="F2764">
        <v>0</v>
      </c>
      <c r="G2764" s="243">
        <v>40406</v>
      </c>
      <c r="H2764" t="s">
        <v>182</v>
      </c>
      <c r="I2764">
        <v>10</v>
      </c>
      <c r="J2764">
        <v>6</v>
      </c>
      <c r="K2764">
        <v>1</v>
      </c>
      <c r="L2764">
        <v>75087</v>
      </c>
      <c r="M2764" t="str">
        <f t="shared" si="406"/>
        <v>13</v>
      </c>
      <c r="N2764" t="s">
        <v>3323</v>
      </c>
      <c r="O2764" t="str">
        <f t="shared" si="403"/>
        <v>59411</v>
      </c>
      <c r="P2764" t="str">
        <f>"2100L"</f>
        <v>2100L</v>
      </c>
      <c r="Q2764" t="str">
        <f t="shared" si="402"/>
        <v>0101</v>
      </c>
      <c r="R2764">
        <v>2100</v>
      </c>
      <c r="S2764" t="str">
        <f t="shared" si="404"/>
        <v>5940</v>
      </c>
      <c r="T2764" t="s">
        <v>3533</v>
      </c>
      <c r="U2764" t="s">
        <v>129</v>
      </c>
    </row>
    <row r="2765" spans="1:21" ht="15" customHeight="1" x14ac:dyDescent="0.3">
      <c r="A2765" t="s">
        <v>179</v>
      </c>
      <c r="B2765" t="str">
        <f>"00072961"</f>
        <v>00072961</v>
      </c>
      <c r="C2765" t="s">
        <v>4272</v>
      </c>
      <c r="D2765" t="s">
        <v>2365</v>
      </c>
      <c r="E2765" t="str">
        <f>"00061538"</f>
        <v>00061538</v>
      </c>
      <c r="F2765">
        <v>0</v>
      </c>
      <c r="G2765" s="243">
        <v>40334</v>
      </c>
      <c r="H2765" t="s">
        <v>182</v>
      </c>
      <c r="I2765">
        <v>15</v>
      </c>
      <c r="J2765">
        <v>2</v>
      </c>
      <c r="K2765">
        <v>1</v>
      </c>
      <c r="L2765">
        <v>56242</v>
      </c>
      <c r="M2765" t="str">
        <f t="shared" si="406"/>
        <v>13</v>
      </c>
      <c r="N2765" t="s">
        <v>3323</v>
      </c>
      <c r="O2765" t="str">
        <f t="shared" si="403"/>
        <v>59411</v>
      </c>
      <c r="P2765" t="str">
        <f>"2200L"</f>
        <v>2200L</v>
      </c>
      <c r="Q2765" t="str">
        <f t="shared" si="402"/>
        <v>0101</v>
      </c>
      <c r="R2765">
        <v>2200</v>
      </c>
      <c r="S2765" t="str">
        <f t="shared" si="404"/>
        <v>5940</v>
      </c>
      <c r="T2765" t="s">
        <v>3533</v>
      </c>
      <c r="U2765" t="s">
        <v>129</v>
      </c>
    </row>
    <row r="2766" spans="1:21" ht="15" customHeight="1" x14ac:dyDescent="0.3">
      <c r="A2766" t="s">
        <v>179</v>
      </c>
      <c r="B2766" t="str">
        <f>"00073942"</f>
        <v>00073942</v>
      </c>
      <c r="C2766" t="s">
        <v>4293</v>
      </c>
      <c r="D2766" t="s">
        <v>2354</v>
      </c>
      <c r="E2766" t="str">
        <f>"00049181"</f>
        <v>00049181</v>
      </c>
      <c r="F2766">
        <v>0</v>
      </c>
      <c r="G2766" s="243">
        <v>35717</v>
      </c>
      <c r="H2766" t="s">
        <v>182</v>
      </c>
      <c r="I2766">
        <v>15</v>
      </c>
      <c r="J2766">
        <v>14</v>
      </c>
      <c r="K2766">
        <v>0.5</v>
      </c>
      <c r="L2766">
        <v>48230</v>
      </c>
      <c r="M2766" t="str">
        <f t="shared" si="406"/>
        <v>13</v>
      </c>
      <c r="N2766" t="s">
        <v>3323</v>
      </c>
      <c r="O2766" t="str">
        <f t="shared" si="403"/>
        <v>59411</v>
      </c>
      <c r="P2766" t="str">
        <f>"2100L"</f>
        <v>2100L</v>
      </c>
      <c r="Q2766" t="str">
        <f t="shared" si="402"/>
        <v>0101</v>
      </c>
      <c r="R2766">
        <v>2100</v>
      </c>
      <c r="S2766" t="str">
        <f t="shared" si="404"/>
        <v>5940</v>
      </c>
      <c r="T2766" t="s">
        <v>3533</v>
      </c>
      <c r="U2766" t="s">
        <v>129</v>
      </c>
    </row>
    <row r="2767" spans="1:21" ht="15" customHeight="1" x14ac:dyDescent="0.3">
      <c r="A2767" t="s">
        <v>179</v>
      </c>
      <c r="B2767" t="str">
        <f>"00074238"</f>
        <v>00074238</v>
      </c>
      <c r="C2767" t="s">
        <v>200</v>
      </c>
      <c r="D2767" t="s">
        <v>3532</v>
      </c>
      <c r="E2767" t="str">
        <f>"00044987"</f>
        <v>00044987</v>
      </c>
      <c r="F2767">
        <v>0</v>
      </c>
      <c r="G2767" s="243">
        <v>36390</v>
      </c>
      <c r="H2767" t="s">
        <v>182</v>
      </c>
      <c r="I2767">
        <v>15</v>
      </c>
      <c r="J2767">
        <v>16</v>
      </c>
      <c r="K2767">
        <v>0.5</v>
      </c>
      <c r="L2767">
        <v>106540</v>
      </c>
      <c r="M2767" t="str">
        <f t="shared" si="406"/>
        <v>13</v>
      </c>
      <c r="N2767" t="s">
        <v>3323</v>
      </c>
      <c r="O2767" t="str">
        <f t="shared" si="403"/>
        <v>59411</v>
      </c>
      <c r="P2767" t="str">
        <f>"2100L"</f>
        <v>2100L</v>
      </c>
      <c r="Q2767" t="str">
        <f t="shared" si="402"/>
        <v>0101</v>
      </c>
      <c r="R2767">
        <v>2100</v>
      </c>
      <c r="S2767" t="str">
        <f t="shared" si="404"/>
        <v>5940</v>
      </c>
      <c r="T2767" t="s">
        <v>3533</v>
      </c>
      <c r="U2767" t="s">
        <v>129</v>
      </c>
    </row>
    <row r="2768" spans="1:21" ht="15" customHeight="1" x14ac:dyDescent="0.3">
      <c r="A2768" t="s">
        <v>179</v>
      </c>
      <c r="B2768" t="str">
        <f>"00074680"</f>
        <v>00074680</v>
      </c>
      <c r="C2768" t="s">
        <v>4266</v>
      </c>
      <c r="D2768" t="s">
        <v>5142</v>
      </c>
      <c r="E2768" t="str">
        <f>"00069946"</f>
        <v>00069946</v>
      </c>
      <c r="F2768">
        <v>0</v>
      </c>
      <c r="G2768" s="243">
        <v>41133</v>
      </c>
      <c r="H2768" t="s">
        <v>182</v>
      </c>
      <c r="I2768">
        <v>15</v>
      </c>
      <c r="J2768">
        <v>1</v>
      </c>
      <c r="K2768">
        <v>1</v>
      </c>
      <c r="L2768">
        <v>54975</v>
      </c>
      <c r="M2768" t="str">
        <f t="shared" si="406"/>
        <v>13</v>
      </c>
      <c r="N2768" t="s">
        <v>3323</v>
      </c>
      <c r="O2768" t="str">
        <f t="shared" si="403"/>
        <v>59411</v>
      </c>
      <c r="P2768" t="str">
        <f t="shared" ref="P2768:P2775" si="407">"2100L"</f>
        <v>2100L</v>
      </c>
      <c r="Q2768" t="str">
        <f t="shared" si="402"/>
        <v>0101</v>
      </c>
      <c r="R2768">
        <v>2100</v>
      </c>
      <c r="S2768" t="str">
        <f t="shared" si="404"/>
        <v>5940</v>
      </c>
      <c r="T2768" t="s">
        <v>3533</v>
      </c>
      <c r="U2768" t="s">
        <v>129</v>
      </c>
    </row>
    <row r="2769" spans="1:21" ht="15" customHeight="1" x14ac:dyDescent="0.3">
      <c r="A2769" t="s">
        <v>179</v>
      </c>
      <c r="B2769" t="str">
        <f>"00076327"</f>
        <v>00076327</v>
      </c>
      <c r="C2769" t="s">
        <v>4271</v>
      </c>
      <c r="D2769" t="s">
        <v>5143</v>
      </c>
      <c r="E2769" t="str">
        <f>"00059132"</f>
        <v>00059132</v>
      </c>
      <c r="F2769">
        <v>0</v>
      </c>
      <c r="G2769" s="243">
        <v>40097</v>
      </c>
      <c r="H2769" t="s">
        <v>182</v>
      </c>
      <c r="I2769">
        <v>15</v>
      </c>
      <c r="J2769">
        <v>10</v>
      </c>
      <c r="K2769">
        <v>0.5</v>
      </c>
      <c r="L2769">
        <v>83199</v>
      </c>
      <c r="M2769" t="str">
        <f t="shared" si="406"/>
        <v>13</v>
      </c>
      <c r="N2769" t="s">
        <v>3370</v>
      </c>
      <c r="O2769" t="str">
        <f t="shared" si="403"/>
        <v>59411</v>
      </c>
      <c r="P2769" t="str">
        <f t="shared" si="407"/>
        <v>2100L</v>
      </c>
      <c r="Q2769" t="str">
        <f t="shared" si="402"/>
        <v>0101</v>
      </c>
      <c r="R2769">
        <v>2100</v>
      </c>
      <c r="S2769" t="str">
        <f t="shared" si="404"/>
        <v>5940</v>
      </c>
      <c r="T2769" t="s">
        <v>3533</v>
      </c>
      <c r="U2769" t="s">
        <v>129</v>
      </c>
    </row>
    <row r="2770" spans="1:21" ht="15" customHeight="1" x14ac:dyDescent="0.3">
      <c r="A2770" t="s">
        <v>179</v>
      </c>
      <c r="B2770" t="str">
        <f>"00076772"</f>
        <v>00076772</v>
      </c>
      <c r="C2770" t="s">
        <v>4262</v>
      </c>
      <c r="H2770" t="s">
        <v>170</v>
      </c>
      <c r="I2770">
        <v>15</v>
      </c>
      <c r="J2770">
        <v>0</v>
      </c>
      <c r="K2770">
        <v>1</v>
      </c>
      <c r="L2770">
        <v>51539</v>
      </c>
      <c r="M2770" t="str">
        <f t="shared" si="406"/>
        <v>13</v>
      </c>
      <c r="N2770" t="s">
        <v>3370</v>
      </c>
      <c r="O2770" t="str">
        <f t="shared" si="403"/>
        <v>59411</v>
      </c>
      <c r="P2770" t="str">
        <f t="shared" si="407"/>
        <v>2100L</v>
      </c>
      <c r="Q2770" t="str">
        <f t="shared" si="402"/>
        <v>0101</v>
      </c>
      <c r="R2770">
        <v>2100</v>
      </c>
      <c r="S2770" t="str">
        <f t="shared" si="404"/>
        <v>5940</v>
      </c>
      <c r="T2770" t="s">
        <v>3533</v>
      </c>
      <c r="U2770" t="s">
        <v>129</v>
      </c>
    </row>
    <row r="2771" spans="1:21" ht="15" customHeight="1" x14ac:dyDescent="0.3">
      <c r="A2771" t="s">
        <v>179</v>
      </c>
      <c r="B2771" t="str">
        <f>"00051558"</f>
        <v>00051558</v>
      </c>
      <c r="C2771" t="s">
        <v>4262</v>
      </c>
      <c r="D2771" t="s">
        <v>2366</v>
      </c>
      <c r="E2771" t="str">
        <f>"00044862"</f>
        <v>00044862</v>
      </c>
      <c r="F2771">
        <v>0</v>
      </c>
      <c r="G2771" s="243">
        <v>32398</v>
      </c>
      <c r="H2771" t="s">
        <v>182</v>
      </c>
      <c r="I2771">
        <v>15</v>
      </c>
      <c r="J2771">
        <v>16</v>
      </c>
      <c r="K2771">
        <v>1</v>
      </c>
      <c r="L2771">
        <v>100839</v>
      </c>
      <c r="M2771" t="str">
        <f t="shared" si="406"/>
        <v>13</v>
      </c>
      <c r="N2771" t="s">
        <v>3323</v>
      </c>
      <c r="O2771" t="str">
        <f t="shared" ref="O2771:O2808" si="408">"59511"</f>
        <v>59511</v>
      </c>
      <c r="P2771" t="str">
        <f t="shared" si="407"/>
        <v>2100L</v>
      </c>
      <c r="Q2771" t="str">
        <f t="shared" si="402"/>
        <v>0101</v>
      </c>
      <c r="R2771">
        <v>2100</v>
      </c>
      <c r="S2771" t="str">
        <f t="shared" ref="S2771:S2808" si="409">"5950"</f>
        <v>5950</v>
      </c>
      <c r="T2771" t="s">
        <v>3711</v>
      </c>
      <c r="U2771" t="s">
        <v>65</v>
      </c>
    </row>
    <row r="2772" spans="1:21" ht="15" customHeight="1" x14ac:dyDescent="0.3">
      <c r="A2772" t="s">
        <v>179</v>
      </c>
      <c r="B2772" t="str">
        <f>"00051580"</f>
        <v>00051580</v>
      </c>
      <c r="C2772" t="s">
        <v>4262</v>
      </c>
      <c r="D2772" t="s">
        <v>2372</v>
      </c>
      <c r="E2772" t="str">
        <f>"00052179"</f>
        <v>00052179</v>
      </c>
      <c r="F2772">
        <v>0</v>
      </c>
      <c r="G2772" s="243">
        <v>38951</v>
      </c>
      <c r="H2772" t="s">
        <v>182</v>
      </c>
      <c r="I2772">
        <v>15</v>
      </c>
      <c r="J2772">
        <v>11</v>
      </c>
      <c r="K2772">
        <v>1</v>
      </c>
      <c r="L2772">
        <v>81335</v>
      </c>
      <c r="M2772" t="str">
        <f t="shared" si="406"/>
        <v>13</v>
      </c>
      <c r="N2772" t="s">
        <v>3323</v>
      </c>
      <c r="O2772" t="str">
        <f t="shared" si="408"/>
        <v>59511</v>
      </c>
      <c r="P2772" t="str">
        <f t="shared" si="407"/>
        <v>2100L</v>
      </c>
      <c r="Q2772" t="str">
        <f t="shared" si="402"/>
        <v>0101</v>
      </c>
      <c r="R2772">
        <v>2100</v>
      </c>
      <c r="S2772" t="str">
        <f t="shared" si="409"/>
        <v>5950</v>
      </c>
      <c r="T2772" t="s">
        <v>3711</v>
      </c>
      <c r="U2772" t="s">
        <v>65</v>
      </c>
    </row>
    <row r="2773" spans="1:21" ht="15" customHeight="1" x14ac:dyDescent="0.3">
      <c r="A2773" t="s">
        <v>179</v>
      </c>
      <c r="B2773" t="str">
        <f>"00051643"</f>
        <v>00051643</v>
      </c>
      <c r="C2773" t="s">
        <v>4258</v>
      </c>
      <c r="H2773" t="s">
        <v>170</v>
      </c>
      <c r="I2773">
        <v>15</v>
      </c>
      <c r="J2773">
        <v>1</v>
      </c>
      <c r="K2773">
        <v>1</v>
      </c>
      <c r="L2773">
        <v>51539</v>
      </c>
      <c r="M2773" t="str">
        <f t="shared" si="406"/>
        <v>13</v>
      </c>
      <c r="N2773" t="s">
        <v>3323</v>
      </c>
      <c r="O2773" t="str">
        <f t="shared" si="408"/>
        <v>59511</v>
      </c>
      <c r="P2773" t="str">
        <f t="shared" si="407"/>
        <v>2100L</v>
      </c>
      <c r="Q2773" t="str">
        <f t="shared" si="402"/>
        <v>0101</v>
      </c>
      <c r="R2773">
        <v>2100</v>
      </c>
      <c r="S2773" t="str">
        <f t="shared" si="409"/>
        <v>5950</v>
      </c>
      <c r="T2773" t="s">
        <v>3711</v>
      </c>
      <c r="U2773" t="s">
        <v>65</v>
      </c>
    </row>
    <row r="2774" spans="1:21" ht="15" customHeight="1" x14ac:dyDescent="0.3">
      <c r="A2774" t="s">
        <v>179</v>
      </c>
      <c r="B2774" t="str">
        <f>"00051921"</f>
        <v>00051921</v>
      </c>
      <c r="C2774" t="s">
        <v>4262</v>
      </c>
      <c r="D2774" t="s">
        <v>5144</v>
      </c>
      <c r="E2774" t="str">
        <f>"00069874"</f>
        <v>00069874</v>
      </c>
      <c r="F2774">
        <v>0</v>
      </c>
      <c r="G2774" s="243">
        <v>41133</v>
      </c>
      <c r="H2774" t="s">
        <v>182</v>
      </c>
      <c r="I2774">
        <v>15</v>
      </c>
      <c r="J2774">
        <v>1</v>
      </c>
      <c r="K2774">
        <v>1</v>
      </c>
      <c r="L2774">
        <v>51539</v>
      </c>
      <c r="M2774" t="str">
        <f t="shared" si="406"/>
        <v>13</v>
      </c>
      <c r="N2774" t="s">
        <v>3323</v>
      </c>
      <c r="O2774" t="str">
        <f t="shared" si="408"/>
        <v>59511</v>
      </c>
      <c r="P2774" t="str">
        <f t="shared" si="407"/>
        <v>2100L</v>
      </c>
      <c r="Q2774" t="str">
        <f t="shared" si="402"/>
        <v>0101</v>
      </c>
      <c r="R2774">
        <v>2100</v>
      </c>
      <c r="S2774" t="str">
        <f t="shared" si="409"/>
        <v>5950</v>
      </c>
      <c r="T2774" t="s">
        <v>3711</v>
      </c>
      <c r="U2774" t="s">
        <v>65</v>
      </c>
    </row>
    <row r="2775" spans="1:21" ht="15" customHeight="1" x14ac:dyDescent="0.3">
      <c r="A2775" t="s">
        <v>179</v>
      </c>
      <c r="B2775" t="str">
        <f>"00052200"</f>
        <v>00052200</v>
      </c>
      <c r="C2775" t="s">
        <v>4262</v>
      </c>
      <c r="D2775" t="s">
        <v>2367</v>
      </c>
      <c r="E2775" t="str">
        <f>"00047618"</f>
        <v>00047618</v>
      </c>
      <c r="F2775">
        <v>0</v>
      </c>
      <c r="G2775" s="243">
        <v>34578</v>
      </c>
      <c r="H2775" t="s">
        <v>182</v>
      </c>
      <c r="I2775">
        <v>15</v>
      </c>
      <c r="J2775">
        <v>16</v>
      </c>
      <c r="K2775">
        <v>1</v>
      </c>
      <c r="L2775">
        <v>103347</v>
      </c>
      <c r="M2775" t="str">
        <f t="shared" si="406"/>
        <v>13</v>
      </c>
      <c r="N2775" t="s">
        <v>3323</v>
      </c>
      <c r="O2775" t="str">
        <f t="shared" si="408"/>
        <v>59511</v>
      </c>
      <c r="P2775" t="str">
        <f t="shared" si="407"/>
        <v>2100L</v>
      </c>
      <c r="Q2775" t="str">
        <f t="shared" si="402"/>
        <v>0101</v>
      </c>
      <c r="R2775">
        <v>2100</v>
      </c>
      <c r="S2775" t="str">
        <f t="shared" si="409"/>
        <v>5950</v>
      </c>
      <c r="T2775" t="s">
        <v>3711</v>
      </c>
      <c r="U2775" t="s">
        <v>65</v>
      </c>
    </row>
    <row r="2776" spans="1:21" ht="15" customHeight="1" x14ac:dyDescent="0.3">
      <c r="A2776" t="s">
        <v>179</v>
      </c>
      <c r="B2776" t="str">
        <f>"00052524"</f>
        <v>00052524</v>
      </c>
      <c r="C2776" t="s">
        <v>4274</v>
      </c>
      <c r="D2776" t="s">
        <v>5145</v>
      </c>
      <c r="E2776" t="str">
        <f>"00048483"</f>
        <v>00048483</v>
      </c>
      <c r="F2776">
        <v>0</v>
      </c>
      <c r="G2776" s="243">
        <v>29368</v>
      </c>
      <c r="H2776" t="s">
        <v>182</v>
      </c>
      <c r="I2776">
        <v>4</v>
      </c>
      <c r="J2776">
        <v>10</v>
      </c>
      <c r="K2776">
        <v>0.875</v>
      </c>
      <c r="L2776">
        <v>28721</v>
      </c>
      <c r="M2776" t="str">
        <f t="shared" si="406"/>
        <v>13</v>
      </c>
      <c r="N2776" t="s">
        <v>3323</v>
      </c>
      <c r="O2776" t="str">
        <f t="shared" si="408"/>
        <v>59511</v>
      </c>
      <c r="P2776" t="str">
        <f>"2200L"</f>
        <v>2200L</v>
      </c>
      <c r="Q2776" t="str">
        <f t="shared" ref="Q2776:Q2832" si="410">"0101"</f>
        <v>0101</v>
      </c>
      <c r="R2776">
        <v>2200</v>
      </c>
      <c r="S2776" t="str">
        <f t="shared" si="409"/>
        <v>5950</v>
      </c>
      <c r="T2776" t="s">
        <v>3711</v>
      </c>
      <c r="U2776" t="s">
        <v>65</v>
      </c>
    </row>
    <row r="2777" spans="1:21" ht="15" customHeight="1" x14ac:dyDescent="0.3">
      <c r="A2777" t="s">
        <v>179</v>
      </c>
      <c r="B2777" t="str">
        <f>"00054300"</f>
        <v>00054300</v>
      </c>
      <c r="C2777" t="s">
        <v>4260</v>
      </c>
      <c r="D2777" t="s">
        <v>2368</v>
      </c>
      <c r="E2777" t="str">
        <f>"00053509"</f>
        <v>00053509</v>
      </c>
      <c r="F2777">
        <v>0</v>
      </c>
      <c r="G2777" s="243">
        <v>34941</v>
      </c>
      <c r="H2777" t="s">
        <v>182</v>
      </c>
      <c r="I2777">
        <v>15</v>
      </c>
      <c r="J2777">
        <v>14</v>
      </c>
      <c r="K2777">
        <v>1</v>
      </c>
      <c r="L2777">
        <v>98967</v>
      </c>
      <c r="M2777" t="str">
        <f t="shared" si="406"/>
        <v>13</v>
      </c>
      <c r="N2777" t="s">
        <v>3323</v>
      </c>
      <c r="O2777" t="str">
        <f t="shared" si="408"/>
        <v>59511</v>
      </c>
      <c r="P2777" t="str">
        <f>"2100L"</f>
        <v>2100L</v>
      </c>
      <c r="Q2777" t="str">
        <f t="shared" si="410"/>
        <v>0101</v>
      </c>
      <c r="R2777">
        <v>2100</v>
      </c>
      <c r="S2777" t="str">
        <f t="shared" si="409"/>
        <v>5950</v>
      </c>
      <c r="T2777" t="s">
        <v>3711</v>
      </c>
      <c r="U2777" t="s">
        <v>65</v>
      </c>
    </row>
    <row r="2778" spans="1:21" ht="15" customHeight="1" x14ac:dyDescent="0.3">
      <c r="A2778" t="s">
        <v>179</v>
      </c>
      <c r="B2778" t="str">
        <f>"00054710"</f>
        <v>00054710</v>
      </c>
      <c r="C2778" t="s">
        <v>4306</v>
      </c>
      <c r="D2778" t="s">
        <v>5146</v>
      </c>
      <c r="E2778" t="str">
        <f>"00054448"</f>
        <v>00054448</v>
      </c>
      <c r="F2778">
        <v>0</v>
      </c>
      <c r="G2778" s="243">
        <v>27624</v>
      </c>
      <c r="H2778" t="s">
        <v>182</v>
      </c>
      <c r="I2778">
        <v>9</v>
      </c>
      <c r="J2778">
        <v>7</v>
      </c>
      <c r="K2778">
        <v>1</v>
      </c>
      <c r="L2778">
        <v>39541</v>
      </c>
      <c r="M2778" t="str">
        <f t="shared" si="406"/>
        <v>13</v>
      </c>
      <c r="N2778" t="s">
        <v>3323</v>
      </c>
      <c r="O2778" t="str">
        <f t="shared" si="408"/>
        <v>59511</v>
      </c>
      <c r="P2778" t="str">
        <f>"1502L"</f>
        <v>1502L</v>
      </c>
      <c r="Q2778" t="str">
        <f t="shared" si="410"/>
        <v>0101</v>
      </c>
      <c r="R2778">
        <v>1502</v>
      </c>
      <c r="S2778" t="str">
        <f t="shared" si="409"/>
        <v>5950</v>
      </c>
      <c r="T2778" t="s">
        <v>3711</v>
      </c>
      <c r="U2778" t="s">
        <v>65</v>
      </c>
    </row>
    <row r="2779" spans="1:21" ht="15" customHeight="1" x14ac:dyDescent="0.3">
      <c r="A2779" t="s">
        <v>179</v>
      </c>
      <c r="B2779" t="str">
        <f>"00054871"</f>
        <v>00054871</v>
      </c>
      <c r="C2779" t="s">
        <v>4274</v>
      </c>
      <c r="D2779" t="s">
        <v>5147</v>
      </c>
      <c r="E2779" t="str">
        <f>"00054822"</f>
        <v>00054822</v>
      </c>
      <c r="F2779">
        <v>0</v>
      </c>
      <c r="G2779" s="243">
        <v>35051</v>
      </c>
      <c r="H2779" t="s">
        <v>182</v>
      </c>
      <c r="I2779">
        <v>4</v>
      </c>
      <c r="J2779">
        <v>10</v>
      </c>
      <c r="K2779">
        <v>0.875</v>
      </c>
      <c r="L2779">
        <v>28721</v>
      </c>
      <c r="M2779" t="str">
        <f t="shared" si="406"/>
        <v>13</v>
      </c>
      <c r="N2779" t="s">
        <v>3323</v>
      </c>
      <c r="O2779" t="str">
        <f t="shared" si="408"/>
        <v>59511</v>
      </c>
      <c r="P2779" t="str">
        <f>"2200L"</f>
        <v>2200L</v>
      </c>
      <c r="Q2779" t="str">
        <f t="shared" si="410"/>
        <v>0101</v>
      </c>
      <c r="R2779">
        <v>2200</v>
      </c>
      <c r="S2779" t="str">
        <f t="shared" si="409"/>
        <v>5950</v>
      </c>
      <c r="T2779" t="s">
        <v>3711</v>
      </c>
      <c r="U2779" t="s">
        <v>65</v>
      </c>
    </row>
    <row r="2780" spans="1:21" ht="15" customHeight="1" x14ac:dyDescent="0.3">
      <c r="A2780" t="s">
        <v>179</v>
      </c>
      <c r="B2780" t="str">
        <f>"00055224"</f>
        <v>00055224</v>
      </c>
      <c r="C2780" t="s">
        <v>4292</v>
      </c>
      <c r="H2780" t="s">
        <v>170</v>
      </c>
      <c r="I2780">
        <v>4</v>
      </c>
      <c r="J2780">
        <v>1</v>
      </c>
      <c r="K2780">
        <v>0.875</v>
      </c>
      <c r="L2780">
        <v>25662</v>
      </c>
      <c r="M2780" t="str">
        <f t="shared" si="406"/>
        <v>13</v>
      </c>
      <c r="N2780" t="s">
        <v>3323</v>
      </c>
      <c r="O2780" t="str">
        <f t="shared" si="408"/>
        <v>59511</v>
      </c>
      <c r="P2780" t="str">
        <f>"2200L"</f>
        <v>2200L</v>
      </c>
      <c r="Q2780" t="str">
        <f t="shared" si="410"/>
        <v>0101</v>
      </c>
      <c r="R2780">
        <v>2200</v>
      </c>
      <c r="S2780" t="str">
        <f t="shared" si="409"/>
        <v>5950</v>
      </c>
      <c r="T2780" t="s">
        <v>3711</v>
      </c>
      <c r="U2780" t="s">
        <v>65</v>
      </c>
    </row>
    <row r="2781" spans="1:21" ht="15" customHeight="1" x14ac:dyDescent="0.3">
      <c r="A2781" t="s">
        <v>179</v>
      </c>
      <c r="B2781" t="str">
        <f>"00057151"</f>
        <v>00057151</v>
      </c>
      <c r="C2781" t="s">
        <v>4274</v>
      </c>
      <c r="H2781" t="s">
        <v>170</v>
      </c>
      <c r="I2781">
        <v>4</v>
      </c>
      <c r="J2781">
        <v>1</v>
      </c>
      <c r="K2781">
        <v>0.875</v>
      </c>
      <c r="L2781">
        <v>25662</v>
      </c>
      <c r="M2781" t="str">
        <f t="shared" si="406"/>
        <v>13</v>
      </c>
      <c r="N2781" t="s">
        <v>3323</v>
      </c>
      <c r="O2781" t="str">
        <f t="shared" si="408"/>
        <v>59511</v>
      </c>
      <c r="P2781" t="str">
        <f>"2200L"</f>
        <v>2200L</v>
      </c>
      <c r="Q2781" t="str">
        <f t="shared" si="410"/>
        <v>0101</v>
      </c>
      <c r="R2781">
        <v>2200</v>
      </c>
      <c r="S2781" t="str">
        <f t="shared" si="409"/>
        <v>5950</v>
      </c>
      <c r="T2781" t="s">
        <v>3711</v>
      </c>
      <c r="U2781" t="s">
        <v>65</v>
      </c>
    </row>
    <row r="2782" spans="1:21" ht="15" customHeight="1" x14ac:dyDescent="0.3">
      <c r="A2782" t="s">
        <v>179</v>
      </c>
      <c r="B2782" t="str">
        <f>"00057706"</f>
        <v>00057706</v>
      </c>
      <c r="C2782" t="s">
        <v>4262</v>
      </c>
      <c r="D2782" t="s">
        <v>2370</v>
      </c>
      <c r="E2782" t="str">
        <f>"00032030"</f>
        <v>00032030</v>
      </c>
      <c r="F2782">
        <v>1</v>
      </c>
      <c r="G2782" s="243">
        <v>37322</v>
      </c>
      <c r="H2782" t="s">
        <v>182</v>
      </c>
      <c r="I2782">
        <v>15</v>
      </c>
      <c r="J2782">
        <v>12</v>
      </c>
      <c r="K2782">
        <v>1</v>
      </c>
      <c r="L2782">
        <v>87431</v>
      </c>
      <c r="M2782" t="str">
        <f t="shared" si="406"/>
        <v>13</v>
      </c>
      <c r="N2782" t="s">
        <v>3323</v>
      </c>
      <c r="O2782" t="str">
        <f t="shared" si="408"/>
        <v>59511</v>
      </c>
      <c r="P2782" t="str">
        <f>"2100L"</f>
        <v>2100L</v>
      </c>
      <c r="Q2782" t="str">
        <f t="shared" si="410"/>
        <v>0101</v>
      </c>
      <c r="R2782">
        <v>2100</v>
      </c>
      <c r="S2782" t="str">
        <f t="shared" si="409"/>
        <v>5950</v>
      </c>
      <c r="T2782" t="s">
        <v>3711</v>
      </c>
      <c r="U2782" t="s">
        <v>65</v>
      </c>
    </row>
    <row r="2783" spans="1:21" ht="15" customHeight="1" x14ac:dyDescent="0.3">
      <c r="A2783" t="s">
        <v>179</v>
      </c>
      <c r="B2783" t="str">
        <f>"00058161"</f>
        <v>00058161</v>
      </c>
      <c r="C2783" t="s">
        <v>4256</v>
      </c>
      <c r="H2783" t="s">
        <v>170</v>
      </c>
      <c r="I2783">
        <v>15</v>
      </c>
      <c r="J2783">
        <v>0</v>
      </c>
      <c r="K2783">
        <v>1</v>
      </c>
      <c r="L2783">
        <v>54975</v>
      </c>
      <c r="M2783" t="str">
        <f t="shared" si="406"/>
        <v>13</v>
      </c>
      <c r="N2783" t="s">
        <v>3323</v>
      </c>
      <c r="O2783" t="str">
        <f t="shared" si="408"/>
        <v>59511</v>
      </c>
      <c r="P2783" t="str">
        <f>"2100L"</f>
        <v>2100L</v>
      </c>
      <c r="Q2783" t="str">
        <f t="shared" si="410"/>
        <v>0101</v>
      </c>
      <c r="R2783">
        <v>2100</v>
      </c>
      <c r="S2783" t="str">
        <f t="shared" si="409"/>
        <v>5950</v>
      </c>
      <c r="T2783" t="s">
        <v>3711</v>
      </c>
      <c r="U2783" t="s">
        <v>65</v>
      </c>
    </row>
    <row r="2784" spans="1:21" ht="15" customHeight="1" x14ac:dyDescent="0.3">
      <c r="A2784" t="s">
        <v>179</v>
      </c>
      <c r="B2784" t="str">
        <f>"00059211"</f>
        <v>00059211</v>
      </c>
      <c r="C2784" t="s">
        <v>3798</v>
      </c>
      <c r="D2784" t="s">
        <v>2371</v>
      </c>
      <c r="E2784" t="str">
        <f>"00047661"</f>
        <v>00047661</v>
      </c>
      <c r="F2784">
        <v>0</v>
      </c>
      <c r="G2784" s="243">
        <v>38576</v>
      </c>
      <c r="H2784" t="s">
        <v>182</v>
      </c>
      <c r="I2784">
        <v>61</v>
      </c>
      <c r="J2784">
        <v>7</v>
      </c>
      <c r="K2784">
        <v>1</v>
      </c>
      <c r="L2784">
        <v>128000</v>
      </c>
      <c r="M2784" t="str">
        <f t="shared" si="406"/>
        <v>13</v>
      </c>
      <c r="N2784" t="s">
        <v>3323</v>
      </c>
      <c r="O2784" t="str">
        <f t="shared" si="408"/>
        <v>59511</v>
      </c>
      <c r="P2784" t="str">
        <f>"1501L"</f>
        <v>1501L</v>
      </c>
      <c r="Q2784" t="str">
        <f t="shared" si="410"/>
        <v>0101</v>
      </c>
      <c r="R2784">
        <v>1501</v>
      </c>
      <c r="S2784" t="str">
        <f t="shared" si="409"/>
        <v>5950</v>
      </c>
      <c r="T2784" t="s">
        <v>3711</v>
      </c>
      <c r="U2784" t="s">
        <v>65</v>
      </c>
    </row>
    <row r="2785" spans="1:21" ht="15" customHeight="1" x14ac:dyDescent="0.3">
      <c r="A2785" t="s">
        <v>179</v>
      </c>
      <c r="B2785" t="str">
        <f>"00062252"</f>
        <v>00062252</v>
      </c>
      <c r="C2785" t="s">
        <v>4272</v>
      </c>
      <c r="D2785" t="s">
        <v>3714</v>
      </c>
      <c r="E2785" t="str">
        <f>"00045617"</f>
        <v>00045617</v>
      </c>
      <c r="F2785">
        <v>0</v>
      </c>
      <c r="G2785" s="243">
        <v>40755</v>
      </c>
      <c r="H2785" t="s">
        <v>182</v>
      </c>
      <c r="I2785">
        <v>15</v>
      </c>
      <c r="J2785">
        <v>14</v>
      </c>
      <c r="K2785">
        <v>1</v>
      </c>
      <c r="L2785">
        <v>96460</v>
      </c>
      <c r="M2785" t="str">
        <f t="shared" si="406"/>
        <v>13</v>
      </c>
      <c r="N2785" t="s">
        <v>3323</v>
      </c>
      <c r="O2785" t="str">
        <f t="shared" si="408"/>
        <v>59511</v>
      </c>
      <c r="P2785" t="str">
        <f>"2200L"</f>
        <v>2200L</v>
      </c>
      <c r="Q2785" t="str">
        <f t="shared" si="410"/>
        <v>0101</v>
      </c>
      <c r="R2785">
        <v>2200</v>
      </c>
      <c r="S2785" t="str">
        <f t="shared" si="409"/>
        <v>5950</v>
      </c>
      <c r="T2785" t="s">
        <v>3711</v>
      </c>
      <c r="U2785" t="s">
        <v>65</v>
      </c>
    </row>
    <row r="2786" spans="1:21" ht="15" customHeight="1" x14ac:dyDescent="0.3">
      <c r="A2786" t="s">
        <v>179</v>
      </c>
      <c r="B2786" t="str">
        <f>"00063054"</f>
        <v>00063054</v>
      </c>
      <c r="C2786" t="s">
        <v>4262</v>
      </c>
      <c r="D2786" t="s">
        <v>5148</v>
      </c>
      <c r="E2786" t="str">
        <f>"00069620"</f>
        <v>00069620</v>
      </c>
      <c r="F2786">
        <v>0</v>
      </c>
      <c r="G2786" s="243">
        <v>41133</v>
      </c>
      <c r="H2786" t="s">
        <v>182</v>
      </c>
      <c r="I2786">
        <v>15</v>
      </c>
      <c r="J2786">
        <v>1</v>
      </c>
      <c r="K2786">
        <v>1</v>
      </c>
      <c r="L2786">
        <v>51539</v>
      </c>
      <c r="M2786" t="str">
        <f t="shared" si="406"/>
        <v>13</v>
      </c>
      <c r="N2786" t="s">
        <v>3370</v>
      </c>
      <c r="O2786" t="str">
        <f t="shared" si="408"/>
        <v>59511</v>
      </c>
      <c r="P2786" t="str">
        <f>"2100L"</f>
        <v>2100L</v>
      </c>
      <c r="Q2786" t="str">
        <f t="shared" si="410"/>
        <v>0101</v>
      </c>
      <c r="R2786">
        <v>2100</v>
      </c>
      <c r="S2786" t="str">
        <f t="shared" si="409"/>
        <v>5950</v>
      </c>
      <c r="T2786" t="s">
        <v>3711</v>
      </c>
      <c r="U2786" t="s">
        <v>65</v>
      </c>
    </row>
    <row r="2787" spans="1:21" ht="15" customHeight="1" x14ac:dyDescent="0.3">
      <c r="A2787" t="s">
        <v>179</v>
      </c>
      <c r="B2787" t="str">
        <f>"00065731"</f>
        <v>00065731</v>
      </c>
      <c r="C2787" t="s">
        <v>4272</v>
      </c>
      <c r="D2787" t="s">
        <v>5149</v>
      </c>
      <c r="E2787" t="str">
        <f>"00069786"</f>
        <v>00069786</v>
      </c>
      <c r="F2787">
        <v>0</v>
      </c>
      <c r="G2787" s="243">
        <v>41133</v>
      </c>
      <c r="H2787" t="s">
        <v>182</v>
      </c>
      <c r="I2787">
        <v>15</v>
      </c>
      <c r="J2787">
        <v>1</v>
      </c>
      <c r="K2787">
        <v>1</v>
      </c>
      <c r="L2787">
        <v>54975</v>
      </c>
      <c r="M2787" t="str">
        <f t="shared" si="406"/>
        <v>13</v>
      </c>
      <c r="N2787" t="s">
        <v>3370</v>
      </c>
      <c r="O2787" t="str">
        <f t="shared" si="408"/>
        <v>59511</v>
      </c>
      <c r="P2787" t="str">
        <f>"2200L"</f>
        <v>2200L</v>
      </c>
      <c r="Q2787" t="str">
        <f t="shared" si="410"/>
        <v>0101</v>
      </c>
      <c r="R2787">
        <v>2200</v>
      </c>
      <c r="S2787" t="str">
        <f t="shared" si="409"/>
        <v>5950</v>
      </c>
      <c r="T2787" t="s">
        <v>3711</v>
      </c>
      <c r="U2787" t="s">
        <v>65</v>
      </c>
    </row>
    <row r="2788" spans="1:21" ht="15" customHeight="1" x14ac:dyDescent="0.3">
      <c r="A2788" t="s">
        <v>179</v>
      </c>
      <c r="B2788" t="str">
        <f>"00065732"</f>
        <v>00065732</v>
      </c>
      <c r="C2788" t="s">
        <v>4262</v>
      </c>
      <c r="D2788" t="s">
        <v>2373</v>
      </c>
      <c r="E2788" t="str">
        <f>"00057092"</f>
        <v>00057092</v>
      </c>
      <c r="F2788">
        <v>0</v>
      </c>
      <c r="G2788" s="243">
        <v>40042</v>
      </c>
      <c r="H2788" t="s">
        <v>182</v>
      </c>
      <c r="I2788">
        <v>15</v>
      </c>
      <c r="J2788">
        <v>5</v>
      </c>
      <c r="K2788">
        <v>1</v>
      </c>
      <c r="L2788">
        <v>56655</v>
      </c>
      <c r="M2788" t="str">
        <f t="shared" si="406"/>
        <v>13</v>
      </c>
      <c r="N2788" t="s">
        <v>3323</v>
      </c>
      <c r="O2788" t="str">
        <f t="shared" si="408"/>
        <v>59511</v>
      </c>
      <c r="P2788" t="str">
        <f>"2100L"</f>
        <v>2100L</v>
      </c>
      <c r="Q2788" t="str">
        <f t="shared" si="410"/>
        <v>0101</v>
      </c>
      <c r="R2788">
        <v>2100</v>
      </c>
      <c r="S2788" t="str">
        <f t="shared" si="409"/>
        <v>5950</v>
      </c>
      <c r="T2788" t="s">
        <v>3711</v>
      </c>
      <c r="U2788" t="s">
        <v>65</v>
      </c>
    </row>
    <row r="2789" spans="1:21" ht="15" customHeight="1" x14ac:dyDescent="0.3">
      <c r="A2789" t="s">
        <v>179</v>
      </c>
      <c r="B2789" t="str">
        <f>"00065733"</f>
        <v>00065733</v>
      </c>
      <c r="C2789" t="s">
        <v>4262</v>
      </c>
      <c r="D2789" t="s">
        <v>2374</v>
      </c>
      <c r="E2789" t="str">
        <f>"00053104"</f>
        <v>00053104</v>
      </c>
      <c r="F2789">
        <v>0</v>
      </c>
      <c r="G2789" s="243">
        <v>40042</v>
      </c>
      <c r="H2789" t="s">
        <v>182</v>
      </c>
      <c r="I2789">
        <v>15</v>
      </c>
      <c r="J2789">
        <v>13</v>
      </c>
      <c r="K2789">
        <v>1</v>
      </c>
      <c r="L2789">
        <v>81724</v>
      </c>
      <c r="M2789" t="str">
        <f t="shared" si="406"/>
        <v>13</v>
      </c>
      <c r="N2789" t="s">
        <v>3323</v>
      </c>
      <c r="O2789" t="str">
        <f t="shared" si="408"/>
        <v>59511</v>
      </c>
      <c r="P2789" t="str">
        <f>"2100L"</f>
        <v>2100L</v>
      </c>
      <c r="Q2789" t="str">
        <f t="shared" si="410"/>
        <v>0101</v>
      </c>
      <c r="R2789">
        <v>2100</v>
      </c>
      <c r="S2789" t="str">
        <f t="shared" si="409"/>
        <v>5950</v>
      </c>
      <c r="T2789" t="s">
        <v>3711</v>
      </c>
      <c r="U2789" t="s">
        <v>65</v>
      </c>
    </row>
    <row r="2790" spans="1:21" ht="15" customHeight="1" x14ac:dyDescent="0.3">
      <c r="A2790" t="s">
        <v>179</v>
      </c>
      <c r="B2790" t="str">
        <f>"00065735"</f>
        <v>00065735</v>
      </c>
      <c r="C2790" t="s">
        <v>4272</v>
      </c>
      <c r="D2790" t="s">
        <v>2375</v>
      </c>
      <c r="E2790" t="str">
        <f>"00049682"</f>
        <v>00049682</v>
      </c>
      <c r="F2790">
        <v>0</v>
      </c>
      <c r="G2790" s="243">
        <v>36034</v>
      </c>
      <c r="H2790" t="s">
        <v>182</v>
      </c>
      <c r="I2790">
        <v>15</v>
      </c>
      <c r="J2790">
        <v>15</v>
      </c>
      <c r="K2790">
        <v>1</v>
      </c>
      <c r="L2790">
        <v>98285</v>
      </c>
      <c r="M2790" t="str">
        <f t="shared" si="406"/>
        <v>13</v>
      </c>
      <c r="N2790" t="s">
        <v>3323</v>
      </c>
      <c r="O2790" t="str">
        <f t="shared" si="408"/>
        <v>59511</v>
      </c>
      <c r="P2790" t="str">
        <f>"2100L"</f>
        <v>2100L</v>
      </c>
      <c r="Q2790" t="str">
        <f t="shared" si="410"/>
        <v>0101</v>
      </c>
      <c r="R2790">
        <v>2100</v>
      </c>
      <c r="S2790" t="str">
        <f t="shared" si="409"/>
        <v>5950</v>
      </c>
      <c r="T2790" t="s">
        <v>3711</v>
      </c>
      <c r="U2790" t="s">
        <v>65</v>
      </c>
    </row>
    <row r="2791" spans="1:21" ht="15" customHeight="1" x14ac:dyDescent="0.3">
      <c r="A2791" t="s">
        <v>179</v>
      </c>
      <c r="B2791" t="str">
        <f>"00065740"</f>
        <v>00065740</v>
      </c>
      <c r="C2791" t="s">
        <v>4262</v>
      </c>
      <c r="D2791" t="s">
        <v>5150</v>
      </c>
      <c r="E2791" t="str">
        <f>"00069659"</f>
        <v>00069659</v>
      </c>
      <c r="F2791">
        <v>0</v>
      </c>
      <c r="G2791" s="243">
        <v>41133</v>
      </c>
      <c r="H2791" t="s">
        <v>182</v>
      </c>
      <c r="I2791">
        <v>15</v>
      </c>
      <c r="J2791">
        <v>1</v>
      </c>
      <c r="K2791">
        <v>1</v>
      </c>
      <c r="L2791">
        <v>54975</v>
      </c>
      <c r="M2791" t="str">
        <f t="shared" si="406"/>
        <v>13</v>
      </c>
      <c r="N2791" t="s">
        <v>3370</v>
      </c>
      <c r="O2791" t="str">
        <f t="shared" si="408"/>
        <v>59511</v>
      </c>
      <c r="P2791" t="str">
        <f>"2100L"</f>
        <v>2100L</v>
      </c>
      <c r="Q2791" t="str">
        <f t="shared" si="410"/>
        <v>0101</v>
      </c>
      <c r="R2791">
        <v>2100</v>
      </c>
      <c r="S2791" t="str">
        <f t="shared" si="409"/>
        <v>5950</v>
      </c>
      <c r="T2791" t="s">
        <v>3711</v>
      </c>
      <c r="U2791" t="s">
        <v>65</v>
      </c>
    </row>
    <row r="2792" spans="1:21" ht="15" customHeight="1" x14ac:dyDescent="0.3">
      <c r="A2792" t="s">
        <v>179</v>
      </c>
      <c r="B2792" t="str">
        <f>"00066557"</f>
        <v>00066557</v>
      </c>
      <c r="C2792" t="s">
        <v>4292</v>
      </c>
      <c r="D2792" t="s">
        <v>5151</v>
      </c>
      <c r="E2792" t="str">
        <f>"00057288"</f>
        <v>00057288</v>
      </c>
      <c r="F2792">
        <v>0</v>
      </c>
      <c r="G2792" s="243">
        <v>40042</v>
      </c>
      <c r="H2792" t="s">
        <v>182</v>
      </c>
      <c r="I2792">
        <v>4</v>
      </c>
      <c r="J2792">
        <v>5</v>
      </c>
      <c r="K2792">
        <v>1</v>
      </c>
      <c r="L2792">
        <v>25239.37</v>
      </c>
      <c r="M2792" t="str">
        <f t="shared" si="406"/>
        <v>13</v>
      </c>
      <c r="N2792" t="s">
        <v>3323</v>
      </c>
      <c r="O2792" t="str">
        <f t="shared" si="408"/>
        <v>59511</v>
      </c>
      <c r="P2792" t="str">
        <f>"3030L"</f>
        <v>3030L</v>
      </c>
      <c r="Q2792" t="str">
        <f t="shared" si="410"/>
        <v>0101</v>
      </c>
      <c r="R2792">
        <v>3030</v>
      </c>
      <c r="S2792" t="str">
        <f t="shared" si="409"/>
        <v>5950</v>
      </c>
      <c r="T2792" t="s">
        <v>3711</v>
      </c>
      <c r="U2792" t="s">
        <v>65</v>
      </c>
    </row>
    <row r="2793" spans="1:21" ht="15" customHeight="1" x14ac:dyDescent="0.3">
      <c r="A2793" t="s">
        <v>179</v>
      </c>
      <c r="B2793" t="str">
        <f>"00066859"</f>
        <v>00066859</v>
      </c>
      <c r="C2793" t="s">
        <v>4257</v>
      </c>
      <c r="D2793" t="s">
        <v>2376</v>
      </c>
      <c r="E2793" t="str">
        <f>"00053494"</f>
        <v>00053494</v>
      </c>
      <c r="F2793">
        <v>0</v>
      </c>
      <c r="G2793" s="243">
        <v>40042</v>
      </c>
      <c r="H2793" t="s">
        <v>182</v>
      </c>
      <c r="I2793">
        <v>15</v>
      </c>
      <c r="J2793">
        <v>11</v>
      </c>
      <c r="K2793">
        <v>1</v>
      </c>
      <c r="L2793">
        <v>81335</v>
      </c>
      <c r="M2793" t="str">
        <f t="shared" si="406"/>
        <v>13</v>
      </c>
      <c r="N2793" t="s">
        <v>3323</v>
      </c>
      <c r="O2793" t="str">
        <f t="shared" si="408"/>
        <v>59511</v>
      </c>
      <c r="P2793" t="str">
        <f>"2100L"</f>
        <v>2100L</v>
      </c>
      <c r="Q2793" t="str">
        <f t="shared" si="410"/>
        <v>0101</v>
      </c>
      <c r="R2793">
        <v>2100</v>
      </c>
      <c r="S2793" t="str">
        <f t="shared" si="409"/>
        <v>5950</v>
      </c>
      <c r="T2793" t="s">
        <v>3711</v>
      </c>
      <c r="U2793" t="s">
        <v>65</v>
      </c>
    </row>
    <row r="2794" spans="1:21" ht="15" customHeight="1" x14ac:dyDescent="0.3">
      <c r="A2794" t="s">
        <v>179</v>
      </c>
      <c r="B2794" t="str">
        <f>"00066860"</f>
        <v>00066860</v>
      </c>
      <c r="C2794" t="s">
        <v>4254</v>
      </c>
      <c r="D2794" t="s">
        <v>2377</v>
      </c>
      <c r="E2794" t="str">
        <f>"00051996"</f>
        <v>00051996</v>
      </c>
      <c r="F2794">
        <v>0</v>
      </c>
      <c r="G2794" s="243">
        <v>40211</v>
      </c>
      <c r="H2794" t="s">
        <v>182</v>
      </c>
      <c r="I2794">
        <v>15</v>
      </c>
      <c r="J2794">
        <v>9</v>
      </c>
      <c r="K2794">
        <v>1</v>
      </c>
      <c r="L2794">
        <v>65985</v>
      </c>
      <c r="M2794" t="str">
        <f t="shared" si="406"/>
        <v>13</v>
      </c>
      <c r="N2794" t="s">
        <v>3323</v>
      </c>
      <c r="O2794" t="str">
        <f t="shared" si="408"/>
        <v>59511</v>
      </c>
      <c r="P2794" t="str">
        <f>"2100L"</f>
        <v>2100L</v>
      </c>
      <c r="Q2794" t="str">
        <f t="shared" si="410"/>
        <v>0101</v>
      </c>
      <c r="R2794">
        <v>2100</v>
      </c>
      <c r="S2794" t="str">
        <f t="shared" si="409"/>
        <v>5950</v>
      </c>
      <c r="T2794" t="s">
        <v>3711</v>
      </c>
      <c r="U2794" t="s">
        <v>65</v>
      </c>
    </row>
    <row r="2795" spans="1:21" ht="15" customHeight="1" x14ac:dyDescent="0.3">
      <c r="A2795" t="s">
        <v>179</v>
      </c>
      <c r="B2795" t="str">
        <f>"00072096"</f>
        <v>00072096</v>
      </c>
      <c r="C2795" t="s">
        <v>4288</v>
      </c>
      <c r="D2795" t="s">
        <v>5152</v>
      </c>
      <c r="E2795" t="str">
        <f>"00048403"</f>
        <v>00048403</v>
      </c>
      <c r="F2795">
        <v>0</v>
      </c>
      <c r="G2795" s="243">
        <v>33660</v>
      </c>
      <c r="H2795" t="s">
        <v>182</v>
      </c>
      <c r="I2795">
        <v>4</v>
      </c>
      <c r="J2795">
        <v>10</v>
      </c>
      <c r="K2795">
        <v>1</v>
      </c>
      <c r="L2795">
        <v>28721</v>
      </c>
      <c r="M2795" t="str">
        <f t="shared" si="406"/>
        <v>13</v>
      </c>
      <c r="N2795" t="s">
        <v>3323</v>
      </c>
      <c r="O2795" t="str">
        <f t="shared" si="408"/>
        <v>59511</v>
      </c>
      <c r="P2795" t="str">
        <f>"2200L"</f>
        <v>2200L</v>
      </c>
      <c r="Q2795" t="str">
        <f t="shared" si="410"/>
        <v>0101</v>
      </c>
      <c r="R2795">
        <v>2200</v>
      </c>
      <c r="S2795" t="str">
        <f t="shared" si="409"/>
        <v>5950</v>
      </c>
      <c r="T2795" t="s">
        <v>3711</v>
      </c>
      <c r="U2795" t="s">
        <v>65</v>
      </c>
    </row>
    <row r="2796" spans="1:21" ht="15" customHeight="1" x14ac:dyDescent="0.3">
      <c r="A2796" t="s">
        <v>179</v>
      </c>
      <c r="B2796" t="str">
        <f>"00073010"</f>
        <v>00073010</v>
      </c>
      <c r="C2796" t="s">
        <v>4260</v>
      </c>
      <c r="D2796" t="s">
        <v>2379</v>
      </c>
      <c r="E2796" t="str">
        <f>"00053265"</f>
        <v>00053265</v>
      </c>
      <c r="F2796">
        <v>0</v>
      </c>
      <c r="G2796" s="243">
        <v>33180</v>
      </c>
      <c r="H2796" t="s">
        <v>182</v>
      </c>
      <c r="I2796">
        <v>15</v>
      </c>
      <c r="J2796">
        <v>16</v>
      </c>
      <c r="K2796">
        <v>1</v>
      </c>
      <c r="L2796">
        <v>100839</v>
      </c>
      <c r="M2796" t="str">
        <f t="shared" si="406"/>
        <v>13</v>
      </c>
      <c r="N2796" t="s">
        <v>3323</v>
      </c>
      <c r="O2796" t="str">
        <f t="shared" si="408"/>
        <v>59511</v>
      </c>
      <c r="P2796" t="str">
        <f>"3030L"</f>
        <v>3030L</v>
      </c>
      <c r="Q2796" t="str">
        <f t="shared" si="410"/>
        <v>0101</v>
      </c>
      <c r="R2796">
        <v>3030</v>
      </c>
      <c r="S2796" t="str">
        <f t="shared" si="409"/>
        <v>5950</v>
      </c>
      <c r="T2796" t="s">
        <v>3711</v>
      </c>
      <c r="U2796" t="s">
        <v>65</v>
      </c>
    </row>
    <row r="2797" spans="1:21" ht="15" customHeight="1" x14ac:dyDescent="0.3">
      <c r="A2797" t="s">
        <v>179</v>
      </c>
      <c r="B2797" t="str">
        <f>"00073943"</f>
        <v>00073943</v>
      </c>
      <c r="C2797" t="s">
        <v>4288</v>
      </c>
      <c r="D2797" t="s">
        <v>5153</v>
      </c>
      <c r="E2797" t="str">
        <f>"00052210"</f>
        <v>00052210</v>
      </c>
      <c r="F2797">
        <v>0</v>
      </c>
      <c r="G2797" s="243">
        <v>40042</v>
      </c>
      <c r="H2797" t="s">
        <v>182</v>
      </c>
      <c r="I2797">
        <v>4</v>
      </c>
      <c r="J2797">
        <v>0</v>
      </c>
      <c r="K2797">
        <v>0.71</v>
      </c>
      <c r="L2797">
        <v>27329.75</v>
      </c>
      <c r="M2797" t="str">
        <f t="shared" si="406"/>
        <v>13</v>
      </c>
      <c r="N2797" t="s">
        <v>3323</v>
      </c>
      <c r="O2797" t="str">
        <f t="shared" si="408"/>
        <v>59511</v>
      </c>
      <c r="P2797" t="str">
        <f t="shared" ref="P2797:P2802" si="411">"2100L"</f>
        <v>2100L</v>
      </c>
      <c r="Q2797" t="str">
        <f t="shared" si="410"/>
        <v>0101</v>
      </c>
      <c r="R2797">
        <v>2100</v>
      </c>
      <c r="S2797" t="str">
        <f t="shared" si="409"/>
        <v>5950</v>
      </c>
      <c r="T2797" t="s">
        <v>3711</v>
      </c>
      <c r="U2797" t="s">
        <v>65</v>
      </c>
    </row>
    <row r="2798" spans="1:21" ht="15" customHeight="1" x14ac:dyDescent="0.3">
      <c r="A2798" t="s">
        <v>179</v>
      </c>
      <c r="B2798" t="str">
        <f>"00073944"</f>
        <v>00073944</v>
      </c>
      <c r="C2798" t="s">
        <v>4614</v>
      </c>
      <c r="D2798" t="s">
        <v>5154</v>
      </c>
      <c r="E2798" t="str">
        <f>"00054522"</f>
        <v>00054522</v>
      </c>
      <c r="F2798">
        <v>0</v>
      </c>
      <c r="G2798" s="243">
        <v>39877</v>
      </c>
      <c r="H2798" t="s">
        <v>182</v>
      </c>
      <c r="I2798">
        <v>7</v>
      </c>
      <c r="J2798">
        <v>10</v>
      </c>
      <c r="K2798">
        <v>1</v>
      </c>
      <c r="L2798">
        <v>44837</v>
      </c>
      <c r="M2798" t="str">
        <f t="shared" si="406"/>
        <v>13</v>
      </c>
      <c r="N2798" t="s">
        <v>3370</v>
      </c>
      <c r="O2798" t="str">
        <f t="shared" si="408"/>
        <v>59511</v>
      </c>
      <c r="P2798" t="str">
        <f t="shared" si="411"/>
        <v>2100L</v>
      </c>
      <c r="Q2798" t="str">
        <f t="shared" si="410"/>
        <v>0101</v>
      </c>
      <c r="R2798">
        <v>2100</v>
      </c>
      <c r="S2798" t="str">
        <f t="shared" si="409"/>
        <v>5950</v>
      </c>
      <c r="T2798" t="s">
        <v>3711</v>
      </c>
      <c r="U2798" t="s">
        <v>65</v>
      </c>
    </row>
    <row r="2799" spans="1:21" ht="15" customHeight="1" x14ac:dyDescent="0.3">
      <c r="A2799" t="s">
        <v>179</v>
      </c>
      <c r="B2799" t="str">
        <f>"00073947"</f>
        <v>00073947</v>
      </c>
      <c r="C2799" t="s">
        <v>4272</v>
      </c>
      <c r="D2799" t="s">
        <v>3713</v>
      </c>
      <c r="E2799" t="str">
        <f>"00066207"</f>
        <v>00066207</v>
      </c>
      <c r="F2799">
        <v>0</v>
      </c>
      <c r="G2799" s="243">
        <v>40755</v>
      </c>
      <c r="H2799" t="s">
        <v>182</v>
      </c>
      <c r="I2799">
        <v>15</v>
      </c>
      <c r="J2799">
        <v>2</v>
      </c>
      <c r="K2799">
        <v>1</v>
      </c>
      <c r="L2799">
        <v>56242</v>
      </c>
      <c r="M2799" t="str">
        <f t="shared" si="406"/>
        <v>13</v>
      </c>
      <c r="N2799" t="s">
        <v>3323</v>
      </c>
      <c r="O2799" t="str">
        <f t="shared" si="408"/>
        <v>59511</v>
      </c>
      <c r="P2799" t="str">
        <f t="shared" si="411"/>
        <v>2100L</v>
      </c>
      <c r="Q2799" t="str">
        <f t="shared" si="410"/>
        <v>0101</v>
      </c>
      <c r="R2799">
        <v>2100</v>
      </c>
      <c r="S2799" t="str">
        <f t="shared" si="409"/>
        <v>5950</v>
      </c>
      <c r="T2799" t="s">
        <v>3711</v>
      </c>
      <c r="U2799" t="s">
        <v>65</v>
      </c>
    </row>
    <row r="2800" spans="1:21" ht="15" customHeight="1" x14ac:dyDescent="0.3">
      <c r="A2800" t="s">
        <v>179</v>
      </c>
      <c r="B2800" t="str">
        <f>"00074489"</f>
        <v>00074489</v>
      </c>
      <c r="C2800" t="s">
        <v>200</v>
      </c>
      <c r="H2800" t="s">
        <v>170</v>
      </c>
      <c r="I2800">
        <v>15</v>
      </c>
      <c r="J2800">
        <v>1</v>
      </c>
      <c r="K2800">
        <v>0.5</v>
      </c>
      <c r="L2800">
        <v>54975</v>
      </c>
      <c r="M2800" t="str">
        <f t="shared" si="406"/>
        <v>13</v>
      </c>
      <c r="N2800" t="s">
        <v>3370</v>
      </c>
      <c r="O2800" t="str">
        <f t="shared" si="408"/>
        <v>59511</v>
      </c>
      <c r="P2800" t="str">
        <f t="shared" si="411"/>
        <v>2100L</v>
      </c>
      <c r="Q2800" t="str">
        <f t="shared" si="410"/>
        <v>0101</v>
      </c>
      <c r="R2800">
        <v>2100</v>
      </c>
      <c r="S2800" t="str">
        <f t="shared" si="409"/>
        <v>5950</v>
      </c>
      <c r="T2800" t="s">
        <v>3712</v>
      </c>
      <c r="U2800" t="s">
        <v>2957</v>
      </c>
    </row>
    <row r="2801" spans="1:21" ht="15" customHeight="1" x14ac:dyDescent="0.3">
      <c r="A2801" t="s">
        <v>179</v>
      </c>
      <c r="B2801" t="str">
        <f>"00074651"</f>
        <v>00074651</v>
      </c>
      <c r="C2801" t="s">
        <v>4272</v>
      </c>
      <c r="D2801" t="s">
        <v>5155</v>
      </c>
      <c r="E2801" t="str">
        <f>"00070097"</f>
        <v>00070097</v>
      </c>
      <c r="F2801">
        <v>0</v>
      </c>
      <c r="G2801" s="243">
        <v>41133</v>
      </c>
      <c r="H2801" t="s">
        <v>182</v>
      </c>
      <c r="I2801">
        <v>15</v>
      </c>
      <c r="J2801">
        <v>1</v>
      </c>
      <c r="K2801">
        <v>1</v>
      </c>
      <c r="L2801">
        <v>51539</v>
      </c>
      <c r="M2801" t="str">
        <f t="shared" si="406"/>
        <v>13</v>
      </c>
      <c r="N2801" t="s">
        <v>3370</v>
      </c>
      <c r="O2801" t="str">
        <f t="shared" si="408"/>
        <v>59511</v>
      </c>
      <c r="P2801" t="str">
        <f t="shared" si="411"/>
        <v>2100L</v>
      </c>
      <c r="Q2801" t="str">
        <f t="shared" si="410"/>
        <v>0101</v>
      </c>
      <c r="R2801">
        <v>2100</v>
      </c>
      <c r="S2801" t="str">
        <f t="shared" si="409"/>
        <v>5950</v>
      </c>
      <c r="T2801" t="s">
        <v>3711</v>
      </c>
      <c r="U2801" t="s">
        <v>65</v>
      </c>
    </row>
    <row r="2802" spans="1:21" ht="15" customHeight="1" x14ac:dyDescent="0.3">
      <c r="A2802" t="s">
        <v>179</v>
      </c>
      <c r="B2802" t="str">
        <f>"00074681"</f>
        <v>00074681</v>
      </c>
      <c r="C2802" t="s">
        <v>4341</v>
      </c>
      <c r="D2802" t="s">
        <v>2369</v>
      </c>
      <c r="E2802" t="str">
        <f>"00045871"</f>
        <v>00045871</v>
      </c>
      <c r="F2802">
        <v>0</v>
      </c>
      <c r="G2802" s="243">
        <v>32511</v>
      </c>
      <c r="H2802" t="s">
        <v>182</v>
      </c>
      <c r="I2802">
        <v>10</v>
      </c>
      <c r="J2802">
        <v>9</v>
      </c>
      <c r="K2802">
        <v>0.25</v>
      </c>
      <c r="L2802">
        <v>86183</v>
      </c>
      <c r="M2802" t="str">
        <f t="shared" si="406"/>
        <v>13</v>
      </c>
      <c r="N2802" t="s">
        <v>3323</v>
      </c>
      <c r="O2802" t="str">
        <f t="shared" si="408"/>
        <v>59511</v>
      </c>
      <c r="P2802" t="str">
        <f t="shared" si="411"/>
        <v>2100L</v>
      </c>
      <c r="Q2802" t="str">
        <f t="shared" si="410"/>
        <v>0101</v>
      </c>
      <c r="R2802">
        <v>2100</v>
      </c>
      <c r="S2802" t="str">
        <f t="shared" si="409"/>
        <v>5950</v>
      </c>
      <c r="T2802" t="s">
        <v>3711</v>
      </c>
      <c r="U2802" t="s">
        <v>65</v>
      </c>
    </row>
    <row r="2803" spans="1:21" ht="15" customHeight="1" x14ac:dyDescent="0.3">
      <c r="A2803" t="s">
        <v>179</v>
      </c>
      <c r="B2803" t="str">
        <f>"00075234"</f>
        <v>00075234</v>
      </c>
      <c r="C2803" t="s">
        <v>4260</v>
      </c>
      <c r="D2803" t="s">
        <v>3709</v>
      </c>
      <c r="E2803" t="str">
        <f>"00044857"</f>
        <v>00044857</v>
      </c>
      <c r="F2803">
        <v>0</v>
      </c>
      <c r="G2803" s="243">
        <v>39679</v>
      </c>
      <c r="H2803" t="s">
        <v>182</v>
      </c>
      <c r="I2803">
        <v>15</v>
      </c>
      <c r="J2803">
        <v>10</v>
      </c>
      <c r="K2803">
        <v>1</v>
      </c>
      <c r="L2803">
        <v>78273</v>
      </c>
      <c r="M2803" t="str">
        <f t="shared" si="406"/>
        <v>13</v>
      </c>
      <c r="N2803" t="s">
        <v>3370</v>
      </c>
      <c r="O2803" t="str">
        <f t="shared" si="408"/>
        <v>59511</v>
      </c>
      <c r="P2803" t="str">
        <f>"3030L"</f>
        <v>3030L</v>
      </c>
      <c r="Q2803" t="str">
        <f t="shared" si="410"/>
        <v>0101</v>
      </c>
      <c r="R2803">
        <v>3030</v>
      </c>
      <c r="S2803" t="str">
        <f t="shared" si="409"/>
        <v>5950</v>
      </c>
      <c r="T2803" t="s">
        <v>3711</v>
      </c>
      <c r="U2803" t="s">
        <v>65</v>
      </c>
    </row>
    <row r="2804" spans="1:21" ht="15" customHeight="1" x14ac:dyDescent="0.3">
      <c r="A2804" t="s">
        <v>179</v>
      </c>
      <c r="B2804" t="str">
        <f>"00076328"</f>
        <v>00076328</v>
      </c>
      <c r="C2804" t="s">
        <v>4270</v>
      </c>
      <c r="H2804" t="s">
        <v>170</v>
      </c>
      <c r="I2804">
        <v>15</v>
      </c>
      <c r="J2804">
        <v>0</v>
      </c>
      <c r="K2804">
        <v>0.5</v>
      </c>
      <c r="L2804">
        <v>51539</v>
      </c>
      <c r="M2804" t="str">
        <f t="shared" si="406"/>
        <v>13</v>
      </c>
      <c r="N2804" t="s">
        <v>3370</v>
      </c>
      <c r="O2804" t="str">
        <f t="shared" si="408"/>
        <v>59511</v>
      </c>
      <c r="P2804" t="str">
        <f>"2100L"</f>
        <v>2100L</v>
      </c>
      <c r="Q2804" t="str">
        <f t="shared" si="410"/>
        <v>0101</v>
      </c>
      <c r="R2804">
        <v>2100</v>
      </c>
      <c r="S2804" t="str">
        <f t="shared" si="409"/>
        <v>5950</v>
      </c>
      <c r="T2804" t="s">
        <v>3533</v>
      </c>
      <c r="U2804" t="s">
        <v>129</v>
      </c>
    </row>
    <row r="2805" spans="1:21" ht="15" customHeight="1" x14ac:dyDescent="0.3">
      <c r="A2805" t="s">
        <v>179</v>
      </c>
      <c r="B2805" t="str">
        <f>"00076329"</f>
        <v>00076329</v>
      </c>
      <c r="C2805" t="s">
        <v>4270</v>
      </c>
      <c r="H2805" t="s">
        <v>170</v>
      </c>
      <c r="I2805">
        <v>15</v>
      </c>
      <c r="J2805">
        <v>0</v>
      </c>
      <c r="K2805">
        <v>0.5</v>
      </c>
      <c r="L2805">
        <v>51539</v>
      </c>
      <c r="M2805" t="str">
        <f t="shared" si="406"/>
        <v>13</v>
      </c>
      <c r="N2805" t="s">
        <v>3370</v>
      </c>
      <c r="O2805" t="str">
        <f t="shared" si="408"/>
        <v>59511</v>
      </c>
      <c r="P2805" t="str">
        <f>"2100L"</f>
        <v>2100L</v>
      </c>
      <c r="Q2805" t="str">
        <f t="shared" si="410"/>
        <v>0101</v>
      </c>
      <c r="R2805">
        <v>2100</v>
      </c>
      <c r="S2805" t="str">
        <f t="shared" si="409"/>
        <v>5950</v>
      </c>
      <c r="T2805" t="s">
        <v>3533</v>
      </c>
      <c r="U2805" t="s">
        <v>129</v>
      </c>
    </row>
    <row r="2806" spans="1:21" ht="15" customHeight="1" x14ac:dyDescent="0.3">
      <c r="A2806" t="s">
        <v>179</v>
      </c>
      <c r="B2806" t="str">
        <f>"00076330"</f>
        <v>00076330</v>
      </c>
      <c r="C2806" t="s">
        <v>4270</v>
      </c>
      <c r="H2806" t="s">
        <v>170</v>
      </c>
      <c r="I2806">
        <v>15</v>
      </c>
      <c r="J2806">
        <v>0</v>
      </c>
      <c r="K2806">
        <v>0.5</v>
      </c>
      <c r="L2806">
        <v>51539</v>
      </c>
      <c r="M2806" t="str">
        <f t="shared" si="406"/>
        <v>13</v>
      </c>
      <c r="N2806" t="s">
        <v>3370</v>
      </c>
      <c r="O2806" t="str">
        <f t="shared" si="408"/>
        <v>59511</v>
      </c>
      <c r="P2806" t="str">
        <f>"2100L"</f>
        <v>2100L</v>
      </c>
      <c r="Q2806" t="str">
        <f t="shared" si="410"/>
        <v>0101</v>
      </c>
      <c r="R2806">
        <v>2100</v>
      </c>
      <c r="S2806" t="str">
        <f t="shared" si="409"/>
        <v>5950</v>
      </c>
      <c r="T2806" t="s">
        <v>3533</v>
      </c>
      <c r="U2806" t="s">
        <v>129</v>
      </c>
    </row>
    <row r="2807" spans="1:21" ht="15" customHeight="1" x14ac:dyDescent="0.3">
      <c r="A2807" t="s">
        <v>179</v>
      </c>
      <c r="B2807" t="str">
        <f>"00076331"</f>
        <v>00076331</v>
      </c>
      <c r="C2807" t="s">
        <v>4271</v>
      </c>
      <c r="D2807" t="s">
        <v>5129</v>
      </c>
      <c r="E2807" t="str">
        <f>"00048069"</f>
        <v>00048069</v>
      </c>
      <c r="F2807">
        <v>0</v>
      </c>
      <c r="G2807" s="243">
        <v>31999</v>
      </c>
      <c r="H2807" t="s">
        <v>182</v>
      </c>
      <c r="I2807">
        <v>15</v>
      </c>
      <c r="J2807">
        <v>16</v>
      </c>
      <c r="K2807">
        <v>0.25</v>
      </c>
      <c r="L2807">
        <v>100839</v>
      </c>
      <c r="M2807" t="str">
        <f t="shared" si="406"/>
        <v>13</v>
      </c>
      <c r="N2807" t="s">
        <v>3370</v>
      </c>
      <c r="O2807" t="str">
        <f t="shared" si="408"/>
        <v>59511</v>
      </c>
      <c r="P2807" t="str">
        <f>"2100L"</f>
        <v>2100L</v>
      </c>
      <c r="Q2807" t="str">
        <f t="shared" si="410"/>
        <v>0101</v>
      </c>
      <c r="R2807">
        <v>2100</v>
      </c>
      <c r="S2807" t="str">
        <f t="shared" si="409"/>
        <v>5950</v>
      </c>
      <c r="T2807" t="s">
        <v>3711</v>
      </c>
      <c r="U2807" t="s">
        <v>65</v>
      </c>
    </row>
    <row r="2808" spans="1:21" ht="15" customHeight="1" x14ac:dyDescent="0.3">
      <c r="A2808" t="s">
        <v>179</v>
      </c>
      <c r="B2808" t="str">
        <f>"00076774"</f>
        <v>00076774</v>
      </c>
      <c r="C2808" t="s">
        <v>4262</v>
      </c>
      <c r="H2808" t="s">
        <v>170</v>
      </c>
      <c r="I2808">
        <v>15</v>
      </c>
      <c r="J2808">
        <v>0</v>
      </c>
      <c r="K2808">
        <v>1</v>
      </c>
      <c r="L2808">
        <v>51539</v>
      </c>
      <c r="M2808" t="str">
        <f t="shared" si="406"/>
        <v>13</v>
      </c>
      <c r="N2808" t="s">
        <v>3370</v>
      </c>
      <c r="O2808" t="str">
        <f t="shared" si="408"/>
        <v>59511</v>
      </c>
      <c r="P2808" t="str">
        <f>"2100L"</f>
        <v>2100L</v>
      </c>
      <c r="Q2808" t="str">
        <f t="shared" si="410"/>
        <v>0101</v>
      </c>
      <c r="R2808">
        <v>2100</v>
      </c>
      <c r="S2808" t="str">
        <f t="shared" si="409"/>
        <v>5950</v>
      </c>
      <c r="T2808" t="s">
        <v>3711</v>
      </c>
      <c r="U2808" t="s">
        <v>65</v>
      </c>
    </row>
    <row r="2809" spans="1:21" ht="15" customHeight="1" x14ac:dyDescent="0.3">
      <c r="A2809" t="s">
        <v>179</v>
      </c>
      <c r="B2809" t="str">
        <f>"00051608"</f>
        <v>00051608</v>
      </c>
      <c r="C2809" t="s">
        <v>4288</v>
      </c>
      <c r="D2809" t="s">
        <v>5156</v>
      </c>
      <c r="E2809" t="str">
        <f>"00045061"</f>
        <v>00045061</v>
      </c>
      <c r="F2809">
        <v>0</v>
      </c>
      <c r="G2809" s="243">
        <v>34974</v>
      </c>
      <c r="H2809" t="s">
        <v>182</v>
      </c>
      <c r="I2809">
        <v>4</v>
      </c>
      <c r="J2809">
        <v>10</v>
      </c>
      <c r="K2809">
        <v>0.875</v>
      </c>
      <c r="L2809">
        <v>28721</v>
      </c>
      <c r="M2809" t="str">
        <f t="shared" si="406"/>
        <v>13</v>
      </c>
      <c r="N2809" t="s">
        <v>3323</v>
      </c>
      <c r="O2809" t="str">
        <f t="shared" ref="O2809:O2840" si="412">"59711"</f>
        <v>59711</v>
      </c>
      <c r="P2809" t="str">
        <f>"2200L"</f>
        <v>2200L</v>
      </c>
      <c r="Q2809" t="str">
        <f t="shared" si="410"/>
        <v>0101</v>
      </c>
      <c r="R2809">
        <v>2200</v>
      </c>
      <c r="S2809" t="str">
        <f t="shared" ref="S2809:S2840" si="413">"5970"</f>
        <v>5970</v>
      </c>
      <c r="T2809" t="s">
        <v>3715</v>
      </c>
      <c r="U2809" t="s">
        <v>2380</v>
      </c>
    </row>
    <row r="2810" spans="1:21" ht="15" customHeight="1" x14ac:dyDescent="0.3">
      <c r="A2810" t="s">
        <v>179</v>
      </c>
      <c r="B2810" t="str">
        <f>"00051984"</f>
        <v>00051984</v>
      </c>
      <c r="C2810" t="s">
        <v>4262</v>
      </c>
      <c r="D2810" t="s">
        <v>2381</v>
      </c>
      <c r="E2810" t="str">
        <f>"00060266"</f>
        <v>00060266</v>
      </c>
      <c r="F2810">
        <v>0</v>
      </c>
      <c r="G2810" s="243">
        <v>41133</v>
      </c>
      <c r="H2810" t="s">
        <v>182</v>
      </c>
      <c r="I2810">
        <v>15</v>
      </c>
      <c r="J2810">
        <v>3</v>
      </c>
      <c r="K2810">
        <v>1</v>
      </c>
      <c r="L2810">
        <v>52777</v>
      </c>
      <c r="M2810" t="str">
        <f t="shared" si="406"/>
        <v>13</v>
      </c>
      <c r="N2810" t="s">
        <v>3323</v>
      </c>
      <c r="O2810" t="str">
        <f t="shared" si="412"/>
        <v>59711</v>
      </c>
      <c r="P2810" t="str">
        <f>"2100L"</f>
        <v>2100L</v>
      </c>
      <c r="Q2810" t="str">
        <f t="shared" si="410"/>
        <v>0101</v>
      </c>
      <c r="R2810">
        <v>2100</v>
      </c>
      <c r="S2810" t="str">
        <f t="shared" si="413"/>
        <v>5970</v>
      </c>
      <c r="T2810" t="s">
        <v>3715</v>
      </c>
      <c r="U2810" t="s">
        <v>2380</v>
      </c>
    </row>
    <row r="2811" spans="1:21" ht="15" customHeight="1" x14ac:dyDescent="0.3">
      <c r="A2811" t="s">
        <v>179</v>
      </c>
      <c r="B2811" t="str">
        <f>"00052125"</f>
        <v>00052125</v>
      </c>
      <c r="C2811" t="s">
        <v>4288</v>
      </c>
      <c r="D2811" t="s">
        <v>5157</v>
      </c>
      <c r="E2811" t="str">
        <f>"00047365"</f>
        <v>00047365</v>
      </c>
      <c r="F2811">
        <v>0</v>
      </c>
      <c r="G2811" s="243">
        <v>32215</v>
      </c>
      <c r="H2811" t="s">
        <v>182</v>
      </c>
      <c r="I2811">
        <v>4</v>
      </c>
      <c r="J2811">
        <v>10</v>
      </c>
      <c r="K2811">
        <v>0.875</v>
      </c>
      <c r="L2811">
        <v>28721</v>
      </c>
      <c r="M2811" t="str">
        <f t="shared" si="406"/>
        <v>13</v>
      </c>
      <c r="N2811" t="s">
        <v>3323</v>
      </c>
      <c r="O2811" t="str">
        <f t="shared" si="412"/>
        <v>59711</v>
      </c>
      <c r="P2811" t="str">
        <f>"2200L"</f>
        <v>2200L</v>
      </c>
      <c r="Q2811" t="str">
        <f t="shared" si="410"/>
        <v>0101</v>
      </c>
      <c r="R2811">
        <v>2200</v>
      </c>
      <c r="S2811" t="str">
        <f t="shared" si="413"/>
        <v>5970</v>
      </c>
      <c r="T2811" t="s">
        <v>3715</v>
      </c>
      <c r="U2811" t="s">
        <v>2380</v>
      </c>
    </row>
    <row r="2812" spans="1:21" ht="15" customHeight="1" x14ac:dyDescent="0.3">
      <c r="A2812" t="s">
        <v>179</v>
      </c>
      <c r="B2812" t="str">
        <f>"00052545"</f>
        <v>00052545</v>
      </c>
      <c r="C2812" t="s">
        <v>4274</v>
      </c>
      <c r="D2812" t="s">
        <v>5158</v>
      </c>
      <c r="E2812" t="str">
        <f>"00048528"</f>
        <v>00048528</v>
      </c>
      <c r="F2812">
        <v>0</v>
      </c>
      <c r="G2812" s="243">
        <v>34203</v>
      </c>
      <c r="H2812" t="s">
        <v>182</v>
      </c>
      <c r="I2812">
        <v>4</v>
      </c>
      <c r="J2812">
        <v>10</v>
      </c>
      <c r="K2812">
        <v>0.875</v>
      </c>
      <c r="L2812">
        <v>28721</v>
      </c>
      <c r="M2812" t="str">
        <f t="shared" si="406"/>
        <v>13</v>
      </c>
      <c r="N2812" t="s">
        <v>3323</v>
      </c>
      <c r="O2812" t="str">
        <f t="shared" si="412"/>
        <v>59711</v>
      </c>
      <c r="P2812" t="str">
        <f>"2200L"</f>
        <v>2200L</v>
      </c>
      <c r="Q2812" t="str">
        <f t="shared" si="410"/>
        <v>0101</v>
      </c>
      <c r="R2812">
        <v>2200</v>
      </c>
      <c r="S2812" t="str">
        <f t="shared" si="413"/>
        <v>5970</v>
      </c>
      <c r="T2812" t="s">
        <v>3715</v>
      </c>
      <c r="U2812" t="s">
        <v>2380</v>
      </c>
    </row>
    <row r="2813" spans="1:21" ht="15" customHeight="1" x14ac:dyDescent="0.3">
      <c r="A2813" t="s">
        <v>179</v>
      </c>
      <c r="B2813" t="str">
        <f>"00053274"</f>
        <v>00053274</v>
      </c>
      <c r="C2813" t="s">
        <v>4272</v>
      </c>
      <c r="D2813" t="s">
        <v>1475</v>
      </c>
      <c r="E2813" t="str">
        <f>"00050286"</f>
        <v>00050286</v>
      </c>
      <c r="F2813">
        <v>0</v>
      </c>
      <c r="G2813" s="243">
        <v>39314</v>
      </c>
      <c r="H2813" t="s">
        <v>182</v>
      </c>
      <c r="I2813">
        <v>15</v>
      </c>
      <c r="J2813">
        <v>12</v>
      </c>
      <c r="K2813">
        <v>1</v>
      </c>
      <c r="L2813">
        <v>89887</v>
      </c>
      <c r="M2813" t="str">
        <f t="shared" si="406"/>
        <v>13</v>
      </c>
      <c r="N2813" t="s">
        <v>3323</v>
      </c>
      <c r="O2813" t="str">
        <f t="shared" si="412"/>
        <v>59711</v>
      </c>
      <c r="P2813" t="str">
        <f>"2100L"</f>
        <v>2100L</v>
      </c>
      <c r="Q2813" t="str">
        <f t="shared" si="410"/>
        <v>0101</v>
      </c>
      <c r="R2813">
        <v>2100</v>
      </c>
      <c r="S2813" t="str">
        <f t="shared" si="413"/>
        <v>5970</v>
      </c>
      <c r="T2813" t="s">
        <v>3715</v>
      </c>
      <c r="U2813" t="s">
        <v>2380</v>
      </c>
    </row>
    <row r="2814" spans="1:21" ht="15" customHeight="1" x14ac:dyDescent="0.3">
      <c r="A2814" t="s">
        <v>179</v>
      </c>
      <c r="B2814" t="str">
        <f>"00053949"</f>
        <v>00053949</v>
      </c>
      <c r="C2814" t="s">
        <v>4272</v>
      </c>
      <c r="D2814" t="s">
        <v>3718</v>
      </c>
      <c r="E2814" t="str">
        <f>"00065960"</f>
        <v>00065960</v>
      </c>
      <c r="F2814">
        <v>0</v>
      </c>
      <c r="G2814" s="243">
        <v>40755</v>
      </c>
      <c r="H2814" t="s">
        <v>182</v>
      </c>
      <c r="I2814">
        <v>15</v>
      </c>
      <c r="J2814">
        <v>3</v>
      </c>
      <c r="K2814">
        <v>1</v>
      </c>
      <c r="L2814">
        <v>52777</v>
      </c>
      <c r="M2814" t="str">
        <f t="shared" si="406"/>
        <v>13</v>
      </c>
      <c r="N2814" t="s">
        <v>3323</v>
      </c>
      <c r="O2814" t="str">
        <f t="shared" si="412"/>
        <v>59711</v>
      </c>
      <c r="P2814" t="str">
        <f>"2200L"</f>
        <v>2200L</v>
      </c>
      <c r="Q2814" t="str">
        <f t="shared" si="410"/>
        <v>0101</v>
      </c>
      <c r="R2814">
        <v>2200</v>
      </c>
      <c r="S2814" t="str">
        <f t="shared" si="413"/>
        <v>5970</v>
      </c>
      <c r="T2814" t="s">
        <v>3715</v>
      </c>
      <c r="U2814" t="s">
        <v>2380</v>
      </c>
    </row>
    <row r="2815" spans="1:21" ht="15" customHeight="1" x14ac:dyDescent="0.3">
      <c r="A2815" t="s">
        <v>179</v>
      </c>
      <c r="B2815" t="str">
        <f>"00054203"</f>
        <v>00054203</v>
      </c>
      <c r="C2815" t="s">
        <v>4262</v>
      </c>
      <c r="D2815" t="s">
        <v>5159</v>
      </c>
      <c r="E2815" t="str">
        <f>"00069644"</f>
        <v>00069644</v>
      </c>
      <c r="F2815">
        <v>0</v>
      </c>
      <c r="G2815" s="243">
        <v>41133</v>
      </c>
      <c r="H2815" t="s">
        <v>182</v>
      </c>
      <c r="I2815">
        <v>15</v>
      </c>
      <c r="J2815">
        <v>8</v>
      </c>
      <c r="K2815">
        <v>1</v>
      </c>
      <c r="L2815">
        <v>72171</v>
      </c>
      <c r="M2815" t="str">
        <f t="shared" si="406"/>
        <v>13</v>
      </c>
      <c r="N2815" t="s">
        <v>3370</v>
      </c>
      <c r="O2815" t="str">
        <f t="shared" si="412"/>
        <v>59711</v>
      </c>
      <c r="P2815" t="str">
        <f>"2100L"</f>
        <v>2100L</v>
      </c>
      <c r="Q2815" t="str">
        <f t="shared" si="410"/>
        <v>0101</v>
      </c>
      <c r="R2815">
        <v>2100</v>
      </c>
      <c r="S2815" t="str">
        <f t="shared" si="413"/>
        <v>5970</v>
      </c>
      <c r="T2815" t="s">
        <v>3715</v>
      </c>
      <c r="U2815" t="s">
        <v>2380</v>
      </c>
    </row>
    <row r="2816" spans="1:21" ht="15" customHeight="1" x14ac:dyDescent="0.3">
      <c r="A2816" t="s">
        <v>179</v>
      </c>
      <c r="B2816" t="str">
        <f>"00054294"</f>
        <v>00054294</v>
      </c>
      <c r="C2816" t="s">
        <v>4262</v>
      </c>
      <c r="D2816" t="s">
        <v>2382</v>
      </c>
      <c r="E2816" t="str">
        <f>"00053486"</f>
        <v>00053486</v>
      </c>
      <c r="F2816">
        <v>0</v>
      </c>
      <c r="G2816" s="243">
        <v>33635</v>
      </c>
      <c r="H2816" t="s">
        <v>182</v>
      </c>
      <c r="I2816">
        <v>15</v>
      </c>
      <c r="J2816">
        <v>15</v>
      </c>
      <c r="K2816">
        <v>1</v>
      </c>
      <c r="L2816">
        <v>103985</v>
      </c>
      <c r="M2816" t="str">
        <f t="shared" si="406"/>
        <v>13</v>
      </c>
      <c r="N2816" t="s">
        <v>3323</v>
      </c>
      <c r="O2816" t="str">
        <f t="shared" si="412"/>
        <v>59711</v>
      </c>
      <c r="P2816" t="str">
        <f>"2100L"</f>
        <v>2100L</v>
      </c>
      <c r="Q2816" t="str">
        <f t="shared" si="410"/>
        <v>0101</v>
      </c>
      <c r="R2816">
        <v>2100</v>
      </c>
      <c r="S2816" t="str">
        <f t="shared" si="413"/>
        <v>5970</v>
      </c>
      <c r="T2816" t="s">
        <v>3715</v>
      </c>
      <c r="U2816" t="s">
        <v>2380</v>
      </c>
    </row>
    <row r="2817" spans="1:21" ht="15" customHeight="1" x14ac:dyDescent="0.3">
      <c r="A2817" t="s">
        <v>179</v>
      </c>
      <c r="B2817" t="str">
        <f>"00054441"</f>
        <v>00054441</v>
      </c>
      <c r="C2817" t="s">
        <v>4272</v>
      </c>
      <c r="D2817" t="s">
        <v>5160</v>
      </c>
      <c r="E2817" t="str">
        <f>"00066200"</f>
        <v>00066200</v>
      </c>
      <c r="F2817">
        <v>0</v>
      </c>
      <c r="G2817" s="243">
        <v>40770</v>
      </c>
      <c r="H2817" t="s">
        <v>182</v>
      </c>
      <c r="I2817">
        <v>15</v>
      </c>
      <c r="J2817">
        <v>1</v>
      </c>
      <c r="K2817">
        <v>1</v>
      </c>
      <c r="L2817">
        <v>54975</v>
      </c>
      <c r="M2817" t="str">
        <f t="shared" ref="M2817:M2874" si="414">"13"</f>
        <v>13</v>
      </c>
      <c r="N2817" t="s">
        <v>3370</v>
      </c>
      <c r="O2817" t="str">
        <f t="shared" si="412"/>
        <v>59711</v>
      </c>
      <c r="P2817" t="str">
        <f>"2100L"</f>
        <v>2100L</v>
      </c>
      <c r="Q2817" t="str">
        <f t="shared" si="410"/>
        <v>0101</v>
      </c>
      <c r="R2817">
        <v>2100</v>
      </c>
      <c r="S2817" t="str">
        <f t="shared" si="413"/>
        <v>5970</v>
      </c>
      <c r="T2817" t="s">
        <v>3715</v>
      </c>
      <c r="U2817" t="s">
        <v>2380</v>
      </c>
    </row>
    <row r="2818" spans="1:21" ht="15" customHeight="1" x14ac:dyDescent="0.3">
      <c r="A2818" t="s">
        <v>179</v>
      </c>
      <c r="B2818" t="str">
        <f>"00057561"</f>
        <v>00057561</v>
      </c>
      <c r="C2818" t="s">
        <v>4258</v>
      </c>
      <c r="D2818" t="s">
        <v>2383</v>
      </c>
      <c r="E2818" t="str">
        <f>"00044661"</f>
        <v>00044661</v>
      </c>
      <c r="F2818">
        <v>0</v>
      </c>
      <c r="G2818" s="243">
        <v>38587</v>
      </c>
      <c r="H2818" t="s">
        <v>182</v>
      </c>
      <c r="I2818">
        <v>15</v>
      </c>
      <c r="J2818">
        <v>14</v>
      </c>
      <c r="K2818">
        <v>1</v>
      </c>
      <c r="L2818">
        <v>98967</v>
      </c>
      <c r="M2818" t="str">
        <f t="shared" si="414"/>
        <v>13</v>
      </c>
      <c r="N2818" t="s">
        <v>3323</v>
      </c>
      <c r="O2818" t="str">
        <f t="shared" si="412"/>
        <v>59711</v>
      </c>
      <c r="P2818" t="str">
        <f>"2100L"</f>
        <v>2100L</v>
      </c>
      <c r="Q2818" t="str">
        <f t="shared" si="410"/>
        <v>0101</v>
      </c>
      <c r="R2818">
        <v>2100</v>
      </c>
      <c r="S2818" t="str">
        <f t="shared" si="413"/>
        <v>5970</v>
      </c>
      <c r="T2818" t="s">
        <v>3715</v>
      </c>
      <c r="U2818" t="s">
        <v>2380</v>
      </c>
    </row>
    <row r="2819" spans="1:21" ht="15" customHeight="1" x14ac:dyDescent="0.3">
      <c r="A2819" t="s">
        <v>179</v>
      </c>
      <c r="B2819" t="str">
        <f>"00057934"</f>
        <v>00057934</v>
      </c>
      <c r="C2819" t="s">
        <v>4262</v>
      </c>
      <c r="D2819" t="s">
        <v>2384</v>
      </c>
      <c r="E2819" t="str">
        <f>"00049388"</f>
        <v>00049388</v>
      </c>
      <c r="F2819">
        <v>0</v>
      </c>
      <c r="G2819" s="243">
        <v>38951</v>
      </c>
      <c r="H2819" t="s">
        <v>182</v>
      </c>
      <c r="I2819">
        <v>15</v>
      </c>
      <c r="J2819">
        <v>7</v>
      </c>
      <c r="K2819">
        <v>1</v>
      </c>
      <c r="L2819">
        <v>69132</v>
      </c>
      <c r="M2819" t="str">
        <f t="shared" si="414"/>
        <v>13</v>
      </c>
      <c r="N2819" t="s">
        <v>3323</v>
      </c>
      <c r="O2819" t="str">
        <f t="shared" si="412"/>
        <v>59711</v>
      </c>
      <c r="P2819" t="str">
        <f>"2100L"</f>
        <v>2100L</v>
      </c>
      <c r="Q2819" t="str">
        <f t="shared" si="410"/>
        <v>0101</v>
      </c>
      <c r="R2819">
        <v>2100</v>
      </c>
      <c r="S2819" t="str">
        <f t="shared" si="413"/>
        <v>5970</v>
      </c>
      <c r="T2819" t="s">
        <v>3715</v>
      </c>
      <c r="U2819" t="s">
        <v>2380</v>
      </c>
    </row>
    <row r="2820" spans="1:21" ht="15" customHeight="1" x14ac:dyDescent="0.3">
      <c r="A2820" t="s">
        <v>179</v>
      </c>
      <c r="B2820" t="str">
        <f>"00059026"</f>
        <v>00059026</v>
      </c>
      <c r="C2820" t="s">
        <v>3798</v>
      </c>
      <c r="D2820" t="s">
        <v>2386</v>
      </c>
      <c r="E2820" t="str">
        <f>"00045908"</f>
        <v>00045908</v>
      </c>
      <c r="F2820">
        <v>0</v>
      </c>
      <c r="G2820" s="243">
        <v>38601</v>
      </c>
      <c r="H2820" t="s">
        <v>182</v>
      </c>
      <c r="I2820">
        <v>61</v>
      </c>
      <c r="J2820">
        <v>3</v>
      </c>
      <c r="K2820">
        <v>1</v>
      </c>
      <c r="L2820">
        <v>110000</v>
      </c>
      <c r="M2820" t="str">
        <f t="shared" si="414"/>
        <v>13</v>
      </c>
      <c r="N2820" t="s">
        <v>3323</v>
      </c>
      <c r="O2820" t="str">
        <f t="shared" si="412"/>
        <v>59711</v>
      </c>
      <c r="P2820" t="str">
        <f>"1501L"</f>
        <v>1501L</v>
      </c>
      <c r="Q2820" t="str">
        <f t="shared" si="410"/>
        <v>0101</v>
      </c>
      <c r="R2820">
        <v>1501</v>
      </c>
      <c r="S2820" t="str">
        <f t="shared" si="413"/>
        <v>5970</v>
      </c>
      <c r="T2820" t="s">
        <v>3715</v>
      </c>
      <c r="U2820" t="s">
        <v>2380</v>
      </c>
    </row>
    <row r="2821" spans="1:21" ht="15" customHeight="1" x14ac:dyDescent="0.3">
      <c r="A2821" t="s">
        <v>179</v>
      </c>
      <c r="B2821" t="str">
        <f>"00059740"</f>
        <v>00059740</v>
      </c>
      <c r="C2821" t="s">
        <v>4256</v>
      </c>
      <c r="D2821" t="s">
        <v>2387</v>
      </c>
      <c r="E2821" t="str">
        <f>"00048404"</f>
        <v>00048404</v>
      </c>
      <c r="F2821">
        <v>0</v>
      </c>
      <c r="G2821" s="243">
        <v>29333</v>
      </c>
      <c r="H2821" t="s">
        <v>182</v>
      </c>
      <c r="I2821">
        <v>15</v>
      </c>
      <c r="J2821">
        <v>16</v>
      </c>
      <c r="K2821">
        <v>1</v>
      </c>
      <c r="L2821">
        <v>100839</v>
      </c>
      <c r="M2821" t="str">
        <f t="shared" si="414"/>
        <v>13</v>
      </c>
      <c r="N2821" t="s">
        <v>3323</v>
      </c>
      <c r="O2821" t="str">
        <f t="shared" si="412"/>
        <v>59711</v>
      </c>
      <c r="P2821" t="str">
        <f>"2100L"</f>
        <v>2100L</v>
      </c>
      <c r="Q2821" t="str">
        <f t="shared" si="410"/>
        <v>0101</v>
      </c>
      <c r="R2821">
        <v>2100</v>
      </c>
      <c r="S2821" t="str">
        <f t="shared" si="413"/>
        <v>5970</v>
      </c>
      <c r="T2821" t="s">
        <v>3715</v>
      </c>
      <c r="U2821" t="s">
        <v>2380</v>
      </c>
    </row>
    <row r="2822" spans="1:21" ht="15" customHeight="1" x14ac:dyDescent="0.3">
      <c r="A2822" t="s">
        <v>179</v>
      </c>
      <c r="B2822" t="str">
        <f>"00059857"</f>
        <v>00059857</v>
      </c>
      <c r="C2822" t="s">
        <v>200</v>
      </c>
      <c r="D2822" t="s">
        <v>2388</v>
      </c>
      <c r="E2822" t="str">
        <f>"00044872"</f>
        <v>00044872</v>
      </c>
      <c r="F2822">
        <v>0</v>
      </c>
      <c r="G2822" s="243">
        <v>38226</v>
      </c>
      <c r="H2822" t="s">
        <v>182</v>
      </c>
      <c r="I2822">
        <v>15</v>
      </c>
      <c r="J2822">
        <v>12</v>
      </c>
      <c r="K2822">
        <v>1</v>
      </c>
      <c r="L2822">
        <v>87431</v>
      </c>
      <c r="M2822" t="str">
        <f t="shared" si="414"/>
        <v>13</v>
      </c>
      <c r="N2822" t="s">
        <v>3323</v>
      </c>
      <c r="O2822" t="str">
        <f t="shared" si="412"/>
        <v>59711</v>
      </c>
      <c r="P2822" t="str">
        <f>"3030L"</f>
        <v>3030L</v>
      </c>
      <c r="Q2822" t="str">
        <f t="shared" si="410"/>
        <v>0101</v>
      </c>
      <c r="R2822">
        <v>3030</v>
      </c>
      <c r="S2822" t="str">
        <f t="shared" si="413"/>
        <v>5970</v>
      </c>
      <c r="T2822" t="s">
        <v>3715</v>
      </c>
      <c r="U2822" t="s">
        <v>2380</v>
      </c>
    </row>
    <row r="2823" spans="1:21" ht="15" customHeight="1" x14ac:dyDescent="0.3">
      <c r="A2823" t="s">
        <v>179</v>
      </c>
      <c r="B2823" t="str">
        <f>"00061522"</f>
        <v>00061522</v>
      </c>
      <c r="C2823" t="s">
        <v>4262</v>
      </c>
      <c r="H2823" t="s">
        <v>170</v>
      </c>
      <c r="I2823">
        <v>15</v>
      </c>
      <c r="J2823">
        <v>1</v>
      </c>
      <c r="K2823">
        <v>1</v>
      </c>
      <c r="L2823">
        <v>51539</v>
      </c>
      <c r="M2823" t="str">
        <f t="shared" si="414"/>
        <v>13</v>
      </c>
      <c r="N2823" t="s">
        <v>3323</v>
      </c>
      <c r="O2823" t="str">
        <f t="shared" si="412"/>
        <v>59711</v>
      </c>
      <c r="P2823" t="str">
        <f>"2100L"</f>
        <v>2100L</v>
      </c>
      <c r="Q2823" t="str">
        <f t="shared" si="410"/>
        <v>0101</v>
      </c>
      <c r="R2823">
        <v>2100</v>
      </c>
      <c r="S2823" t="str">
        <f t="shared" si="413"/>
        <v>5970</v>
      </c>
      <c r="T2823" t="s">
        <v>3715</v>
      </c>
      <c r="U2823" t="s">
        <v>2380</v>
      </c>
    </row>
    <row r="2824" spans="1:21" ht="15" customHeight="1" x14ac:dyDescent="0.3">
      <c r="A2824" t="s">
        <v>179</v>
      </c>
      <c r="B2824" t="str">
        <f>"00062218"</f>
        <v>00062218</v>
      </c>
      <c r="C2824" t="s">
        <v>4274</v>
      </c>
      <c r="D2824" t="s">
        <v>5161</v>
      </c>
      <c r="E2824" t="str">
        <f>"00046827"</f>
        <v>00046827</v>
      </c>
      <c r="F2824">
        <v>0</v>
      </c>
      <c r="G2824" s="243">
        <v>39679</v>
      </c>
      <c r="H2824" t="s">
        <v>182</v>
      </c>
      <c r="I2824">
        <v>4</v>
      </c>
      <c r="J2824">
        <v>4</v>
      </c>
      <c r="K2824">
        <v>1</v>
      </c>
      <c r="L2824">
        <v>24543.75</v>
      </c>
      <c r="M2824" t="str">
        <f t="shared" si="414"/>
        <v>13</v>
      </c>
      <c r="N2824" t="s">
        <v>3323</v>
      </c>
      <c r="O2824" t="str">
        <f t="shared" si="412"/>
        <v>59711</v>
      </c>
      <c r="P2824" t="str">
        <f>"2200L"</f>
        <v>2200L</v>
      </c>
      <c r="Q2824" t="str">
        <f t="shared" si="410"/>
        <v>0101</v>
      </c>
      <c r="R2824">
        <v>2200</v>
      </c>
      <c r="S2824" t="str">
        <f t="shared" si="413"/>
        <v>5970</v>
      </c>
      <c r="T2824" t="s">
        <v>3715</v>
      </c>
      <c r="U2824" t="s">
        <v>2380</v>
      </c>
    </row>
    <row r="2825" spans="1:21" ht="15" customHeight="1" x14ac:dyDescent="0.3">
      <c r="A2825" t="s">
        <v>179</v>
      </c>
      <c r="B2825" t="str">
        <f>"00065964"</f>
        <v>00065964</v>
      </c>
      <c r="C2825" t="s">
        <v>4272</v>
      </c>
      <c r="D2825" t="s">
        <v>1465</v>
      </c>
      <c r="E2825" t="str">
        <f>"00045380"</f>
        <v>00045380</v>
      </c>
      <c r="F2825">
        <v>0</v>
      </c>
      <c r="G2825" s="243">
        <v>36390</v>
      </c>
      <c r="H2825" t="s">
        <v>182</v>
      </c>
      <c r="I2825">
        <v>15</v>
      </c>
      <c r="J2825">
        <v>16</v>
      </c>
      <c r="K2825">
        <v>1</v>
      </c>
      <c r="L2825">
        <v>103347</v>
      </c>
      <c r="M2825" t="str">
        <f t="shared" si="414"/>
        <v>13</v>
      </c>
      <c r="N2825" t="s">
        <v>3323</v>
      </c>
      <c r="O2825" t="str">
        <f t="shared" si="412"/>
        <v>59711</v>
      </c>
      <c r="P2825" t="str">
        <f>"2200L"</f>
        <v>2200L</v>
      </c>
      <c r="Q2825" t="str">
        <f t="shared" si="410"/>
        <v>0101</v>
      </c>
      <c r="R2825">
        <v>2200</v>
      </c>
      <c r="S2825" t="str">
        <f t="shared" si="413"/>
        <v>5970</v>
      </c>
      <c r="T2825" t="s">
        <v>3715</v>
      </c>
      <c r="U2825" t="s">
        <v>2380</v>
      </c>
    </row>
    <row r="2826" spans="1:21" ht="15" customHeight="1" x14ac:dyDescent="0.3">
      <c r="A2826" t="s">
        <v>179</v>
      </c>
      <c r="B2826" t="str">
        <f>"00065965"</f>
        <v>00065965</v>
      </c>
      <c r="C2826" t="s">
        <v>4262</v>
      </c>
      <c r="D2826" t="s">
        <v>1300</v>
      </c>
      <c r="E2826" t="str">
        <f>"00048835"</f>
        <v>00048835</v>
      </c>
      <c r="F2826">
        <v>0</v>
      </c>
      <c r="G2826" s="243">
        <v>36510</v>
      </c>
      <c r="H2826" t="s">
        <v>182</v>
      </c>
      <c r="I2826">
        <v>15</v>
      </c>
      <c r="J2826">
        <v>12</v>
      </c>
      <c r="K2826">
        <v>1</v>
      </c>
      <c r="L2826">
        <v>89887</v>
      </c>
      <c r="M2826" t="str">
        <f t="shared" si="414"/>
        <v>13</v>
      </c>
      <c r="N2826" t="s">
        <v>3323</v>
      </c>
      <c r="O2826" t="str">
        <f t="shared" si="412"/>
        <v>59711</v>
      </c>
      <c r="P2826" t="str">
        <f>"2100L"</f>
        <v>2100L</v>
      </c>
      <c r="Q2826" t="str">
        <f t="shared" si="410"/>
        <v>0101</v>
      </c>
      <c r="R2826">
        <v>2100</v>
      </c>
      <c r="S2826" t="str">
        <f t="shared" si="413"/>
        <v>5970</v>
      </c>
      <c r="T2826" t="s">
        <v>3715</v>
      </c>
      <c r="U2826" t="s">
        <v>2380</v>
      </c>
    </row>
    <row r="2827" spans="1:21" ht="15" customHeight="1" x14ac:dyDescent="0.3">
      <c r="A2827" t="s">
        <v>179</v>
      </c>
      <c r="B2827" t="str">
        <f>"00065966"</f>
        <v>00065966</v>
      </c>
      <c r="C2827" t="s">
        <v>4262</v>
      </c>
      <c r="D2827" t="s">
        <v>2389</v>
      </c>
      <c r="E2827" t="str">
        <f>"00057493"</f>
        <v>00057493</v>
      </c>
      <c r="F2827">
        <v>0</v>
      </c>
      <c r="G2827" s="243">
        <v>40042</v>
      </c>
      <c r="H2827" t="s">
        <v>182</v>
      </c>
      <c r="I2827">
        <v>15</v>
      </c>
      <c r="J2827">
        <v>5</v>
      </c>
      <c r="K2827">
        <v>1</v>
      </c>
      <c r="L2827">
        <v>63611</v>
      </c>
      <c r="M2827" t="str">
        <f t="shared" si="414"/>
        <v>13</v>
      </c>
      <c r="N2827" t="s">
        <v>3323</v>
      </c>
      <c r="O2827" t="str">
        <f t="shared" si="412"/>
        <v>59711</v>
      </c>
      <c r="P2827" t="str">
        <f>"2100L"</f>
        <v>2100L</v>
      </c>
      <c r="Q2827" t="str">
        <f t="shared" si="410"/>
        <v>0101</v>
      </c>
      <c r="R2827">
        <v>2100</v>
      </c>
      <c r="S2827" t="str">
        <f t="shared" si="413"/>
        <v>5970</v>
      </c>
      <c r="T2827" t="s">
        <v>3715</v>
      </c>
      <c r="U2827" t="s">
        <v>2380</v>
      </c>
    </row>
    <row r="2828" spans="1:21" ht="15" customHeight="1" x14ac:dyDescent="0.3">
      <c r="A2828" t="s">
        <v>179</v>
      </c>
      <c r="B2828" t="str">
        <f>"00065967"</f>
        <v>00065967</v>
      </c>
      <c r="C2828" t="s">
        <v>4262</v>
      </c>
      <c r="H2828" t="s">
        <v>170</v>
      </c>
      <c r="I2828">
        <v>15</v>
      </c>
      <c r="J2828">
        <v>1</v>
      </c>
      <c r="K2828">
        <v>1</v>
      </c>
      <c r="L2828">
        <v>51539</v>
      </c>
      <c r="M2828" t="str">
        <f t="shared" si="414"/>
        <v>13</v>
      </c>
      <c r="N2828" t="s">
        <v>3323</v>
      </c>
      <c r="O2828" t="str">
        <f t="shared" si="412"/>
        <v>59711</v>
      </c>
      <c r="P2828" t="str">
        <f>"2100L"</f>
        <v>2100L</v>
      </c>
      <c r="Q2828" t="str">
        <f t="shared" si="410"/>
        <v>0101</v>
      </c>
      <c r="R2828">
        <v>2100</v>
      </c>
      <c r="S2828" t="str">
        <f t="shared" si="413"/>
        <v>5970</v>
      </c>
      <c r="T2828" t="s">
        <v>3715</v>
      </c>
      <c r="U2828" t="s">
        <v>2380</v>
      </c>
    </row>
    <row r="2829" spans="1:21" ht="15" customHeight="1" x14ac:dyDescent="0.3">
      <c r="A2829" t="s">
        <v>179</v>
      </c>
      <c r="B2829" t="str">
        <f>"00065968"</f>
        <v>00065968</v>
      </c>
      <c r="C2829" t="s">
        <v>4260</v>
      </c>
      <c r="D2829" t="s">
        <v>2391</v>
      </c>
      <c r="E2829" t="str">
        <f>"00057459"</f>
        <v>00057459</v>
      </c>
      <c r="F2829">
        <v>0</v>
      </c>
      <c r="G2829" s="243">
        <v>40042</v>
      </c>
      <c r="H2829" t="s">
        <v>182</v>
      </c>
      <c r="I2829">
        <v>15</v>
      </c>
      <c r="J2829">
        <v>4</v>
      </c>
      <c r="K2829">
        <v>1</v>
      </c>
      <c r="L2829">
        <v>61158</v>
      </c>
      <c r="M2829" t="str">
        <f t="shared" si="414"/>
        <v>13</v>
      </c>
      <c r="N2829" t="s">
        <v>3323</v>
      </c>
      <c r="O2829" t="str">
        <f t="shared" si="412"/>
        <v>59711</v>
      </c>
      <c r="P2829" t="str">
        <f>"3030L"</f>
        <v>3030L</v>
      </c>
      <c r="Q2829" t="str">
        <f t="shared" si="410"/>
        <v>0101</v>
      </c>
      <c r="R2829">
        <v>3030</v>
      </c>
      <c r="S2829" t="str">
        <f t="shared" si="413"/>
        <v>5970</v>
      </c>
      <c r="T2829" t="s">
        <v>3715</v>
      </c>
      <c r="U2829" t="s">
        <v>2380</v>
      </c>
    </row>
    <row r="2830" spans="1:21" ht="15" customHeight="1" x14ac:dyDescent="0.3">
      <c r="A2830" t="s">
        <v>179</v>
      </c>
      <c r="B2830" t="str">
        <f>"00066329"</f>
        <v>00066329</v>
      </c>
      <c r="C2830" t="s">
        <v>4259</v>
      </c>
      <c r="D2830" t="s">
        <v>2392</v>
      </c>
      <c r="E2830" t="str">
        <f>"00057088"</f>
        <v>00057088</v>
      </c>
      <c r="F2830">
        <v>0</v>
      </c>
      <c r="G2830" s="243">
        <v>40042</v>
      </c>
      <c r="H2830" t="s">
        <v>182</v>
      </c>
      <c r="I2830">
        <v>15</v>
      </c>
      <c r="J2830">
        <v>8</v>
      </c>
      <c r="K2830">
        <v>1</v>
      </c>
      <c r="L2830">
        <v>72171</v>
      </c>
      <c r="M2830" t="str">
        <f t="shared" si="414"/>
        <v>13</v>
      </c>
      <c r="N2830" t="s">
        <v>3323</v>
      </c>
      <c r="O2830" t="str">
        <f t="shared" si="412"/>
        <v>59711</v>
      </c>
      <c r="P2830" t="str">
        <f>"2100L"</f>
        <v>2100L</v>
      </c>
      <c r="Q2830" t="str">
        <f t="shared" si="410"/>
        <v>0101</v>
      </c>
      <c r="R2830">
        <v>2100</v>
      </c>
      <c r="S2830" t="str">
        <f t="shared" si="413"/>
        <v>5970</v>
      </c>
      <c r="T2830" t="s">
        <v>3715</v>
      </c>
      <c r="U2830" t="s">
        <v>2380</v>
      </c>
    </row>
    <row r="2831" spans="1:21" ht="15" customHeight="1" x14ac:dyDescent="0.3">
      <c r="A2831" t="s">
        <v>179</v>
      </c>
      <c r="B2831" t="str">
        <f>"00068145"</f>
        <v>00068145</v>
      </c>
      <c r="C2831" t="s">
        <v>3670</v>
      </c>
      <c r="D2831" t="s">
        <v>2395</v>
      </c>
      <c r="E2831" t="str">
        <f>"00057803"</f>
        <v>00057803</v>
      </c>
      <c r="F2831">
        <v>0</v>
      </c>
      <c r="G2831" s="243">
        <v>40035</v>
      </c>
      <c r="H2831" t="s">
        <v>182</v>
      </c>
      <c r="I2831">
        <v>8</v>
      </c>
      <c r="J2831">
        <v>6</v>
      </c>
      <c r="K2831">
        <v>1</v>
      </c>
      <c r="L2831">
        <v>94825</v>
      </c>
      <c r="M2831" t="str">
        <f t="shared" si="414"/>
        <v>13</v>
      </c>
      <c r="N2831" t="s">
        <v>3323</v>
      </c>
      <c r="O2831" t="str">
        <f t="shared" si="412"/>
        <v>59711</v>
      </c>
      <c r="P2831" t="str">
        <f>"1501L"</f>
        <v>1501L</v>
      </c>
      <c r="Q2831" t="str">
        <f t="shared" si="410"/>
        <v>0101</v>
      </c>
      <c r="R2831">
        <v>1501</v>
      </c>
      <c r="S2831" t="str">
        <f t="shared" si="413"/>
        <v>5970</v>
      </c>
      <c r="T2831" t="s">
        <v>3715</v>
      </c>
      <c r="U2831" t="s">
        <v>2380</v>
      </c>
    </row>
    <row r="2832" spans="1:21" ht="15" customHeight="1" x14ac:dyDescent="0.3">
      <c r="A2832" t="s">
        <v>179</v>
      </c>
      <c r="B2832" t="str">
        <f>"00072095"</f>
        <v>00072095</v>
      </c>
      <c r="C2832" t="s">
        <v>4288</v>
      </c>
      <c r="H2832" t="s">
        <v>170</v>
      </c>
      <c r="I2832">
        <v>4</v>
      </c>
      <c r="J2832">
        <v>1</v>
      </c>
      <c r="K2832">
        <v>1</v>
      </c>
      <c r="L2832">
        <v>25662</v>
      </c>
      <c r="M2832" t="str">
        <f t="shared" si="414"/>
        <v>13</v>
      </c>
      <c r="N2832" t="s">
        <v>3323</v>
      </c>
      <c r="O2832" t="str">
        <f t="shared" si="412"/>
        <v>59711</v>
      </c>
      <c r="P2832" t="str">
        <f>"2200L"</f>
        <v>2200L</v>
      </c>
      <c r="Q2832" t="str">
        <f t="shared" si="410"/>
        <v>0101</v>
      </c>
      <c r="R2832">
        <v>2200</v>
      </c>
      <c r="S2832" t="str">
        <f t="shared" si="413"/>
        <v>5970</v>
      </c>
      <c r="T2832" t="s">
        <v>3715</v>
      </c>
      <c r="U2832" t="s">
        <v>2380</v>
      </c>
    </row>
    <row r="2833" spans="1:21" ht="15" customHeight="1" x14ac:dyDescent="0.3">
      <c r="A2833" t="s">
        <v>179</v>
      </c>
      <c r="B2833" t="str">
        <f>"00072278"</f>
        <v>00072278</v>
      </c>
      <c r="C2833" t="s">
        <v>4262</v>
      </c>
      <c r="D2833" t="s">
        <v>2693</v>
      </c>
      <c r="E2833" t="str">
        <f>"00049985"</f>
        <v>00049985</v>
      </c>
      <c r="F2833">
        <v>0</v>
      </c>
      <c r="G2833" s="243">
        <v>39679</v>
      </c>
      <c r="H2833" t="s">
        <v>182</v>
      </c>
      <c r="I2833">
        <v>15</v>
      </c>
      <c r="J2833">
        <v>5</v>
      </c>
      <c r="K2833">
        <v>1</v>
      </c>
      <c r="L2833">
        <v>66078</v>
      </c>
      <c r="M2833" t="str">
        <f t="shared" si="414"/>
        <v>13</v>
      </c>
      <c r="N2833" t="s">
        <v>3323</v>
      </c>
      <c r="O2833" t="str">
        <f t="shared" si="412"/>
        <v>59711</v>
      </c>
      <c r="P2833" t="str">
        <f>"2100L"</f>
        <v>2100L</v>
      </c>
      <c r="Q2833" t="str">
        <f t="shared" ref="Q2833:Q2878" si="415">"0101"</f>
        <v>0101</v>
      </c>
      <c r="R2833">
        <v>2100</v>
      </c>
      <c r="S2833" t="str">
        <f t="shared" si="413"/>
        <v>5970</v>
      </c>
      <c r="T2833" t="s">
        <v>3715</v>
      </c>
      <c r="U2833" t="s">
        <v>2380</v>
      </c>
    </row>
    <row r="2834" spans="1:21" ht="15" customHeight="1" x14ac:dyDescent="0.3">
      <c r="A2834" t="s">
        <v>179</v>
      </c>
      <c r="B2834" t="str">
        <f>"00072795"</f>
        <v>00072795</v>
      </c>
      <c r="C2834" t="s">
        <v>4272</v>
      </c>
      <c r="D2834" t="s">
        <v>2396</v>
      </c>
      <c r="E2834" t="str">
        <f>"00054872"</f>
        <v>00054872</v>
      </c>
      <c r="F2834">
        <v>0</v>
      </c>
      <c r="G2834" s="243">
        <v>40406</v>
      </c>
      <c r="H2834" t="s">
        <v>182</v>
      </c>
      <c r="I2834">
        <v>15</v>
      </c>
      <c r="J2834">
        <v>14</v>
      </c>
      <c r="K2834">
        <v>1</v>
      </c>
      <c r="L2834">
        <v>96460</v>
      </c>
      <c r="M2834" t="str">
        <f t="shared" si="414"/>
        <v>13</v>
      </c>
      <c r="N2834" t="s">
        <v>3323</v>
      </c>
      <c r="O2834" t="str">
        <f t="shared" si="412"/>
        <v>59711</v>
      </c>
      <c r="P2834" t="str">
        <f>"2100L"</f>
        <v>2100L</v>
      </c>
      <c r="Q2834" t="str">
        <f t="shared" si="415"/>
        <v>0101</v>
      </c>
      <c r="R2834">
        <v>2100</v>
      </c>
      <c r="S2834" t="str">
        <f t="shared" si="413"/>
        <v>5970</v>
      </c>
      <c r="T2834" t="s">
        <v>3715</v>
      </c>
      <c r="U2834" t="s">
        <v>2380</v>
      </c>
    </row>
    <row r="2835" spans="1:21" ht="15" customHeight="1" x14ac:dyDescent="0.3">
      <c r="A2835" t="s">
        <v>179</v>
      </c>
      <c r="B2835" t="str">
        <f>"00073041"</f>
        <v>00073041</v>
      </c>
      <c r="C2835" t="s">
        <v>4260</v>
      </c>
      <c r="D2835" t="s">
        <v>3716</v>
      </c>
      <c r="E2835" t="str">
        <f>"00064304"</f>
        <v>00064304</v>
      </c>
      <c r="F2835">
        <v>0</v>
      </c>
      <c r="G2835" s="243">
        <v>40546</v>
      </c>
      <c r="H2835" t="s">
        <v>182</v>
      </c>
      <c r="I2835">
        <v>15</v>
      </c>
      <c r="J2835">
        <v>2</v>
      </c>
      <c r="K2835">
        <v>1</v>
      </c>
      <c r="L2835">
        <v>51716</v>
      </c>
      <c r="M2835" t="str">
        <f t="shared" si="414"/>
        <v>13</v>
      </c>
      <c r="N2835" t="s">
        <v>3323</v>
      </c>
      <c r="O2835" t="str">
        <f t="shared" si="412"/>
        <v>59711</v>
      </c>
      <c r="P2835" t="str">
        <f>"3030L"</f>
        <v>3030L</v>
      </c>
      <c r="Q2835" t="str">
        <f t="shared" si="415"/>
        <v>0101</v>
      </c>
      <c r="R2835">
        <v>3030</v>
      </c>
      <c r="S2835" t="str">
        <f t="shared" si="413"/>
        <v>5970</v>
      </c>
      <c r="T2835" t="s">
        <v>3715</v>
      </c>
      <c r="U2835" t="s">
        <v>2380</v>
      </c>
    </row>
    <row r="2836" spans="1:21" ht="15" customHeight="1" x14ac:dyDescent="0.3">
      <c r="A2836" t="s">
        <v>179</v>
      </c>
      <c r="B2836" t="str">
        <f>"00073948"</f>
        <v>00073948</v>
      </c>
      <c r="C2836" t="s">
        <v>4877</v>
      </c>
      <c r="D2836" t="s">
        <v>5162</v>
      </c>
      <c r="E2836" t="str">
        <f>"00052340"</f>
        <v>00052340</v>
      </c>
      <c r="F2836">
        <v>0</v>
      </c>
      <c r="G2836" s="243">
        <v>41091</v>
      </c>
      <c r="H2836" t="s">
        <v>182</v>
      </c>
      <c r="I2836">
        <v>9</v>
      </c>
      <c r="J2836">
        <v>8</v>
      </c>
      <c r="K2836">
        <v>0.49</v>
      </c>
      <c r="L2836">
        <v>10150.4</v>
      </c>
      <c r="M2836" t="str">
        <f t="shared" si="414"/>
        <v>13</v>
      </c>
      <c r="N2836" t="s">
        <v>3323</v>
      </c>
      <c r="O2836" t="str">
        <f t="shared" si="412"/>
        <v>59711</v>
      </c>
      <c r="P2836" t="str">
        <f>"1502L"</f>
        <v>1502L</v>
      </c>
      <c r="Q2836" t="str">
        <f t="shared" si="415"/>
        <v>0101</v>
      </c>
      <c r="R2836">
        <v>1502</v>
      </c>
      <c r="S2836" t="str">
        <f t="shared" si="413"/>
        <v>5970</v>
      </c>
      <c r="T2836" t="s">
        <v>3715</v>
      </c>
      <c r="U2836" t="s">
        <v>2380</v>
      </c>
    </row>
    <row r="2837" spans="1:21" ht="15" customHeight="1" x14ac:dyDescent="0.3">
      <c r="A2837" t="s">
        <v>179</v>
      </c>
      <c r="B2837" t="str">
        <f>"00074301"</f>
        <v>00074301</v>
      </c>
      <c r="C2837" t="s">
        <v>4272</v>
      </c>
      <c r="D2837" t="s">
        <v>3717</v>
      </c>
      <c r="E2837" t="str">
        <f>"00065826"</f>
        <v>00065826</v>
      </c>
      <c r="F2837">
        <v>0</v>
      </c>
      <c r="G2837" s="243">
        <v>40755</v>
      </c>
      <c r="H2837" t="s">
        <v>182</v>
      </c>
      <c r="I2837">
        <v>15</v>
      </c>
      <c r="J2837">
        <v>1</v>
      </c>
      <c r="K2837">
        <v>1</v>
      </c>
      <c r="L2837">
        <v>51539</v>
      </c>
      <c r="M2837" t="str">
        <f t="shared" si="414"/>
        <v>13</v>
      </c>
      <c r="N2837" t="s">
        <v>3323</v>
      </c>
      <c r="O2837" t="str">
        <f t="shared" si="412"/>
        <v>59711</v>
      </c>
      <c r="P2837" t="str">
        <f>"2100L"</f>
        <v>2100L</v>
      </c>
      <c r="Q2837" t="str">
        <f t="shared" si="415"/>
        <v>0101</v>
      </c>
      <c r="R2837">
        <v>2100</v>
      </c>
      <c r="S2837" t="str">
        <f t="shared" si="413"/>
        <v>5970</v>
      </c>
      <c r="T2837" t="s">
        <v>3715</v>
      </c>
      <c r="U2837" t="s">
        <v>2380</v>
      </c>
    </row>
    <row r="2838" spans="1:21" ht="15" customHeight="1" x14ac:dyDescent="0.3">
      <c r="A2838" t="s">
        <v>179</v>
      </c>
      <c r="B2838" t="str">
        <f>"00074568"</f>
        <v>00074568</v>
      </c>
      <c r="C2838" t="s">
        <v>314</v>
      </c>
      <c r="H2838" t="s">
        <v>170</v>
      </c>
      <c r="I2838">
        <v>16</v>
      </c>
      <c r="J2838">
        <v>0</v>
      </c>
      <c r="K2838">
        <v>0.49</v>
      </c>
      <c r="L2838">
        <v>48755.199999999997</v>
      </c>
      <c r="M2838" t="str">
        <f t="shared" si="414"/>
        <v>13</v>
      </c>
      <c r="N2838" t="s">
        <v>3323</v>
      </c>
      <c r="O2838" t="str">
        <f t="shared" si="412"/>
        <v>59711</v>
      </c>
      <c r="P2838" t="str">
        <f>"2100L"</f>
        <v>2100L</v>
      </c>
      <c r="Q2838" t="str">
        <f t="shared" si="415"/>
        <v>0101</v>
      </c>
      <c r="R2838">
        <v>2100</v>
      </c>
      <c r="S2838" t="str">
        <f t="shared" si="413"/>
        <v>5970</v>
      </c>
      <c r="T2838" t="s">
        <v>3715</v>
      </c>
      <c r="U2838" t="s">
        <v>2380</v>
      </c>
    </row>
    <row r="2839" spans="1:21" ht="15" customHeight="1" x14ac:dyDescent="0.3">
      <c r="A2839" t="s">
        <v>179</v>
      </c>
      <c r="B2839" t="str">
        <f>"00075129"</f>
        <v>00075129</v>
      </c>
      <c r="C2839" t="s">
        <v>4274</v>
      </c>
      <c r="D2839" t="s">
        <v>5163</v>
      </c>
      <c r="E2839" t="str">
        <f>"00066356"</f>
        <v>00066356</v>
      </c>
      <c r="F2839">
        <v>0</v>
      </c>
      <c r="G2839" s="243">
        <v>40770</v>
      </c>
      <c r="H2839" t="s">
        <v>182</v>
      </c>
      <c r="I2839">
        <v>4</v>
      </c>
      <c r="J2839">
        <v>9</v>
      </c>
      <c r="K2839">
        <v>0.88</v>
      </c>
      <c r="L2839">
        <v>28025.38</v>
      </c>
      <c r="M2839" t="str">
        <f t="shared" si="414"/>
        <v>13</v>
      </c>
      <c r="N2839" t="s">
        <v>3323</v>
      </c>
      <c r="O2839" t="str">
        <f t="shared" si="412"/>
        <v>59711</v>
      </c>
      <c r="P2839" t="str">
        <f>"2200L"</f>
        <v>2200L</v>
      </c>
      <c r="Q2839" t="str">
        <f t="shared" si="415"/>
        <v>0101</v>
      </c>
      <c r="R2839">
        <v>2200</v>
      </c>
      <c r="S2839" t="str">
        <f t="shared" si="413"/>
        <v>5970</v>
      </c>
      <c r="T2839" t="s">
        <v>3715</v>
      </c>
      <c r="U2839" t="s">
        <v>2380</v>
      </c>
    </row>
    <row r="2840" spans="1:21" ht="15" customHeight="1" x14ac:dyDescent="0.3">
      <c r="A2840" t="s">
        <v>179</v>
      </c>
      <c r="B2840" t="str">
        <f>"00076333"</f>
        <v>00076333</v>
      </c>
      <c r="C2840" t="s">
        <v>4271</v>
      </c>
      <c r="D2840" t="s">
        <v>4688</v>
      </c>
      <c r="E2840" t="str">
        <f>"00046971"</f>
        <v>00046971</v>
      </c>
      <c r="F2840">
        <v>0</v>
      </c>
      <c r="G2840" s="243">
        <v>39679</v>
      </c>
      <c r="H2840" t="s">
        <v>182</v>
      </c>
      <c r="I2840">
        <v>15</v>
      </c>
      <c r="J2840">
        <v>4</v>
      </c>
      <c r="K2840">
        <v>0.25</v>
      </c>
      <c r="L2840">
        <v>61158</v>
      </c>
      <c r="M2840" t="str">
        <f t="shared" si="414"/>
        <v>13</v>
      </c>
      <c r="N2840" t="s">
        <v>3323</v>
      </c>
      <c r="O2840" t="str">
        <f t="shared" si="412"/>
        <v>59711</v>
      </c>
      <c r="P2840" t="str">
        <f>"2100L"</f>
        <v>2100L</v>
      </c>
      <c r="Q2840" t="str">
        <f t="shared" si="415"/>
        <v>0101</v>
      </c>
      <c r="R2840">
        <v>2100</v>
      </c>
      <c r="S2840" t="str">
        <f t="shared" si="413"/>
        <v>5970</v>
      </c>
      <c r="T2840" t="s">
        <v>3715</v>
      </c>
      <c r="U2840" t="s">
        <v>2380</v>
      </c>
    </row>
    <row r="2841" spans="1:21" ht="15" customHeight="1" x14ac:dyDescent="0.3">
      <c r="A2841" t="s">
        <v>179</v>
      </c>
      <c r="B2841" t="str">
        <f>"00057378"</f>
        <v>00057378</v>
      </c>
      <c r="C2841" t="s">
        <v>3798</v>
      </c>
      <c r="D2841" t="s">
        <v>2449</v>
      </c>
      <c r="E2841" t="str">
        <f>"00062085"</f>
        <v>00062085</v>
      </c>
      <c r="F2841">
        <v>0</v>
      </c>
      <c r="G2841" s="243">
        <v>40364</v>
      </c>
      <c r="H2841" t="s">
        <v>182</v>
      </c>
      <c r="I2841">
        <v>61</v>
      </c>
      <c r="J2841">
        <v>4</v>
      </c>
      <c r="K2841">
        <v>1</v>
      </c>
      <c r="L2841">
        <v>115000</v>
      </c>
      <c r="M2841" t="str">
        <f t="shared" si="414"/>
        <v>13</v>
      </c>
      <c r="N2841" t="s">
        <v>3323</v>
      </c>
      <c r="O2841" t="str">
        <f t="shared" ref="O2841:O2878" si="416">"59811"</f>
        <v>59811</v>
      </c>
      <c r="P2841" t="str">
        <f>"1501L"</f>
        <v>1501L</v>
      </c>
      <c r="Q2841" t="str">
        <f t="shared" si="415"/>
        <v>0101</v>
      </c>
      <c r="R2841">
        <v>1501</v>
      </c>
      <c r="S2841" t="str">
        <f t="shared" ref="S2841:S2869" si="417">"5980"</f>
        <v>5980</v>
      </c>
      <c r="T2841" t="s">
        <v>3721</v>
      </c>
      <c r="U2841" t="s">
        <v>67</v>
      </c>
    </row>
    <row r="2842" spans="1:21" ht="15" customHeight="1" x14ac:dyDescent="0.3">
      <c r="A2842" t="s">
        <v>179</v>
      </c>
      <c r="B2842" t="str">
        <f>"00059028"</f>
        <v>00059028</v>
      </c>
      <c r="C2842" t="s">
        <v>4272</v>
      </c>
      <c r="D2842" t="s">
        <v>1461</v>
      </c>
      <c r="E2842" t="str">
        <f>"00054010"</f>
        <v>00054010</v>
      </c>
      <c r="F2842">
        <v>0</v>
      </c>
      <c r="G2842" s="243">
        <v>37493</v>
      </c>
      <c r="H2842" t="s">
        <v>182</v>
      </c>
      <c r="I2842">
        <v>15</v>
      </c>
      <c r="J2842">
        <v>14</v>
      </c>
      <c r="K2842">
        <v>1</v>
      </c>
      <c r="L2842">
        <v>96460</v>
      </c>
      <c r="M2842" t="str">
        <f t="shared" si="414"/>
        <v>13</v>
      </c>
      <c r="N2842" t="s">
        <v>3323</v>
      </c>
      <c r="O2842" t="str">
        <f t="shared" si="416"/>
        <v>59811</v>
      </c>
      <c r="P2842" t="str">
        <f>"2200L"</f>
        <v>2200L</v>
      </c>
      <c r="Q2842" t="str">
        <f t="shared" si="415"/>
        <v>0101</v>
      </c>
      <c r="R2842">
        <v>2200</v>
      </c>
      <c r="S2842" t="str">
        <f t="shared" si="417"/>
        <v>5980</v>
      </c>
      <c r="T2842" t="s">
        <v>3721</v>
      </c>
      <c r="U2842" t="s">
        <v>67</v>
      </c>
    </row>
    <row r="2843" spans="1:21" ht="15" customHeight="1" x14ac:dyDescent="0.3">
      <c r="A2843" t="s">
        <v>179</v>
      </c>
      <c r="B2843" t="str">
        <f>"00061887"</f>
        <v>00061887</v>
      </c>
      <c r="C2843" t="s">
        <v>4272</v>
      </c>
      <c r="D2843" t="s">
        <v>2450</v>
      </c>
      <c r="E2843" t="str">
        <f>"00045597"</f>
        <v>00045597</v>
      </c>
      <c r="F2843">
        <v>0</v>
      </c>
      <c r="G2843" s="243">
        <v>39679</v>
      </c>
      <c r="H2843" t="s">
        <v>182</v>
      </c>
      <c r="I2843">
        <v>15</v>
      </c>
      <c r="J2843">
        <v>9</v>
      </c>
      <c r="K2843">
        <v>1</v>
      </c>
      <c r="L2843">
        <v>77687</v>
      </c>
      <c r="M2843" t="str">
        <f t="shared" si="414"/>
        <v>13</v>
      </c>
      <c r="N2843" t="s">
        <v>3323</v>
      </c>
      <c r="O2843" t="str">
        <f t="shared" si="416"/>
        <v>59811</v>
      </c>
      <c r="P2843" t="str">
        <f>"2100L"</f>
        <v>2100L</v>
      </c>
      <c r="Q2843" t="str">
        <f t="shared" si="415"/>
        <v>0101</v>
      </c>
      <c r="R2843">
        <v>2100</v>
      </c>
      <c r="S2843" t="str">
        <f t="shared" si="417"/>
        <v>5980</v>
      </c>
      <c r="T2843" t="s">
        <v>3721</v>
      </c>
      <c r="U2843" t="s">
        <v>67</v>
      </c>
    </row>
    <row r="2844" spans="1:21" ht="15" customHeight="1" x14ac:dyDescent="0.3">
      <c r="A2844" t="s">
        <v>179</v>
      </c>
      <c r="B2844" t="str">
        <f>"00070988"</f>
        <v>00070988</v>
      </c>
      <c r="C2844" t="s">
        <v>4272</v>
      </c>
      <c r="D2844" t="s">
        <v>5164</v>
      </c>
      <c r="E2844" t="str">
        <f>"00069992"</f>
        <v>00069992</v>
      </c>
      <c r="F2844">
        <v>0</v>
      </c>
      <c r="G2844" s="243">
        <v>41133</v>
      </c>
      <c r="H2844" t="s">
        <v>182</v>
      </c>
      <c r="I2844">
        <v>15</v>
      </c>
      <c r="J2844">
        <v>1</v>
      </c>
      <c r="K2844">
        <v>1</v>
      </c>
      <c r="L2844">
        <v>51539</v>
      </c>
      <c r="M2844" t="str">
        <f t="shared" si="414"/>
        <v>13</v>
      </c>
      <c r="N2844" t="s">
        <v>3370</v>
      </c>
      <c r="O2844" t="str">
        <f t="shared" si="416"/>
        <v>59811</v>
      </c>
      <c r="P2844" t="str">
        <f>"2100L"</f>
        <v>2100L</v>
      </c>
      <c r="Q2844" t="str">
        <f t="shared" si="415"/>
        <v>0101</v>
      </c>
      <c r="R2844">
        <v>2100</v>
      </c>
      <c r="S2844" t="str">
        <f t="shared" si="417"/>
        <v>5980</v>
      </c>
      <c r="T2844" t="s">
        <v>3721</v>
      </c>
      <c r="U2844" t="s">
        <v>67</v>
      </c>
    </row>
    <row r="2845" spans="1:21" ht="15" customHeight="1" x14ac:dyDescent="0.3">
      <c r="A2845" t="s">
        <v>179</v>
      </c>
      <c r="B2845" t="str">
        <f>"00072127"</f>
        <v>00072127</v>
      </c>
      <c r="C2845" t="s">
        <v>4274</v>
      </c>
      <c r="D2845" t="s">
        <v>5165</v>
      </c>
      <c r="E2845" t="str">
        <f>"00065968"</f>
        <v>00065968</v>
      </c>
      <c r="F2845">
        <v>0</v>
      </c>
      <c r="G2845" s="243">
        <v>40755</v>
      </c>
      <c r="H2845" t="s">
        <v>182</v>
      </c>
      <c r="I2845">
        <v>4</v>
      </c>
      <c r="J2845">
        <v>5</v>
      </c>
      <c r="K2845">
        <v>1</v>
      </c>
      <c r="L2845">
        <v>25239.37</v>
      </c>
      <c r="M2845" t="str">
        <f t="shared" si="414"/>
        <v>13</v>
      </c>
      <c r="N2845" t="s">
        <v>3323</v>
      </c>
      <c r="O2845" t="str">
        <f t="shared" si="416"/>
        <v>59811</v>
      </c>
      <c r="P2845" t="str">
        <f>"2200L"</f>
        <v>2200L</v>
      </c>
      <c r="Q2845" t="str">
        <f t="shared" si="415"/>
        <v>0101</v>
      </c>
      <c r="R2845">
        <v>2200</v>
      </c>
      <c r="S2845" t="str">
        <f t="shared" si="417"/>
        <v>5980</v>
      </c>
      <c r="T2845" t="s">
        <v>3721</v>
      </c>
      <c r="U2845" t="s">
        <v>67</v>
      </c>
    </row>
    <row r="2846" spans="1:21" ht="15" customHeight="1" x14ac:dyDescent="0.3">
      <c r="A2846" t="s">
        <v>179</v>
      </c>
      <c r="B2846" t="str">
        <f>"00072151"</f>
        <v>00072151</v>
      </c>
      <c r="C2846" t="s">
        <v>3670</v>
      </c>
      <c r="D2846" t="s">
        <v>5166</v>
      </c>
      <c r="E2846" t="str">
        <f>"00062360"</f>
        <v>00062360</v>
      </c>
      <c r="F2846">
        <v>0</v>
      </c>
      <c r="G2846" s="243">
        <v>40363</v>
      </c>
      <c r="H2846" t="s">
        <v>182</v>
      </c>
      <c r="I2846">
        <v>8</v>
      </c>
      <c r="J2846">
        <v>2</v>
      </c>
      <c r="K2846">
        <v>1</v>
      </c>
      <c r="L2846">
        <v>84746</v>
      </c>
      <c r="M2846" t="str">
        <f t="shared" si="414"/>
        <v>13</v>
      </c>
      <c r="N2846" t="s">
        <v>3323</v>
      </c>
      <c r="O2846" t="str">
        <f t="shared" si="416"/>
        <v>59811</v>
      </c>
      <c r="P2846" t="str">
        <f>"1501L"</f>
        <v>1501L</v>
      </c>
      <c r="Q2846" t="str">
        <f t="shared" si="415"/>
        <v>0101</v>
      </c>
      <c r="R2846">
        <v>1501</v>
      </c>
      <c r="S2846" t="str">
        <f t="shared" si="417"/>
        <v>5980</v>
      </c>
      <c r="T2846" t="s">
        <v>3721</v>
      </c>
      <c r="U2846" t="s">
        <v>67</v>
      </c>
    </row>
    <row r="2847" spans="1:21" ht="15" customHeight="1" x14ac:dyDescent="0.3">
      <c r="A2847" t="s">
        <v>179</v>
      </c>
      <c r="B2847" t="str">
        <f>"00072232"</f>
        <v>00072232</v>
      </c>
      <c r="C2847" t="s">
        <v>4262</v>
      </c>
      <c r="H2847" t="s">
        <v>170</v>
      </c>
      <c r="I2847">
        <v>15</v>
      </c>
      <c r="J2847">
        <v>1</v>
      </c>
      <c r="K2847">
        <v>1</v>
      </c>
      <c r="L2847">
        <v>53256</v>
      </c>
      <c r="M2847" t="str">
        <f t="shared" si="414"/>
        <v>13</v>
      </c>
      <c r="N2847" t="s">
        <v>3323</v>
      </c>
      <c r="O2847" t="str">
        <f t="shared" si="416"/>
        <v>59811</v>
      </c>
      <c r="P2847" t="str">
        <f>"2100L"</f>
        <v>2100L</v>
      </c>
      <c r="Q2847" t="str">
        <f t="shared" si="415"/>
        <v>0101</v>
      </c>
      <c r="R2847">
        <v>2100</v>
      </c>
      <c r="S2847" t="str">
        <f t="shared" si="417"/>
        <v>5980</v>
      </c>
      <c r="T2847" t="s">
        <v>3721</v>
      </c>
      <c r="U2847" t="s">
        <v>67</v>
      </c>
    </row>
    <row r="2848" spans="1:21" ht="15" customHeight="1" x14ac:dyDescent="0.3">
      <c r="A2848" t="s">
        <v>179</v>
      </c>
      <c r="B2848" t="str">
        <f>"00072233"</f>
        <v>00072233</v>
      </c>
      <c r="C2848" t="s">
        <v>4262</v>
      </c>
      <c r="H2848" t="s">
        <v>170</v>
      </c>
      <c r="I2848">
        <v>15</v>
      </c>
      <c r="J2848">
        <v>1</v>
      </c>
      <c r="K2848">
        <v>1</v>
      </c>
      <c r="L2848">
        <v>53256</v>
      </c>
      <c r="M2848" t="str">
        <f t="shared" si="414"/>
        <v>13</v>
      </c>
      <c r="N2848" t="s">
        <v>3323</v>
      </c>
      <c r="O2848" t="str">
        <f t="shared" si="416"/>
        <v>59811</v>
      </c>
      <c r="P2848" t="str">
        <f>"2100L"</f>
        <v>2100L</v>
      </c>
      <c r="Q2848" t="str">
        <f t="shared" si="415"/>
        <v>0101</v>
      </c>
      <c r="R2848">
        <v>2100</v>
      </c>
      <c r="S2848" t="str">
        <f t="shared" si="417"/>
        <v>5980</v>
      </c>
      <c r="T2848" t="s">
        <v>3721</v>
      </c>
      <c r="U2848" t="s">
        <v>67</v>
      </c>
    </row>
    <row r="2849" spans="1:21" ht="15" customHeight="1" x14ac:dyDescent="0.3">
      <c r="A2849" t="s">
        <v>179</v>
      </c>
      <c r="B2849" t="str">
        <f>"00072234"</f>
        <v>00072234</v>
      </c>
      <c r="C2849" t="s">
        <v>4262</v>
      </c>
      <c r="D2849" t="s">
        <v>2451</v>
      </c>
      <c r="E2849" t="str">
        <f>"00062771"</f>
        <v>00062771</v>
      </c>
      <c r="F2849">
        <v>0</v>
      </c>
      <c r="G2849" s="243">
        <v>40392</v>
      </c>
      <c r="H2849" t="s">
        <v>182</v>
      </c>
      <c r="I2849">
        <v>15</v>
      </c>
      <c r="J2849">
        <v>6</v>
      </c>
      <c r="K2849">
        <v>1</v>
      </c>
      <c r="L2849">
        <v>66078</v>
      </c>
      <c r="M2849" t="str">
        <f t="shared" si="414"/>
        <v>13</v>
      </c>
      <c r="N2849" t="s">
        <v>3323</v>
      </c>
      <c r="O2849" t="str">
        <f t="shared" si="416"/>
        <v>59811</v>
      </c>
      <c r="P2849" t="str">
        <f>"2100L"</f>
        <v>2100L</v>
      </c>
      <c r="Q2849" t="str">
        <f t="shared" si="415"/>
        <v>0101</v>
      </c>
      <c r="R2849">
        <v>2100</v>
      </c>
      <c r="S2849" t="str">
        <f t="shared" si="417"/>
        <v>5980</v>
      </c>
      <c r="T2849" t="s">
        <v>3721</v>
      </c>
      <c r="U2849" t="s">
        <v>67</v>
      </c>
    </row>
    <row r="2850" spans="1:21" ht="15" customHeight="1" x14ac:dyDescent="0.3">
      <c r="A2850" t="s">
        <v>179</v>
      </c>
      <c r="B2850" t="str">
        <f>"00072235"</f>
        <v>00072235</v>
      </c>
      <c r="C2850" t="s">
        <v>4262</v>
      </c>
      <c r="D2850" t="s">
        <v>2452</v>
      </c>
      <c r="E2850" t="str">
        <f>"00062526"</f>
        <v>00062526</v>
      </c>
      <c r="F2850">
        <v>0</v>
      </c>
      <c r="G2850" s="243">
        <v>40392</v>
      </c>
      <c r="H2850" t="s">
        <v>182</v>
      </c>
      <c r="I2850">
        <v>15</v>
      </c>
      <c r="J2850">
        <v>5</v>
      </c>
      <c r="K2850">
        <v>1</v>
      </c>
      <c r="L2850">
        <v>56655</v>
      </c>
      <c r="M2850" t="str">
        <f t="shared" si="414"/>
        <v>13</v>
      </c>
      <c r="N2850" t="s">
        <v>3323</v>
      </c>
      <c r="O2850" t="str">
        <f t="shared" si="416"/>
        <v>59811</v>
      </c>
      <c r="P2850" t="str">
        <f>"2100L"</f>
        <v>2100L</v>
      </c>
      <c r="Q2850" t="str">
        <f t="shared" si="415"/>
        <v>0101</v>
      </c>
      <c r="R2850">
        <v>2100</v>
      </c>
      <c r="S2850" t="str">
        <f t="shared" si="417"/>
        <v>5980</v>
      </c>
      <c r="T2850" t="s">
        <v>3721</v>
      </c>
      <c r="U2850" t="s">
        <v>67</v>
      </c>
    </row>
    <row r="2851" spans="1:21" ht="15" customHeight="1" x14ac:dyDescent="0.3">
      <c r="A2851" t="s">
        <v>179</v>
      </c>
      <c r="B2851" t="str">
        <f>"00072236"</f>
        <v>00072236</v>
      </c>
      <c r="C2851" t="s">
        <v>4262</v>
      </c>
      <c r="D2851" t="s">
        <v>1582</v>
      </c>
      <c r="E2851" t="str">
        <f>"00051847"</f>
        <v>00051847</v>
      </c>
      <c r="F2851">
        <v>0</v>
      </c>
      <c r="G2851" s="243">
        <v>33161</v>
      </c>
      <c r="H2851" t="s">
        <v>182</v>
      </c>
      <c r="I2851">
        <v>15</v>
      </c>
      <c r="J2851">
        <v>16</v>
      </c>
      <c r="K2851">
        <v>1</v>
      </c>
      <c r="L2851">
        <v>100839</v>
      </c>
      <c r="M2851" t="str">
        <f t="shared" si="414"/>
        <v>13</v>
      </c>
      <c r="N2851" t="s">
        <v>3370</v>
      </c>
      <c r="O2851" t="str">
        <f t="shared" si="416"/>
        <v>59811</v>
      </c>
      <c r="P2851" t="str">
        <f>"2100L"</f>
        <v>2100L</v>
      </c>
      <c r="Q2851" t="str">
        <f t="shared" si="415"/>
        <v>0101</v>
      </c>
      <c r="R2851">
        <v>2100</v>
      </c>
      <c r="S2851" t="str">
        <f t="shared" si="417"/>
        <v>5980</v>
      </c>
      <c r="T2851" t="s">
        <v>3721</v>
      </c>
      <c r="U2851" t="s">
        <v>67</v>
      </c>
    </row>
    <row r="2852" spans="1:21" ht="15" customHeight="1" x14ac:dyDescent="0.3">
      <c r="A2852" t="s">
        <v>179</v>
      </c>
      <c r="B2852" t="str">
        <f>"00072238"</f>
        <v>00072238</v>
      </c>
      <c r="C2852" t="s">
        <v>4262</v>
      </c>
      <c r="D2852" t="s">
        <v>3723</v>
      </c>
      <c r="E2852" t="str">
        <f>"00065746"</f>
        <v>00065746</v>
      </c>
      <c r="F2852">
        <v>0</v>
      </c>
      <c r="G2852" s="243">
        <v>40755</v>
      </c>
      <c r="H2852" t="s">
        <v>182</v>
      </c>
      <c r="I2852">
        <v>15</v>
      </c>
      <c r="J2852">
        <v>3</v>
      </c>
      <c r="K2852">
        <v>1</v>
      </c>
      <c r="L2852">
        <v>58699</v>
      </c>
      <c r="M2852" t="str">
        <f t="shared" si="414"/>
        <v>13</v>
      </c>
      <c r="N2852" t="s">
        <v>3323</v>
      </c>
      <c r="O2852" t="str">
        <f t="shared" si="416"/>
        <v>59811</v>
      </c>
      <c r="P2852" t="str">
        <f t="shared" ref="P2852:P2865" si="418">"2100L"</f>
        <v>2100L</v>
      </c>
      <c r="Q2852" t="str">
        <f t="shared" si="415"/>
        <v>0101</v>
      </c>
      <c r="R2852">
        <v>2100</v>
      </c>
      <c r="S2852" t="str">
        <f t="shared" si="417"/>
        <v>5980</v>
      </c>
      <c r="T2852" t="s">
        <v>3721</v>
      </c>
      <c r="U2852" t="s">
        <v>67</v>
      </c>
    </row>
    <row r="2853" spans="1:21" ht="15" customHeight="1" x14ac:dyDescent="0.3">
      <c r="A2853" t="s">
        <v>179</v>
      </c>
      <c r="B2853" t="str">
        <f>"00072239"</f>
        <v>00072239</v>
      </c>
      <c r="C2853" t="s">
        <v>4262</v>
      </c>
      <c r="H2853" t="s">
        <v>170</v>
      </c>
      <c r="I2853">
        <v>15</v>
      </c>
      <c r="J2853">
        <v>1</v>
      </c>
      <c r="K2853">
        <v>1</v>
      </c>
      <c r="L2853">
        <v>51539</v>
      </c>
      <c r="M2853" t="str">
        <f t="shared" si="414"/>
        <v>13</v>
      </c>
      <c r="N2853" t="s">
        <v>3323</v>
      </c>
      <c r="O2853" t="str">
        <f t="shared" si="416"/>
        <v>59811</v>
      </c>
      <c r="P2853" t="str">
        <f t="shared" si="418"/>
        <v>2100L</v>
      </c>
      <c r="Q2853" t="str">
        <f t="shared" si="415"/>
        <v>0101</v>
      </c>
      <c r="R2853">
        <v>2100</v>
      </c>
      <c r="S2853" t="str">
        <f t="shared" si="417"/>
        <v>5980</v>
      </c>
      <c r="T2853" t="s">
        <v>3721</v>
      </c>
      <c r="U2853" t="s">
        <v>67</v>
      </c>
    </row>
    <row r="2854" spans="1:21" ht="15" customHeight="1" x14ac:dyDescent="0.3">
      <c r="A2854" t="s">
        <v>179</v>
      </c>
      <c r="B2854" t="str">
        <f>"00072240"</f>
        <v>00072240</v>
      </c>
      <c r="C2854" t="s">
        <v>4260</v>
      </c>
      <c r="H2854" t="s">
        <v>170</v>
      </c>
      <c r="I2854">
        <v>15</v>
      </c>
      <c r="J2854">
        <v>1</v>
      </c>
      <c r="K2854">
        <v>1</v>
      </c>
      <c r="L2854">
        <v>53256</v>
      </c>
      <c r="M2854" t="str">
        <f t="shared" si="414"/>
        <v>13</v>
      </c>
      <c r="N2854" t="s">
        <v>3323</v>
      </c>
      <c r="O2854" t="str">
        <f t="shared" si="416"/>
        <v>59811</v>
      </c>
      <c r="P2854" t="str">
        <f t="shared" si="418"/>
        <v>2100L</v>
      </c>
      <c r="Q2854" t="str">
        <f t="shared" si="415"/>
        <v>0101</v>
      </c>
      <c r="R2854">
        <v>2100</v>
      </c>
      <c r="S2854" t="str">
        <f t="shared" si="417"/>
        <v>5980</v>
      </c>
      <c r="T2854" t="s">
        <v>3721</v>
      </c>
      <c r="U2854" t="s">
        <v>67</v>
      </c>
    </row>
    <row r="2855" spans="1:21" ht="15" customHeight="1" x14ac:dyDescent="0.3">
      <c r="A2855" t="s">
        <v>179</v>
      </c>
      <c r="B2855" t="str">
        <f>"00072241"</f>
        <v>00072241</v>
      </c>
      <c r="C2855" t="s">
        <v>4260</v>
      </c>
      <c r="D2855" t="s">
        <v>5167</v>
      </c>
      <c r="E2855" t="str">
        <f>"00069935"</f>
        <v>00069935</v>
      </c>
      <c r="F2855">
        <v>0</v>
      </c>
      <c r="G2855" s="243">
        <v>41133</v>
      </c>
      <c r="H2855" t="s">
        <v>182</v>
      </c>
      <c r="I2855">
        <v>15</v>
      </c>
      <c r="J2855">
        <v>1</v>
      </c>
      <c r="K2855">
        <v>1</v>
      </c>
      <c r="L2855">
        <v>51539</v>
      </c>
      <c r="M2855" t="str">
        <f t="shared" si="414"/>
        <v>13</v>
      </c>
      <c r="N2855" t="s">
        <v>3370</v>
      </c>
      <c r="O2855" t="str">
        <f t="shared" si="416"/>
        <v>59811</v>
      </c>
      <c r="P2855" t="str">
        <f t="shared" si="418"/>
        <v>2100L</v>
      </c>
      <c r="Q2855" t="str">
        <f t="shared" si="415"/>
        <v>0101</v>
      </c>
      <c r="R2855">
        <v>2100</v>
      </c>
      <c r="S2855" t="str">
        <f t="shared" si="417"/>
        <v>5980</v>
      </c>
      <c r="T2855" t="s">
        <v>3721</v>
      </c>
      <c r="U2855" t="s">
        <v>67</v>
      </c>
    </row>
    <row r="2856" spans="1:21" ht="15" customHeight="1" x14ac:dyDescent="0.3">
      <c r="A2856" t="s">
        <v>179</v>
      </c>
      <c r="B2856" t="str">
        <f>"00072242"</f>
        <v>00072242</v>
      </c>
      <c r="C2856" t="s">
        <v>4272</v>
      </c>
      <c r="D2856" t="s">
        <v>5168</v>
      </c>
      <c r="E2856" t="str">
        <f>"00062535"</f>
        <v>00062535</v>
      </c>
      <c r="F2856">
        <v>0</v>
      </c>
      <c r="G2856" s="243">
        <v>40392</v>
      </c>
      <c r="H2856" t="s">
        <v>182</v>
      </c>
      <c r="I2856">
        <v>15</v>
      </c>
      <c r="J2856">
        <v>3</v>
      </c>
      <c r="K2856">
        <v>1</v>
      </c>
      <c r="L2856">
        <v>58699</v>
      </c>
      <c r="M2856" t="str">
        <f t="shared" si="414"/>
        <v>13</v>
      </c>
      <c r="N2856" t="s">
        <v>3323</v>
      </c>
      <c r="O2856" t="str">
        <f t="shared" si="416"/>
        <v>59811</v>
      </c>
      <c r="P2856" t="str">
        <f t="shared" si="418"/>
        <v>2100L</v>
      </c>
      <c r="Q2856" t="str">
        <f t="shared" si="415"/>
        <v>0101</v>
      </c>
      <c r="R2856">
        <v>2100</v>
      </c>
      <c r="S2856" t="str">
        <f t="shared" si="417"/>
        <v>5980</v>
      </c>
      <c r="T2856" t="s">
        <v>3721</v>
      </c>
      <c r="U2856" t="s">
        <v>67</v>
      </c>
    </row>
    <row r="2857" spans="1:21" ht="15" customHeight="1" x14ac:dyDescent="0.3">
      <c r="A2857" t="s">
        <v>179</v>
      </c>
      <c r="B2857" t="str">
        <f>"00072279"</f>
        <v>00072279</v>
      </c>
      <c r="C2857" t="s">
        <v>4262</v>
      </c>
      <c r="D2857" t="s">
        <v>3724</v>
      </c>
      <c r="E2857" t="str">
        <f>"00066274"</f>
        <v>00066274</v>
      </c>
      <c r="F2857">
        <v>0</v>
      </c>
      <c r="G2857" s="243">
        <v>40755</v>
      </c>
      <c r="H2857" t="s">
        <v>182</v>
      </c>
      <c r="I2857">
        <v>15</v>
      </c>
      <c r="J2857">
        <v>2</v>
      </c>
      <c r="K2857">
        <v>1</v>
      </c>
      <c r="L2857">
        <v>51716</v>
      </c>
      <c r="M2857" t="str">
        <f t="shared" si="414"/>
        <v>13</v>
      </c>
      <c r="N2857" t="s">
        <v>3323</v>
      </c>
      <c r="O2857" t="str">
        <f t="shared" si="416"/>
        <v>59811</v>
      </c>
      <c r="P2857" t="str">
        <f t="shared" si="418"/>
        <v>2100L</v>
      </c>
      <c r="Q2857" t="str">
        <f t="shared" si="415"/>
        <v>0101</v>
      </c>
      <c r="R2857">
        <v>2100</v>
      </c>
      <c r="S2857" t="str">
        <f t="shared" si="417"/>
        <v>5980</v>
      </c>
      <c r="T2857" t="s">
        <v>3721</v>
      </c>
      <c r="U2857" t="s">
        <v>67</v>
      </c>
    </row>
    <row r="2858" spans="1:21" ht="15" customHeight="1" x14ac:dyDescent="0.3">
      <c r="A2858" t="s">
        <v>179</v>
      </c>
      <c r="B2858" t="str">
        <f>"00072280"</f>
        <v>00072280</v>
      </c>
      <c r="C2858" t="s">
        <v>4272</v>
      </c>
      <c r="D2858" t="s">
        <v>3725</v>
      </c>
      <c r="E2858" t="str">
        <f>"00066610"</f>
        <v>00066610</v>
      </c>
      <c r="F2858">
        <v>0</v>
      </c>
      <c r="G2858" s="243">
        <v>40798</v>
      </c>
      <c r="H2858" t="s">
        <v>182</v>
      </c>
      <c r="I2858">
        <v>15</v>
      </c>
      <c r="J2858">
        <v>8</v>
      </c>
      <c r="K2858">
        <v>1</v>
      </c>
      <c r="L2858">
        <v>63517</v>
      </c>
      <c r="M2858" t="str">
        <f t="shared" si="414"/>
        <v>13</v>
      </c>
      <c r="N2858" t="s">
        <v>3323</v>
      </c>
      <c r="O2858" t="str">
        <f t="shared" si="416"/>
        <v>59811</v>
      </c>
      <c r="P2858" t="str">
        <f t="shared" si="418"/>
        <v>2100L</v>
      </c>
      <c r="Q2858" t="str">
        <f t="shared" si="415"/>
        <v>0101</v>
      </c>
      <c r="R2858">
        <v>2100</v>
      </c>
      <c r="S2858" t="str">
        <f t="shared" si="417"/>
        <v>5980</v>
      </c>
      <c r="T2858" t="s">
        <v>3721</v>
      </c>
      <c r="U2858" t="s">
        <v>67</v>
      </c>
    </row>
    <row r="2859" spans="1:21" ht="15" customHeight="1" x14ac:dyDescent="0.3">
      <c r="A2859" t="s">
        <v>179</v>
      </c>
      <c r="B2859" t="str">
        <f>"00072351"</f>
        <v>00072351</v>
      </c>
      <c r="C2859" t="s">
        <v>4272</v>
      </c>
      <c r="D2859" t="s">
        <v>3726</v>
      </c>
      <c r="E2859" t="str">
        <f>"00066482"</f>
        <v>00066482</v>
      </c>
      <c r="F2859">
        <v>0</v>
      </c>
      <c r="G2859" s="243">
        <v>40755</v>
      </c>
      <c r="H2859" t="s">
        <v>182</v>
      </c>
      <c r="I2859">
        <v>15</v>
      </c>
      <c r="J2859">
        <v>2</v>
      </c>
      <c r="K2859">
        <v>1</v>
      </c>
      <c r="L2859">
        <v>56242</v>
      </c>
      <c r="M2859" t="str">
        <f t="shared" si="414"/>
        <v>13</v>
      </c>
      <c r="N2859" t="s">
        <v>3323</v>
      </c>
      <c r="O2859" t="str">
        <f t="shared" si="416"/>
        <v>59811</v>
      </c>
      <c r="P2859" t="str">
        <f t="shared" si="418"/>
        <v>2100L</v>
      </c>
      <c r="Q2859" t="str">
        <f t="shared" si="415"/>
        <v>0101</v>
      </c>
      <c r="R2859">
        <v>2100</v>
      </c>
      <c r="S2859" t="str">
        <f t="shared" si="417"/>
        <v>5980</v>
      </c>
      <c r="T2859" t="s">
        <v>3721</v>
      </c>
      <c r="U2859" t="s">
        <v>67</v>
      </c>
    </row>
    <row r="2860" spans="1:21" ht="15" customHeight="1" x14ac:dyDescent="0.3">
      <c r="A2860" t="s">
        <v>179</v>
      </c>
      <c r="B2860" t="str">
        <f>"00072352"</f>
        <v>00072352</v>
      </c>
      <c r="C2860" t="s">
        <v>4262</v>
      </c>
      <c r="D2860" t="s">
        <v>2454</v>
      </c>
      <c r="E2860" t="str">
        <f>"00062514"</f>
        <v>00062514</v>
      </c>
      <c r="F2860">
        <v>0</v>
      </c>
      <c r="G2860" s="243">
        <v>40392</v>
      </c>
      <c r="H2860" t="s">
        <v>182</v>
      </c>
      <c r="I2860">
        <v>15</v>
      </c>
      <c r="J2860">
        <v>5</v>
      </c>
      <c r="K2860">
        <v>1</v>
      </c>
      <c r="L2860">
        <v>63611</v>
      </c>
      <c r="M2860" t="str">
        <f t="shared" si="414"/>
        <v>13</v>
      </c>
      <c r="N2860" t="s">
        <v>3323</v>
      </c>
      <c r="O2860" t="str">
        <f t="shared" si="416"/>
        <v>59811</v>
      </c>
      <c r="P2860" t="str">
        <f t="shared" si="418"/>
        <v>2100L</v>
      </c>
      <c r="Q2860" t="str">
        <f t="shared" si="415"/>
        <v>0101</v>
      </c>
      <c r="R2860">
        <v>2100</v>
      </c>
      <c r="S2860" t="str">
        <f t="shared" si="417"/>
        <v>5980</v>
      </c>
      <c r="T2860" t="s">
        <v>3721</v>
      </c>
      <c r="U2860" t="s">
        <v>67</v>
      </c>
    </row>
    <row r="2861" spans="1:21" ht="15" customHeight="1" x14ac:dyDescent="0.3">
      <c r="A2861" t="s">
        <v>179</v>
      </c>
      <c r="B2861" t="str">
        <f>"00072353"</f>
        <v>00072353</v>
      </c>
      <c r="C2861" t="s">
        <v>4262</v>
      </c>
      <c r="D2861" t="s">
        <v>2455</v>
      </c>
      <c r="E2861" t="str">
        <f>"00062537"</f>
        <v>00062537</v>
      </c>
      <c r="F2861">
        <v>0</v>
      </c>
      <c r="G2861" s="243">
        <v>40392</v>
      </c>
      <c r="H2861" t="s">
        <v>182</v>
      </c>
      <c r="I2861">
        <v>15</v>
      </c>
      <c r="J2861">
        <v>5</v>
      </c>
      <c r="K2861">
        <v>1</v>
      </c>
      <c r="L2861">
        <v>63611</v>
      </c>
      <c r="M2861" t="str">
        <f t="shared" si="414"/>
        <v>13</v>
      </c>
      <c r="N2861" t="s">
        <v>3323</v>
      </c>
      <c r="O2861" t="str">
        <f t="shared" si="416"/>
        <v>59811</v>
      </c>
      <c r="P2861" t="str">
        <f t="shared" si="418"/>
        <v>2100L</v>
      </c>
      <c r="Q2861" t="str">
        <f t="shared" si="415"/>
        <v>0101</v>
      </c>
      <c r="R2861">
        <v>2100</v>
      </c>
      <c r="S2861" t="str">
        <f t="shared" si="417"/>
        <v>5980</v>
      </c>
      <c r="T2861" t="s">
        <v>3721</v>
      </c>
      <c r="U2861" t="s">
        <v>67</v>
      </c>
    </row>
    <row r="2862" spans="1:21" ht="15" customHeight="1" x14ac:dyDescent="0.3">
      <c r="A2862" t="s">
        <v>179</v>
      </c>
      <c r="B2862" t="str">
        <f>"00072354"</f>
        <v>00072354</v>
      </c>
      <c r="C2862" t="s">
        <v>4272</v>
      </c>
      <c r="D2862" t="s">
        <v>2456</v>
      </c>
      <c r="E2862" t="str">
        <f>"00062523"</f>
        <v>00062523</v>
      </c>
      <c r="F2862">
        <v>0</v>
      </c>
      <c r="G2862" s="243">
        <v>40392</v>
      </c>
      <c r="H2862" t="s">
        <v>182</v>
      </c>
      <c r="I2862">
        <v>15</v>
      </c>
      <c r="J2862">
        <v>10</v>
      </c>
      <c r="K2862">
        <v>1</v>
      </c>
      <c r="L2862">
        <v>78273</v>
      </c>
      <c r="M2862" t="str">
        <f t="shared" si="414"/>
        <v>13</v>
      </c>
      <c r="N2862" t="s">
        <v>3323</v>
      </c>
      <c r="O2862" t="str">
        <f t="shared" si="416"/>
        <v>59811</v>
      </c>
      <c r="P2862" t="str">
        <f t="shared" si="418"/>
        <v>2100L</v>
      </c>
      <c r="Q2862" t="str">
        <f t="shared" si="415"/>
        <v>0101</v>
      </c>
      <c r="R2862">
        <v>2100</v>
      </c>
      <c r="S2862" t="str">
        <f t="shared" si="417"/>
        <v>5980</v>
      </c>
      <c r="T2862" t="s">
        <v>3721</v>
      </c>
      <c r="U2862" t="s">
        <v>67</v>
      </c>
    </row>
    <row r="2863" spans="1:21" ht="15" customHeight="1" x14ac:dyDescent="0.3">
      <c r="A2863" t="s">
        <v>179</v>
      </c>
      <c r="B2863" t="str">
        <f>"00072355"</f>
        <v>00072355</v>
      </c>
      <c r="C2863" t="s">
        <v>4254</v>
      </c>
      <c r="D2863" t="s">
        <v>2457</v>
      </c>
      <c r="E2863" t="str">
        <f>"00062516"</f>
        <v>00062516</v>
      </c>
      <c r="F2863">
        <v>0</v>
      </c>
      <c r="G2863" s="243">
        <v>40392</v>
      </c>
      <c r="H2863" t="s">
        <v>182</v>
      </c>
      <c r="I2863">
        <v>15</v>
      </c>
      <c r="J2863">
        <v>11</v>
      </c>
      <c r="K2863">
        <v>1</v>
      </c>
      <c r="L2863">
        <v>81335</v>
      </c>
      <c r="M2863" t="str">
        <f t="shared" si="414"/>
        <v>13</v>
      </c>
      <c r="N2863" t="s">
        <v>3323</v>
      </c>
      <c r="O2863" t="str">
        <f t="shared" si="416"/>
        <v>59811</v>
      </c>
      <c r="P2863" t="str">
        <f t="shared" si="418"/>
        <v>2100L</v>
      </c>
      <c r="Q2863" t="str">
        <f t="shared" si="415"/>
        <v>0101</v>
      </c>
      <c r="R2863">
        <v>2100</v>
      </c>
      <c r="S2863" t="str">
        <f t="shared" si="417"/>
        <v>5980</v>
      </c>
      <c r="T2863" t="s">
        <v>3721</v>
      </c>
      <c r="U2863" t="s">
        <v>67</v>
      </c>
    </row>
    <row r="2864" spans="1:21" ht="15" customHeight="1" x14ac:dyDescent="0.3">
      <c r="A2864" t="s">
        <v>179</v>
      </c>
      <c r="B2864" t="str">
        <f>"00072390"</f>
        <v>00072390</v>
      </c>
      <c r="C2864" t="s">
        <v>4258</v>
      </c>
      <c r="D2864" t="s">
        <v>5169</v>
      </c>
      <c r="E2864" t="str">
        <f>"00057419"</f>
        <v>00057419</v>
      </c>
      <c r="F2864">
        <v>0</v>
      </c>
      <c r="G2864" s="243">
        <v>40043</v>
      </c>
      <c r="H2864" t="s">
        <v>182</v>
      </c>
      <c r="I2864">
        <v>15</v>
      </c>
      <c r="J2864">
        <v>12</v>
      </c>
      <c r="K2864">
        <v>1</v>
      </c>
      <c r="L2864">
        <v>87431</v>
      </c>
      <c r="M2864" t="str">
        <f t="shared" si="414"/>
        <v>13</v>
      </c>
      <c r="N2864" t="s">
        <v>3323</v>
      </c>
      <c r="O2864" t="str">
        <f t="shared" si="416"/>
        <v>59811</v>
      </c>
      <c r="P2864" t="str">
        <f t="shared" si="418"/>
        <v>2100L</v>
      </c>
      <c r="Q2864" t="str">
        <f t="shared" si="415"/>
        <v>0101</v>
      </c>
      <c r="R2864">
        <v>2100</v>
      </c>
      <c r="S2864" t="str">
        <f t="shared" si="417"/>
        <v>5980</v>
      </c>
      <c r="T2864" t="s">
        <v>3721</v>
      </c>
      <c r="U2864" t="s">
        <v>67</v>
      </c>
    </row>
    <row r="2865" spans="1:21" ht="15" customHeight="1" x14ac:dyDescent="0.3">
      <c r="A2865" t="s">
        <v>179</v>
      </c>
      <c r="B2865" t="str">
        <f>"00072399"</f>
        <v>00072399</v>
      </c>
      <c r="C2865" t="s">
        <v>4262</v>
      </c>
      <c r="D2865" t="s">
        <v>3727</v>
      </c>
      <c r="E2865" t="str">
        <f>"00065992"</f>
        <v>00065992</v>
      </c>
      <c r="F2865">
        <v>0</v>
      </c>
      <c r="G2865" s="243">
        <v>40755</v>
      </c>
      <c r="H2865" t="s">
        <v>182</v>
      </c>
      <c r="I2865">
        <v>15</v>
      </c>
      <c r="J2865">
        <v>3</v>
      </c>
      <c r="K2865">
        <v>1</v>
      </c>
      <c r="L2865">
        <v>58699</v>
      </c>
      <c r="M2865" t="str">
        <f t="shared" si="414"/>
        <v>13</v>
      </c>
      <c r="N2865" t="s">
        <v>3323</v>
      </c>
      <c r="O2865" t="str">
        <f t="shared" si="416"/>
        <v>59811</v>
      </c>
      <c r="P2865" t="str">
        <f t="shared" si="418"/>
        <v>2100L</v>
      </c>
      <c r="Q2865" t="str">
        <f t="shared" si="415"/>
        <v>0101</v>
      </c>
      <c r="R2865">
        <v>2100</v>
      </c>
      <c r="S2865" t="str">
        <f t="shared" si="417"/>
        <v>5980</v>
      </c>
      <c r="T2865" t="s">
        <v>3721</v>
      </c>
      <c r="U2865" t="s">
        <v>67</v>
      </c>
    </row>
    <row r="2866" spans="1:21" ht="15" customHeight="1" x14ac:dyDescent="0.3">
      <c r="A2866" t="s">
        <v>179</v>
      </c>
      <c r="B2866" t="str">
        <f>"00072429"</f>
        <v>00072429</v>
      </c>
      <c r="C2866" t="s">
        <v>4360</v>
      </c>
      <c r="D2866" t="s">
        <v>5170</v>
      </c>
      <c r="E2866" t="str">
        <f>"00062533"</f>
        <v>00062533</v>
      </c>
      <c r="F2866">
        <v>0</v>
      </c>
      <c r="G2866" s="243">
        <v>40392</v>
      </c>
      <c r="H2866" t="s">
        <v>182</v>
      </c>
      <c r="I2866">
        <v>7</v>
      </c>
      <c r="J2866">
        <v>5</v>
      </c>
      <c r="K2866">
        <v>1</v>
      </c>
      <c r="L2866">
        <v>39300</v>
      </c>
      <c r="M2866" t="str">
        <f t="shared" si="414"/>
        <v>13</v>
      </c>
      <c r="N2866" t="s">
        <v>3323</v>
      </c>
      <c r="O2866" t="str">
        <f t="shared" si="416"/>
        <v>59811</v>
      </c>
      <c r="P2866" t="str">
        <f>"1502L"</f>
        <v>1502L</v>
      </c>
      <c r="Q2866" t="str">
        <f t="shared" si="415"/>
        <v>0101</v>
      </c>
      <c r="R2866">
        <v>1502</v>
      </c>
      <c r="S2866" t="str">
        <f t="shared" si="417"/>
        <v>5980</v>
      </c>
      <c r="T2866" t="s">
        <v>3721</v>
      </c>
      <c r="U2866" t="s">
        <v>67</v>
      </c>
    </row>
    <row r="2867" spans="1:21" ht="15" customHeight="1" x14ac:dyDescent="0.3">
      <c r="A2867" t="s">
        <v>179</v>
      </c>
      <c r="B2867" t="str">
        <f>"00072574"</f>
        <v>00072574</v>
      </c>
      <c r="C2867" t="s">
        <v>4299</v>
      </c>
      <c r="D2867" t="s">
        <v>5171</v>
      </c>
      <c r="E2867" t="str">
        <f>"00048611"</f>
        <v>00048611</v>
      </c>
      <c r="F2867">
        <v>0</v>
      </c>
      <c r="G2867" s="243">
        <v>34625</v>
      </c>
      <c r="H2867" t="s">
        <v>182</v>
      </c>
      <c r="I2867">
        <v>7</v>
      </c>
      <c r="J2867">
        <v>7</v>
      </c>
      <c r="K2867">
        <v>1</v>
      </c>
      <c r="L2867">
        <v>42620</v>
      </c>
      <c r="M2867" t="str">
        <f t="shared" si="414"/>
        <v>13</v>
      </c>
      <c r="N2867" t="s">
        <v>3323</v>
      </c>
      <c r="O2867" t="str">
        <f t="shared" si="416"/>
        <v>59811</v>
      </c>
      <c r="P2867" t="str">
        <f>"1502L"</f>
        <v>1502L</v>
      </c>
      <c r="Q2867" t="str">
        <f t="shared" si="415"/>
        <v>0101</v>
      </c>
      <c r="R2867">
        <v>1502</v>
      </c>
      <c r="S2867" t="str">
        <f t="shared" si="417"/>
        <v>5980</v>
      </c>
      <c r="T2867" t="s">
        <v>3721</v>
      </c>
      <c r="U2867" t="s">
        <v>67</v>
      </c>
    </row>
    <row r="2868" spans="1:21" ht="15" customHeight="1" x14ac:dyDescent="0.3">
      <c r="A2868" t="s">
        <v>179</v>
      </c>
      <c r="B2868" t="str">
        <f>"00072575"</f>
        <v>00072575</v>
      </c>
      <c r="C2868" t="s">
        <v>4410</v>
      </c>
      <c r="D2868" t="s">
        <v>3720</v>
      </c>
      <c r="E2868" t="str">
        <f>"00064379"</f>
        <v>00064379</v>
      </c>
      <c r="F2868">
        <v>0</v>
      </c>
      <c r="G2868" s="243">
        <v>40549</v>
      </c>
      <c r="H2868" t="s">
        <v>182</v>
      </c>
      <c r="I2868">
        <v>5</v>
      </c>
      <c r="J2868">
        <v>7</v>
      </c>
      <c r="K2868">
        <v>1</v>
      </c>
      <c r="L2868">
        <v>33861</v>
      </c>
      <c r="M2868" t="str">
        <f t="shared" si="414"/>
        <v>13</v>
      </c>
      <c r="N2868" t="s">
        <v>3323</v>
      </c>
      <c r="O2868" t="str">
        <f t="shared" si="416"/>
        <v>59811</v>
      </c>
      <c r="P2868" t="str">
        <f t="shared" ref="P2868:P2877" si="419">"2100L"</f>
        <v>2100L</v>
      </c>
      <c r="Q2868" t="str">
        <f t="shared" si="415"/>
        <v>0101</v>
      </c>
      <c r="R2868">
        <v>2100</v>
      </c>
      <c r="S2868" t="str">
        <f t="shared" si="417"/>
        <v>5980</v>
      </c>
      <c r="T2868" t="s">
        <v>3721</v>
      </c>
      <c r="U2868" t="s">
        <v>67</v>
      </c>
    </row>
    <row r="2869" spans="1:21" ht="15" customHeight="1" x14ac:dyDescent="0.3">
      <c r="A2869" t="s">
        <v>179</v>
      </c>
      <c r="B2869" t="str">
        <f>"00072624"</f>
        <v>00072624</v>
      </c>
      <c r="C2869" t="s">
        <v>4274</v>
      </c>
      <c r="D2869" t="s">
        <v>5172</v>
      </c>
      <c r="E2869" t="str">
        <f>"00054397"</f>
        <v>00054397</v>
      </c>
      <c r="F2869">
        <v>0</v>
      </c>
      <c r="G2869" s="243">
        <v>34974</v>
      </c>
      <c r="H2869" t="s">
        <v>182</v>
      </c>
      <c r="I2869">
        <v>4</v>
      </c>
      <c r="J2869">
        <v>10</v>
      </c>
      <c r="K2869">
        <v>0.71</v>
      </c>
      <c r="L2869">
        <v>28721</v>
      </c>
      <c r="M2869" t="str">
        <f t="shared" si="414"/>
        <v>13</v>
      </c>
      <c r="N2869" t="s">
        <v>3323</v>
      </c>
      <c r="O2869" t="str">
        <f t="shared" si="416"/>
        <v>59811</v>
      </c>
      <c r="P2869" t="str">
        <f t="shared" si="419"/>
        <v>2100L</v>
      </c>
      <c r="Q2869" t="str">
        <f t="shared" si="415"/>
        <v>0101</v>
      </c>
      <c r="R2869">
        <v>2100</v>
      </c>
      <c r="S2869" t="str">
        <f t="shared" si="417"/>
        <v>5980</v>
      </c>
      <c r="T2869" t="s">
        <v>3721</v>
      </c>
      <c r="U2869" t="s">
        <v>67</v>
      </c>
    </row>
    <row r="2870" spans="1:21" ht="15" customHeight="1" x14ac:dyDescent="0.3">
      <c r="A2870" t="s">
        <v>179</v>
      </c>
      <c r="B2870" t="str">
        <f>"00072626"</f>
        <v>00072626</v>
      </c>
      <c r="C2870" t="s">
        <v>4288</v>
      </c>
      <c r="D2870" t="s">
        <v>5173</v>
      </c>
      <c r="E2870" t="str">
        <f>"00062958"</f>
        <v>00062958</v>
      </c>
      <c r="F2870">
        <v>0</v>
      </c>
      <c r="G2870" s="243">
        <v>40413</v>
      </c>
      <c r="H2870" t="s">
        <v>182</v>
      </c>
      <c r="I2870">
        <v>4</v>
      </c>
      <c r="J2870">
        <v>4</v>
      </c>
      <c r="K2870">
        <v>0.71</v>
      </c>
      <c r="L2870">
        <v>24543.75</v>
      </c>
      <c r="M2870" t="str">
        <f t="shared" si="414"/>
        <v>13</v>
      </c>
      <c r="N2870" t="s">
        <v>3323</v>
      </c>
      <c r="O2870" t="str">
        <f t="shared" si="416"/>
        <v>59811</v>
      </c>
      <c r="P2870" t="str">
        <f t="shared" si="419"/>
        <v>2100L</v>
      </c>
      <c r="Q2870" t="str">
        <f t="shared" si="415"/>
        <v>0101</v>
      </c>
      <c r="R2870">
        <v>2100</v>
      </c>
      <c r="S2870" t="str">
        <f t="shared" ref="S2870:S2889" si="420">"5980"</f>
        <v>5980</v>
      </c>
      <c r="T2870" t="s">
        <v>3721</v>
      </c>
      <c r="U2870" t="s">
        <v>67</v>
      </c>
    </row>
    <row r="2871" spans="1:21" ht="15" customHeight="1" x14ac:dyDescent="0.3">
      <c r="A2871" t="s">
        <v>179</v>
      </c>
      <c r="B2871" t="str">
        <f>"00072703"</f>
        <v>00072703</v>
      </c>
      <c r="C2871" t="s">
        <v>4395</v>
      </c>
      <c r="H2871" t="s">
        <v>170</v>
      </c>
      <c r="I2871">
        <v>10</v>
      </c>
      <c r="J2871">
        <v>1</v>
      </c>
      <c r="K2871">
        <v>1</v>
      </c>
      <c r="L2871">
        <v>62794</v>
      </c>
      <c r="M2871" t="str">
        <f t="shared" si="414"/>
        <v>13</v>
      </c>
      <c r="N2871" t="s">
        <v>3323</v>
      </c>
      <c r="O2871" t="str">
        <f t="shared" si="416"/>
        <v>59811</v>
      </c>
      <c r="P2871" t="str">
        <f t="shared" si="419"/>
        <v>2100L</v>
      </c>
      <c r="Q2871" t="str">
        <f t="shared" si="415"/>
        <v>0101</v>
      </c>
      <c r="R2871">
        <v>2100</v>
      </c>
      <c r="S2871" t="str">
        <f t="shared" si="420"/>
        <v>5980</v>
      </c>
      <c r="T2871" t="s">
        <v>3721</v>
      </c>
      <c r="U2871" t="s">
        <v>67</v>
      </c>
    </row>
    <row r="2872" spans="1:21" ht="15" customHeight="1" x14ac:dyDescent="0.3">
      <c r="A2872" t="s">
        <v>179</v>
      </c>
      <c r="B2872" t="str">
        <f>"00072792"</f>
        <v>00072792</v>
      </c>
      <c r="C2872" t="s">
        <v>4395</v>
      </c>
      <c r="D2872" t="s">
        <v>2458</v>
      </c>
      <c r="E2872" t="str">
        <f>"00060442"</f>
        <v>00060442</v>
      </c>
      <c r="F2872">
        <v>0</v>
      </c>
      <c r="G2872" s="243">
        <v>40225</v>
      </c>
      <c r="H2872" t="s">
        <v>182</v>
      </c>
      <c r="I2872">
        <v>10</v>
      </c>
      <c r="J2872">
        <v>4</v>
      </c>
      <c r="K2872">
        <v>1</v>
      </c>
      <c r="L2872">
        <v>69119</v>
      </c>
      <c r="M2872" t="str">
        <f t="shared" si="414"/>
        <v>13</v>
      </c>
      <c r="N2872" t="s">
        <v>3323</v>
      </c>
      <c r="O2872" t="str">
        <f t="shared" si="416"/>
        <v>59811</v>
      </c>
      <c r="P2872" t="str">
        <f t="shared" si="419"/>
        <v>2100L</v>
      </c>
      <c r="Q2872" t="str">
        <f t="shared" si="415"/>
        <v>0101</v>
      </c>
      <c r="R2872">
        <v>2100</v>
      </c>
      <c r="S2872" t="str">
        <f t="shared" si="420"/>
        <v>5980</v>
      </c>
      <c r="T2872" t="s">
        <v>3721</v>
      </c>
      <c r="U2872" t="s">
        <v>67</v>
      </c>
    </row>
    <row r="2873" spans="1:21" ht="15" customHeight="1" x14ac:dyDescent="0.3">
      <c r="A2873" t="s">
        <v>179</v>
      </c>
      <c r="B2873" t="str">
        <f>"00072797"</f>
        <v>00072797</v>
      </c>
      <c r="C2873" t="s">
        <v>4264</v>
      </c>
      <c r="H2873" t="s">
        <v>170</v>
      </c>
      <c r="I2873">
        <v>15</v>
      </c>
      <c r="J2873">
        <v>1</v>
      </c>
      <c r="K2873">
        <v>1</v>
      </c>
      <c r="L2873">
        <v>54975</v>
      </c>
      <c r="M2873" t="str">
        <f t="shared" si="414"/>
        <v>13</v>
      </c>
      <c r="N2873" t="s">
        <v>3323</v>
      </c>
      <c r="O2873" t="str">
        <f t="shared" si="416"/>
        <v>59811</v>
      </c>
      <c r="P2873" t="str">
        <f t="shared" si="419"/>
        <v>2100L</v>
      </c>
      <c r="Q2873" t="str">
        <f t="shared" si="415"/>
        <v>0101</v>
      </c>
      <c r="R2873">
        <v>2100</v>
      </c>
      <c r="S2873" t="str">
        <f t="shared" si="420"/>
        <v>5980</v>
      </c>
      <c r="T2873" t="s">
        <v>3721</v>
      </c>
      <c r="U2873" t="s">
        <v>67</v>
      </c>
    </row>
    <row r="2874" spans="1:21" ht="15" customHeight="1" x14ac:dyDescent="0.3">
      <c r="A2874" t="s">
        <v>179</v>
      </c>
      <c r="B2874" t="str">
        <f>"00072798"</f>
        <v>00072798</v>
      </c>
      <c r="C2874" t="s">
        <v>4260</v>
      </c>
      <c r="D2874" t="s">
        <v>3722</v>
      </c>
      <c r="E2874" t="str">
        <f>"00065724"</f>
        <v>00065724</v>
      </c>
      <c r="F2874">
        <v>0</v>
      </c>
      <c r="G2874" s="243">
        <v>40763</v>
      </c>
      <c r="H2874" t="s">
        <v>182</v>
      </c>
      <c r="I2874">
        <v>15</v>
      </c>
      <c r="J2874">
        <v>6</v>
      </c>
      <c r="K2874">
        <v>1</v>
      </c>
      <c r="L2874">
        <v>58599</v>
      </c>
      <c r="M2874" t="str">
        <f t="shared" si="414"/>
        <v>13</v>
      </c>
      <c r="N2874" t="s">
        <v>3370</v>
      </c>
      <c r="O2874" t="str">
        <f t="shared" si="416"/>
        <v>59811</v>
      </c>
      <c r="P2874" t="str">
        <f t="shared" si="419"/>
        <v>2100L</v>
      </c>
      <c r="Q2874" t="str">
        <f t="shared" si="415"/>
        <v>0101</v>
      </c>
      <c r="R2874">
        <v>2100</v>
      </c>
      <c r="S2874" t="str">
        <f t="shared" si="420"/>
        <v>5980</v>
      </c>
      <c r="T2874" t="s">
        <v>3721</v>
      </c>
      <c r="U2874" t="s">
        <v>67</v>
      </c>
    </row>
    <row r="2875" spans="1:21" ht="15" customHeight="1" x14ac:dyDescent="0.3">
      <c r="A2875" t="s">
        <v>179</v>
      </c>
      <c r="B2875" t="str">
        <f>"00072799"</f>
        <v>00072799</v>
      </c>
      <c r="C2875" t="s">
        <v>4262</v>
      </c>
      <c r="D2875" t="s">
        <v>2460</v>
      </c>
      <c r="E2875" t="str">
        <f>"00057098"</f>
        <v>00057098</v>
      </c>
      <c r="F2875">
        <v>0</v>
      </c>
      <c r="G2875" s="243">
        <v>40042</v>
      </c>
      <c r="H2875" t="s">
        <v>182</v>
      </c>
      <c r="I2875">
        <v>15</v>
      </c>
      <c r="J2875">
        <v>6</v>
      </c>
      <c r="K2875">
        <v>1</v>
      </c>
      <c r="L2875">
        <v>66078</v>
      </c>
      <c r="M2875" t="str">
        <f t="shared" ref="M2875:M2931" si="421">"13"</f>
        <v>13</v>
      </c>
      <c r="N2875" t="s">
        <v>3323</v>
      </c>
      <c r="O2875" t="str">
        <f t="shared" si="416"/>
        <v>59811</v>
      </c>
      <c r="P2875" t="str">
        <f t="shared" si="419"/>
        <v>2100L</v>
      </c>
      <c r="Q2875" t="str">
        <f t="shared" si="415"/>
        <v>0101</v>
      </c>
      <c r="R2875">
        <v>2100</v>
      </c>
      <c r="S2875" t="str">
        <f t="shared" si="420"/>
        <v>5980</v>
      </c>
      <c r="T2875" t="s">
        <v>3721</v>
      </c>
      <c r="U2875" t="s">
        <v>67</v>
      </c>
    </row>
    <row r="2876" spans="1:21" ht="15" customHeight="1" x14ac:dyDescent="0.3">
      <c r="A2876" t="s">
        <v>179</v>
      </c>
      <c r="B2876" t="str">
        <f>"00072800"</f>
        <v>00072800</v>
      </c>
      <c r="C2876" t="s">
        <v>4257</v>
      </c>
      <c r="D2876" t="s">
        <v>2461</v>
      </c>
      <c r="E2876" t="str">
        <f>"00063126"</f>
        <v>00063126</v>
      </c>
      <c r="F2876">
        <v>0</v>
      </c>
      <c r="G2876" s="243">
        <v>40403</v>
      </c>
      <c r="H2876" t="s">
        <v>182</v>
      </c>
      <c r="I2876">
        <v>15</v>
      </c>
      <c r="J2876">
        <v>3</v>
      </c>
      <c r="K2876">
        <v>1</v>
      </c>
      <c r="L2876">
        <v>52777</v>
      </c>
      <c r="M2876" t="str">
        <f t="shared" si="421"/>
        <v>13</v>
      </c>
      <c r="N2876" t="s">
        <v>3323</v>
      </c>
      <c r="O2876" t="str">
        <f t="shared" si="416"/>
        <v>59811</v>
      </c>
      <c r="P2876" t="str">
        <f t="shared" si="419"/>
        <v>2100L</v>
      </c>
      <c r="Q2876" t="str">
        <f t="shared" si="415"/>
        <v>0101</v>
      </c>
      <c r="R2876">
        <v>2100</v>
      </c>
      <c r="S2876" t="str">
        <f t="shared" si="420"/>
        <v>5980</v>
      </c>
      <c r="T2876" t="s">
        <v>3721</v>
      </c>
      <c r="U2876" t="s">
        <v>67</v>
      </c>
    </row>
    <row r="2877" spans="1:21" ht="15" customHeight="1" x14ac:dyDescent="0.3">
      <c r="A2877" t="s">
        <v>179</v>
      </c>
      <c r="B2877" t="str">
        <f>"00072864"</f>
        <v>00072864</v>
      </c>
      <c r="C2877" t="s">
        <v>4341</v>
      </c>
      <c r="D2877" t="s">
        <v>2462</v>
      </c>
      <c r="E2877" t="str">
        <f>"00063166"</f>
        <v>00063166</v>
      </c>
      <c r="F2877">
        <v>0</v>
      </c>
      <c r="G2877" s="243">
        <v>40403</v>
      </c>
      <c r="H2877" t="s">
        <v>182</v>
      </c>
      <c r="I2877">
        <v>10</v>
      </c>
      <c r="J2877">
        <v>3</v>
      </c>
      <c r="K2877">
        <v>1</v>
      </c>
      <c r="L2877">
        <v>67198</v>
      </c>
      <c r="M2877" t="str">
        <f t="shared" si="421"/>
        <v>13</v>
      </c>
      <c r="N2877" t="s">
        <v>3323</v>
      </c>
      <c r="O2877" t="str">
        <f t="shared" si="416"/>
        <v>59811</v>
      </c>
      <c r="P2877" t="str">
        <f t="shared" si="419"/>
        <v>2100L</v>
      </c>
      <c r="Q2877" t="str">
        <f t="shared" si="415"/>
        <v>0101</v>
      </c>
      <c r="R2877">
        <v>2100</v>
      </c>
      <c r="S2877" t="str">
        <f t="shared" si="420"/>
        <v>5980</v>
      </c>
      <c r="T2877" t="s">
        <v>3721</v>
      </c>
      <c r="U2877" t="s">
        <v>67</v>
      </c>
    </row>
    <row r="2878" spans="1:21" ht="15" customHeight="1" x14ac:dyDescent="0.3">
      <c r="A2878" t="s">
        <v>179</v>
      </c>
      <c r="B2878" t="str">
        <f>"00074838"</f>
        <v>00074838</v>
      </c>
      <c r="C2878" t="s">
        <v>4260</v>
      </c>
      <c r="D2878" t="s">
        <v>3728</v>
      </c>
      <c r="E2878" t="str">
        <f>"00065895"</f>
        <v>00065895</v>
      </c>
      <c r="F2878">
        <v>0</v>
      </c>
      <c r="G2878" s="243">
        <v>40755</v>
      </c>
      <c r="H2878" t="s">
        <v>182</v>
      </c>
      <c r="I2878">
        <v>15</v>
      </c>
      <c r="J2878">
        <v>4</v>
      </c>
      <c r="K2878">
        <v>1</v>
      </c>
      <c r="L2878">
        <v>61158</v>
      </c>
      <c r="M2878" t="str">
        <f t="shared" si="421"/>
        <v>13</v>
      </c>
      <c r="N2878" t="s">
        <v>3323</v>
      </c>
      <c r="O2878" t="str">
        <f t="shared" si="416"/>
        <v>59811</v>
      </c>
      <c r="P2878" t="str">
        <f>"2100L"</f>
        <v>2100L</v>
      </c>
      <c r="Q2878" t="str">
        <f t="shared" si="415"/>
        <v>0101</v>
      </c>
      <c r="R2878">
        <v>2100</v>
      </c>
      <c r="S2878" t="str">
        <f t="shared" si="420"/>
        <v>5980</v>
      </c>
      <c r="T2878" t="s">
        <v>3721</v>
      </c>
      <c r="U2878" t="s">
        <v>67</v>
      </c>
    </row>
    <row r="2879" spans="1:21" ht="15" customHeight="1" x14ac:dyDescent="0.3">
      <c r="A2879" t="s">
        <v>179</v>
      </c>
      <c r="B2879" t="str">
        <f>"00074908"</f>
        <v>00074908</v>
      </c>
      <c r="C2879" t="s">
        <v>4262</v>
      </c>
      <c r="D2879" t="s">
        <v>3729</v>
      </c>
      <c r="E2879" t="str">
        <f>"00066900"</f>
        <v>00066900</v>
      </c>
      <c r="F2879">
        <v>0</v>
      </c>
      <c r="G2879" s="243">
        <v>40798</v>
      </c>
      <c r="H2879" t="s">
        <v>182</v>
      </c>
      <c r="I2879">
        <v>15</v>
      </c>
      <c r="J2879">
        <v>4</v>
      </c>
      <c r="K2879">
        <v>1</v>
      </c>
      <c r="L2879">
        <v>61158</v>
      </c>
      <c r="M2879" t="str">
        <f t="shared" si="421"/>
        <v>13</v>
      </c>
      <c r="N2879" t="s">
        <v>3323</v>
      </c>
      <c r="O2879" t="str">
        <f>"59845"</f>
        <v>59845</v>
      </c>
      <c r="P2879" t="str">
        <f>"2100D"</f>
        <v>2100D</v>
      </c>
      <c r="Q2879" t="str">
        <f>"8450"</f>
        <v>8450</v>
      </c>
      <c r="R2879">
        <v>2100</v>
      </c>
      <c r="S2879" t="str">
        <f t="shared" si="420"/>
        <v>5980</v>
      </c>
      <c r="T2879" t="s">
        <v>3721</v>
      </c>
      <c r="U2879" t="s">
        <v>67</v>
      </c>
    </row>
    <row r="2880" spans="1:21" ht="15" customHeight="1" x14ac:dyDescent="0.3">
      <c r="A2880" t="s">
        <v>179</v>
      </c>
      <c r="B2880" t="str">
        <f>"00074909"</f>
        <v>00074909</v>
      </c>
      <c r="C2880" t="s">
        <v>4259</v>
      </c>
      <c r="D2880" t="s">
        <v>2459</v>
      </c>
      <c r="E2880" t="str">
        <f>"00063417"</f>
        <v>00063417</v>
      </c>
      <c r="F2880">
        <v>0</v>
      </c>
      <c r="G2880" s="243">
        <v>40442</v>
      </c>
      <c r="H2880" t="s">
        <v>182</v>
      </c>
      <c r="I2880">
        <v>15</v>
      </c>
      <c r="J2880">
        <v>7</v>
      </c>
      <c r="K2880">
        <v>1</v>
      </c>
      <c r="L2880">
        <v>69132</v>
      </c>
      <c r="M2880" t="str">
        <f t="shared" si="421"/>
        <v>13</v>
      </c>
      <c r="N2880" t="s">
        <v>3370</v>
      </c>
      <c r="O2880" t="str">
        <f>"59845"</f>
        <v>59845</v>
      </c>
      <c r="P2880" t="str">
        <f>"2100D"</f>
        <v>2100D</v>
      </c>
      <c r="Q2880" t="str">
        <f>"8450"</f>
        <v>8450</v>
      </c>
      <c r="R2880">
        <v>2100</v>
      </c>
      <c r="S2880" t="str">
        <f t="shared" si="420"/>
        <v>5980</v>
      </c>
      <c r="T2880" t="s">
        <v>3721</v>
      </c>
      <c r="U2880" t="s">
        <v>67</v>
      </c>
    </row>
    <row r="2881" spans="1:21" ht="15" customHeight="1" x14ac:dyDescent="0.3">
      <c r="A2881" t="s">
        <v>179</v>
      </c>
      <c r="B2881" t="str">
        <f>"00074910"</f>
        <v>00074910</v>
      </c>
      <c r="C2881" t="s">
        <v>4292</v>
      </c>
      <c r="D2881" t="s">
        <v>5174</v>
      </c>
      <c r="E2881" t="str">
        <f>"00066715"</f>
        <v>00066715</v>
      </c>
      <c r="F2881">
        <v>0</v>
      </c>
      <c r="G2881" s="243">
        <v>40805</v>
      </c>
      <c r="H2881" t="s">
        <v>182</v>
      </c>
      <c r="I2881">
        <v>4</v>
      </c>
      <c r="J2881">
        <v>1</v>
      </c>
      <c r="K2881">
        <v>1</v>
      </c>
      <c r="L2881">
        <v>22454.25</v>
      </c>
      <c r="M2881" t="str">
        <f t="shared" si="421"/>
        <v>13</v>
      </c>
      <c r="N2881" t="s">
        <v>3323</v>
      </c>
      <c r="O2881" t="str">
        <f>"59845"</f>
        <v>59845</v>
      </c>
      <c r="P2881" t="str">
        <f>"2100D"</f>
        <v>2100D</v>
      </c>
      <c r="Q2881" t="str">
        <f>"8450"</f>
        <v>8450</v>
      </c>
      <c r="R2881">
        <v>2100</v>
      </c>
      <c r="S2881" t="str">
        <f t="shared" si="420"/>
        <v>5980</v>
      </c>
      <c r="T2881" t="s">
        <v>3721</v>
      </c>
      <c r="U2881" t="s">
        <v>67</v>
      </c>
    </row>
    <row r="2882" spans="1:21" ht="15" customHeight="1" x14ac:dyDescent="0.3">
      <c r="A2882" t="s">
        <v>179</v>
      </c>
      <c r="B2882" t="str">
        <f>"00076338"</f>
        <v>00076338</v>
      </c>
      <c r="C2882" t="s">
        <v>4410</v>
      </c>
      <c r="D2882" t="s">
        <v>5175</v>
      </c>
      <c r="E2882" t="str">
        <f>"00070069"</f>
        <v>00070069</v>
      </c>
      <c r="F2882">
        <v>0</v>
      </c>
      <c r="G2882" s="243">
        <v>41148</v>
      </c>
      <c r="H2882" t="s">
        <v>182</v>
      </c>
      <c r="I2882">
        <v>5</v>
      </c>
      <c r="J2882">
        <v>8</v>
      </c>
      <c r="K2882">
        <v>1</v>
      </c>
      <c r="L2882">
        <v>34758</v>
      </c>
      <c r="M2882" t="str">
        <f t="shared" si="421"/>
        <v>13</v>
      </c>
      <c r="N2882" t="s">
        <v>3370</v>
      </c>
      <c r="O2882" t="str">
        <f t="shared" ref="O2882:O2889" si="422">"59811"</f>
        <v>59811</v>
      </c>
      <c r="P2882" t="str">
        <f>"2100L"</f>
        <v>2100L</v>
      </c>
      <c r="Q2882" t="str">
        <f t="shared" ref="Q2882:Q2938" si="423">"0101"</f>
        <v>0101</v>
      </c>
      <c r="R2882">
        <v>2100</v>
      </c>
      <c r="S2882" t="str">
        <f t="shared" si="420"/>
        <v>5980</v>
      </c>
      <c r="T2882" t="s">
        <v>3721</v>
      </c>
      <c r="U2882" t="s">
        <v>67</v>
      </c>
    </row>
    <row r="2883" spans="1:21" ht="15" customHeight="1" x14ac:dyDescent="0.3">
      <c r="A2883" t="s">
        <v>179</v>
      </c>
      <c r="B2883" t="str">
        <f>"00076339"</f>
        <v>00076339</v>
      </c>
      <c r="C2883" t="s">
        <v>4410</v>
      </c>
      <c r="D2883" t="s">
        <v>5176</v>
      </c>
      <c r="E2883" t="str">
        <f>"00070102"</f>
        <v>00070102</v>
      </c>
      <c r="F2883">
        <v>0</v>
      </c>
      <c r="G2883" s="243">
        <v>41148</v>
      </c>
      <c r="H2883" t="s">
        <v>182</v>
      </c>
      <c r="I2883">
        <v>5</v>
      </c>
      <c r="J2883">
        <v>8</v>
      </c>
      <c r="K2883">
        <v>1</v>
      </c>
      <c r="L2883">
        <v>34758</v>
      </c>
      <c r="M2883" t="str">
        <f t="shared" si="421"/>
        <v>13</v>
      </c>
      <c r="N2883" t="s">
        <v>3370</v>
      </c>
      <c r="O2883" t="str">
        <f t="shared" si="422"/>
        <v>59811</v>
      </c>
      <c r="P2883" t="str">
        <f>"2100L"</f>
        <v>2100L</v>
      </c>
      <c r="Q2883" t="str">
        <f t="shared" si="423"/>
        <v>0101</v>
      </c>
      <c r="R2883">
        <v>2100</v>
      </c>
      <c r="S2883" t="str">
        <f t="shared" si="420"/>
        <v>5980</v>
      </c>
      <c r="T2883" t="s">
        <v>3721</v>
      </c>
      <c r="U2883" t="s">
        <v>67</v>
      </c>
    </row>
    <row r="2884" spans="1:21" ht="15" customHeight="1" x14ac:dyDescent="0.3">
      <c r="A2884" t="s">
        <v>179</v>
      </c>
      <c r="B2884" t="str">
        <f>"00076340"</f>
        <v>00076340</v>
      </c>
      <c r="C2884" t="s">
        <v>4395</v>
      </c>
      <c r="H2884" t="s">
        <v>170</v>
      </c>
      <c r="I2884">
        <v>10</v>
      </c>
      <c r="J2884">
        <v>0</v>
      </c>
      <c r="K2884">
        <v>0.5</v>
      </c>
      <c r="L2884">
        <v>62794</v>
      </c>
      <c r="M2884" t="str">
        <f t="shared" si="421"/>
        <v>13</v>
      </c>
      <c r="N2884" t="s">
        <v>3370</v>
      </c>
      <c r="O2884" t="str">
        <f t="shared" si="422"/>
        <v>59811</v>
      </c>
      <c r="P2884" t="str">
        <f>"2100L"</f>
        <v>2100L</v>
      </c>
      <c r="Q2884" t="str">
        <f t="shared" si="423"/>
        <v>0101</v>
      </c>
      <c r="R2884">
        <v>2100</v>
      </c>
      <c r="S2884" t="str">
        <f t="shared" si="420"/>
        <v>5980</v>
      </c>
      <c r="T2884" t="s">
        <v>3721</v>
      </c>
      <c r="U2884" t="s">
        <v>67</v>
      </c>
    </row>
    <row r="2885" spans="1:21" ht="15" customHeight="1" x14ac:dyDescent="0.3">
      <c r="A2885" t="s">
        <v>179</v>
      </c>
      <c r="B2885" t="str">
        <f>"00076341"</f>
        <v>00076341</v>
      </c>
      <c r="C2885" t="s">
        <v>4271</v>
      </c>
      <c r="D2885" t="s">
        <v>5177</v>
      </c>
      <c r="E2885" t="str">
        <f>"00044968"</f>
        <v>00044968</v>
      </c>
      <c r="F2885">
        <v>0</v>
      </c>
      <c r="G2885" s="243">
        <v>34976</v>
      </c>
      <c r="H2885" t="s">
        <v>182</v>
      </c>
      <c r="I2885">
        <v>15</v>
      </c>
      <c r="J2885">
        <v>15</v>
      </c>
      <c r="K2885">
        <v>0.5</v>
      </c>
      <c r="L2885">
        <v>100792</v>
      </c>
      <c r="M2885" t="str">
        <f t="shared" si="421"/>
        <v>13</v>
      </c>
      <c r="N2885" t="s">
        <v>3370</v>
      </c>
      <c r="O2885" t="str">
        <f t="shared" si="422"/>
        <v>59811</v>
      </c>
      <c r="P2885" t="str">
        <f>"2100L"</f>
        <v>2100L</v>
      </c>
      <c r="Q2885" t="str">
        <f t="shared" si="423"/>
        <v>0101</v>
      </c>
      <c r="R2885">
        <v>2100</v>
      </c>
      <c r="S2885" t="str">
        <f t="shared" si="420"/>
        <v>5980</v>
      </c>
      <c r="T2885" t="s">
        <v>3721</v>
      </c>
      <c r="U2885" t="s">
        <v>67</v>
      </c>
    </row>
    <row r="2886" spans="1:21" ht="15" customHeight="1" x14ac:dyDescent="0.3">
      <c r="A2886" t="s">
        <v>179</v>
      </c>
      <c r="B2886" t="str">
        <f>"00076481"</f>
        <v>00076481</v>
      </c>
      <c r="C2886" t="s">
        <v>4288</v>
      </c>
      <c r="D2886" t="s">
        <v>5178</v>
      </c>
      <c r="E2886" t="str">
        <f>"00063151"</f>
        <v>00063151</v>
      </c>
      <c r="F2886">
        <v>0</v>
      </c>
      <c r="G2886" s="243">
        <v>40410</v>
      </c>
      <c r="H2886" t="s">
        <v>182</v>
      </c>
      <c r="I2886">
        <v>4</v>
      </c>
      <c r="J2886">
        <v>6</v>
      </c>
      <c r="K2886">
        <v>0.71</v>
      </c>
      <c r="L2886">
        <v>25935.88</v>
      </c>
      <c r="M2886" t="str">
        <f t="shared" si="421"/>
        <v>13</v>
      </c>
      <c r="N2886" t="s">
        <v>3370</v>
      </c>
      <c r="O2886" t="str">
        <f t="shared" si="422"/>
        <v>59811</v>
      </c>
      <c r="P2886" t="str">
        <f>"2200L"</f>
        <v>2200L</v>
      </c>
      <c r="Q2886" t="str">
        <f t="shared" si="423"/>
        <v>0101</v>
      </c>
      <c r="R2886">
        <v>2200</v>
      </c>
      <c r="S2886" t="str">
        <f t="shared" si="420"/>
        <v>5980</v>
      </c>
      <c r="T2886" t="s">
        <v>3721</v>
      </c>
      <c r="U2886" t="s">
        <v>67</v>
      </c>
    </row>
    <row r="2887" spans="1:21" ht="15" customHeight="1" x14ac:dyDescent="0.3">
      <c r="A2887" t="s">
        <v>179</v>
      </c>
      <c r="B2887" t="str">
        <f>"00076488"</f>
        <v>00076488</v>
      </c>
      <c r="C2887" t="s">
        <v>4395</v>
      </c>
      <c r="H2887" t="s">
        <v>170</v>
      </c>
      <c r="I2887">
        <v>10</v>
      </c>
      <c r="J2887">
        <v>0</v>
      </c>
      <c r="K2887">
        <v>1</v>
      </c>
      <c r="L2887">
        <v>62794</v>
      </c>
      <c r="M2887" t="str">
        <f t="shared" si="421"/>
        <v>13</v>
      </c>
      <c r="N2887" t="s">
        <v>3370</v>
      </c>
      <c r="O2887" t="str">
        <f t="shared" si="422"/>
        <v>59811</v>
      </c>
      <c r="P2887" t="str">
        <f>"1501L"</f>
        <v>1501L</v>
      </c>
      <c r="Q2887" t="str">
        <f t="shared" si="423"/>
        <v>0101</v>
      </c>
      <c r="R2887">
        <v>1501</v>
      </c>
      <c r="S2887" t="str">
        <f t="shared" si="420"/>
        <v>5980</v>
      </c>
      <c r="T2887" t="s">
        <v>3721</v>
      </c>
      <c r="U2887" t="s">
        <v>67</v>
      </c>
    </row>
    <row r="2888" spans="1:21" ht="15" customHeight="1" x14ac:dyDescent="0.3">
      <c r="A2888" t="s">
        <v>179</v>
      </c>
      <c r="B2888" t="str">
        <f>"00076565"</f>
        <v>00076565</v>
      </c>
      <c r="C2888" t="s">
        <v>4271</v>
      </c>
      <c r="H2888" t="s">
        <v>170</v>
      </c>
      <c r="I2888">
        <v>15</v>
      </c>
      <c r="J2888">
        <v>0</v>
      </c>
      <c r="K2888">
        <v>0.5</v>
      </c>
      <c r="L2888">
        <v>51539</v>
      </c>
      <c r="M2888" t="str">
        <f t="shared" si="421"/>
        <v>13</v>
      </c>
      <c r="N2888" t="s">
        <v>3370</v>
      </c>
      <c r="O2888" t="str">
        <f t="shared" si="422"/>
        <v>59811</v>
      </c>
      <c r="P2888" t="str">
        <f>"3030L"</f>
        <v>3030L</v>
      </c>
      <c r="Q2888" t="str">
        <f t="shared" si="423"/>
        <v>0101</v>
      </c>
      <c r="R2888">
        <v>3030</v>
      </c>
      <c r="S2888" t="str">
        <f t="shared" si="420"/>
        <v>5980</v>
      </c>
      <c r="T2888" t="s">
        <v>3721</v>
      </c>
      <c r="U2888" t="s">
        <v>67</v>
      </c>
    </row>
    <row r="2889" spans="1:21" ht="15" customHeight="1" x14ac:dyDescent="0.3">
      <c r="A2889" t="s">
        <v>179</v>
      </c>
      <c r="B2889" t="str">
        <f>"00076775"</f>
        <v>00076775</v>
      </c>
      <c r="C2889" t="s">
        <v>4262</v>
      </c>
      <c r="H2889" t="s">
        <v>170</v>
      </c>
      <c r="I2889">
        <v>15</v>
      </c>
      <c r="J2889">
        <v>0</v>
      </c>
      <c r="K2889">
        <v>1</v>
      </c>
      <c r="L2889">
        <v>51539</v>
      </c>
      <c r="M2889" t="str">
        <f t="shared" si="421"/>
        <v>13</v>
      </c>
      <c r="N2889" t="s">
        <v>3370</v>
      </c>
      <c r="O2889" t="str">
        <f t="shared" si="422"/>
        <v>59811</v>
      </c>
      <c r="P2889" t="str">
        <f>"1501L"</f>
        <v>1501L</v>
      </c>
      <c r="Q2889" t="str">
        <f t="shared" si="423"/>
        <v>0101</v>
      </c>
      <c r="R2889">
        <v>1501</v>
      </c>
      <c r="S2889" t="str">
        <f t="shared" si="420"/>
        <v>5980</v>
      </c>
      <c r="T2889" t="s">
        <v>3721</v>
      </c>
      <c r="U2889" t="s">
        <v>67</v>
      </c>
    </row>
    <row r="2890" spans="1:21" ht="15" customHeight="1" x14ac:dyDescent="0.3">
      <c r="A2890" t="s">
        <v>179</v>
      </c>
      <c r="B2890" t="str">
        <f>"00051772"</f>
        <v>00051772</v>
      </c>
      <c r="C2890" t="s">
        <v>4262</v>
      </c>
      <c r="D2890" t="s">
        <v>2463</v>
      </c>
      <c r="E2890" t="str">
        <f>"00045832"</f>
        <v>00045832</v>
      </c>
      <c r="F2890">
        <v>0</v>
      </c>
      <c r="G2890" s="243">
        <v>36034</v>
      </c>
      <c r="H2890" t="s">
        <v>182</v>
      </c>
      <c r="I2890">
        <v>15</v>
      </c>
      <c r="J2890">
        <v>16</v>
      </c>
      <c r="K2890">
        <v>1</v>
      </c>
      <c r="L2890">
        <v>100839</v>
      </c>
      <c r="M2890" t="str">
        <f t="shared" si="421"/>
        <v>13</v>
      </c>
      <c r="N2890" t="s">
        <v>3323</v>
      </c>
      <c r="O2890" t="str">
        <f t="shared" ref="O2890:O2927" si="424">"60011"</f>
        <v>60011</v>
      </c>
      <c r="P2890" t="str">
        <f>"2100L"</f>
        <v>2100L</v>
      </c>
      <c r="Q2890" t="str">
        <f t="shared" si="423"/>
        <v>0101</v>
      </c>
      <c r="R2890">
        <v>2100</v>
      </c>
      <c r="S2890" t="str">
        <f t="shared" ref="S2890:S2927" si="425">"6000"</f>
        <v>6000</v>
      </c>
      <c r="T2890" t="s">
        <v>3730</v>
      </c>
      <c r="U2890" t="s">
        <v>130</v>
      </c>
    </row>
    <row r="2891" spans="1:21" ht="15" customHeight="1" x14ac:dyDescent="0.3">
      <c r="A2891" t="s">
        <v>179</v>
      </c>
      <c r="B2891" t="str">
        <f>"00051831"</f>
        <v>00051831</v>
      </c>
      <c r="C2891" t="s">
        <v>4262</v>
      </c>
      <c r="D2891" t="s">
        <v>2464</v>
      </c>
      <c r="E2891" t="str">
        <f>"00046176"</f>
        <v>00046176</v>
      </c>
      <c r="F2891">
        <v>0</v>
      </c>
      <c r="G2891" s="243">
        <v>33848</v>
      </c>
      <c r="H2891" t="s">
        <v>182</v>
      </c>
      <c r="I2891">
        <v>15</v>
      </c>
      <c r="J2891">
        <v>16</v>
      </c>
      <c r="K2891">
        <v>1</v>
      </c>
      <c r="L2891">
        <v>100839</v>
      </c>
      <c r="M2891" t="str">
        <f t="shared" si="421"/>
        <v>13</v>
      </c>
      <c r="N2891" t="s">
        <v>3323</v>
      </c>
      <c r="O2891" t="str">
        <f t="shared" si="424"/>
        <v>60011</v>
      </c>
      <c r="P2891" t="str">
        <f>"2100L"</f>
        <v>2100L</v>
      </c>
      <c r="Q2891" t="str">
        <f t="shared" si="423"/>
        <v>0101</v>
      </c>
      <c r="R2891">
        <v>2100</v>
      </c>
      <c r="S2891" t="str">
        <f t="shared" si="425"/>
        <v>6000</v>
      </c>
      <c r="T2891" t="s">
        <v>3730</v>
      </c>
      <c r="U2891" t="s">
        <v>130</v>
      </c>
    </row>
    <row r="2892" spans="1:21" ht="15" customHeight="1" x14ac:dyDescent="0.3">
      <c r="A2892" t="s">
        <v>179</v>
      </c>
      <c r="B2892" t="str">
        <f>"00051835"</f>
        <v>00051835</v>
      </c>
      <c r="C2892" t="s">
        <v>4262</v>
      </c>
      <c r="D2892" t="s">
        <v>2465</v>
      </c>
      <c r="E2892" t="str">
        <f>"00046187"</f>
        <v>00046187</v>
      </c>
      <c r="F2892">
        <v>0</v>
      </c>
      <c r="G2892" s="243">
        <v>29037</v>
      </c>
      <c r="H2892" t="s">
        <v>182</v>
      </c>
      <c r="I2892">
        <v>15</v>
      </c>
      <c r="J2892">
        <v>16</v>
      </c>
      <c r="K2892">
        <v>1</v>
      </c>
      <c r="L2892">
        <v>106540</v>
      </c>
      <c r="M2892" t="str">
        <f t="shared" si="421"/>
        <v>13</v>
      </c>
      <c r="N2892" t="s">
        <v>3323</v>
      </c>
      <c r="O2892" t="str">
        <f t="shared" si="424"/>
        <v>60011</v>
      </c>
      <c r="P2892" t="str">
        <f>"2100L"</f>
        <v>2100L</v>
      </c>
      <c r="Q2892" t="str">
        <f t="shared" si="423"/>
        <v>0101</v>
      </c>
      <c r="R2892">
        <v>2100</v>
      </c>
      <c r="S2892" t="str">
        <f t="shared" si="425"/>
        <v>6000</v>
      </c>
      <c r="T2892" t="s">
        <v>3730</v>
      </c>
      <c r="U2892" t="s">
        <v>130</v>
      </c>
    </row>
    <row r="2893" spans="1:21" ht="15" customHeight="1" x14ac:dyDescent="0.3">
      <c r="A2893" t="s">
        <v>179</v>
      </c>
      <c r="B2893" t="str">
        <f>"00051903"</f>
        <v>00051903</v>
      </c>
      <c r="C2893" t="s">
        <v>4266</v>
      </c>
      <c r="D2893" t="s">
        <v>2466</v>
      </c>
      <c r="E2893" t="str">
        <f>"00046481"</f>
        <v>00046481</v>
      </c>
      <c r="F2893">
        <v>0</v>
      </c>
      <c r="G2893" s="243">
        <v>33120</v>
      </c>
      <c r="H2893" t="s">
        <v>182</v>
      </c>
      <c r="I2893">
        <v>15</v>
      </c>
      <c r="J2893">
        <v>16</v>
      </c>
      <c r="K2893">
        <v>1</v>
      </c>
      <c r="L2893">
        <v>100839</v>
      </c>
      <c r="M2893" t="str">
        <f t="shared" si="421"/>
        <v>13</v>
      </c>
      <c r="N2893" t="s">
        <v>3323</v>
      </c>
      <c r="O2893" t="str">
        <f t="shared" si="424"/>
        <v>60011</v>
      </c>
      <c r="P2893" t="str">
        <f>"2300L"</f>
        <v>2300L</v>
      </c>
      <c r="Q2893" t="str">
        <f t="shared" si="423"/>
        <v>0101</v>
      </c>
      <c r="R2893">
        <v>2300</v>
      </c>
      <c r="S2893" t="str">
        <f t="shared" si="425"/>
        <v>6000</v>
      </c>
      <c r="T2893" t="s">
        <v>3730</v>
      </c>
      <c r="U2893" t="s">
        <v>130</v>
      </c>
    </row>
    <row r="2894" spans="1:21" ht="15" customHeight="1" x14ac:dyDescent="0.3">
      <c r="A2894" t="s">
        <v>179</v>
      </c>
      <c r="B2894" t="str">
        <f>"00051987"</f>
        <v>00051987</v>
      </c>
      <c r="C2894" t="s">
        <v>3798</v>
      </c>
      <c r="D2894" t="s">
        <v>1299</v>
      </c>
      <c r="E2894" t="str">
        <f>"00050068"</f>
        <v>00050068</v>
      </c>
      <c r="F2894">
        <v>0</v>
      </c>
      <c r="G2894" s="243">
        <v>39678</v>
      </c>
      <c r="H2894" t="s">
        <v>182</v>
      </c>
      <c r="J2894">
        <v>0</v>
      </c>
      <c r="K2894">
        <v>1</v>
      </c>
      <c r="L2894">
        <v>116000</v>
      </c>
      <c r="M2894" t="str">
        <f t="shared" si="421"/>
        <v>13</v>
      </c>
      <c r="N2894" t="s">
        <v>3323</v>
      </c>
      <c r="O2894" t="str">
        <f t="shared" si="424"/>
        <v>60011</v>
      </c>
      <c r="P2894" t="str">
        <f>"1501L"</f>
        <v>1501L</v>
      </c>
      <c r="Q2894" t="str">
        <f t="shared" si="423"/>
        <v>0101</v>
      </c>
      <c r="R2894">
        <v>1501</v>
      </c>
      <c r="S2894" t="str">
        <f t="shared" si="425"/>
        <v>6000</v>
      </c>
      <c r="T2894" t="s">
        <v>3730</v>
      </c>
      <c r="U2894" t="s">
        <v>130</v>
      </c>
    </row>
    <row r="2895" spans="1:21" ht="15" customHeight="1" x14ac:dyDescent="0.3">
      <c r="A2895" t="s">
        <v>179</v>
      </c>
      <c r="B2895" t="str">
        <f>"00052177"</f>
        <v>00052177</v>
      </c>
      <c r="C2895" t="s">
        <v>4272</v>
      </c>
      <c r="D2895" t="s">
        <v>2467</v>
      </c>
      <c r="E2895" t="str">
        <f>"00047538"</f>
        <v>00047538</v>
      </c>
      <c r="F2895">
        <v>0</v>
      </c>
      <c r="G2895" s="243">
        <v>26735</v>
      </c>
      <c r="H2895" t="s">
        <v>182</v>
      </c>
      <c r="I2895">
        <v>15</v>
      </c>
      <c r="J2895">
        <v>16</v>
      </c>
      <c r="K2895">
        <v>1</v>
      </c>
      <c r="L2895">
        <v>106540</v>
      </c>
      <c r="M2895" t="str">
        <f t="shared" si="421"/>
        <v>13</v>
      </c>
      <c r="N2895" t="s">
        <v>3323</v>
      </c>
      <c r="O2895" t="str">
        <f t="shared" si="424"/>
        <v>60011</v>
      </c>
      <c r="P2895" t="str">
        <f>"2200L"</f>
        <v>2200L</v>
      </c>
      <c r="Q2895" t="str">
        <f t="shared" si="423"/>
        <v>0101</v>
      </c>
      <c r="R2895">
        <v>2200</v>
      </c>
      <c r="S2895" t="str">
        <f t="shared" si="425"/>
        <v>6000</v>
      </c>
      <c r="T2895" t="s">
        <v>3730</v>
      </c>
      <c r="U2895" t="s">
        <v>130</v>
      </c>
    </row>
    <row r="2896" spans="1:21" ht="15" customHeight="1" x14ac:dyDescent="0.3">
      <c r="A2896" t="s">
        <v>179</v>
      </c>
      <c r="B2896" t="str">
        <f>"00052775"</f>
        <v>00052775</v>
      </c>
      <c r="C2896" t="s">
        <v>4262</v>
      </c>
      <c r="D2896" t="s">
        <v>2468</v>
      </c>
      <c r="E2896" t="str">
        <f>"00049431"</f>
        <v>00049431</v>
      </c>
      <c r="F2896">
        <v>0</v>
      </c>
      <c r="G2896" s="243">
        <v>25965</v>
      </c>
      <c r="H2896" t="s">
        <v>182</v>
      </c>
      <c r="I2896">
        <v>15</v>
      </c>
      <c r="J2896">
        <v>16</v>
      </c>
      <c r="K2896">
        <v>1</v>
      </c>
      <c r="L2896">
        <v>106540</v>
      </c>
      <c r="M2896" t="str">
        <f t="shared" si="421"/>
        <v>13</v>
      </c>
      <c r="N2896" t="s">
        <v>3323</v>
      </c>
      <c r="O2896" t="str">
        <f t="shared" si="424"/>
        <v>60011</v>
      </c>
      <c r="P2896" t="str">
        <f>"2100L"</f>
        <v>2100L</v>
      </c>
      <c r="Q2896" t="str">
        <f t="shared" si="423"/>
        <v>0101</v>
      </c>
      <c r="R2896">
        <v>2100</v>
      </c>
      <c r="S2896" t="str">
        <f t="shared" si="425"/>
        <v>6000</v>
      </c>
      <c r="T2896" t="s">
        <v>3730</v>
      </c>
      <c r="U2896" t="s">
        <v>130</v>
      </c>
    </row>
    <row r="2897" spans="1:21" ht="15" customHeight="1" x14ac:dyDescent="0.3">
      <c r="A2897" t="s">
        <v>179</v>
      </c>
      <c r="B2897" t="str">
        <f>"00052906"</f>
        <v>00052906</v>
      </c>
      <c r="C2897" t="s">
        <v>4274</v>
      </c>
      <c r="D2897" t="s">
        <v>5179</v>
      </c>
      <c r="E2897" t="str">
        <f>"00050023"</f>
        <v>00050023</v>
      </c>
      <c r="F2897">
        <v>0</v>
      </c>
      <c r="G2897" s="243">
        <v>35706</v>
      </c>
      <c r="H2897" t="s">
        <v>182</v>
      </c>
      <c r="I2897">
        <v>4</v>
      </c>
      <c r="J2897">
        <v>10</v>
      </c>
      <c r="K2897">
        <v>0.875</v>
      </c>
      <c r="L2897">
        <v>28721</v>
      </c>
      <c r="M2897" t="str">
        <f t="shared" si="421"/>
        <v>13</v>
      </c>
      <c r="N2897" t="s">
        <v>3323</v>
      </c>
      <c r="O2897" t="str">
        <f t="shared" si="424"/>
        <v>60011</v>
      </c>
      <c r="P2897" t="str">
        <f>"2200L"</f>
        <v>2200L</v>
      </c>
      <c r="Q2897" t="str">
        <f t="shared" si="423"/>
        <v>0101</v>
      </c>
      <c r="R2897">
        <v>2200</v>
      </c>
      <c r="S2897" t="str">
        <f t="shared" si="425"/>
        <v>6000</v>
      </c>
      <c r="T2897" t="s">
        <v>3730</v>
      </c>
      <c r="U2897" t="s">
        <v>130</v>
      </c>
    </row>
    <row r="2898" spans="1:21" ht="15" customHeight="1" x14ac:dyDescent="0.3">
      <c r="A2898" t="s">
        <v>179</v>
      </c>
      <c r="B2898" t="str">
        <f>"00052923"</f>
        <v>00052923</v>
      </c>
      <c r="C2898" t="s">
        <v>4266</v>
      </c>
      <c r="D2898" t="s">
        <v>2469</v>
      </c>
      <c r="E2898" t="str">
        <f>"00050179"</f>
        <v>00050179</v>
      </c>
      <c r="F2898">
        <v>0</v>
      </c>
      <c r="G2898" s="243">
        <v>34246</v>
      </c>
      <c r="H2898" t="s">
        <v>182</v>
      </c>
      <c r="I2898">
        <v>15</v>
      </c>
      <c r="J2898">
        <v>16</v>
      </c>
      <c r="K2898">
        <v>1</v>
      </c>
      <c r="L2898">
        <v>103347</v>
      </c>
      <c r="M2898" t="str">
        <f t="shared" si="421"/>
        <v>13</v>
      </c>
      <c r="N2898" t="s">
        <v>3323</v>
      </c>
      <c r="O2898" t="str">
        <f t="shared" si="424"/>
        <v>60011</v>
      </c>
      <c r="P2898" t="str">
        <f>"2300L"</f>
        <v>2300L</v>
      </c>
      <c r="Q2898" t="str">
        <f t="shared" si="423"/>
        <v>0101</v>
      </c>
      <c r="R2898">
        <v>2300</v>
      </c>
      <c r="S2898" t="str">
        <f t="shared" si="425"/>
        <v>6000</v>
      </c>
      <c r="T2898" t="s">
        <v>3730</v>
      </c>
      <c r="U2898" t="s">
        <v>130</v>
      </c>
    </row>
    <row r="2899" spans="1:21" ht="15" customHeight="1" x14ac:dyDescent="0.3">
      <c r="A2899" t="s">
        <v>179</v>
      </c>
      <c r="B2899" t="str">
        <f>"00053560"</f>
        <v>00053560</v>
      </c>
      <c r="C2899" t="s">
        <v>4274</v>
      </c>
      <c r="D2899" t="s">
        <v>5180</v>
      </c>
      <c r="E2899" t="str">
        <f>"00051750"</f>
        <v>00051750</v>
      </c>
      <c r="F2899">
        <v>0</v>
      </c>
      <c r="G2899" s="243">
        <v>35359</v>
      </c>
      <c r="H2899" t="s">
        <v>182</v>
      </c>
      <c r="I2899">
        <v>4</v>
      </c>
      <c r="J2899">
        <v>10</v>
      </c>
      <c r="K2899">
        <v>0.75</v>
      </c>
      <c r="L2899">
        <v>24618</v>
      </c>
      <c r="M2899" t="str">
        <f t="shared" si="421"/>
        <v>13</v>
      </c>
      <c r="N2899" t="s">
        <v>3323</v>
      </c>
      <c r="O2899" t="str">
        <f t="shared" si="424"/>
        <v>60011</v>
      </c>
      <c r="P2899" t="str">
        <f>"2200L"</f>
        <v>2200L</v>
      </c>
      <c r="Q2899" t="str">
        <f t="shared" si="423"/>
        <v>0101</v>
      </c>
      <c r="R2899">
        <v>2200</v>
      </c>
      <c r="S2899" t="str">
        <f t="shared" si="425"/>
        <v>6000</v>
      </c>
      <c r="T2899" t="s">
        <v>3730</v>
      </c>
      <c r="U2899" t="s">
        <v>130</v>
      </c>
    </row>
    <row r="2900" spans="1:21" ht="15" customHeight="1" x14ac:dyDescent="0.3">
      <c r="A2900" t="s">
        <v>179</v>
      </c>
      <c r="B2900" t="str">
        <f>"00055075"</f>
        <v>00055075</v>
      </c>
      <c r="C2900" t="s">
        <v>4252</v>
      </c>
      <c r="D2900" t="s">
        <v>2470</v>
      </c>
      <c r="E2900" t="str">
        <f>"00053409"</f>
        <v>00053409</v>
      </c>
      <c r="F2900">
        <v>0</v>
      </c>
      <c r="G2900" s="243">
        <v>36390</v>
      </c>
      <c r="H2900" t="s">
        <v>182</v>
      </c>
      <c r="I2900">
        <v>15</v>
      </c>
      <c r="J2900">
        <v>14</v>
      </c>
      <c r="K2900">
        <v>1</v>
      </c>
      <c r="L2900">
        <v>96460</v>
      </c>
      <c r="M2900" t="str">
        <f t="shared" si="421"/>
        <v>13</v>
      </c>
      <c r="N2900" t="s">
        <v>3323</v>
      </c>
      <c r="O2900" t="str">
        <f t="shared" si="424"/>
        <v>60011</v>
      </c>
      <c r="P2900" t="str">
        <f>"2100L"</f>
        <v>2100L</v>
      </c>
      <c r="Q2900" t="str">
        <f t="shared" si="423"/>
        <v>0101</v>
      </c>
      <c r="R2900">
        <v>2100</v>
      </c>
      <c r="S2900" t="str">
        <f t="shared" si="425"/>
        <v>6000</v>
      </c>
      <c r="T2900" t="s">
        <v>3730</v>
      </c>
      <c r="U2900" t="s">
        <v>130</v>
      </c>
    </row>
    <row r="2901" spans="1:21" ht="15" customHeight="1" x14ac:dyDescent="0.3">
      <c r="A2901" t="s">
        <v>179</v>
      </c>
      <c r="B2901" t="str">
        <f>"00057201"</f>
        <v>00057201</v>
      </c>
      <c r="C2901" t="s">
        <v>4272</v>
      </c>
      <c r="D2901" t="s">
        <v>2471</v>
      </c>
      <c r="E2901" t="str">
        <f>"00053100"</f>
        <v>00053100</v>
      </c>
      <c r="F2901">
        <v>0</v>
      </c>
      <c r="G2901" s="243">
        <v>34264</v>
      </c>
      <c r="H2901" t="s">
        <v>182</v>
      </c>
      <c r="I2901">
        <v>15</v>
      </c>
      <c r="J2901">
        <v>14</v>
      </c>
      <c r="K2901">
        <v>1</v>
      </c>
      <c r="L2901">
        <v>96460</v>
      </c>
      <c r="M2901" t="str">
        <f t="shared" si="421"/>
        <v>13</v>
      </c>
      <c r="N2901" t="s">
        <v>3323</v>
      </c>
      <c r="O2901" t="str">
        <f t="shared" si="424"/>
        <v>60011</v>
      </c>
      <c r="P2901" t="str">
        <f>"2200L"</f>
        <v>2200L</v>
      </c>
      <c r="Q2901" t="str">
        <f t="shared" si="423"/>
        <v>0101</v>
      </c>
      <c r="R2901">
        <v>2200</v>
      </c>
      <c r="S2901" t="str">
        <f t="shared" si="425"/>
        <v>6000</v>
      </c>
      <c r="T2901" t="s">
        <v>3730</v>
      </c>
      <c r="U2901" t="s">
        <v>130</v>
      </c>
    </row>
    <row r="2902" spans="1:21" ht="15" customHeight="1" x14ac:dyDescent="0.3">
      <c r="A2902" t="s">
        <v>179</v>
      </c>
      <c r="B2902" t="str">
        <f>"00057438"</f>
        <v>00057438</v>
      </c>
      <c r="C2902" t="s">
        <v>4262</v>
      </c>
      <c r="D2902" t="s">
        <v>2472</v>
      </c>
      <c r="E2902" t="str">
        <f>"00047561"</f>
        <v>00047561</v>
      </c>
      <c r="F2902">
        <v>0</v>
      </c>
      <c r="G2902" s="243">
        <v>36046</v>
      </c>
      <c r="H2902" t="s">
        <v>182</v>
      </c>
      <c r="I2902">
        <v>15</v>
      </c>
      <c r="J2902">
        <v>14</v>
      </c>
      <c r="K2902">
        <v>1</v>
      </c>
      <c r="L2902">
        <v>96460</v>
      </c>
      <c r="M2902" t="str">
        <f t="shared" si="421"/>
        <v>13</v>
      </c>
      <c r="N2902" t="s">
        <v>3323</v>
      </c>
      <c r="O2902" t="str">
        <f t="shared" si="424"/>
        <v>60011</v>
      </c>
      <c r="P2902" t="str">
        <f>"2100L"</f>
        <v>2100L</v>
      </c>
      <c r="Q2902" t="str">
        <f t="shared" si="423"/>
        <v>0101</v>
      </c>
      <c r="R2902">
        <v>2100</v>
      </c>
      <c r="S2902" t="str">
        <f t="shared" si="425"/>
        <v>6000</v>
      </c>
      <c r="T2902" t="s">
        <v>3730</v>
      </c>
      <c r="U2902" t="s">
        <v>130</v>
      </c>
    </row>
    <row r="2903" spans="1:21" ht="15" customHeight="1" x14ac:dyDescent="0.3">
      <c r="A2903" t="s">
        <v>179</v>
      </c>
      <c r="B2903" t="str">
        <f>"00057600"</f>
        <v>00057600</v>
      </c>
      <c r="C2903" t="s">
        <v>4262</v>
      </c>
      <c r="D2903" t="s">
        <v>2473</v>
      </c>
      <c r="E2903" t="str">
        <f>"00045210"</f>
        <v>00045210</v>
      </c>
      <c r="F2903">
        <v>0</v>
      </c>
      <c r="G2903" s="243">
        <v>38597</v>
      </c>
      <c r="H2903" t="s">
        <v>182</v>
      </c>
      <c r="I2903">
        <v>15</v>
      </c>
      <c r="J2903">
        <v>12</v>
      </c>
      <c r="K2903">
        <v>1</v>
      </c>
      <c r="L2903">
        <v>87431</v>
      </c>
      <c r="M2903" t="str">
        <f t="shared" si="421"/>
        <v>13</v>
      </c>
      <c r="N2903" t="s">
        <v>3323</v>
      </c>
      <c r="O2903" t="str">
        <f t="shared" si="424"/>
        <v>60011</v>
      </c>
      <c r="P2903" t="str">
        <f>"2100L"</f>
        <v>2100L</v>
      </c>
      <c r="Q2903" t="str">
        <f t="shared" si="423"/>
        <v>0101</v>
      </c>
      <c r="R2903">
        <v>2100</v>
      </c>
      <c r="S2903" t="str">
        <f t="shared" si="425"/>
        <v>6000</v>
      </c>
      <c r="T2903" t="s">
        <v>3730</v>
      </c>
      <c r="U2903" t="s">
        <v>130</v>
      </c>
    </row>
    <row r="2904" spans="1:21" ht="15" customHeight="1" x14ac:dyDescent="0.3">
      <c r="A2904" t="s">
        <v>179</v>
      </c>
      <c r="B2904" t="str">
        <f>"00058418"</f>
        <v>00058418</v>
      </c>
      <c r="C2904" t="s">
        <v>4266</v>
      </c>
      <c r="D2904" t="s">
        <v>2474</v>
      </c>
      <c r="E2904" t="str">
        <f>"00046941"</f>
        <v>00046941</v>
      </c>
      <c r="F2904">
        <v>0</v>
      </c>
      <c r="G2904" s="243">
        <v>37161</v>
      </c>
      <c r="H2904" t="s">
        <v>182</v>
      </c>
      <c r="I2904">
        <v>15</v>
      </c>
      <c r="J2904">
        <v>12</v>
      </c>
      <c r="K2904">
        <v>1</v>
      </c>
      <c r="L2904">
        <v>87431</v>
      </c>
      <c r="M2904" t="str">
        <f t="shared" si="421"/>
        <v>13</v>
      </c>
      <c r="N2904" t="s">
        <v>3323</v>
      </c>
      <c r="O2904" t="str">
        <f t="shared" si="424"/>
        <v>60011</v>
      </c>
      <c r="P2904" t="str">
        <f>"2300L"</f>
        <v>2300L</v>
      </c>
      <c r="Q2904" t="str">
        <f t="shared" si="423"/>
        <v>0101</v>
      </c>
      <c r="R2904">
        <v>2300</v>
      </c>
      <c r="S2904" t="str">
        <f t="shared" si="425"/>
        <v>6000</v>
      </c>
      <c r="T2904" t="s">
        <v>3730</v>
      </c>
      <c r="U2904" t="s">
        <v>130</v>
      </c>
    </row>
    <row r="2905" spans="1:21" ht="15" customHeight="1" x14ac:dyDescent="0.3">
      <c r="A2905" t="s">
        <v>179</v>
      </c>
      <c r="B2905" t="str">
        <f>"00058547"</f>
        <v>00058547</v>
      </c>
      <c r="C2905" t="s">
        <v>4272</v>
      </c>
      <c r="D2905" t="s">
        <v>2475</v>
      </c>
      <c r="E2905" t="str">
        <f>"00045974"</f>
        <v>00045974</v>
      </c>
      <c r="F2905">
        <v>0</v>
      </c>
      <c r="G2905" s="243">
        <v>38951</v>
      </c>
      <c r="H2905" t="s">
        <v>182</v>
      </c>
      <c r="I2905">
        <v>15</v>
      </c>
      <c r="J2905">
        <v>10</v>
      </c>
      <c r="K2905">
        <v>1</v>
      </c>
      <c r="L2905">
        <v>78273</v>
      </c>
      <c r="M2905" t="str">
        <f t="shared" si="421"/>
        <v>13</v>
      </c>
      <c r="N2905" t="s">
        <v>3323</v>
      </c>
      <c r="O2905" t="str">
        <f t="shared" si="424"/>
        <v>60011</v>
      </c>
      <c r="P2905" t="str">
        <f>"2100L"</f>
        <v>2100L</v>
      </c>
      <c r="Q2905" t="str">
        <f t="shared" si="423"/>
        <v>0101</v>
      </c>
      <c r="R2905">
        <v>2100</v>
      </c>
      <c r="S2905" t="str">
        <f t="shared" si="425"/>
        <v>6000</v>
      </c>
      <c r="T2905" t="s">
        <v>3730</v>
      </c>
      <c r="U2905" t="s">
        <v>130</v>
      </c>
    </row>
    <row r="2906" spans="1:21" ht="15" customHeight="1" x14ac:dyDescent="0.3">
      <c r="A2906" t="s">
        <v>179</v>
      </c>
      <c r="B2906" t="str">
        <f>"00058623"</f>
        <v>00058623</v>
      </c>
      <c r="C2906" t="s">
        <v>4260</v>
      </c>
      <c r="D2906" t="s">
        <v>2476</v>
      </c>
      <c r="E2906" t="str">
        <f>"00050611"</f>
        <v>00050611</v>
      </c>
      <c r="F2906">
        <v>0</v>
      </c>
      <c r="G2906" s="243">
        <v>38951</v>
      </c>
      <c r="H2906" t="s">
        <v>182</v>
      </c>
      <c r="I2906">
        <v>15</v>
      </c>
      <c r="J2906">
        <v>7</v>
      </c>
      <c r="K2906">
        <v>1</v>
      </c>
      <c r="L2906">
        <v>71581</v>
      </c>
      <c r="M2906" t="str">
        <f t="shared" si="421"/>
        <v>13</v>
      </c>
      <c r="N2906" t="s">
        <v>3323</v>
      </c>
      <c r="O2906" t="str">
        <f t="shared" si="424"/>
        <v>60011</v>
      </c>
      <c r="P2906" t="str">
        <f>"3030L"</f>
        <v>3030L</v>
      </c>
      <c r="Q2906" t="str">
        <f t="shared" si="423"/>
        <v>0101</v>
      </c>
      <c r="R2906">
        <v>3030</v>
      </c>
      <c r="S2906" t="str">
        <f t="shared" si="425"/>
        <v>6000</v>
      </c>
      <c r="T2906" t="s">
        <v>3730</v>
      </c>
      <c r="U2906" t="s">
        <v>130</v>
      </c>
    </row>
    <row r="2907" spans="1:21" ht="15" customHeight="1" x14ac:dyDescent="0.3">
      <c r="A2907" t="s">
        <v>179</v>
      </c>
      <c r="B2907" t="str">
        <f>"00059437"</f>
        <v>00059437</v>
      </c>
      <c r="C2907" t="s">
        <v>4272</v>
      </c>
      <c r="D2907" t="s">
        <v>2477</v>
      </c>
      <c r="E2907" t="str">
        <f>"00049810"</f>
        <v>00049810</v>
      </c>
      <c r="F2907">
        <v>0</v>
      </c>
      <c r="G2907" s="243">
        <v>37876</v>
      </c>
      <c r="H2907" t="s">
        <v>182</v>
      </c>
      <c r="I2907">
        <v>15</v>
      </c>
      <c r="J2907">
        <v>13</v>
      </c>
      <c r="K2907">
        <v>1</v>
      </c>
      <c r="L2907">
        <v>86613</v>
      </c>
      <c r="M2907" t="str">
        <f t="shared" si="421"/>
        <v>13</v>
      </c>
      <c r="N2907" t="s">
        <v>3323</v>
      </c>
      <c r="O2907" t="str">
        <f t="shared" si="424"/>
        <v>60011</v>
      </c>
      <c r="P2907" t="str">
        <f>"2100L"</f>
        <v>2100L</v>
      </c>
      <c r="Q2907" t="str">
        <f t="shared" si="423"/>
        <v>0101</v>
      </c>
      <c r="R2907">
        <v>2100</v>
      </c>
      <c r="S2907" t="str">
        <f t="shared" si="425"/>
        <v>6000</v>
      </c>
      <c r="T2907" t="s">
        <v>3730</v>
      </c>
      <c r="U2907" t="s">
        <v>130</v>
      </c>
    </row>
    <row r="2908" spans="1:21" ht="15" customHeight="1" x14ac:dyDescent="0.3">
      <c r="A2908" t="s">
        <v>179</v>
      </c>
      <c r="B2908" t="str">
        <f>"00059568"</f>
        <v>00059568</v>
      </c>
      <c r="C2908" t="s">
        <v>4292</v>
      </c>
      <c r="D2908" t="s">
        <v>5181</v>
      </c>
      <c r="E2908" t="str">
        <f>"00052227"</f>
        <v>00052227</v>
      </c>
      <c r="F2908">
        <v>0</v>
      </c>
      <c r="G2908" s="243">
        <v>37923</v>
      </c>
      <c r="H2908" t="s">
        <v>182</v>
      </c>
      <c r="I2908">
        <v>4</v>
      </c>
      <c r="J2908">
        <v>7</v>
      </c>
      <c r="K2908">
        <v>0.875</v>
      </c>
      <c r="L2908">
        <v>26633.25</v>
      </c>
      <c r="M2908" t="str">
        <f t="shared" si="421"/>
        <v>13</v>
      </c>
      <c r="N2908" t="s">
        <v>3323</v>
      </c>
      <c r="O2908" t="str">
        <f t="shared" si="424"/>
        <v>60011</v>
      </c>
      <c r="P2908" t="str">
        <f>"2200L"</f>
        <v>2200L</v>
      </c>
      <c r="Q2908" t="str">
        <f t="shared" si="423"/>
        <v>0101</v>
      </c>
      <c r="R2908">
        <v>2200</v>
      </c>
      <c r="S2908" t="str">
        <f t="shared" si="425"/>
        <v>6000</v>
      </c>
      <c r="T2908" t="s">
        <v>3730</v>
      </c>
      <c r="U2908" t="s">
        <v>130</v>
      </c>
    </row>
    <row r="2909" spans="1:21" ht="15" customHeight="1" x14ac:dyDescent="0.3">
      <c r="A2909" t="s">
        <v>179</v>
      </c>
      <c r="B2909" t="str">
        <f>"00059602"</f>
        <v>00059602</v>
      </c>
      <c r="C2909" t="s">
        <v>4256</v>
      </c>
      <c r="D2909" t="s">
        <v>2478</v>
      </c>
      <c r="E2909" t="str">
        <f>"00045163"</f>
        <v>00045163</v>
      </c>
      <c r="F2909">
        <v>0</v>
      </c>
      <c r="G2909" s="243">
        <v>38587</v>
      </c>
      <c r="H2909" t="s">
        <v>182</v>
      </c>
      <c r="I2909">
        <v>15</v>
      </c>
      <c r="J2909">
        <v>8</v>
      </c>
      <c r="K2909">
        <v>1</v>
      </c>
      <c r="L2909">
        <v>74640</v>
      </c>
      <c r="M2909" t="str">
        <f t="shared" si="421"/>
        <v>13</v>
      </c>
      <c r="N2909" t="s">
        <v>3323</v>
      </c>
      <c r="O2909" t="str">
        <f t="shared" si="424"/>
        <v>60011</v>
      </c>
      <c r="P2909" t="str">
        <f t="shared" ref="P2909:P2915" si="426">"2100L"</f>
        <v>2100L</v>
      </c>
      <c r="Q2909" t="str">
        <f t="shared" si="423"/>
        <v>0101</v>
      </c>
      <c r="R2909">
        <v>2100</v>
      </c>
      <c r="S2909" t="str">
        <f t="shared" si="425"/>
        <v>6000</v>
      </c>
      <c r="T2909" t="s">
        <v>3730</v>
      </c>
      <c r="U2909" t="s">
        <v>130</v>
      </c>
    </row>
    <row r="2910" spans="1:21" ht="15" customHeight="1" x14ac:dyDescent="0.3">
      <c r="A2910" t="s">
        <v>179</v>
      </c>
      <c r="B2910" t="str">
        <f>"00061001"</f>
        <v>00061001</v>
      </c>
      <c r="C2910" t="s">
        <v>4262</v>
      </c>
      <c r="D2910" t="s">
        <v>5182</v>
      </c>
      <c r="E2910" t="str">
        <f>"00044522"</f>
        <v>00044522</v>
      </c>
      <c r="F2910">
        <v>0</v>
      </c>
      <c r="G2910" s="243">
        <v>39315</v>
      </c>
      <c r="H2910" t="s">
        <v>182</v>
      </c>
      <c r="I2910">
        <v>15</v>
      </c>
      <c r="J2910">
        <v>12</v>
      </c>
      <c r="K2910">
        <v>1</v>
      </c>
      <c r="L2910">
        <v>87431</v>
      </c>
      <c r="M2910" t="str">
        <f t="shared" si="421"/>
        <v>13</v>
      </c>
      <c r="N2910" t="s">
        <v>3323</v>
      </c>
      <c r="O2910" t="str">
        <f t="shared" si="424"/>
        <v>60011</v>
      </c>
      <c r="P2910" t="str">
        <f t="shared" si="426"/>
        <v>2100L</v>
      </c>
      <c r="Q2910" t="str">
        <f t="shared" si="423"/>
        <v>0101</v>
      </c>
      <c r="R2910">
        <v>2100</v>
      </c>
      <c r="S2910" t="str">
        <f t="shared" si="425"/>
        <v>6000</v>
      </c>
      <c r="T2910" t="s">
        <v>3730</v>
      </c>
      <c r="U2910" t="s">
        <v>130</v>
      </c>
    </row>
    <row r="2911" spans="1:21" ht="15" customHeight="1" x14ac:dyDescent="0.3">
      <c r="A2911" t="s">
        <v>179</v>
      </c>
      <c r="B2911" t="str">
        <f>"00061133"</f>
        <v>00061133</v>
      </c>
      <c r="C2911" t="s">
        <v>4262</v>
      </c>
      <c r="D2911" t="s">
        <v>5183</v>
      </c>
      <c r="E2911" t="str">
        <f>"00063575"</f>
        <v>00063575</v>
      </c>
      <c r="F2911">
        <v>0</v>
      </c>
      <c r="G2911" s="243">
        <v>40457</v>
      </c>
      <c r="H2911" t="s">
        <v>182</v>
      </c>
      <c r="I2911">
        <v>15</v>
      </c>
      <c r="J2911">
        <v>3</v>
      </c>
      <c r="K2911">
        <v>1</v>
      </c>
      <c r="L2911">
        <v>58699</v>
      </c>
      <c r="M2911" t="str">
        <f t="shared" si="421"/>
        <v>13</v>
      </c>
      <c r="N2911" t="s">
        <v>3323</v>
      </c>
      <c r="O2911" t="str">
        <f t="shared" si="424"/>
        <v>60011</v>
      </c>
      <c r="P2911" t="str">
        <f t="shared" si="426"/>
        <v>2100L</v>
      </c>
      <c r="Q2911" t="str">
        <f t="shared" si="423"/>
        <v>0101</v>
      </c>
      <c r="R2911">
        <v>2100</v>
      </c>
      <c r="S2911" t="str">
        <f t="shared" si="425"/>
        <v>6000</v>
      </c>
      <c r="T2911" t="s">
        <v>3730</v>
      </c>
      <c r="U2911" t="s">
        <v>130</v>
      </c>
    </row>
    <row r="2912" spans="1:21" ht="15" customHeight="1" x14ac:dyDescent="0.3">
      <c r="A2912" t="s">
        <v>179</v>
      </c>
      <c r="B2912" t="str">
        <f>"00061198"</f>
        <v>00061198</v>
      </c>
      <c r="C2912" t="s">
        <v>4262</v>
      </c>
      <c r="D2912" t="s">
        <v>2479</v>
      </c>
      <c r="E2912" t="str">
        <f>"00045753"</f>
        <v>00045753</v>
      </c>
      <c r="F2912">
        <v>0</v>
      </c>
      <c r="G2912" s="243">
        <v>39314</v>
      </c>
      <c r="H2912" t="s">
        <v>182</v>
      </c>
      <c r="I2912">
        <v>15</v>
      </c>
      <c r="J2912">
        <v>12</v>
      </c>
      <c r="K2912">
        <v>1</v>
      </c>
      <c r="L2912">
        <v>87431</v>
      </c>
      <c r="M2912" t="str">
        <f t="shared" si="421"/>
        <v>13</v>
      </c>
      <c r="N2912" t="s">
        <v>3323</v>
      </c>
      <c r="O2912" t="str">
        <f t="shared" si="424"/>
        <v>60011</v>
      </c>
      <c r="P2912" t="str">
        <f t="shared" si="426"/>
        <v>2100L</v>
      </c>
      <c r="Q2912" t="str">
        <f t="shared" si="423"/>
        <v>0101</v>
      </c>
      <c r="R2912">
        <v>2100</v>
      </c>
      <c r="S2912" t="str">
        <f t="shared" si="425"/>
        <v>6000</v>
      </c>
      <c r="T2912" t="s">
        <v>3730</v>
      </c>
      <c r="U2912" t="s">
        <v>130</v>
      </c>
    </row>
    <row r="2913" spans="1:21" ht="15" customHeight="1" x14ac:dyDescent="0.3">
      <c r="A2913" t="s">
        <v>179</v>
      </c>
      <c r="B2913" t="str">
        <f>"00061321"</f>
        <v>00061321</v>
      </c>
      <c r="C2913" t="s">
        <v>4262</v>
      </c>
      <c r="D2913" t="s">
        <v>2480</v>
      </c>
      <c r="E2913" t="str">
        <f>"00046615"</f>
        <v>00046615</v>
      </c>
      <c r="F2913">
        <v>0</v>
      </c>
      <c r="G2913" s="243">
        <v>39122</v>
      </c>
      <c r="H2913" t="s">
        <v>182</v>
      </c>
      <c r="I2913">
        <v>15</v>
      </c>
      <c r="J2913">
        <v>6</v>
      </c>
      <c r="K2913">
        <v>1</v>
      </c>
      <c r="L2913">
        <v>66078</v>
      </c>
      <c r="M2913" t="str">
        <f t="shared" si="421"/>
        <v>13</v>
      </c>
      <c r="N2913" t="s">
        <v>3323</v>
      </c>
      <c r="O2913" t="str">
        <f t="shared" si="424"/>
        <v>60011</v>
      </c>
      <c r="P2913" t="str">
        <f t="shared" si="426"/>
        <v>2100L</v>
      </c>
      <c r="Q2913" t="str">
        <f t="shared" si="423"/>
        <v>0101</v>
      </c>
      <c r="R2913">
        <v>2100</v>
      </c>
      <c r="S2913" t="str">
        <f t="shared" si="425"/>
        <v>6000</v>
      </c>
      <c r="T2913" t="s">
        <v>3730</v>
      </c>
      <c r="U2913" t="s">
        <v>130</v>
      </c>
    </row>
    <row r="2914" spans="1:21" ht="15" customHeight="1" x14ac:dyDescent="0.3">
      <c r="A2914" t="s">
        <v>179</v>
      </c>
      <c r="B2914" t="str">
        <f>"00061387"</f>
        <v>00061387</v>
      </c>
      <c r="C2914" t="s">
        <v>4262</v>
      </c>
      <c r="D2914" t="s">
        <v>2481</v>
      </c>
      <c r="E2914" t="str">
        <f>"00049185"</f>
        <v>00049185</v>
      </c>
      <c r="F2914">
        <v>0</v>
      </c>
      <c r="G2914" s="243">
        <v>39315</v>
      </c>
      <c r="H2914" t="s">
        <v>182</v>
      </c>
      <c r="I2914">
        <v>15</v>
      </c>
      <c r="J2914">
        <v>9</v>
      </c>
      <c r="K2914">
        <v>1</v>
      </c>
      <c r="L2914">
        <v>75232</v>
      </c>
      <c r="M2914" t="str">
        <f t="shared" si="421"/>
        <v>13</v>
      </c>
      <c r="N2914" t="s">
        <v>3323</v>
      </c>
      <c r="O2914" t="str">
        <f t="shared" si="424"/>
        <v>60011</v>
      </c>
      <c r="P2914" t="str">
        <f t="shared" si="426"/>
        <v>2100L</v>
      </c>
      <c r="Q2914" t="str">
        <f t="shared" si="423"/>
        <v>0101</v>
      </c>
      <c r="R2914">
        <v>2100</v>
      </c>
      <c r="S2914" t="str">
        <f t="shared" si="425"/>
        <v>6000</v>
      </c>
      <c r="T2914" t="s">
        <v>3730</v>
      </c>
      <c r="U2914" t="s">
        <v>130</v>
      </c>
    </row>
    <row r="2915" spans="1:21" ht="15" customHeight="1" x14ac:dyDescent="0.3">
      <c r="A2915" t="s">
        <v>179</v>
      </c>
      <c r="B2915" t="str">
        <f>"00061690"</f>
        <v>00061690</v>
      </c>
      <c r="C2915" t="s">
        <v>4262</v>
      </c>
      <c r="D2915" t="s">
        <v>2482</v>
      </c>
      <c r="E2915" t="str">
        <f>"00049761"</f>
        <v>00049761</v>
      </c>
      <c r="F2915">
        <v>0</v>
      </c>
      <c r="G2915" s="243">
        <v>39482</v>
      </c>
      <c r="H2915" t="s">
        <v>182</v>
      </c>
      <c r="I2915">
        <v>15</v>
      </c>
      <c r="J2915">
        <v>11</v>
      </c>
      <c r="K2915">
        <v>1</v>
      </c>
      <c r="L2915">
        <v>81335</v>
      </c>
      <c r="M2915" t="str">
        <f t="shared" si="421"/>
        <v>13</v>
      </c>
      <c r="N2915" t="s">
        <v>3323</v>
      </c>
      <c r="O2915" t="str">
        <f t="shared" si="424"/>
        <v>60011</v>
      </c>
      <c r="P2915" t="str">
        <f t="shared" si="426"/>
        <v>2100L</v>
      </c>
      <c r="Q2915" t="str">
        <f t="shared" si="423"/>
        <v>0101</v>
      </c>
      <c r="R2915">
        <v>2100</v>
      </c>
      <c r="S2915" t="str">
        <f t="shared" si="425"/>
        <v>6000</v>
      </c>
      <c r="T2915" t="s">
        <v>3730</v>
      </c>
      <c r="U2915" t="s">
        <v>130</v>
      </c>
    </row>
    <row r="2916" spans="1:21" ht="15" customHeight="1" x14ac:dyDescent="0.3">
      <c r="A2916" t="s">
        <v>179</v>
      </c>
      <c r="B2916" t="str">
        <f>"00062226"</f>
        <v>00062226</v>
      </c>
      <c r="C2916" t="s">
        <v>4274</v>
      </c>
      <c r="D2916" t="s">
        <v>5184</v>
      </c>
      <c r="E2916" t="str">
        <f>"00044456"</f>
        <v>00044456</v>
      </c>
      <c r="F2916">
        <v>0</v>
      </c>
      <c r="G2916" s="243">
        <v>39679</v>
      </c>
      <c r="H2916" t="s">
        <v>182</v>
      </c>
      <c r="I2916">
        <v>4</v>
      </c>
      <c r="J2916">
        <v>7</v>
      </c>
      <c r="K2916">
        <v>0.875</v>
      </c>
      <c r="L2916">
        <v>26633.25</v>
      </c>
      <c r="M2916" t="str">
        <f t="shared" si="421"/>
        <v>13</v>
      </c>
      <c r="N2916" t="s">
        <v>3323</v>
      </c>
      <c r="O2916" t="str">
        <f t="shared" si="424"/>
        <v>60011</v>
      </c>
      <c r="P2916" t="str">
        <f>"2200L"</f>
        <v>2200L</v>
      </c>
      <c r="Q2916" t="str">
        <f t="shared" si="423"/>
        <v>0101</v>
      </c>
      <c r="R2916">
        <v>2200</v>
      </c>
      <c r="S2916" t="str">
        <f t="shared" si="425"/>
        <v>6000</v>
      </c>
      <c r="T2916" t="s">
        <v>3730</v>
      </c>
      <c r="U2916" t="s">
        <v>130</v>
      </c>
    </row>
    <row r="2917" spans="1:21" ht="15" customHeight="1" x14ac:dyDescent="0.3">
      <c r="A2917" t="s">
        <v>179</v>
      </c>
      <c r="B2917" t="str">
        <f>"00066438"</f>
        <v>00066438</v>
      </c>
      <c r="C2917" t="s">
        <v>4262</v>
      </c>
      <c r="D2917" t="s">
        <v>2484</v>
      </c>
      <c r="E2917" t="str">
        <f>"00057119"</f>
        <v>00057119</v>
      </c>
      <c r="F2917">
        <v>0</v>
      </c>
      <c r="G2917" s="243">
        <v>40042</v>
      </c>
      <c r="H2917" t="s">
        <v>182</v>
      </c>
      <c r="I2917">
        <v>15</v>
      </c>
      <c r="J2917">
        <v>4</v>
      </c>
      <c r="K2917">
        <v>1</v>
      </c>
      <c r="L2917">
        <v>61158</v>
      </c>
      <c r="M2917" t="str">
        <f t="shared" si="421"/>
        <v>13</v>
      </c>
      <c r="N2917" t="s">
        <v>3323</v>
      </c>
      <c r="O2917" t="str">
        <f t="shared" si="424"/>
        <v>60011</v>
      </c>
      <c r="P2917" t="str">
        <f>"2100L"</f>
        <v>2100L</v>
      </c>
      <c r="Q2917" t="str">
        <f t="shared" si="423"/>
        <v>0101</v>
      </c>
      <c r="R2917">
        <v>2100</v>
      </c>
      <c r="S2917" t="str">
        <f t="shared" si="425"/>
        <v>6000</v>
      </c>
      <c r="T2917" t="s">
        <v>3730</v>
      </c>
      <c r="U2917" t="s">
        <v>130</v>
      </c>
    </row>
    <row r="2918" spans="1:21" ht="15" customHeight="1" x14ac:dyDescent="0.3">
      <c r="A2918" t="s">
        <v>179</v>
      </c>
      <c r="B2918" t="str">
        <f>"00066649"</f>
        <v>00066649</v>
      </c>
      <c r="C2918" t="s">
        <v>4274</v>
      </c>
      <c r="D2918" t="s">
        <v>5185</v>
      </c>
      <c r="E2918" t="str">
        <f>"00059617"</f>
        <v>00059617</v>
      </c>
      <c r="F2918">
        <v>0</v>
      </c>
      <c r="G2918" s="243">
        <v>40119</v>
      </c>
      <c r="H2918" t="s">
        <v>182</v>
      </c>
      <c r="I2918">
        <v>4</v>
      </c>
      <c r="J2918">
        <v>8</v>
      </c>
      <c r="K2918">
        <v>1</v>
      </c>
      <c r="L2918">
        <v>27329.75</v>
      </c>
      <c r="M2918" t="str">
        <f t="shared" si="421"/>
        <v>13</v>
      </c>
      <c r="N2918" t="s">
        <v>3323</v>
      </c>
      <c r="O2918" t="str">
        <f t="shared" si="424"/>
        <v>60011</v>
      </c>
      <c r="P2918" t="str">
        <f>"2200L"</f>
        <v>2200L</v>
      </c>
      <c r="Q2918" t="str">
        <f t="shared" si="423"/>
        <v>0101</v>
      </c>
      <c r="R2918">
        <v>2200</v>
      </c>
      <c r="S2918" t="str">
        <f t="shared" si="425"/>
        <v>6000</v>
      </c>
      <c r="T2918" t="s">
        <v>3730</v>
      </c>
      <c r="U2918" t="s">
        <v>130</v>
      </c>
    </row>
    <row r="2919" spans="1:21" ht="15" customHeight="1" x14ac:dyDescent="0.3">
      <c r="A2919" t="s">
        <v>179</v>
      </c>
      <c r="B2919" t="str">
        <f>"00067101"</f>
        <v>00067101</v>
      </c>
      <c r="C2919" t="s">
        <v>4306</v>
      </c>
      <c r="D2919" t="s">
        <v>5186</v>
      </c>
      <c r="E2919" t="str">
        <f>"00054757"</f>
        <v>00054757</v>
      </c>
      <c r="F2919">
        <v>0</v>
      </c>
      <c r="G2919" s="243">
        <v>40133</v>
      </c>
      <c r="H2919" t="s">
        <v>182</v>
      </c>
      <c r="I2919">
        <v>9</v>
      </c>
      <c r="J2919">
        <v>8</v>
      </c>
      <c r="K2919">
        <v>1</v>
      </c>
      <c r="L2919">
        <v>40604</v>
      </c>
      <c r="M2919" t="str">
        <f t="shared" si="421"/>
        <v>13</v>
      </c>
      <c r="N2919" t="s">
        <v>3323</v>
      </c>
      <c r="O2919" t="str">
        <f t="shared" si="424"/>
        <v>60011</v>
      </c>
      <c r="P2919" t="str">
        <f>"1502L"</f>
        <v>1502L</v>
      </c>
      <c r="Q2919" t="str">
        <f t="shared" si="423"/>
        <v>0101</v>
      </c>
      <c r="R2919">
        <v>1502</v>
      </c>
      <c r="S2919" t="str">
        <f t="shared" si="425"/>
        <v>6000</v>
      </c>
      <c r="T2919" t="s">
        <v>3730</v>
      </c>
      <c r="U2919" t="s">
        <v>130</v>
      </c>
    </row>
    <row r="2920" spans="1:21" ht="15" customHeight="1" x14ac:dyDescent="0.3">
      <c r="A2920" t="s">
        <v>179</v>
      </c>
      <c r="B2920" t="str">
        <f>"00072648"</f>
        <v>00072648</v>
      </c>
      <c r="C2920" t="s">
        <v>4499</v>
      </c>
      <c r="H2920" t="s">
        <v>170</v>
      </c>
      <c r="I2920">
        <v>10</v>
      </c>
      <c r="J2920">
        <v>1</v>
      </c>
      <c r="K2920">
        <v>0.5</v>
      </c>
      <c r="L2920">
        <v>62794</v>
      </c>
      <c r="M2920" t="str">
        <f t="shared" si="421"/>
        <v>13</v>
      </c>
      <c r="N2920" t="s">
        <v>3323</v>
      </c>
      <c r="O2920" t="str">
        <f t="shared" si="424"/>
        <v>60011</v>
      </c>
      <c r="P2920" t="str">
        <f>"2100L"</f>
        <v>2100L</v>
      </c>
      <c r="Q2920" t="str">
        <f t="shared" si="423"/>
        <v>0101</v>
      </c>
      <c r="R2920">
        <v>2100</v>
      </c>
      <c r="S2920" t="str">
        <f t="shared" si="425"/>
        <v>6000</v>
      </c>
      <c r="T2920" t="s">
        <v>3589</v>
      </c>
      <c r="U2920" t="s">
        <v>48</v>
      </c>
    </row>
    <row r="2921" spans="1:21" ht="15" customHeight="1" x14ac:dyDescent="0.3">
      <c r="A2921" t="s">
        <v>179</v>
      </c>
      <c r="B2921" t="str">
        <f>"00072801"</f>
        <v>00072801</v>
      </c>
      <c r="C2921" t="s">
        <v>4266</v>
      </c>
      <c r="D2921" t="s">
        <v>2486</v>
      </c>
      <c r="E2921" t="str">
        <f>"00053631"</f>
        <v>00053631</v>
      </c>
      <c r="F2921">
        <v>0</v>
      </c>
      <c r="G2921" s="243">
        <v>37118</v>
      </c>
      <c r="H2921" t="s">
        <v>182</v>
      </c>
      <c r="I2921">
        <v>15</v>
      </c>
      <c r="J2921">
        <v>12</v>
      </c>
      <c r="K2921">
        <v>1</v>
      </c>
      <c r="L2921">
        <v>87431</v>
      </c>
      <c r="M2921" t="str">
        <f t="shared" si="421"/>
        <v>13</v>
      </c>
      <c r="N2921" t="s">
        <v>3323</v>
      </c>
      <c r="O2921" t="str">
        <f t="shared" si="424"/>
        <v>60011</v>
      </c>
      <c r="P2921" t="str">
        <f>"2100L"</f>
        <v>2100L</v>
      </c>
      <c r="Q2921" t="str">
        <f t="shared" si="423"/>
        <v>0101</v>
      </c>
      <c r="R2921">
        <v>2100</v>
      </c>
      <c r="S2921" t="str">
        <f t="shared" si="425"/>
        <v>6000</v>
      </c>
      <c r="T2921" t="s">
        <v>3730</v>
      </c>
      <c r="U2921" t="s">
        <v>130</v>
      </c>
    </row>
    <row r="2922" spans="1:21" ht="15" customHeight="1" x14ac:dyDescent="0.3">
      <c r="A2922" t="s">
        <v>179</v>
      </c>
      <c r="B2922" t="str">
        <f>"00073035"</f>
        <v>00073035</v>
      </c>
      <c r="C2922" t="s">
        <v>4272</v>
      </c>
      <c r="D2922" t="s">
        <v>3733</v>
      </c>
      <c r="E2922" t="str">
        <f>"00064532"</f>
        <v>00064532</v>
      </c>
      <c r="F2922">
        <v>0</v>
      </c>
      <c r="G2922" s="243">
        <v>40567</v>
      </c>
      <c r="H2922" t="s">
        <v>182</v>
      </c>
      <c r="I2922">
        <v>15</v>
      </c>
      <c r="J2922">
        <v>2</v>
      </c>
      <c r="K2922">
        <v>1</v>
      </c>
      <c r="L2922">
        <v>51716</v>
      </c>
      <c r="M2922" t="str">
        <f t="shared" si="421"/>
        <v>13</v>
      </c>
      <c r="N2922" t="s">
        <v>3323</v>
      </c>
      <c r="O2922" t="str">
        <f t="shared" si="424"/>
        <v>60011</v>
      </c>
      <c r="P2922" t="str">
        <f>"3030L"</f>
        <v>3030L</v>
      </c>
      <c r="Q2922" t="str">
        <f t="shared" si="423"/>
        <v>0101</v>
      </c>
      <c r="R2922">
        <v>3030</v>
      </c>
      <c r="S2922" t="str">
        <f t="shared" si="425"/>
        <v>6000</v>
      </c>
      <c r="T2922" t="s">
        <v>3730</v>
      </c>
      <c r="U2922" t="s">
        <v>130</v>
      </c>
    </row>
    <row r="2923" spans="1:21" ht="15" customHeight="1" x14ac:dyDescent="0.3">
      <c r="A2923" t="s">
        <v>179</v>
      </c>
      <c r="B2923" t="str">
        <f>"00073949"</f>
        <v>00073949</v>
      </c>
      <c r="C2923" t="s">
        <v>4262</v>
      </c>
      <c r="D2923" t="s">
        <v>2483</v>
      </c>
      <c r="E2923" t="str">
        <f>"00049752"</f>
        <v>00049752</v>
      </c>
      <c r="F2923">
        <v>0</v>
      </c>
      <c r="G2923" s="243">
        <v>39034</v>
      </c>
      <c r="H2923" t="s">
        <v>182</v>
      </c>
      <c r="I2923">
        <v>15</v>
      </c>
      <c r="J2923">
        <v>13</v>
      </c>
      <c r="K2923">
        <v>1</v>
      </c>
      <c r="L2923">
        <v>101066</v>
      </c>
      <c r="M2923" t="str">
        <f t="shared" si="421"/>
        <v>13</v>
      </c>
      <c r="N2923" t="s">
        <v>3323</v>
      </c>
      <c r="O2923" t="str">
        <f t="shared" si="424"/>
        <v>60011</v>
      </c>
      <c r="P2923" t="str">
        <f>"2100L"</f>
        <v>2100L</v>
      </c>
      <c r="Q2923" t="str">
        <f t="shared" si="423"/>
        <v>0101</v>
      </c>
      <c r="R2923">
        <v>2100</v>
      </c>
      <c r="S2923" t="str">
        <f t="shared" si="425"/>
        <v>6000</v>
      </c>
      <c r="T2923" t="s">
        <v>3730</v>
      </c>
      <c r="U2923" t="s">
        <v>130</v>
      </c>
    </row>
    <row r="2924" spans="1:21" ht="15" customHeight="1" x14ac:dyDescent="0.3">
      <c r="A2924" t="s">
        <v>179</v>
      </c>
      <c r="B2924" t="str">
        <f>"00074500"</f>
        <v>00074500</v>
      </c>
      <c r="C2924" t="s">
        <v>4265</v>
      </c>
      <c r="D2924" t="s">
        <v>3731</v>
      </c>
      <c r="E2924" t="str">
        <f>"00063255"</f>
        <v>00063255</v>
      </c>
      <c r="F2924">
        <v>0</v>
      </c>
      <c r="G2924" s="243">
        <v>40428</v>
      </c>
      <c r="H2924" t="s">
        <v>182</v>
      </c>
      <c r="I2924">
        <v>15</v>
      </c>
      <c r="J2924">
        <v>11</v>
      </c>
      <c r="K2924">
        <v>0.25</v>
      </c>
      <c r="L2924">
        <v>81335</v>
      </c>
      <c r="M2924" t="str">
        <f t="shared" si="421"/>
        <v>13</v>
      </c>
      <c r="N2924" t="s">
        <v>3323</v>
      </c>
      <c r="O2924" t="str">
        <f t="shared" si="424"/>
        <v>60011</v>
      </c>
      <c r="P2924" t="str">
        <f>"2100L"</f>
        <v>2100L</v>
      </c>
      <c r="Q2924" t="str">
        <f t="shared" si="423"/>
        <v>0101</v>
      </c>
      <c r="R2924">
        <v>2100</v>
      </c>
      <c r="S2924" t="str">
        <f t="shared" si="425"/>
        <v>6000</v>
      </c>
      <c r="T2924" t="s">
        <v>3732</v>
      </c>
      <c r="U2924" t="s">
        <v>2853</v>
      </c>
    </row>
    <row r="2925" spans="1:21" ht="15" customHeight="1" x14ac:dyDescent="0.3">
      <c r="A2925" t="s">
        <v>179</v>
      </c>
      <c r="B2925" t="str">
        <f>"00076342"</f>
        <v>00076342</v>
      </c>
      <c r="C2925" t="s">
        <v>4271</v>
      </c>
      <c r="D2925" t="s">
        <v>5187</v>
      </c>
      <c r="E2925" t="str">
        <f>"00060374"</f>
        <v>00060374</v>
      </c>
      <c r="F2925">
        <v>0</v>
      </c>
      <c r="G2925" s="243">
        <v>40203</v>
      </c>
      <c r="H2925" t="s">
        <v>182</v>
      </c>
      <c r="I2925">
        <v>15</v>
      </c>
      <c r="J2925">
        <v>7</v>
      </c>
      <c r="K2925">
        <v>1</v>
      </c>
      <c r="L2925">
        <v>74045</v>
      </c>
      <c r="M2925" t="str">
        <f t="shared" si="421"/>
        <v>13</v>
      </c>
      <c r="N2925" t="s">
        <v>3323</v>
      </c>
      <c r="O2925" t="str">
        <f t="shared" si="424"/>
        <v>60011</v>
      </c>
      <c r="P2925" t="str">
        <f>"2100L"</f>
        <v>2100L</v>
      </c>
      <c r="Q2925" t="str">
        <f t="shared" si="423"/>
        <v>0101</v>
      </c>
      <c r="R2925">
        <v>2100</v>
      </c>
      <c r="S2925" t="str">
        <f t="shared" si="425"/>
        <v>6000</v>
      </c>
      <c r="T2925" t="s">
        <v>3730</v>
      </c>
      <c r="U2925" t="s">
        <v>130</v>
      </c>
    </row>
    <row r="2926" spans="1:21" ht="15" customHeight="1" x14ac:dyDescent="0.3">
      <c r="A2926" t="s">
        <v>179</v>
      </c>
      <c r="B2926" t="str">
        <f>"00076344"</f>
        <v>00076344</v>
      </c>
      <c r="C2926" t="s">
        <v>4270</v>
      </c>
      <c r="H2926" t="s">
        <v>170</v>
      </c>
      <c r="I2926">
        <v>15</v>
      </c>
      <c r="J2926">
        <v>0</v>
      </c>
      <c r="K2926">
        <v>0.5</v>
      </c>
      <c r="L2926">
        <v>51539</v>
      </c>
      <c r="M2926" t="str">
        <f t="shared" si="421"/>
        <v>13</v>
      </c>
      <c r="N2926" t="s">
        <v>3323</v>
      </c>
      <c r="O2926" t="str">
        <f t="shared" si="424"/>
        <v>60011</v>
      </c>
      <c r="P2926" t="str">
        <f>"2100L"</f>
        <v>2100L</v>
      </c>
      <c r="Q2926" t="str">
        <f t="shared" si="423"/>
        <v>0101</v>
      </c>
      <c r="R2926">
        <v>2100</v>
      </c>
      <c r="S2926" t="str">
        <f t="shared" si="425"/>
        <v>6000</v>
      </c>
      <c r="T2926" t="s">
        <v>3730</v>
      </c>
      <c r="U2926" t="s">
        <v>130</v>
      </c>
    </row>
    <row r="2927" spans="1:21" ht="15" customHeight="1" x14ac:dyDescent="0.3">
      <c r="A2927" t="s">
        <v>179</v>
      </c>
      <c r="B2927" t="str">
        <f>"00076499"</f>
        <v>00076499</v>
      </c>
      <c r="C2927" t="s">
        <v>4294</v>
      </c>
      <c r="H2927" t="s">
        <v>170</v>
      </c>
      <c r="I2927">
        <v>7</v>
      </c>
      <c r="J2927">
        <v>0</v>
      </c>
      <c r="K2927">
        <v>1</v>
      </c>
      <c r="L2927">
        <v>34871</v>
      </c>
      <c r="M2927" t="str">
        <f t="shared" si="421"/>
        <v>13</v>
      </c>
      <c r="N2927" t="s">
        <v>3370</v>
      </c>
      <c r="O2927" t="str">
        <f t="shared" si="424"/>
        <v>60011</v>
      </c>
      <c r="P2927" t="str">
        <f>"1502L"</f>
        <v>1502L</v>
      </c>
      <c r="Q2927" t="str">
        <f t="shared" si="423"/>
        <v>0101</v>
      </c>
      <c r="R2927">
        <v>1502</v>
      </c>
      <c r="S2927" t="str">
        <f t="shared" si="425"/>
        <v>6000</v>
      </c>
      <c r="T2927" t="s">
        <v>3730</v>
      </c>
      <c r="U2927" t="s">
        <v>130</v>
      </c>
    </row>
    <row r="2928" spans="1:21" ht="15" customHeight="1" x14ac:dyDescent="0.3">
      <c r="A2928" t="s">
        <v>179</v>
      </c>
      <c r="B2928" t="str">
        <f>"00051781"</f>
        <v>00051781</v>
      </c>
      <c r="C2928" t="s">
        <v>4272</v>
      </c>
      <c r="D2928" t="s">
        <v>2514</v>
      </c>
      <c r="E2928" t="str">
        <f>"00061429"</f>
        <v>00061429</v>
      </c>
      <c r="F2928">
        <v>0</v>
      </c>
      <c r="G2928" s="243">
        <v>40406</v>
      </c>
      <c r="H2928" t="s">
        <v>182</v>
      </c>
      <c r="I2928">
        <v>15</v>
      </c>
      <c r="J2928">
        <v>3</v>
      </c>
      <c r="K2928">
        <v>1</v>
      </c>
      <c r="L2928">
        <v>52777</v>
      </c>
      <c r="M2928" t="str">
        <f t="shared" si="421"/>
        <v>13</v>
      </c>
      <c r="N2928" t="s">
        <v>3323</v>
      </c>
      <c r="O2928" t="str">
        <f t="shared" ref="O2928:O2956" si="427">"60111"</f>
        <v>60111</v>
      </c>
      <c r="P2928" t="str">
        <f t="shared" ref="P2928:P2933" si="428">"2100L"</f>
        <v>2100L</v>
      </c>
      <c r="Q2928" t="str">
        <f t="shared" si="423"/>
        <v>0101</v>
      </c>
      <c r="R2928">
        <v>2100</v>
      </c>
      <c r="S2928" t="str">
        <f t="shared" ref="S2928:S2956" si="429">"6010"</f>
        <v>6010</v>
      </c>
      <c r="T2928" t="s">
        <v>3734</v>
      </c>
      <c r="U2928" t="s">
        <v>4268</v>
      </c>
    </row>
    <row r="2929" spans="1:21" ht="15" customHeight="1" x14ac:dyDescent="0.3">
      <c r="A2929" t="s">
        <v>179</v>
      </c>
      <c r="B2929" t="str">
        <f>"00052037"</f>
        <v>00052037</v>
      </c>
      <c r="C2929" t="s">
        <v>4262</v>
      </c>
      <c r="H2929" t="s">
        <v>170</v>
      </c>
      <c r="I2929">
        <v>15</v>
      </c>
      <c r="J2929">
        <v>1</v>
      </c>
      <c r="K2929">
        <v>1</v>
      </c>
      <c r="L2929">
        <v>51539</v>
      </c>
      <c r="M2929" t="str">
        <f t="shared" si="421"/>
        <v>13</v>
      </c>
      <c r="N2929" t="s">
        <v>3323</v>
      </c>
      <c r="O2929" t="str">
        <f t="shared" si="427"/>
        <v>60111</v>
      </c>
      <c r="P2929" t="str">
        <f t="shared" si="428"/>
        <v>2100L</v>
      </c>
      <c r="Q2929" t="str">
        <f t="shared" si="423"/>
        <v>0101</v>
      </c>
      <c r="R2929">
        <v>2100</v>
      </c>
      <c r="S2929" t="str">
        <f t="shared" si="429"/>
        <v>6010</v>
      </c>
      <c r="T2929" t="s">
        <v>3734</v>
      </c>
      <c r="U2929" t="s">
        <v>4268</v>
      </c>
    </row>
    <row r="2930" spans="1:21" ht="15" customHeight="1" x14ac:dyDescent="0.3">
      <c r="A2930" t="s">
        <v>179</v>
      </c>
      <c r="B2930" t="str">
        <f>"00052539"</f>
        <v>00052539</v>
      </c>
      <c r="C2930" t="s">
        <v>4253</v>
      </c>
      <c r="D2930" t="s">
        <v>2515</v>
      </c>
      <c r="E2930" t="str">
        <f>"00048505"</f>
        <v>00048505</v>
      </c>
      <c r="F2930">
        <v>0</v>
      </c>
      <c r="G2930" s="243">
        <v>32050</v>
      </c>
      <c r="H2930" t="s">
        <v>182</v>
      </c>
      <c r="I2930">
        <v>15</v>
      </c>
      <c r="J2930">
        <v>16</v>
      </c>
      <c r="K2930">
        <v>1</v>
      </c>
      <c r="L2930">
        <v>103347</v>
      </c>
      <c r="M2930" t="str">
        <f t="shared" si="421"/>
        <v>13</v>
      </c>
      <c r="N2930" t="s">
        <v>3323</v>
      </c>
      <c r="O2930" t="str">
        <f t="shared" si="427"/>
        <v>60111</v>
      </c>
      <c r="P2930" t="str">
        <f t="shared" si="428"/>
        <v>2100L</v>
      </c>
      <c r="Q2930" t="str">
        <f t="shared" si="423"/>
        <v>0101</v>
      </c>
      <c r="R2930">
        <v>2100</v>
      </c>
      <c r="S2930" t="str">
        <f t="shared" si="429"/>
        <v>6010</v>
      </c>
      <c r="T2930" t="s">
        <v>3734</v>
      </c>
      <c r="U2930" t="s">
        <v>4268</v>
      </c>
    </row>
    <row r="2931" spans="1:21" ht="15" customHeight="1" x14ac:dyDescent="0.3">
      <c r="A2931" t="s">
        <v>179</v>
      </c>
      <c r="B2931" t="str">
        <f>"00052659"</f>
        <v>00052659</v>
      </c>
      <c r="C2931" t="s">
        <v>4253</v>
      </c>
      <c r="D2931" t="s">
        <v>5188</v>
      </c>
      <c r="E2931" t="str">
        <f>"00069957"</f>
        <v>00069957</v>
      </c>
      <c r="F2931">
        <v>0</v>
      </c>
      <c r="G2931" s="243">
        <v>41133</v>
      </c>
      <c r="H2931" t="s">
        <v>182</v>
      </c>
      <c r="I2931">
        <v>15</v>
      </c>
      <c r="J2931">
        <v>1</v>
      </c>
      <c r="K2931">
        <v>1</v>
      </c>
      <c r="L2931">
        <v>54975</v>
      </c>
      <c r="M2931" t="str">
        <f t="shared" si="421"/>
        <v>13</v>
      </c>
      <c r="N2931" t="s">
        <v>3370</v>
      </c>
      <c r="O2931" t="str">
        <f t="shared" si="427"/>
        <v>60111</v>
      </c>
      <c r="P2931" t="str">
        <f t="shared" si="428"/>
        <v>2100L</v>
      </c>
      <c r="Q2931" t="str">
        <f t="shared" si="423"/>
        <v>0101</v>
      </c>
      <c r="R2931">
        <v>2100</v>
      </c>
      <c r="S2931" t="str">
        <f t="shared" si="429"/>
        <v>6010</v>
      </c>
      <c r="T2931" t="s">
        <v>3734</v>
      </c>
      <c r="U2931" t="s">
        <v>4268</v>
      </c>
    </row>
    <row r="2932" spans="1:21" ht="15" customHeight="1" x14ac:dyDescent="0.3">
      <c r="A2932" t="s">
        <v>179</v>
      </c>
      <c r="B2932" t="str">
        <f>"00052981"</f>
        <v>00052981</v>
      </c>
      <c r="C2932" t="s">
        <v>4256</v>
      </c>
      <c r="H2932" t="s">
        <v>170</v>
      </c>
      <c r="I2932">
        <v>15</v>
      </c>
      <c r="J2932">
        <v>1</v>
      </c>
      <c r="K2932">
        <v>1</v>
      </c>
      <c r="L2932">
        <v>54975</v>
      </c>
      <c r="M2932" t="str">
        <f t="shared" ref="M2932:M2991" si="430">"13"</f>
        <v>13</v>
      </c>
      <c r="N2932" t="s">
        <v>3323</v>
      </c>
      <c r="O2932" t="str">
        <f t="shared" si="427"/>
        <v>60111</v>
      </c>
      <c r="P2932" t="str">
        <f t="shared" si="428"/>
        <v>2100L</v>
      </c>
      <c r="Q2932" t="str">
        <f t="shared" si="423"/>
        <v>0101</v>
      </c>
      <c r="R2932">
        <v>2100</v>
      </c>
      <c r="S2932" t="str">
        <f t="shared" si="429"/>
        <v>6010</v>
      </c>
      <c r="T2932" t="s">
        <v>3734</v>
      </c>
      <c r="U2932" t="s">
        <v>4268</v>
      </c>
    </row>
    <row r="2933" spans="1:21" ht="15" customHeight="1" x14ac:dyDescent="0.3">
      <c r="A2933" t="s">
        <v>179</v>
      </c>
      <c r="B2933" t="str">
        <f>"00053329"</f>
        <v>00053329</v>
      </c>
      <c r="C2933" t="s">
        <v>4272</v>
      </c>
      <c r="D2933" t="s">
        <v>2518</v>
      </c>
      <c r="E2933" t="str">
        <f>"00051315"</f>
        <v>00051315</v>
      </c>
      <c r="F2933">
        <v>0</v>
      </c>
      <c r="G2933" s="243">
        <v>32756</v>
      </c>
      <c r="H2933" t="s">
        <v>182</v>
      </c>
      <c r="I2933">
        <v>15</v>
      </c>
      <c r="J2933">
        <v>13</v>
      </c>
      <c r="K2933">
        <v>1</v>
      </c>
      <c r="L2933">
        <v>86613</v>
      </c>
      <c r="M2933" t="str">
        <f t="shared" si="430"/>
        <v>13</v>
      </c>
      <c r="N2933" t="s">
        <v>3323</v>
      </c>
      <c r="O2933" t="str">
        <f t="shared" si="427"/>
        <v>60111</v>
      </c>
      <c r="P2933" t="str">
        <f t="shared" si="428"/>
        <v>2100L</v>
      </c>
      <c r="Q2933" t="str">
        <f t="shared" si="423"/>
        <v>0101</v>
      </c>
      <c r="R2933">
        <v>2100</v>
      </c>
      <c r="S2933" t="str">
        <f t="shared" si="429"/>
        <v>6010</v>
      </c>
      <c r="T2933" t="s">
        <v>3734</v>
      </c>
      <c r="U2933" t="s">
        <v>4268</v>
      </c>
    </row>
    <row r="2934" spans="1:21" ht="15" customHeight="1" x14ac:dyDescent="0.3">
      <c r="A2934" t="s">
        <v>179</v>
      </c>
      <c r="B2934" t="str">
        <f>"00054334"</f>
        <v>00054334</v>
      </c>
      <c r="C2934" t="s">
        <v>4299</v>
      </c>
      <c r="D2934" t="s">
        <v>5189</v>
      </c>
      <c r="E2934" t="str">
        <f>"00053661"</f>
        <v>00053661</v>
      </c>
      <c r="F2934">
        <v>0</v>
      </c>
      <c r="G2934" s="243">
        <v>34628</v>
      </c>
      <c r="H2934" t="s">
        <v>182</v>
      </c>
      <c r="I2934">
        <v>7</v>
      </c>
      <c r="J2934">
        <v>8</v>
      </c>
      <c r="K2934">
        <v>1</v>
      </c>
      <c r="L2934">
        <v>43727</v>
      </c>
      <c r="M2934" t="str">
        <f t="shared" si="430"/>
        <v>13</v>
      </c>
      <c r="N2934" t="s">
        <v>3323</v>
      </c>
      <c r="O2934" t="str">
        <f t="shared" si="427"/>
        <v>60111</v>
      </c>
      <c r="P2934" t="str">
        <f>"1502L"</f>
        <v>1502L</v>
      </c>
      <c r="Q2934" t="str">
        <f t="shared" si="423"/>
        <v>0101</v>
      </c>
      <c r="R2934">
        <v>1502</v>
      </c>
      <c r="S2934" t="str">
        <f t="shared" si="429"/>
        <v>6010</v>
      </c>
      <c r="T2934" t="s">
        <v>3734</v>
      </c>
      <c r="U2934" t="s">
        <v>4268</v>
      </c>
    </row>
    <row r="2935" spans="1:21" ht="15" customHeight="1" x14ac:dyDescent="0.3">
      <c r="A2935" t="s">
        <v>179</v>
      </c>
      <c r="B2935" t="str">
        <f>"00054547"</f>
        <v>00054547</v>
      </c>
      <c r="C2935" t="s">
        <v>4260</v>
      </c>
      <c r="D2935" t="s">
        <v>2519</v>
      </c>
      <c r="E2935" t="str">
        <f>"00054190"</f>
        <v>00054190</v>
      </c>
      <c r="F2935">
        <v>0</v>
      </c>
      <c r="G2935" s="243">
        <v>34611</v>
      </c>
      <c r="H2935" t="s">
        <v>182</v>
      </c>
      <c r="I2935">
        <v>15</v>
      </c>
      <c r="J2935">
        <v>15</v>
      </c>
      <c r="K2935">
        <v>1</v>
      </c>
      <c r="L2935">
        <v>98285</v>
      </c>
      <c r="M2935" t="str">
        <f t="shared" si="430"/>
        <v>13</v>
      </c>
      <c r="N2935" t="s">
        <v>3323</v>
      </c>
      <c r="O2935" t="str">
        <f t="shared" si="427"/>
        <v>60111</v>
      </c>
      <c r="P2935" t="str">
        <f>"3030L"</f>
        <v>3030L</v>
      </c>
      <c r="Q2935" t="str">
        <f t="shared" si="423"/>
        <v>0101</v>
      </c>
      <c r="R2935">
        <v>3030</v>
      </c>
      <c r="S2935" t="str">
        <f t="shared" si="429"/>
        <v>6010</v>
      </c>
      <c r="T2935" t="s">
        <v>3734</v>
      </c>
      <c r="U2935" t="s">
        <v>4268</v>
      </c>
    </row>
    <row r="2936" spans="1:21" ht="15" customHeight="1" x14ac:dyDescent="0.3">
      <c r="A2936" t="s">
        <v>179</v>
      </c>
      <c r="B2936" t="str">
        <f>"00055324"</f>
        <v>00055324</v>
      </c>
      <c r="C2936" t="s">
        <v>4288</v>
      </c>
      <c r="D2936" t="s">
        <v>5190</v>
      </c>
      <c r="E2936" t="str">
        <f>"00029462"</f>
        <v>00029462</v>
      </c>
      <c r="F2936">
        <v>1</v>
      </c>
      <c r="G2936" s="243">
        <v>36397</v>
      </c>
      <c r="H2936" t="s">
        <v>182</v>
      </c>
      <c r="I2936">
        <v>4</v>
      </c>
      <c r="J2936">
        <v>9</v>
      </c>
      <c r="K2936">
        <v>0.875</v>
      </c>
      <c r="L2936">
        <v>28025.38</v>
      </c>
      <c r="M2936" t="str">
        <f t="shared" si="430"/>
        <v>13</v>
      </c>
      <c r="N2936" t="s">
        <v>3323</v>
      </c>
      <c r="O2936" t="str">
        <f t="shared" si="427"/>
        <v>60111</v>
      </c>
      <c r="P2936" t="str">
        <f>"2100L"</f>
        <v>2100L</v>
      </c>
      <c r="Q2936" t="str">
        <f t="shared" si="423"/>
        <v>0101</v>
      </c>
      <c r="R2936">
        <v>2100</v>
      </c>
      <c r="S2936" t="str">
        <f t="shared" si="429"/>
        <v>6010</v>
      </c>
      <c r="T2936" t="s">
        <v>3734</v>
      </c>
      <c r="U2936" t="s">
        <v>4268</v>
      </c>
    </row>
    <row r="2937" spans="1:21" ht="15" customHeight="1" x14ac:dyDescent="0.3">
      <c r="A2937" t="s">
        <v>179</v>
      </c>
      <c r="B2937" t="str">
        <f>"00056866"</f>
        <v>00056866</v>
      </c>
      <c r="C2937" t="s">
        <v>4262</v>
      </c>
      <c r="D2937" t="s">
        <v>2520</v>
      </c>
      <c r="E2937" t="str">
        <f>"00045502"</f>
        <v>00045502</v>
      </c>
      <c r="F2937">
        <v>0</v>
      </c>
      <c r="G2937" s="243">
        <v>36397</v>
      </c>
      <c r="H2937" t="s">
        <v>182</v>
      </c>
      <c r="I2937">
        <v>15</v>
      </c>
      <c r="J2937">
        <v>16</v>
      </c>
      <c r="K2937">
        <v>1</v>
      </c>
      <c r="L2937">
        <v>100839</v>
      </c>
      <c r="M2937" t="str">
        <f t="shared" si="430"/>
        <v>13</v>
      </c>
      <c r="N2937" t="s">
        <v>3323</v>
      </c>
      <c r="O2937" t="str">
        <f t="shared" si="427"/>
        <v>60111</v>
      </c>
      <c r="P2937" t="str">
        <f>"2100L"</f>
        <v>2100L</v>
      </c>
      <c r="Q2937" t="str">
        <f t="shared" si="423"/>
        <v>0101</v>
      </c>
      <c r="R2937">
        <v>2100</v>
      </c>
      <c r="S2937" t="str">
        <f t="shared" si="429"/>
        <v>6010</v>
      </c>
      <c r="T2937" t="s">
        <v>3734</v>
      </c>
      <c r="U2937" t="s">
        <v>4268</v>
      </c>
    </row>
    <row r="2938" spans="1:21" ht="15" customHeight="1" x14ac:dyDescent="0.3">
      <c r="A2938" t="s">
        <v>179</v>
      </c>
      <c r="B2938" t="str">
        <f>"00056912"</f>
        <v>00056912</v>
      </c>
      <c r="C2938" t="s">
        <v>4266</v>
      </c>
      <c r="D2938" t="s">
        <v>933</v>
      </c>
      <c r="E2938" t="str">
        <f>"00053268"</f>
        <v>00053268</v>
      </c>
      <c r="F2938">
        <v>0</v>
      </c>
      <c r="G2938" s="243">
        <v>35675</v>
      </c>
      <c r="H2938" t="s">
        <v>182</v>
      </c>
      <c r="I2938">
        <v>15</v>
      </c>
      <c r="J2938">
        <v>16</v>
      </c>
      <c r="K2938">
        <v>1</v>
      </c>
      <c r="L2938">
        <v>106540</v>
      </c>
      <c r="M2938" t="str">
        <f t="shared" si="430"/>
        <v>13</v>
      </c>
      <c r="N2938" t="s">
        <v>3323</v>
      </c>
      <c r="O2938" t="str">
        <f t="shared" si="427"/>
        <v>60111</v>
      </c>
      <c r="P2938" t="str">
        <f>"2200L"</f>
        <v>2200L</v>
      </c>
      <c r="Q2938" t="str">
        <f t="shared" si="423"/>
        <v>0101</v>
      </c>
      <c r="R2938">
        <v>2200</v>
      </c>
      <c r="S2938" t="str">
        <f t="shared" si="429"/>
        <v>6010</v>
      </c>
      <c r="T2938" t="s">
        <v>3734</v>
      </c>
      <c r="U2938" t="s">
        <v>4268</v>
      </c>
    </row>
    <row r="2939" spans="1:21" ht="15" customHeight="1" x14ac:dyDescent="0.3">
      <c r="A2939" t="s">
        <v>179</v>
      </c>
      <c r="B2939" t="str">
        <f>"00057666"</f>
        <v>00057666</v>
      </c>
      <c r="C2939" t="s">
        <v>4288</v>
      </c>
      <c r="D2939" t="s">
        <v>5191</v>
      </c>
      <c r="E2939" t="str">
        <f>"00053687"</f>
        <v>00053687</v>
      </c>
      <c r="F2939">
        <v>0</v>
      </c>
      <c r="G2939" s="243">
        <v>36859</v>
      </c>
      <c r="H2939" t="s">
        <v>182</v>
      </c>
      <c r="I2939">
        <v>4</v>
      </c>
      <c r="J2939">
        <v>8</v>
      </c>
      <c r="K2939">
        <v>0.875</v>
      </c>
      <c r="L2939">
        <v>27329.75</v>
      </c>
      <c r="M2939" t="str">
        <f t="shared" si="430"/>
        <v>13</v>
      </c>
      <c r="N2939" t="s">
        <v>3323</v>
      </c>
      <c r="O2939" t="str">
        <f t="shared" si="427"/>
        <v>60111</v>
      </c>
      <c r="P2939" t="str">
        <f>"2100L"</f>
        <v>2100L</v>
      </c>
      <c r="Q2939" t="str">
        <f t="shared" ref="Q2939:Q2998" si="431">"0101"</f>
        <v>0101</v>
      </c>
      <c r="R2939">
        <v>2100</v>
      </c>
      <c r="S2939" t="str">
        <f t="shared" si="429"/>
        <v>6010</v>
      </c>
      <c r="T2939" t="s">
        <v>3734</v>
      </c>
      <c r="U2939" t="s">
        <v>4268</v>
      </c>
    </row>
    <row r="2940" spans="1:21" ht="15" customHeight="1" x14ac:dyDescent="0.3">
      <c r="A2940" t="s">
        <v>179</v>
      </c>
      <c r="B2940" t="str">
        <f>"00058140"</f>
        <v>00058140</v>
      </c>
      <c r="C2940" t="s">
        <v>4262</v>
      </c>
      <c r="D2940" t="s">
        <v>2521</v>
      </c>
      <c r="E2940" t="str">
        <f>"00054982"</f>
        <v>00054982</v>
      </c>
      <c r="F2940">
        <v>0</v>
      </c>
      <c r="G2940" s="243">
        <v>32021</v>
      </c>
      <c r="H2940" t="s">
        <v>182</v>
      </c>
      <c r="I2940">
        <v>15</v>
      </c>
      <c r="J2940">
        <v>15</v>
      </c>
      <c r="K2940">
        <v>1</v>
      </c>
      <c r="L2940">
        <v>100792</v>
      </c>
      <c r="M2940" t="str">
        <f t="shared" si="430"/>
        <v>13</v>
      </c>
      <c r="N2940" t="s">
        <v>3323</v>
      </c>
      <c r="O2940" t="str">
        <f t="shared" si="427"/>
        <v>60111</v>
      </c>
      <c r="P2940" t="str">
        <f>"2100L"</f>
        <v>2100L</v>
      </c>
      <c r="Q2940" t="str">
        <f t="shared" si="431"/>
        <v>0101</v>
      </c>
      <c r="R2940">
        <v>2100</v>
      </c>
      <c r="S2940" t="str">
        <f t="shared" si="429"/>
        <v>6010</v>
      </c>
      <c r="T2940" t="s">
        <v>3734</v>
      </c>
      <c r="U2940" t="s">
        <v>4268</v>
      </c>
    </row>
    <row r="2941" spans="1:21" ht="15" customHeight="1" x14ac:dyDescent="0.3">
      <c r="A2941" t="s">
        <v>179</v>
      </c>
      <c r="B2941" t="str">
        <f>"00058166"</f>
        <v>00058166</v>
      </c>
      <c r="C2941" t="s">
        <v>4254</v>
      </c>
      <c r="H2941" t="s">
        <v>170</v>
      </c>
      <c r="I2941">
        <v>15</v>
      </c>
      <c r="J2941">
        <v>1</v>
      </c>
      <c r="K2941">
        <v>1</v>
      </c>
      <c r="L2941">
        <v>54975</v>
      </c>
      <c r="M2941" t="str">
        <f t="shared" si="430"/>
        <v>13</v>
      </c>
      <c r="N2941" t="s">
        <v>3323</v>
      </c>
      <c r="O2941" t="str">
        <f t="shared" si="427"/>
        <v>60111</v>
      </c>
      <c r="P2941" t="str">
        <f>"2100L"</f>
        <v>2100L</v>
      </c>
      <c r="Q2941" t="str">
        <f t="shared" si="431"/>
        <v>0101</v>
      </c>
      <c r="R2941">
        <v>2100</v>
      </c>
      <c r="S2941" t="str">
        <f t="shared" si="429"/>
        <v>6010</v>
      </c>
      <c r="T2941" t="s">
        <v>3734</v>
      </c>
      <c r="U2941" t="s">
        <v>4268</v>
      </c>
    </row>
    <row r="2942" spans="1:21" ht="15" customHeight="1" x14ac:dyDescent="0.3">
      <c r="A2942" t="s">
        <v>179</v>
      </c>
      <c r="B2942" t="str">
        <f>"00058355"</f>
        <v>00058355</v>
      </c>
      <c r="C2942" t="s">
        <v>4262</v>
      </c>
      <c r="D2942" t="s">
        <v>2523</v>
      </c>
      <c r="E2942" t="str">
        <f>"00049953"</f>
        <v>00049953</v>
      </c>
      <c r="F2942">
        <v>0</v>
      </c>
      <c r="G2942" s="243">
        <v>37152</v>
      </c>
      <c r="H2942" t="s">
        <v>182</v>
      </c>
      <c r="I2942">
        <v>15</v>
      </c>
      <c r="J2942">
        <v>13</v>
      </c>
      <c r="K2942">
        <v>1</v>
      </c>
      <c r="L2942">
        <v>81724</v>
      </c>
      <c r="M2942" t="str">
        <f t="shared" si="430"/>
        <v>13</v>
      </c>
      <c r="N2942" t="s">
        <v>3323</v>
      </c>
      <c r="O2942" t="str">
        <f t="shared" si="427"/>
        <v>60111</v>
      </c>
      <c r="P2942" t="str">
        <f>"2100L"</f>
        <v>2100L</v>
      </c>
      <c r="Q2942" t="str">
        <f t="shared" si="431"/>
        <v>0101</v>
      </c>
      <c r="R2942">
        <v>2100</v>
      </c>
      <c r="S2942" t="str">
        <f t="shared" si="429"/>
        <v>6010</v>
      </c>
      <c r="T2942" t="s">
        <v>3734</v>
      </c>
      <c r="U2942" t="s">
        <v>4268</v>
      </c>
    </row>
    <row r="2943" spans="1:21" ht="15" customHeight="1" x14ac:dyDescent="0.3">
      <c r="A2943" t="s">
        <v>179</v>
      </c>
      <c r="B2943" t="str">
        <f>"00059326"</f>
        <v>00059326</v>
      </c>
      <c r="C2943" t="s">
        <v>4272</v>
      </c>
      <c r="D2943" t="s">
        <v>2525</v>
      </c>
      <c r="E2943" t="str">
        <f>"00050674"</f>
        <v>00050674</v>
      </c>
      <c r="F2943">
        <v>0</v>
      </c>
      <c r="G2943" s="243">
        <v>36485</v>
      </c>
      <c r="H2943" t="s">
        <v>182</v>
      </c>
      <c r="I2943">
        <v>15</v>
      </c>
      <c r="J2943">
        <v>10</v>
      </c>
      <c r="K2943">
        <v>1</v>
      </c>
      <c r="L2943">
        <v>78273</v>
      </c>
      <c r="M2943" t="str">
        <f t="shared" si="430"/>
        <v>13</v>
      </c>
      <c r="N2943" t="s">
        <v>3323</v>
      </c>
      <c r="O2943" t="str">
        <f t="shared" si="427"/>
        <v>60111</v>
      </c>
      <c r="P2943" t="str">
        <f>"2200L"</f>
        <v>2200L</v>
      </c>
      <c r="Q2943" t="str">
        <f t="shared" si="431"/>
        <v>0101</v>
      </c>
      <c r="R2943">
        <v>2200</v>
      </c>
      <c r="S2943" t="str">
        <f t="shared" si="429"/>
        <v>6010</v>
      </c>
      <c r="T2943" t="s">
        <v>3734</v>
      </c>
      <c r="U2943" t="s">
        <v>4268</v>
      </c>
    </row>
    <row r="2944" spans="1:21" ht="15" customHeight="1" x14ac:dyDescent="0.3">
      <c r="A2944" t="s">
        <v>179</v>
      </c>
      <c r="B2944" t="str">
        <f>"00059799"</f>
        <v>00059799</v>
      </c>
      <c r="C2944" t="s">
        <v>4262</v>
      </c>
      <c r="D2944" t="s">
        <v>2526</v>
      </c>
      <c r="E2944" t="str">
        <f>"00055002"</f>
        <v>00055002</v>
      </c>
      <c r="F2944">
        <v>0</v>
      </c>
      <c r="G2944" s="243">
        <v>38226</v>
      </c>
      <c r="H2944" t="s">
        <v>182</v>
      </c>
      <c r="I2944">
        <v>15</v>
      </c>
      <c r="J2944">
        <v>14</v>
      </c>
      <c r="K2944">
        <v>1</v>
      </c>
      <c r="L2944">
        <v>96460</v>
      </c>
      <c r="M2944" t="str">
        <f t="shared" si="430"/>
        <v>13</v>
      </c>
      <c r="N2944" t="s">
        <v>3323</v>
      </c>
      <c r="O2944" t="str">
        <f t="shared" si="427"/>
        <v>60111</v>
      </c>
      <c r="P2944" t="str">
        <f>"2100L"</f>
        <v>2100L</v>
      </c>
      <c r="Q2944" t="str">
        <f t="shared" si="431"/>
        <v>0101</v>
      </c>
      <c r="R2944">
        <v>2100</v>
      </c>
      <c r="S2944" t="str">
        <f t="shared" si="429"/>
        <v>6010</v>
      </c>
      <c r="T2944" t="s">
        <v>3734</v>
      </c>
      <c r="U2944" t="s">
        <v>4268</v>
      </c>
    </row>
    <row r="2945" spans="1:21" ht="15" customHeight="1" x14ac:dyDescent="0.3">
      <c r="A2945" t="s">
        <v>179</v>
      </c>
      <c r="B2945" t="str">
        <f>"00060760"</f>
        <v>00060760</v>
      </c>
      <c r="C2945" t="s">
        <v>4290</v>
      </c>
      <c r="D2945" t="s">
        <v>5192</v>
      </c>
      <c r="E2945" t="str">
        <f>"00051974"</f>
        <v>00051974</v>
      </c>
      <c r="F2945">
        <v>0</v>
      </c>
      <c r="G2945" s="243">
        <v>38002</v>
      </c>
      <c r="H2945" t="s">
        <v>182</v>
      </c>
      <c r="I2945">
        <v>4</v>
      </c>
      <c r="J2945">
        <v>7</v>
      </c>
      <c r="K2945">
        <v>1</v>
      </c>
      <c r="L2945">
        <v>26633.25</v>
      </c>
      <c r="M2945" t="str">
        <f t="shared" si="430"/>
        <v>13</v>
      </c>
      <c r="N2945" t="s">
        <v>3323</v>
      </c>
      <c r="O2945" t="str">
        <f t="shared" si="427"/>
        <v>60111</v>
      </c>
      <c r="P2945" t="str">
        <f>"2200L"</f>
        <v>2200L</v>
      </c>
      <c r="Q2945" t="str">
        <f t="shared" si="431"/>
        <v>0101</v>
      </c>
      <c r="R2945">
        <v>2200</v>
      </c>
      <c r="S2945" t="str">
        <f t="shared" si="429"/>
        <v>6010</v>
      </c>
      <c r="T2945" t="s">
        <v>3734</v>
      </c>
      <c r="U2945" t="s">
        <v>4268</v>
      </c>
    </row>
    <row r="2946" spans="1:21" ht="15" customHeight="1" x14ac:dyDescent="0.3">
      <c r="A2946" t="s">
        <v>179</v>
      </c>
      <c r="B2946" t="str">
        <f>"00060848"</f>
        <v>00060848</v>
      </c>
      <c r="C2946" t="s">
        <v>3798</v>
      </c>
      <c r="D2946" t="s">
        <v>2527</v>
      </c>
      <c r="E2946" t="str">
        <f>"00022736"</f>
        <v>00022736</v>
      </c>
      <c r="F2946">
        <v>1</v>
      </c>
      <c r="G2946" s="243">
        <v>36390</v>
      </c>
      <c r="H2946" t="s">
        <v>182</v>
      </c>
      <c r="I2946">
        <v>62</v>
      </c>
      <c r="J2946">
        <v>4</v>
      </c>
      <c r="K2946">
        <v>1</v>
      </c>
      <c r="L2946">
        <v>118000</v>
      </c>
      <c r="M2946" t="str">
        <f t="shared" si="430"/>
        <v>13</v>
      </c>
      <c r="N2946" t="s">
        <v>3323</v>
      </c>
      <c r="O2946" t="str">
        <f t="shared" si="427"/>
        <v>60111</v>
      </c>
      <c r="P2946" t="str">
        <f>"1501L"</f>
        <v>1501L</v>
      </c>
      <c r="Q2946" t="str">
        <f t="shared" si="431"/>
        <v>0101</v>
      </c>
      <c r="R2946">
        <v>1501</v>
      </c>
      <c r="S2946" t="str">
        <f t="shared" si="429"/>
        <v>6010</v>
      </c>
      <c r="T2946" t="s">
        <v>3734</v>
      </c>
      <c r="U2946" t="s">
        <v>4268</v>
      </c>
    </row>
    <row r="2947" spans="1:21" ht="15" customHeight="1" x14ac:dyDescent="0.3">
      <c r="A2947" t="s">
        <v>179</v>
      </c>
      <c r="B2947" t="str">
        <f>"00061753"</f>
        <v>00061753</v>
      </c>
      <c r="C2947" t="s">
        <v>4266</v>
      </c>
      <c r="D2947" t="s">
        <v>2528</v>
      </c>
      <c r="E2947" t="str">
        <f>"00046534"</f>
        <v>00046534</v>
      </c>
      <c r="F2947">
        <v>0</v>
      </c>
      <c r="G2947" s="243">
        <v>39325</v>
      </c>
      <c r="H2947" t="s">
        <v>182</v>
      </c>
      <c r="I2947">
        <v>15</v>
      </c>
      <c r="J2947">
        <v>12</v>
      </c>
      <c r="K2947">
        <v>1</v>
      </c>
      <c r="L2947">
        <v>92613</v>
      </c>
      <c r="M2947" t="str">
        <f t="shared" si="430"/>
        <v>13</v>
      </c>
      <c r="N2947" t="s">
        <v>3323</v>
      </c>
      <c r="O2947" t="str">
        <f t="shared" si="427"/>
        <v>60111</v>
      </c>
      <c r="P2947" t="str">
        <f>"2200L"</f>
        <v>2200L</v>
      </c>
      <c r="Q2947" t="str">
        <f t="shared" si="431"/>
        <v>0101</v>
      </c>
      <c r="R2947">
        <v>2200</v>
      </c>
      <c r="S2947" t="str">
        <f t="shared" si="429"/>
        <v>6010</v>
      </c>
      <c r="T2947" t="s">
        <v>3734</v>
      </c>
      <c r="U2947" t="s">
        <v>4268</v>
      </c>
    </row>
    <row r="2948" spans="1:21" ht="15" customHeight="1" x14ac:dyDescent="0.3">
      <c r="A2948" t="s">
        <v>179</v>
      </c>
      <c r="B2948" t="str">
        <f>"00061910"</f>
        <v>00061910</v>
      </c>
      <c r="C2948" t="s">
        <v>200</v>
      </c>
      <c r="D2948" t="s">
        <v>2529</v>
      </c>
      <c r="E2948" t="str">
        <f>"00013059"</f>
        <v>00013059</v>
      </c>
      <c r="F2948">
        <v>1</v>
      </c>
      <c r="G2948" s="243">
        <v>39677</v>
      </c>
      <c r="H2948" t="s">
        <v>182</v>
      </c>
      <c r="I2948">
        <v>15</v>
      </c>
      <c r="J2948">
        <v>12</v>
      </c>
      <c r="K2948">
        <v>1</v>
      </c>
      <c r="L2948">
        <v>87431</v>
      </c>
      <c r="M2948" t="str">
        <f t="shared" si="430"/>
        <v>13</v>
      </c>
      <c r="N2948" t="s">
        <v>3323</v>
      </c>
      <c r="O2948" t="str">
        <f t="shared" si="427"/>
        <v>60111</v>
      </c>
      <c r="P2948" t="str">
        <f>"3030L"</f>
        <v>3030L</v>
      </c>
      <c r="Q2948" t="str">
        <f t="shared" si="431"/>
        <v>0101</v>
      </c>
      <c r="R2948">
        <v>3030</v>
      </c>
      <c r="S2948" t="str">
        <f t="shared" si="429"/>
        <v>6010</v>
      </c>
      <c r="T2948" t="s">
        <v>3734</v>
      </c>
      <c r="U2948" t="s">
        <v>4268</v>
      </c>
    </row>
    <row r="2949" spans="1:21" ht="15" customHeight="1" x14ac:dyDescent="0.3">
      <c r="A2949" t="s">
        <v>179</v>
      </c>
      <c r="B2949" t="str">
        <f>"00062066"</f>
        <v>00062066</v>
      </c>
      <c r="C2949" t="s">
        <v>4274</v>
      </c>
      <c r="D2949" t="s">
        <v>5193</v>
      </c>
      <c r="E2949" t="str">
        <f>"00052177"</f>
        <v>00052177</v>
      </c>
      <c r="F2949">
        <v>0</v>
      </c>
      <c r="G2949" s="243">
        <v>39679</v>
      </c>
      <c r="H2949" t="s">
        <v>182</v>
      </c>
      <c r="I2949">
        <v>4</v>
      </c>
      <c r="J2949">
        <v>8</v>
      </c>
      <c r="K2949">
        <v>0.875</v>
      </c>
      <c r="L2949">
        <v>27329.75</v>
      </c>
      <c r="M2949" t="str">
        <f t="shared" si="430"/>
        <v>13</v>
      </c>
      <c r="N2949" t="s">
        <v>3323</v>
      </c>
      <c r="O2949" t="str">
        <f t="shared" si="427"/>
        <v>60111</v>
      </c>
      <c r="P2949" t="str">
        <f>"2200L"</f>
        <v>2200L</v>
      </c>
      <c r="Q2949" t="str">
        <f t="shared" si="431"/>
        <v>0101</v>
      </c>
      <c r="R2949">
        <v>2200</v>
      </c>
      <c r="S2949" t="str">
        <f t="shared" si="429"/>
        <v>6010</v>
      </c>
      <c r="T2949" t="s">
        <v>3734</v>
      </c>
      <c r="U2949" t="s">
        <v>4268</v>
      </c>
    </row>
    <row r="2950" spans="1:21" ht="15" customHeight="1" x14ac:dyDescent="0.3">
      <c r="A2950" t="s">
        <v>179</v>
      </c>
      <c r="B2950" t="str">
        <f>"00062246"</f>
        <v>00062246</v>
      </c>
      <c r="C2950" t="s">
        <v>4272</v>
      </c>
      <c r="D2950" t="s">
        <v>2530</v>
      </c>
      <c r="E2950" t="str">
        <f>"00045773"</f>
        <v>00045773</v>
      </c>
      <c r="F2950">
        <v>0</v>
      </c>
      <c r="G2950" s="243">
        <v>39675</v>
      </c>
      <c r="H2950" t="s">
        <v>182</v>
      </c>
      <c r="I2950">
        <v>15</v>
      </c>
      <c r="J2950">
        <v>5</v>
      </c>
      <c r="K2950">
        <v>1</v>
      </c>
      <c r="L2950">
        <v>66078</v>
      </c>
      <c r="M2950" t="str">
        <f t="shared" si="430"/>
        <v>13</v>
      </c>
      <c r="N2950" t="s">
        <v>3323</v>
      </c>
      <c r="O2950" t="str">
        <f t="shared" si="427"/>
        <v>60111</v>
      </c>
      <c r="P2950" t="str">
        <f>"3030L"</f>
        <v>3030L</v>
      </c>
      <c r="Q2950" t="str">
        <f t="shared" si="431"/>
        <v>0101</v>
      </c>
      <c r="R2950">
        <v>3030</v>
      </c>
      <c r="S2950" t="str">
        <f t="shared" si="429"/>
        <v>6010</v>
      </c>
      <c r="T2950" t="s">
        <v>3734</v>
      </c>
      <c r="U2950" t="s">
        <v>4268</v>
      </c>
    </row>
    <row r="2951" spans="1:21" ht="15" customHeight="1" x14ac:dyDescent="0.3">
      <c r="A2951" t="s">
        <v>179</v>
      </c>
      <c r="B2951" t="str">
        <f>"00062555"</f>
        <v>00062555</v>
      </c>
      <c r="C2951" t="s">
        <v>4274</v>
      </c>
      <c r="D2951" t="s">
        <v>5194</v>
      </c>
      <c r="E2951" t="str">
        <f>"00053392"</f>
        <v>00053392</v>
      </c>
      <c r="F2951">
        <v>0</v>
      </c>
      <c r="G2951" s="243">
        <v>35289</v>
      </c>
      <c r="H2951" t="s">
        <v>182</v>
      </c>
      <c r="I2951">
        <v>4</v>
      </c>
      <c r="J2951">
        <v>9</v>
      </c>
      <c r="K2951">
        <v>0.875</v>
      </c>
      <c r="L2951">
        <v>28025.38</v>
      </c>
      <c r="M2951" t="str">
        <f t="shared" si="430"/>
        <v>13</v>
      </c>
      <c r="N2951" t="s">
        <v>3370</v>
      </c>
      <c r="O2951" t="str">
        <f t="shared" si="427"/>
        <v>60111</v>
      </c>
      <c r="P2951" t="str">
        <f>"2200L"</f>
        <v>2200L</v>
      </c>
      <c r="Q2951" t="str">
        <f t="shared" si="431"/>
        <v>0101</v>
      </c>
      <c r="R2951">
        <v>2200</v>
      </c>
      <c r="S2951" t="str">
        <f t="shared" si="429"/>
        <v>6010</v>
      </c>
      <c r="T2951" t="s">
        <v>3734</v>
      </c>
      <c r="U2951" t="s">
        <v>4268</v>
      </c>
    </row>
    <row r="2952" spans="1:21" ht="15" customHeight="1" x14ac:dyDescent="0.3">
      <c r="A2952" t="s">
        <v>179</v>
      </c>
      <c r="B2952" t="str">
        <f>"00063081"</f>
        <v>00063081</v>
      </c>
      <c r="C2952" t="s">
        <v>4253</v>
      </c>
      <c r="D2952" t="s">
        <v>2531</v>
      </c>
      <c r="E2952" t="str">
        <f>"00053174"</f>
        <v>00053174</v>
      </c>
      <c r="F2952">
        <v>0</v>
      </c>
      <c r="G2952" s="243">
        <v>39836</v>
      </c>
      <c r="H2952" t="s">
        <v>182</v>
      </c>
      <c r="I2952">
        <v>15</v>
      </c>
      <c r="J2952">
        <v>10</v>
      </c>
      <c r="K2952">
        <v>1</v>
      </c>
      <c r="L2952">
        <v>78273</v>
      </c>
      <c r="M2952" t="str">
        <f t="shared" si="430"/>
        <v>13</v>
      </c>
      <c r="N2952" t="s">
        <v>3323</v>
      </c>
      <c r="O2952" t="str">
        <f t="shared" si="427"/>
        <v>60111</v>
      </c>
      <c r="P2952" t="str">
        <f>"2100L"</f>
        <v>2100L</v>
      </c>
      <c r="Q2952" t="str">
        <f t="shared" si="431"/>
        <v>0101</v>
      </c>
      <c r="R2952">
        <v>2100</v>
      </c>
      <c r="S2952" t="str">
        <f t="shared" si="429"/>
        <v>6010</v>
      </c>
      <c r="T2952" t="s">
        <v>3734</v>
      </c>
      <c r="U2952" t="s">
        <v>4268</v>
      </c>
    </row>
    <row r="2953" spans="1:21" ht="15" customHeight="1" x14ac:dyDescent="0.3">
      <c r="A2953" t="s">
        <v>179</v>
      </c>
      <c r="B2953" t="str">
        <f>"00066578"</f>
        <v>00066578</v>
      </c>
      <c r="C2953" t="s">
        <v>4262</v>
      </c>
      <c r="D2953" t="s">
        <v>2541</v>
      </c>
      <c r="E2953" t="str">
        <f>"00062975"</f>
        <v>00062975</v>
      </c>
      <c r="F2953">
        <v>0</v>
      </c>
      <c r="G2953" s="243">
        <v>40413</v>
      </c>
      <c r="H2953" t="s">
        <v>182</v>
      </c>
      <c r="I2953">
        <v>15</v>
      </c>
      <c r="J2953">
        <v>3</v>
      </c>
      <c r="K2953">
        <v>1</v>
      </c>
      <c r="L2953">
        <v>58699</v>
      </c>
      <c r="M2953" t="str">
        <f t="shared" si="430"/>
        <v>13</v>
      </c>
      <c r="N2953" t="s">
        <v>3323</v>
      </c>
      <c r="O2953" t="str">
        <f t="shared" si="427"/>
        <v>60111</v>
      </c>
      <c r="P2953" t="str">
        <f>"2100L"</f>
        <v>2100L</v>
      </c>
      <c r="Q2953" t="str">
        <f t="shared" si="431"/>
        <v>0101</v>
      </c>
      <c r="R2953">
        <v>2100</v>
      </c>
      <c r="S2953" t="str">
        <f t="shared" si="429"/>
        <v>6010</v>
      </c>
      <c r="T2953" t="s">
        <v>3734</v>
      </c>
      <c r="U2953" t="s">
        <v>4268</v>
      </c>
    </row>
    <row r="2954" spans="1:21" ht="15" customHeight="1" x14ac:dyDescent="0.3">
      <c r="A2954" t="s">
        <v>179</v>
      </c>
      <c r="B2954" t="str">
        <f>"00066580"</f>
        <v>00066580</v>
      </c>
      <c r="C2954" t="s">
        <v>4263</v>
      </c>
      <c r="D2954" t="s">
        <v>2533</v>
      </c>
      <c r="E2954" t="str">
        <f>"00057807"</f>
        <v>00057807</v>
      </c>
      <c r="F2954">
        <v>0</v>
      </c>
      <c r="G2954" s="243">
        <v>40042</v>
      </c>
      <c r="H2954" t="s">
        <v>182</v>
      </c>
      <c r="I2954">
        <v>15</v>
      </c>
      <c r="J2954">
        <v>4</v>
      </c>
      <c r="K2954">
        <v>1</v>
      </c>
      <c r="L2954">
        <v>63611</v>
      </c>
      <c r="M2954" t="str">
        <f t="shared" si="430"/>
        <v>13</v>
      </c>
      <c r="N2954" t="s">
        <v>3323</v>
      </c>
      <c r="O2954" t="str">
        <f t="shared" si="427"/>
        <v>60111</v>
      </c>
      <c r="P2954" t="str">
        <f>"2100L"</f>
        <v>2100L</v>
      </c>
      <c r="Q2954" t="str">
        <f t="shared" si="431"/>
        <v>0101</v>
      </c>
      <c r="R2954">
        <v>2100</v>
      </c>
      <c r="S2954" t="str">
        <f t="shared" si="429"/>
        <v>6010</v>
      </c>
      <c r="T2954" t="s">
        <v>3734</v>
      </c>
      <c r="U2954" t="s">
        <v>4268</v>
      </c>
    </row>
    <row r="2955" spans="1:21" ht="15" customHeight="1" x14ac:dyDescent="0.3">
      <c r="A2955" t="s">
        <v>179</v>
      </c>
      <c r="B2955" t="str">
        <f>"00066581"</f>
        <v>00066581</v>
      </c>
      <c r="C2955" t="s">
        <v>4260</v>
      </c>
      <c r="D2955" t="s">
        <v>2534</v>
      </c>
      <c r="E2955" t="str">
        <f>"00057254"</f>
        <v>00057254</v>
      </c>
      <c r="F2955">
        <v>0</v>
      </c>
      <c r="G2955" s="243">
        <v>40042</v>
      </c>
      <c r="H2955" t="s">
        <v>182</v>
      </c>
      <c r="I2955">
        <v>15</v>
      </c>
      <c r="J2955">
        <v>5</v>
      </c>
      <c r="K2955">
        <v>1</v>
      </c>
      <c r="L2955">
        <v>63611</v>
      </c>
      <c r="M2955" t="str">
        <f t="shared" si="430"/>
        <v>13</v>
      </c>
      <c r="N2955" t="s">
        <v>3323</v>
      </c>
      <c r="O2955" t="str">
        <f t="shared" si="427"/>
        <v>60111</v>
      </c>
      <c r="P2955" t="str">
        <f>"2100L"</f>
        <v>2100L</v>
      </c>
      <c r="Q2955" t="str">
        <f t="shared" si="431"/>
        <v>0101</v>
      </c>
      <c r="R2955">
        <v>2100</v>
      </c>
      <c r="S2955" t="str">
        <f t="shared" si="429"/>
        <v>6010</v>
      </c>
      <c r="T2955" t="s">
        <v>3734</v>
      </c>
      <c r="U2955" t="s">
        <v>4268</v>
      </c>
    </row>
    <row r="2956" spans="1:21" ht="15" customHeight="1" x14ac:dyDescent="0.3">
      <c r="A2956" t="s">
        <v>179</v>
      </c>
      <c r="B2956" t="str">
        <f>"00066582"</f>
        <v>00066582</v>
      </c>
      <c r="C2956" t="s">
        <v>4260</v>
      </c>
      <c r="D2956" t="s">
        <v>5195</v>
      </c>
      <c r="E2956" t="str">
        <f>"00069750"</f>
        <v>00069750</v>
      </c>
      <c r="F2956">
        <v>0</v>
      </c>
      <c r="G2956" s="243">
        <v>41133</v>
      </c>
      <c r="H2956" t="s">
        <v>182</v>
      </c>
      <c r="I2956">
        <v>15</v>
      </c>
      <c r="J2956">
        <v>8</v>
      </c>
      <c r="K2956">
        <v>1</v>
      </c>
      <c r="L2956">
        <v>72171</v>
      </c>
      <c r="M2956" t="str">
        <f t="shared" si="430"/>
        <v>13</v>
      </c>
      <c r="N2956" t="s">
        <v>3370</v>
      </c>
      <c r="O2956" t="str">
        <f t="shared" si="427"/>
        <v>60111</v>
      </c>
      <c r="P2956" t="str">
        <f>"3030L"</f>
        <v>3030L</v>
      </c>
      <c r="Q2956" t="str">
        <f t="shared" si="431"/>
        <v>0101</v>
      </c>
      <c r="R2956">
        <v>3030</v>
      </c>
      <c r="S2956" t="str">
        <f t="shared" si="429"/>
        <v>6010</v>
      </c>
      <c r="T2956" t="s">
        <v>3734</v>
      </c>
      <c r="U2956" t="s">
        <v>4268</v>
      </c>
    </row>
    <row r="2957" spans="1:21" ht="15" customHeight="1" x14ac:dyDescent="0.3">
      <c r="A2957" t="s">
        <v>179</v>
      </c>
      <c r="B2957" t="str">
        <f>"00067497"</f>
        <v>00067497</v>
      </c>
      <c r="C2957" t="s">
        <v>4262</v>
      </c>
      <c r="D2957" t="s">
        <v>5196</v>
      </c>
      <c r="E2957" t="str">
        <f>"00069995"</f>
        <v>00069995</v>
      </c>
      <c r="F2957">
        <v>0</v>
      </c>
      <c r="G2957" s="243">
        <v>41133</v>
      </c>
      <c r="H2957" t="s">
        <v>182</v>
      </c>
      <c r="I2957">
        <v>15</v>
      </c>
      <c r="J2957">
        <v>4</v>
      </c>
      <c r="K2957">
        <v>1</v>
      </c>
      <c r="L2957">
        <v>61158</v>
      </c>
      <c r="M2957" t="str">
        <f t="shared" si="430"/>
        <v>13</v>
      </c>
      <c r="N2957" t="s">
        <v>3323</v>
      </c>
      <c r="O2957" t="str">
        <f t="shared" ref="O2957:O2984" si="432">"60111"</f>
        <v>60111</v>
      </c>
      <c r="P2957" t="str">
        <f t="shared" ref="P2957:P2965" si="433">"2100L"</f>
        <v>2100L</v>
      </c>
      <c r="Q2957" t="str">
        <f t="shared" si="431"/>
        <v>0101</v>
      </c>
      <c r="R2957">
        <v>2100</v>
      </c>
      <c r="S2957" t="str">
        <f t="shared" ref="S2957:S2984" si="434">"6010"</f>
        <v>6010</v>
      </c>
      <c r="T2957" t="s">
        <v>3734</v>
      </c>
      <c r="U2957" t="s">
        <v>4268</v>
      </c>
    </row>
    <row r="2958" spans="1:21" ht="15" customHeight="1" x14ac:dyDescent="0.3">
      <c r="A2958" t="s">
        <v>179</v>
      </c>
      <c r="B2958" t="str">
        <f>"00071422"</f>
        <v>00071422</v>
      </c>
      <c r="C2958" t="s">
        <v>4387</v>
      </c>
      <c r="H2958" t="s">
        <v>170</v>
      </c>
      <c r="I2958">
        <v>10</v>
      </c>
      <c r="J2958">
        <v>1</v>
      </c>
      <c r="K2958">
        <v>1</v>
      </c>
      <c r="L2958">
        <v>62794</v>
      </c>
      <c r="M2958" t="str">
        <f t="shared" si="430"/>
        <v>13</v>
      </c>
      <c r="N2958" t="s">
        <v>3370</v>
      </c>
      <c r="O2958" t="str">
        <f t="shared" si="432"/>
        <v>60111</v>
      </c>
      <c r="P2958" t="str">
        <f t="shared" si="433"/>
        <v>2100L</v>
      </c>
      <c r="Q2958" t="str">
        <f t="shared" si="431"/>
        <v>0101</v>
      </c>
      <c r="R2958">
        <v>2100</v>
      </c>
      <c r="S2958" t="str">
        <f t="shared" si="434"/>
        <v>6010</v>
      </c>
      <c r="T2958" t="s">
        <v>3734</v>
      </c>
      <c r="U2958" t="s">
        <v>4268</v>
      </c>
    </row>
    <row r="2959" spans="1:21" ht="15" customHeight="1" x14ac:dyDescent="0.3">
      <c r="A2959" t="s">
        <v>179</v>
      </c>
      <c r="B2959" t="str">
        <f>"00072243"</f>
        <v>00072243</v>
      </c>
      <c r="C2959" t="s">
        <v>4258</v>
      </c>
      <c r="D2959" t="s">
        <v>2536</v>
      </c>
      <c r="E2959" t="str">
        <f>"00046637"</f>
        <v>00046637</v>
      </c>
      <c r="F2959">
        <v>0</v>
      </c>
      <c r="G2959" s="243">
        <v>40056</v>
      </c>
      <c r="H2959" t="s">
        <v>182</v>
      </c>
      <c r="I2959">
        <v>15</v>
      </c>
      <c r="J2959">
        <v>3</v>
      </c>
      <c r="K2959">
        <v>1</v>
      </c>
      <c r="L2959">
        <v>52777</v>
      </c>
      <c r="M2959" t="str">
        <f t="shared" si="430"/>
        <v>13</v>
      </c>
      <c r="N2959" t="s">
        <v>3323</v>
      </c>
      <c r="O2959" t="str">
        <f t="shared" si="432"/>
        <v>60111</v>
      </c>
      <c r="P2959" t="str">
        <f t="shared" si="433"/>
        <v>2100L</v>
      </c>
      <c r="Q2959" t="str">
        <f t="shared" si="431"/>
        <v>0101</v>
      </c>
      <c r="R2959">
        <v>2100</v>
      </c>
      <c r="S2959" t="str">
        <f t="shared" si="434"/>
        <v>6010</v>
      </c>
      <c r="T2959" t="s">
        <v>3734</v>
      </c>
      <c r="U2959" t="s">
        <v>4268</v>
      </c>
    </row>
    <row r="2960" spans="1:21" ht="15" customHeight="1" x14ac:dyDescent="0.3">
      <c r="A2960" t="s">
        <v>179</v>
      </c>
      <c r="B2960" t="str">
        <f>"00072356"</f>
        <v>00072356</v>
      </c>
      <c r="C2960" t="s">
        <v>4272</v>
      </c>
      <c r="D2960" t="s">
        <v>2537</v>
      </c>
      <c r="E2960" t="str">
        <f>"00050511"</f>
        <v>00050511</v>
      </c>
      <c r="F2960">
        <v>0</v>
      </c>
      <c r="G2960" s="243">
        <v>40406</v>
      </c>
      <c r="H2960" t="s">
        <v>182</v>
      </c>
      <c r="I2960">
        <v>15</v>
      </c>
      <c r="J2960">
        <v>14</v>
      </c>
      <c r="K2960">
        <v>1</v>
      </c>
      <c r="L2960">
        <v>96460</v>
      </c>
      <c r="M2960" t="str">
        <f t="shared" si="430"/>
        <v>13</v>
      </c>
      <c r="N2960" t="s">
        <v>3323</v>
      </c>
      <c r="O2960" t="str">
        <f t="shared" si="432"/>
        <v>60111</v>
      </c>
      <c r="P2960" t="str">
        <f t="shared" si="433"/>
        <v>2100L</v>
      </c>
      <c r="Q2960" t="str">
        <f t="shared" si="431"/>
        <v>0101</v>
      </c>
      <c r="R2960">
        <v>2100</v>
      </c>
      <c r="S2960" t="str">
        <f t="shared" si="434"/>
        <v>6010</v>
      </c>
      <c r="T2960" t="s">
        <v>3734</v>
      </c>
      <c r="U2960" t="s">
        <v>4268</v>
      </c>
    </row>
    <row r="2961" spans="1:21" ht="15" customHeight="1" x14ac:dyDescent="0.3">
      <c r="A2961" t="s">
        <v>179</v>
      </c>
      <c r="B2961" t="str">
        <f>"00072482"</f>
        <v>00072482</v>
      </c>
      <c r="C2961" t="s">
        <v>4290</v>
      </c>
      <c r="D2961" t="s">
        <v>5197</v>
      </c>
      <c r="E2961" t="str">
        <f>"00046490"</f>
        <v>00046490</v>
      </c>
      <c r="F2961">
        <v>0</v>
      </c>
      <c r="G2961" s="243">
        <v>37186</v>
      </c>
      <c r="H2961" t="s">
        <v>182</v>
      </c>
      <c r="I2961">
        <v>4</v>
      </c>
      <c r="J2961">
        <v>8</v>
      </c>
      <c r="K2961">
        <v>0.71</v>
      </c>
      <c r="L2961">
        <v>27329.75</v>
      </c>
      <c r="M2961" t="str">
        <f t="shared" si="430"/>
        <v>13</v>
      </c>
      <c r="N2961" t="s">
        <v>3323</v>
      </c>
      <c r="O2961" t="str">
        <f t="shared" si="432"/>
        <v>60111</v>
      </c>
      <c r="P2961" t="str">
        <f t="shared" si="433"/>
        <v>2100L</v>
      </c>
      <c r="Q2961" t="str">
        <f t="shared" si="431"/>
        <v>0101</v>
      </c>
      <c r="R2961">
        <v>2100</v>
      </c>
      <c r="S2961" t="str">
        <f t="shared" si="434"/>
        <v>6010</v>
      </c>
      <c r="T2961" t="s">
        <v>3734</v>
      </c>
      <c r="U2961" t="s">
        <v>4268</v>
      </c>
    </row>
    <row r="2962" spans="1:21" ht="15" customHeight="1" x14ac:dyDescent="0.3">
      <c r="A2962" t="s">
        <v>179</v>
      </c>
      <c r="B2962" t="str">
        <f>"00072483"</f>
        <v>00072483</v>
      </c>
      <c r="C2962" t="s">
        <v>4290</v>
      </c>
      <c r="D2962" t="s">
        <v>5198</v>
      </c>
      <c r="E2962" t="str">
        <f>"00067077"</f>
        <v>00067077</v>
      </c>
      <c r="F2962">
        <v>0</v>
      </c>
      <c r="G2962" s="243">
        <v>40840</v>
      </c>
      <c r="H2962" t="s">
        <v>182</v>
      </c>
      <c r="I2962">
        <v>4</v>
      </c>
      <c r="J2962">
        <v>4</v>
      </c>
      <c r="K2962">
        <v>0.71</v>
      </c>
      <c r="L2962">
        <v>24543.75</v>
      </c>
      <c r="M2962" t="str">
        <f t="shared" si="430"/>
        <v>13</v>
      </c>
      <c r="N2962" t="s">
        <v>3323</v>
      </c>
      <c r="O2962" t="str">
        <f t="shared" si="432"/>
        <v>60111</v>
      </c>
      <c r="P2962" t="str">
        <f t="shared" si="433"/>
        <v>2100L</v>
      </c>
      <c r="Q2962" t="str">
        <f t="shared" si="431"/>
        <v>0101</v>
      </c>
      <c r="R2962">
        <v>2100</v>
      </c>
      <c r="S2962" t="str">
        <f t="shared" si="434"/>
        <v>6010</v>
      </c>
      <c r="T2962" t="s">
        <v>3734</v>
      </c>
      <c r="U2962" t="s">
        <v>4268</v>
      </c>
    </row>
    <row r="2963" spans="1:21" ht="15" customHeight="1" x14ac:dyDescent="0.3">
      <c r="A2963" t="s">
        <v>179</v>
      </c>
      <c r="B2963" t="str">
        <f>"00072802"</f>
        <v>00072802</v>
      </c>
      <c r="C2963" t="s">
        <v>4266</v>
      </c>
      <c r="D2963" t="s">
        <v>2538</v>
      </c>
      <c r="E2963" t="str">
        <f>"00057442"</f>
        <v>00057442</v>
      </c>
      <c r="F2963">
        <v>0</v>
      </c>
      <c r="G2963" s="243">
        <v>40042</v>
      </c>
      <c r="H2963" t="s">
        <v>182</v>
      </c>
      <c r="I2963">
        <v>15</v>
      </c>
      <c r="J2963">
        <v>4</v>
      </c>
      <c r="K2963">
        <v>0.5</v>
      </c>
      <c r="L2963">
        <v>30579</v>
      </c>
      <c r="M2963" t="str">
        <f t="shared" si="430"/>
        <v>13</v>
      </c>
      <c r="N2963" t="s">
        <v>3323</v>
      </c>
      <c r="O2963" t="str">
        <f t="shared" si="432"/>
        <v>60111</v>
      </c>
      <c r="P2963" t="str">
        <f t="shared" si="433"/>
        <v>2100L</v>
      </c>
      <c r="Q2963" t="str">
        <f t="shared" si="431"/>
        <v>0101</v>
      </c>
      <c r="R2963">
        <v>2100</v>
      </c>
      <c r="S2963" t="str">
        <f t="shared" si="434"/>
        <v>6010</v>
      </c>
      <c r="T2963" t="s">
        <v>3734</v>
      </c>
      <c r="U2963" t="s">
        <v>4268</v>
      </c>
    </row>
    <row r="2964" spans="1:21" ht="15" customHeight="1" x14ac:dyDescent="0.3">
      <c r="A2964" t="s">
        <v>179</v>
      </c>
      <c r="B2964" t="str">
        <f>"00072806"</f>
        <v>00072806</v>
      </c>
      <c r="C2964" t="s">
        <v>4253</v>
      </c>
      <c r="D2964" t="s">
        <v>2539</v>
      </c>
      <c r="E2964" t="str">
        <f>"00014695"</f>
        <v>00014695</v>
      </c>
      <c r="F2964">
        <v>2</v>
      </c>
      <c r="G2964" s="243">
        <v>34578</v>
      </c>
      <c r="H2964" t="s">
        <v>182</v>
      </c>
      <c r="I2964">
        <v>15</v>
      </c>
      <c r="J2964">
        <v>15</v>
      </c>
      <c r="K2964">
        <v>1</v>
      </c>
      <c r="L2964">
        <v>100792</v>
      </c>
      <c r="M2964" t="str">
        <f t="shared" si="430"/>
        <v>13</v>
      </c>
      <c r="N2964" t="s">
        <v>3323</v>
      </c>
      <c r="O2964" t="str">
        <f t="shared" si="432"/>
        <v>60111</v>
      </c>
      <c r="P2964" t="str">
        <f t="shared" si="433"/>
        <v>2100L</v>
      </c>
      <c r="Q2964" t="str">
        <f t="shared" si="431"/>
        <v>0101</v>
      </c>
      <c r="R2964">
        <v>2100</v>
      </c>
      <c r="S2964" t="str">
        <f t="shared" si="434"/>
        <v>6010</v>
      </c>
      <c r="T2964" t="s">
        <v>3734</v>
      </c>
      <c r="U2964" t="s">
        <v>4268</v>
      </c>
    </row>
    <row r="2965" spans="1:21" ht="15" customHeight="1" x14ac:dyDescent="0.3">
      <c r="A2965" t="s">
        <v>179</v>
      </c>
      <c r="B2965" t="str">
        <f>"00072807"</f>
        <v>00072807</v>
      </c>
      <c r="C2965" t="s">
        <v>4260</v>
      </c>
      <c r="H2965" t="s">
        <v>170</v>
      </c>
      <c r="I2965">
        <v>15</v>
      </c>
      <c r="J2965">
        <v>1</v>
      </c>
      <c r="K2965">
        <v>1</v>
      </c>
      <c r="L2965">
        <v>51539</v>
      </c>
      <c r="M2965" t="str">
        <f t="shared" si="430"/>
        <v>13</v>
      </c>
      <c r="N2965" t="s">
        <v>3323</v>
      </c>
      <c r="O2965" t="str">
        <f t="shared" si="432"/>
        <v>60111</v>
      </c>
      <c r="P2965" t="str">
        <f t="shared" si="433"/>
        <v>2100L</v>
      </c>
      <c r="Q2965" t="str">
        <f t="shared" si="431"/>
        <v>0101</v>
      </c>
      <c r="R2965">
        <v>2100</v>
      </c>
      <c r="S2965" t="str">
        <f t="shared" si="434"/>
        <v>6010</v>
      </c>
      <c r="T2965" t="s">
        <v>3734</v>
      </c>
      <c r="U2965" t="s">
        <v>4268</v>
      </c>
    </row>
    <row r="2966" spans="1:21" ht="15" customHeight="1" x14ac:dyDescent="0.3">
      <c r="A2966" t="s">
        <v>179</v>
      </c>
      <c r="B2966" t="str">
        <f>"00072847"</f>
        <v>00072847</v>
      </c>
      <c r="C2966" t="s">
        <v>4395</v>
      </c>
      <c r="D2966" t="s">
        <v>2540</v>
      </c>
      <c r="E2966" t="str">
        <f>"00047313"</f>
        <v>00047313</v>
      </c>
      <c r="F2966">
        <v>0</v>
      </c>
      <c r="G2966" s="243">
        <v>32225</v>
      </c>
      <c r="H2966" t="s">
        <v>182</v>
      </c>
      <c r="I2966">
        <v>10</v>
      </c>
      <c r="J2966">
        <v>9</v>
      </c>
      <c r="K2966">
        <v>1</v>
      </c>
      <c r="L2966">
        <v>86183</v>
      </c>
      <c r="M2966" t="str">
        <f t="shared" si="430"/>
        <v>13</v>
      </c>
      <c r="N2966" t="s">
        <v>3323</v>
      </c>
      <c r="O2966" t="str">
        <f t="shared" si="432"/>
        <v>60111</v>
      </c>
      <c r="P2966" t="str">
        <f>"1502L"</f>
        <v>1502L</v>
      </c>
      <c r="Q2966" t="str">
        <f t="shared" si="431"/>
        <v>0101</v>
      </c>
      <c r="R2966">
        <v>1502</v>
      </c>
      <c r="S2966" t="str">
        <f t="shared" si="434"/>
        <v>6010</v>
      </c>
      <c r="T2966" t="s">
        <v>3734</v>
      </c>
      <c r="U2966" t="s">
        <v>4268</v>
      </c>
    </row>
    <row r="2967" spans="1:21" ht="15" customHeight="1" x14ac:dyDescent="0.3">
      <c r="A2967" t="s">
        <v>179</v>
      </c>
      <c r="B2967" t="str">
        <f>"00073054"</f>
        <v>00073054</v>
      </c>
      <c r="C2967" t="s">
        <v>4274</v>
      </c>
      <c r="D2967" t="s">
        <v>5199</v>
      </c>
      <c r="E2967" t="str">
        <f>"00058060"</f>
        <v>00058060</v>
      </c>
      <c r="F2967">
        <v>0</v>
      </c>
      <c r="G2967" s="243">
        <v>40042</v>
      </c>
      <c r="H2967" t="s">
        <v>182</v>
      </c>
      <c r="I2967">
        <v>4</v>
      </c>
      <c r="J2967">
        <v>5</v>
      </c>
      <c r="K2967">
        <v>1</v>
      </c>
      <c r="L2967">
        <v>25239.37</v>
      </c>
      <c r="M2967" t="str">
        <f t="shared" si="430"/>
        <v>13</v>
      </c>
      <c r="N2967" t="s">
        <v>3323</v>
      </c>
      <c r="O2967" t="str">
        <f t="shared" si="432"/>
        <v>60111</v>
      </c>
      <c r="P2967" t="str">
        <f>"2200L"</f>
        <v>2200L</v>
      </c>
      <c r="Q2967" t="str">
        <f t="shared" si="431"/>
        <v>0101</v>
      </c>
      <c r="R2967">
        <v>2200</v>
      </c>
      <c r="S2967" t="str">
        <f t="shared" si="434"/>
        <v>6010</v>
      </c>
      <c r="T2967" t="s">
        <v>3734</v>
      </c>
      <c r="U2967" t="s">
        <v>4268</v>
      </c>
    </row>
    <row r="2968" spans="1:21" ht="15" customHeight="1" x14ac:dyDescent="0.3">
      <c r="A2968" t="s">
        <v>179</v>
      </c>
      <c r="B2968" t="str">
        <f>"00073951"</f>
        <v>00073951</v>
      </c>
      <c r="C2968" t="s">
        <v>4333</v>
      </c>
      <c r="D2968" t="s">
        <v>5200</v>
      </c>
      <c r="E2968" t="str">
        <f>"00052807"</f>
        <v>00052807</v>
      </c>
      <c r="F2968">
        <v>0</v>
      </c>
      <c r="G2968" s="243">
        <v>36332</v>
      </c>
      <c r="H2968" t="s">
        <v>182</v>
      </c>
      <c r="I2968">
        <v>12</v>
      </c>
      <c r="J2968">
        <v>5</v>
      </c>
      <c r="K2968">
        <v>1</v>
      </c>
      <c r="L2968">
        <v>67408</v>
      </c>
      <c r="M2968" t="str">
        <f t="shared" si="430"/>
        <v>13</v>
      </c>
      <c r="N2968" t="s">
        <v>3323</v>
      </c>
      <c r="O2968" t="str">
        <f t="shared" si="432"/>
        <v>60111</v>
      </c>
      <c r="P2968" t="str">
        <f>"1502L"</f>
        <v>1502L</v>
      </c>
      <c r="Q2968" t="str">
        <f t="shared" si="431"/>
        <v>0101</v>
      </c>
      <c r="R2968">
        <v>1502</v>
      </c>
      <c r="S2968" t="str">
        <f t="shared" si="434"/>
        <v>6010</v>
      </c>
      <c r="T2968" t="s">
        <v>3734</v>
      </c>
      <c r="U2968" t="s">
        <v>4268</v>
      </c>
    </row>
    <row r="2969" spans="1:21" ht="15" customHeight="1" x14ac:dyDescent="0.3">
      <c r="A2969" t="s">
        <v>179</v>
      </c>
      <c r="B2969" t="str">
        <f>"00074304"</f>
        <v>00074304</v>
      </c>
      <c r="C2969" t="s">
        <v>4290</v>
      </c>
      <c r="D2969" t="s">
        <v>5201</v>
      </c>
      <c r="E2969" t="str">
        <f>"00069732"</f>
        <v>00069732</v>
      </c>
      <c r="F2969">
        <v>0</v>
      </c>
      <c r="G2969" s="243">
        <v>41133</v>
      </c>
      <c r="H2969" t="s">
        <v>182</v>
      </c>
      <c r="I2969">
        <v>4</v>
      </c>
      <c r="J2969">
        <v>4</v>
      </c>
      <c r="K2969">
        <v>0.71</v>
      </c>
      <c r="L2969">
        <v>24543.75</v>
      </c>
      <c r="M2969" t="str">
        <f t="shared" si="430"/>
        <v>13</v>
      </c>
      <c r="N2969" t="s">
        <v>3370</v>
      </c>
      <c r="O2969" t="str">
        <f t="shared" si="432"/>
        <v>60111</v>
      </c>
      <c r="P2969" t="str">
        <f>"2100L"</f>
        <v>2100L</v>
      </c>
      <c r="Q2969" t="str">
        <f t="shared" si="431"/>
        <v>0101</v>
      </c>
      <c r="R2969">
        <v>2100</v>
      </c>
      <c r="S2969" t="str">
        <f t="shared" si="434"/>
        <v>6010</v>
      </c>
      <c r="T2969" t="s">
        <v>3734</v>
      </c>
      <c r="U2969" t="s">
        <v>4268</v>
      </c>
    </row>
    <row r="2970" spans="1:21" ht="15" customHeight="1" x14ac:dyDescent="0.3">
      <c r="A2970" t="s">
        <v>179</v>
      </c>
      <c r="B2970" t="str">
        <f>"00074307"</f>
        <v>00074307</v>
      </c>
      <c r="C2970" t="s">
        <v>4290</v>
      </c>
      <c r="H2970" t="s">
        <v>170</v>
      </c>
      <c r="I2970">
        <v>4</v>
      </c>
      <c r="J2970">
        <v>1</v>
      </c>
      <c r="K2970">
        <v>0.71</v>
      </c>
      <c r="L2970">
        <v>25662</v>
      </c>
      <c r="M2970" t="str">
        <f t="shared" si="430"/>
        <v>13</v>
      </c>
      <c r="N2970" t="s">
        <v>3323</v>
      </c>
      <c r="O2970" t="str">
        <f t="shared" si="432"/>
        <v>60111</v>
      </c>
      <c r="P2970" t="str">
        <f>"2100L"</f>
        <v>2100L</v>
      </c>
      <c r="Q2970" t="str">
        <f t="shared" si="431"/>
        <v>0101</v>
      </c>
      <c r="R2970">
        <v>2100</v>
      </c>
      <c r="S2970" t="str">
        <f t="shared" si="434"/>
        <v>6010</v>
      </c>
      <c r="T2970" t="s">
        <v>3734</v>
      </c>
      <c r="U2970" t="s">
        <v>4268</v>
      </c>
    </row>
    <row r="2971" spans="1:21" ht="15" customHeight="1" x14ac:dyDescent="0.3">
      <c r="A2971" t="s">
        <v>179</v>
      </c>
      <c r="B2971" t="str">
        <f>"00074308"</f>
        <v>00074308</v>
      </c>
      <c r="C2971" t="s">
        <v>4270</v>
      </c>
      <c r="H2971" t="s">
        <v>170</v>
      </c>
      <c r="I2971">
        <v>15</v>
      </c>
      <c r="J2971">
        <v>1</v>
      </c>
      <c r="K2971">
        <v>0.5</v>
      </c>
      <c r="L2971">
        <v>54975</v>
      </c>
      <c r="M2971" t="str">
        <f t="shared" si="430"/>
        <v>13</v>
      </c>
      <c r="N2971" t="s">
        <v>3323</v>
      </c>
      <c r="O2971" t="str">
        <f t="shared" si="432"/>
        <v>60111</v>
      </c>
      <c r="P2971" t="str">
        <f>"2100L"</f>
        <v>2100L</v>
      </c>
      <c r="Q2971" t="str">
        <f t="shared" si="431"/>
        <v>0101</v>
      </c>
      <c r="R2971">
        <v>2100</v>
      </c>
      <c r="S2971" t="str">
        <f t="shared" si="434"/>
        <v>6010</v>
      </c>
      <c r="T2971" t="s">
        <v>3734</v>
      </c>
      <c r="U2971" t="s">
        <v>4268</v>
      </c>
    </row>
    <row r="2972" spans="1:21" ht="15" customHeight="1" x14ac:dyDescent="0.3">
      <c r="A2972" t="s">
        <v>179</v>
      </c>
      <c r="B2972" t="str">
        <f>"00074569"</f>
        <v>00074569</v>
      </c>
      <c r="C2972" t="s">
        <v>3670</v>
      </c>
      <c r="D2972" t="s">
        <v>2532</v>
      </c>
      <c r="E2972" t="str">
        <f>"00046277"</f>
        <v>00046277</v>
      </c>
      <c r="F2972">
        <v>0</v>
      </c>
      <c r="G2972" s="243">
        <v>40363</v>
      </c>
      <c r="H2972" t="s">
        <v>182</v>
      </c>
      <c r="I2972">
        <v>8</v>
      </c>
      <c r="J2972">
        <v>2</v>
      </c>
      <c r="K2972">
        <v>1</v>
      </c>
      <c r="L2972">
        <v>84746</v>
      </c>
      <c r="M2972" t="str">
        <f t="shared" si="430"/>
        <v>13</v>
      </c>
      <c r="N2972" t="s">
        <v>3323</v>
      </c>
      <c r="O2972" t="str">
        <f t="shared" si="432"/>
        <v>60111</v>
      </c>
      <c r="P2972" t="str">
        <f>"1502L"</f>
        <v>1502L</v>
      </c>
      <c r="Q2972" t="str">
        <f t="shared" si="431"/>
        <v>0101</v>
      </c>
      <c r="R2972">
        <v>1502</v>
      </c>
      <c r="S2972" t="str">
        <f t="shared" si="434"/>
        <v>6010</v>
      </c>
      <c r="T2972" t="s">
        <v>3734</v>
      </c>
      <c r="U2972" t="s">
        <v>4268</v>
      </c>
    </row>
    <row r="2973" spans="1:21" ht="15" customHeight="1" x14ac:dyDescent="0.3">
      <c r="A2973" t="s">
        <v>179</v>
      </c>
      <c r="B2973" t="str">
        <f>"00074571"</f>
        <v>00074571</v>
      </c>
      <c r="C2973" t="s">
        <v>4260</v>
      </c>
      <c r="D2973" t="s">
        <v>5202</v>
      </c>
      <c r="E2973" t="str">
        <f>"00069972"</f>
        <v>00069972</v>
      </c>
      <c r="F2973">
        <v>0</v>
      </c>
      <c r="G2973" s="243">
        <v>41133</v>
      </c>
      <c r="H2973" t="s">
        <v>182</v>
      </c>
      <c r="I2973">
        <v>15</v>
      </c>
      <c r="J2973">
        <v>1</v>
      </c>
      <c r="K2973">
        <v>1</v>
      </c>
      <c r="L2973">
        <v>51539</v>
      </c>
      <c r="M2973" t="str">
        <f t="shared" si="430"/>
        <v>13</v>
      </c>
      <c r="N2973" t="s">
        <v>3323</v>
      </c>
      <c r="O2973" t="str">
        <f t="shared" si="432"/>
        <v>60111</v>
      </c>
      <c r="P2973" t="str">
        <f t="shared" ref="P2973:P2980" si="435">"2100L"</f>
        <v>2100L</v>
      </c>
      <c r="Q2973" t="str">
        <f t="shared" si="431"/>
        <v>0101</v>
      </c>
      <c r="R2973">
        <v>2100</v>
      </c>
      <c r="S2973" t="str">
        <f t="shared" si="434"/>
        <v>6010</v>
      </c>
      <c r="T2973" t="s">
        <v>3734</v>
      </c>
      <c r="U2973" t="s">
        <v>4268</v>
      </c>
    </row>
    <row r="2974" spans="1:21" ht="15" customHeight="1" x14ac:dyDescent="0.3">
      <c r="A2974" t="s">
        <v>179</v>
      </c>
      <c r="B2974" t="str">
        <f>"00074652"</f>
        <v>00074652</v>
      </c>
      <c r="C2974" t="s">
        <v>4260</v>
      </c>
      <c r="D2974" t="s">
        <v>2535</v>
      </c>
      <c r="E2974" t="str">
        <f>"00050758"</f>
        <v>00050758</v>
      </c>
      <c r="F2974">
        <v>0</v>
      </c>
      <c r="G2974" s="243">
        <v>37910</v>
      </c>
      <c r="H2974" t="s">
        <v>182</v>
      </c>
      <c r="I2974">
        <v>15</v>
      </c>
      <c r="J2974">
        <v>11</v>
      </c>
      <c r="K2974">
        <v>1</v>
      </c>
      <c r="L2974">
        <v>83774</v>
      </c>
      <c r="M2974" t="str">
        <f t="shared" si="430"/>
        <v>13</v>
      </c>
      <c r="N2974" t="s">
        <v>3323</v>
      </c>
      <c r="O2974" t="str">
        <f t="shared" si="432"/>
        <v>60111</v>
      </c>
      <c r="P2974" t="str">
        <f t="shared" si="435"/>
        <v>2100L</v>
      </c>
      <c r="Q2974" t="str">
        <f t="shared" si="431"/>
        <v>0101</v>
      </c>
      <c r="R2974">
        <v>2100</v>
      </c>
      <c r="S2974" t="str">
        <f t="shared" si="434"/>
        <v>6010</v>
      </c>
      <c r="T2974" t="s">
        <v>3734</v>
      </c>
      <c r="U2974" t="s">
        <v>4268</v>
      </c>
    </row>
    <row r="2975" spans="1:21" ht="15" customHeight="1" x14ac:dyDescent="0.3">
      <c r="A2975" t="s">
        <v>179</v>
      </c>
      <c r="B2975" t="str">
        <f>"00074697"</f>
        <v>00074697</v>
      </c>
      <c r="C2975" t="s">
        <v>4288</v>
      </c>
      <c r="D2975" t="s">
        <v>5203</v>
      </c>
      <c r="E2975" t="str">
        <f>"00056134"</f>
        <v>00056134</v>
      </c>
      <c r="F2975">
        <v>0</v>
      </c>
      <c r="G2975" s="243">
        <v>40085</v>
      </c>
      <c r="H2975" t="s">
        <v>182</v>
      </c>
      <c r="I2975">
        <v>4</v>
      </c>
      <c r="J2975">
        <v>8</v>
      </c>
      <c r="K2975">
        <v>0.71</v>
      </c>
      <c r="L2975">
        <v>27329.75</v>
      </c>
      <c r="M2975" t="str">
        <f t="shared" si="430"/>
        <v>13</v>
      </c>
      <c r="N2975" t="s">
        <v>3323</v>
      </c>
      <c r="O2975" t="str">
        <f t="shared" si="432"/>
        <v>60111</v>
      </c>
      <c r="P2975" t="str">
        <f t="shared" si="435"/>
        <v>2100L</v>
      </c>
      <c r="Q2975" t="str">
        <f t="shared" si="431"/>
        <v>0101</v>
      </c>
      <c r="R2975">
        <v>2100</v>
      </c>
      <c r="S2975" t="str">
        <f t="shared" si="434"/>
        <v>6010</v>
      </c>
      <c r="T2975" t="s">
        <v>3734</v>
      </c>
      <c r="U2975" t="s">
        <v>4268</v>
      </c>
    </row>
    <row r="2976" spans="1:21" ht="15" customHeight="1" x14ac:dyDescent="0.3">
      <c r="A2976" t="s">
        <v>179</v>
      </c>
      <c r="B2976" t="str">
        <f>"00076353"</f>
        <v>00076353</v>
      </c>
      <c r="C2976" t="s">
        <v>4271</v>
      </c>
      <c r="D2976" t="s">
        <v>1107</v>
      </c>
      <c r="E2976" t="str">
        <f>"00049353"</f>
        <v>00049353</v>
      </c>
      <c r="F2976">
        <v>0</v>
      </c>
      <c r="G2976" s="243">
        <v>36390</v>
      </c>
      <c r="H2976" t="s">
        <v>182</v>
      </c>
      <c r="I2976">
        <v>15</v>
      </c>
      <c r="J2976">
        <v>15</v>
      </c>
      <c r="K2976">
        <v>0.5</v>
      </c>
      <c r="L2976">
        <v>100792</v>
      </c>
      <c r="M2976" t="str">
        <f t="shared" si="430"/>
        <v>13</v>
      </c>
      <c r="N2976" t="s">
        <v>3370</v>
      </c>
      <c r="O2976" t="str">
        <f t="shared" si="432"/>
        <v>60111</v>
      </c>
      <c r="P2976" t="str">
        <f t="shared" si="435"/>
        <v>2100L</v>
      </c>
      <c r="Q2976" t="str">
        <f t="shared" si="431"/>
        <v>0101</v>
      </c>
      <c r="R2976">
        <v>2100</v>
      </c>
      <c r="S2976" t="str">
        <f t="shared" si="434"/>
        <v>6010</v>
      </c>
      <c r="T2976" t="s">
        <v>3734</v>
      </c>
      <c r="U2976" t="s">
        <v>4268</v>
      </c>
    </row>
    <row r="2977" spans="1:21" ht="15" customHeight="1" x14ac:dyDescent="0.3">
      <c r="A2977" t="s">
        <v>179</v>
      </c>
      <c r="B2977" t="str">
        <f>"00076355"</f>
        <v>00076355</v>
      </c>
      <c r="C2977" t="s">
        <v>4262</v>
      </c>
      <c r="D2977" t="s">
        <v>5204</v>
      </c>
      <c r="E2977" t="str">
        <f>"00070056"</f>
        <v>00070056</v>
      </c>
      <c r="F2977">
        <v>0</v>
      </c>
      <c r="G2977" s="243">
        <v>41133</v>
      </c>
      <c r="H2977" t="s">
        <v>182</v>
      </c>
      <c r="I2977">
        <v>15</v>
      </c>
      <c r="J2977">
        <v>1</v>
      </c>
      <c r="K2977">
        <v>1</v>
      </c>
      <c r="L2977">
        <v>54975</v>
      </c>
      <c r="M2977" t="str">
        <f t="shared" si="430"/>
        <v>13</v>
      </c>
      <c r="N2977" t="s">
        <v>3323</v>
      </c>
      <c r="O2977" t="str">
        <f t="shared" si="432"/>
        <v>60111</v>
      </c>
      <c r="P2977" t="str">
        <f t="shared" si="435"/>
        <v>2100L</v>
      </c>
      <c r="Q2977" t="str">
        <f t="shared" si="431"/>
        <v>0101</v>
      </c>
      <c r="R2977">
        <v>2100</v>
      </c>
      <c r="S2977" t="str">
        <f t="shared" si="434"/>
        <v>6010</v>
      </c>
      <c r="T2977" t="s">
        <v>3734</v>
      </c>
      <c r="U2977" t="s">
        <v>4268</v>
      </c>
    </row>
    <row r="2978" spans="1:21" ht="15" customHeight="1" x14ac:dyDescent="0.3">
      <c r="A2978" t="s">
        <v>179</v>
      </c>
      <c r="B2978" t="str">
        <f>"00076356"</f>
        <v>00076356</v>
      </c>
      <c r="C2978" t="s">
        <v>4387</v>
      </c>
      <c r="D2978" t="s">
        <v>2698</v>
      </c>
      <c r="E2978" t="str">
        <f>"00060573"</f>
        <v>00060573</v>
      </c>
      <c r="F2978">
        <v>0</v>
      </c>
      <c r="G2978" s="243">
        <v>40245</v>
      </c>
      <c r="H2978" t="s">
        <v>182</v>
      </c>
      <c r="I2978">
        <v>10</v>
      </c>
      <c r="J2978">
        <v>9</v>
      </c>
      <c r="K2978">
        <v>0.5</v>
      </c>
      <c r="L2978">
        <v>84226</v>
      </c>
      <c r="M2978" t="str">
        <f t="shared" si="430"/>
        <v>13</v>
      </c>
      <c r="N2978" t="s">
        <v>3370</v>
      </c>
      <c r="O2978" t="str">
        <f t="shared" si="432"/>
        <v>60111</v>
      </c>
      <c r="P2978" t="str">
        <f t="shared" si="435"/>
        <v>2100L</v>
      </c>
      <c r="Q2978" t="str">
        <f t="shared" si="431"/>
        <v>0101</v>
      </c>
      <c r="R2978">
        <v>2100</v>
      </c>
      <c r="S2978" t="str">
        <f t="shared" si="434"/>
        <v>6010</v>
      </c>
      <c r="T2978" t="s">
        <v>3734</v>
      </c>
      <c r="U2978" t="s">
        <v>4268</v>
      </c>
    </row>
    <row r="2979" spans="1:21" ht="15" customHeight="1" x14ac:dyDescent="0.3">
      <c r="A2979" t="s">
        <v>179</v>
      </c>
      <c r="B2979" t="str">
        <f>"00076357"</f>
        <v>00076357</v>
      </c>
      <c r="C2979" t="s">
        <v>4262</v>
      </c>
      <c r="D2979" t="s">
        <v>5205</v>
      </c>
      <c r="E2979" t="str">
        <f>"00064703"</f>
        <v>00064703</v>
      </c>
      <c r="F2979">
        <v>0</v>
      </c>
      <c r="G2979" s="243">
        <v>40612</v>
      </c>
      <c r="H2979" t="s">
        <v>182</v>
      </c>
      <c r="I2979">
        <v>15</v>
      </c>
      <c r="J2979">
        <v>1</v>
      </c>
      <c r="K2979">
        <v>1</v>
      </c>
      <c r="L2979">
        <v>54975</v>
      </c>
      <c r="M2979" t="str">
        <f t="shared" si="430"/>
        <v>13</v>
      </c>
      <c r="N2979" t="s">
        <v>3323</v>
      </c>
      <c r="O2979" t="str">
        <f t="shared" si="432"/>
        <v>60111</v>
      </c>
      <c r="P2979" t="str">
        <f t="shared" si="435"/>
        <v>2100L</v>
      </c>
      <c r="Q2979" t="str">
        <f t="shared" si="431"/>
        <v>0101</v>
      </c>
      <c r="R2979">
        <v>2100</v>
      </c>
      <c r="S2979" t="str">
        <f t="shared" si="434"/>
        <v>6010</v>
      </c>
      <c r="T2979" t="s">
        <v>3734</v>
      </c>
      <c r="U2979" t="s">
        <v>4268</v>
      </c>
    </row>
    <row r="2980" spans="1:21" ht="15" customHeight="1" x14ac:dyDescent="0.3">
      <c r="A2980" t="s">
        <v>179</v>
      </c>
      <c r="B2980" t="str">
        <f>"00076358"</f>
        <v>00076358</v>
      </c>
      <c r="C2980" t="s">
        <v>4262</v>
      </c>
      <c r="D2980" t="s">
        <v>3898</v>
      </c>
      <c r="E2980" t="str">
        <f>"00065158"</f>
        <v>00065158</v>
      </c>
      <c r="F2980">
        <v>0</v>
      </c>
      <c r="G2980" s="243">
        <v>40755</v>
      </c>
      <c r="H2980" t="s">
        <v>182</v>
      </c>
      <c r="I2980">
        <v>15</v>
      </c>
      <c r="J2980">
        <v>2</v>
      </c>
      <c r="K2980">
        <v>1</v>
      </c>
      <c r="L2980">
        <v>56242</v>
      </c>
      <c r="M2980" t="str">
        <f t="shared" si="430"/>
        <v>13</v>
      </c>
      <c r="N2980" t="s">
        <v>3370</v>
      </c>
      <c r="O2980" t="str">
        <f t="shared" si="432"/>
        <v>60111</v>
      </c>
      <c r="P2980" t="str">
        <f t="shared" si="435"/>
        <v>2100L</v>
      </c>
      <c r="Q2980" t="str">
        <f t="shared" si="431"/>
        <v>0101</v>
      </c>
      <c r="R2980">
        <v>2100</v>
      </c>
      <c r="S2980" t="str">
        <f t="shared" si="434"/>
        <v>6010</v>
      </c>
      <c r="T2980" t="s">
        <v>3734</v>
      </c>
      <c r="U2980" t="s">
        <v>4268</v>
      </c>
    </row>
    <row r="2981" spans="1:21" ht="15" customHeight="1" x14ac:dyDescent="0.3">
      <c r="A2981" t="s">
        <v>179</v>
      </c>
      <c r="B2981" t="str">
        <f>"00076771"</f>
        <v>00076771</v>
      </c>
      <c r="C2981" t="s">
        <v>4262</v>
      </c>
      <c r="H2981" t="s">
        <v>170</v>
      </c>
      <c r="I2981">
        <v>15</v>
      </c>
      <c r="J2981">
        <v>0</v>
      </c>
      <c r="K2981">
        <v>1</v>
      </c>
      <c r="L2981">
        <v>51539</v>
      </c>
      <c r="M2981" t="str">
        <f t="shared" si="430"/>
        <v>13</v>
      </c>
      <c r="N2981" t="s">
        <v>3370</v>
      </c>
      <c r="O2981" t="str">
        <f t="shared" si="432"/>
        <v>60111</v>
      </c>
      <c r="P2981" t="str">
        <f t="shared" ref="P2981:P2987" si="436">"2100L"</f>
        <v>2100L</v>
      </c>
      <c r="Q2981" t="str">
        <f t="shared" si="431"/>
        <v>0101</v>
      </c>
      <c r="R2981">
        <v>2100</v>
      </c>
      <c r="S2981" t="str">
        <f t="shared" si="434"/>
        <v>6010</v>
      </c>
      <c r="T2981" t="s">
        <v>3734</v>
      </c>
      <c r="U2981" t="s">
        <v>4268</v>
      </c>
    </row>
    <row r="2982" spans="1:21" ht="15" customHeight="1" x14ac:dyDescent="0.3">
      <c r="A2982" t="s">
        <v>179</v>
      </c>
      <c r="B2982" t="str">
        <f>"00076778"</f>
        <v>00076778</v>
      </c>
      <c r="C2982" t="s">
        <v>4274</v>
      </c>
      <c r="H2982" t="s">
        <v>170</v>
      </c>
      <c r="I2982">
        <v>4</v>
      </c>
      <c r="J2982">
        <v>0</v>
      </c>
      <c r="K2982">
        <v>1</v>
      </c>
      <c r="L2982">
        <v>25662</v>
      </c>
      <c r="M2982" t="str">
        <f t="shared" si="430"/>
        <v>13</v>
      </c>
      <c r="N2982" t="s">
        <v>3370</v>
      </c>
      <c r="O2982" t="str">
        <f t="shared" si="432"/>
        <v>60111</v>
      </c>
      <c r="P2982" t="str">
        <f t="shared" si="436"/>
        <v>2100L</v>
      </c>
      <c r="Q2982" t="str">
        <f t="shared" si="431"/>
        <v>0101</v>
      </c>
      <c r="R2982">
        <v>2100</v>
      </c>
      <c r="S2982" t="str">
        <f t="shared" si="434"/>
        <v>6010</v>
      </c>
      <c r="T2982" t="s">
        <v>3734</v>
      </c>
      <c r="U2982" t="s">
        <v>4268</v>
      </c>
    </row>
    <row r="2983" spans="1:21" ht="15" customHeight="1" x14ac:dyDescent="0.3">
      <c r="A2983" t="s">
        <v>179</v>
      </c>
      <c r="B2983" t="str">
        <f>"00076811"</f>
        <v>00076811</v>
      </c>
      <c r="C2983" t="s">
        <v>4272</v>
      </c>
      <c r="D2983" t="s">
        <v>2611</v>
      </c>
      <c r="E2983" t="str">
        <f>"00057779"</f>
        <v>00057779</v>
      </c>
      <c r="F2983">
        <v>0</v>
      </c>
      <c r="G2983" s="243">
        <v>41133</v>
      </c>
      <c r="H2983" t="s">
        <v>182</v>
      </c>
      <c r="I2983">
        <v>15</v>
      </c>
      <c r="J2983">
        <v>5</v>
      </c>
      <c r="K2983">
        <v>1</v>
      </c>
      <c r="L2983">
        <v>63611</v>
      </c>
      <c r="M2983" t="str">
        <f t="shared" si="430"/>
        <v>13</v>
      </c>
      <c r="N2983" t="s">
        <v>3370</v>
      </c>
      <c r="O2983" t="str">
        <f t="shared" si="432"/>
        <v>60111</v>
      </c>
      <c r="P2983" t="str">
        <f t="shared" si="436"/>
        <v>2100L</v>
      </c>
      <c r="Q2983" t="str">
        <f t="shared" si="431"/>
        <v>0101</v>
      </c>
      <c r="R2983">
        <v>2100</v>
      </c>
      <c r="S2983" t="str">
        <f t="shared" si="434"/>
        <v>6010</v>
      </c>
      <c r="T2983" t="s">
        <v>3734</v>
      </c>
      <c r="U2983" t="s">
        <v>4268</v>
      </c>
    </row>
    <row r="2984" spans="1:21" ht="15" customHeight="1" x14ac:dyDescent="0.3">
      <c r="A2984" t="s">
        <v>179</v>
      </c>
      <c r="B2984" t="str">
        <f>"00076812"</f>
        <v>00076812</v>
      </c>
      <c r="C2984" t="s">
        <v>4262</v>
      </c>
      <c r="H2984" t="s">
        <v>170</v>
      </c>
      <c r="I2984">
        <v>15</v>
      </c>
      <c r="J2984">
        <v>0</v>
      </c>
      <c r="K2984">
        <v>1</v>
      </c>
      <c r="L2984">
        <v>54975</v>
      </c>
      <c r="M2984" t="str">
        <f t="shared" si="430"/>
        <v>13</v>
      </c>
      <c r="N2984" t="s">
        <v>3370</v>
      </c>
      <c r="O2984" t="str">
        <f t="shared" si="432"/>
        <v>60111</v>
      </c>
      <c r="P2984" t="str">
        <f t="shared" si="436"/>
        <v>2100L</v>
      </c>
      <c r="Q2984" t="str">
        <f t="shared" si="431"/>
        <v>0101</v>
      </c>
      <c r="R2984">
        <v>2100</v>
      </c>
      <c r="S2984" t="str">
        <f t="shared" si="434"/>
        <v>6010</v>
      </c>
      <c r="T2984" t="s">
        <v>3734</v>
      </c>
      <c r="U2984" t="s">
        <v>4268</v>
      </c>
    </row>
    <row r="2985" spans="1:21" ht="15" customHeight="1" x14ac:dyDescent="0.3">
      <c r="A2985" t="s">
        <v>179</v>
      </c>
      <c r="B2985" t="str">
        <f>"00051735"</f>
        <v>00051735</v>
      </c>
      <c r="C2985" t="s">
        <v>4337</v>
      </c>
      <c r="D2985" t="s">
        <v>1090</v>
      </c>
      <c r="E2985" t="str">
        <f>"00045698"</f>
        <v>00045698</v>
      </c>
      <c r="F2985">
        <v>0</v>
      </c>
      <c r="G2985" s="243">
        <v>34960</v>
      </c>
      <c r="H2985" t="s">
        <v>182</v>
      </c>
      <c r="I2985">
        <v>15</v>
      </c>
      <c r="J2985">
        <v>13</v>
      </c>
      <c r="K2985">
        <v>0.5</v>
      </c>
      <c r="L2985">
        <v>40862</v>
      </c>
      <c r="M2985" t="str">
        <f t="shared" si="430"/>
        <v>13</v>
      </c>
      <c r="N2985" t="s">
        <v>3323</v>
      </c>
      <c r="O2985" t="str">
        <f t="shared" ref="O2985:O3016" si="437">"60211"</f>
        <v>60211</v>
      </c>
      <c r="P2985" t="str">
        <f t="shared" si="436"/>
        <v>2100L</v>
      </c>
      <c r="Q2985" t="str">
        <f t="shared" si="431"/>
        <v>0101</v>
      </c>
      <c r="R2985">
        <v>2100</v>
      </c>
      <c r="S2985" t="str">
        <f t="shared" ref="S2985:S3016" si="438">"6020"</f>
        <v>6020</v>
      </c>
      <c r="T2985" t="s">
        <v>3472</v>
      </c>
      <c r="U2985" t="s">
        <v>2542</v>
      </c>
    </row>
    <row r="2986" spans="1:21" ht="15" customHeight="1" x14ac:dyDescent="0.3">
      <c r="A2986" t="s">
        <v>179</v>
      </c>
      <c r="B2986" t="str">
        <f>"00052134"</f>
        <v>00052134</v>
      </c>
      <c r="C2986" t="s">
        <v>4262</v>
      </c>
      <c r="D2986" t="s">
        <v>2543</v>
      </c>
      <c r="E2986" t="str">
        <f>"00047396"</f>
        <v>00047396</v>
      </c>
      <c r="F2986">
        <v>0</v>
      </c>
      <c r="G2986" s="243">
        <v>32387</v>
      </c>
      <c r="H2986" t="s">
        <v>182</v>
      </c>
      <c r="I2986">
        <v>15</v>
      </c>
      <c r="J2986">
        <v>16</v>
      </c>
      <c r="K2986">
        <v>1</v>
      </c>
      <c r="L2986">
        <v>100839</v>
      </c>
      <c r="M2986" t="str">
        <f t="shared" si="430"/>
        <v>13</v>
      </c>
      <c r="N2986" t="s">
        <v>3323</v>
      </c>
      <c r="O2986" t="str">
        <f t="shared" si="437"/>
        <v>60211</v>
      </c>
      <c r="P2986" t="str">
        <f t="shared" si="436"/>
        <v>2100L</v>
      </c>
      <c r="Q2986" t="str">
        <f t="shared" si="431"/>
        <v>0101</v>
      </c>
      <c r="R2986">
        <v>2100</v>
      </c>
      <c r="S2986" t="str">
        <f t="shared" si="438"/>
        <v>6020</v>
      </c>
      <c r="T2986" t="s">
        <v>3472</v>
      </c>
      <c r="U2986" t="s">
        <v>2542</v>
      </c>
    </row>
    <row r="2987" spans="1:21" ht="15" customHeight="1" x14ac:dyDescent="0.3">
      <c r="A2987" t="s">
        <v>179</v>
      </c>
      <c r="B2987" t="str">
        <f>"00052173"</f>
        <v>00052173</v>
      </c>
      <c r="C2987" t="s">
        <v>4272</v>
      </c>
      <c r="D2987" t="s">
        <v>5206</v>
      </c>
      <c r="E2987" t="str">
        <f>"00069787"</f>
        <v>00069787</v>
      </c>
      <c r="F2987">
        <v>0</v>
      </c>
      <c r="G2987" s="243">
        <v>41133</v>
      </c>
      <c r="H2987" t="s">
        <v>182</v>
      </c>
      <c r="I2987">
        <v>15</v>
      </c>
      <c r="J2987">
        <v>1</v>
      </c>
      <c r="K2987">
        <v>1</v>
      </c>
      <c r="L2987">
        <v>51539</v>
      </c>
      <c r="M2987" t="str">
        <f t="shared" si="430"/>
        <v>13</v>
      </c>
      <c r="N2987" t="s">
        <v>3370</v>
      </c>
      <c r="O2987" t="str">
        <f t="shared" si="437"/>
        <v>60211</v>
      </c>
      <c r="P2987" t="str">
        <f t="shared" si="436"/>
        <v>2100L</v>
      </c>
      <c r="Q2987" t="str">
        <f t="shared" si="431"/>
        <v>0101</v>
      </c>
      <c r="R2987">
        <v>2100</v>
      </c>
      <c r="S2987" t="str">
        <f t="shared" si="438"/>
        <v>6020</v>
      </c>
      <c r="T2987" t="s">
        <v>3472</v>
      </c>
      <c r="U2987" t="s">
        <v>2542</v>
      </c>
    </row>
    <row r="2988" spans="1:21" ht="15" customHeight="1" x14ac:dyDescent="0.3">
      <c r="A2988" t="s">
        <v>179</v>
      </c>
      <c r="B2988" t="str">
        <f>"00052248"</f>
        <v>00052248</v>
      </c>
      <c r="C2988" t="s">
        <v>4299</v>
      </c>
      <c r="D2988" t="s">
        <v>5207</v>
      </c>
      <c r="E2988" t="str">
        <f>"00047780"</f>
        <v>00047780</v>
      </c>
      <c r="F2988">
        <v>0</v>
      </c>
      <c r="G2988" s="243">
        <v>33526</v>
      </c>
      <c r="H2988" t="s">
        <v>182</v>
      </c>
      <c r="I2988">
        <v>7</v>
      </c>
      <c r="J2988">
        <v>7</v>
      </c>
      <c r="K2988">
        <v>1</v>
      </c>
      <c r="L2988">
        <v>42620</v>
      </c>
      <c r="M2988" t="str">
        <f t="shared" si="430"/>
        <v>13</v>
      </c>
      <c r="N2988" t="s">
        <v>3323</v>
      </c>
      <c r="O2988" t="str">
        <f t="shared" si="437"/>
        <v>60211</v>
      </c>
      <c r="P2988" t="str">
        <f>"1502L"</f>
        <v>1502L</v>
      </c>
      <c r="Q2988" t="str">
        <f t="shared" si="431"/>
        <v>0101</v>
      </c>
      <c r="R2988">
        <v>1502</v>
      </c>
      <c r="S2988" t="str">
        <f t="shared" si="438"/>
        <v>6020</v>
      </c>
      <c r="T2988" t="s">
        <v>3472</v>
      </c>
      <c r="U2988" t="s">
        <v>2542</v>
      </c>
    </row>
    <row r="2989" spans="1:21" ht="15" customHeight="1" x14ac:dyDescent="0.3">
      <c r="A2989" t="s">
        <v>179</v>
      </c>
      <c r="B2989" t="str">
        <f>"00052414"</f>
        <v>00052414</v>
      </c>
      <c r="C2989" t="s">
        <v>4262</v>
      </c>
      <c r="D2989" t="s">
        <v>2546</v>
      </c>
      <c r="E2989" t="str">
        <f>"00052888"</f>
        <v>00052888</v>
      </c>
      <c r="F2989">
        <v>0</v>
      </c>
      <c r="G2989" s="243">
        <v>31907</v>
      </c>
      <c r="H2989" t="s">
        <v>182</v>
      </c>
      <c r="I2989">
        <v>15</v>
      </c>
      <c r="J2989">
        <v>16</v>
      </c>
      <c r="K2989">
        <v>1</v>
      </c>
      <c r="L2989">
        <v>106540</v>
      </c>
      <c r="M2989" t="str">
        <f t="shared" si="430"/>
        <v>13</v>
      </c>
      <c r="N2989" t="s">
        <v>3323</v>
      </c>
      <c r="O2989" t="str">
        <f t="shared" si="437"/>
        <v>60211</v>
      </c>
      <c r="P2989" t="str">
        <f>"2100L"</f>
        <v>2100L</v>
      </c>
      <c r="Q2989" t="str">
        <f t="shared" si="431"/>
        <v>0101</v>
      </c>
      <c r="R2989">
        <v>2100</v>
      </c>
      <c r="S2989" t="str">
        <f t="shared" si="438"/>
        <v>6020</v>
      </c>
      <c r="T2989" t="s">
        <v>3472</v>
      </c>
      <c r="U2989" t="s">
        <v>2542</v>
      </c>
    </row>
    <row r="2990" spans="1:21" ht="15" customHeight="1" x14ac:dyDescent="0.3">
      <c r="A2990" t="s">
        <v>179</v>
      </c>
      <c r="B2990" t="str">
        <f>"00052646"</f>
        <v>00052646</v>
      </c>
      <c r="C2990" t="s">
        <v>4274</v>
      </c>
      <c r="D2990" t="s">
        <v>5208</v>
      </c>
      <c r="E2990" t="str">
        <f>"00048773"</f>
        <v>00048773</v>
      </c>
      <c r="F2990">
        <v>0</v>
      </c>
      <c r="G2990" s="243">
        <v>32181</v>
      </c>
      <c r="H2990" t="s">
        <v>182</v>
      </c>
      <c r="I2990">
        <v>4</v>
      </c>
      <c r="J2990">
        <v>10</v>
      </c>
      <c r="K2990">
        <v>0.875</v>
      </c>
      <c r="L2990">
        <v>28721</v>
      </c>
      <c r="M2990" t="str">
        <f t="shared" si="430"/>
        <v>13</v>
      </c>
      <c r="N2990" t="s">
        <v>3323</v>
      </c>
      <c r="O2990" t="str">
        <f t="shared" si="437"/>
        <v>60211</v>
      </c>
      <c r="P2990" t="str">
        <f>"2200L"</f>
        <v>2200L</v>
      </c>
      <c r="Q2990" t="str">
        <f t="shared" si="431"/>
        <v>0101</v>
      </c>
      <c r="R2990">
        <v>2200</v>
      </c>
      <c r="S2990" t="str">
        <f t="shared" si="438"/>
        <v>6020</v>
      </c>
      <c r="T2990" t="s">
        <v>3472</v>
      </c>
      <c r="U2990" t="s">
        <v>2542</v>
      </c>
    </row>
    <row r="2991" spans="1:21" ht="15" customHeight="1" x14ac:dyDescent="0.3">
      <c r="A2991" t="s">
        <v>179</v>
      </c>
      <c r="B2991" t="str">
        <f>"00052804"</f>
        <v>00052804</v>
      </c>
      <c r="C2991" t="s">
        <v>4260</v>
      </c>
      <c r="D2991" t="s">
        <v>528</v>
      </c>
      <c r="E2991" t="str">
        <f>"00049525"</f>
        <v>00049525</v>
      </c>
      <c r="F2991">
        <v>0</v>
      </c>
      <c r="G2991" s="243">
        <v>32050</v>
      </c>
      <c r="H2991" t="s">
        <v>182</v>
      </c>
      <c r="I2991">
        <v>15</v>
      </c>
      <c r="J2991">
        <v>16</v>
      </c>
      <c r="K2991">
        <v>1</v>
      </c>
      <c r="L2991">
        <v>106540</v>
      </c>
      <c r="M2991" t="str">
        <f t="shared" si="430"/>
        <v>13</v>
      </c>
      <c r="N2991" t="s">
        <v>3323</v>
      </c>
      <c r="O2991" t="str">
        <f t="shared" si="437"/>
        <v>60211</v>
      </c>
      <c r="P2991" t="str">
        <f>"2100L"</f>
        <v>2100L</v>
      </c>
      <c r="Q2991" t="str">
        <f t="shared" si="431"/>
        <v>0101</v>
      </c>
      <c r="R2991">
        <v>2100</v>
      </c>
      <c r="S2991" t="str">
        <f t="shared" si="438"/>
        <v>6020</v>
      </c>
      <c r="T2991" t="s">
        <v>3472</v>
      </c>
      <c r="U2991" t="s">
        <v>2542</v>
      </c>
    </row>
    <row r="2992" spans="1:21" ht="15" customHeight="1" x14ac:dyDescent="0.3">
      <c r="A2992" t="s">
        <v>179</v>
      </c>
      <c r="B2992" t="str">
        <f>"00052927"</f>
        <v>00052927</v>
      </c>
      <c r="C2992" t="s">
        <v>4272</v>
      </c>
      <c r="D2992" t="s">
        <v>2544</v>
      </c>
      <c r="E2992" t="str">
        <f>"00050211"</f>
        <v>00050211</v>
      </c>
      <c r="F2992">
        <v>0</v>
      </c>
      <c r="G2992" s="243">
        <v>34578</v>
      </c>
      <c r="H2992" t="s">
        <v>182</v>
      </c>
      <c r="I2992">
        <v>15</v>
      </c>
      <c r="J2992">
        <v>14</v>
      </c>
      <c r="K2992">
        <v>1</v>
      </c>
      <c r="L2992">
        <v>98967</v>
      </c>
      <c r="M2992" t="str">
        <f t="shared" ref="M2992:M3048" si="439">"13"</f>
        <v>13</v>
      </c>
      <c r="N2992" t="s">
        <v>3323</v>
      </c>
      <c r="O2992" t="str">
        <f t="shared" si="437"/>
        <v>60211</v>
      </c>
      <c r="P2992" t="str">
        <f>"2200L"</f>
        <v>2200L</v>
      </c>
      <c r="Q2992" t="str">
        <f t="shared" si="431"/>
        <v>0101</v>
      </c>
      <c r="R2992">
        <v>2200</v>
      </c>
      <c r="S2992" t="str">
        <f t="shared" si="438"/>
        <v>6020</v>
      </c>
      <c r="T2992" t="s">
        <v>3472</v>
      </c>
      <c r="U2992" t="s">
        <v>2542</v>
      </c>
    </row>
    <row r="2993" spans="1:21" ht="15" customHeight="1" x14ac:dyDescent="0.3">
      <c r="A2993" t="s">
        <v>179</v>
      </c>
      <c r="B2993" t="str">
        <f>"00053630"</f>
        <v>00053630</v>
      </c>
      <c r="C2993" t="s">
        <v>4272</v>
      </c>
      <c r="D2993" t="s">
        <v>2545</v>
      </c>
      <c r="E2993" t="str">
        <f>"00051967"</f>
        <v>00051967</v>
      </c>
      <c r="F2993">
        <v>0</v>
      </c>
      <c r="G2993" s="243">
        <v>35391</v>
      </c>
      <c r="H2993" t="s">
        <v>182</v>
      </c>
      <c r="I2993">
        <v>15</v>
      </c>
      <c r="J2993">
        <v>14</v>
      </c>
      <c r="K2993">
        <v>1</v>
      </c>
      <c r="L2993">
        <v>102160</v>
      </c>
      <c r="M2993" t="str">
        <f t="shared" si="439"/>
        <v>13</v>
      </c>
      <c r="N2993" t="s">
        <v>3323</v>
      </c>
      <c r="O2993" t="str">
        <f t="shared" si="437"/>
        <v>60211</v>
      </c>
      <c r="P2993" t="str">
        <f>"2200L"</f>
        <v>2200L</v>
      </c>
      <c r="Q2993" t="str">
        <f t="shared" si="431"/>
        <v>0101</v>
      </c>
      <c r="R2993">
        <v>2200</v>
      </c>
      <c r="S2993" t="str">
        <f t="shared" si="438"/>
        <v>6020</v>
      </c>
      <c r="T2993" t="s">
        <v>3472</v>
      </c>
      <c r="U2993" t="s">
        <v>2542</v>
      </c>
    </row>
    <row r="2994" spans="1:21" ht="15" customHeight="1" x14ac:dyDescent="0.3">
      <c r="A2994" t="s">
        <v>179</v>
      </c>
      <c r="B2994" t="str">
        <f>"00054582"</f>
        <v>00054582</v>
      </c>
      <c r="C2994" t="s">
        <v>3798</v>
      </c>
      <c r="D2994" t="s">
        <v>3738</v>
      </c>
      <c r="E2994" t="str">
        <f>"00065441"</f>
        <v>00065441</v>
      </c>
      <c r="F2994">
        <v>0</v>
      </c>
      <c r="G2994" s="243">
        <v>40742</v>
      </c>
      <c r="H2994" t="s">
        <v>182</v>
      </c>
      <c r="I2994">
        <v>61</v>
      </c>
      <c r="J2994">
        <v>3</v>
      </c>
      <c r="K2994">
        <v>1</v>
      </c>
      <c r="L2994">
        <v>110000</v>
      </c>
      <c r="M2994" t="str">
        <f t="shared" si="439"/>
        <v>13</v>
      </c>
      <c r="N2994" t="s">
        <v>3323</v>
      </c>
      <c r="O2994" t="str">
        <f t="shared" si="437"/>
        <v>60211</v>
      </c>
      <c r="P2994" t="str">
        <f>"1501L"</f>
        <v>1501L</v>
      </c>
      <c r="Q2994" t="str">
        <f t="shared" si="431"/>
        <v>0101</v>
      </c>
      <c r="R2994">
        <v>1501</v>
      </c>
      <c r="S2994" t="str">
        <f t="shared" si="438"/>
        <v>6020</v>
      </c>
      <c r="T2994" t="s">
        <v>3472</v>
      </c>
      <c r="U2994" t="s">
        <v>2542</v>
      </c>
    </row>
    <row r="2995" spans="1:21" ht="15" customHeight="1" x14ac:dyDescent="0.3">
      <c r="A2995" t="s">
        <v>179</v>
      </c>
      <c r="B2995" t="str">
        <f>"00054585"</f>
        <v>00054585</v>
      </c>
      <c r="C2995" t="s">
        <v>4262</v>
      </c>
      <c r="D2995" t="s">
        <v>5209</v>
      </c>
      <c r="E2995" t="str">
        <f>"00069909"</f>
        <v>00069909</v>
      </c>
      <c r="F2995">
        <v>0</v>
      </c>
      <c r="G2995" s="243">
        <v>41133</v>
      </c>
      <c r="H2995" t="s">
        <v>182</v>
      </c>
      <c r="I2995">
        <v>15</v>
      </c>
      <c r="J2995">
        <v>1</v>
      </c>
      <c r="K2995">
        <v>1</v>
      </c>
      <c r="L2995">
        <v>51539</v>
      </c>
      <c r="M2995" t="str">
        <f t="shared" si="439"/>
        <v>13</v>
      </c>
      <c r="N2995" t="s">
        <v>3370</v>
      </c>
      <c r="O2995" t="str">
        <f t="shared" si="437"/>
        <v>60211</v>
      </c>
      <c r="P2995" t="str">
        <f>"2100L"</f>
        <v>2100L</v>
      </c>
      <c r="Q2995" t="str">
        <f t="shared" si="431"/>
        <v>0101</v>
      </c>
      <c r="R2995">
        <v>2100</v>
      </c>
      <c r="S2995" t="str">
        <f t="shared" si="438"/>
        <v>6020</v>
      </c>
      <c r="T2995" t="s">
        <v>3472</v>
      </c>
      <c r="U2995" t="s">
        <v>2542</v>
      </c>
    </row>
    <row r="2996" spans="1:21" ht="15" customHeight="1" x14ac:dyDescent="0.3">
      <c r="A2996" t="s">
        <v>179</v>
      </c>
      <c r="B2996" t="str">
        <f>"00054623"</f>
        <v>00054623</v>
      </c>
      <c r="C2996" t="s">
        <v>4262</v>
      </c>
      <c r="D2996" t="s">
        <v>5210</v>
      </c>
      <c r="E2996" t="str">
        <f>"00069728"</f>
        <v>00069728</v>
      </c>
      <c r="F2996">
        <v>0</v>
      </c>
      <c r="G2996" s="243">
        <v>41133</v>
      </c>
      <c r="H2996" t="s">
        <v>182</v>
      </c>
      <c r="I2996">
        <v>15</v>
      </c>
      <c r="J2996">
        <v>1</v>
      </c>
      <c r="K2996">
        <v>1</v>
      </c>
      <c r="L2996">
        <v>51539</v>
      </c>
      <c r="M2996" t="str">
        <f t="shared" si="439"/>
        <v>13</v>
      </c>
      <c r="N2996" t="s">
        <v>3370</v>
      </c>
      <c r="O2996" t="str">
        <f t="shared" si="437"/>
        <v>60211</v>
      </c>
      <c r="P2996" t="str">
        <f>"2100L"</f>
        <v>2100L</v>
      </c>
      <c r="Q2996" t="str">
        <f t="shared" si="431"/>
        <v>0101</v>
      </c>
      <c r="R2996">
        <v>2100</v>
      </c>
      <c r="S2996" t="str">
        <f t="shared" si="438"/>
        <v>6020</v>
      </c>
      <c r="T2996" t="s">
        <v>3472</v>
      </c>
      <c r="U2996" t="s">
        <v>2542</v>
      </c>
    </row>
    <row r="2997" spans="1:21" ht="15" customHeight="1" x14ac:dyDescent="0.3">
      <c r="A2997" t="s">
        <v>179</v>
      </c>
      <c r="B2997" t="str">
        <f>"00055016"</f>
        <v>00055016</v>
      </c>
      <c r="C2997" t="s">
        <v>200</v>
      </c>
      <c r="D2997" t="s">
        <v>2547</v>
      </c>
      <c r="E2997" t="str">
        <f>"00047613"</f>
        <v>00047613</v>
      </c>
      <c r="F2997">
        <v>0</v>
      </c>
      <c r="G2997" s="243">
        <v>29134</v>
      </c>
      <c r="H2997" t="s">
        <v>182</v>
      </c>
      <c r="I2997">
        <v>15</v>
      </c>
      <c r="J2997">
        <v>16</v>
      </c>
      <c r="K2997">
        <v>1</v>
      </c>
      <c r="L2997">
        <v>106540</v>
      </c>
      <c r="M2997" t="str">
        <f t="shared" si="439"/>
        <v>13</v>
      </c>
      <c r="N2997" t="s">
        <v>3323</v>
      </c>
      <c r="O2997" t="str">
        <f t="shared" si="437"/>
        <v>60211</v>
      </c>
      <c r="P2997" t="str">
        <f>"3030L"</f>
        <v>3030L</v>
      </c>
      <c r="Q2997" t="str">
        <f t="shared" si="431"/>
        <v>0101</v>
      </c>
      <c r="R2997">
        <v>3030</v>
      </c>
      <c r="S2997" t="str">
        <f t="shared" si="438"/>
        <v>6020</v>
      </c>
      <c r="T2997" t="s">
        <v>3472</v>
      </c>
      <c r="U2997" t="s">
        <v>2542</v>
      </c>
    </row>
    <row r="2998" spans="1:21" ht="15" customHeight="1" x14ac:dyDescent="0.3">
      <c r="A2998" t="s">
        <v>179</v>
      </c>
      <c r="B2998" t="str">
        <f>"00057116"</f>
        <v>00057116</v>
      </c>
      <c r="C2998" t="s">
        <v>4272</v>
      </c>
      <c r="D2998" t="s">
        <v>2548</v>
      </c>
      <c r="E2998" t="str">
        <f>"00053503"</f>
        <v>00053503</v>
      </c>
      <c r="F2998">
        <v>0</v>
      </c>
      <c r="G2998" s="243">
        <v>36481</v>
      </c>
      <c r="H2998" t="s">
        <v>182</v>
      </c>
      <c r="I2998">
        <v>15</v>
      </c>
      <c r="J2998">
        <v>16</v>
      </c>
      <c r="K2998">
        <v>1</v>
      </c>
      <c r="L2998">
        <v>103347</v>
      </c>
      <c r="M2998" t="str">
        <f t="shared" si="439"/>
        <v>13</v>
      </c>
      <c r="N2998" t="s">
        <v>3323</v>
      </c>
      <c r="O2998" t="str">
        <f t="shared" si="437"/>
        <v>60211</v>
      </c>
      <c r="P2998" t="str">
        <f>"2100L"</f>
        <v>2100L</v>
      </c>
      <c r="Q2998" t="str">
        <f t="shared" si="431"/>
        <v>0101</v>
      </c>
      <c r="R2998">
        <v>2100</v>
      </c>
      <c r="S2998" t="str">
        <f t="shared" si="438"/>
        <v>6020</v>
      </c>
      <c r="T2998" t="s">
        <v>3472</v>
      </c>
      <c r="U2998" t="s">
        <v>2542</v>
      </c>
    </row>
    <row r="2999" spans="1:21" ht="15" customHeight="1" x14ac:dyDescent="0.3">
      <c r="A2999" t="s">
        <v>179</v>
      </c>
      <c r="B2999" t="str">
        <f>"00057512"</f>
        <v>00057512</v>
      </c>
      <c r="C2999" t="s">
        <v>4290</v>
      </c>
      <c r="H2999" t="s">
        <v>170</v>
      </c>
      <c r="I2999">
        <v>4</v>
      </c>
      <c r="J2999">
        <v>1</v>
      </c>
      <c r="K2999">
        <v>1</v>
      </c>
      <c r="L2999">
        <v>25662</v>
      </c>
      <c r="M2999" t="str">
        <f t="shared" si="439"/>
        <v>13</v>
      </c>
      <c r="N2999" t="s">
        <v>3323</v>
      </c>
      <c r="O2999" t="str">
        <f t="shared" si="437"/>
        <v>60211</v>
      </c>
      <c r="P2999" t="str">
        <f>"3030L"</f>
        <v>3030L</v>
      </c>
      <c r="Q2999" t="str">
        <f t="shared" ref="Q2999:Q3056" si="440">"0101"</f>
        <v>0101</v>
      </c>
      <c r="R2999">
        <v>3030</v>
      </c>
      <c r="S2999" t="str">
        <f t="shared" si="438"/>
        <v>6020</v>
      </c>
      <c r="T2999" t="s">
        <v>3472</v>
      </c>
      <c r="U2999" t="s">
        <v>2542</v>
      </c>
    </row>
    <row r="3000" spans="1:21" ht="15" customHeight="1" x14ac:dyDescent="0.3">
      <c r="A3000" t="s">
        <v>179</v>
      </c>
      <c r="B3000" t="str">
        <f>"00057946"</f>
        <v>00057946</v>
      </c>
      <c r="C3000" t="s">
        <v>4260</v>
      </c>
      <c r="D3000" t="s">
        <v>2549</v>
      </c>
      <c r="E3000" t="str">
        <f>"00044505"</f>
        <v>00044505</v>
      </c>
      <c r="F3000">
        <v>0</v>
      </c>
      <c r="G3000" s="243">
        <v>37124</v>
      </c>
      <c r="H3000" t="s">
        <v>182</v>
      </c>
      <c r="I3000">
        <v>15</v>
      </c>
      <c r="J3000">
        <v>12</v>
      </c>
      <c r="K3000">
        <v>1</v>
      </c>
      <c r="L3000">
        <v>87431</v>
      </c>
      <c r="M3000" t="str">
        <f t="shared" si="439"/>
        <v>13</v>
      </c>
      <c r="N3000" t="s">
        <v>3323</v>
      </c>
      <c r="O3000" t="str">
        <f t="shared" si="437"/>
        <v>60211</v>
      </c>
      <c r="P3000" t="str">
        <f>"3030L"</f>
        <v>3030L</v>
      </c>
      <c r="Q3000" t="str">
        <f t="shared" si="440"/>
        <v>0101</v>
      </c>
      <c r="R3000">
        <v>3030</v>
      </c>
      <c r="S3000" t="str">
        <f t="shared" si="438"/>
        <v>6020</v>
      </c>
      <c r="T3000" t="s">
        <v>3472</v>
      </c>
      <c r="U3000" t="s">
        <v>2542</v>
      </c>
    </row>
    <row r="3001" spans="1:21" ht="15" customHeight="1" x14ac:dyDescent="0.3">
      <c r="A3001" t="s">
        <v>179</v>
      </c>
      <c r="B3001" t="str">
        <f>"00058451"</f>
        <v>00058451</v>
      </c>
      <c r="C3001" t="s">
        <v>4857</v>
      </c>
      <c r="H3001" t="s">
        <v>170</v>
      </c>
      <c r="I3001">
        <v>9</v>
      </c>
      <c r="J3001">
        <v>1</v>
      </c>
      <c r="K3001">
        <v>1</v>
      </c>
      <c r="L3001">
        <v>56461</v>
      </c>
      <c r="M3001" t="str">
        <f t="shared" si="439"/>
        <v>13</v>
      </c>
      <c r="N3001" t="s">
        <v>3323</v>
      </c>
      <c r="O3001" t="str">
        <f t="shared" si="437"/>
        <v>60211</v>
      </c>
      <c r="P3001" t="str">
        <f>"2100L"</f>
        <v>2100L</v>
      </c>
      <c r="Q3001" t="str">
        <f t="shared" si="440"/>
        <v>0101</v>
      </c>
      <c r="R3001">
        <v>2100</v>
      </c>
      <c r="S3001" t="str">
        <f t="shared" si="438"/>
        <v>6020</v>
      </c>
      <c r="T3001" t="s">
        <v>3472</v>
      </c>
      <c r="U3001" t="s">
        <v>2542</v>
      </c>
    </row>
    <row r="3002" spans="1:21" ht="15" customHeight="1" x14ac:dyDescent="0.3">
      <c r="A3002" t="s">
        <v>179</v>
      </c>
      <c r="B3002" t="str">
        <f>"00059280"</f>
        <v>00059280</v>
      </c>
      <c r="C3002" t="s">
        <v>4274</v>
      </c>
      <c r="D3002" t="s">
        <v>5211</v>
      </c>
      <c r="E3002" t="str">
        <f>"00051151"</f>
        <v>00051151</v>
      </c>
      <c r="F3002">
        <v>0</v>
      </c>
      <c r="G3002" s="243">
        <v>37860</v>
      </c>
      <c r="H3002" t="s">
        <v>182</v>
      </c>
      <c r="I3002">
        <v>4</v>
      </c>
      <c r="J3002">
        <v>7</v>
      </c>
      <c r="K3002">
        <v>1</v>
      </c>
      <c r="L3002">
        <v>30438</v>
      </c>
      <c r="M3002" t="str">
        <f t="shared" si="439"/>
        <v>13</v>
      </c>
      <c r="N3002" t="s">
        <v>3323</v>
      </c>
      <c r="O3002" t="str">
        <f t="shared" si="437"/>
        <v>60211</v>
      </c>
      <c r="P3002" t="str">
        <f>"3030L"</f>
        <v>3030L</v>
      </c>
      <c r="Q3002" t="str">
        <f t="shared" si="440"/>
        <v>0101</v>
      </c>
      <c r="R3002">
        <v>3030</v>
      </c>
      <c r="S3002" t="str">
        <f t="shared" si="438"/>
        <v>6020</v>
      </c>
      <c r="T3002" t="s">
        <v>3472</v>
      </c>
      <c r="U3002" t="s">
        <v>2542</v>
      </c>
    </row>
    <row r="3003" spans="1:21" ht="15" customHeight="1" x14ac:dyDescent="0.3">
      <c r="A3003" t="s">
        <v>179</v>
      </c>
      <c r="B3003" t="str">
        <f>"00060252"</f>
        <v>00060252</v>
      </c>
      <c r="C3003" t="s">
        <v>4262</v>
      </c>
      <c r="H3003" t="s">
        <v>170</v>
      </c>
      <c r="I3003">
        <v>15</v>
      </c>
      <c r="J3003">
        <v>1</v>
      </c>
      <c r="K3003">
        <v>1</v>
      </c>
      <c r="L3003">
        <v>54975</v>
      </c>
      <c r="M3003" t="str">
        <f t="shared" si="439"/>
        <v>13</v>
      </c>
      <c r="N3003" t="s">
        <v>3323</v>
      </c>
      <c r="O3003" t="str">
        <f t="shared" si="437"/>
        <v>60211</v>
      </c>
      <c r="P3003" t="str">
        <f>"2100L"</f>
        <v>2100L</v>
      </c>
      <c r="Q3003" t="str">
        <f t="shared" si="440"/>
        <v>0101</v>
      </c>
      <c r="R3003">
        <v>2100</v>
      </c>
      <c r="S3003" t="str">
        <f t="shared" si="438"/>
        <v>6020</v>
      </c>
      <c r="T3003" t="s">
        <v>3472</v>
      </c>
      <c r="U3003" t="s">
        <v>2542</v>
      </c>
    </row>
    <row r="3004" spans="1:21" ht="15" customHeight="1" x14ac:dyDescent="0.3">
      <c r="A3004" t="s">
        <v>179</v>
      </c>
      <c r="B3004" t="str">
        <f>"00061077"</f>
        <v>00061077</v>
      </c>
      <c r="C3004" t="s">
        <v>4274</v>
      </c>
      <c r="H3004" t="s">
        <v>170</v>
      </c>
      <c r="I3004">
        <v>4</v>
      </c>
      <c r="J3004">
        <v>1</v>
      </c>
      <c r="K3004">
        <v>0.875</v>
      </c>
      <c r="L3004">
        <v>25662</v>
      </c>
      <c r="M3004" t="str">
        <f t="shared" si="439"/>
        <v>13</v>
      </c>
      <c r="N3004" t="s">
        <v>3370</v>
      </c>
      <c r="O3004" t="str">
        <f t="shared" si="437"/>
        <v>60211</v>
      </c>
      <c r="P3004" t="str">
        <f>"3030L"</f>
        <v>3030L</v>
      </c>
      <c r="Q3004" t="str">
        <f t="shared" si="440"/>
        <v>0101</v>
      </c>
      <c r="R3004">
        <v>3030</v>
      </c>
      <c r="S3004" t="str">
        <f t="shared" si="438"/>
        <v>6020</v>
      </c>
      <c r="T3004" t="s">
        <v>3472</v>
      </c>
      <c r="U3004" t="s">
        <v>2542</v>
      </c>
    </row>
    <row r="3005" spans="1:21" ht="15" customHeight="1" x14ac:dyDescent="0.3">
      <c r="A3005" t="s">
        <v>179</v>
      </c>
      <c r="B3005" t="str">
        <f>"00061197"</f>
        <v>00061197</v>
      </c>
      <c r="C3005" t="s">
        <v>4262</v>
      </c>
      <c r="D3005" t="s">
        <v>3741</v>
      </c>
      <c r="E3005" t="str">
        <f>"00066347"</f>
        <v>00066347</v>
      </c>
      <c r="F3005">
        <v>0</v>
      </c>
      <c r="G3005" s="243">
        <v>40755</v>
      </c>
      <c r="H3005" t="s">
        <v>182</v>
      </c>
      <c r="I3005">
        <v>15</v>
      </c>
      <c r="J3005">
        <v>4</v>
      </c>
      <c r="K3005">
        <v>1</v>
      </c>
      <c r="L3005">
        <v>54725</v>
      </c>
      <c r="M3005" t="str">
        <f t="shared" si="439"/>
        <v>13</v>
      </c>
      <c r="N3005" t="s">
        <v>3323</v>
      </c>
      <c r="O3005" t="str">
        <f t="shared" si="437"/>
        <v>60211</v>
      </c>
      <c r="P3005" t="str">
        <f>"2100L"</f>
        <v>2100L</v>
      </c>
      <c r="Q3005" t="str">
        <f t="shared" si="440"/>
        <v>0101</v>
      </c>
      <c r="R3005">
        <v>2100</v>
      </c>
      <c r="S3005" t="str">
        <f t="shared" si="438"/>
        <v>6020</v>
      </c>
      <c r="T3005" t="s">
        <v>3472</v>
      </c>
      <c r="U3005" t="s">
        <v>2542</v>
      </c>
    </row>
    <row r="3006" spans="1:21" ht="15" customHeight="1" x14ac:dyDescent="0.3">
      <c r="A3006" t="s">
        <v>179</v>
      </c>
      <c r="B3006" t="str">
        <f>"00061544"</f>
        <v>00061544</v>
      </c>
      <c r="C3006" t="s">
        <v>4264</v>
      </c>
      <c r="D3006" t="s">
        <v>5212</v>
      </c>
      <c r="E3006" t="str">
        <f>"00033153"</f>
        <v>00033153</v>
      </c>
      <c r="F3006">
        <v>0</v>
      </c>
      <c r="G3006" s="243">
        <v>38965</v>
      </c>
      <c r="H3006" t="s">
        <v>182</v>
      </c>
      <c r="I3006">
        <v>15</v>
      </c>
      <c r="J3006">
        <v>7</v>
      </c>
      <c r="K3006">
        <v>1</v>
      </c>
      <c r="L3006">
        <v>69132</v>
      </c>
      <c r="M3006" t="str">
        <f t="shared" si="439"/>
        <v>13</v>
      </c>
      <c r="N3006" t="s">
        <v>3323</v>
      </c>
      <c r="O3006" t="str">
        <f t="shared" si="437"/>
        <v>60211</v>
      </c>
      <c r="P3006" t="str">
        <f>"3030L"</f>
        <v>3030L</v>
      </c>
      <c r="Q3006" t="str">
        <f t="shared" si="440"/>
        <v>0101</v>
      </c>
      <c r="R3006">
        <v>3030</v>
      </c>
      <c r="S3006" t="str">
        <f t="shared" si="438"/>
        <v>6020</v>
      </c>
      <c r="T3006" t="s">
        <v>3472</v>
      </c>
      <c r="U3006" t="s">
        <v>2542</v>
      </c>
    </row>
    <row r="3007" spans="1:21" ht="15" customHeight="1" x14ac:dyDescent="0.3">
      <c r="A3007" t="s">
        <v>179</v>
      </c>
      <c r="B3007" t="str">
        <f>"00066523"</f>
        <v>00066523</v>
      </c>
      <c r="C3007" t="s">
        <v>4262</v>
      </c>
      <c r="H3007" t="s">
        <v>170</v>
      </c>
      <c r="I3007">
        <v>15</v>
      </c>
      <c r="J3007">
        <v>1</v>
      </c>
      <c r="K3007">
        <v>1</v>
      </c>
      <c r="L3007">
        <v>53256</v>
      </c>
      <c r="M3007" t="str">
        <f t="shared" si="439"/>
        <v>13</v>
      </c>
      <c r="N3007" t="s">
        <v>3370</v>
      </c>
      <c r="O3007" t="str">
        <f t="shared" si="437"/>
        <v>60211</v>
      </c>
      <c r="P3007" t="str">
        <f>"2100L"</f>
        <v>2100L</v>
      </c>
      <c r="Q3007" t="str">
        <f t="shared" si="440"/>
        <v>0101</v>
      </c>
      <c r="R3007">
        <v>2100</v>
      </c>
      <c r="S3007" t="str">
        <f t="shared" si="438"/>
        <v>6020</v>
      </c>
      <c r="T3007" t="s">
        <v>3472</v>
      </c>
      <c r="U3007" t="s">
        <v>2542</v>
      </c>
    </row>
    <row r="3008" spans="1:21" ht="15" customHeight="1" x14ac:dyDescent="0.3">
      <c r="A3008" t="s">
        <v>179</v>
      </c>
      <c r="B3008" t="str">
        <f>"00068318"</f>
        <v>00068318</v>
      </c>
      <c r="C3008" t="s">
        <v>4262</v>
      </c>
      <c r="H3008" t="s">
        <v>170</v>
      </c>
      <c r="I3008">
        <v>15</v>
      </c>
      <c r="J3008">
        <v>1</v>
      </c>
      <c r="K3008">
        <v>1</v>
      </c>
      <c r="L3008">
        <v>60128</v>
      </c>
      <c r="M3008" t="str">
        <f t="shared" si="439"/>
        <v>13</v>
      </c>
      <c r="N3008" t="s">
        <v>3370</v>
      </c>
      <c r="O3008" t="str">
        <f t="shared" si="437"/>
        <v>60211</v>
      </c>
      <c r="P3008" t="str">
        <f>"2100L"</f>
        <v>2100L</v>
      </c>
      <c r="Q3008" t="str">
        <f t="shared" si="440"/>
        <v>0101</v>
      </c>
      <c r="R3008">
        <v>2100</v>
      </c>
      <c r="S3008" t="str">
        <f t="shared" si="438"/>
        <v>6020</v>
      </c>
      <c r="T3008" t="s">
        <v>3472</v>
      </c>
      <c r="U3008" t="s">
        <v>2542</v>
      </c>
    </row>
    <row r="3009" spans="1:21" ht="15" customHeight="1" x14ac:dyDescent="0.3">
      <c r="A3009" t="s">
        <v>179</v>
      </c>
      <c r="B3009" t="str">
        <f>"00070701"</f>
        <v>00070701</v>
      </c>
      <c r="C3009" t="s">
        <v>4274</v>
      </c>
      <c r="H3009" t="s">
        <v>170</v>
      </c>
      <c r="I3009">
        <v>4</v>
      </c>
      <c r="J3009">
        <v>1</v>
      </c>
      <c r="K3009">
        <v>1</v>
      </c>
      <c r="L3009">
        <v>25662</v>
      </c>
      <c r="M3009" t="str">
        <f t="shared" si="439"/>
        <v>13</v>
      </c>
      <c r="N3009" t="s">
        <v>3370</v>
      </c>
      <c r="O3009" t="str">
        <f t="shared" si="437"/>
        <v>60211</v>
      </c>
      <c r="P3009" t="str">
        <f>"3030L"</f>
        <v>3030L</v>
      </c>
      <c r="Q3009" t="str">
        <f t="shared" si="440"/>
        <v>0101</v>
      </c>
      <c r="R3009">
        <v>3030</v>
      </c>
      <c r="S3009" t="str">
        <f t="shared" si="438"/>
        <v>6020</v>
      </c>
      <c r="T3009" t="s">
        <v>3472</v>
      </c>
      <c r="U3009" t="s">
        <v>2542</v>
      </c>
    </row>
    <row r="3010" spans="1:21" ht="15" customHeight="1" x14ac:dyDescent="0.3">
      <c r="A3010" t="s">
        <v>179</v>
      </c>
      <c r="B3010" t="str">
        <f>"00072107"</f>
        <v>00072107</v>
      </c>
      <c r="C3010" t="s">
        <v>4288</v>
      </c>
      <c r="D3010" t="s">
        <v>5213</v>
      </c>
      <c r="E3010" t="str">
        <f>"00051703"</f>
        <v>00051703</v>
      </c>
      <c r="F3010">
        <v>0</v>
      </c>
      <c r="G3010" s="243">
        <v>35401</v>
      </c>
      <c r="H3010" t="s">
        <v>182</v>
      </c>
      <c r="I3010">
        <v>4</v>
      </c>
      <c r="J3010">
        <v>10</v>
      </c>
      <c r="K3010">
        <v>1</v>
      </c>
      <c r="L3010">
        <v>28721</v>
      </c>
      <c r="M3010" t="str">
        <f t="shared" si="439"/>
        <v>13</v>
      </c>
      <c r="N3010" t="s">
        <v>3323</v>
      </c>
      <c r="O3010" t="str">
        <f t="shared" si="437"/>
        <v>60211</v>
      </c>
      <c r="P3010" t="str">
        <f>"2200L"</f>
        <v>2200L</v>
      </c>
      <c r="Q3010" t="str">
        <f t="shared" si="440"/>
        <v>0101</v>
      </c>
      <c r="R3010">
        <v>2200</v>
      </c>
      <c r="S3010" t="str">
        <f t="shared" si="438"/>
        <v>6020</v>
      </c>
      <c r="T3010" t="s">
        <v>3472</v>
      </c>
      <c r="U3010" t="s">
        <v>2542</v>
      </c>
    </row>
    <row r="3011" spans="1:21" ht="15" customHeight="1" x14ac:dyDescent="0.3">
      <c r="A3011" t="s">
        <v>179</v>
      </c>
      <c r="B3011" t="str">
        <f>"00072808"</f>
        <v>00072808</v>
      </c>
      <c r="C3011" t="s">
        <v>4291</v>
      </c>
      <c r="D3011" t="s">
        <v>949</v>
      </c>
      <c r="E3011" t="str">
        <f>"00045546"</f>
        <v>00045546</v>
      </c>
      <c r="F3011">
        <v>0</v>
      </c>
      <c r="G3011" s="243">
        <v>41205</v>
      </c>
      <c r="H3011" t="s">
        <v>182</v>
      </c>
      <c r="I3011">
        <v>15</v>
      </c>
      <c r="J3011">
        <v>12</v>
      </c>
      <c r="K3011">
        <v>0.5</v>
      </c>
      <c r="L3011">
        <v>89887</v>
      </c>
      <c r="M3011" t="str">
        <f t="shared" si="439"/>
        <v>13</v>
      </c>
      <c r="N3011" t="s">
        <v>3323</v>
      </c>
      <c r="O3011" t="str">
        <f t="shared" si="437"/>
        <v>60211</v>
      </c>
      <c r="P3011" t="str">
        <f>"2100L"</f>
        <v>2100L</v>
      </c>
      <c r="Q3011" t="str">
        <f t="shared" si="440"/>
        <v>0101</v>
      </c>
      <c r="R3011">
        <v>2100</v>
      </c>
      <c r="S3011" t="str">
        <f t="shared" si="438"/>
        <v>6020</v>
      </c>
      <c r="T3011" t="s">
        <v>3472</v>
      </c>
      <c r="U3011" t="s">
        <v>2542</v>
      </c>
    </row>
    <row r="3012" spans="1:21" ht="15" customHeight="1" x14ac:dyDescent="0.3">
      <c r="A3012" t="s">
        <v>179</v>
      </c>
      <c r="B3012" t="str">
        <f>"00073954"</f>
        <v>00073954</v>
      </c>
      <c r="C3012" t="s">
        <v>4372</v>
      </c>
      <c r="H3012" t="s">
        <v>170</v>
      </c>
      <c r="I3012">
        <v>4</v>
      </c>
      <c r="J3012">
        <v>1</v>
      </c>
      <c r="K3012">
        <v>1</v>
      </c>
      <c r="L3012">
        <v>25662</v>
      </c>
      <c r="M3012" t="str">
        <f t="shared" si="439"/>
        <v>13</v>
      </c>
      <c r="N3012" t="s">
        <v>3323</v>
      </c>
      <c r="O3012" t="str">
        <f t="shared" si="437"/>
        <v>60211</v>
      </c>
      <c r="P3012" t="str">
        <f>"2100L"</f>
        <v>2100L</v>
      </c>
      <c r="Q3012" t="str">
        <f t="shared" si="440"/>
        <v>0101</v>
      </c>
      <c r="R3012">
        <v>2100</v>
      </c>
      <c r="S3012" t="str">
        <f t="shared" si="438"/>
        <v>6020</v>
      </c>
      <c r="T3012" t="s">
        <v>3472</v>
      </c>
      <c r="U3012" t="s">
        <v>2542</v>
      </c>
    </row>
    <row r="3013" spans="1:21" ht="15" customHeight="1" x14ac:dyDescent="0.3">
      <c r="A3013" t="s">
        <v>179</v>
      </c>
      <c r="B3013" t="str">
        <f>"00073956"</f>
        <v>00073956</v>
      </c>
      <c r="C3013" t="s">
        <v>4499</v>
      </c>
      <c r="D3013" t="s">
        <v>2550</v>
      </c>
      <c r="E3013" t="str">
        <f>"00048672"</f>
        <v>00048672</v>
      </c>
      <c r="F3013">
        <v>0</v>
      </c>
      <c r="G3013" s="243">
        <v>37493</v>
      </c>
      <c r="H3013" t="s">
        <v>182</v>
      </c>
      <c r="I3013">
        <v>10</v>
      </c>
      <c r="J3013">
        <v>5</v>
      </c>
      <c r="K3013">
        <v>0.5</v>
      </c>
      <c r="L3013">
        <v>72387</v>
      </c>
      <c r="M3013" t="str">
        <f t="shared" si="439"/>
        <v>13</v>
      </c>
      <c r="N3013" t="s">
        <v>3323</v>
      </c>
      <c r="O3013" t="str">
        <f t="shared" si="437"/>
        <v>60211</v>
      </c>
      <c r="P3013" t="str">
        <f>"3030L"</f>
        <v>3030L</v>
      </c>
      <c r="Q3013" t="str">
        <f t="shared" si="440"/>
        <v>0101</v>
      </c>
      <c r="R3013">
        <v>3030</v>
      </c>
      <c r="S3013" t="str">
        <f t="shared" si="438"/>
        <v>6020</v>
      </c>
      <c r="T3013" t="s">
        <v>3472</v>
      </c>
      <c r="U3013" t="s">
        <v>2542</v>
      </c>
    </row>
    <row r="3014" spans="1:21" ht="15" customHeight="1" x14ac:dyDescent="0.3">
      <c r="A3014" t="s">
        <v>179</v>
      </c>
      <c r="B3014" t="str">
        <f>"00074511"</f>
        <v>00074511</v>
      </c>
      <c r="C3014" t="s">
        <v>4258</v>
      </c>
      <c r="D3014" t="s">
        <v>3739</v>
      </c>
      <c r="E3014" t="str">
        <f>"00065966"</f>
        <v>00065966</v>
      </c>
      <c r="F3014">
        <v>0</v>
      </c>
      <c r="G3014" s="243">
        <v>40755</v>
      </c>
      <c r="H3014" t="s">
        <v>182</v>
      </c>
      <c r="I3014">
        <v>15</v>
      </c>
      <c r="J3014">
        <v>2</v>
      </c>
      <c r="K3014">
        <v>0.5</v>
      </c>
      <c r="L3014">
        <v>51716</v>
      </c>
      <c r="M3014" t="str">
        <f t="shared" si="439"/>
        <v>13</v>
      </c>
      <c r="N3014" t="s">
        <v>3323</v>
      </c>
      <c r="O3014" t="str">
        <f t="shared" si="437"/>
        <v>60211</v>
      </c>
      <c r="P3014" t="str">
        <f>"2100L"</f>
        <v>2100L</v>
      </c>
      <c r="Q3014" t="str">
        <f t="shared" si="440"/>
        <v>0101</v>
      </c>
      <c r="R3014">
        <v>2100</v>
      </c>
      <c r="S3014" t="str">
        <f t="shared" si="438"/>
        <v>6020</v>
      </c>
      <c r="T3014" t="s">
        <v>3740</v>
      </c>
      <c r="U3014" t="s">
        <v>1588</v>
      </c>
    </row>
    <row r="3015" spans="1:21" ht="15" customHeight="1" x14ac:dyDescent="0.3">
      <c r="A3015" t="s">
        <v>179</v>
      </c>
      <c r="B3015" t="str">
        <f>"00076181"</f>
        <v>00076181</v>
      </c>
      <c r="C3015" t="s">
        <v>4256</v>
      </c>
      <c r="D3015" t="s">
        <v>2517</v>
      </c>
      <c r="E3015" t="str">
        <f>"00062688"</f>
        <v>00062688</v>
      </c>
      <c r="F3015">
        <v>0</v>
      </c>
      <c r="G3015" s="243">
        <v>40406</v>
      </c>
      <c r="H3015" t="s">
        <v>182</v>
      </c>
      <c r="I3015">
        <v>15</v>
      </c>
      <c r="J3015">
        <v>5</v>
      </c>
      <c r="K3015">
        <v>1</v>
      </c>
      <c r="L3015">
        <v>63611</v>
      </c>
      <c r="M3015" t="str">
        <f t="shared" si="439"/>
        <v>13</v>
      </c>
      <c r="N3015" t="s">
        <v>3370</v>
      </c>
      <c r="O3015" t="str">
        <f t="shared" si="437"/>
        <v>60211</v>
      </c>
      <c r="P3015" t="str">
        <f>"2100L"</f>
        <v>2100L</v>
      </c>
      <c r="Q3015" t="str">
        <f t="shared" si="440"/>
        <v>0101</v>
      </c>
      <c r="R3015">
        <v>2100</v>
      </c>
      <c r="S3015" t="str">
        <f t="shared" si="438"/>
        <v>6020</v>
      </c>
      <c r="T3015" t="s">
        <v>3472</v>
      </c>
      <c r="U3015" t="s">
        <v>2542</v>
      </c>
    </row>
    <row r="3016" spans="1:21" ht="15" customHeight="1" x14ac:dyDescent="0.3">
      <c r="A3016" t="s">
        <v>179</v>
      </c>
      <c r="B3016" t="str">
        <f>"00076182"</f>
        <v>00076182</v>
      </c>
      <c r="C3016" t="s">
        <v>4271</v>
      </c>
      <c r="D3016" t="s">
        <v>5214</v>
      </c>
      <c r="E3016" t="str">
        <f>"00053031"</f>
        <v>00053031</v>
      </c>
      <c r="F3016">
        <v>0</v>
      </c>
      <c r="G3016" s="243">
        <v>32177</v>
      </c>
      <c r="H3016" t="s">
        <v>182</v>
      </c>
      <c r="I3016">
        <v>15</v>
      </c>
      <c r="J3016">
        <v>16</v>
      </c>
      <c r="K3016">
        <v>1</v>
      </c>
      <c r="L3016">
        <v>100839</v>
      </c>
      <c r="M3016" t="str">
        <f t="shared" si="439"/>
        <v>13</v>
      </c>
      <c r="N3016" t="s">
        <v>3370</v>
      </c>
      <c r="O3016" t="str">
        <f t="shared" si="437"/>
        <v>60211</v>
      </c>
      <c r="P3016" t="str">
        <f>"2100L"</f>
        <v>2100L</v>
      </c>
      <c r="Q3016" t="str">
        <f t="shared" si="440"/>
        <v>0101</v>
      </c>
      <c r="R3016">
        <v>2100</v>
      </c>
      <c r="S3016" t="str">
        <f t="shared" si="438"/>
        <v>6020</v>
      </c>
      <c r="T3016" t="s">
        <v>3472</v>
      </c>
      <c r="U3016" t="s">
        <v>2542</v>
      </c>
    </row>
    <row r="3017" spans="1:21" ht="15" customHeight="1" x14ac:dyDescent="0.3">
      <c r="A3017" t="s">
        <v>179</v>
      </c>
      <c r="B3017" t="str">
        <f>"00051667"</f>
        <v>00051667</v>
      </c>
      <c r="C3017" t="s">
        <v>4272</v>
      </c>
      <c r="D3017" t="s">
        <v>2551</v>
      </c>
      <c r="E3017" t="str">
        <f>"00045394"</f>
        <v>00045394</v>
      </c>
      <c r="F3017">
        <v>0</v>
      </c>
      <c r="G3017" s="243">
        <v>35481</v>
      </c>
      <c r="H3017" t="s">
        <v>182</v>
      </c>
      <c r="I3017">
        <v>15</v>
      </c>
      <c r="J3017">
        <v>13</v>
      </c>
      <c r="K3017">
        <v>1</v>
      </c>
      <c r="L3017">
        <v>81724</v>
      </c>
      <c r="M3017" t="str">
        <f t="shared" si="439"/>
        <v>13</v>
      </c>
      <c r="N3017" t="s">
        <v>3323</v>
      </c>
      <c r="O3017" t="str">
        <f t="shared" ref="O3017:O3060" si="441">"60311"</f>
        <v>60311</v>
      </c>
      <c r="P3017" t="str">
        <f>"2100L"</f>
        <v>2100L</v>
      </c>
      <c r="Q3017" t="str">
        <f t="shared" si="440"/>
        <v>0101</v>
      </c>
      <c r="R3017">
        <v>2100</v>
      </c>
      <c r="S3017" t="str">
        <f t="shared" ref="S3017:S3060" si="442">"6030"</f>
        <v>6030</v>
      </c>
      <c r="T3017" t="s">
        <v>3325</v>
      </c>
      <c r="U3017" t="s">
        <v>70</v>
      </c>
    </row>
    <row r="3018" spans="1:21" ht="15" customHeight="1" x14ac:dyDescent="0.3">
      <c r="A3018" t="s">
        <v>179</v>
      </c>
      <c r="B3018" t="str">
        <f>"00051972"</f>
        <v>00051972</v>
      </c>
      <c r="C3018" t="s">
        <v>4290</v>
      </c>
      <c r="D3018" t="s">
        <v>5215</v>
      </c>
      <c r="E3018" t="str">
        <f>"00046743"</f>
        <v>00046743</v>
      </c>
      <c r="F3018">
        <v>0</v>
      </c>
      <c r="G3018" s="243">
        <v>35005</v>
      </c>
      <c r="H3018" t="s">
        <v>182</v>
      </c>
      <c r="I3018">
        <v>4</v>
      </c>
      <c r="J3018">
        <v>10</v>
      </c>
      <c r="K3018">
        <v>0.875</v>
      </c>
      <c r="L3018">
        <v>28721</v>
      </c>
      <c r="M3018" t="str">
        <f t="shared" si="439"/>
        <v>13</v>
      </c>
      <c r="N3018" t="s">
        <v>3323</v>
      </c>
      <c r="O3018" t="str">
        <f t="shared" si="441"/>
        <v>60311</v>
      </c>
      <c r="P3018" t="str">
        <f>"2200L"</f>
        <v>2200L</v>
      </c>
      <c r="Q3018" t="str">
        <f t="shared" si="440"/>
        <v>0101</v>
      </c>
      <c r="R3018">
        <v>2200</v>
      </c>
      <c r="S3018" t="str">
        <f t="shared" si="442"/>
        <v>6030</v>
      </c>
      <c r="T3018" t="s">
        <v>3325</v>
      </c>
      <c r="U3018" t="s">
        <v>70</v>
      </c>
    </row>
    <row r="3019" spans="1:21" ht="15" customHeight="1" x14ac:dyDescent="0.3">
      <c r="A3019" t="s">
        <v>179</v>
      </c>
      <c r="B3019" t="str">
        <f>"00052299"</f>
        <v>00052299</v>
      </c>
      <c r="C3019" t="s">
        <v>4274</v>
      </c>
      <c r="D3019" t="s">
        <v>5216</v>
      </c>
      <c r="E3019" t="str">
        <f>"00047954"</f>
        <v>00047954</v>
      </c>
      <c r="F3019">
        <v>0</v>
      </c>
      <c r="G3019" s="243">
        <v>26927</v>
      </c>
      <c r="H3019" t="s">
        <v>182</v>
      </c>
      <c r="I3019">
        <v>4</v>
      </c>
      <c r="J3019">
        <v>10</v>
      </c>
      <c r="K3019">
        <v>1</v>
      </c>
      <c r="L3019">
        <v>32824</v>
      </c>
      <c r="M3019" t="str">
        <f t="shared" si="439"/>
        <v>13</v>
      </c>
      <c r="N3019" t="s">
        <v>3323</v>
      </c>
      <c r="O3019" t="str">
        <f t="shared" si="441"/>
        <v>60311</v>
      </c>
      <c r="P3019" t="str">
        <f>"2100L"</f>
        <v>2100L</v>
      </c>
      <c r="Q3019" t="str">
        <f t="shared" si="440"/>
        <v>0101</v>
      </c>
      <c r="R3019">
        <v>2100</v>
      </c>
      <c r="S3019" t="str">
        <f t="shared" si="442"/>
        <v>6030</v>
      </c>
      <c r="T3019" t="s">
        <v>3325</v>
      </c>
      <c r="U3019" t="s">
        <v>70</v>
      </c>
    </row>
    <row r="3020" spans="1:21" ht="15" customHeight="1" x14ac:dyDescent="0.3">
      <c r="A3020" t="s">
        <v>179</v>
      </c>
      <c r="B3020" t="str">
        <f>"00052431"</f>
        <v>00052431</v>
      </c>
      <c r="C3020" t="s">
        <v>4262</v>
      </c>
      <c r="D3020" t="s">
        <v>2552</v>
      </c>
      <c r="E3020" t="str">
        <f>"00048252"</f>
        <v>00048252</v>
      </c>
      <c r="F3020">
        <v>0</v>
      </c>
      <c r="G3020" s="243">
        <v>35002</v>
      </c>
      <c r="H3020" t="s">
        <v>182</v>
      </c>
      <c r="I3020">
        <v>15</v>
      </c>
      <c r="J3020">
        <v>13</v>
      </c>
      <c r="K3020">
        <v>1</v>
      </c>
      <c r="L3020">
        <v>95366</v>
      </c>
      <c r="M3020" t="str">
        <f t="shared" si="439"/>
        <v>13</v>
      </c>
      <c r="N3020" t="s">
        <v>3323</v>
      </c>
      <c r="O3020" t="str">
        <f t="shared" si="441"/>
        <v>60311</v>
      </c>
      <c r="P3020" t="str">
        <f>"2100L"</f>
        <v>2100L</v>
      </c>
      <c r="Q3020" t="str">
        <f t="shared" si="440"/>
        <v>0101</v>
      </c>
      <c r="R3020">
        <v>2100</v>
      </c>
      <c r="S3020" t="str">
        <f t="shared" si="442"/>
        <v>6030</v>
      </c>
      <c r="T3020" t="s">
        <v>3325</v>
      </c>
      <c r="U3020" t="s">
        <v>70</v>
      </c>
    </row>
    <row r="3021" spans="1:21" ht="15" customHeight="1" x14ac:dyDescent="0.3">
      <c r="A3021" t="s">
        <v>179</v>
      </c>
      <c r="B3021" t="str">
        <f>"00052717"</f>
        <v>00052717</v>
      </c>
      <c r="C3021" t="s">
        <v>4260</v>
      </c>
      <c r="D3021" t="s">
        <v>2553</v>
      </c>
      <c r="E3021" t="str">
        <f>"00049078"</f>
        <v>00049078</v>
      </c>
      <c r="F3021">
        <v>0</v>
      </c>
      <c r="G3021" s="243">
        <v>35572</v>
      </c>
      <c r="H3021" t="s">
        <v>182</v>
      </c>
      <c r="I3021">
        <v>15</v>
      </c>
      <c r="J3021">
        <v>16</v>
      </c>
      <c r="K3021">
        <v>1</v>
      </c>
      <c r="L3021">
        <v>100839</v>
      </c>
      <c r="M3021" t="str">
        <f t="shared" si="439"/>
        <v>13</v>
      </c>
      <c r="N3021" t="s">
        <v>3323</v>
      </c>
      <c r="O3021" t="str">
        <f t="shared" si="441"/>
        <v>60311</v>
      </c>
      <c r="P3021" t="str">
        <f>"2100L"</f>
        <v>2100L</v>
      </c>
      <c r="Q3021" t="str">
        <f t="shared" si="440"/>
        <v>0101</v>
      </c>
      <c r="R3021">
        <v>2100</v>
      </c>
      <c r="S3021" t="str">
        <f t="shared" si="442"/>
        <v>6030</v>
      </c>
      <c r="T3021" t="s">
        <v>3325</v>
      </c>
      <c r="U3021" t="s">
        <v>70</v>
      </c>
    </row>
    <row r="3022" spans="1:21" ht="15" customHeight="1" x14ac:dyDescent="0.3">
      <c r="A3022" t="s">
        <v>179</v>
      </c>
      <c r="B3022" t="str">
        <f>"00052796"</f>
        <v>00052796</v>
      </c>
      <c r="C3022" t="s">
        <v>4272</v>
      </c>
      <c r="D3022" t="s">
        <v>2554</v>
      </c>
      <c r="E3022" t="str">
        <f>"00049503"</f>
        <v>00049503</v>
      </c>
      <c r="F3022">
        <v>0</v>
      </c>
      <c r="G3022" s="243">
        <v>33484</v>
      </c>
      <c r="H3022" t="s">
        <v>182</v>
      </c>
      <c r="I3022">
        <v>15</v>
      </c>
      <c r="J3022">
        <v>16</v>
      </c>
      <c r="K3022">
        <v>1</v>
      </c>
      <c r="L3022">
        <v>103347</v>
      </c>
      <c r="M3022" t="str">
        <f t="shared" si="439"/>
        <v>13</v>
      </c>
      <c r="N3022" t="s">
        <v>3323</v>
      </c>
      <c r="O3022" t="str">
        <f t="shared" si="441"/>
        <v>60311</v>
      </c>
      <c r="P3022" t="str">
        <f>"2100L"</f>
        <v>2100L</v>
      </c>
      <c r="Q3022" t="str">
        <f t="shared" si="440"/>
        <v>0101</v>
      </c>
      <c r="R3022">
        <v>2100</v>
      </c>
      <c r="S3022" t="str">
        <f t="shared" si="442"/>
        <v>6030</v>
      </c>
      <c r="T3022" t="s">
        <v>3325</v>
      </c>
      <c r="U3022" t="s">
        <v>70</v>
      </c>
    </row>
    <row r="3023" spans="1:21" ht="15" customHeight="1" x14ac:dyDescent="0.3">
      <c r="A3023" t="s">
        <v>179</v>
      </c>
      <c r="B3023" t="str">
        <f>"00052803"</f>
        <v>00052803</v>
      </c>
      <c r="C3023" t="s">
        <v>4274</v>
      </c>
      <c r="D3023" t="s">
        <v>5217</v>
      </c>
      <c r="E3023" t="str">
        <f>"00049524"</f>
        <v>00049524</v>
      </c>
      <c r="F3023">
        <v>0</v>
      </c>
      <c r="G3023" s="243">
        <v>35009</v>
      </c>
      <c r="H3023" t="s">
        <v>182</v>
      </c>
      <c r="I3023">
        <v>4</v>
      </c>
      <c r="J3023">
        <v>10</v>
      </c>
      <c r="K3023">
        <v>0.875</v>
      </c>
      <c r="L3023">
        <v>28721</v>
      </c>
      <c r="M3023" t="str">
        <f t="shared" si="439"/>
        <v>13</v>
      </c>
      <c r="N3023" t="s">
        <v>3323</v>
      </c>
      <c r="O3023" t="str">
        <f t="shared" si="441"/>
        <v>60311</v>
      </c>
      <c r="P3023" t="str">
        <f>"2200L"</f>
        <v>2200L</v>
      </c>
      <c r="Q3023" t="str">
        <f t="shared" si="440"/>
        <v>0101</v>
      </c>
      <c r="R3023">
        <v>2200</v>
      </c>
      <c r="S3023" t="str">
        <f t="shared" si="442"/>
        <v>6030</v>
      </c>
      <c r="T3023" t="s">
        <v>3325</v>
      </c>
      <c r="U3023" t="s">
        <v>70</v>
      </c>
    </row>
    <row r="3024" spans="1:21" ht="15" customHeight="1" x14ac:dyDescent="0.3">
      <c r="A3024" t="s">
        <v>179</v>
      </c>
      <c r="B3024" t="str">
        <f>"00053054"</f>
        <v>00053054</v>
      </c>
      <c r="C3024" t="s">
        <v>4272</v>
      </c>
      <c r="D3024" t="s">
        <v>3744</v>
      </c>
      <c r="E3024" t="str">
        <f>"00066205"</f>
        <v>00066205</v>
      </c>
      <c r="F3024">
        <v>0</v>
      </c>
      <c r="G3024" s="243">
        <v>40755</v>
      </c>
      <c r="H3024" t="s">
        <v>182</v>
      </c>
      <c r="I3024">
        <v>15</v>
      </c>
      <c r="J3024">
        <v>5</v>
      </c>
      <c r="K3024">
        <v>1</v>
      </c>
      <c r="L3024">
        <v>56655</v>
      </c>
      <c r="M3024" t="str">
        <f t="shared" si="439"/>
        <v>13</v>
      </c>
      <c r="N3024" t="s">
        <v>3323</v>
      </c>
      <c r="O3024" t="str">
        <f t="shared" si="441"/>
        <v>60311</v>
      </c>
      <c r="P3024" t="str">
        <f>"2100L"</f>
        <v>2100L</v>
      </c>
      <c r="Q3024" t="str">
        <f t="shared" si="440"/>
        <v>0101</v>
      </c>
      <c r="R3024">
        <v>2100</v>
      </c>
      <c r="S3024" t="str">
        <f t="shared" si="442"/>
        <v>6030</v>
      </c>
      <c r="T3024" t="s">
        <v>3325</v>
      </c>
      <c r="U3024" t="s">
        <v>70</v>
      </c>
    </row>
    <row r="3025" spans="1:21" ht="15" customHeight="1" x14ac:dyDescent="0.3">
      <c r="A3025" t="s">
        <v>179</v>
      </c>
      <c r="B3025" t="str">
        <f>"00053232"</f>
        <v>00053232</v>
      </c>
      <c r="C3025" t="s">
        <v>4272</v>
      </c>
      <c r="D3025" t="s">
        <v>3745</v>
      </c>
      <c r="E3025" t="str">
        <f>"00066470"</f>
        <v>00066470</v>
      </c>
      <c r="F3025">
        <v>0</v>
      </c>
      <c r="G3025" s="243">
        <v>40755</v>
      </c>
      <c r="H3025" t="s">
        <v>182</v>
      </c>
      <c r="I3025">
        <v>15</v>
      </c>
      <c r="J3025">
        <v>2</v>
      </c>
      <c r="K3025">
        <v>1</v>
      </c>
      <c r="L3025">
        <v>51716</v>
      </c>
      <c r="M3025" t="str">
        <f t="shared" si="439"/>
        <v>13</v>
      </c>
      <c r="N3025" t="s">
        <v>3323</v>
      </c>
      <c r="O3025" t="str">
        <f t="shared" si="441"/>
        <v>60311</v>
      </c>
      <c r="P3025" t="str">
        <f>"2100L"</f>
        <v>2100L</v>
      </c>
      <c r="Q3025" t="str">
        <f t="shared" si="440"/>
        <v>0101</v>
      </c>
      <c r="R3025">
        <v>2100</v>
      </c>
      <c r="S3025" t="str">
        <f t="shared" si="442"/>
        <v>6030</v>
      </c>
      <c r="T3025" t="s">
        <v>3325</v>
      </c>
      <c r="U3025" t="s">
        <v>70</v>
      </c>
    </row>
    <row r="3026" spans="1:21" ht="15" customHeight="1" x14ac:dyDescent="0.3">
      <c r="A3026" t="s">
        <v>179</v>
      </c>
      <c r="B3026" t="str">
        <f>"00053565"</f>
        <v>00053565</v>
      </c>
      <c r="C3026" t="s">
        <v>4272</v>
      </c>
      <c r="D3026" t="s">
        <v>2555</v>
      </c>
      <c r="E3026" t="str">
        <f>"00051780"</f>
        <v>00051780</v>
      </c>
      <c r="F3026">
        <v>0</v>
      </c>
      <c r="G3026" s="243">
        <v>31293</v>
      </c>
      <c r="H3026" t="s">
        <v>182</v>
      </c>
      <c r="I3026">
        <v>15</v>
      </c>
      <c r="J3026">
        <v>16</v>
      </c>
      <c r="K3026">
        <v>1</v>
      </c>
      <c r="L3026">
        <v>100839</v>
      </c>
      <c r="M3026" t="str">
        <f t="shared" si="439"/>
        <v>13</v>
      </c>
      <c r="N3026" t="s">
        <v>3323</v>
      </c>
      <c r="O3026" t="str">
        <f t="shared" si="441"/>
        <v>60311</v>
      </c>
      <c r="P3026" t="str">
        <f>"2200L"</f>
        <v>2200L</v>
      </c>
      <c r="Q3026" t="str">
        <f t="shared" si="440"/>
        <v>0101</v>
      </c>
      <c r="R3026">
        <v>2200</v>
      </c>
      <c r="S3026" t="str">
        <f t="shared" si="442"/>
        <v>6030</v>
      </c>
      <c r="T3026" t="s">
        <v>3325</v>
      </c>
      <c r="U3026" t="s">
        <v>70</v>
      </c>
    </row>
    <row r="3027" spans="1:21" ht="15" customHeight="1" x14ac:dyDescent="0.3">
      <c r="A3027" t="s">
        <v>179</v>
      </c>
      <c r="B3027" t="str">
        <f>"00053650"</f>
        <v>00053650</v>
      </c>
      <c r="C3027" t="s">
        <v>4274</v>
      </c>
      <c r="D3027" t="s">
        <v>5218</v>
      </c>
      <c r="E3027" t="str">
        <f>"00052052"</f>
        <v>00052052</v>
      </c>
      <c r="F3027">
        <v>0</v>
      </c>
      <c r="G3027" s="243">
        <v>35369</v>
      </c>
      <c r="H3027" t="s">
        <v>182</v>
      </c>
      <c r="I3027">
        <v>4</v>
      </c>
      <c r="J3027">
        <v>10</v>
      </c>
      <c r="K3027">
        <v>0.875</v>
      </c>
      <c r="L3027">
        <v>28721</v>
      </c>
      <c r="M3027" t="str">
        <f t="shared" si="439"/>
        <v>13</v>
      </c>
      <c r="N3027" t="s">
        <v>3323</v>
      </c>
      <c r="O3027" t="str">
        <f t="shared" si="441"/>
        <v>60311</v>
      </c>
      <c r="P3027" t="str">
        <f>"2200L"</f>
        <v>2200L</v>
      </c>
      <c r="Q3027" t="str">
        <f t="shared" si="440"/>
        <v>0101</v>
      </c>
      <c r="R3027">
        <v>2200</v>
      </c>
      <c r="S3027" t="str">
        <f t="shared" si="442"/>
        <v>6030</v>
      </c>
      <c r="T3027" t="s">
        <v>3325</v>
      </c>
      <c r="U3027" t="s">
        <v>70</v>
      </c>
    </row>
    <row r="3028" spans="1:21" ht="15" customHeight="1" x14ac:dyDescent="0.3">
      <c r="A3028" t="s">
        <v>179</v>
      </c>
      <c r="B3028" t="str">
        <f>"00054891"</f>
        <v>00054891</v>
      </c>
      <c r="C3028" t="s">
        <v>4262</v>
      </c>
      <c r="D3028" t="s">
        <v>2556</v>
      </c>
      <c r="E3028" t="str">
        <f>"00054883"</f>
        <v>00054883</v>
      </c>
      <c r="F3028">
        <v>0</v>
      </c>
      <c r="G3028" s="243">
        <v>35675</v>
      </c>
      <c r="H3028" t="s">
        <v>182</v>
      </c>
      <c r="I3028">
        <v>15</v>
      </c>
      <c r="J3028">
        <v>15</v>
      </c>
      <c r="K3028">
        <v>1</v>
      </c>
      <c r="L3028">
        <v>98285</v>
      </c>
      <c r="M3028" t="str">
        <f t="shared" si="439"/>
        <v>13</v>
      </c>
      <c r="N3028" t="s">
        <v>3323</v>
      </c>
      <c r="O3028" t="str">
        <f t="shared" si="441"/>
        <v>60311</v>
      </c>
      <c r="P3028" t="str">
        <f>"2100L"</f>
        <v>2100L</v>
      </c>
      <c r="Q3028" t="str">
        <f t="shared" si="440"/>
        <v>0101</v>
      </c>
      <c r="R3028">
        <v>2100</v>
      </c>
      <c r="S3028" t="str">
        <f t="shared" si="442"/>
        <v>6030</v>
      </c>
      <c r="T3028" t="s">
        <v>3325</v>
      </c>
      <c r="U3028" t="s">
        <v>70</v>
      </c>
    </row>
    <row r="3029" spans="1:21" ht="15" customHeight="1" x14ac:dyDescent="0.3">
      <c r="A3029" t="s">
        <v>179</v>
      </c>
      <c r="B3029" t="str">
        <f>"00055335"</f>
        <v>00055335</v>
      </c>
      <c r="C3029" t="s">
        <v>4360</v>
      </c>
      <c r="D3029" t="s">
        <v>5219</v>
      </c>
      <c r="E3029" t="str">
        <f>"00051903"</f>
        <v>00051903</v>
      </c>
      <c r="F3029">
        <v>0</v>
      </c>
      <c r="G3029" s="243">
        <v>36434</v>
      </c>
      <c r="H3029" t="s">
        <v>182</v>
      </c>
      <c r="I3029">
        <v>7</v>
      </c>
      <c r="J3029">
        <v>8</v>
      </c>
      <c r="K3029">
        <v>1</v>
      </c>
      <c r="L3029">
        <v>42621</v>
      </c>
      <c r="M3029" t="str">
        <f t="shared" si="439"/>
        <v>13</v>
      </c>
      <c r="N3029" t="s">
        <v>3323</v>
      </c>
      <c r="O3029" t="str">
        <f t="shared" si="441"/>
        <v>60311</v>
      </c>
      <c r="P3029" t="str">
        <f>"1502L"</f>
        <v>1502L</v>
      </c>
      <c r="Q3029" t="str">
        <f t="shared" si="440"/>
        <v>0101</v>
      </c>
      <c r="R3029">
        <v>1502</v>
      </c>
      <c r="S3029" t="str">
        <f t="shared" si="442"/>
        <v>6030</v>
      </c>
      <c r="T3029" t="s">
        <v>3325</v>
      </c>
      <c r="U3029" t="s">
        <v>70</v>
      </c>
    </row>
    <row r="3030" spans="1:21" ht="15" customHeight="1" x14ac:dyDescent="0.3">
      <c r="A3030" t="s">
        <v>179</v>
      </c>
      <c r="B3030" t="str">
        <f>"00057063"</f>
        <v>00057063</v>
      </c>
      <c r="C3030" t="s">
        <v>4262</v>
      </c>
      <c r="D3030" t="s">
        <v>2557</v>
      </c>
      <c r="E3030" t="str">
        <f>"00054342"</f>
        <v>00054342</v>
      </c>
      <c r="F3030">
        <v>0</v>
      </c>
      <c r="G3030" s="243">
        <v>36465</v>
      </c>
      <c r="H3030" t="s">
        <v>182</v>
      </c>
      <c r="I3030">
        <v>15</v>
      </c>
      <c r="J3030">
        <v>8</v>
      </c>
      <c r="K3030">
        <v>1</v>
      </c>
      <c r="L3030">
        <v>72171</v>
      </c>
      <c r="M3030" t="str">
        <f t="shared" si="439"/>
        <v>13</v>
      </c>
      <c r="N3030" t="s">
        <v>3323</v>
      </c>
      <c r="O3030" t="str">
        <f t="shared" si="441"/>
        <v>60311</v>
      </c>
      <c r="P3030" t="str">
        <f>"2100L"</f>
        <v>2100L</v>
      </c>
      <c r="Q3030" t="str">
        <f t="shared" si="440"/>
        <v>0101</v>
      </c>
      <c r="R3030">
        <v>2100</v>
      </c>
      <c r="S3030" t="str">
        <f t="shared" si="442"/>
        <v>6030</v>
      </c>
      <c r="T3030" t="s">
        <v>3325</v>
      </c>
      <c r="U3030" t="s">
        <v>70</v>
      </c>
    </row>
    <row r="3031" spans="1:21" ht="15" customHeight="1" x14ac:dyDescent="0.3">
      <c r="A3031" t="s">
        <v>179</v>
      </c>
      <c r="B3031" t="str">
        <f>"00057975"</f>
        <v>00057975</v>
      </c>
      <c r="C3031" t="s">
        <v>4264</v>
      </c>
      <c r="D3031" t="s">
        <v>2558</v>
      </c>
      <c r="E3031" t="str">
        <f>"00053257"</f>
        <v>00053257</v>
      </c>
      <c r="F3031">
        <v>0</v>
      </c>
      <c r="G3031" s="243">
        <v>38951</v>
      </c>
      <c r="H3031" t="s">
        <v>182</v>
      </c>
      <c r="I3031">
        <v>15</v>
      </c>
      <c r="J3031">
        <v>12</v>
      </c>
      <c r="K3031">
        <v>1</v>
      </c>
      <c r="L3031">
        <v>87431</v>
      </c>
      <c r="M3031" t="str">
        <f t="shared" si="439"/>
        <v>13</v>
      </c>
      <c r="N3031" t="s">
        <v>3323</v>
      </c>
      <c r="O3031" t="str">
        <f t="shared" si="441"/>
        <v>60311</v>
      </c>
      <c r="P3031" t="str">
        <f>"3030L"</f>
        <v>3030L</v>
      </c>
      <c r="Q3031" t="str">
        <f t="shared" si="440"/>
        <v>0101</v>
      </c>
      <c r="R3031">
        <v>3030</v>
      </c>
      <c r="S3031" t="str">
        <f t="shared" si="442"/>
        <v>6030</v>
      </c>
      <c r="T3031" t="s">
        <v>3325</v>
      </c>
      <c r="U3031" t="s">
        <v>70</v>
      </c>
    </row>
    <row r="3032" spans="1:21" ht="15" customHeight="1" x14ac:dyDescent="0.3">
      <c r="A3032" t="s">
        <v>179</v>
      </c>
      <c r="B3032" t="str">
        <f>"00058266"</f>
        <v>00058266</v>
      </c>
      <c r="C3032" t="s">
        <v>3798</v>
      </c>
      <c r="D3032" t="s">
        <v>2559</v>
      </c>
      <c r="E3032" t="str">
        <f>"00047373"</f>
        <v>00047373</v>
      </c>
      <c r="F3032">
        <v>0</v>
      </c>
      <c r="G3032" s="243">
        <v>34213</v>
      </c>
      <c r="H3032" t="s">
        <v>182</v>
      </c>
      <c r="I3032">
        <v>61</v>
      </c>
      <c r="J3032">
        <v>7</v>
      </c>
      <c r="K3032">
        <v>1</v>
      </c>
      <c r="L3032">
        <v>128000</v>
      </c>
      <c r="M3032" t="str">
        <f t="shared" si="439"/>
        <v>13</v>
      </c>
      <c r="N3032" t="s">
        <v>3323</v>
      </c>
      <c r="O3032" t="str">
        <f t="shared" si="441"/>
        <v>60311</v>
      </c>
      <c r="P3032" t="str">
        <f>"1501L"</f>
        <v>1501L</v>
      </c>
      <c r="Q3032" t="str">
        <f t="shared" si="440"/>
        <v>0101</v>
      </c>
      <c r="R3032">
        <v>1501</v>
      </c>
      <c r="S3032" t="str">
        <f t="shared" si="442"/>
        <v>6030</v>
      </c>
      <c r="T3032" t="s">
        <v>3325</v>
      </c>
      <c r="U3032" t="s">
        <v>70</v>
      </c>
    </row>
    <row r="3033" spans="1:21" ht="15" customHeight="1" x14ac:dyDescent="0.3">
      <c r="A3033" t="s">
        <v>179</v>
      </c>
      <c r="B3033" t="str">
        <f>"00058345"</f>
        <v>00058345</v>
      </c>
      <c r="C3033" t="s">
        <v>4262</v>
      </c>
      <c r="D3033" t="s">
        <v>1583</v>
      </c>
      <c r="E3033" t="str">
        <f>"00052221"</f>
        <v>00052221</v>
      </c>
      <c r="F3033">
        <v>0</v>
      </c>
      <c r="G3033" s="243">
        <v>39315</v>
      </c>
      <c r="H3033" t="s">
        <v>182</v>
      </c>
      <c r="I3033">
        <v>15</v>
      </c>
      <c r="J3033">
        <v>12</v>
      </c>
      <c r="K3033">
        <v>1</v>
      </c>
      <c r="L3033">
        <v>87431</v>
      </c>
      <c r="M3033" t="str">
        <f t="shared" si="439"/>
        <v>13</v>
      </c>
      <c r="N3033" t="s">
        <v>3370</v>
      </c>
      <c r="O3033" t="str">
        <f t="shared" si="441"/>
        <v>60311</v>
      </c>
      <c r="P3033" t="str">
        <f>"2100L"</f>
        <v>2100L</v>
      </c>
      <c r="Q3033" t="str">
        <f t="shared" si="440"/>
        <v>0101</v>
      </c>
      <c r="R3033">
        <v>2100</v>
      </c>
      <c r="S3033" t="str">
        <f t="shared" si="442"/>
        <v>6030</v>
      </c>
      <c r="T3033" t="s">
        <v>3325</v>
      </c>
      <c r="U3033" t="s">
        <v>70</v>
      </c>
    </row>
    <row r="3034" spans="1:21" ht="15" customHeight="1" x14ac:dyDescent="0.3">
      <c r="A3034" t="s">
        <v>179</v>
      </c>
      <c r="B3034" t="str">
        <f>"00059566"</f>
        <v>00059566</v>
      </c>
      <c r="C3034" t="s">
        <v>4260</v>
      </c>
      <c r="D3034" t="s">
        <v>2560</v>
      </c>
      <c r="E3034" t="str">
        <f>"00050759"</f>
        <v>00050759</v>
      </c>
      <c r="F3034">
        <v>0</v>
      </c>
      <c r="G3034" s="243">
        <v>37943</v>
      </c>
      <c r="H3034" t="s">
        <v>182</v>
      </c>
      <c r="I3034">
        <v>15</v>
      </c>
      <c r="J3034">
        <v>11</v>
      </c>
      <c r="K3034">
        <v>1</v>
      </c>
      <c r="L3034">
        <v>81335</v>
      </c>
      <c r="M3034" t="str">
        <f t="shared" si="439"/>
        <v>13</v>
      </c>
      <c r="N3034" t="s">
        <v>3323</v>
      </c>
      <c r="O3034" t="str">
        <f t="shared" si="441"/>
        <v>60311</v>
      </c>
      <c r="P3034" t="str">
        <f>"3030L"</f>
        <v>3030L</v>
      </c>
      <c r="Q3034" t="str">
        <f t="shared" si="440"/>
        <v>0101</v>
      </c>
      <c r="R3034">
        <v>3030</v>
      </c>
      <c r="S3034" t="str">
        <f t="shared" si="442"/>
        <v>6030</v>
      </c>
      <c r="T3034" t="s">
        <v>3325</v>
      </c>
      <c r="U3034" t="s">
        <v>70</v>
      </c>
    </row>
    <row r="3035" spans="1:21" ht="15" customHeight="1" x14ac:dyDescent="0.3">
      <c r="A3035" t="s">
        <v>179</v>
      </c>
      <c r="B3035" t="str">
        <f>"00059790"</f>
        <v>00059790</v>
      </c>
      <c r="C3035" t="s">
        <v>4252</v>
      </c>
      <c r="D3035" t="s">
        <v>3742</v>
      </c>
      <c r="E3035" t="str">
        <f>"00050480"</f>
        <v>00050480</v>
      </c>
      <c r="F3035">
        <v>0</v>
      </c>
      <c r="G3035" s="243">
        <v>37543</v>
      </c>
      <c r="H3035" t="s">
        <v>182</v>
      </c>
      <c r="I3035">
        <v>15</v>
      </c>
      <c r="J3035">
        <v>12</v>
      </c>
      <c r="K3035">
        <v>1</v>
      </c>
      <c r="L3035">
        <v>87431</v>
      </c>
      <c r="M3035" t="str">
        <f t="shared" si="439"/>
        <v>13</v>
      </c>
      <c r="N3035" t="s">
        <v>3323</v>
      </c>
      <c r="O3035" t="str">
        <f t="shared" si="441"/>
        <v>60311</v>
      </c>
      <c r="P3035" t="str">
        <f>"2100L"</f>
        <v>2100L</v>
      </c>
      <c r="Q3035" t="str">
        <f t="shared" si="440"/>
        <v>0101</v>
      </c>
      <c r="R3035">
        <v>2100</v>
      </c>
      <c r="S3035" t="str">
        <f t="shared" si="442"/>
        <v>6030</v>
      </c>
      <c r="T3035" t="s">
        <v>3325</v>
      </c>
      <c r="U3035" t="s">
        <v>70</v>
      </c>
    </row>
    <row r="3036" spans="1:21" ht="15" customHeight="1" x14ac:dyDescent="0.3">
      <c r="A3036" t="s">
        <v>179</v>
      </c>
      <c r="B3036" t="str">
        <f>"00059855"</f>
        <v>00059855</v>
      </c>
      <c r="C3036" t="s">
        <v>4262</v>
      </c>
      <c r="D3036" t="s">
        <v>2561</v>
      </c>
      <c r="E3036" t="str">
        <f>"00053453"</f>
        <v>00053453</v>
      </c>
      <c r="F3036">
        <v>0</v>
      </c>
      <c r="G3036" s="243">
        <v>34946</v>
      </c>
      <c r="H3036" t="s">
        <v>182</v>
      </c>
      <c r="I3036">
        <v>15</v>
      </c>
      <c r="J3036">
        <v>14</v>
      </c>
      <c r="K3036">
        <v>1</v>
      </c>
      <c r="L3036">
        <v>96460</v>
      </c>
      <c r="M3036" t="str">
        <f t="shared" si="439"/>
        <v>13</v>
      </c>
      <c r="N3036" t="s">
        <v>3323</v>
      </c>
      <c r="O3036" t="str">
        <f t="shared" si="441"/>
        <v>60311</v>
      </c>
      <c r="P3036" t="str">
        <f>"2100L"</f>
        <v>2100L</v>
      </c>
      <c r="Q3036" t="str">
        <f t="shared" si="440"/>
        <v>0101</v>
      </c>
      <c r="R3036">
        <v>2100</v>
      </c>
      <c r="S3036" t="str">
        <f t="shared" si="442"/>
        <v>6030</v>
      </c>
      <c r="T3036" t="s">
        <v>3325</v>
      </c>
      <c r="U3036" t="s">
        <v>70</v>
      </c>
    </row>
    <row r="3037" spans="1:21" ht="15" customHeight="1" x14ac:dyDescent="0.3">
      <c r="A3037" t="s">
        <v>179</v>
      </c>
      <c r="B3037" t="str">
        <f>"00063093"</f>
        <v>00063093</v>
      </c>
      <c r="C3037" t="s">
        <v>4260</v>
      </c>
      <c r="D3037" t="s">
        <v>2562</v>
      </c>
      <c r="E3037" t="str">
        <f>"00049876"</f>
        <v>00049876</v>
      </c>
      <c r="F3037">
        <v>0</v>
      </c>
      <c r="G3037" s="243">
        <v>39881</v>
      </c>
      <c r="H3037" t="s">
        <v>182</v>
      </c>
      <c r="I3037">
        <v>15</v>
      </c>
      <c r="J3037">
        <v>6</v>
      </c>
      <c r="K3037">
        <v>1</v>
      </c>
      <c r="L3037">
        <v>66078</v>
      </c>
      <c r="M3037" t="str">
        <f t="shared" si="439"/>
        <v>13</v>
      </c>
      <c r="N3037" t="s">
        <v>3323</v>
      </c>
      <c r="O3037" t="str">
        <f t="shared" si="441"/>
        <v>60311</v>
      </c>
      <c r="P3037" t="str">
        <f>"2100L"</f>
        <v>2100L</v>
      </c>
      <c r="Q3037" t="str">
        <f t="shared" si="440"/>
        <v>0101</v>
      </c>
      <c r="R3037">
        <v>2100</v>
      </c>
      <c r="S3037" t="str">
        <f t="shared" si="442"/>
        <v>6030</v>
      </c>
      <c r="T3037" t="s">
        <v>3325</v>
      </c>
      <c r="U3037" t="s">
        <v>70</v>
      </c>
    </row>
    <row r="3038" spans="1:21" ht="15" customHeight="1" x14ac:dyDescent="0.3">
      <c r="A3038" t="s">
        <v>179</v>
      </c>
      <c r="B3038" t="str">
        <f>"00065717"</f>
        <v>00065717</v>
      </c>
      <c r="C3038" t="s">
        <v>4262</v>
      </c>
      <c r="D3038" t="s">
        <v>2563</v>
      </c>
      <c r="E3038" t="str">
        <f>"00057063"</f>
        <v>00057063</v>
      </c>
      <c r="F3038">
        <v>0</v>
      </c>
      <c r="G3038" s="243">
        <v>40042</v>
      </c>
      <c r="H3038" t="s">
        <v>182</v>
      </c>
      <c r="I3038">
        <v>15</v>
      </c>
      <c r="J3038">
        <v>13</v>
      </c>
      <c r="K3038">
        <v>1</v>
      </c>
      <c r="L3038">
        <v>86613</v>
      </c>
      <c r="M3038" t="str">
        <f t="shared" si="439"/>
        <v>13</v>
      </c>
      <c r="N3038" t="s">
        <v>3323</v>
      </c>
      <c r="O3038" t="str">
        <f t="shared" si="441"/>
        <v>60311</v>
      </c>
      <c r="P3038" t="str">
        <f>"2100L"</f>
        <v>2100L</v>
      </c>
      <c r="Q3038" t="str">
        <f t="shared" si="440"/>
        <v>0101</v>
      </c>
      <c r="R3038">
        <v>2100</v>
      </c>
      <c r="S3038" t="str">
        <f t="shared" si="442"/>
        <v>6030</v>
      </c>
      <c r="T3038" t="s">
        <v>3325</v>
      </c>
      <c r="U3038" t="s">
        <v>70</v>
      </c>
    </row>
    <row r="3039" spans="1:21" ht="15" customHeight="1" x14ac:dyDescent="0.3">
      <c r="A3039" t="s">
        <v>179</v>
      </c>
      <c r="B3039" t="str">
        <f>"00065719"</f>
        <v>00065719</v>
      </c>
      <c r="C3039" t="s">
        <v>4260</v>
      </c>
      <c r="D3039" t="s">
        <v>2564</v>
      </c>
      <c r="E3039" t="str">
        <f>"00058155"</f>
        <v>00058155</v>
      </c>
      <c r="F3039">
        <v>0</v>
      </c>
      <c r="G3039" s="243">
        <v>40052</v>
      </c>
      <c r="H3039" t="s">
        <v>182</v>
      </c>
      <c r="I3039">
        <v>15</v>
      </c>
      <c r="J3039">
        <v>11</v>
      </c>
      <c r="K3039">
        <v>1</v>
      </c>
      <c r="L3039">
        <v>81335</v>
      </c>
      <c r="M3039" t="str">
        <f t="shared" si="439"/>
        <v>13</v>
      </c>
      <c r="N3039" t="s">
        <v>3323</v>
      </c>
      <c r="O3039" t="str">
        <f t="shared" si="441"/>
        <v>60311</v>
      </c>
      <c r="P3039" t="str">
        <f>"3030L"</f>
        <v>3030L</v>
      </c>
      <c r="Q3039" t="str">
        <f t="shared" si="440"/>
        <v>0101</v>
      </c>
      <c r="R3039">
        <v>3030</v>
      </c>
      <c r="S3039" t="str">
        <f t="shared" si="442"/>
        <v>6030</v>
      </c>
      <c r="T3039" t="s">
        <v>3325</v>
      </c>
      <c r="U3039" t="s">
        <v>70</v>
      </c>
    </row>
    <row r="3040" spans="1:21" ht="15" customHeight="1" x14ac:dyDescent="0.3">
      <c r="A3040" t="s">
        <v>179</v>
      </c>
      <c r="B3040" t="str">
        <f>"00066423"</f>
        <v>00066423</v>
      </c>
      <c r="C3040" t="s">
        <v>4337</v>
      </c>
      <c r="D3040" t="s">
        <v>1997</v>
      </c>
      <c r="E3040" t="str">
        <f>"00056181"</f>
        <v>00056181</v>
      </c>
      <c r="F3040">
        <v>0</v>
      </c>
      <c r="G3040" s="243">
        <v>40042</v>
      </c>
      <c r="H3040" t="s">
        <v>182</v>
      </c>
      <c r="I3040">
        <v>15</v>
      </c>
      <c r="J3040">
        <v>4</v>
      </c>
      <c r="K3040">
        <v>0.5</v>
      </c>
      <c r="L3040">
        <v>61158</v>
      </c>
      <c r="M3040" t="str">
        <f t="shared" si="439"/>
        <v>13</v>
      </c>
      <c r="N3040" t="s">
        <v>3323</v>
      </c>
      <c r="O3040" t="str">
        <f t="shared" si="441"/>
        <v>60311</v>
      </c>
      <c r="P3040" t="str">
        <f>"2100L"</f>
        <v>2100L</v>
      </c>
      <c r="Q3040" t="str">
        <f t="shared" si="440"/>
        <v>0101</v>
      </c>
      <c r="R3040">
        <v>2100</v>
      </c>
      <c r="S3040" t="str">
        <f t="shared" si="442"/>
        <v>6030</v>
      </c>
      <c r="T3040" t="s">
        <v>3658</v>
      </c>
      <c r="U3040" t="s">
        <v>56</v>
      </c>
    </row>
    <row r="3041" spans="1:21" ht="15" customHeight="1" x14ac:dyDescent="0.3">
      <c r="A3041" t="s">
        <v>179</v>
      </c>
      <c r="B3041" t="str">
        <f>"00067331"</f>
        <v>00067331</v>
      </c>
      <c r="C3041" t="s">
        <v>4292</v>
      </c>
      <c r="D3041" t="s">
        <v>5220</v>
      </c>
      <c r="E3041" t="str">
        <f>"00057035"</f>
        <v>00057035</v>
      </c>
      <c r="F3041">
        <v>0</v>
      </c>
      <c r="G3041" s="243">
        <v>40042</v>
      </c>
      <c r="H3041" t="s">
        <v>182</v>
      </c>
      <c r="I3041">
        <v>4</v>
      </c>
      <c r="J3041">
        <v>5</v>
      </c>
      <c r="K3041">
        <v>1</v>
      </c>
      <c r="L3041">
        <v>25239.37</v>
      </c>
      <c r="M3041" t="str">
        <f t="shared" si="439"/>
        <v>13</v>
      </c>
      <c r="N3041" t="s">
        <v>3323</v>
      </c>
      <c r="O3041" t="str">
        <f t="shared" si="441"/>
        <v>60311</v>
      </c>
      <c r="P3041" t="str">
        <f>"3030L"</f>
        <v>3030L</v>
      </c>
      <c r="Q3041" t="str">
        <f t="shared" si="440"/>
        <v>0101</v>
      </c>
      <c r="R3041">
        <v>3030</v>
      </c>
      <c r="S3041" t="str">
        <f t="shared" si="442"/>
        <v>6030</v>
      </c>
      <c r="T3041" t="s">
        <v>3325</v>
      </c>
      <c r="U3041" t="s">
        <v>70</v>
      </c>
    </row>
    <row r="3042" spans="1:21" ht="15" customHeight="1" x14ac:dyDescent="0.3">
      <c r="A3042" t="s">
        <v>179</v>
      </c>
      <c r="B3042" t="str">
        <f>"00068248"</f>
        <v>00068248</v>
      </c>
      <c r="C3042" t="s">
        <v>4290</v>
      </c>
      <c r="D3042" t="s">
        <v>5221</v>
      </c>
      <c r="E3042" t="str">
        <f>"00057748"</f>
        <v>00057748</v>
      </c>
      <c r="F3042">
        <v>0</v>
      </c>
      <c r="G3042" s="243">
        <v>40042</v>
      </c>
      <c r="H3042" t="s">
        <v>182</v>
      </c>
      <c r="I3042">
        <v>4</v>
      </c>
      <c r="J3042">
        <v>9</v>
      </c>
      <c r="K3042">
        <v>1</v>
      </c>
      <c r="L3042">
        <v>28025.38</v>
      </c>
      <c r="M3042" t="str">
        <f t="shared" si="439"/>
        <v>13</v>
      </c>
      <c r="N3042" t="s">
        <v>3323</v>
      </c>
      <c r="O3042" t="str">
        <f t="shared" si="441"/>
        <v>60311</v>
      </c>
      <c r="P3042" t="str">
        <f>"2200L"</f>
        <v>2200L</v>
      </c>
      <c r="Q3042" t="str">
        <f t="shared" si="440"/>
        <v>0101</v>
      </c>
      <c r="R3042">
        <v>2200</v>
      </c>
      <c r="S3042" t="str">
        <f t="shared" si="442"/>
        <v>6030</v>
      </c>
      <c r="T3042" t="s">
        <v>3325</v>
      </c>
      <c r="U3042" t="s">
        <v>70</v>
      </c>
    </row>
    <row r="3043" spans="1:21" ht="15" customHeight="1" x14ac:dyDescent="0.3">
      <c r="A3043" t="s">
        <v>179</v>
      </c>
      <c r="B3043" t="str">
        <f>"00072629"</f>
        <v>00072629</v>
      </c>
      <c r="C3043" t="s">
        <v>4288</v>
      </c>
      <c r="D3043" t="s">
        <v>5222</v>
      </c>
      <c r="E3043" t="str">
        <f>"00031024"</f>
        <v>00031024</v>
      </c>
      <c r="F3043">
        <v>0</v>
      </c>
      <c r="G3043" s="243">
        <v>40574</v>
      </c>
      <c r="H3043" t="s">
        <v>182</v>
      </c>
      <c r="I3043">
        <v>4</v>
      </c>
      <c r="J3043">
        <v>5</v>
      </c>
      <c r="K3043">
        <v>0.71</v>
      </c>
      <c r="L3043">
        <v>25239.37</v>
      </c>
      <c r="M3043" t="str">
        <f t="shared" si="439"/>
        <v>13</v>
      </c>
      <c r="N3043" t="s">
        <v>3323</v>
      </c>
      <c r="O3043" t="str">
        <f t="shared" si="441"/>
        <v>60311</v>
      </c>
      <c r="P3043" t="str">
        <f t="shared" ref="P3043:P3056" si="443">"2100L"</f>
        <v>2100L</v>
      </c>
      <c r="Q3043" t="str">
        <f t="shared" si="440"/>
        <v>0101</v>
      </c>
      <c r="R3043">
        <v>2100</v>
      </c>
      <c r="S3043" t="str">
        <f t="shared" si="442"/>
        <v>6030</v>
      </c>
      <c r="T3043" t="s">
        <v>3325</v>
      </c>
      <c r="U3043" t="s">
        <v>70</v>
      </c>
    </row>
    <row r="3044" spans="1:21" ht="15" customHeight="1" x14ac:dyDescent="0.3">
      <c r="A3044" t="s">
        <v>179</v>
      </c>
      <c r="B3044" t="str">
        <f>"00072809"</f>
        <v>00072809</v>
      </c>
      <c r="C3044" t="s">
        <v>4257</v>
      </c>
      <c r="D3044" t="s">
        <v>1568</v>
      </c>
      <c r="E3044" t="str">
        <f>"00054444"</f>
        <v>00054444</v>
      </c>
      <c r="F3044">
        <v>0</v>
      </c>
      <c r="G3044" s="243">
        <v>32050</v>
      </c>
      <c r="H3044" t="s">
        <v>182</v>
      </c>
      <c r="I3044">
        <v>15</v>
      </c>
      <c r="J3044">
        <v>13</v>
      </c>
      <c r="K3044">
        <v>1</v>
      </c>
      <c r="L3044">
        <v>81724</v>
      </c>
      <c r="M3044" t="str">
        <f t="shared" si="439"/>
        <v>13</v>
      </c>
      <c r="N3044" t="s">
        <v>3370</v>
      </c>
      <c r="O3044" t="str">
        <f t="shared" si="441"/>
        <v>60311</v>
      </c>
      <c r="P3044" t="str">
        <f t="shared" si="443"/>
        <v>2100L</v>
      </c>
      <c r="Q3044" t="str">
        <f t="shared" si="440"/>
        <v>0101</v>
      </c>
      <c r="R3044">
        <v>2100</v>
      </c>
      <c r="S3044" t="str">
        <f t="shared" si="442"/>
        <v>6030</v>
      </c>
      <c r="T3044" t="s">
        <v>3325</v>
      </c>
      <c r="U3044" t="s">
        <v>70</v>
      </c>
    </row>
    <row r="3045" spans="1:21" ht="15" customHeight="1" x14ac:dyDescent="0.3">
      <c r="A3045" t="s">
        <v>179</v>
      </c>
      <c r="B3045" t="str">
        <f>"00072865"</f>
        <v>00072865</v>
      </c>
      <c r="C3045" t="s">
        <v>4499</v>
      </c>
      <c r="D3045" t="s">
        <v>2565</v>
      </c>
      <c r="E3045" t="str">
        <f>"00063428"</f>
        <v>00063428</v>
      </c>
      <c r="F3045">
        <v>0</v>
      </c>
      <c r="G3045" s="243">
        <v>40436</v>
      </c>
      <c r="H3045" t="s">
        <v>182</v>
      </c>
      <c r="I3045">
        <v>10</v>
      </c>
      <c r="J3045">
        <v>6</v>
      </c>
      <c r="K3045">
        <v>0.25</v>
      </c>
      <c r="L3045">
        <v>37543.5</v>
      </c>
      <c r="M3045" t="str">
        <f t="shared" si="439"/>
        <v>13</v>
      </c>
      <c r="N3045" t="s">
        <v>3323</v>
      </c>
      <c r="O3045" t="str">
        <f t="shared" si="441"/>
        <v>60311</v>
      </c>
      <c r="P3045" t="str">
        <f t="shared" si="443"/>
        <v>2100L</v>
      </c>
      <c r="Q3045" t="str">
        <f t="shared" si="440"/>
        <v>0101</v>
      </c>
      <c r="R3045">
        <v>2100</v>
      </c>
      <c r="S3045" t="str">
        <f t="shared" si="442"/>
        <v>6030</v>
      </c>
      <c r="T3045" t="s">
        <v>3325</v>
      </c>
      <c r="U3045" t="s">
        <v>70</v>
      </c>
    </row>
    <row r="3046" spans="1:21" ht="15" customHeight="1" x14ac:dyDescent="0.3">
      <c r="A3046" t="s">
        <v>179</v>
      </c>
      <c r="B3046" t="str">
        <f>"00074311"</f>
        <v>00074311</v>
      </c>
      <c r="C3046" t="s">
        <v>4293</v>
      </c>
      <c r="D3046" t="s">
        <v>3470</v>
      </c>
      <c r="E3046" t="str">
        <f>"00065634"</f>
        <v>00065634</v>
      </c>
      <c r="F3046">
        <v>0</v>
      </c>
      <c r="G3046" s="243">
        <v>40755</v>
      </c>
      <c r="H3046" t="s">
        <v>182</v>
      </c>
      <c r="I3046">
        <v>15</v>
      </c>
      <c r="J3046">
        <v>2</v>
      </c>
      <c r="K3046">
        <v>0.5</v>
      </c>
      <c r="L3046">
        <v>54099</v>
      </c>
      <c r="M3046" t="str">
        <f t="shared" si="439"/>
        <v>13</v>
      </c>
      <c r="N3046" t="s">
        <v>3323</v>
      </c>
      <c r="O3046" t="str">
        <f t="shared" si="441"/>
        <v>60311</v>
      </c>
      <c r="P3046" t="str">
        <f t="shared" si="443"/>
        <v>2100L</v>
      </c>
      <c r="Q3046" t="str">
        <f t="shared" si="440"/>
        <v>0101</v>
      </c>
      <c r="R3046">
        <v>2100</v>
      </c>
      <c r="S3046" t="str">
        <f t="shared" si="442"/>
        <v>6030</v>
      </c>
      <c r="T3046" t="s">
        <v>3325</v>
      </c>
      <c r="U3046" t="s">
        <v>70</v>
      </c>
    </row>
    <row r="3047" spans="1:21" ht="15" customHeight="1" x14ac:dyDescent="0.3">
      <c r="A3047" t="s">
        <v>179</v>
      </c>
      <c r="B3047" t="str">
        <f>"00074572"</f>
        <v>00074572</v>
      </c>
      <c r="C3047" t="s">
        <v>200</v>
      </c>
      <c r="D3047" t="s">
        <v>3743</v>
      </c>
      <c r="E3047" t="str">
        <f>"00058143"</f>
        <v>00058143</v>
      </c>
      <c r="F3047">
        <v>0</v>
      </c>
      <c r="G3047" s="243">
        <v>40042</v>
      </c>
      <c r="H3047" t="s">
        <v>182</v>
      </c>
      <c r="I3047">
        <v>15</v>
      </c>
      <c r="J3047">
        <v>9</v>
      </c>
      <c r="K3047">
        <v>1</v>
      </c>
      <c r="L3047">
        <v>75232</v>
      </c>
      <c r="M3047" t="str">
        <f t="shared" si="439"/>
        <v>13</v>
      </c>
      <c r="N3047" t="s">
        <v>3323</v>
      </c>
      <c r="O3047" t="str">
        <f t="shared" si="441"/>
        <v>60311</v>
      </c>
      <c r="P3047" t="str">
        <f t="shared" si="443"/>
        <v>2100L</v>
      </c>
      <c r="Q3047" t="str">
        <f t="shared" si="440"/>
        <v>0101</v>
      </c>
      <c r="R3047">
        <v>2100</v>
      </c>
      <c r="S3047" t="str">
        <f t="shared" si="442"/>
        <v>6030</v>
      </c>
      <c r="T3047" t="s">
        <v>3325</v>
      </c>
      <c r="U3047" t="s">
        <v>70</v>
      </c>
    </row>
    <row r="3048" spans="1:21" ht="15" customHeight="1" x14ac:dyDescent="0.3">
      <c r="A3048" t="s">
        <v>179</v>
      </c>
      <c r="B3048" t="str">
        <f>"00076359"</f>
        <v>00076359</v>
      </c>
      <c r="C3048" t="s">
        <v>4271</v>
      </c>
      <c r="D3048" t="s">
        <v>5223</v>
      </c>
      <c r="E3048" t="str">
        <f>"00049444"</f>
        <v>00049444</v>
      </c>
      <c r="F3048">
        <v>0</v>
      </c>
      <c r="G3048" s="243">
        <v>39664</v>
      </c>
      <c r="H3048" t="s">
        <v>182</v>
      </c>
      <c r="I3048">
        <v>15</v>
      </c>
      <c r="J3048">
        <v>12</v>
      </c>
      <c r="K3048">
        <v>0.5</v>
      </c>
      <c r="L3048">
        <v>92613</v>
      </c>
      <c r="M3048" t="str">
        <f t="shared" si="439"/>
        <v>13</v>
      </c>
      <c r="N3048" t="s">
        <v>3323</v>
      </c>
      <c r="O3048" t="str">
        <f t="shared" si="441"/>
        <v>60311</v>
      </c>
      <c r="P3048" t="str">
        <f t="shared" si="443"/>
        <v>2100L</v>
      </c>
      <c r="Q3048" t="str">
        <f t="shared" si="440"/>
        <v>0101</v>
      </c>
      <c r="R3048">
        <v>2100</v>
      </c>
      <c r="S3048" t="str">
        <f t="shared" si="442"/>
        <v>6030</v>
      </c>
      <c r="T3048" t="s">
        <v>3325</v>
      </c>
      <c r="U3048" t="s">
        <v>70</v>
      </c>
    </row>
    <row r="3049" spans="1:21" ht="15" customHeight="1" x14ac:dyDescent="0.3">
      <c r="A3049" t="s">
        <v>179</v>
      </c>
      <c r="B3049" t="str">
        <f>"00076360"</f>
        <v>00076360</v>
      </c>
      <c r="C3049" t="s">
        <v>4262</v>
      </c>
      <c r="D3049" t="s">
        <v>5224</v>
      </c>
      <c r="E3049" t="str">
        <f>"00069586"</f>
        <v>00069586</v>
      </c>
      <c r="F3049">
        <v>0</v>
      </c>
      <c r="G3049" s="243">
        <v>41133</v>
      </c>
      <c r="H3049" t="s">
        <v>182</v>
      </c>
      <c r="I3049">
        <v>15</v>
      </c>
      <c r="J3049">
        <v>1</v>
      </c>
      <c r="K3049">
        <v>1</v>
      </c>
      <c r="L3049">
        <v>51539</v>
      </c>
      <c r="M3049" t="str">
        <f t="shared" ref="M3049:M3109" si="444">"13"</f>
        <v>13</v>
      </c>
      <c r="N3049" t="s">
        <v>3370</v>
      </c>
      <c r="O3049" t="str">
        <f t="shared" si="441"/>
        <v>60311</v>
      </c>
      <c r="P3049" t="str">
        <f t="shared" si="443"/>
        <v>2100L</v>
      </c>
      <c r="Q3049" t="str">
        <f t="shared" si="440"/>
        <v>0101</v>
      </c>
      <c r="R3049">
        <v>2100</v>
      </c>
      <c r="S3049" t="str">
        <f t="shared" si="442"/>
        <v>6030</v>
      </c>
      <c r="T3049" t="s">
        <v>3325</v>
      </c>
      <c r="U3049" t="s">
        <v>70</v>
      </c>
    </row>
    <row r="3050" spans="1:21" ht="15" customHeight="1" x14ac:dyDescent="0.3">
      <c r="A3050" t="s">
        <v>179</v>
      </c>
      <c r="B3050" t="str">
        <f>"00076361"</f>
        <v>00076361</v>
      </c>
      <c r="C3050" t="s">
        <v>4262</v>
      </c>
      <c r="D3050" t="s">
        <v>5225</v>
      </c>
      <c r="E3050" t="str">
        <f>"00069723"</f>
        <v>00069723</v>
      </c>
      <c r="F3050">
        <v>0</v>
      </c>
      <c r="G3050" s="243">
        <v>41133</v>
      </c>
      <c r="H3050" t="s">
        <v>182</v>
      </c>
      <c r="I3050">
        <v>15</v>
      </c>
      <c r="J3050">
        <v>5</v>
      </c>
      <c r="K3050">
        <v>1</v>
      </c>
      <c r="L3050">
        <v>56655</v>
      </c>
      <c r="M3050" t="str">
        <f t="shared" si="444"/>
        <v>13</v>
      </c>
      <c r="N3050" t="s">
        <v>3370</v>
      </c>
      <c r="O3050" t="str">
        <f t="shared" si="441"/>
        <v>60311</v>
      </c>
      <c r="P3050" t="str">
        <f t="shared" si="443"/>
        <v>2100L</v>
      </c>
      <c r="Q3050" t="str">
        <f t="shared" si="440"/>
        <v>0101</v>
      </c>
      <c r="R3050">
        <v>2100</v>
      </c>
      <c r="S3050" t="str">
        <f t="shared" si="442"/>
        <v>6030</v>
      </c>
      <c r="T3050" t="s">
        <v>3325</v>
      </c>
      <c r="U3050" t="s">
        <v>70</v>
      </c>
    </row>
    <row r="3051" spans="1:21" ht="15" customHeight="1" x14ac:dyDescent="0.3">
      <c r="A3051" t="s">
        <v>179</v>
      </c>
      <c r="B3051" t="str">
        <f>"00076362"</f>
        <v>00076362</v>
      </c>
      <c r="C3051" t="s">
        <v>4262</v>
      </c>
      <c r="D3051" t="s">
        <v>529</v>
      </c>
      <c r="E3051" t="str">
        <f>"00051388"</f>
        <v>00051388</v>
      </c>
      <c r="F3051">
        <v>0</v>
      </c>
      <c r="G3051" s="243">
        <v>32050</v>
      </c>
      <c r="H3051" t="s">
        <v>182</v>
      </c>
      <c r="I3051">
        <v>15</v>
      </c>
      <c r="J3051">
        <v>16</v>
      </c>
      <c r="K3051">
        <v>1</v>
      </c>
      <c r="L3051">
        <v>100839</v>
      </c>
      <c r="M3051" t="str">
        <f t="shared" si="444"/>
        <v>13</v>
      </c>
      <c r="N3051" t="s">
        <v>3323</v>
      </c>
      <c r="O3051" t="str">
        <f t="shared" si="441"/>
        <v>60311</v>
      </c>
      <c r="P3051" t="str">
        <f t="shared" si="443"/>
        <v>2100L</v>
      </c>
      <c r="Q3051" t="str">
        <f t="shared" si="440"/>
        <v>0101</v>
      </c>
      <c r="R3051">
        <v>2100</v>
      </c>
      <c r="S3051" t="str">
        <f t="shared" si="442"/>
        <v>6030</v>
      </c>
      <c r="T3051" t="s">
        <v>3325</v>
      </c>
      <c r="U3051" t="s">
        <v>70</v>
      </c>
    </row>
    <row r="3052" spans="1:21" ht="15" customHeight="1" x14ac:dyDescent="0.3">
      <c r="A3052" t="s">
        <v>179</v>
      </c>
      <c r="B3052" t="str">
        <f>"00076363"</f>
        <v>00076363</v>
      </c>
      <c r="C3052" t="s">
        <v>4262</v>
      </c>
      <c r="D3052" t="s">
        <v>2390</v>
      </c>
      <c r="E3052" t="str">
        <f>"00056956"</f>
        <v>00056956</v>
      </c>
      <c r="F3052">
        <v>0</v>
      </c>
      <c r="G3052" s="243">
        <v>40042</v>
      </c>
      <c r="H3052" t="s">
        <v>182</v>
      </c>
      <c r="I3052">
        <v>15</v>
      </c>
      <c r="J3052">
        <v>7</v>
      </c>
      <c r="K3052">
        <v>1</v>
      </c>
      <c r="L3052">
        <v>61068</v>
      </c>
      <c r="M3052" t="str">
        <f t="shared" si="444"/>
        <v>13</v>
      </c>
      <c r="N3052" t="s">
        <v>3370</v>
      </c>
      <c r="O3052" t="str">
        <f t="shared" si="441"/>
        <v>60311</v>
      </c>
      <c r="P3052" t="str">
        <f t="shared" si="443"/>
        <v>2100L</v>
      </c>
      <c r="Q3052" t="str">
        <f t="shared" si="440"/>
        <v>0101</v>
      </c>
      <c r="R3052">
        <v>2100</v>
      </c>
      <c r="S3052" t="str">
        <f t="shared" si="442"/>
        <v>6030</v>
      </c>
      <c r="T3052" t="s">
        <v>3325</v>
      </c>
      <c r="U3052" t="s">
        <v>70</v>
      </c>
    </row>
    <row r="3053" spans="1:21" ht="15" customHeight="1" x14ac:dyDescent="0.3">
      <c r="A3053" t="s">
        <v>179</v>
      </c>
      <c r="B3053" t="str">
        <f>"00076364"</f>
        <v>00076364</v>
      </c>
      <c r="C3053" t="s">
        <v>4262</v>
      </c>
      <c r="H3053" t="s">
        <v>170</v>
      </c>
      <c r="I3053">
        <v>15</v>
      </c>
      <c r="J3053">
        <v>0</v>
      </c>
      <c r="K3053">
        <v>1</v>
      </c>
      <c r="L3053">
        <v>51539</v>
      </c>
      <c r="M3053" t="str">
        <f t="shared" si="444"/>
        <v>13</v>
      </c>
      <c r="N3053" t="s">
        <v>3370</v>
      </c>
      <c r="O3053" t="str">
        <f t="shared" si="441"/>
        <v>60311</v>
      </c>
      <c r="P3053" t="str">
        <f t="shared" si="443"/>
        <v>2100L</v>
      </c>
      <c r="Q3053" t="str">
        <f t="shared" si="440"/>
        <v>0101</v>
      </c>
      <c r="R3053">
        <v>2100</v>
      </c>
      <c r="S3053" t="str">
        <f t="shared" si="442"/>
        <v>6030</v>
      </c>
      <c r="T3053" t="s">
        <v>3325</v>
      </c>
      <c r="U3053" t="s">
        <v>70</v>
      </c>
    </row>
    <row r="3054" spans="1:21" ht="15" customHeight="1" x14ac:dyDescent="0.3">
      <c r="A3054" t="s">
        <v>179</v>
      </c>
      <c r="B3054" t="str">
        <f>"00076367"</f>
        <v>00076367</v>
      </c>
      <c r="C3054" t="s">
        <v>4262</v>
      </c>
      <c r="D3054" t="s">
        <v>2685</v>
      </c>
      <c r="E3054" t="str">
        <f>"00053035"</f>
        <v>00053035</v>
      </c>
      <c r="F3054">
        <v>0</v>
      </c>
      <c r="G3054" s="243">
        <v>36761</v>
      </c>
      <c r="H3054" t="s">
        <v>182</v>
      </c>
      <c r="I3054">
        <v>15</v>
      </c>
      <c r="J3054">
        <v>12</v>
      </c>
      <c r="K3054">
        <v>0.5</v>
      </c>
      <c r="L3054">
        <v>87431</v>
      </c>
      <c r="M3054" t="str">
        <f t="shared" si="444"/>
        <v>13</v>
      </c>
      <c r="N3054" t="s">
        <v>3370</v>
      </c>
      <c r="O3054" t="str">
        <f t="shared" si="441"/>
        <v>60311</v>
      </c>
      <c r="P3054" t="str">
        <f t="shared" si="443"/>
        <v>2100L</v>
      </c>
      <c r="Q3054" t="str">
        <f t="shared" si="440"/>
        <v>0101</v>
      </c>
      <c r="R3054">
        <v>2100</v>
      </c>
      <c r="S3054" t="str">
        <f t="shared" si="442"/>
        <v>6030</v>
      </c>
      <c r="T3054" t="s">
        <v>3325</v>
      </c>
      <c r="U3054" t="s">
        <v>70</v>
      </c>
    </row>
    <row r="3055" spans="1:21" ht="15" customHeight="1" x14ac:dyDescent="0.3">
      <c r="A3055" t="s">
        <v>179</v>
      </c>
      <c r="B3055" t="str">
        <f>"00076368"</f>
        <v>00076368</v>
      </c>
      <c r="C3055" t="s">
        <v>4262</v>
      </c>
      <c r="D3055" t="s">
        <v>5226</v>
      </c>
      <c r="E3055" t="str">
        <f>"00069556"</f>
        <v>00069556</v>
      </c>
      <c r="F3055">
        <v>0</v>
      </c>
      <c r="G3055" s="243">
        <v>41133</v>
      </c>
      <c r="H3055" t="s">
        <v>182</v>
      </c>
      <c r="I3055">
        <v>15</v>
      </c>
      <c r="J3055">
        <v>4</v>
      </c>
      <c r="K3055">
        <v>1</v>
      </c>
      <c r="L3055">
        <v>61158</v>
      </c>
      <c r="M3055" t="str">
        <f t="shared" si="444"/>
        <v>13</v>
      </c>
      <c r="N3055" t="s">
        <v>3370</v>
      </c>
      <c r="O3055" t="str">
        <f t="shared" si="441"/>
        <v>60311</v>
      </c>
      <c r="P3055" t="str">
        <f t="shared" si="443"/>
        <v>2100L</v>
      </c>
      <c r="Q3055" t="str">
        <f t="shared" si="440"/>
        <v>0101</v>
      </c>
      <c r="R3055">
        <v>2100</v>
      </c>
      <c r="S3055" t="str">
        <f t="shared" si="442"/>
        <v>6030</v>
      </c>
      <c r="T3055" t="s">
        <v>3325</v>
      </c>
      <c r="U3055" t="s">
        <v>70</v>
      </c>
    </row>
    <row r="3056" spans="1:21" ht="15" customHeight="1" x14ac:dyDescent="0.3">
      <c r="A3056" t="s">
        <v>179</v>
      </c>
      <c r="B3056" t="str">
        <f>"00076369"</f>
        <v>00076369</v>
      </c>
      <c r="C3056" t="s">
        <v>4262</v>
      </c>
      <c r="D3056" t="s">
        <v>463</v>
      </c>
      <c r="E3056" t="str">
        <f>"00046992"</f>
        <v>00046992</v>
      </c>
      <c r="F3056">
        <v>0</v>
      </c>
      <c r="G3056" s="243">
        <v>40078</v>
      </c>
      <c r="H3056" t="s">
        <v>182</v>
      </c>
      <c r="I3056">
        <v>15</v>
      </c>
      <c r="J3056">
        <v>11</v>
      </c>
      <c r="K3056">
        <v>1</v>
      </c>
      <c r="L3056">
        <v>81335</v>
      </c>
      <c r="M3056" t="str">
        <f t="shared" si="444"/>
        <v>13</v>
      </c>
      <c r="N3056" t="s">
        <v>3370</v>
      </c>
      <c r="O3056" t="str">
        <f t="shared" si="441"/>
        <v>60311</v>
      </c>
      <c r="P3056" t="str">
        <f t="shared" si="443"/>
        <v>2100L</v>
      </c>
      <c r="Q3056" t="str">
        <f t="shared" si="440"/>
        <v>0101</v>
      </c>
      <c r="R3056">
        <v>2100</v>
      </c>
      <c r="S3056" t="str">
        <f t="shared" si="442"/>
        <v>6030</v>
      </c>
      <c r="T3056" t="s">
        <v>3325</v>
      </c>
      <c r="U3056" t="s">
        <v>70</v>
      </c>
    </row>
    <row r="3057" spans="1:21" ht="15" customHeight="1" x14ac:dyDescent="0.3">
      <c r="A3057" t="s">
        <v>179</v>
      </c>
      <c r="B3057" t="str">
        <f>"00076482"</f>
        <v>00076482</v>
      </c>
      <c r="C3057" t="s">
        <v>4288</v>
      </c>
      <c r="D3057" t="s">
        <v>5227</v>
      </c>
      <c r="E3057" t="str">
        <f>"00070124"</f>
        <v>00070124</v>
      </c>
      <c r="F3057">
        <v>0</v>
      </c>
      <c r="G3057" s="243">
        <v>41148</v>
      </c>
      <c r="H3057" t="s">
        <v>182</v>
      </c>
      <c r="I3057">
        <v>4</v>
      </c>
      <c r="J3057">
        <v>4</v>
      </c>
      <c r="K3057">
        <v>0.71</v>
      </c>
      <c r="L3057">
        <v>24543.75</v>
      </c>
      <c r="M3057" t="str">
        <f t="shared" si="444"/>
        <v>13</v>
      </c>
      <c r="N3057" t="s">
        <v>3370</v>
      </c>
      <c r="O3057" t="str">
        <f t="shared" si="441"/>
        <v>60311</v>
      </c>
      <c r="P3057" t="str">
        <f>"2200L"</f>
        <v>2200L</v>
      </c>
      <c r="Q3057" t="str">
        <f t="shared" ref="Q3057:Q3116" si="445">"0101"</f>
        <v>0101</v>
      </c>
      <c r="R3057">
        <v>2200</v>
      </c>
      <c r="S3057" t="str">
        <f t="shared" si="442"/>
        <v>6030</v>
      </c>
      <c r="T3057" t="s">
        <v>3325</v>
      </c>
      <c r="U3057" t="s">
        <v>70</v>
      </c>
    </row>
    <row r="3058" spans="1:21" ht="15" customHeight="1" x14ac:dyDescent="0.3">
      <c r="A3058" t="s">
        <v>179</v>
      </c>
      <c r="B3058" t="str">
        <f>"00076568"</f>
        <v>00076568</v>
      </c>
      <c r="C3058" t="s">
        <v>4267</v>
      </c>
      <c r="H3058" t="s">
        <v>170</v>
      </c>
      <c r="I3058">
        <v>15</v>
      </c>
      <c r="J3058">
        <v>0</v>
      </c>
      <c r="K3058">
        <v>1</v>
      </c>
      <c r="L3058">
        <v>51539</v>
      </c>
      <c r="M3058" t="str">
        <f t="shared" si="444"/>
        <v>13</v>
      </c>
      <c r="N3058" t="s">
        <v>3323</v>
      </c>
      <c r="O3058" t="str">
        <f t="shared" si="441"/>
        <v>60311</v>
      </c>
      <c r="P3058" t="str">
        <f>"3030L"</f>
        <v>3030L</v>
      </c>
      <c r="Q3058" t="str">
        <f t="shared" si="445"/>
        <v>0101</v>
      </c>
      <c r="R3058">
        <v>3030</v>
      </c>
      <c r="S3058" t="str">
        <f t="shared" si="442"/>
        <v>6030</v>
      </c>
      <c r="T3058" t="s">
        <v>3325</v>
      </c>
      <c r="U3058" t="s">
        <v>70</v>
      </c>
    </row>
    <row r="3059" spans="1:21" ht="15" customHeight="1" x14ac:dyDescent="0.3">
      <c r="A3059" t="s">
        <v>179</v>
      </c>
      <c r="B3059" t="str">
        <f>"00076795"</f>
        <v>00076795</v>
      </c>
      <c r="C3059" t="s">
        <v>4292</v>
      </c>
      <c r="H3059" t="s">
        <v>170</v>
      </c>
      <c r="I3059">
        <v>4</v>
      </c>
      <c r="J3059">
        <v>0</v>
      </c>
      <c r="K3059">
        <v>1</v>
      </c>
      <c r="L3059">
        <v>25662</v>
      </c>
      <c r="M3059" t="str">
        <f t="shared" si="444"/>
        <v>13</v>
      </c>
      <c r="N3059" t="s">
        <v>3370</v>
      </c>
      <c r="O3059" t="str">
        <f t="shared" si="441"/>
        <v>60311</v>
      </c>
      <c r="P3059" t="str">
        <f t="shared" ref="P3059:P3064" si="446">"2100L"</f>
        <v>2100L</v>
      </c>
      <c r="Q3059" t="str">
        <f t="shared" si="445"/>
        <v>0101</v>
      </c>
      <c r="R3059">
        <v>2100</v>
      </c>
      <c r="S3059" t="str">
        <f t="shared" si="442"/>
        <v>6030</v>
      </c>
      <c r="T3059" t="s">
        <v>3325</v>
      </c>
      <c r="U3059" t="s">
        <v>70</v>
      </c>
    </row>
    <row r="3060" spans="1:21" ht="15" customHeight="1" x14ac:dyDescent="0.3">
      <c r="A3060" t="s">
        <v>179</v>
      </c>
      <c r="B3060" t="str">
        <f>"00076953"</f>
        <v>00076953</v>
      </c>
      <c r="C3060" t="s">
        <v>3467</v>
      </c>
      <c r="H3060" t="s">
        <v>170</v>
      </c>
      <c r="I3060">
        <v>15</v>
      </c>
      <c r="J3060">
        <v>0</v>
      </c>
      <c r="K3060">
        <v>0.5</v>
      </c>
      <c r="L3060">
        <v>54975</v>
      </c>
      <c r="M3060" t="str">
        <f t="shared" si="444"/>
        <v>13</v>
      </c>
      <c r="N3060" t="s">
        <v>3370</v>
      </c>
      <c r="O3060" t="str">
        <f t="shared" si="441"/>
        <v>60311</v>
      </c>
      <c r="P3060" t="str">
        <f t="shared" si="446"/>
        <v>2100L</v>
      </c>
      <c r="Q3060" t="str">
        <f t="shared" si="445"/>
        <v>0101</v>
      </c>
      <c r="R3060">
        <v>2100</v>
      </c>
      <c r="S3060" t="str">
        <f t="shared" si="442"/>
        <v>6030</v>
      </c>
      <c r="T3060" t="s">
        <v>3325</v>
      </c>
      <c r="U3060" t="s">
        <v>70</v>
      </c>
    </row>
    <row r="3061" spans="1:21" ht="15" customHeight="1" x14ac:dyDescent="0.3">
      <c r="A3061" t="s">
        <v>179</v>
      </c>
      <c r="B3061" t="str">
        <f>"00051617"</f>
        <v>00051617</v>
      </c>
      <c r="C3061" t="s">
        <v>4272</v>
      </c>
      <c r="D3061" t="s">
        <v>2566</v>
      </c>
      <c r="E3061" t="str">
        <f>"00045105"</f>
        <v>00045105</v>
      </c>
      <c r="F3061">
        <v>0</v>
      </c>
      <c r="G3061" s="243">
        <v>33484</v>
      </c>
      <c r="H3061" t="s">
        <v>182</v>
      </c>
      <c r="I3061">
        <v>15</v>
      </c>
      <c r="J3061">
        <v>16</v>
      </c>
      <c r="K3061">
        <v>1</v>
      </c>
      <c r="L3061">
        <v>100839</v>
      </c>
      <c r="M3061" t="str">
        <f t="shared" si="444"/>
        <v>13</v>
      </c>
      <c r="N3061" t="s">
        <v>3323</v>
      </c>
      <c r="O3061" t="str">
        <f t="shared" ref="O3061:O3089" si="447">"60411"</f>
        <v>60411</v>
      </c>
      <c r="P3061" t="str">
        <f t="shared" si="446"/>
        <v>2100L</v>
      </c>
      <c r="Q3061" t="str">
        <f t="shared" si="445"/>
        <v>0101</v>
      </c>
      <c r="R3061">
        <v>2100</v>
      </c>
      <c r="S3061" t="str">
        <f t="shared" ref="S3061:S3089" si="448">"6040"</f>
        <v>6040</v>
      </c>
      <c r="T3061" t="s">
        <v>3704</v>
      </c>
      <c r="U3061" t="s">
        <v>2567</v>
      </c>
    </row>
    <row r="3062" spans="1:21" ht="15" customHeight="1" x14ac:dyDescent="0.3">
      <c r="A3062" t="s">
        <v>179</v>
      </c>
      <c r="B3062" t="str">
        <f>"00051623"</f>
        <v>00051623</v>
      </c>
      <c r="C3062" t="s">
        <v>4266</v>
      </c>
      <c r="H3062" t="s">
        <v>170</v>
      </c>
      <c r="I3062">
        <v>15</v>
      </c>
      <c r="J3062">
        <v>1</v>
      </c>
      <c r="K3062">
        <v>1</v>
      </c>
      <c r="L3062">
        <v>54975</v>
      </c>
      <c r="M3062" t="str">
        <f t="shared" si="444"/>
        <v>13</v>
      </c>
      <c r="N3062" t="s">
        <v>3323</v>
      </c>
      <c r="O3062" t="str">
        <f t="shared" si="447"/>
        <v>60411</v>
      </c>
      <c r="P3062" t="str">
        <f t="shared" si="446"/>
        <v>2100L</v>
      </c>
      <c r="Q3062" t="str">
        <f t="shared" si="445"/>
        <v>0101</v>
      </c>
      <c r="R3062">
        <v>2100</v>
      </c>
      <c r="S3062" t="str">
        <f t="shared" si="448"/>
        <v>6040</v>
      </c>
      <c r="T3062" t="s">
        <v>3704</v>
      </c>
      <c r="U3062" t="s">
        <v>2567</v>
      </c>
    </row>
    <row r="3063" spans="1:21" ht="15" customHeight="1" x14ac:dyDescent="0.3">
      <c r="A3063" t="s">
        <v>179</v>
      </c>
      <c r="B3063" t="str">
        <f>"00051814"</f>
        <v>00051814</v>
      </c>
      <c r="C3063" t="s">
        <v>4256</v>
      </c>
      <c r="D3063" t="s">
        <v>3747</v>
      </c>
      <c r="E3063" t="str">
        <f>"00065969"</f>
        <v>00065969</v>
      </c>
      <c r="F3063">
        <v>0</v>
      </c>
      <c r="G3063" s="243">
        <v>40755</v>
      </c>
      <c r="H3063" t="s">
        <v>182</v>
      </c>
      <c r="I3063">
        <v>15</v>
      </c>
      <c r="J3063">
        <v>2</v>
      </c>
      <c r="K3063">
        <v>1</v>
      </c>
      <c r="L3063">
        <v>56242</v>
      </c>
      <c r="M3063" t="str">
        <f t="shared" si="444"/>
        <v>13</v>
      </c>
      <c r="N3063" t="s">
        <v>3323</v>
      </c>
      <c r="O3063" t="str">
        <f t="shared" si="447"/>
        <v>60411</v>
      </c>
      <c r="P3063" t="str">
        <f t="shared" si="446"/>
        <v>2100L</v>
      </c>
      <c r="Q3063" t="str">
        <f t="shared" si="445"/>
        <v>0101</v>
      </c>
      <c r="R3063">
        <v>2100</v>
      </c>
      <c r="S3063" t="str">
        <f t="shared" si="448"/>
        <v>6040</v>
      </c>
      <c r="T3063" t="s">
        <v>3704</v>
      </c>
      <c r="U3063" t="s">
        <v>2567</v>
      </c>
    </row>
    <row r="3064" spans="1:21" ht="15" customHeight="1" x14ac:dyDescent="0.3">
      <c r="A3064" t="s">
        <v>179</v>
      </c>
      <c r="B3064" t="str">
        <f>"00051846"</f>
        <v>00051846</v>
      </c>
      <c r="C3064" t="s">
        <v>4266</v>
      </c>
      <c r="D3064" t="s">
        <v>2589</v>
      </c>
      <c r="E3064" t="str">
        <f>"00060127"</f>
        <v>00060127</v>
      </c>
      <c r="F3064">
        <v>0</v>
      </c>
      <c r="G3064" s="243">
        <v>41133</v>
      </c>
      <c r="H3064" t="s">
        <v>182</v>
      </c>
      <c r="I3064">
        <v>15</v>
      </c>
      <c r="J3064">
        <v>3</v>
      </c>
      <c r="K3064">
        <v>1</v>
      </c>
      <c r="L3064">
        <v>52777</v>
      </c>
      <c r="M3064" t="str">
        <f t="shared" si="444"/>
        <v>13</v>
      </c>
      <c r="N3064" t="s">
        <v>3323</v>
      </c>
      <c r="O3064" t="str">
        <f t="shared" si="447"/>
        <v>60411</v>
      </c>
      <c r="P3064" t="str">
        <f t="shared" si="446"/>
        <v>2100L</v>
      </c>
      <c r="Q3064" t="str">
        <f t="shared" si="445"/>
        <v>0101</v>
      </c>
      <c r="R3064">
        <v>2100</v>
      </c>
      <c r="S3064" t="str">
        <f t="shared" si="448"/>
        <v>6040</v>
      </c>
      <c r="T3064" t="s">
        <v>3704</v>
      </c>
      <c r="U3064" t="s">
        <v>2567</v>
      </c>
    </row>
    <row r="3065" spans="1:21" ht="15" customHeight="1" x14ac:dyDescent="0.3">
      <c r="A3065" t="s">
        <v>179</v>
      </c>
      <c r="B3065" t="str">
        <f>"00052135"</f>
        <v>00052135</v>
      </c>
      <c r="C3065" t="s">
        <v>4266</v>
      </c>
      <c r="D3065" t="s">
        <v>2570</v>
      </c>
      <c r="E3065" t="str">
        <f>"00047405"</f>
        <v>00047405</v>
      </c>
      <c r="F3065">
        <v>0</v>
      </c>
      <c r="G3065" s="243">
        <v>35675</v>
      </c>
      <c r="H3065" t="s">
        <v>182</v>
      </c>
      <c r="I3065">
        <v>15</v>
      </c>
      <c r="J3065">
        <v>15</v>
      </c>
      <c r="K3065">
        <v>1</v>
      </c>
      <c r="L3065">
        <v>103985</v>
      </c>
      <c r="M3065" t="str">
        <f t="shared" si="444"/>
        <v>13</v>
      </c>
      <c r="N3065" t="s">
        <v>3323</v>
      </c>
      <c r="O3065" t="str">
        <f t="shared" si="447"/>
        <v>60411</v>
      </c>
      <c r="P3065" t="str">
        <f>"2300L"</f>
        <v>2300L</v>
      </c>
      <c r="Q3065" t="str">
        <f t="shared" si="445"/>
        <v>0101</v>
      </c>
      <c r="R3065">
        <v>2300</v>
      </c>
      <c r="S3065" t="str">
        <f t="shared" si="448"/>
        <v>6040</v>
      </c>
      <c r="T3065" t="s">
        <v>3704</v>
      </c>
      <c r="U3065" t="s">
        <v>2567</v>
      </c>
    </row>
    <row r="3066" spans="1:21" ht="15" customHeight="1" x14ac:dyDescent="0.3">
      <c r="A3066" t="s">
        <v>179</v>
      </c>
      <c r="B3066" t="str">
        <f>"00052658"</f>
        <v>00052658</v>
      </c>
      <c r="C3066" t="s">
        <v>4262</v>
      </c>
      <c r="D3066" t="s">
        <v>2571</v>
      </c>
      <c r="E3066" t="str">
        <f>"00048810"</f>
        <v>00048810</v>
      </c>
      <c r="F3066">
        <v>0</v>
      </c>
      <c r="G3066" s="243">
        <v>33605</v>
      </c>
      <c r="H3066" t="s">
        <v>182</v>
      </c>
      <c r="I3066">
        <v>15</v>
      </c>
      <c r="J3066">
        <v>15</v>
      </c>
      <c r="K3066">
        <v>1</v>
      </c>
      <c r="L3066">
        <v>98285</v>
      </c>
      <c r="M3066" t="str">
        <f t="shared" si="444"/>
        <v>13</v>
      </c>
      <c r="N3066" t="s">
        <v>3323</v>
      </c>
      <c r="O3066" t="str">
        <f t="shared" si="447"/>
        <v>60411</v>
      </c>
      <c r="P3066" t="str">
        <f t="shared" ref="P3066:P3071" si="449">"2100L"</f>
        <v>2100L</v>
      </c>
      <c r="Q3066" t="str">
        <f t="shared" si="445"/>
        <v>0101</v>
      </c>
      <c r="R3066">
        <v>2100</v>
      </c>
      <c r="S3066" t="str">
        <f t="shared" si="448"/>
        <v>6040</v>
      </c>
      <c r="T3066" t="s">
        <v>3704</v>
      </c>
      <c r="U3066" t="s">
        <v>2567</v>
      </c>
    </row>
    <row r="3067" spans="1:21" ht="15" customHeight="1" x14ac:dyDescent="0.3">
      <c r="A3067" t="s">
        <v>179</v>
      </c>
      <c r="B3067" t="str">
        <f>"00052678"</f>
        <v>00052678</v>
      </c>
      <c r="C3067" t="s">
        <v>4272</v>
      </c>
      <c r="D3067" t="s">
        <v>2572</v>
      </c>
      <c r="E3067" t="str">
        <f>"00048882"</f>
        <v>00048882</v>
      </c>
      <c r="F3067">
        <v>0</v>
      </c>
      <c r="G3067" s="243">
        <v>35675</v>
      </c>
      <c r="H3067" t="s">
        <v>182</v>
      </c>
      <c r="I3067">
        <v>15</v>
      </c>
      <c r="J3067">
        <v>16</v>
      </c>
      <c r="K3067">
        <v>1</v>
      </c>
      <c r="L3067">
        <v>106540</v>
      </c>
      <c r="M3067" t="str">
        <f t="shared" si="444"/>
        <v>13</v>
      </c>
      <c r="N3067" t="s">
        <v>3323</v>
      </c>
      <c r="O3067" t="str">
        <f t="shared" si="447"/>
        <v>60411</v>
      </c>
      <c r="P3067" t="str">
        <f t="shared" si="449"/>
        <v>2100L</v>
      </c>
      <c r="Q3067" t="str">
        <f t="shared" si="445"/>
        <v>0101</v>
      </c>
      <c r="R3067">
        <v>2100</v>
      </c>
      <c r="S3067" t="str">
        <f t="shared" si="448"/>
        <v>6040</v>
      </c>
      <c r="T3067" t="s">
        <v>3704</v>
      </c>
      <c r="U3067" t="s">
        <v>2567</v>
      </c>
    </row>
    <row r="3068" spans="1:21" ht="15" customHeight="1" x14ac:dyDescent="0.3">
      <c r="A3068" t="s">
        <v>179</v>
      </c>
      <c r="B3068" t="str">
        <f>"00052919"</f>
        <v>00052919</v>
      </c>
      <c r="C3068" t="s">
        <v>4262</v>
      </c>
      <c r="D3068" t="s">
        <v>5228</v>
      </c>
      <c r="E3068" t="str">
        <f>"00050126"</f>
        <v>00050126</v>
      </c>
      <c r="F3068">
        <v>0</v>
      </c>
      <c r="G3068" s="243">
        <v>36102</v>
      </c>
      <c r="H3068" t="s">
        <v>182</v>
      </c>
      <c r="I3068">
        <v>15</v>
      </c>
      <c r="J3068">
        <v>12</v>
      </c>
      <c r="K3068">
        <v>1</v>
      </c>
      <c r="L3068">
        <v>87431</v>
      </c>
      <c r="M3068" t="str">
        <f t="shared" si="444"/>
        <v>13</v>
      </c>
      <c r="N3068" t="s">
        <v>3323</v>
      </c>
      <c r="O3068" t="str">
        <f t="shared" si="447"/>
        <v>60411</v>
      </c>
      <c r="P3068" t="str">
        <f t="shared" si="449"/>
        <v>2100L</v>
      </c>
      <c r="Q3068" t="str">
        <f t="shared" si="445"/>
        <v>0101</v>
      </c>
      <c r="R3068">
        <v>2100</v>
      </c>
      <c r="S3068" t="str">
        <f t="shared" si="448"/>
        <v>6040</v>
      </c>
      <c r="T3068" t="s">
        <v>3704</v>
      </c>
      <c r="U3068" t="s">
        <v>2567</v>
      </c>
    </row>
    <row r="3069" spans="1:21" ht="15" customHeight="1" x14ac:dyDescent="0.3">
      <c r="A3069" t="s">
        <v>179</v>
      </c>
      <c r="B3069" t="str">
        <f>"00052983"</f>
        <v>00052983</v>
      </c>
      <c r="C3069" t="s">
        <v>4262</v>
      </c>
      <c r="D3069" t="s">
        <v>2573</v>
      </c>
      <c r="E3069" t="str">
        <f>"00050540"</f>
        <v>00050540</v>
      </c>
      <c r="F3069">
        <v>0</v>
      </c>
      <c r="G3069" s="243">
        <v>34516</v>
      </c>
      <c r="H3069" t="s">
        <v>182</v>
      </c>
      <c r="I3069">
        <v>15</v>
      </c>
      <c r="J3069">
        <v>16</v>
      </c>
      <c r="K3069">
        <v>1</v>
      </c>
      <c r="L3069">
        <v>103347</v>
      </c>
      <c r="M3069" t="str">
        <f t="shared" si="444"/>
        <v>13</v>
      </c>
      <c r="N3069" t="s">
        <v>3323</v>
      </c>
      <c r="O3069" t="str">
        <f t="shared" si="447"/>
        <v>60411</v>
      </c>
      <c r="P3069" t="str">
        <f t="shared" si="449"/>
        <v>2100L</v>
      </c>
      <c r="Q3069" t="str">
        <f t="shared" si="445"/>
        <v>0101</v>
      </c>
      <c r="R3069">
        <v>2100</v>
      </c>
      <c r="S3069" t="str">
        <f t="shared" si="448"/>
        <v>6040</v>
      </c>
      <c r="T3069" t="s">
        <v>3704</v>
      </c>
      <c r="U3069" t="s">
        <v>2567</v>
      </c>
    </row>
    <row r="3070" spans="1:21" ht="15" customHeight="1" x14ac:dyDescent="0.3">
      <c r="A3070" t="s">
        <v>179</v>
      </c>
      <c r="B3070" t="str">
        <f>"00053062"</f>
        <v>00053062</v>
      </c>
      <c r="C3070" t="s">
        <v>4262</v>
      </c>
      <c r="D3070" t="s">
        <v>2574</v>
      </c>
      <c r="E3070" t="str">
        <f>"00062901"</f>
        <v>00062901</v>
      </c>
      <c r="F3070">
        <v>0</v>
      </c>
      <c r="G3070" s="243">
        <v>40406</v>
      </c>
      <c r="H3070" t="s">
        <v>182</v>
      </c>
      <c r="I3070">
        <v>15</v>
      </c>
      <c r="J3070">
        <v>2</v>
      </c>
      <c r="K3070">
        <v>1</v>
      </c>
      <c r="L3070">
        <v>51716</v>
      </c>
      <c r="M3070" t="str">
        <f t="shared" si="444"/>
        <v>13</v>
      </c>
      <c r="N3070" t="s">
        <v>3323</v>
      </c>
      <c r="O3070" t="str">
        <f t="shared" si="447"/>
        <v>60411</v>
      </c>
      <c r="P3070" t="str">
        <f t="shared" si="449"/>
        <v>2100L</v>
      </c>
      <c r="Q3070" t="str">
        <f t="shared" si="445"/>
        <v>0101</v>
      </c>
      <c r="R3070">
        <v>2100</v>
      </c>
      <c r="S3070" t="str">
        <f t="shared" si="448"/>
        <v>6040</v>
      </c>
      <c r="T3070" t="s">
        <v>3704</v>
      </c>
      <c r="U3070" t="s">
        <v>2567</v>
      </c>
    </row>
    <row r="3071" spans="1:21" ht="15" customHeight="1" x14ac:dyDescent="0.3">
      <c r="A3071" t="s">
        <v>179</v>
      </c>
      <c r="B3071" t="str">
        <f>"00053293"</f>
        <v>00053293</v>
      </c>
      <c r="C3071" t="s">
        <v>4254</v>
      </c>
      <c r="D3071" t="s">
        <v>2575</v>
      </c>
      <c r="E3071" t="str">
        <f>"00051243"</f>
        <v>00051243</v>
      </c>
      <c r="F3071">
        <v>0</v>
      </c>
      <c r="G3071" s="243">
        <v>32050</v>
      </c>
      <c r="H3071" t="s">
        <v>182</v>
      </c>
      <c r="I3071">
        <v>15</v>
      </c>
      <c r="J3071">
        <v>16</v>
      </c>
      <c r="K3071">
        <v>1</v>
      </c>
      <c r="L3071">
        <v>100839</v>
      </c>
      <c r="M3071" t="str">
        <f t="shared" si="444"/>
        <v>13</v>
      </c>
      <c r="N3071" t="s">
        <v>3323</v>
      </c>
      <c r="O3071" t="str">
        <f t="shared" si="447"/>
        <v>60411</v>
      </c>
      <c r="P3071" t="str">
        <f t="shared" si="449"/>
        <v>2100L</v>
      </c>
      <c r="Q3071" t="str">
        <f t="shared" si="445"/>
        <v>0101</v>
      </c>
      <c r="R3071">
        <v>2100</v>
      </c>
      <c r="S3071" t="str">
        <f t="shared" si="448"/>
        <v>6040</v>
      </c>
      <c r="T3071" t="s">
        <v>3704</v>
      </c>
      <c r="U3071" t="s">
        <v>2567</v>
      </c>
    </row>
    <row r="3072" spans="1:21" ht="15" customHeight="1" x14ac:dyDescent="0.3">
      <c r="A3072" t="s">
        <v>179</v>
      </c>
      <c r="B3072" t="str">
        <f>"00054322"</f>
        <v>00054322</v>
      </c>
      <c r="C3072" t="s">
        <v>4266</v>
      </c>
      <c r="D3072" t="s">
        <v>2576</v>
      </c>
      <c r="E3072" t="str">
        <f>"00053599"</f>
        <v>00053599</v>
      </c>
      <c r="F3072">
        <v>0</v>
      </c>
      <c r="G3072" s="243">
        <v>35307</v>
      </c>
      <c r="H3072" t="s">
        <v>182</v>
      </c>
      <c r="I3072">
        <v>15</v>
      </c>
      <c r="J3072">
        <v>14</v>
      </c>
      <c r="K3072">
        <v>1</v>
      </c>
      <c r="L3072">
        <v>98967</v>
      </c>
      <c r="M3072" t="str">
        <f t="shared" si="444"/>
        <v>13</v>
      </c>
      <c r="N3072" t="s">
        <v>3323</v>
      </c>
      <c r="O3072" t="str">
        <f t="shared" si="447"/>
        <v>60411</v>
      </c>
      <c r="P3072" t="str">
        <f>"2300L"</f>
        <v>2300L</v>
      </c>
      <c r="Q3072" t="str">
        <f t="shared" si="445"/>
        <v>0101</v>
      </c>
      <c r="R3072">
        <v>2300</v>
      </c>
      <c r="S3072" t="str">
        <f t="shared" si="448"/>
        <v>6040</v>
      </c>
      <c r="T3072" t="s">
        <v>3704</v>
      </c>
      <c r="U3072" t="s">
        <v>2567</v>
      </c>
    </row>
    <row r="3073" spans="1:21" ht="15" customHeight="1" x14ac:dyDescent="0.3">
      <c r="A3073" t="s">
        <v>179</v>
      </c>
      <c r="B3073" t="str">
        <f>"00054887"</f>
        <v>00054887</v>
      </c>
      <c r="C3073" t="s">
        <v>4288</v>
      </c>
      <c r="D3073" t="s">
        <v>5229</v>
      </c>
      <c r="E3073" t="str">
        <f>"00054874"</f>
        <v>00054874</v>
      </c>
      <c r="F3073">
        <v>0</v>
      </c>
      <c r="G3073" s="243">
        <v>31453</v>
      </c>
      <c r="H3073" t="s">
        <v>182</v>
      </c>
      <c r="I3073">
        <v>4</v>
      </c>
      <c r="J3073">
        <v>10</v>
      </c>
      <c r="K3073">
        <v>0.875</v>
      </c>
      <c r="L3073">
        <v>28721</v>
      </c>
      <c r="M3073" t="str">
        <f t="shared" si="444"/>
        <v>13</v>
      </c>
      <c r="N3073" t="s">
        <v>3323</v>
      </c>
      <c r="O3073" t="str">
        <f t="shared" si="447"/>
        <v>60411</v>
      </c>
      <c r="P3073" t="str">
        <f>"2200L"</f>
        <v>2200L</v>
      </c>
      <c r="Q3073" t="str">
        <f t="shared" si="445"/>
        <v>0101</v>
      </c>
      <c r="R3073">
        <v>2200</v>
      </c>
      <c r="S3073" t="str">
        <f t="shared" si="448"/>
        <v>6040</v>
      </c>
      <c r="T3073" t="s">
        <v>3704</v>
      </c>
      <c r="U3073" t="s">
        <v>2567</v>
      </c>
    </row>
    <row r="3074" spans="1:21" ht="15" customHeight="1" x14ac:dyDescent="0.3">
      <c r="A3074" t="s">
        <v>179</v>
      </c>
      <c r="B3074" t="str">
        <f>"00055103"</f>
        <v>00055103</v>
      </c>
      <c r="C3074" t="s">
        <v>4258</v>
      </c>
      <c r="D3074" t="s">
        <v>2577</v>
      </c>
      <c r="E3074" t="str">
        <f>"00048972"</f>
        <v>00048972</v>
      </c>
      <c r="F3074">
        <v>0</v>
      </c>
      <c r="G3074" s="243">
        <v>36390</v>
      </c>
      <c r="H3074" t="s">
        <v>182</v>
      </c>
      <c r="I3074">
        <v>15</v>
      </c>
      <c r="J3074">
        <v>12</v>
      </c>
      <c r="K3074">
        <v>1</v>
      </c>
      <c r="L3074">
        <v>87431</v>
      </c>
      <c r="M3074" t="str">
        <f t="shared" si="444"/>
        <v>13</v>
      </c>
      <c r="N3074" t="s">
        <v>3323</v>
      </c>
      <c r="O3074" t="str">
        <f t="shared" si="447"/>
        <v>60411</v>
      </c>
      <c r="P3074" t="str">
        <f>"2100L"</f>
        <v>2100L</v>
      </c>
      <c r="Q3074" t="str">
        <f t="shared" si="445"/>
        <v>0101</v>
      </c>
      <c r="R3074">
        <v>2100</v>
      </c>
      <c r="S3074" t="str">
        <f t="shared" si="448"/>
        <v>6040</v>
      </c>
      <c r="T3074" t="s">
        <v>3704</v>
      </c>
      <c r="U3074" t="s">
        <v>2567</v>
      </c>
    </row>
    <row r="3075" spans="1:21" ht="15" customHeight="1" x14ac:dyDescent="0.3">
      <c r="A3075" t="s">
        <v>179</v>
      </c>
      <c r="B3075" t="str">
        <f>"00056911"</f>
        <v>00056911</v>
      </c>
      <c r="C3075" t="s">
        <v>4272</v>
      </c>
      <c r="D3075" t="s">
        <v>3752</v>
      </c>
      <c r="E3075" t="str">
        <f>"00064401"</f>
        <v>00064401</v>
      </c>
      <c r="F3075">
        <v>0</v>
      </c>
      <c r="G3075" s="243">
        <v>40546</v>
      </c>
      <c r="H3075" t="s">
        <v>182</v>
      </c>
      <c r="I3075">
        <v>15</v>
      </c>
      <c r="J3075">
        <v>2</v>
      </c>
      <c r="K3075">
        <v>1</v>
      </c>
      <c r="L3075">
        <v>56242</v>
      </c>
      <c r="M3075" t="str">
        <f t="shared" si="444"/>
        <v>13</v>
      </c>
      <c r="N3075" t="s">
        <v>3323</v>
      </c>
      <c r="O3075" t="str">
        <f t="shared" si="447"/>
        <v>60411</v>
      </c>
      <c r="P3075" t="str">
        <f>"2100L"</f>
        <v>2100L</v>
      </c>
      <c r="Q3075" t="str">
        <f t="shared" si="445"/>
        <v>0101</v>
      </c>
      <c r="R3075">
        <v>2100</v>
      </c>
      <c r="S3075" t="str">
        <f t="shared" si="448"/>
        <v>6040</v>
      </c>
      <c r="T3075" t="s">
        <v>3704</v>
      </c>
      <c r="U3075" t="s">
        <v>2567</v>
      </c>
    </row>
    <row r="3076" spans="1:21" ht="15" customHeight="1" x14ac:dyDescent="0.3">
      <c r="A3076" t="s">
        <v>179</v>
      </c>
      <c r="B3076" t="str">
        <f>"00056943"</f>
        <v>00056943</v>
      </c>
      <c r="C3076" t="s">
        <v>4360</v>
      </c>
      <c r="D3076" t="s">
        <v>5230</v>
      </c>
      <c r="E3076" t="str">
        <f>"00054507"</f>
        <v>00054507</v>
      </c>
      <c r="F3076">
        <v>0</v>
      </c>
      <c r="G3076" s="243">
        <v>34152</v>
      </c>
      <c r="H3076" t="s">
        <v>182</v>
      </c>
      <c r="I3076">
        <v>7</v>
      </c>
      <c r="J3076">
        <v>7</v>
      </c>
      <c r="K3076">
        <v>1</v>
      </c>
      <c r="L3076">
        <v>41514</v>
      </c>
      <c r="M3076" t="str">
        <f t="shared" si="444"/>
        <v>13</v>
      </c>
      <c r="N3076" t="s">
        <v>3323</v>
      </c>
      <c r="O3076" t="str">
        <f t="shared" si="447"/>
        <v>60411</v>
      </c>
      <c r="P3076" t="str">
        <f>"1502L"</f>
        <v>1502L</v>
      </c>
      <c r="Q3076" t="str">
        <f t="shared" si="445"/>
        <v>0101</v>
      </c>
      <c r="R3076">
        <v>1502</v>
      </c>
      <c r="S3076" t="str">
        <f t="shared" si="448"/>
        <v>6040</v>
      </c>
      <c r="T3076" t="s">
        <v>3704</v>
      </c>
      <c r="U3076" t="s">
        <v>2567</v>
      </c>
    </row>
    <row r="3077" spans="1:21" ht="15" customHeight="1" x14ac:dyDescent="0.3">
      <c r="A3077" t="s">
        <v>179</v>
      </c>
      <c r="B3077" t="str">
        <f>"00057042"</f>
        <v>00057042</v>
      </c>
      <c r="C3077" t="s">
        <v>4263</v>
      </c>
      <c r="D3077" t="s">
        <v>5231</v>
      </c>
      <c r="E3077" t="str">
        <f>"00069655"</f>
        <v>00069655</v>
      </c>
      <c r="F3077">
        <v>0</v>
      </c>
      <c r="G3077" s="243">
        <v>41133</v>
      </c>
      <c r="H3077" t="s">
        <v>182</v>
      </c>
      <c r="I3077">
        <v>15</v>
      </c>
      <c r="J3077">
        <v>10</v>
      </c>
      <c r="K3077">
        <v>1</v>
      </c>
      <c r="L3077">
        <v>78273</v>
      </c>
      <c r="M3077" t="str">
        <f t="shared" si="444"/>
        <v>13</v>
      </c>
      <c r="N3077" t="s">
        <v>3370</v>
      </c>
      <c r="O3077" t="str">
        <f t="shared" si="447"/>
        <v>60411</v>
      </c>
      <c r="P3077" t="str">
        <f>"2100L"</f>
        <v>2100L</v>
      </c>
      <c r="Q3077" t="str">
        <f t="shared" si="445"/>
        <v>0101</v>
      </c>
      <c r="R3077">
        <v>2100</v>
      </c>
      <c r="S3077" t="str">
        <f t="shared" si="448"/>
        <v>6040</v>
      </c>
      <c r="T3077" t="s">
        <v>3704</v>
      </c>
      <c r="U3077" t="s">
        <v>2567</v>
      </c>
    </row>
    <row r="3078" spans="1:21" ht="15" customHeight="1" x14ac:dyDescent="0.3">
      <c r="A3078" t="s">
        <v>179</v>
      </c>
      <c r="B3078" t="str">
        <f>"00057053"</f>
        <v>00057053</v>
      </c>
      <c r="C3078" t="s">
        <v>4343</v>
      </c>
      <c r="D3078" t="s">
        <v>3746</v>
      </c>
      <c r="E3078" t="str">
        <f>"00061569"</f>
        <v>00061569</v>
      </c>
      <c r="F3078">
        <v>0</v>
      </c>
      <c r="G3078" s="243">
        <v>40469</v>
      </c>
      <c r="H3078" t="s">
        <v>182</v>
      </c>
      <c r="I3078">
        <v>15</v>
      </c>
      <c r="J3078">
        <v>12</v>
      </c>
      <c r="K3078">
        <v>1</v>
      </c>
      <c r="L3078">
        <v>89887</v>
      </c>
      <c r="M3078" t="str">
        <f t="shared" si="444"/>
        <v>13</v>
      </c>
      <c r="N3078" t="s">
        <v>3323</v>
      </c>
      <c r="O3078" t="str">
        <f t="shared" si="447"/>
        <v>60411</v>
      </c>
      <c r="P3078" t="str">
        <f>"2300L"</f>
        <v>2300L</v>
      </c>
      <c r="Q3078" t="str">
        <f t="shared" si="445"/>
        <v>0101</v>
      </c>
      <c r="R3078">
        <v>2300</v>
      </c>
      <c r="S3078" t="str">
        <f t="shared" si="448"/>
        <v>6040</v>
      </c>
      <c r="T3078" t="s">
        <v>3704</v>
      </c>
      <c r="U3078" t="s">
        <v>2567</v>
      </c>
    </row>
    <row r="3079" spans="1:21" ht="15" customHeight="1" x14ac:dyDescent="0.3">
      <c r="A3079" t="s">
        <v>179</v>
      </c>
      <c r="B3079" t="str">
        <f>"00057239"</f>
        <v>00057239</v>
      </c>
      <c r="C3079" t="s">
        <v>4262</v>
      </c>
      <c r="D3079" t="s">
        <v>2579</v>
      </c>
      <c r="E3079" t="str">
        <f>"00055213"</f>
        <v>00055213</v>
      </c>
      <c r="F3079">
        <v>0</v>
      </c>
      <c r="G3079" s="243">
        <v>36642</v>
      </c>
      <c r="H3079" t="s">
        <v>182</v>
      </c>
      <c r="I3079">
        <v>15</v>
      </c>
      <c r="J3079">
        <v>6</v>
      </c>
      <c r="K3079">
        <v>1</v>
      </c>
      <c r="L3079">
        <v>66078</v>
      </c>
      <c r="M3079" t="str">
        <f t="shared" si="444"/>
        <v>13</v>
      </c>
      <c r="N3079" t="s">
        <v>3323</v>
      </c>
      <c r="O3079" t="str">
        <f t="shared" si="447"/>
        <v>60411</v>
      </c>
      <c r="P3079" t="str">
        <f>"2100L"</f>
        <v>2100L</v>
      </c>
      <c r="Q3079" t="str">
        <f t="shared" si="445"/>
        <v>0101</v>
      </c>
      <c r="R3079">
        <v>2100</v>
      </c>
      <c r="S3079" t="str">
        <f t="shared" si="448"/>
        <v>6040</v>
      </c>
      <c r="T3079" t="s">
        <v>3704</v>
      </c>
      <c r="U3079" t="s">
        <v>2567</v>
      </c>
    </row>
    <row r="3080" spans="1:21" ht="15" customHeight="1" x14ac:dyDescent="0.3">
      <c r="A3080" t="s">
        <v>179</v>
      </c>
      <c r="B3080" t="str">
        <f>"00057943"</f>
        <v>00057943</v>
      </c>
      <c r="C3080" t="s">
        <v>3798</v>
      </c>
      <c r="D3080" t="s">
        <v>1212</v>
      </c>
      <c r="E3080" t="str">
        <f>"00051523"</f>
        <v>00051523</v>
      </c>
      <c r="F3080">
        <v>0</v>
      </c>
      <c r="G3080" s="243">
        <v>36390</v>
      </c>
      <c r="H3080" t="s">
        <v>182</v>
      </c>
      <c r="I3080">
        <v>61</v>
      </c>
      <c r="J3080">
        <v>2</v>
      </c>
      <c r="K3080">
        <v>1</v>
      </c>
      <c r="L3080">
        <v>105000</v>
      </c>
      <c r="M3080" t="str">
        <f t="shared" si="444"/>
        <v>13</v>
      </c>
      <c r="N3080" t="s">
        <v>3323</v>
      </c>
      <c r="O3080" t="str">
        <f t="shared" si="447"/>
        <v>60411</v>
      </c>
      <c r="P3080" t="str">
        <f>"1501L"</f>
        <v>1501L</v>
      </c>
      <c r="Q3080" t="str">
        <f t="shared" si="445"/>
        <v>0101</v>
      </c>
      <c r="R3080">
        <v>1501</v>
      </c>
      <c r="S3080" t="str">
        <f t="shared" si="448"/>
        <v>6040</v>
      </c>
      <c r="T3080" t="s">
        <v>3704</v>
      </c>
      <c r="U3080" t="s">
        <v>2567</v>
      </c>
    </row>
    <row r="3081" spans="1:21" ht="15" customHeight="1" x14ac:dyDescent="0.3">
      <c r="A3081" t="s">
        <v>179</v>
      </c>
      <c r="B3081" t="str">
        <f>"00057976"</f>
        <v>00057976</v>
      </c>
      <c r="C3081" t="s">
        <v>4266</v>
      </c>
      <c r="D3081" t="s">
        <v>2580</v>
      </c>
      <c r="E3081" t="str">
        <f>"00049195"</f>
        <v>00049195</v>
      </c>
      <c r="F3081">
        <v>0</v>
      </c>
      <c r="G3081" s="243">
        <v>36600</v>
      </c>
      <c r="H3081" t="s">
        <v>182</v>
      </c>
      <c r="I3081">
        <v>15</v>
      </c>
      <c r="J3081">
        <v>16</v>
      </c>
      <c r="K3081">
        <v>1</v>
      </c>
      <c r="L3081">
        <v>103347</v>
      </c>
      <c r="M3081" t="str">
        <f t="shared" si="444"/>
        <v>13</v>
      </c>
      <c r="N3081" t="s">
        <v>3323</v>
      </c>
      <c r="O3081" t="str">
        <f t="shared" si="447"/>
        <v>60411</v>
      </c>
      <c r="P3081" t="str">
        <f>"2300L"</f>
        <v>2300L</v>
      </c>
      <c r="Q3081" t="str">
        <f t="shared" si="445"/>
        <v>0101</v>
      </c>
      <c r="R3081">
        <v>2300</v>
      </c>
      <c r="S3081" t="str">
        <f t="shared" si="448"/>
        <v>6040</v>
      </c>
      <c r="T3081" t="s">
        <v>3704</v>
      </c>
      <c r="U3081" t="s">
        <v>2567</v>
      </c>
    </row>
    <row r="3082" spans="1:21" ht="15" customHeight="1" x14ac:dyDescent="0.3">
      <c r="A3082" t="s">
        <v>179</v>
      </c>
      <c r="B3082" t="str">
        <f>"00058261"</f>
        <v>00058261</v>
      </c>
      <c r="C3082" t="s">
        <v>4306</v>
      </c>
      <c r="D3082" t="s">
        <v>5232</v>
      </c>
      <c r="E3082" t="str">
        <f>"00053536"</f>
        <v>00053536</v>
      </c>
      <c r="F3082">
        <v>0</v>
      </c>
      <c r="G3082" s="243">
        <v>37132</v>
      </c>
      <c r="H3082" t="s">
        <v>182</v>
      </c>
      <c r="I3082">
        <v>9</v>
      </c>
      <c r="J3082">
        <v>6</v>
      </c>
      <c r="K3082">
        <v>1</v>
      </c>
      <c r="L3082">
        <v>38478</v>
      </c>
      <c r="M3082" t="str">
        <f t="shared" si="444"/>
        <v>13</v>
      </c>
      <c r="N3082" t="s">
        <v>3323</v>
      </c>
      <c r="O3082" t="str">
        <f t="shared" si="447"/>
        <v>60411</v>
      </c>
      <c r="P3082" t="str">
        <f>"1502L"</f>
        <v>1502L</v>
      </c>
      <c r="Q3082" t="str">
        <f t="shared" si="445"/>
        <v>0101</v>
      </c>
      <c r="R3082">
        <v>1502</v>
      </c>
      <c r="S3082" t="str">
        <f t="shared" si="448"/>
        <v>6040</v>
      </c>
      <c r="T3082" t="s">
        <v>3704</v>
      </c>
      <c r="U3082" t="s">
        <v>2567</v>
      </c>
    </row>
    <row r="3083" spans="1:21" ht="15" customHeight="1" x14ac:dyDescent="0.3">
      <c r="A3083" t="s">
        <v>179</v>
      </c>
      <c r="B3083" t="str">
        <f>"00058924"</f>
        <v>00058924</v>
      </c>
      <c r="C3083" t="s">
        <v>4272</v>
      </c>
      <c r="D3083" t="s">
        <v>2581</v>
      </c>
      <c r="E3083" t="str">
        <f>"00049174"</f>
        <v>00049174</v>
      </c>
      <c r="F3083">
        <v>0</v>
      </c>
      <c r="G3083" s="243">
        <v>37493</v>
      </c>
      <c r="H3083" t="s">
        <v>182</v>
      </c>
      <c r="I3083">
        <v>15</v>
      </c>
      <c r="J3083">
        <v>15</v>
      </c>
      <c r="K3083">
        <v>1</v>
      </c>
      <c r="L3083">
        <v>98285</v>
      </c>
      <c r="M3083" t="str">
        <f t="shared" si="444"/>
        <v>13</v>
      </c>
      <c r="N3083" t="s">
        <v>3323</v>
      </c>
      <c r="O3083" t="str">
        <f t="shared" si="447"/>
        <v>60411</v>
      </c>
      <c r="P3083" t="str">
        <f>"2100L"</f>
        <v>2100L</v>
      </c>
      <c r="Q3083" t="str">
        <f t="shared" si="445"/>
        <v>0101</v>
      </c>
      <c r="R3083">
        <v>2100</v>
      </c>
      <c r="S3083" t="str">
        <f t="shared" si="448"/>
        <v>6040</v>
      </c>
      <c r="T3083" t="s">
        <v>3704</v>
      </c>
      <c r="U3083" t="s">
        <v>2567</v>
      </c>
    </row>
    <row r="3084" spans="1:21" ht="15" customHeight="1" x14ac:dyDescent="0.3">
      <c r="A3084" t="s">
        <v>179</v>
      </c>
      <c r="B3084" t="str">
        <f>"00060210"</f>
        <v>00060210</v>
      </c>
      <c r="C3084" t="s">
        <v>4262</v>
      </c>
      <c r="D3084" t="s">
        <v>2582</v>
      </c>
      <c r="E3084" t="str">
        <f>"00050186"</f>
        <v>00050186</v>
      </c>
      <c r="F3084">
        <v>0</v>
      </c>
      <c r="G3084" s="243">
        <v>37450</v>
      </c>
      <c r="H3084" t="s">
        <v>182</v>
      </c>
      <c r="I3084">
        <v>15</v>
      </c>
      <c r="J3084">
        <v>12</v>
      </c>
      <c r="K3084">
        <v>1</v>
      </c>
      <c r="L3084">
        <v>92613</v>
      </c>
      <c r="M3084" t="str">
        <f t="shared" si="444"/>
        <v>13</v>
      </c>
      <c r="N3084" t="s">
        <v>3323</v>
      </c>
      <c r="O3084" t="str">
        <f t="shared" si="447"/>
        <v>60411</v>
      </c>
      <c r="P3084" t="str">
        <f>"2100L"</f>
        <v>2100L</v>
      </c>
      <c r="Q3084" t="str">
        <f t="shared" si="445"/>
        <v>0101</v>
      </c>
      <c r="R3084">
        <v>2100</v>
      </c>
      <c r="S3084" t="str">
        <f t="shared" si="448"/>
        <v>6040</v>
      </c>
      <c r="T3084" t="s">
        <v>3704</v>
      </c>
      <c r="U3084" t="s">
        <v>2567</v>
      </c>
    </row>
    <row r="3085" spans="1:21" ht="15" customHeight="1" x14ac:dyDescent="0.3">
      <c r="A3085" t="s">
        <v>179</v>
      </c>
      <c r="B3085" t="str">
        <f>"00060656"</f>
        <v>00060656</v>
      </c>
      <c r="C3085" t="s">
        <v>4266</v>
      </c>
      <c r="D3085" t="s">
        <v>2583</v>
      </c>
      <c r="E3085" t="str">
        <f>"00052203"</f>
        <v>00052203</v>
      </c>
      <c r="F3085">
        <v>0</v>
      </c>
      <c r="G3085" s="243">
        <v>39062</v>
      </c>
      <c r="H3085" t="s">
        <v>182</v>
      </c>
      <c r="I3085">
        <v>15</v>
      </c>
      <c r="J3085">
        <v>6</v>
      </c>
      <c r="K3085">
        <v>1</v>
      </c>
      <c r="L3085">
        <v>66078</v>
      </c>
      <c r="M3085" t="str">
        <f t="shared" si="444"/>
        <v>13</v>
      </c>
      <c r="N3085" t="s">
        <v>3323</v>
      </c>
      <c r="O3085" t="str">
        <f t="shared" si="447"/>
        <v>60411</v>
      </c>
      <c r="P3085" t="str">
        <f>"2300L"</f>
        <v>2300L</v>
      </c>
      <c r="Q3085" t="str">
        <f t="shared" si="445"/>
        <v>0101</v>
      </c>
      <c r="R3085">
        <v>2300</v>
      </c>
      <c r="S3085" t="str">
        <f t="shared" si="448"/>
        <v>6040</v>
      </c>
      <c r="T3085" t="s">
        <v>3704</v>
      </c>
      <c r="U3085" t="s">
        <v>2567</v>
      </c>
    </row>
    <row r="3086" spans="1:21" ht="15" customHeight="1" x14ac:dyDescent="0.3">
      <c r="A3086" t="s">
        <v>179</v>
      </c>
      <c r="B3086" t="str">
        <f>"00060874"</f>
        <v>00060874</v>
      </c>
      <c r="C3086" t="s">
        <v>4262</v>
      </c>
      <c r="H3086" t="s">
        <v>170</v>
      </c>
      <c r="I3086">
        <v>15</v>
      </c>
      <c r="J3086">
        <v>1</v>
      </c>
      <c r="K3086">
        <v>1</v>
      </c>
      <c r="L3086">
        <v>51539</v>
      </c>
      <c r="M3086" t="str">
        <f t="shared" si="444"/>
        <v>13</v>
      </c>
      <c r="N3086" t="s">
        <v>3323</v>
      </c>
      <c r="O3086" t="str">
        <f t="shared" si="447"/>
        <v>60411</v>
      </c>
      <c r="P3086" t="str">
        <f>"2100L"</f>
        <v>2100L</v>
      </c>
      <c r="Q3086" t="str">
        <f t="shared" si="445"/>
        <v>0101</v>
      </c>
      <c r="R3086">
        <v>2100</v>
      </c>
      <c r="S3086" t="str">
        <f t="shared" si="448"/>
        <v>6040</v>
      </c>
      <c r="T3086" t="s">
        <v>3704</v>
      </c>
      <c r="U3086" t="s">
        <v>2567</v>
      </c>
    </row>
    <row r="3087" spans="1:21" ht="15" customHeight="1" x14ac:dyDescent="0.3">
      <c r="A3087" t="s">
        <v>179</v>
      </c>
      <c r="B3087" t="str">
        <f>"00060907"</f>
        <v>00060907</v>
      </c>
      <c r="C3087" t="s">
        <v>4262</v>
      </c>
      <c r="D3087" t="s">
        <v>2584</v>
      </c>
      <c r="E3087" t="str">
        <f>"00062677"</f>
        <v>00062677</v>
      </c>
      <c r="F3087">
        <v>0</v>
      </c>
      <c r="G3087" s="243">
        <v>40406</v>
      </c>
      <c r="H3087" t="s">
        <v>182</v>
      </c>
      <c r="I3087">
        <v>15</v>
      </c>
      <c r="J3087">
        <v>2</v>
      </c>
      <c r="K3087">
        <v>1</v>
      </c>
      <c r="L3087">
        <v>56242</v>
      </c>
      <c r="M3087" t="str">
        <f t="shared" si="444"/>
        <v>13</v>
      </c>
      <c r="N3087" t="s">
        <v>3323</v>
      </c>
      <c r="O3087" t="str">
        <f t="shared" si="447"/>
        <v>60411</v>
      </c>
      <c r="P3087" t="str">
        <f>"2100L"</f>
        <v>2100L</v>
      </c>
      <c r="Q3087" t="str">
        <f t="shared" si="445"/>
        <v>0101</v>
      </c>
      <c r="R3087">
        <v>2100</v>
      </c>
      <c r="S3087" t="str">
        <f t="shared" si="448"/>
        <v>6040</v>
      </c>
      <c r="T3087" t="s">
        <v>3704</v>
      </c>
      <c r="U3087" t="s">
        <v>2567</v>
      </c>
    </row>
    <row r="3088" spans="1:21" ht="15" customHeight="1" x14ac:dyDescent="0.3">
      <c r="A3088" t="s">
        <v>179</v>
      </c>
      <c r="B3088" t="str">
        <f>"00060966"</f>
        <v>00060966</v>
      </c>
      <c r="C3088" t="s">
        <v>4272</v>
      </c>
      <c r="D3088" t="s">
        <v>2585</v>
      </c>
      <c r="E3088" t="str">
        <f>"00062733"</f>
        <v>00062733</v>
      </c>
      <c r="F3088">
        <v>0</v>
      </c>
      <c r="G3088" s="243">
        <v>40406</v>
      </c>
      <c r="H3088" t="s">
        <v>182</v>
      </c>
      <c r="I3088">
        <v>15</v>
      </c>
      <c r="J3088">
        <v>3</v>
      </c>
      <c r="K3088">
        <v>1</v>
      </c>
      <c r="L3088">
        <v>52777</v>
      </c>
      <c r="M3088" t="str">
        <f t="shared" si="444"/>
        <v>13</v>
      </c>
      <c r="N3088" t="s">
        <v>3323</v>
      </c>
      <c r="O3088" t="str">
        <f t="shared" si="447"/>
        <v>60411</v>
      </c>
      <c r="P3088" t="str">
        <f>"2100L"</f>
        <v>2100L</v>
      </c>
      <c r="Q3088" t="str">
        <f t="shared" si="445"/>
        <v>0101</v>
      </c>
      <c r="R3088">
        <v>2100</v>
      </c>
      <c r="S3088" t="str">
        <f t="shared" si="448"/>
        <v>6040</v>
      </c>
      <c r="T3088" t="s">
        <v>3704</v>
      </c>
      <c r="U3088" t="s">
        <v>2567</v>
      </c>
    </row>
    <row r="3089" spans="1:21" ht="15" customHeight="1" x14ac:dyDescent="0.3">
      <c r="A3089" t="s">
        <v>179</v>
      </c>
      <c r="B3089" t="str">
        <f>"00061000"</f>
        <v>00061000</v>
      </c>
      <c r="C3089" t="s">
        <v>4262</v>
      </c>
      <c r="D3089" t="s">
        <v>3750</v>
      </c>
      <c r="E3089" t="str">
        <f>"00044471"</f>
        <v>00044471</v>
      </c>
      <c r="F3089">
        <v>0</v>
      </c>
      <c r="G3089" s="243">
        <v>39790</v>
      </c>
      <c r="H3089" t="s">
        <v>182</v>
      </c>
      <c r="I3089">
        <v>15</v>
      </c>
      <c r="J3089">
        <v>12</v>
      </c>
      <c r="K3089">
        <v>1</v>
      </c>
      <c r="L3089">
        <v>87431</v>
      </c>
      <c r="M3089" t="str">
        <f t="shared" si="444"/>
        <v>13</v>
      </c>
      <c r="N3089" t="s">
        <v>3323</v>
      </c>
      <c r="O3089" t="str">
        <f t="shared" si="447"/>
        <v>60411</v>
      </c>
      <c r="P3089" t="str">
        <f>"2100L"</f>
        <v>2100L</v>
      </c>
      <c r="Q3089" t="str">
        <f t="shared" si="445"/>
        <v>0101</v>
      </c>
      <c r="R3089">
        <v>2100</v>
      </c>
      <c r="S3089" t="str">
        <f t="shared" si="448"/>
        <v>6040</v>
      </c>
      <c r="T3089" t="s">
        <v>3704</v>
      </c>
      <c r="U3089" t="s">
        <v>2567</v>
      </c>
    </row>
    <row r="3090" spans="1:21" ht="15" customHeight="1" x14ac:dyDescent="0.3">
      <c r="A3090" t="s">
        <v>179</v>
      </c>
      <c r="B3090" t="str">
        <f>"00061613"</f>
        <v>00061613</v>
      </c>
      <c r="C3090" t="s">
        <v>4274</v>
      </c>
      <c r="D3090" t="s">
        <v>5233</v>
      </c>
      <c r="E3090" t="str">
        <f>"00044563"</f>
        <v>00044563</v>
      </c>
      <c r="F3090">
        <v>0</v>
      </c>
      <c r="G3090" s="243">
        <v>39393</v>
      </c>
      <c r="H3090" t="s">
        <v>182</v>
      </c>
      <c r="I3090">
        <v>4</v>
      </c>
      <c r="J3090">
        <v>6</v>
      </c>
      <c r="K3090">
        <v>0.875</v>
      </c>
      <c r="L3090">
        <v>25935.88</v>
      </c>
      <c r="M3090" t="str">
        <f t="shared" si="444"/>
        <v>13</v>
      </c>
      <c r="N3090" t="s">
        <v>3323</v>
      </c>
      <c r="O3090" t="str">
        <f t="shared" ref="O3090:O3110" si="450">"60411"</f>
        <v>60411</v>
      </c>
      <c r="P3090" t="str">
        <f>"2200L"</f>
        <v>2200L</v>
      </c>
      <c r="Q3090" t="str">
        <f t="shared" si="445"/>
        <v>0101</v>
      </c>
      <c r="R3090">
        <v>2200</v>
      </c>
      <c r="S3090" t="str">
        <f t="shared" ref="S3090:S3110" si="451">"6040"</f>
        <v>6040</v>
      </c>
      <c r="T3090" t="s">
        <v>3704</v>
      </c>
      <c r="U3090" t="s">
        <v>2567</v>
      </c>
    </row>
    <row r="3091" spans="1:21" ht="15" customHeight="1" x14ac:dyDescent="0.3">
      <c r="A3091" t="s">
        <v>179</v>
      </c>
      <c r="B3091" t="str">
        <f>"00061899"</f>
        <v>00061899</v>
      </c>
      <c r="C3091" t="s">
        <v>4257</v>
      </c>
      <c r="D3091" t="s">
        <v>3751</v>
      </c>
      <c r="E3091" t="str">
        <f>"00064640"</f>
        <v>00064640</v>
      </c>
      <c r="F3091">
        <v>0</v>
      </c>
      <c r="G3091" s="243">
        <v>40589</v>
      </c>
      <c r="H3091" t="s">
        <v>182</v>
      </c>
      <c r="I3091">
        <v>15</v>
      </c>
      <c r="J3091">
        <v>2</v>
      </c>
      <c r="K3091">
        <v>1</v>
      </c>
      <c r="L3091">
        <v>51716</v>
      </c>
      <c r="M3091" t="str">
        <f t="shared" si="444"/>
        <v>13</v>
      </c>
      <c r="N3091" t="s">
        <v>3323</v>
      </c>
      <c r="O3091" t="str">
        <f t="shared" si="450"/>
        <v>60411</v>
      </c>
      <c r="P3091" t="str">
        <f>"2100L"</f>
        <v>2100L</v>
      </c>
      <c r="Q3091" t="str">
        <f t="shared" si="445"/>
        <v>0101</v>
      </c>
      <c r="R3091">
        <v>2100</v>
      </c>
      <c r="S3091" t="str">
        <f t="shared" si="451"/>
        <v>6040</v>
      </c>
      <c r="T3091" t="s">
        <v>3704</v>
      </c>
      <c r="U3091" t="s">
        <v>2567</v>
      </c>
    </row>
    <row r="3092" spans="1:21" ht="15" customHeight="1" x14ac:dyDescent="0.3">
      <c r="A3092" t="s">
        <v>179</v>
      </c>
      <c r="B3092" t="str">
        <f>"00061919"</f>
        <v>00061919</v>
      </c>
      <c r="C3092" t="s">
        <v>1876</v>
      </c>
      <c r="H3092" t="s">
        <v>170</v>
      </c>
      <c r="I3092">
        <v>15</v>
      </c>
      <c r="J3092">
        <v>0</v>
      </c>
      <c r="K3092">
        <v>1</v>
      </c>
      <c r="L3092">
        <v>54975</v>
      </c>
      <c r="M3092" t="str">
        <f t="shared" si="444"/>
        <v>13</v>
      </c>
      <c r="N3092" t="s">
        <v>3323</v>
      </c>
      <c r="O3092" t="str">
        <f t="shared" si="450"/>
        <v>60411</v>
      </c>
      <c r="P3092" t="str">
        <f>"2100L"</f>
        <v>2100L</v>
      </c>
      <c r="Q3092" t="str">
        <f t="shared" si="445"/>
        <v>0101</v>
      </c>
      <c r="R3092">
        <v>2100</v>
      </c>
      <c r="S3092" t="str">
        <f t="shared" si="451"/>
        <v>6040</v>
      </c>
      <c r="T3092" t="s">
        <v>4133</v>
      </c>
      <c r="U3092" t="s">
        <v>106</v>
      </c>
    </row>
    <row r="3093" spans="1:21" ht="15" customHeight="1" x14ac:dyDescent="0.3">
      <c r="A3093" t="s">
        <v>179</v>
      </c>
      <c r="B3093" t="str">
        <f>"00062554"</f>
        <v>00062554</v>
      </c>
      <c r="C3093" t="s">
        <v>4288</v>
      </c>
      <c r="D3093" t="s">
        <v>5234</v>
      </c>
      <c r="E3093" t="str">
        <f>"00051371"</f>
        <v>00051371</v>
      </c>
      <c r="F3093">
        <v>0</v>
      </c>
      <c r="G3093" s="243">
        <v>39700</v>
      </c>
      <c r="H3093" t="s">
        <v>182</v>
      </c>
      <c r="I3093">
        <v>4</v>
      </c>
      <c r="J3093">
        <v>6</v>
      </c>
      <c r="K3093">
        <v>0.875</v>
      </c>
      <c r="L3093">
        <v>25935.88</v>
      </c>
      <c r="M3093" t="str">
        <f t="shared" si="444"/>
        <v>13</v>
      </c>
      <c r="N3093" t="s">
        <v>3323</v>
      </c>
      <c r="O3093" t="str">
        <f t="shared" si="450"/>
        <v>60411</v>
      </c>
      <c r="P3093" t="str">
        <f>"2200L"</f>
        <v>2200L</v>
      </c>
      <c r="Q3093" t="str">
        <f t="shared" si="445"/>
        <v>0101</v>
      </c>
      <c r="R3093">
        <v>2200</v>
      </c>
      <c r="S3093" t="str">
        <f t="shared" si="451"/>
        <v>6040</v>
      </c>
      <c r="T3093" t="s">
        <v>3704</v>
      </c>
      <c r="U3093" t="s">
        <v>2567</v>
      </c>
    </row>
    <row r="3094" spans="1:21" ht="15" customHeight="1" x14ac:dyDescent="0.3">
      <c r="A3094" t="s">
        <v>179</v>
      </c>
      <c r="B3094" t="str">
        <f>"00062662"</f>
        <v>00062662</v>
      </c>
      <c r="C3094" t="s">
        <v>4260</v>
      </c>
      <c r="D3094" t="s">
        <v>2587</v>
      </c>
      <c r="E3094" t="str">
        <f>"00045154"</f>
        <v>00045154</v>
      </c>
      <c r="F3094">
        <v>0</v>
      </c>
      <c r="G3094" s="243">
        <v>39729</v>
      </c>
      <c r="H3094" t="s">
        <v>182</v>
      </c>
      <c r="I3094">
        <v>15</v>
      </c>
      <c r="J3094">
        <v>5</v>
      </c>
      <c r="K3094">
        <v>1</v>
      </c>
      <c r="L3094">
        <v>63611</v>
      </c>
      <c r="M3094" t="str">
        <f t="shared" si="444"/>
        <v>13</v>
      </c>
      <c r="N3094" t="s">
        <v>3323</v>
      </c>
      <c r="O3094" t="str">
        <f t="shared" si="450"/>
        <v>60411</v>
      </c>
      <c r="P3094" t="str">
        <f>"2100L"</f>
        <v>2100L</v>
      </c>
      <c r="Q3094" t="str">
        <f t="shared" si="445"/>
        <v>0101</v>
      </c>
      <c r="R3094">
        <v>2100</v>
      </c>
      <c r="S3094" t="str">
        <f t="shared" si="451"/>
        <v>6040</v>
      </c>
      <c r="T3094" t="s">
        <v>3704</v>
      </c>
      <c r="U3094" t="s">
        <v>2567</v>
      </c>
    </row>
    <row r="3095" spans="1:21" ht="15" customHeight="1" x14ac:dyDescent="0.3">
      <c r="A3095" t="s">
        <v>179</v>
      </c>
      <c r="B3095" t="str">
        <f>"00065695"</f>
        <v>00065695</v>
      </c>
      <c r="C3095" t="s">
        <v>4262</v>
      </c>
      <c r="H3095" t="s">
        <v>170</v>
      </c>
      <c r="I3095">
        <v>15</v>
      </c>
      <c r="J3095">
        <v>1</v>
      </c>
      <c r="K3095">
        <v>1</v>
      </c>
      <c r="L3095">
        <v>54975</v>
      </c>
      <c r="M3095" t="str">
        <f t="shared" si="444"/>
        <v>13</v>
      </c>
      <c r="N3095" t="s">
        <v>3323</v>
      </c>
      <c r="O3095" t="str">
        <f t="shared" si="450"/>
        <v>60411</v>
      </c>
      <c r="P3095" t="str">
        <f>"2200L"</f>
        <v>2200L</v>
      </c>
      <c r="Q3095" t="str">
        <f t="shared" si="445"/>
        <v>0101</v>
      </c>
      <c r="R3095">
        <v>2200</v>
      </c>
      <c r="S3095" t="str">
        <f t="shared" si="451"/>
        <v>6040</v>
      </c>
      <c r="T3095" t="s">
        <v>3704</v>
      </c>
      <c r="U3095" t="s">
        <v>2567</v>
      </c>
    </row>
    <row r="3096" spans="1:21" ht="15" customHeight="1" x14ac:dyDescent="0.3">
      <c r="A3096" t="s">
        <v>179</v>
      </c>
      <c r="B3096" t="str">
        <f>"00065696"</f>
        <v>00065696</v>
      </c>
      <c r="C3096" t="s">
        <v>4262</v>
      </c>
      <c r="D3096" t="s">
        <v>2588</v>
      </c>
      <c r="E3096" t="str">
        <f>"00056895"</f>
        <v>00056895</v>
      </c>
      <c r="F3096">
        <v>0</v>
      </c>
      <c r="G3096" s="243">
        <v>40042</v>
      </c>
      <c r="H3096" t="s">
        <v>182</v>
      </c>
      <c r="I3096">
        <v>15</v>
      </c>
      <c r="J3096">
        <v>11</v>
      </c>
      <c r="K3096">
        <v>1</v>
      </c>
      <c r="L3096">
        <v>70891</v>
      </c>
      <c r="M3096" t="str">
        <f t="shared" si="444"/>
        <v>13</v>
      </c>
      <c r="N3096" t="s">
        <v>3323</v>
      </c>
      <c r="O3096" t="str">
        <f t="shared" si="450"/>
        <v>60411</v>
      </c>
      <c r="P3096" t="str">
        <f>"2100L"</f>
        <v>2100L</v>
      </c>
      <c r="Q3096" t="str">
        <f t="shared" si="445"/>
        <v>0101</v>
      </c>
      <c r="R3096">
        <v>2100</v>
      </c>
      <c r="S3096" t="str">
        <f t="shared" si="451"/>
        <v>6040</v>
      </c>
      <c r="T3096" t="s">
        <v>3704</v>
      </c>
      <c r="U3096" t="s">
        <v>2567</v>
      </c>
    </row>
    <row r="3097" spans="1:21" ht="15" customHeight="1" x14ac:dyDescent="0.3">
      <c r="A3097" t="s">
        <v>179</v>
      </c>
      <c r="B3097" t="str">
        <f>"00065698"</f>
        <v>00065698</v>
      </c>
      <c r="C3097" t="s">
        <v>4266</v>
      </c>
      <c r="D3097" t="s">
        <v>5235</v>
      </c>
      <c r="E3097" t="str">
        <f>"00057105"</f>
        <v>00057105</v>
      </c>
      <c r="F3097">
        <v>0</v>
      </c>
      <c r="G3097" s="243">
        <v>40042</v>
      </c>
      <c r="H3097" t="s">
        <v>182</v>
      </c>
      <c r="I3097">
        <v>15</v>
      </c>
      <c r="J3097">
        <v>7</v>
      </c>
      <c r="K3097">
        <v>1</v>
      </c>
      <c r="L3097">
        <v>69132</v>
      </c>
      <c r="M3097" t="str">
        <f t="shared" si="444"/>
        <v>13</v>
      </c>
      <c r="N3097" t="s">
        <v>3323</v>
      </c>
      <c r="O3097" t="str">
        <f t="shared" si="450"/>
        <v>60411</v>
      </c>
      <c r="P3097" t="str">
        <f>"2300L"</f>
        <v>2300L</v>
      </c>
      <c r="Q3097" t="str">
        <f t="shared" si="445"/>
        <v>0101</v>
      </c>
      <c r="R3097">
        <v>2300</v>
      </c>
      <c r="S3097" t="str">
        <f t="shared" si="451"/>
        <v>6040</v>
      </c>
      <c r="T3097" t="s">
        <v>3704</v>
      </c>
      <c r="U3097" t="s">
        <v>2567</v>
      </c>
    </row>
    <row r="3098" spans="1:21" ht="15" customHeight="1" x14ac:dyDescent="0.3">
      <c r="A3098" t="s">
        <v>179</v>
      </c>
      <c r="B3098" t="str">
        <f>"00065999"</f>
        <v>00065999</v>
      </c>
      <c r="C3098" t="s">
        <v>4274</v>
      </c>
      <c r="D3098" t="s">
        <v>5236</v>
      </c>
      <c r="E3098" t="str">
        <f>"00056942"</f>
        <v>00056942</v>
      </c>
      <c r="F3098">
        <v>0</v>
      </c>
      <c r="G3098" s="243">
        <v>40042</v>
      </c>
      <c r="H3098" t="s">
        <v>182</v>
      </c>
      <c r="I3098">
        <v>4</v>
      </c>
      <c r="J3098">
        <v>6</v>
      </c>
      <c r="K3098">
        <v>1</v>
      </c>
      <c r="L3098">
        <v>25935.88</v>
      </c>
      <c r="M3098" t="str">
        <f t="shared" si="444"/>
        <v>13</v>
      </c>
      <c r="N3098" t="s">
        <v>3323</v>
      </c>
      <c r="O3098" t="str">
        <f t="shared" si="450"/>
        <v>60411</v>
      </c>
      <c r="P3098" t="str">
        <f>"2200L"</f>
        <v>2200L</v>
      </c>
      <c r="Q3098" t="str">
        <f t="shared" si="445"/>
        <v>0101</v>
      </c>
      <c r="R3098">
        <v>2200</v>
      </c>
      <c r="S3098" t="str">
        <f t="shared" si="451"/>
        <v>6040</v>
      </c>
      <c r="T3098" t="s">
        <v>3704</v>
      </c>
      <c r="U3098" t="s">
        <v>2567</v>
      </c>
    </row>
    <row r="3099" spans="1:21" ht="15" customHeight="1" x14ac:dyDescent="0.3">
      <c r="A3099" t="s">
        <v>179</v>
      </c>
      <c r="B3099" t="str">
        <f>"00070840"</f>
        <v>00070840</v>
      </c>
      <c r="C3099" t="s">
        <v>4262</v>
      </c>
      <c r="D3099" t="s">
        <v>3748</v>
      </c>
      <c r="E3099" t="str">
        <f>"00064931"</f>
        <v>00064931</v>
      </c>
      <c r="F3099">
        <v>0</v>
      </c>
      <c r="G3099" s="243">
        <v>40659</v>
      </c>
      <c r="H3099" t="s">
        <v>182</v>
      </c>
      <c r="I3099">
        <v>15</v>
      </c>
      <c r="J3099">
        <v>2</v>
      </c>
      <c r="K3099">
        <v>1</v>
      </c>
      <c r="L3099">
        <v>51716</v>
      </c>
      <c r="M3099" t="str">
        <f t="shared" si="444"/>
        <v>13</v>
      </c>
      <c r="N3099" t="s">
        <v>3323</v>
      </c>
      <c r="O3099" t="str">
        <f t="shared" si="450"/>
        <v>60411</v>
      </c>
      <c r="P3099" t="str">
        <f t="shared" ref="P3099:P3104" si="452">"2100L"</f>
        <v>2100L</v>
      </c>
      <c r="Q3099" t="str">
        <f t="shared" si="445"/>
        <v>0101</v>
      </c>
      <c r="R3099">
        <v>2100</v>
      </c>
      <c r="S3099" t="str">
        <f t="shared" si="451"/>
        <v>6040</v>
      </c>
      <c r="T3099" t="s">
        <v>3704</v>
      </c>
      <c r="U3099" t="s">
        <v>2567</v>
      </c>
    </row>
    <row r="3100" spans="1:21" ht="15" customHeight="1" x14ac:dyDescent="0.3">
      <c r="A3100" t="s">
        <v>179</v>
      </c>
      <c r="B3100" t="str">
        <f>"00071625"</f>
        <v>00071625</v>
      </c>
      <c r="C3100" t="s">
        <v>4260</v>
      </c>
      <c r="D3100" t="s">
        <v>2590</v>
      </c>
      <c r="E3100" t="str">
        <f>"00060596"</f>
        <v>00060596</v>
      </c>
      <c r="F3100">
        <v>0</v>
      </c>
      <c r="G3100" s="243">
        <v>40252</v>
      </c>
      <c r="H3100" t="s">
        <v>182</v>
      </c>
      <c r="I3100">
        <v>15</v>
      </c>
      <c r="J3100">
        <v>10</v>
      </c>
      <c r="K3100">
        <v>1</v>
      </c>
      <c r="L3100">
        <v>70879</v>
      </c>
      <c r="M3100" t="str">
        <f t="shared" si="444"/>
        <v>13</v>
      </c>
      <c r="N3100" t="s">
        <v>3323</v>
      </c>
      <c r="O3100" t="str">
        <f t="shared" si="450"/>
        <v>60411</v>
      </c>
      <c r="P3100" t="str">
        <f t="shared" si="452"/>
        <v>2100L</v>
      </c>
      <c r="Q3100" t="str">
        <f t="shared" si="445"/>
        <v>0101</v>
      </c>
      <c r="R3100">
        <v>2100</v>
      </c>
      <c r="S3100" t="str">
        <f t="shared" si="451"/>
        <v>6040</v>
      </c>
      <c r="T3100" t="s">
        <v>3704</v>
      </c>
      <c r="U3100" t="s">
        <v>2567</v>
      </c>
    </row>
    <row r="3101" spans="1:21" ht="15" customHeight="1" x14ac:dyDescent="0.3">
      <c r="A3101" t="s">
        <v>179</v>
      </c>
      <c r="B3101" t="str">
        <f>"00072357"</f>
        <v>00072357</v>
      </c>
      <c r="C3101" t="s">
        <v>4266</v>
      </c>
      <c r="D3101" t="s">
        <v>2591</v>
      </c>
      <c r="E3101" t="str">
        <f>"00062889"</f>
        <v>00062889</v>
      </c>
      <c r="F3101">
        <v>0</v>
      </c>
      <c r="G3101" s="243">
        <v>40406</v>
      </c>
      <c r="H3101" t="s">
        <v>182</v>
      </c>
      <c r="I3101">
        <v>15</v>
      </c>
      <c r="J3101">
        <v>7</v>
      </c>
      <c r="K3101">
        <v>1</v>
      </c>
      <c r="L3101">
        <v>69132</v>
      </c>
      <c r="M3101" t="str">
        <f t="shared" si="444"/>
        <v>13</v>
      </c>
      <c r="N3101" t="s">
        <v>3323</v>
      </c>
      <c r="O3101" t="str">
        <f t="shared" si="450"/>
        <v>60411</v>
      </c>
      <c r="P3101" t="str">
        <f t="shared" si="452"/>
        <v>2100L</v>
      </c>
      <c r="Q3101" t="str">
        <f t="shared" si="445"/>
        <v>0101</v>
      </c>
      <c r="R3101">
        <v>2100</v>
      </c>
      <c r="S3101" t="str">
        <f t="shared" si="451"/>
        <v>6040</v>
      </c>
      <c r="T3101" t="s">
        <v>3704</v>
      </c>
      <c r="U3101" t="s">
        <v>2567</v>
      </c>
    </row>
    <row r="3102" spans="1:21" ht="15" customHeight="1" x14ac:dyDescent="0.3">
      <c r="A3102" t="s">
        <v>179</v>
      </c>
      <c r="B3102" t="str">
        <f>"00072866"</f>
        <v>00072866</v>
      </c>
      <c r="C3102" t="s">
        <v>4518</v>
      </c>
      <c r="D3102" t="s">
        <v>2592</v>
      </c>
      <c r="E3102" t="str">
        <f>"00048980"</f>
        <v>00048980</v>
      </c>
      <c r="F3102">
        <v>0</v>
      </c>
      <c r="G3102" s="243">
        <v>40042</v>
      </c>
      <c r="H3102" t="s">
        <v>182</v>
      </c>
      <c r="I3102">
        <v>10</v>
      </c>
      <c r="J3102">
        <v>3</v>
      </c>
      <c r="K3102">
        <v>1</v>
      </c>
      <c r="L3102">
        <v>67198</v>
      </c>
      <c r="M3102" t="str">
        <f t="shared" si="444"/>
        <v>13</v>
      </c>
      <c r="N3102" t="s">
        <v>3323</v>
      </c>
      <c r="O3102" t="str">
        <f t="shared" si="450"/>
        <v>60411</v>
      </c>
      <c r="P3102" t="str">
        <f t="shared" si="452"/>
        <v>2100L</v>
      </c>
      <c r="Q3102" t="str">
        <f t="shared" si="445"/>
        <v>0101</v>
      </c>
      <c r="R3102">
        <v>2100</v>
      </c>
      <c r="S3102" t="str">
        <f t="shared" si="451"/>
        <v>6040</v>
      </c>
      <c r="T3102" t="s">
        <v>3704</v>
      </c>
      <c r="U3102" t="s">
        <v>2567</v>
      </c>
    </row>
    <row r="3103" spans="1:21" ht="15" customHeight="1" x14ac:dyDescent="0.3">
      <c r="A3103" t="s">
        <v>179</v>
      </c>
      <c r="B3103" t="str">
        <f>"00073958"</f>
        <v>00073958</v>
      </c>
      <c r="C3103" t="s">
        <v>4272</v>
      </c>
      <c r="D3103" t="s">
        <v>3749</v>
      </c>
      <c r="E3103" t="str">
        <f>"00064458"</f>
        <v>00064458</v>
      </c>
      <c r="F3103">
        <v>0</v>
      </c>
      <c r="G3103" s="243">
        <v>40546</v>
      </c>
      <c r="H3103" t="s">
        <v>182</v>
      </c>
      <c r="I3103">
        <v>15</v>
      </c>
      <c r="J3103">
        <v>2</v>
      </c>
      <c r="K3103">
        <v>1</v>
      </c>
      <c r="L3103">
        <v>51716</v>
      </c>
      <c r="M3103" t="str">
        <f t="shared" si="444"/>
        <v>13</v>
      </c>
      <c r="N3103" t="s">
        <v>3323</v>
      </c>
      <c r="O3103" t="str">
        <f t="shared" si="450"/>
        <v>60411</v>
      </c>
      <c r="P3103" t="str">
        <f t="shared" si="452"/>
        <v>2100L</v>
      </c>
      <c r="Q3103" t="str">
        <f t="shared" si="445"/>
        <v>0101</v>
      </c>
      <c r="R3103">
        <v>2100</v>
      </c>
      <c r="S3103" t="str">
        <f t="shared" si="451"/>
        <v>6040</v>
      </c>
      <c r="T3103" t="s">
        <v>3704</v>
      </c>
      <c r="U3103" t="s">
        <v>2567</v>
      </c>
    </row>
    <row r="3104" spans="1:21" ht="15" customHeight="1" x14ac:dyDescent="0.3">
      <c r="A3104" t="s">
        <v>179</v>
      </c>
      <c r="B3104" t="str">
        <f>"00074094"</f>
        <v>00074094</v>
      </c>
      <c r="C3104" t="s">
        <v>200</v>
      </c>
      <c r="D3104" t="s">
        <v>3703</v>
      </c>
      <c r="E3104" t="str">
        <f>"00053084"</f>
        <v>00053084</v>
      </c>
      <c r="F3104">
        <v>0</v>
      </c>
      <c r="G3104" s="243">
        <v>31205</v>
      </c>
      <c r="H3104" t="s">
        <v>182</v>
      </c>
      <c r="I3104">
        <v>15</v>
      </c>
      <c r="J3104">
        <v>16</v>
      </c>
      <c r="K3104">
        <v>0.5</v>
      </c>
      <c r="L3104">
        <v>103347</v>
      </c>
      <c r="M3104" t="str">
        <f t="shared" si="444"/>
        <v>13</v>
      </c>
      <c r="N3104" t="s">
        <v>3323</v>
      </c>
      <c r="O3104" t="str">
        <f t="shared" si="450"/>
        <v>60411</v>
      </c>
      <c r="P3104" t="str">
        <f t="shared" si="452"/>
        <v>2100L</v>
      </c>
      <c r="Q3104" t="str">
        <f t="shared" si="445"/>
        <v>0101</v>
      </c>
      <c r="R3104">
        <v>2100</v>
      </c>
      <c r="S3104" t="str">
        <f t="shared" si="451"/>
        <v>6040</v>
      </c>
      <c r="T3104" t="s">
        <v>3704</v>
      </c>
      <c r="U3104" t="s">
        <v>2567</v>
      </c>
    </row>
    <row r="3105" spans="1:21" ht="15" customHeight="1" x14ac:dyDescent="0.3">
      <c r="A3105" t="s">
        <v>179</v>
      </c>
      <c r="B3105" t="str">
        <f>"00074573"</f>
        <v>00074573</v>
      </c>
      <c r="C3105" t="s">
        <v>3670</v>
      </c>
      <c r="H3105" t="s">
        <v>170</v>
      </c>
      <c r="I3105">
        <v>8</v>
      </c>
      <c r="J3105">
        <v>1</v>
      </c>
      <c r="K3105">
        <v>1</v>
      </c>
      <c r="L3105">
        <v>82397</v>
      </c>
      <c r="M3105" t="str">
        <f t="shared" si="444"/>
        <v>13</v>
      </c>
      <c r="N3105" t="s">
        <v>3323</v>
      </c>
      <c r="O3105" t="str">
        <f t="shared" si="450"/>
        <v>60411</v>
      </c>
      <c r="P3105" t="str">
        <f>"1501L"</f>
        <v>1501L</v>
      </c>
      <c r="Q3105" t="str">
        <f t="shared" si="445"/>
        <v>0101</v>
      </c>
      <c r="R3105">
        <v>1501</v>
      </c>
      <c r="S3105" t="str">
        <f t="shared" si="451"/>
        <v>6040</v>
      </c>
      <c r="T3105" t="s">
        <v>3704</v>
      </c>
      <c r="U3105" t="s">
        <v>2567</v>
      </c>
    </row>
    <row r="3106" spans="1:21" ht="15" customHeight="1" x14ac:dyDescent="0.3">
      <c r="A3106" t="s">
        <v>179</v>
      </c>
      <c r="B3106" t="str">
        <f>"00074745"</f>
        <v>00074745</v>
      </c>
      <c r="C3106" t="s">
        <v>4260</v>
      </c>
      <c r="H3106" t="s">
        <v>170</v>
      </c>
      <c r="I3106">
        <v>15</v>
      </c>
      <c r="J3106">
        <v>1</v>
      </c>
      <c r="K3106">
        <v>1</v>
      </c>
      <c r="L3106">
        <v>54975</v>
      </c>
      <c r="M3106" t="str">
        <f t="shared" si="444"/>
        <v>13</v>
      </c>
      <c r="N3106" t="s">
        <v>3323</v>
      </c>
      <c r="O3106" t="str">
        <f t="shared" si="450"/>
        <v>60411</v>
      </c>
      <c r="P3106" t="str">
        <f>"2100L"</f>
        <v>2100L</v>
      </c>
      <c r="Q3106" t="str">
        <f t="shared" si="445"/>
        <v>0101</v>
      </c>
      <c r="R3106">
        <v>2100</v>
      </c>
      <c r="S3106" t="str">
        <f t="shared" si="451"/>
        <v>6040</v>
      </c>
      <c r="T3106" t="s">
        <v>3704</v>
      </c>
      <c r="U3106" t="s">
        <v>2567</v>
      </c>
    </row>
    <row r="3107" spans="1:21" ht="15" customHeight="1" x14ac:dyDescent="0.3">
      <c r="A3107" t="s">
        <v>179</v>
      </c>
      <c r="B3107" t="str">
        <f>"00076370"</f>
        <v>00076370</v>
      </c>
      <c r="C3107" t="s">
        <v>4292</v>
      </c>
      <c r="D3107" t="s">
        <v>5237</v>
      </c>
      <c r="E3107" t="str">
        <f>"00005714"</f>
        <v>00005714</v>
      </c>
      <c r="F3107">
        <v>0</v>
      </c>
      <c r="G3107" s="243">
        <v>41133</v>
      </c>
      <c r="H3107" t="s">
        <v>182</v>
      </c>
      <c r="I3107">
        <v>4</v>
      </c>
      <c r="J3107">
        <v>8</v>
      </c>
      <c r="K3107">
        <v>0.71</v>
      </c>
      <c r="L3107">
        <v>27329.75</v>
      </c>
      <c r="M3107" t="str">
        <f t="shared" si="444"/>
        <v>13</v>
      </c>
      <c r="N3107" t="s">
        <v>3323</v>
      </c>
      <c r="O3107" t="str">
        <f t="shared" si="450"/>
        <v>60411</v>
      </c>
      <c r="P3107" t="str">
        <f>"2100L"</f>
        <v>2100L</v>
      </c>
      <c r="Q3107" t="str">
        <f t="shared" si="445"/>
        <v>0101</v>
      </c>
      <c r="R3107">
        <v>2100</v>
      </c>
      <c r="S3107" t="str">
        <f t="shared" si="451"/>
        <v>6040</v>
      </c>
      <c r="T3107" t="s">
        <v>3704</v>
      </c>
      <c r="U3107" t="s">
        <v>2567</v>
      </c>
    </row>
    <row r="3108" spans="1:21" ht="15" customHeight="1" x14ac:dyDescent="0.3">
      <c r="A3108" t="s">
        <v>179</v>
      </c>
      <c r="B3108" t="str">
        <f>"00076371"</f>
        <v>00076371</v>
      </c>
      <c r="C3108" t="s">
        <v>4292</v>
      </c>
      <c r="D3108" t="s">
        <v>5238</v>
      </c>
      <c r="E3108" t="str">
        <f>"00040742"</f>
        <v>00040742</v>
      </c>
      <c r="F3108">
        <v>0</v>
      </c>
      <c r="G3108" s="243">
        <v>41133</v>
      </c>
      <c r="H3108" t="s">
        <v>182</v>
      </c>
      <c r="I3108">
        <v>4</v>
      </c>
      <c r="J3108">
        <v>3</v>
      </c>
      <c r="K3108">
        <v>0.71</v>
      </c>
      <c r="L3108">
        <v>23848.12</v>
      </c>
      <c r="M3108" t="str">
        <f t="shared" si="444"/>
        <v>13</v>
      </c>
      <c r="N3108" t="s">
        <v>3323</v>
      </c>
      <c r="O3108" t="str">
        <f t="shared" si="450"/>
        <v>60411</v>
      </c>
      <c r="P3108" t="str">
        <f>"2100L"</f>
        <v>2100L</v>
      </c>
      <c r="Q3108" t="str">
        <f t="shared" si="445"/>
        <v>0101</v>
      </c>
      <c r="R3108">
        <v>2100</v>
      </c>
      <c r="S3108" t="str">
        <f t="shared" si="451"/>
        <v>6040</v>
      </c>
      <c r="T3108" t="s">
        <v>3704</v>
      </c>
      <c r="U3108" t="s">
        <v>2567</v>
      </c>
    </row>
    <row r="3109" spans="1:21" ht="15" customHeight="1" x14ac:dyDescent="0.3">
      <c r="A3109" t="s">
        <v>179</v>
      </c>
      <c r="B3109" t="str">
        <f>"00076372"</f>
        <v>00076372</v>
      </c>
      <c r="C3109" t="s">
        <v>4271</v>
      </c>
      <c r="D3109" t="s">
        <v>5239</v>
      </c>
      <c r="E3109" t="str">
        <f>"00065984"</f>
        <v>00065984</v>
      </c>
      <c r="F3109">
        <v>0</v>
      </c>
      <c r="G3109" s="243">
        <v>40770</v>
      </c>
      <c r="H3109" t="s">
        <v>182</v>
      </c>
      <c r="I3109">
        <v>15</v>
      </c>
      <c r="J3109">
        <v>11</v>
      </c>
      <c r="K3109">
        <v>0.5</v>
      </c>
      <c r="L3109">
        <v>83774</v>
      </c>
      <c r="M3109" t="str">
        <f t="shared" si="444"/>
        <v>13</v>
      </c>
      <c r="N3109" t="s">
        <v>3370</v>
      </c>
      <c r="O3109" t="str">
        <f t="shared" si="450"/>
        <v>60411</v>
      </c>
      <c r="P3109" t="str">
        <f>"2100L"</f>
        <v>2100L</v>
      </c>
      <c r="Q3109" t="str">
        <f t="shared" si="445"/>
        <v>0101</v>
      </c>
      <c r="R3109">
        <v>2100</v>
      </c>
      <c r="S3109" t="str">
        <f t="shared" si="451"/>
        <v>6040</v>
      </c>
      <c r="T3109" t="s">
        <v>3704</v>
      </c>
      <c r="U3109" t="s">
        <v>2567</v>
      </c>
    </row>
    <row r="3110" spans="1:21" ht="15" customHeight="1" x14ac:dyDescent="0.3">
      <c r="A3110" t="s">
        <v>179</v>
      </c>
      <c r="B3110" t="str">
        <f>"00076483"</f>
        <v>00076483</v>
      </c>
      <c r="C3110" t="s">
        <v>4274</v>
      </c>
      <c r="D3110" t="s">
        <v>5240</v>
      </c>
      <c r="E3110" t="str">
        <f>"00069536"</f>
        <v>00069536</v>
      </c>
      <c r="F3110">
        <v>0</v>
      </c>
      <c r="G3110" s="243">
        <v>41133</v>
      </c>
      <c r="H3110" t="s">
        <v>182</v>
      </c>
      <c r="I3110">
        <v>4</v>
      </c>
      <c r="J3110">
        <v>9</v>
      </c>
      <c r="K3110">
        <v>0.71</v>
      </c>
      <c r="L3110">
        <v>28025.38</v>
      </c>
      <c r="M3110" t="str">
        <f t="shared" ref="M3110:M3168" si="453">"13"</f>
        <v>13</v>
      </c>
      <c r="N3110" t="s">
        <v>3370</v>
      </c>
      <c r="O3110" t="str">
        <f t="shared" si="450"/>
        <v>60411</v>
      </c>
      <c r="P3110" t="str">
        <f>"2200L"</f>
        <v>2200L</v>
      </c>
      <c r="Q3110" t="str">
        <f t="shared" si="445"/>
        <v>0101</v>
      </c>
      <c r="R3110">
        <v>2200</v>
      </c>
      <c r="S3110" t="str">
        <f t="shared" si="451"/>
        <v>6040</v>
      </c>
      <c r="T3110" t="s">
        <v>3704</v>
      </c>
      <c r="U3110" t="s">
        <v>2567</v>
      </c>
    </row>
    <row r="3111" spans="1:21" ht="15" customHeight="1" x14ac:dyDescent="0.3">
      <c r="A3111" t="s">
        <v>179</v>
      </c>
      <c r="B3111" t="str">
        <f>"00051677"</f>
        <v>00051677</v>
      </c>
      <c r="C3111" t="s">
        <v>4252</v>
      </c>
      <c r="D3111" t="s">
        <v>2618</v>
      </c>
      <c r="E3111" t="str">
        <f>"00045430"</f>
        <v>00045430</v>
      </c>
      <c r="F3111">
        <v>0</v>
      </c>
      <c r="G3111" s="243">
        <v>31069</v>
      </c>
      <c r="H3111" t="s">
        <v>182</v>
      </c>
      <c r="I3111">
        <v>15</v>
      </c>
      <c r="J3111">
        <v>16</v>
      </c>
      <c r="K3111">
        <v>1</v>
      </c>
      <c r="L3111">
        <v>100839</v>
      </c>
      <c r="M3111" t="str">
        <f t="shared" si="453"/>
        <v>13</v>
      </c>
      <c r="N3111" t="s">
        <v>3323</v>
      </c>
      <c r="O3111" t="str">
        <f t="shared" ref="O3111:O3138" si="454">"60511"</f>
        <v>60511</v>
      </c>
      <c r="P3111" t="str">
        <f>"2300L"</f>
        <v>2300L</v>
      </c>
      <c r="Q3111" t="str">
        <f t="shared" si="445"/>
        <v>0101</v>
      </c>
      <c r="R3111">
        <v>2300</v>
      </c>
      <c r="S3111" t="str">
        <f t="shared" ref="S3111:S3138" si="455">"6050"</f>
        <v>6050</v>
      </c>
      <c r="T3111" t="s">
        <v>3621</v>
      </c>
      <c r="U3111" t="s">
        <v>73</v>
      </c>
    </row>
    <row r="3112" spans="1:21" ht="15" customHeight="1" x14ac:dyDescent="0.3">
      <c r="A3112" t="s">
        <v>179</v>
      </c>
      <c r="B3112" t="str">
        <f>"00051866"</f>
        <v>00051866</v>
      </c>
      <c r="C3112" t="s">
        <v>4260</v>
      </c>
      <c r="D3112" t="s">
        <v>2619</v>
      </c>
      <c r="E3112" t="str">
        <f>"00046315"</f>
        <v>00046315</v>
      </c>
      <c r="F3112">
        <v>0</v>
      </c>
      <c r="G3112" s="243">
        <v>32050</v>
      </c>
      <c r="H3112" t="s">
        <v>182</v>
      </c>
      <c r="I3112">
        <v>15</v>
      </c>
      <c r="J3112">
        <v>16</v>
      </c>
      <c r="K3112">
        <v>1</v>
      </c>
      <c r="L3112">
        <v>100839</v>
      </c>
      <c r="M3112" t="str">
        <f t="shared" si="453"/>
        <v>13</v>
      </c>
      <c r="N3112" t="s">
        <v>3323</v>
      </c>
      <c r="O3112" t="str">
        <f t="shared" si="454"/>
        <v>60511</v>
      </c>
      <c r="P3112" t="str">
        <f>"2300L"</f>
        <v>2300L</v>
      </c>
      <c r="Q3112" t="str">
        <f t="shared" si="445"/>
        <v>0101</v>
      </c>
      <c r="R3112">
        <v>2300</v>
      </c>
      <c r="S3112" t="str">
        <f t="shared" si="455"/>
        <v>6050</v>
      </c>
      <c r="T3112" t="s">
        <v>3621</v>
      </c>
      <c r="U3112" t="s">
        <v>73</v>
      </c>
    </row>
    <row r="3113" spans="1:21" ht="15" customHeight="1" x14ac:dyDescent="0.3">
      <c r="A3113" t="s">
        <v>179</v>
      </c>
      <c r="B3113" t="str">
        <f>"00051940"</f>
        <v>00051940</v>
      </c>
      <c r="C3113" t="s">
        <v>4272</v>
      </c>
      <c r="D3113" t="s">
        <v>2620</v>
      </c>
      <c r="E3113" t="str">
        <f>"00046624"</f>
        <v>00046624</v>
      </c>
      <c r="F3113">
        <v>0</v>
      </c>
      <c r="G3113" s="243">
        <v>34941</v>
      </c>
      <c r="H3113" t="s">
        <v>182</v>
      </c>
      <c r="I3113">
        <v>15</v>
      </c>
      <c r="J3113">
        <v>13</v>
      </c>
      <c r="K3113">
        <v>1</v>
      </c>
      <c r="L3113">
        <v>81724</v>
      </c>
      <c r="M3113" t="str">
        <f t="shared" si="453"/>
        <v>13</v>
      </c>
      <c r="N3113" t="s">
        <v>3323</v>
      </c>
      <c r="O3113" t="str">
        <f t="shared" si="454"/>
        <v>60511</v>
      </c>
      <c r="P3113" t="str">
        <f>"2200L"</f>
        <v>2200L</v>
      </c>
      <c r="Q3113" t="str">
        <f t="shared" si="445"/>
        <v>0101</v>
      </c>
      <c r="R3113">
        <v>2200</v>
      </c>
      <c r="S3113" t="str">
        <f t="shared" si="455"/>
        <v>6050</v>
      </c>
      <c r="T3113" t="s">
        <v>3621</v>
      </c>
      <c r="U3113" t="s">
        <v>73</v>
      </c>
    </row>
    <row r="3114" spans="1:21" ht="15" customHeight="1" x14ac:dyDescent="0.3">
      <c r="A3114" t="s">
        <v>179</v>
      </c>
      <c r="B3114" t="str">
        <f>"00052215"</f>
        <v>00052215</v>
      </c>
      <c r="C3114" t="s">
        <v>4254</v>
      </c>
      <c r="D3114" t="s">
        <v>2621</v>
      </c>
      <c r="E3114" t="str">
        <f>"00047672"</f>
        <v>00047672</v>
      </c>
      <c r="F3114">
        <v>0</v>
      </c>
      <c r="G3114" s="243">
        <v>32531</v>
      </c>
      <c r="H3114" t="s">
        <v>182</v>
      </c>
      <c r="I3114">
        <v>15</v>
      </c>
      <c r="J3114">
        <v>16</v>
      </c>
      <c r="K3114">
        <v>1</v>
      </c>
      <c r="L3114">
        <v>100839</v>
      </c>
      <c r="M3114" t="str">
        <f t="shared" si="453"/>
        <v>13</v>
      </c>
      <c r="N3114" t="s">
        <v>3323</v>
      </c>
      <c r="O3114" t="str">
        <f t="shared" si="454"/>
        <v>60511</v>
      </c>
      <c r="P3114" t="str">
        <f>"2100L"</f>
        <v>2100L</v>
      </c>
      <c r="Q3114" t="str">
        <f t="shared" si="445"/>
        <v>0101</v>
      </c>
      <c r="R3114">
        <v>2100</v>
      </c>
      <c r="S3114" t="str">
        <f t="shared" si="455"/>
        <v>6050</v>
      </c>
      <c r="T3114" t="s">
        <v>3621</v>
      </c>
      <c r="U3114" t="s">
        <v>73</v>
      </c>
    </row>
    <row r="3115" spans="1:21" ht="15" customHeight="1" x14ac:dyDescent="0.3">
      <c r="A3115" t="s">
        <v>179</v>
      </c>
      <c r="B3115" t="str">
        <f>"00052222"</f>
        <v>00052222</v>
      </c>
      <c r="C3115" t="s">
        <v>4274</v>
      </c>
      <c r="D3115" t="s">
        <v>5241</v>
      </c>
      <c r="E3115" t="str">
        <f>"00047682"</f>
        <v>00047682</v>
      </c>
      <c r="F3115">
        <v>0</v>
      </c>
      <c r="G3115" s="243">
        <v>34268</v>
      </c>
      <c r="H3115" t="s">
        <v>182</v>
      </c>
      <c r="I3115">
        <v>4</v>
      </c>
      <c r="J3115">
        <v>10</v>
      </c>
      <c r="K3115">
        <v>0.875</v>
      </c>
      <c r="L3115">
        <v>28721</v>
      </c>
      <c r="M3115" t="str">
        <f t="shared" si="453"/>
        <v>13</v>
      </c>
      <c r="N3115" t="s">
        <v>3323</v>
      </c>
      <c r="O3115" t="str">
        <f t="shared" si="454"/>
        <v>60511</v>
      </c>
      <c r="P3115" t="str">
        <f>"2200L"</f>
        <v>2200L</v>
      </c>
      <c r="Q3115" t="str">
        <f t="shared" si="445"/>
        <v>0101</v>
      </c>
      <c r="R3115">
        <v>2200</v>
      </c>
      <c r="S3115" t="str">
        <f t="shared" si="455"/>
        <v>6050</v>
      </c>
      <c r="T3115" t="s">
        <v>3621</v>
      </c>
      <c r="U3115" t="s">
        <v>73</v>
      </c>
    </row>
    <row r="3116" spans="1:21" ht="15" customHeight="1" x14ac:dyDescent="0.3">
      <c r="A3116" t="s">
        <v>179</v>
      </c>
      <c r="B3116" t="str">
        <f>"00052365"</f>
        <v>00052365</v>
      </c>
      <c r="C3116" t="s">
        <v>4341</v>
      </c>
      <c r="D3116" t="s">
        <v>2622</v>
      </c>
      <c r="E3116" t="str">
        <f>"00048068"</f>
        <v>00048068</v>
      </c>
      <c r="F3116">
        <v>0</v>
      </c>
      <c r="G3116" s="243">
        <v>35471</v>
      </c>
      <c r="H3116" t="s">
        <v>182</v>
      </c>
      <c r="I3116">
        <v>10</v>
      </c>
      <c r="J3116">
        <v>9</v>
      </c>
      <c r="K3116">
        <v>1</v>
      </c>
      <c r="L3116">
        <v>84226</v>
      </c>
      <c r="M3116" t="str">
        <f t="shared" si="453"/>
        <v>13</v>
      </c>
      <c r="N3116" t="s">
        <v>3323</v>
      </c>
      <c r="O3116" t="str">
        <f t="shared" si="454"/>
        <v>60511</v>
      </c>
      <c r="P3116" t="str">
        <f>"2100L"</f>
        <v>2100L</v>
      </c>
      <c r="Q3116" t="str">
        <f t="shared" si="445"/>
        <v>0101</v>
      </c>
      <c r="R3116">
        <v>2100</v>
      </c>
      <c r="S3116" t="str">
        <f t="shared" si="455"/>
        <v>6050</v>
      </c>
      <c r="T3116" t="s">
        <v>3621</v>
      </c>
      <c r="U3116" t="s">
        <v>73</v>
      </c>
    </row>
    <row r="3117" spans="1:21" ht="15" customHeight="1" x14ac:dyDescent="0.3">
      <c r="A3117" t="s">
        <v>179</v>
      </c>
      <c r="B3117" t="str">
        <f>"00052568"</f>
        <v>00052568</v>
      </c>
      <c r="C3117" t="s">
        <v>4253</v>
      </c>
      <c r="D3117" t="s">
        <v>5242</v>
      </c>
      <c r="E3117" t="str">
        <f>"00069699"</f>
        <v>00069699</v>
      </c>
      <c r="F3117">
        <v>0</v>
      </c>
      <c r="G3117" s="243">
        <v>41133</v>
      </c>
      <c r="H3117" t="s">
        <v>182</v>
      </c>
      <c r="I3117">
        <v>15</v>
      </c>
      <c r="J3117">
        <v>1</v>
      </c>
      <c r="K3117">
        <v>1</v>
      </c>
      <c r="L3117">
        <v>54975</v>
      </c>
      <c r="M3117" t="str">
        <f t="shared" si="453"/>
        <v>13</v>
      </c>
      <c r="N3117" t="s">
        <v>3370</v>
      </c>
      <c r="O3117" t="str">
        <f t="shared" si="454"/>
        <v>60511</v>
      </c>
      <c r="P3117" t="str">
        <f>"2100L"</f>
        <v>2100L</v>
      </c>
      <c r="Q3117" t="str">
        <f t="shared" ref="Q3117:Q3175" si="456">"0101"</f>
        <v>0101</v>
      </c>
      <c r="R3117">
        <v>2100</v>
      </c>
      <c r="S3117" t="str">
        <f t="shared" si="455"/>
        <v>6050</v>
      </c>
      <c r="T3117" t="s">
        <v>3621</v>
      </c>
      <c r="U3117" t="s">
        <v>73</v>
      </c>
    </row>
    <row r="3118" spans="1:21" ht="15" customHeight="1" x14ac:dyDescent="0.3">
      <c r="A3118" t="s">
        <v>179</v>
      </c>
      <c r="B3118" t="str">
        <f>"00052747"</f>
        <v>00052747</v>
      </c>
      <c r="C3118" t="s">
        <v>4262</v>
      </c>
      <c r="D3118" t="s">
        <v>2623</v>
      </c>
      <c r="E3118" t="str">
        <f>"00049259"</f>
        <v>00049259</v>
      </c>
      <c r="F3118">
        <v>0</v>
      </c>
      <c r="G3118" s="243">
        <v>34578</v>
      </c>
      <c r="H3118" t="s">
        <v>182</v>
      </c>
      <c r="I3118">
        <v>15</v>
      </c>
      <c r="J3118">
        <v>14</v>
      </c>
      <c r="K3118">
        <v>1</v>
      </c>
      <c r="L3118">
        <v>96460</v>
      </c>
      <c r="M3118" t="str">
        <f t="shared" si="453"/>
        <v>13</v>
      </c>
      <c r="N3118" t="s">
        <v>3323</v>
      </c>
      <c r="O3118" t="str">
        <f t="shared" si="454"/>
        <v>60511</v>
      </c>
      <c r="P3118" t="str">
        <f>"2100L"</f>
        <v>2100L</v>
      </c>
      <c r="Q3118" t="str">
        <f t="shared" si="456"/>
        <v>0101</v>
      </c>
      <c r="R3118">
        <v>2100</v>
      </c>
      <c r="S3118" t="str">
        <f t="shared" si="455"/>
        <v>6050</v>
      </c>
      <c r="T3118" t="s">
        <v>3621</v>
      </c>
      <c r="U3118" t="s">
        <v>73</v>
      </c>
    </row>
    <row r="3119" spans="1:21" ht="15" customHeight="1" x14ac:dyDescent="0.3">
      <c r="A3119" t="s">
        <v>179</v>
      </c>
      <c r="B3119" t="str">
        <f>"00052863"</f>
        <v>00052863</v>
      </c>
      <c r="C3119" t="s">
        <v>4274</v>
      </c>
      <c r="D3119" t="s">
        <v>5243</v>
      </c>
      <c r="E3119" t="str">
        <f>"00049753"</f>
        <v>00049753</v>
      </c>
      <c r="F3119">
        <v>0</v>
      </c>
      <c r="G3119" s="243">
        <v>31705</v>
      </c>
      <c r="H3119" t="s">
        <v>182</v>
      </c>
      <c r="I3119">
        <v>4</v>
      </c>
      <c r="J3119">
        <v>10</v>
      </c>
      <c r="K3119">
        <v>1</v>
      </c>
      <c r="L3119">
        <v>28721</v>
      </c>
      <c r="M3119" t="str">
        <f t="shared" si="453"/>
        <v>13</v>
      </c>
      <c r="N3119" t="s">
        <v>3323</v>
      </c>
      <c r="O3119" t="str">
        <f t="shared" si="454"/>
        <v>60511</v>
      </c>
      <c r="P3119" t="str">
        <f>"2200L"</f>
        <v>2200L</v>
      </c>
      <c r="Q3119" t="str">
        <f t="shared" si="456"/>
        <v>0101</v>
      </c>
      <c r="R3119">
        <v>2200</v>
      </c>
      <c r="S3119" t="str">
        <f t="shared" si="455"/>
        <v>6050</v>
      </c>
      <c r="T3119" t="s">
        <v>3621</v>
      </c>
      <c r="U3119" t="s">
        <v>73</v>
      </c>
    </row>
    <row r="3120" spans="1:21" ht="15" customHeight="1" x14ac:dyDescent="0.3">
      <c r="A3120" t="s">
        <v>179</v>
      </c>
      <c r="B3120" t="str">
        <f>"00053020"</f>
        <v>00053020</v>
      </c>
      <c r="C3120" t="s">
        <v>4272</v>
      </c>
      <c r="D3120" t="s">
        <v>2624</v>
      </c>
      <c r="E3120" t="str">
        <f>"00050807"</f>
        <v>00050807</v>
      </c>
      <c r="F3120">
        <v>0</v>
      </c>
      <c r="G3120" s="243">
        <v>31474</v>
      </c>
      <c r="H3120" t="s">
        <v>182</v>
      </c>
      <c r="I3120">
        <v>15</v>
      </c>
      <c r="J3120">
        <v>13</v>
      </c>
      <c r="K3120">
        <v>1</v>
      </c>
      <c r="L3120">
        <v>86613</v>
      </c>
      <c r="M3120" t="str">
        <f t="shared" si="453"/>
        <v>13</v>
      </c>
      <c r="N3120" t="s">
        <v>3323</v>
      </c>
      <c r="O3120" t="str">
        <f t="shared" si="454"/>
        <v>60511</v>
      </c>
      <c r="P3120" t="str">
        <f>"2100L"</f>
        <v>2100L</v>
      </c>
      <c r="Q3120" t="str">
        <f t="shared" si="456"/>
        <v>0101</v>
      </c>
      <c r="R3120">
        <v>2100</v>
      </c>
      <c r="S3120" t="str">
        <f t="shared" si="455"/>
        <v>6050</v>
      </c>
      <c r="T3120" t="s">
        <v>3621</v>
      </c>
      <c r="U3120" t="s">
        <v>73</v>
      </c>
    </row>
    <row r="3121" spans="1:21" ht="15" customHeight="1" x14ac:dyDescent="0.3">
      <c r="A3121" t="s">
        <v>179</v>
      </c>
      <c r="B3121" t="str">
        <f>"00053504"</f>
        <v>00053504</v>
      </c>
      <c r="C3121" t="s">
        <v>4257</v>
      </c>
      <c r="D3121" t="s">
        <v>2625</v>
      </c>
      <c r="E3121" t="str">
        <f>"00051614"</f>
        <v>00051614</v>
      </c>
      <c r="F3121">
        <v>0</v>
      </c>
      <c r="G3121" s="243">
        <v>32387</v>
      </c>
      <c r="H3121" t="s">
        <v>182</v>
      </c>
      <c r="I3121">
        <v>15</v>
      </c>
      <c r="J3121">
        <v>13</v>
      </c>
      <c r="K3121">
        <v>1</v>
      </c>
      <c r="L3121">
        <v>95366</v>
      </c>
      <c r="M3121" t="str">
        <f t="shared" si="453"/>
        <v>13</v>
      </c>
      <c r="N3121" t="s">
        <v>3323</v>
      </c>
      <c r="O3121" t="str">
        <f t="shared" si="454"/>
        <v>60511</v>
      </c>
      <c r="P3121" t="str">
        <f>"2100L"</f>
        <v>2100L</v>
      </c>
      <c r="Q3121" t="str">
        <f t="shared" si="456"/>
        <v>0101</v>
      </c>
      <c r="R3121">
        <v>2100</v>
      </c>
      <c r="S3121" t="str">
        <f t="shared" si="455"/>
        <v>6050</v>
      </c>
      <c r="T3121" t="s">
        <v>3621</v>
      </c>
      <c r="U3121" t="s">
        <v>73</v>
      </c>
    </row>
    <row r="3122" spans="1:21" ht="15" customHeight="1" x14ac:dyDescent="0.3">
      <c r="A3122" t="s">
        <v>179</v>
      </c>
      <c r="B3122" t="str">
        <f>"00053557"</f>
        <v>00053557</v>
      </c>
      <c r="C3122" t="s">
        <v>4272</v>
      </c>
      <c r="D3122" t="s">
        <v>2626</v>
      </c>
      <c r="E3122" t="str">
        <f>"00051737"</f>
        <v>00051737</v>
      </c>
      <c r="F3122">
        <v>0</v>
      </c>
      <c r="G3122" s="243">
        <v>34213</v>
      </c>
      <c r="H3122" t="s">
        <v>182</v>
      </c>
      <c r="I3122">
        <v>15</v>
      </c>
      <c r="J3122">
        <v>13</v>
      </c>
      <c r="K3122">
        <v>1</v>
      </c>
      <c r="L3122">
        <v>86613</v>
      </c>
      <c r="M3122" t="str">
        <f t="shared" si="453"/>
        <v>13</v>
      </c>
      <c r="N3122" t="s">
        <v>3323</v>
      </c>
      <c r="O3122" t="str">
        <f t="shared" si="454"/>
        <v>60511</v>
      </c>
      <c r="P3122" t="str">
        <f>"2200L"</f>
        <v>2200L</v>
      </c>
      <c r="Q3122" t="str">
        <f t="shared" si="456"/>
        <v>0101</v>
      </c>
      <c r="R3122">
        <v>2200</v>
      </c>
      <c r="S3122" t="str">
        <f t="shared" si="455"/>
        <v>6050</v>
      </c>
      <c r="T3122" t="s">
        <v>3621</v>
      </c>
      <c r="U3122" t="s">
        <v>73</v>
      </c>
    </row>
    <row r="3123" spans="1:21" ht="15" customHeight="1" x14ac:dyDescent="0.3">
      <c r="A3123" t="s">
        <v>179</v>
      </c>
      <c r="B3123" t="str">
        <f>"00053917"</f>
        <v>00053917</v>
      </c>
      <c r="C3123" t="s">
        <v>4272</v>
      </c>
      <c r="D3123" t="s">
        <v>2627</v>
      </c>
      <c r="E3123" t="str">
        <f>"00052742"</f>
        <v>00052742</v>
      </c>
      <c r="F3123">
        <v>0</v>
      </c>
      <c r="G3123" s="243">
        <v>33420</v>
      </c>
      <c r="H3123" t="s">
        <v>182</v>
      </c>
      <c r="I3123">
        <v>15</v>
      </c>
      <c r="J3123">
        <v>13</v>
      </c>
      <c r="K3123">
        <v>1</v>
      </c>
      <c r="L3123">
        <v>86613</v>
      </c>
      <c r="M3123" t="str">
        <f t="shared" si="453"/>
        <v>13</v>
      </c>
      <c r="N3123" t="s">
        <v>3323</v>
      </c>
      <c r="O3123" t="str">
        <f t="shared" si="454"/>
        <v>60511</v>
      </c>
      <c r="P3123" t="str">
        <f>"2200L"</f>
        <v>2200L</v>
      </c>
      <c r="Q3123" t="str">
        <f t="shared" si="456"/>
        <v>0101</v>
      </c>
      <c r="R3123">
        <v>2200</v>
      </c>
      <c r="S3123" t="str">
        <f t="shared" si="455"/>
        <v>6050</v>
      </c>
      <c r="T3123" t="s">
        <v>3621</v>
      </c>
      <c r="U3123" t="s">
        <v>73</v>
      </c>
    </row>
    <row r="3124" spans="1:21" ht="15" customHeight="1" x14ac:dyDescent="0.3">
      <c r="A3124" t="s">
        <v>179</v>
      </c>
      <c r="B3124" t="str">
        <f>"00053998"</f>
        <v>00053998</v>
      </c>
      <c r="C3124" t="s">
        <v>3670</v>
      </c>
      <c r="D3124" t="s">
        <v>5244</v>
      </c>
      <c r="E3124" t="str">
        <f>"00047646"</f>
        <v>00047646</v>
      </c>
      <c r="F3124">
        <v>0</v>
      </c>
      <c r="G3124" s="243">
        <v>39679</v>
      </c>
      <c r="H3124" t="s">
        <v>182</v>
      </c>
      <c r="I3124">
        <v>8</v>
      </c>
      <c r="J3124">
        <v>6</v>
      </c>
      <c r="K3124">
        <v>1</v>
      </c>
      <c r="L3124">
        <v>94825</v>
      </c>
      <c r="M3124" t="str">
        <f t="shared" si="453"/>
        <v>13</v>
      </c>
      <c r="N3124" t="s">
        <v>3370</v>
      </c>
      <c r="O3124" t="str">
        <f t="shared" si="454"/>
        <v>60511</v>
      </c>
      <c r="P3124" t="str">
        <f>"1501L"</f>
        <v>1501L</v>
      </c>
      <c r="Q3124" t="str">
        <f t="shared" si="456"/>
        <v>0101</v>
      </c>
      <c r="R3124">
        <v>1501</v>
      </c>
      <c r="S3124" t="str">
        <f t="shared" si="455"/>
        <v>6050</v>
      </c>
      <c r="T3124" t="s">
        <v>3621</v>
      </c>
      <c r="U3124" t="s">
        <v>73</v>
      </c>
    </row>
    <row r="3125" spans="1:21" ht="15" customHeight="1" x14ac:dyDescent="0.3">
      <c r="A3125" t="s">
        <v>179</v>
      </c>
      <c r="B3125" t="str">
        <f>"00054056"</f>
        <v>00054056</v>
      </c>
      <c r="C3125" t="s">
        <v>4262</v>
      </c>
      <c r="D3125" t="s">
        <v>2628</v>
      </c>
      <c r="E3125" t="str">
        <f>"00052946"</f>
        <v>00052946</v>
      </c>
      <c r="F3125">
        <v>0</v>
      </c>
      <c r="G3125" s="243">
        <v>34213</v>
      </c>
      <c r="H3125" t="s">
        <v>182</v>
      </c>
      <c r="I3125">
        <v>15</v>
      </c>
      <c r="J3125">
        <v>15</v>
      </c>
      <c r="K3125">
        <v>1</v>
      </c>
      <c r="L3125">
        <v>98285</v>
      </c>
      <c r="M3125" t="str">
        <f t="shared" si="453"/>
        <v>13</v>
      </c>
      <c r="N3125" t="s">
        <v>3323</v>
      </c>
      <c r="O3125" t="str">
        <f t="shared" si="454"/>
        <v>60511</v>
      </c>
      <c r="P3125" t="str">
        <f>"2100L"</f>
        <v>2100L</v>
      </c>
      <c r="Q3125" t="str">
        <f t="shared" si="456"/>
        <v>0101</v>
      </c>
      <c r="R3125">
        <v>2100</v>
      </c>
      <c r="S3125" t="str">
        <f t="shared" si="455"/>
        <v>6050</v>
      </c>
      <c r="T3125" t="s">
        <v>3621</v>
      </c>
      <c r="U3125" t="s">
        <v>73</v>
      </c>
    </row>
    <row r="3126" spans="1:21" ht="15" customHeight="1" x14ac:dyDescent="0.3">
      <c r="A3126" t="s">
        <v>179</v>
      </c>
      <c r="B3126" t="str">
        <f>"00054071"</f>
        <v>00054071</v>
      </c>
      <c r="C3126" t="s">
        <v>4274</v>
      </c>
      <c r="D3126" t="s">
        <v>5245</v>
      </c>
      <c r="E3126" t="str">
        <f>"00058706"</f>
        <v>00058706</v>
      </c>
      <c r="F3126">
        <v>0</v>
      </c>
      <c r="G3126" s="243">
        <v>40070</v>
      </c>
      <c r="H3126" t="s">
        <v>182</v>
      </c>
      <c r="I3126">
        <v>4</v>
      </c>
      <c r="J3126">
        <v>8</v>
      </c>
      <c r="K3126">
        <v>0.875</v>
      </c>
      <c r="L3126">
        <v>27329.75</v>
      </c>
      <c r="M3126" t="str">
        <f t="shared" si="453"/>
        <v>13</v>
      </c>
      <c r="N3126" t="s">
        <v>3323</v>
      </c>
      <c r="O3126" t="str">
        <f t="shared" si="454"/>
        <v>60511</v>
      </c>
      <c r="P3126" t="str">
        <f>"2200L"</f>
        <v>2200L</v>
      </c>
      <c r="Q3126" t="str">
        <f t="shared" si="456"/>
        <v>0101</v>
      </c>
      <c r="R3126">
        <v>2200</v>
      </c>
      <c r="S3126" t="str">
        <f t="shared" si="455"/>
        <v>6050</v>
      </c>
      <c r="T3126" t="s">
        <v>3621</v>
      </c>
      <c r="U3126" t="s">
        <v>73</v>
      </c>
    </row>
    <row r="3127" spans="1:21" ht="15" customHeight="1" x14ac:dyDescent="0.3">
      <c r="A3127" t="s">
        <v>179</v>
      </c>
      <c r="B3127" t="str">
        <f>"00054079"</f>
        <v>00054079</v>
      </c>
      <c r="C3127" t="s">
        <v>4260</v>
      </c>
      <c r="D3127" t="s">
        <v>2629</v>
      </c>
      <c r="E3127" t="str">
        <f>"00052986"</f>
        <v>00052986</v>
      </c>
      <c r="F3127">
        <v>0</v>
      </c>
      <c r="G3127" s="243">
        <v>30597</v>
      </c>
      <c r="H3127" t="s">
        <v>182</v>
      </c>
      <c r="I3127">
        <v>15</v>
      </c>
      <c r="J3127">
        <v>15</v>
      </c>
      <c r="K3127">
        <v>1</v>
      </c>
      <c r="L3127">
        <v>103985</v>
      </c>
      <c r="M3127" t="str">
        <f t="shared" si="453"/>
        <v>13</v>
      </c>
      <c r="N3127" t="s">
        <v>3323</v>
      </c>
      <c r="O3127" t="str">
        <f t="shared" si="454"/>
        <v>60511</v>
      </c>
      <c r="P3127" t="str">
        <f>"2300L"</f>
        <v>2300L</v>
      </c>
      <c r="Q3127" t="str">
        <f t="shared" si="456"/>
        <v>0101</v>
      </c>
      <c r="R3127">
        <v>2300</v>
      </c>
      <c r="S3127" t="str">
        <f t="shared" si="455"/>
        <v>6050</v>
      </c>
      <c r="T3127" t="s">
        <v>3621</v>
      </c>
      <c r="U3127" t="s">
        <v>73</v>
      </c>
    </row>
    <row r="3128" spans="1:21" ht="15" customHeight="1" x14ac:dyDescent="0.3">
      <c r="A3128" t="s">
        <v>179</v>
      </c>
      <c r="B3128" t="str">
        <f>"00054141"</f>
        <v>00054141</v>
      </c>
      <c r="C3128" t="s">
        <v>4262</v>
      </c>
      <c r="D3128" t="s">
        <v>2630</v>
      </c>
      <c r="E3128" t="str">
        <f>"00053102"</f>
        <v>00053102</v>
      </c>
      <c r="F3128">
        <v>0</v>
      </c>
      <c r="G3128" s="243">
        <v>34941</v>
      </c>
      <c r="H3128" t="s">
        <v>182</v>
      </c>
      <c r="I3128">
        <v>15</v>
      </c>
      <c r="J3128">
        <v>14</v>
      </c>
      <c r="K3128">
        <v>1</v>
      </c>
      <c r="L3128">
        <v>98967</v>
      </c>
      <c r="M3128" t="str">
        <f t="shared" si="453"/>
        <v>13</v>
      </c>
      <c r="N3128" t="s">
        <v>3323</v>
      </c>
      <c r="O3128" t="str">
        <f t="shared" si="454"/>
        <v>60511</v>
      </c>
      <c r="P3128" t="str">
        <f>"2100L"</f>
        <v>2100L</v>
      </c>
      <c r="Q3128" t="str">
        <f t="shared" si="456"/>
        <v>0101</v>
      </c>
      <c r="R3128">
        <v>2100</v>
      </c>
      <c r="S3128" t="str">
        <f t="shared" si="455"/>
        <v>6050</v>
      </c>
      <c r="T3128" t="s">
        <v>3621</v>
      </c>
      <c r="U3128" t="s">
        <v>73</v>
      </c>
    </row>
    <row r="3129" spans="1:21" ht="15" customHeight="1" x14ac:dyDescent="0.3">
      <c r="A3129" t="s">
        <v>179</v>
      </c>
      <c r="B3129" t="str">
        <f>"00054451"</f>
        <v>00054451</v>
      </c>
      <c r="C3129" t="s">
        <v>4343</v>
      </c>
      <c r="D3129" t="s">
        <v>2641</v>
      </c>
      <c r="E3129" t="str">
        <f>"00045179"</f>
        <v>00045179</v>
      </c>
      <c r="F3129">
        <v>0</v>
      </c>
      <c r="G3129" s="243">
        <v>38825</v>
      </c>
      <c r="H3129" t="s">
        <v>182</v>
      </c>
      <c r="I3129">
        <v>15</v>
      </c>
      <c r="J3129">
        <v>12</v>
      </c>
      <c r="K3129">
        <v>1</v>
      </c>
      <c r="L3129">
        <v>89887</v>
      </c>
      <c r="M3129" t="str">
        <f t="shared" si="453"/>
        <v>13</v>
      </c>
      <c r="N3129" t="s">
        <v>3370</v>
      </c>
      <c r="O3129" t="str">
        <f t="shared" si="454"/>
        <v>60511</v>
      </c>
      <c r="P3129" t="str">
        <f>"2300L"</f>
        <v>2300L</v>
      </c>
      <c r="Q3129" t="str">
        <f t="shared" si="456"/>
        <v>0101</v>
      </c>
      <c r="R3129">
        <v>2300</v>
      </c>
      <c r="S3129" t="str">
        <f t="shared" si="455"/>
        <v>6050</v>
      </c>
      <c r="T3129" t="s">
        <v>3621</v>
      </c>
      <c r="U3129" t="s">
        <v>73</v>
      </c>
    </row>
    <row r="3130" spans="1:21" ht="15" customHeight="1" x14ac:dyDescent="0.3">
      <c r="A3130" t="s">
        <v>179</v>
      </c>
      <c r="B3130" t="str">
        <f>"00054748"</f>
        <v>00054748</v>
      </c>
      <c r="C3130" t="s">
        <v>4290</v>
      </c>
      <c r="D3130" t="s">
        <v>5246</v>
      </c>
      <c r="E3130" t="str">
        <f>"00070223"</f>
        <v>00070223</v>
      </c>
      <c r="F3130">
        <v>0</v>
      </c>
      <c r="G3130" s="243">
        <v>41148</v>
      </c>
      <c r="H3130" t="s">
        <v>182</v>
      </c>
      <c r="I3130">
        <v>4</v>
      </c>
      <c r="J3130">
        <v>4</v>
      </c>
      <c r="K3130">
        <v>0.875</v>
      </c>
      <c r="L3130">
        <v>24543.75</v>
      </c>
      <c r="M3130" t="str">
        <f t="shared" si="453"/>
        <v>13</v>
      </c>
      <c r="N3130" t="s">
        <v>3323</v>
      </c>
      <c r="O3130" t="str">
        <f t="shared" si="454"/>
        <v>60511</v>
      </c>
      <c r="P3130" t="str">
        <f>"3030L"</f>
        <v>3030L</v>
      </c>
      <c r="Q3130" t="str">
        <f t="shared" si="456"/>
        <v>0101</v>
      </c>
      <c r="R3130">
        <v>3030</v>
      </c>
      <c r="S3130" t="str">
        <f t="shared" si="455"/>
        <v>6050</v>
      </c>
      <c r="T3130" t="s">
        <v>3621</v>
      </c>
      <c r="U3130" t="s">
        <v>73</v>
      </c>
    </row>
    <row r="3131" spans="1:21" ht="15" customHeight="1" x14ac:dyDescent="0.3">
      <c r="A3131" t="s">
        <v>179</v>
      </c>
      <c r="B3131" t="str">
        <f>"00054822"</f>
        <v>00054822</v>
      </c>
      <c r="C3131" t="s">
        <v>4260</v>
      </c>
      <c r="D3131" t="s">
        <v>2631</v>
      </c>
      <c r="E3131" t="str">
        <f>"00054697"</f>
        <v>00054697</v>
      </c>
      <c r="F3131">
        <v>0</v>
      </c>
      <c r="G3131" s="243">
        <v>32050</v>
      </c>
      <c r="H3131" t="s">
        <v>182</v>
      </c>
      <c r="I3131">
        <v>15</v>
      </c>
      <c r="J3131">
        <v>16</v>
      </c>
      <c r="K3131">
        <v>1</v>
      </c>
      <c r="L3131">
        <v>100839</v>
      </c>
      <c r="M3131" t="str">
        <f t="shared" si="453"/>
        <v>13</v>
      </c>
      <c r="N3131" t="s">
        <v>3323</v>
      </c>
      <c r="O3131" t="str">
        <f t="shared" si="454"/>
        <v>60511</v>
      </c>
      <c r="P3131" t="str">
        <f>"2300L"</f>
        <v>2300L</v>
      </c>
      <c r="Q3131" t="str">
        <f t="shared" si="456"/>
        <v>0101</v>
      </c>
      <c r="R3131">
        <v>2300</v>
      </c>
      <c r="S3131" t="str">
        <f t="shared" si="455"/>
        <v>6050</v>
      </c>
      <c r="T3131" t="s">
        <v>3621</v>
      </c>
      <c r="U3131" t="s">
        <v>73</v>
      </c>
    </row>
    <row r="3132" spans="1:21" ht="15" customHeight="1" x14ac:dyDescent="0.3">
      <c r="A3132" t="s">
        <v>179</v>
      </c>
      <c r="B3132" t="str">
        <f>"00054829"</f>
        <v>00054829</v>
      </c>
      <c r="C3132" t="s">
        <v>4258</v>
      </c>
      <c r="D3132" t="s">
        <v>2632</v>
      </c>
      <c r="E3132" t="str">
        <f>"00054709"</f>
        <v>00054709</v>
      </c>
      <c r="F3132">
        <v>0</v>
      </c>
      <c r="G3132" s="243">
        <v>32050</v>
      </c>
      <c r="H3132" t="s">
        <v>182</v>
      </c>
      <c r="I3132">
        <v>15</v>
      </c>
      <c r="J3132">
        <v>16</v>
      </c>
      <c r="K3132">
        <v>1</v>
      </c>
      <c r="L3132">
        <v>100839</v>
      </c>
      <c r="M3132" t="str">
        <f t="shared" si="453"/>
        <v>13</v>
      </c>
      <c r="N3132" t="s">
        <v>3323</v>
      </c>
      <c r="O3132" t="str">
        <f t="shared" si="454"/>
        <v>60511</v>
      </c>
      <c r="P3132" t="str">
        <f>"2100L"</f>
        <v>2100L</v>
      </c>
      <c r="Q3132" t="str">
        <f t="shared" si="456"/>
        <v>0101</v>
      </c>
      <c r="R3132">
        <v>2100</v>
      </c>
      <c r="S3132" t="str">
        <f t="shared" si="455"/>
        <v>6050</v>
      </c>
      <c r="T3132" t="s">
        <v>3621</v>
      </c>
      <c r="U3132" t="s">
        <v>73</v>
      </c>
    </row>
    <row r="3133" spans="1:21" ht="15" customHeight="1" x14ac:dyDescent="0.3">
      <c r="A3133" t="s">
        <v>179</v>
      </c>
      <c r="B3133" t="str">
        <f>"00054920"</f>
        <v>00054920</v>
      </c>
      <c r="C3133" t="s">
        <v>4272</v>
      </c>
      <c r="D3133" t="s">
        <v>2633</v>
      </c>
      <c r="E3133" t="str">
        <f>"00054998"</f>
        <v>00054998</v>
      </c>
      <c r="F3133">
        <v>0</v>
      </c>
      <c r="G3133" s="243">
        <v>33048</v>
      </c>
      <c r="H3133" t="s">
        <v>182</v>
      </c>
      <c r="I3133">
        <v>15</v>
      </c>
      <c r="J3133">
        <v>6</v>
      </c>
      <c r="K3133">
        <v>1</v>
      </c>
      <c r="L3133">
        <v>58599</v>
      </c>
      <c r="M3133" t="str">
        <f t="shared" si="453"/>
        <v>13</v>
      </c>
      <c r="N3133" t="s">
        <v>3323</v>
      </c>
      <c r="O3133" t="str">
        <f t="shared" si="454"/>
        <v>60511</v>
      </c>
      <c r="P3133" t="str">
        <f>"2300L"</f>
        <v>2300L</v>
      </c>
      <c r="Q3133" t="str">
        <f t="shared" si="456"/>
        <v>0101</v>
      </c>
      <c r="R3133">
        <v>2300</v>
      </c>
      <c r="S3133" t="str">
        <f t="shared" si="455"/>
        <v>6050</v>
      </c>
      <c r="T3133" t="s">
        <v>3621</v>
      </c>
      <c r="U3133" t="s">
        <v>73</v>
      </c>
    </row>
    <row r="3134" spans="1:21" ht="15" customHeight="1" x14ac:dyDescent="0.3">
      <c r="A3134" t="s">
        <v>179</v>
      </c>
      <c r="B3134" t="str">
        <f>"00054923"</f>
        <v>00054923</v>
      </c>
      <c r="C3134" t="s">
        <v>4262</v>
      </c>
      <c r="D3134" t="s">
        <v>2634</v>
      </c>
      <c r="E3134" t="str">
        <f>"00055001"</f>
        <v>00055001</v>
      </c>
      <c r="F3134">
        <v>0</v>
      </c>
      <c r="G3134" s="243">
        <v>32399</v>
      </c>
      <c r="H3134" t="s">
        <v>182</v>
      </c>
      <c r="I3134">
        <v>15</v>
      </c>
      <c r="J3134">
        <v>13</v>
      </c>
      <c r="K3134">
        <v>1</v>
      </c>
      <c r="L3134">
        <v>81724</v>
      </c>
      <c r="M3134" t="str">
        <f t="shared" si="453"/>
        <v>13</v>
      </c>
      <c r="N3134" t="s">
        <v>3323</v>
      </c>
      <c r="O3134" t="str">
        <f t="shared" si="454"/>
        <v>60511</v>
      </c>
      <c r="P3134" t="str">
        <f>"2100L"</f>
        <v>2100L</v>
      </c>
      <c r="Q3134" t="str">
        <f t="shared" si="456"/>
        <v>0101</v>
      </c>
      <c r="R3134">
        <v>2100</v>
      </c>
      <c r="S3134" t="str">
        <f t="shared" si="455"/>
        <v>6050</v>
      </c>
      <c r="T3134" t="s">
        <v>3621</v>
      </c>
      <c r="U3134" t="s">
        <v>73</v>
      </c>
    </row>
    <row r="3135" spans="1:21" ht="15" customHeight="1" x14ac:dyDescent="0.3">
      <c r="A3135" t="s">
        <v>179</v>
      </c>
      <c r="B3135" t="str">
        <f>"00054944"</f>
        <v>00054944</v>
      </c>
      <c r="C3135" t="s">
        <v>4266</v>
      </c>
      <c r="D3135" t="s">
        <v>2635</v>
      </c>
      <c r="E3135" t="str">
        <f>"00055135"</f>
        <v>00055135</v>
      </c>
      <c r="F3135">
        <v>0</v>
      </c>
      <c r="G3135" s="243">
        <v>35675</v>
      </c>
      <c r="H3135" t="s">
        <v>182</v>
      </c>
      <c r="I3135">
        <v>15</v>
      </c>
      <c r="J3135">
        <v>15</v>
      </c>
      <c r="K3135">
        <v>1</v>
      </c>
      <c r="L3135">
        <v>98285</v>
      </c>
      <c r="M3135" t="str">
        <f t="shared" si="453"/>
        <v>13</v>
      </c>
      <c r="N3135" t="s">
        <v>3323</v>
      </c>
      <c r="O3135" t="str">
        <f t="shared" si="454"/>
        <v>60511</v>
      </c>
      <c r="P3135" t="str">
        <f>"2300L"</f>
        <v>2300L</v>
      </c>
      <c r="Q3135" t="str">
        <f t="shared" si="456"/>
        <v>0101</v>
      </c>
      <c r="R3135">
        <v>2300</v>
      </c>
      <c r="S3135" t="str">
        <f t="shared" si="455"/>
        <v>6050</v>
      </c>
      <c r="T3135" t="s">
        <v>3621</v>
      </c>
      <c r="U3135" t="s">
        <v>73</v>
      </c>
    </row>
    <row r="3136" spans="1:21" ht="15" customHeight="1" x14ac:dyDescent="0.3">
      <c r="A3136" t="s">
        <v>179</v>
      </c>
      <c r="B3136" t="str">
        <f>"00055057"</f>
        <v>00055057</v>
      </c>
      <c r="C3136" t="s">
        <v>4262</v>
      </c>
      <c r="D3136" t="s">
        <v>2636</v>
      </c>
      <c r="E3136" t="str">
        <f>"00049971"</f>
        <v>00049971</v>
      </c>
      <c r="F3136">
        <v>0</v>
      </c>
      <c r="G3136" s="243">
        <v>36390</v>
      </c>
      <c r="H3136" t="s">
        <v>182</v>
      </c>
      <c r="I3136">
        <v>15</v>
      </c>
      <c r="J3136">
        <v>16</v>
      </c>
      <c r="K3136">
        <v>1</v>
      </c>
      <c r="L3136">
        <v>106540</v>
      </c>
      <c r="M3136" t="str">
        <f t="shared" si="453"/>
        <v>13</v>
      </c>
      <c r="N3136" t="s">
        <v>3323</v>
      </c>
      <c r="O3136" t="str">
        <f t="shared" si="454"/>
        <v>60511</v>
      </c>
      <c r="P3136" t="str">
        <f>"2100L"</f>
        <v>2100L</v>
      </c>
      <c r="Q3136" t="str">
        <f t="shared" si="456"/>
        <v>0101</v>
      </c>
      <c r="R3136">
        <v>2100</v>
      </c>
      <c r="S3136" t="str">
        <f t="shared" si="455"/>
        <v>6050</v>
      </c>
      <c r="T3136" t="s">
        <v>3621</v>
      </c>
      <c r="U3136" t="s">
        <v>73</v>
      </c>
    </row>
    <row r="3137" spans="1:21" ht="15" customHeight="1" x14ac:dyDescent="0.3">
      <c r="A3137" t="s">
        <v>179</v>
      </c>
      <c r="B3137" t="str">
        <f>"00055187"</f>
        <v>00055187</v>
      </c>
      <c r="C3137" t="s">
        <v>200</v>
      </c>
      <c r="D3137" t="s">
        <v>2637</v>
      </c>
      <c r="E3137" t="str">
        <f>"00054939"</f>
        <v>00054939</v>
      </c>
      <c r="F3137">
        <v>0</v>
      </c>
      <c r="G3137" s="243">
        <v>36390</v>
      </c>
      <c r="H3137" t="s">
        <v>182</v>
      </c>
      <c r="I3137">
        <v>15</v>
      </c>
      <c r="J3137">
        <v>15</v>
      </c>
      <c r="K3137">
        <v>1</v>
      </c>
      <c r="L3137">
        <v>100792</v>
      </c>
      <c r="M3137" t="str">
        <f t="shared" si="453"/>
        <v>13</v>
      </c>
      <c r="N3137" t="s">
        <v>3323</v>
      </c>
      <c r="O3137" t="str">
        <f t="shared" si="454"/>
        <v>60511</v>
      </c>
      <c r="P3137" t="str">
        <f>"2300L"</f>
        <v>2300L</v>
      </c>
      <c r="Q3137" t="str">
        <f t="shared" si="456"/>
        <v>0101</v>
      </c>
      <c r="R3137">
        <v>2300</v>
      </c>
      <c r="S3137" t="str">
        <f t="shared" si="455"/>
        <v>6050</v>
      </c>
      <c r="T3137" t="s">
        <v>3621</v>
      </c>
      <c r="U3137" t="s">
        <v>73</v>
      </c>
    </row>
    <row r="3138" spans="1:21" ht="15" customHeight="1" x14ac:dyDescent="0.3">
      <c r="A3138" t="s">
        <v>179</v>
      </c>
      <c r="B3138" t="str">
        <f>"00055190"</f>
        <v>00055190</v>
      </c>
      <c r="C3138" t="s">
        <v>3798</v>
      </c>
      <c r="D3138" t="s">
        <v>2638</v>
      </c>
      <c r="E3138" t="str">
        <f>"00047580"</f>
        <v>00047580</v>
      </c>
      <c r="F3138">
        <v>0</v>
      </c>
      <c r="G3138" s="243">
        <v>36390</v>
      </c>
      <c r="H3138" t="s">
        <v>182</v>
      </c>
      <c r="I3138">
        <v>61</v>
      </c>
      <c r="J3138">
        <v>4</v>
      </c>
      <c r="K3138">
        <v>1</v>
      </c>
      <c r="L3138">
        <v>115000</v>
      </c>
      <c r="M3138" t="str">
        <f t="shared" si="453"/>
        <v>13</v>
      </c>
      <c r="N3138" t="s">
        <v>3323</v>
      </c>
      <c r="O3138" t="str">
        <f t="shared" si="454"/>
        <v>60511</v>
      </c>
      <c r="P3138" t="str">
        <f>"1501L"</f>
        <v>1501L</v>
      </c>
      <c r="Q3138" t="str">
        <f t="shared" si="456"/>
        <v>0101</v>
      </c>
      <c r="R3138">
        <v>1501</v>
      </c>
      <c r="S3138" t="str">
        <f t="shared" si="455"/>
        <v>6050</v>
      </c>
      <c r="T3138" t="s">
        <v>3621</v>
      </c>
      <c r="U3138" t="s">
        <v>73</v>
      </c>
    </row>
    <row r="3139" spans="1:21" ht="15" customHeight="1" x14ac:dyDescent="0.3">
      <c r="A3139" t="s">
        <v>179</v>
      </c>
      <c r="B3139" t="str">
        <f>"00055318"</f>
        <v>00055318</v>
      </c>
      <c r="C3139" t="s">
        <v>4259</v>
      </c>
      <c r="D3139" t="s">
        <v>2811</v>
      </c>
      <c r="E3139" t="str">
        <f>"00014397"</f>
        <v>00014397</v>
      </c>
      <c r="F3139">
        <v>1</v>
      </c>
      <c r="G3139" s="243">
        <v>36761</v>
      </c>
      <c r="H3139" t="s">
        <v>182</v>
      </c>
      <c r="I3139">
        <v>15</v>
      </c>
      <c r="J3139">
        <v>13</v>
      </c>
      <c r="K3139">
        <v>1</v>
      </c>
      <c r="L3139">
        <v>95366</v>
      </c>
      <c r="M3139" t="str">
        <f t="shared" si="453"/>
        <v>13</v>
      </c>
      <c r="N3139" t="s">
        <v>3323</v>
      </c>
      <c r="O3139" t="str">
        <f t="shared" ref="O3139:O3169" si="457">"60511"</f>
        <v>60511</v>
      </c>
      <c r="P3139" t="str">
        <f>"2100L"</f>
        <v>2100L</v>
      </c>
      <c r="Q3139" t="str">
        <f t="shared" si="456"/>
        <v>0101</v>
      </c>
      <c r="R3139">
        <v>2100</v>
      </c>
      <c r="S3139" t="str">
        <f t="shared" ref="S3139:S3169" si="458">"6050"</f>
        <v>6050</v>
      </c>
      <c r="T3139" t="s">
        <v>3621</v>
      </c>
      <c r="U3139" t="s">
        <v>73</v>
      </c>
    </row>
    <row r="3140" spans="1:21" ht="15" customHeight="1" x14ac:dyDescent="0.3">
      <c r="A3140" t="s">
        <v>179</v>
      </c>
      <c r="B3140" t="str">
        <f>"00056593"</f>
        <v>00056593</v>
      </c>
      <c r="C3140" t="s">
        <v>4253</v>
      </c>
      <c r="D3140" t="s">
        <v>2639</v>
      </c>
      <c r="E3140" t="str">
        <f>"00049452"</f>
        <v>00049452</v>
      </c>
      <c r="F3140">
        <v>0</v>
      </c>
      <c r="G3140" s="243">
        <v>36390</v>
      </c>
      <c r="H3140" t="s">
        <v>182</v>
      </c>
      <c r="I3140">
        <v>15</v>
      </c>
      <c r="J3140">
        <v>14</v>
      </c>
      <c r="K3140">
        <v>1</v>
      </c>
      <c r="L3140">
        <v>102160</v>
      </c>
      <c r="M3140" t="str">
        <f t="shared" si="453"/>
        <v>13</v>
      </c>
      <c r="N3140" t="s">
        <v>3323</v>
      </c>
      <c r="O3140" t="str">
        <f t="shared" si="457"/>
        <v>60511</v>
      </c>
      <c r="P3140" t="str">
        <f>"2100L"</f>
        <v>2100L</v>
      </c>
      <c r="Q3140" t="str">
        <f t="shared" si="456"/>
        <v>0101</v>
      </c>
      <c r="R3140">
        <v>2100</v>
      </c>
      <c r="S3140" t="str">
        <f t="shared" si="458"/>
        <v>6050</v>
      </c>
      <c r="T3140" t="s">
        <v>3621</v>
      </c>
      <c r="U3140" t="s">
        <v>73</v>
      </c>
    </row>
    <row r="3141" spans="1:21" ht="15" customHeight="1" x14ac:dyDescent="0.3">
      <c r="A3141" t="s">
        <v>179</v>
      </c>
      <c r="B3141" t="str">
        <f>"00056903"</f>
        <v>00056903</v>
      </c>
      <c r="C3141" t="s">
        <v>4266</v>
      </c>
      <c r="D3141" t="s">
        <v>5247</v>
      </c>
      <c r="E3141" t="str">
        <f>"00049240"</f>
        <v>00049240</v>
      </c>
      <c r="F3141">
        <v>0</v>
      </c>
      <c r="G3141" s="243">
        <v>41133</v>
      </c>
      <c r="H3141" t="s">
        <v>182</v>
      </c>
      <c r="I3141">
        <v>15</v>
      </c>
      <c r="J3141">
        <v>14</v>
      </c>
      <c r="K3141">
        <v>1</v>
      </c>
      <c r="L3141">
        <v>96460</v>
      </c>
      <c r="M3141" t="str">
        <f t="shared" si="453"/>
        <v>13</v>
      </c>
      <c r="N3141" t="s">
        <v>3370</v>
      </c>
      <c r="O3141" t="str">
        <f t="shared" si="457"/>
        <v>60511</v>
      </c>
      <c r="P3141" t="str">
        <f>"2300L"</f>
        <v>2300L</v>
      </c>
      <c r="Q3141" t="str">
        <f t="shared" si="456"/>
        <v>0101</v>
      </c>
      <c r="R3141">
        <v>2300</v>
      </c>
      <c r="S3141" t="str">
        <f t="shared" si="458"/>
        <v>6050</v>
      </c>
      <c r="T3141" t="s">
        <v>3621</v>
      </c>
      <c r="U3141" t="s">
        <v>73</v>
      </c>
    </row>
    <row r="3142" spans="1:21" ht="15" customHeight="1" x14ac:dyDescent="0.3">
      <c r="A3142" t="s">
        <v>179</v>
      </c>
      <c r="B3142" t="str">
        <f>"00056918"</f>
        <v>00056918</v>
      </c>
      <c r="C3142" t="s">
        <v>4272</v>
      </c>
      <c r="D3142" t="s">
        <v>2453</v>
      </c>
      <c r="E3142" t="str">
        <f>"00062499"</f>
        <v>00062499</v>
      </c>
      <c r="F3142">
        <v>0</v>
      </c>
      <c r="G3142" s="243">
        <v>40392</v>
      </c>
      <c r="H3142" t="s">
        <v>182</v>
      </c>
      <c r="I3142">
        <v>15</v>
      </c>
      <c r="J3142">
        <v>3</v>
      </c>
      <c r="K3142">
        <v>1</v>
      </c>
      <c r="L3142">
        <v>55210</v>
      </c>
      <c r="M3142" t="str">
        <f t="shared" si="453"/>
        <v>13</v>
      </c>
      <c r="N3142" t="s">
        <v>3323</v>
      </c>
      <c r="O3142" t="str">
        <f t="shared" si="457"/>
        <v>60511</v>
      </c>
      <c r="P3142" t="str">
        <f>"2100L"</f>
        <v>2100L</v>
      </c>
      <c r="Q3142" t="str">
        <f t="shared" si="456"/>
        <v>0101</v>
      </c>
      <c r="R3142">
        <v>2100</v>
      </c>
      <c r="S3142" t="str">
        <f t="shared" si="458"/>
        <v>6050</v>
      </c>
      <c r="T3142" t="s">
        <v>3621</v>
      </c>
      <c r="U3142" t="s">
        <v>73</v>
      </c>
    </row>
    <row r="3143" spans="1:21" ht="15" customHeight="1" x14ac:dyDescent="0.3">
      <c r="A3143" t="s">
        <v>179</v>
      </c>
      <c r="B3143" t="str">
        <f>"00057128"</f>
        <v>00057128</v>
      </c>
      <c r="C3143" t="s">
        <v>4299</v>
      </c>
      <c r="D3143" t="s">
        <v>5248</v>
      </c>
      <c r="E3143" t="str">
        <f>"00050394"</f>
        <v>00050394</v>
      </c>
      <c r="F3143">
        <v>0</v>
      </c>
      <c r="G3143" s="243">
        <v>34081</v>
      </c>
      <c r="H3143" t="s">
        <v>182</v>
      </c>
      <c r="I3143">
        <v>7</v>
      </c>
      <c r="J3143">
        <v>6</v>
      </c>
      <c r="K3143">
        <v>1</v>
      </c>
      <c r="L3143">
        <v>41513</v>
      </c>
      <c r="M3143" t="str">
        <f t="shared" si="453"/>
        <v>13</v>
      </c>
      <c r="N3143" t="s">
        <v>3323</v>
      </c>
      <c r="O3143" t="str">
        <f t="shared" si="457"/>
        <v>60511</v>
      </c>
      <c r="P3143" t="str">
        <f>"1502L"</f>
        <v>1502L</v>
      </c>
      <c r="Q3143" t="str">
        <f t="shared" si="456"/>
        <v>0101</v>
      </c>
      <c r="R3143">
        <v>1502</v>
      </c>
      <c r="S3143" t="str">
        <f t="shared" si="458"/>
        <v>6050</v>
      </c>
      <c r="T3143" t="s">
        <v>3621</v>
      </c>
      <c r="U3143" t="s">
        <v>73</v>
      </c>
    </row>
    <row r="3144" spans="1:21" ht="15" customHeight="1" x14ac:dyDescent="0.3">
      <c r="A3144" t="s">
        <v>179</v>
      </c>
      <c r="B3144" t="str">
        <f>"00057172"</f>
        <v>00057172</v>
      </c>
      <c r="C3144" t="s">
        <v>4266</v>
      </c>
      <c r="D3144" t="s">
        <v>2640</v>
      </c>
      <c r="E3144" t="str">
        <f>"00045292"</f>
        <v>00045292</v>
      </c>
      <c r="F3144">
        <v>0</v>
      </c>
      <c r="G3144" s="243">
        <v>36593</v>
      </c>
      <c r="H3144" t="s">
        <v>182</v>
      </c>
      <c r="I3144">
        <v>15</v>
      </c>
      <c r="J3144">
        <v>12</v>
      </c>
      <c r="K3144">
        <v>1</v>
      </c>
      <c r="L3144">
        <v>87431</v>
      </c>
      <c r="M3144" t="str">
        <f t="shared" si="453"/>
        <v>13</v>
      </c>
      <c r="N3144" t="s">
        <v>3323</v>
      </c>
      <c r="O3144" t="str">
        <f t="shared" si="457"/>
        <v>60511</v>
      </c>
      <c r="P3144" t="str">
        <f>"2300L"</f>
        <v>2300L</v>
      </c>
      <c r="Q3144" t="str">
        <f t="shared" si="456"/>
        <v>0101</v>
      </c>
      <c r="R3144">
        <v>2300</v>
      </c>
      <c r="S3144" t="str">
        <f t="shared" si="458"/>
        <v>6050</v>
      </c>
      <c r="T3144" t="s">
        <v>3621</v>
      </c>
      <c r="U3144" t="s">
        <v>73</v>
      </c>
    </row>
    <row r="3145" spans="1:21" ht="15" customHeight="1" x14ac:dyDescent="0.3">
      <c r="A3145" t="s">
        <v>179</v>
      </c>
      <c r="B3145" t="str">
        <f>"00057241"</f>
        <v>00057241</v>
      </c>
      <c r="C3145" t="s">
        <v>4256</v>
      </c>
      <c r="H3145" t="s">
        <v>170</v>
      </c>
      <c r="I3145">
        <v>15</v>
      </c>
      <c r="J3145">
        <v>1</v>
      </c>
      <c r="K3145">
        <v>1</v>
      </c>
      <c r="L3145">
        <v>56693</v>
      </c>
      <c r="M3145" t="str">
        <f t="shared" si="453"/>
        <v>13</v>
      </c>
      <c r="N3145" t="s">
        <v>3323</v>
      </c>
      <c r="O3145" t="str">
        <f t="shared" si="457"/>
        <v>60511</v>
      </c>
      <c r="P3145" t="str">
        <f>"3030L"</f>
        <v>3030L</v>
      </c>
      <c r="Q3145" t="str">
        <f t="shared" si="456"/>
        <v>0101</v>
      </c>
      <c r="R3145">
        <v>3030</v>
      </c>
      <c r="S3145" t="str">
        <f t="shared" si="458"/>
        <v>6050</v>
      </c>
      <c r="T3145" t="s">
        <v>3621</v>
      </c>
      <c r="U3145" t="s">
        <v>73</v>
      </c>
    </row>
    <row r="3146" spans="1:21" ht="15" customHeight="1" x14ac:dyDescent="0.3">
      <c r="A3146" t="s">
        <v>179</v>
      </c>
      <c r="B3146" t="str">
        <f>"00057376"</f>
        <v>00057376</v>
      </c>
      <c r="C3146" t="s">
        <v>4262</v>
      </c>
      <c r="D3146" t="s">
        <v>2642</v>
      </c>
      <c r="E3146" t="str">
        <f>"00047846"</f>
        <v>00047846</v>
      </c>
      <c r="F3146">
        <v>0</v>
      </c>
      <c r="G3146" s="243">
        <v>37270</v>
      </c>
      <c r="H3146" t="s">
        <v>182</v>
      </c>
      <c r="I3146">
        <v>15</v>
      </c>
      <c r="J3146">
        <v>12</v>
      </c>
      <c r="K3146">
        <v>1</v>
      </c>
      <c r="L3146">
        <v>87431</v>
      </c>
      <c r="M3146" t="str">
        <f t="shared" si="453"/>
        <v>13</v>
      </c>
      <c r="N3146" t="s">
        <v>3323</v>
      </c>
      <c r="O3146" t="str">
        <f t="shared" si="457"/>
        <v>60511</v>
      </c>
      <c r="P3146" t="str">
        <f>"2100L"</f>
        <v>2100L</v>
      </c>
      <c r="Q3146" t="str">
        <f t="shared" si="456"/>
        <v>0101</v>
      </c>
      <c r="R3146">
        <v>2100</v>
      </c>
      <c r="S3146" t="str">
        <f t="shared" si="458"/>
        <v>6050</v>
      </c>
      <c r="T3146" t="s">
        <v>3621</v>
      </c>
      <c r="U3146" t="s">
        <v>73</v>
      </c>
    </row>
    <row r="3147" spans="1:21" ht="15" customHeight="1" x14ac:dyDescent="0.3">
      <c r="A3147" t="s">
        <v>179</v>
      </c>
      <c r="B3147" t="str">
        <f>"00057451"</f>
        <v>00057451</v>
      </c>
      <c r="C3147" t="s">
        <v>4266</v>
      </c>
      <c r="D3147" t="s">
        <v>2643</v>
      </c>
      <c r="E3147" t="str">
        <f>"00045135"</f>
        <v>00045135</v>
      </c>
      <c r="F3147">
        <v>0</v>
      </c>
      <c r="G3147" s="243">
        <v>36761</v>
      </c>
      <c r="H3147" t="s">
        <v>182</v>
      </c>
      <c r="I3147">
        <v>15</v>
      </c>
      <c r="J3147">
        <v>15</v>
      </c>
      <c r="K3147">
        <v>1</v>
      </c>
      <c r="L3147">
        <v>98285</v>
      </c>
      <c r="M3147" t="str">
        <f t="shared" si="453"/>
        <v>13</v>
      </c>
      <c r="N3147" t="s">
        <v>3323</v>
      </c>
      <c r="O3147" t="str">
        <f t="shared" si="457"/>
        <v>60511</v>
      </c>
      <c r="P3147" t="str">
        <f>"2300L"</f>
        <v>2300L</v>
      </c>
      <c r="Q3147" t="str">
        <f t="shared" si="456"/>
        <v>0101</v>
      </c>
      <c r="R3147">
        <v>2300</v>
      </c>
      <c r="S3147" t="str">
        <f t="shared" si="458"/>
        <v>6050</v>
      </c>
      <c r="T3147" t="s">
        <v>3621</v>
      </c>
      <c r="U3147" t="s">
        <v>73</v>
      </c>
    </row>
    <row r="3148" spans="1:21" ht="15" customHeight="1" x14ac:dyDescent="0.3">
      <c r="A3148" t="s">
        <v>179</v>
      </c>
      <c r="B3148" t="str">
        <f>"00057583"</f>
        <v>00057583</v>
      </c>
      <c r="C3148" t="s">
        <v>4266</v>
      </c>
      <c r="D3148" t="s">
        <v>2644</v>
      </c>
      <c r="E3148" t="str">
        <f>"00055019"</f>
        <v>00055019</v>
      </c>
      <c r="F3148">
        <v>0</v>
      </c>
      <c r="G3148" s="243">
        <v>37278</v>
      </c>
      <c r="H3148" t="s">
        <v>182</v>
      </c>
      <c r="I3148">
        <v>15</v>
      </c>
      <c r="J3148">
        <v>12</v>
      </c>
      <c r="K3148">
        <v>1</v>
      </c>
      <c r="L3148">
        <v>87431</v>
      </c>
      <c r="M3148" t="str">
        <f t="shared" si="453"/>
        <v>13</v>
      </c>
      <c r="N3148" t="s">
        <v>3323</v>
      </c>
      <c r="O3148" t="str">
        <f t="shared" si="457"/>
        <v>60511</v>
      </c>
      <c r="P3148" t="str">
        <f>"2300L"</f>
        <v>2300L</v>
      </c>
      <c r="Q3148" t="str">
        <f t="shared" si="456"/>
        <v>0101</v>
      </c>
      <c r="R3148">
        <v>2300</v>
      </c>
      <c r="S3148" t="str">
        <f t="shared" si="458"/>
        <v>6050</v>
      </c>
      <c r="T3148" t="s">
        <v>3621</v>
      </c>
      <c r="U3148" t="s">
        <v>73</v>
      </c>
    </row>
    <row r="3149" spans="1:21" ht="15" customHeight="1" x14ac:dyDescent="0.3">
      <c r="A3149" t="s">
        <v>179</v>
      </c>
      <c r="B3149" t="str">
        <f>"00057719"</f>
        <v>00057719</v>
      </c>
      <c r="C3149" t="s">
        <v>4262</v>
      </c>
      <c r="D3149" t="s">
        <v>2645</v>
      </c>
      <c r="E3149" t="str">
        <f>"00053201"</f>
        <v>00053201</v>
      </c>
      <c r="F3149">
        <v>0</v>
      </c>
      <c r="G3149" s="243">
        <v>36761</v>
      </c>
      <c r="H3149" t="s">
        <v>182</v>
      </c>
      <c r="I3149">
        <v>15</v>
      </c>
      <c r="J3149">
        <v>12</v>
      </c>
      <c r="K3149">
        <v>1</v>
      </c>
      <c r="L3149">
        <v>87431</v>
      </c>
      <c r="M3149" t="str">
        <f t="shared" si="453"/>
        <v>13</v>
      </c>
      <c r="N3149" t="s">
        <v>3323</v>
      </c>
      <c r="O3149" t="str">
        <f t="shared" si="457"/>
        <v>60511</v>
      </c>
      <c r="P3149" t="str">
        <f>"2100L"</f>
        <v>2100L</v>
      </c>
      <c r="Q3149" t="str">
        <f t="shared" si="456"/>
        <v>0101</v>
      </c>
      <c r="R3149">
        <v>2100</v>
      </c>
      <c r="S3149" t="str">
        <f t="shared" si="458"/>
        <v>6050</v>
      </c>
      <c r="T3149" t="s">
        <v>3621</v>
      </c>
      <c r="U3149" t="s">
        <v>73</v>
      </c>
    </row>
    <row r="3150" spans="1:21" ht="15" customHeight="1" x14ac:dyDescent="0.3">
      <c r="A3150" t="s">
        <v>179</v>
      </c>
      <c r="B3150" t="str">
        <f>"00058058"</f>
        <v>00058058</v>
      </c>
      <c r="C3150" t="s">
        <v>4262</v>
      </c>
      <c r="D3150" t="s">
        <v>2646</v>
      </c>
      <c r="E3150" t="str">
        <f>"00052741"</f>
        <v>00052741</v>
      </c>
      <c r="F3150">
        <v>0</v>
      </c>
      <c r="G3150" s="243">
        <v>37124</v>
      </c>
      <c r="H3150" t="s">
        <v>182</v>
      </c>
      <c r="I3150">
        <v>15</v>
      </c>
      <c r="J3150">
        <v>12</v>
      </c>
      <c r="K3150">
        <v>1</v>
      </c>
      <c r="L3150">
        <v>89887</v>
      </c>
      <c r="M3150" t="str">
        <f t="shared" si="453"/>
        <v>13</v>
      </c>
      <c r="N3150" t="s">
        <v>3323</v>
      </c>
      <c r="O3150" t="str">
        <f t="shared" si="457"/>
        <v>60511</v>
      </c>
      <c r="P3150" t="str">
        <f>"2100L"</f>
        <v>2100L</v>
      </c>
      <c r="Q3150" t="str">
        <f t="shared" si="456"/>
        <v>0101</v>
      </c>
      <c r="R3150">
        <v>2100</v>
      </c>
      <c r="S3150" t="str">
        <f t="shared" si="458"/>
        <v>6050</v>
      </c>
      <c r="T3150" t="s">
        <v>3621</v>
      </c>
      <c r="U3150" t="s">
        <v>73</v>
      </c>
    </row>
    <row r="3151" spans="1:21" ht="15" customHeight="1" x14ac:dyDescent="0.3">
      <c r="A3151" t="s">
        <v>179</v>
      </c>
      <c r="B3151" t="str">
        <f>"00058075"</f>
        <v>00058075</v>
      </c>
      <c r="C3151" t="s">
        <v>4272</v>
      </c>
      <c r="D3151" t="s">
        <v>2647</v>
      </c>
      <c r="E3151" t="str">
        <f>"00053451"</f>
        <v>00053451</v>
      </c>
      <c r="F3151">
        <v>0</v>
      </c>
      <c r="G3151" s="243">
        <v>38796</v>
      </c>
      <c r="H3151" t="s">
        <v>182</v>
      </c>
      <c r="I3151">
        <v>15</v>
      </c>
      <c r="J3151">
        <v>7</v>
      </c>
      <c r="K3151">
        <v>1</v>
      </c>
      <c r="L3151">
        <v>61068</v>
      </c>
      <c r="M3151" t="str">
        <f t="shared" si="453"/>
        <v>13</v>
      </c>
      <c r="N3151" t="s">
        <v>3323</v>
      </c>
      <c r="O3151" t="str">
        <f t="shared" si="457"/>
        <v>60511</v>
      </c>
      <c r="P3151" t="str">
        <f>"2200L"</f>
        <v>2200L</v>
      </c>
      <c r="Q3151" t="str">
        <f t="shared" si="456"/>
        <v>0101</v>
      </c>
      <c r="R3151">
        <v>2200</v>
      </c>
      <c r="S3151" t="str">
        <f t="shared" si="458"/>
        <v>6050</v>
      </c>
      <c r="T3151" t="s">
        <v>3621</v>
      </c>
      <c r="U3151" t="s">
        <v>73</v>
      </c>
    </row>
    <row r="3152" spans="1:21" ht="15" customHeight="1" x14ac:dyDescent="0.3">
      <c r="A3152" t="s">
        <v>179</v>
      </c>
      <c r="B3152" t="str">
        <f>"00060361"</f>
        <v>00060361</v>
      </c>
      <c r="C3152" t="s">
        <v>4266</v>
      </c>
      <c r="D3152" t="s">
        <v>3753</v>
      </c>
      <c r="E3152" t="str">
        <f>"00065861"</f>
        <v>00065861</v>
      </c>
      <c r="F3152">
        <v>0</v>
      </c>
      <c r="G3152" s="243">
        <v>40755</v>
      </c>
      <c r="H3152" t="s">
        <v>182</v>
      </c>
      <c r="I3152">
        <v>15</v>
      </c>
      <c r="J3152">
        <v>2</v>
      </c>
      <c r="K3152">
        <v>1</v>
      </c>
      <c r="L3152">
        <v>51716</v>
      </c>
      <c r="M3152" t="str">
        <f t="shared" si="453"/>
        <v>13</v>
      </c>
      <c r="N3152" t="s">
        <v>3323</v>
      </c>
      <c r="O3152" t="str">
        <f t="shared" si="457"/>
        <v>60511</v>
      </c>
      <c r="P3152" t="str">
        <f>"2300L"</f>
        <v>2300L</v>
      </c>
      <c r="Q3152" t="str">
        <f t="shared" si="456"/>
        <v>0101</v>
      </c>
      <c r="R3152">
        <v>2300</v>
      </c>
      <c r="S3152" t="str">
        <f t="shared" si="458"/>
        <v>6050</v>
      </c>
      <c r="T3152" t="s">
        <v>3621</v>
      </c>
      <c r="U3152" t="s">
        <v>73</v>
      </c>
    </row>
    <row r="3153" spans="1:21" ht="15" customHeight="1" x14ac:dyDescent="0.3">
      <c r="A3153" t="s">
        <v>179</v>
      </c>
      <c r="B3153" t="str">
        <f>"00060680"</f>
        <v>00060680</v>
      </c>
      <c r="C3153" t="s">
        <v>4272</v>
      </c>
      <c r="D3153" t="s">
        <v>5249</v>
      </c>
      <c r="E3153" t="str">
        <f>"00070079"</f>
        <v>00070079</v>
      </c>
      <c r="F3153">
        <v>0</v>
      </c>
      <c r="G3153" s="243">
        <v>41133</v>
      </c>
      <c r="H3153" t="s">
        <v>182</v>
      </c>
      <c r="I3153">
        <v>15</v>
      </c>
      <c r="J3153">
        <v>1</v>
      </c>
      <c r="K3153">
        <v>1</v>
      </c>
      <c r="L3153">
        <v>51539</v>
      </c>
      <c r="M3153" t="str">
        <f t="shared" si="453"/>
        <v>13</v>
      </c>
      <c r="N3153" t="s">
        <v>3370</v>
      </c>
      <c r="O3153" t="str">
        <f t="shared" si="457"/>
        <v>60511</v>
      </c>
      <c r="P3153" t="str">
        <f>"2100L"</f>
        <v>2100L</v>
      </c>
      <c r="Q3153" t="str">
        <f t="shared" si="456"/>
        <v>0101</v>
      </c>
      <c r="R3153">
        <v>2100</v>
      </c>
      <c r="S3153" t="str">
        <f t="shared" si="458"/>
        <v>6050</v>
      </c>
      <c r="T3153" t="s">
        <v>3621</v>
      </c>
      <c r="U3153" t="s">
        <v>73</v>
      </c>
    </row>
    <row r="3154" spans="1:21" ht="15" customHeight="1" x14ac:dyDescent="0.3">
      <c r="A3154" t="s">
        <v>179</v>
      </c>
      <c r="B3154" t="str">
        <f>"00060970"</f>
        <v>00060970</v>
      </c>
      <c r="C3154" t="s">
        <v>4262</v>
      </c>
      <c r="D3154" t="s">
        <v>3754</v>
      </c>
      <c r="E3154" t="str">
        <f>"00061430"</f>
        <v>00061430</v>
      </c>
      <c r="F3154">
        <v>0</v>
      </c>
      <c r="G3154" s="243">
        <v>40755</v>
      </c>
      <c r="H3154" t="s">
        <v>182</v>
      </c>
      <c r="I3154">
        <v>15</v>
      </c>
      <c r="J3154">
        <v>11</v>
      </c>
      <c r="K3154">
        <v>1</v>
      </c>
      <c r="L3154">
        <v>81335</v>
      </c>
      <c r="M3154" t="str">
        <f t="shared" si="453"/>
        <v>13</v>
      </c>
      <c r="N3154" t="s">
        <v>3323</v>
      </c>
      <c r="O3154" t="str">
        <f t="shared" si="457"/>
        <v>60511</v>
      </c>
      <c r="P3154" t="str">
        <f>"2300L"</f>
        <v>2300L</v>
      </c>
      <c r="Q3154" t="str">
        <f t="shared" si="456"/>
        <v>0101</v>
      </c>
      <c r="R3154">
        <v>2300</v>
      </c>
      <c r="S3154" t="str">
        <f t="shared" si="458"/>
        <v>6050</v>
      </c>
      <c r="T3154" t="s">
        <v>3621</v>
      </c>
      <c r="U3154" t="s">
        <v>73</v>
      </c>
    </row>
    <row r="3155" spans="1:21" ht="15" customHeight="1" x14ac:dyDescent="0.3">
      <c r="A3155" t="s">
        <v>179</v>
      </c>
      <c r="B3155" t="str">
        <f>"00061041"</f>
        <v>00061041</v>
      </c>
      <c r="C3155" t="s">
        <v>4266</v>
      </c>
      <c r="D3155" t="s">
        <v>4214</v>
      </c>
      <c r="E3155" t="str">
        <f>"00066605"</f>
        <v>00066605</v>
      </c>
      <c r="F3155">
        <v>0</v>
      </c>
      <c r="G3155" s="243">
        <v>41133</v>
      </c>
      <c r="H3155" t="s">
        <v>182</v>
      </c>
      <c r="I3155">
        <v>15</v>
      </c>
      <c r="J3155">
        <v>3</v>
      </c>
      <c r="K3155">
        <v>1</v>
      </c>
      <c r="L3155">
        <v>52777</v>
      </c>
      <c r="M3155" t="str">
        <f t="shared" si="453"/>
        <v>13</v>
      </c>
      <c r="N3155" t="s">
        <v>3323</v>
      </c>
      <c r="O3155" t="str">
        <f t="shared" si="457"/>
        <v>60511</v>
      </c>
      <c r="P3155" t="str">
        <f>"2100L"</f>
        <v>2100L</v>
      </c>
      <c r="Q3155" t="str">
        <f t="shared" si="456"/>
        <v>0101</v>
      </c>
      <c r="R3155">
        <v>2100</v>
      </c>
      <c r="S3155" t="str">
        <f t="shared" si="458"/>
        <v>6050</v>
      </c>
      <c r="T3155" t="s">
        <v>3621</v>
      </c>
      <c r="U3155" t="s">
        <v>73</v>
      </c>
    </row>
    <row r="3156" spans="1:21" ht="15" customHeight="1" x14ac:dyDescent="0.3">
      <c r="A3156" t="s">
        <v>179</v>
      </c>
      <c r="B3156" t="str">
        <f>"00061202"</f>
        <v>00061202</v>
      </c>
      <c r="C3156" t="s">
        <v>4262</v>
      </c>
      <c r="D3156" t="s">
        <v>2122</v>
      </c>
      <c r="E3156" t="str">
        <f>"00053193"</f>
        <v>00053193</v>
      </c>
      <c r="F3156">
        <v>0</v>
      </c>
      <c r="G3156" s="243">
        <v>37124</v>
      </c>
      <c r="H3156" t="s">
        <v>182</v>
      </c>
      <c r="I3156">
        <v>15</v>
      </c>
      <c r="J3156">
        <v>12</v>
      </c>
      <c r="K3156">
        <v>1</v>
      </c>
      <c r="L3156">
        <v>75816</v>
      </c>
      <c r="M3156" t="str">
        <f t="shared" si="453"/>
        <v>13</v>
      </c>
      <c r="N3156" t="s">
        <v>3370</v>
      </c>
      <c r="O3156" t="str">
        <f t="shared" si="457"/>
        <v>60511</v>
      </c>
      <c r="P3156" t="str">
        <f>"2100L"</f>
        <v>2100L</v>
      </c>
      <c r="Q3156" t="str">
        <f t="shared" si="456"/>
        <v>0101</v>
      </c>
      <c r="R3156">
        <v>2100</v>
      </c>
      <c r="S3156" t="str">
        <f t="shared" si="458"/>
        <v>6050</v>
      </c>
      <c r="T3156" t="s">
        <v>3621</v>
      </c>
      <c r="U3156" t="s">
        <v>73</v>
      </c>
    </row>
    <row r="3157" spans="1:21" ht="15" customHeight="1" x14ac:dyDescent="0.3">
      <c r="A3157" t="s">
        <v>179</v>
      </c>
      <c r="B3157" t="str">
        <f>"00061634"</f>
        <v>00061634</v>
      </c>
      <c r="C3157" t="s">
        <v>4290</v>
      </c>
      <c r="D3157" t="s">
        <v>5250</v>
      </c>
      <c r="E3157" t="str">
        <f>"00047036"</f>
        <v>00047036</v>
      </c>
      <c r="F3157">
        <v>0</v>
      </c>
      <c r="G3157" s="243">
        <v>39377</v>
      </c>
      <c r="H3157" t="s">
        <v>182</v>
      </c>
      <c r="I3157">
        <v>4</v>
      </c>
      <c r="J3157">
        <v>6</v>
      </c>
      <c r="K3157">
        <v>0.875</v>
      </c>
      <c r="L3157">
        <v>25935.88</v>
      </c>
      <c r="M3157" t="str">
        <f t="shared" si="453"/>
        <v>13</v>
      </c>
      <c r="N3157" t="s">
        <v>3323</v>
      </c>
      <c r="O3157" t="str">
        <f t="shared" si="457"/>
        <v>60511</v>
      </c>
      <c r="P3157" t="str">
        <f>"3030L"</f>
        <v>3030L</v>
      </c>
      <c r="Q3157" t="str">
        <f t="shared" si="456"/>
        <v>0101</v>
      </c>
      <c r="R3157">
        <v>3030</v>
      </c>
      <c r="S3157" t="str">
        <f t="shared" si="458"/>
        <v>6050</v>
      </c>
      <c r="T3157" t="s">
        <v>3621</v>
      </c>
      <c r="U3157" t="s">
        <v>73</v>
      </c>
    </row>
    <row r="3158" spans="1:21" ht="15" customHeight="1" x14ac:dyDescent="0.3">
      <c r="A3158" t="s">
        <v>179</v>
      </c>
      <c r="B3158" t="str">
        <f>"00061865"</f>
        <v>00061865</v>
      </c>
      <c r="C3158" t="s">
        <v>4260</v>
      </c>
      <c r="D3158" t="s">
        <v>2649</v>
      </c>
      <c r="E3158" t="str">
        <f>"00047641"</f>
        <v>00047641</v>
      </c>
      <c r="F3158">
        <v>0</v>
      </c>
      <c r="G3158" s="243">
        <v>39673</v>
      </c>
      <c r="H3158" t="s">
        <v>182</v>
      </c>
      <c r="I3158">
        <v>15</v>
      </c>
      <c r="J3158">
        <v>7</v>
      </c>
      <c r="K3158">
        <v>1</v>
      </c>
      <c r="L3158">
        <v>69132</v>
      </c>
      <c r="M3158" t="str">
        <f t="shared" si="453"/>
        <v>13</v>
      </c>
      <c r="N3158" t="s">
        <v>3323</v>
      </c>
      <c r="O3158" t="str">
        <f t="shared" si="457"/>
        <v>60511</v>
      </c>
      <c r="P3158" t="str">
        <f>"2100L"</f>
        <v>2100L</v>
      </c>
      <c r="Q3158" t="str">
        <f t="shared" si="456"/>
        <v>0101</v>
      </c>
      <c r="R3158">
        <v>2100</v>
      </c>
      <c r="S3158" t="str">
        <f t="shared" si="458"/>
        <v>6050</v>
      </c>
      <c r="T3158" t="s">
        <v>3621</v>
      </c>
      <c r="U3158" t="s">
        <v>73</v>
      </c>
    </row>
    <row r="3159" spans="1:21" ht="15" customHeight="1" x14ac:dyDescent="0.3">
      <c r="A3159" t="s">
        <v>179</v>
      </c>
      <c r="B3159" t="str">
        <f>"00061909"</f>
        <v>00061909</v>
      </c>
      <c r="C3159" t="s">
        <v>4262</v>
      </c>
      <c r="D3159" t="s">
        <v>2650</v>
      </c>
      <c r="E3159" t="str">
        <f>"00050527"</f>
        <v>00050527</v>
      </c>
      <c r="F3159">
        <v>0</v>
      </c>
      <c r="G3159" s="243">
        <v>39679</v>
      </c>
      <c r="H3159" t="s">
        <v>182</v>
      </c>
      <c r="I3159">
        <v>15</v>
      </c>
      <c r="J3159">
        <v>5</v>
      </c>
      <c r="K3159">
        <v>1</v>
      </c>
      <c r="L3159">
        <v>59087</v>
      </c>
      <c r="M3159" t="str">
        <f t="shared" si="453"/>
        <v>13</v>
      </c>
      <c r="N3159" t="s">
        <v>3323</v>
      </c>
      <c r="O3159" t="str">
        <f t="shared" si="457"/>
        <v>60511</v>
      </c>
      <c r="P3159" t="str">
        <f>"2100L"</f>
        <v>2100L</v>
      </c>
      <c r="Q3159" t="str">
        <f t="shared" si="456"/>
        <v>0101</v>
      </c>
      <c r="R3159">
        <v>2100</v>
      </c>
      <c r="S3159" t="str">
        <f t="shared" si="458"/>
        <v>6050</v>
      </c>
      <c r="T3159" t="s">
        <v>3621</v>
      </c>
      <c r="U3159" t="s">
        <v>73</v>
      </c>
    </row>
    <row r="3160" spans="1:21" ht="15" customHeight="1" x14ac:dyDescent="0.3">
      <c r="A3160" t="s">
        <v>179</v>
      </c>
      <c r="B3160" t="str">
        <f>"00061923"</f>
        <v>00061923</v>
      </c>
      <c r="C3160" t="s">
        <v>4274</v>
      </c>
      <c r="D3160" t="s">
        <v>5251</v>
      </c>
      <c r="E3160" t="str">
        <f>"00044559"</f>
        <v>00044559</v>
      </c>
      <c r="F3160">
        <v>0</v>
      </c>
      <c r="G3160" s="243">
        <v>39679</v>
      </c>
      <c r="H3160" t="s">
        <v>182</v>
      </c>
      <c r="I3160">
        <v>4</v>
      </c>
      <c r="J3160">
        <v>9</v>
      </c>
      <c r="K3160">
        <v>0.875</v>
      </c>
      <c r="L3160">
        <v>28025.38</v>
      </c>
      <c r="M3160" t="str">
        <f t="shared" si="453"/>
        <v>13</v>
      </c>
      <c r="N3160" t="s">
        <v>3323</v>
      </c>
      <c r="O3160" t="str">
        <f t="shared" si="457"/>
        <v>60511</v>
      </c>
      <c r="P3160" t="str">
        <f>"2200L"</f>
        <v>2200L</v>
      </c>
      <c r="Q3160" t="str">
        <f t="shared" si="456"/>
        <v>0101</v>
      </c>
      <c r="R3160">
        <v>2200</v>
      </c>
      <c r="S3160" t="str">
        <f t="shared" si="458"/>
        <v>6050</v>
      </c>
      <c r="T3160" t="s">
        <v>3621</v>
      </c>
      <c r="U3160" t="s">
        <v>73</v>
      </c>
    </row>
    <row r="3161" spans="1:21" ht="15" customHeight="1" x14ac:dyDescent="0.3">
      <c r="A3161" t="s">
        <v>179</v>
      </c>
      <c r="B3161" t="str">
        <f>"00062059"</f>
        <v>00062059</v>
      </c>
      <c r="C3161" t="s">
        <v>4262</v>
      </c>
      <c r="D3161" t="s">
        <v>2651</v>
      </c>
      <c r="E3161" t="str">
        <f>"00056443"</f>
        <v>00056443</v>
      </c>
      <c r="F3161">
        <v>0</v>
      </c>
      <c r="G3161" s="243">
        <v>40406</v>
      </c>
      <c r="H3161" t="s">
        <v>182</v>
      </c>
      <c r="I3161">
        <v>15</v>
      </c>
      <c r="J3161">
        <v>3</v>
      </c>
      <c r="K3161">
        <v>1</v>
      </c>
      <c r="L3161">
        <v>58699</v>
      </c>
      <c r="M3161" t="str">
        <f t="shared" si="453"/>
        <v>13</v>
      </c>
      <c r="N3161" t="s">
        <v>3323</v>
      </c>
      <c r="O3161" t="str">
        <f t="shared" si="457"/>
        <v>60511</v>
      </c>
      <c r="P3161" t="str">
        <f>"2100L"</f>
        <v>2100L</v>
      </c>
      <c r="Q3161" t="str">
        <f t="shared" si="456"/>
        <v>0101</v>
      </c>
      <c r="R3161">
        <v>2100</v>
      </c>
      <c r="S3161" t="str">
        <f t="shared" si="458"/>
        <v>6050</v>
      </c>
      <c r="T3161" t="s">
        <v>3621</v>
      </c>
      <c r="U3161" t="s">
        <v>73</v>
      </c>
    </row>
    <row r="3162" spans="1:21" ht="15" customHeight="1" x14ac:dyDescent="0.3">
      <c r="A3162" t="s">
        <v>179</v>
      </c>
      <c r="B3162" t="str">
        <f>"00062215"</f>
        <v>00062215</v>
      </c>
      <c r="C3162" t="s">
        <v>4274</v>
      </c>
      <c r="D3162" t="s">
        <v>5252</v>
      </c>
      <c r="E3162" t="str">
        <f>"00046296"</f>
        <v>00046296</v>
      </c>
      <c r="F3162">
        <v>0</v>
      </c>
      <c r="G3162" s="243">
        <v>39679</v>
      </c>
      <c r="H3162" t="s">
        <v>182</v>
      </c>
      <c r="I3162">
        <v>4</v>
      </c>
      <c r="J3162">
        <v>9</v>
      </c>
      <c r="K3162">
        <v>0.875</v>
      </c>
      <c r="L3162">
        <v>28025.38</v>
      </c>
      <c r="M3162" t="str">
        <f t="shared" si="453"/>
        <v>13</v>
      </c>
      <c r="N3162" t="s">
        <v>3323</v>
      </c>
      <c r="O3162" t="str">
        <f t="shared" si="457"/>
        <v>60511</v>
      </c>
      <c r="P3162" t="str">
        <f>"2200L"</f>
        <v>2200L</v>
      </c>
      <c r="Q3162" t="str">
        <f t="shared" si="456"/>
        <v>0101</v>
      </c>
      <c r="R3162">
        <v>2200</v>
      </c>
      <c r="S3162" t="str">
        <f t="shared" si="458"/>
        <v>6050</v>
      </c>
      <c r="T3162" t="s">
        <v>3621</v>
      </c>
      <c r="U3162" t="s">
        <v>73</v>
      </c>
    </row>
    <row r="3163" spans="1:21" ht="15" customHeight="1" x14ac:dyDescent="0.3">
      <c r="A3163" t="s">
        <v>179</v>
      </c>
      <c r="B3163" t="str">
        <f>"00062216"</f>
        <v>00062216</v>
      </c>
      <c r="C3163" t="s">
        <v>4274</v>
      </c>
      <c r="D3163" t="s">
        <v>5253</v>
      </c>
      <c r="E3163" t="str">
        <f>"00046404"</f>
        <v>00046404</v>
      </c>
      <c r="F3163">
        <v>0</v>
      </c>
      <c r="G3163" s="243">
        <v>39679</v>
      </c>
      <c r="H3163" t="s">
        <v>182</v>
      </c>
      <c r="I3163">
        <v>4</v>
      </c>
      <c r="J3163">
        <v>9</v>
      </c>
      <c r="K3163">
        <v>0.875</v>
      </c>
      <c r="L3163">
        <v>28025.38</v>
      </c>
      <c r="M3163" t="str">
        <f t="shared" si="453"/>
        <v>13</v>
      </c>
      <c r="N3163" t="s">
        <v>3323</v>
      </c>
      <c r="O3163" t="str">
        <f t="shared" si="457"/>
        <v>60511</v>
      </c>
      <c r="P3163" t="str">
        <f>"2200L"</f>
        <v>2200L</v>
      </c>
      <c r="Q3163" t="str">
        <f t="shared" si="456"/>
        <v>0101</v>
      </c>
      <c r="R3163">
        <v>2200</v>
      </c>
      <c r="S3163" t="str">
        <f t="shared" si="458"/>
        <v>6050</v>
      </c>
      <c r="T3163" t="s">
        <v>3621</v>
      </c>
      <c r="U3163" t="s">
        <v>73</v>
      </c>
    </row>
    <row r="3164" spans="1:21" ht="15" customHeight="1" x14ac:dyDescent="0.3">
      <c r="A3164" t="s">
        <v>179</v>
      </c>
      <c r="B3164" t="str">
        <f>"00062818"</f>
        <v>00062818</v>
      </c>
      <c r="C3164" t="s">
        <v>4290</v>
      </c>
      <c r="D3164" t="s">
        <v>5254</v>
      </c>
      <c r="E3164" t="str">
        <f>"00047668"</f>
        <v>00047668</v>
      </c>
      <c r="F3164">
        <v>0</v>
      </c>
      <c r="G3164" s="243">
        <v>36768</v>
      </c>
      <c r="H3164" t="s">
        <v>182</v>
      </c>
      <c r="I3164">
        <v>4</v>
      </c>
      <c r="J3164">
        <v>10</v>
      </c>
      <c r="K3164">
        <v>0.875</v>
      </c>
      <c r="L3164">
        <v>28721</v>
      </c>
      <c r="M3164" t="str">
        <f t="shared" si="453"/>
        <v>13</v>
      </c>
      <c r="N3164" t="s">
        <v>3323</v>
      </c>
      <c r="O3164" t="str">
        <f t="shared" si="457"/>
        <v>60511</v>
      </c>
      <c r="P3164" t="str">
        <f>"2200L"</f>
        <v>2200L</v>
      </c>
      <c r="Q3164" t="str">
        <f t="shared" si="456"/>
        <v>0101</v>
      </c>
      <c r="R3164">
        <v>2200</v>
      </c>
      <c r="S3164" t="str">
        <f t="shared" si="458"/>
        <v>6050</v>
      </c>
      <c r="T3164" t="s">
        <v>3621</v>
      </c>
      <c r="U3164" t="s">
        <v>73</v>
      </c>
    </row>
    <row r="3165" spans="1:21" ht="15" customHeight="1" x14ac:dyDescent="0.3">
      <c r="A3165" t="s">
        <v>179</v>
      </c>
      <c r="B3165" t="str">
        <f>"00063055"</f>
        <v>00063055</v>
      </c>
      <c r="C3165" t="s">
        <v>4262</v>
      </c>
      <c r="D3165" t="s">
        <v>2652</v>
      </c>
      <c r="E3165" t="str">
        <f>"00048884"</f>
        <v>00048884</v>
      </c>
      <c r="F3165">
        <v>0</v>
      </c>
      <c r="G3165" s="243">
        <v>39849</v>
      </c>
      <c r="H3165" t="s">
        <v>182</v>
      </c>
      <c r="I3165">
        <v>15</v>
      </c>
      <c r="J3165">
        <v>4</v>
      </c>
      <c r="K3165">
        <v>1</v>
      </c>
      <c r="L3165">
        <v>61158</v>
      </c>
      <c r="M3165" t="str">
        <f t="shared" si="453"/>
        <v>13</v>
      </c>
      <c r="N3165" t="s">
        <v>3323</v>
      </c>
      <c r="O3165" t="str">
        <f t="shared" si="457"/>
        <v>60511</v>
      </c>
      <c r="P3165" t="str">
        <f>"2100L"</f>
        <v>2100L</v>
      </c>
      <c r="Q3165" t="str">
        <f t="shared" si="456"/>
        <v>0101</v>
      </c>
      <c r="R3165">
        <v>2100</v>
      </c>
      <c r="S3165" t="str">
        <f t="shared" si="458"/>
        <v>6050</v>
      </c>
      <c r="T3165" t="s">
        <v>3621</v>
      </c>
      <c r="U3165" t="s">
        <v>73</v>
      </c>
    </row>
    <row r="3166" spans="1:21" ht="15" customHeight="1" x14ac:dyDescent="0.3">
      <c r="A3166" t="s">
        <v>179</v>
      </c>
      <c r="B3166" t="str">
        <f>"00065751"</f>
        <v>00065751</v>
      </c>
      <c r="C3166" t="s">
        <v>4290</v>
      </c>
      <c r="D3166" t="s">
        <v>5255</v>
      </c>
      <c r="E3166" t="str">
        <f>"00056965"</f>
        <v>00056965</v>
      </c>
      <c r="F3166">
        <v>0</v>
      </c>
      <c r="G3166" s="243">
        <v>40042</v>
      </c>
      <c r="H3166" t="s">
        <v>182</v>
      </c>
      <c r="I3166">
        <v>4</v>
      </c>
      <c r="J3166">
        <v>5</v>
      </c>
      <c r="K3166">
        <v>1</v>
      </c>
      <c r="L3166">
        <v>25239.37</v>
      </c>
      <c r="M3166" t="str">
        <f t="shared" si="453"/>
        <v>13</v>
      </c>
      <c r="N3166" t="s">
        <v>3323</v>
      </c>
      <c r="O3166" t="str">
        <f t="shared" si="457"/>
        <v>60511</v>
      </c>
      <c r="P3166" t="str">
        <f>"2200L"</f>
        <v>2200L</v>
      </c>
      <c r="Q3166" t="str">
        <f t="shared" si="456"/>
        <v>0101</v>
      </c>
      <c r="R3166">
        <v>2200</v>
      </c>
      <c r="S3166" t="str">
        <f t="shared" si="458"/>
        <v>6050</v>
      </c>
      <c r="T3166" t="s">
        <v>3621</v>
      </c>
      <c r="U3166" t="s">
        <v>73</v>
      </c>
    </row>
    <row r="3167" spans="1:21" ht="15" customHeight="1" x14ac:dyDescent="0.3">
      <c r="A3167" t="s">
        <v>179</v>
      </c>
      <c r="B3167" t="str">
        <f>"00066532"</f>
        <v>00066532</v>
      </c>
      <c r="C3167" t="s">
        <v>4262</v>
      </c>
      <c r="D3167" t="s">
        <v>2653</v>
      </c>
      <c r="E3167" t="str">
        <f>"00056925"</f>
        <v>00056925</v>
      </c>
      <c r="F3167">
        <v>0</v>
      </c>
      <c r="G3167" s="243">
        <v>40042</v>
      </c>
      <c r="H3167" t="s">
        <v>182</v>
      </c>
      <c r="I3167">
        <v>15</v>
      </c>
      <c r="J3167">
        <v>4</v>
      </c>
      <c r="K3167">
        <v>1</v>
      </c>
      <c r="L3167">
        <v>61158</v>
      </c>
      <c r="M3167" t="str">
        <f t="shared" si="453"/>
        <v>13</v>
      </c>
      <c r="N3167" t="s">
        <v>3323</v>
      </c>
      <c r="O3167" t="str">
        <f t="shared" si="457"/>
        <v>60511</v>
      </c>
      <c r="P3167" t="str">
        <f>"2300L"</f>
        <v>2300L</v>
      </c>
      <c r="Q3167" t="str">
        <f t="shared" si="456"/>
        <v>0101</v>
      </c>
      <c r="R3167">
        <v>2300</v>
      </c>
      <c r="S3167" t="str">
        <f t="shared" si="458"/>
        <v>6050</v>
      </c>
      <c r="T3167" t="s">
        <v>3621</v>
      </c>
      <c r="U3167" t="s">
        <v>73</v>
      </c>
    </row>
    <row r="3168" spans="1:21" ht="15" customHeight="1" x14ac:dyDescent="0.3">
      <c r="A3168" t="s">
        <v>179</v>
      </c>
      <c r="B3168" t="str">
        <f>"00066533"</f>
        <v>00066533</v>
      </c>
      <c r="C3168" t="s">
        <v>4266</v>
      </c>
      <c r="D3168" t="s">
        <v>2654</v>
      </c>
      <c r="E3168" t="str">
        <f>"00062561"</f>
        <v>00062561</v>
      </c>
      <c r="F3168">
        <v>0</v>
      </c>
      <c r="G3168" s="243">
        <v>40406</v>
      </c>
      <c r="H3168" t="s">
        <v>182</v>
      </c>
      <c r="I3168">
        <v>15</v>
      </c>
      <c r="J3168">
        <v>3</v>
      </c>
      <c r="K3168">
        <v>1</v>
      </c>
      <c r="L3168">
        <v>52777</v>
      </c>
      <c r="M3168" t="str">
        <f t="shared" si="453"/>
        <v>13</v>
      </c>
      <c r="N3168" t="s">
        <v>3323</v>
      </c>
      <c r="O3168" t="str">
        <f t="shared" si="457"/>
        <v>60511</v>
      </c>
      <c r="P3168" t="str">
        <f>"2300L"</f>
        <v>2300L</v>
      </c>
      <c r="Q3168" t="str">
        <f t="shared" si="456"/>
        <v>0101</v>
      </c>
      <c r="R3168">
        <v>2300</v>
      </c>
      <c r="S3168" t="str">
        <f t="shared" si="458"/>
        <v>6050</v>
      </c>
      <c r="T3168" t="s">
        <v>3621</v>
      </c>
      <c r="U3168" t="s">
        <v>73</v>
      </c>
    </row>
    <row r="3169" spans="1:21" ht="15" customHeight="1" x14ac:dyDescent="0.3">
      <c r="A3169" t="s">
        <v>179</v>
      </c>
      <c r="B3169" t="str">
        <f>"00067645"</f>
        <v>00067645</v>
      </c>
      <c r="C3169" t="s">
        <v>4262</v>
      </c>
      <c r="D3169" t="s">
        <v>2655</v>
      </c>
      <c r="E3169" t="str">
        <f>"00057501"</f>
        <v>00057501</v>
      </c>
      <c r="F3169">
        <v>0</v>
      </c>
      <c r="G3169" s="243">
        <v>40042</v>
      </c>
      <c r="H3169" t="s">
        <v>182</v>
      </c>
      <c r="I3169">
        <v>15</v>
      </c>
      <c r="J3169">
        <v>4</v>
      </c>
      <c r="K3169">
        <v>1</v>
      </c>
      <c r="L3169">
        <v>57147</v>
      </c>
      <c r="M3169" t="str">
        <f t="shared" ref="M3169:M3224" si="459">"13"</f>
        <v>13</v>
      </c>
      <c r="N3169" t="s">
        <v>3323</v>
      </c>
      <c r="O3169" t="str">
        <f t="shared" si="457"/>
        <v>60511</v>
      </c>
      <c r="P3169" t="str">
        <f>"2100L"</f>
        <v>2100L</v>
      </c>
      <c r="Q3169" t="str">
        <f t="shared" si="456"/>
        <v>0101</v>
      </c>
      <c r="R3169">
        <v>2100</v>
      </c>
      <c r="S3169" t="str">
        <f t="shared" si="458"/>
        <v>6050</v>
      </c>
      <c r="T3169" t="s">
        <v>3621</v>
      </c>
      <c r="U3169" t="s">
        <v>73</v>
      </c>
    </row>
    <row r="3170" spans="1:21" ht="15" customHeight="1" x14ac:dyDescent="0.3">
      <c r="A3170" t="s">
        <v>179</v>
      </c>
      <c r="B3170" t="str">
        <f>"00072105"</f>
        <v>00072105</v>
      </c>
      <c r="C3170" t="s">
        <v>4288</v>
      </c>
      <c r="D3170" t="s">
        <v>5256</v>
      </c>
      <c r="E3170" t="str">
        <f>"00052030"</f>
        <v>00052030</v>
      </c>
      <c r="F3170">
        <v>0</v>
      </c>
      <c r="G3170" s="243">
        <v>40056</v>
      </c>
      <c r="H3170" t="s">
        <v>182</v>
      </c>
      <c r="I3170">
        <v>4</v>
      </c>
      <c r="J3170">
        <v>10</v>
      </c>
      <c r="K3170">
        <v>1</v>
      </c>
      <c r="L3170">
        <v>28721</v>
      </c>
      <c r="M3170" t="str">
        <f t="shared" si="459"/>
        <v>13</v>
      </c>
      <c r="N3170" t="s">
        <v>3323</v>
      </c>
      <c r="O3170" t="str">
        <f t="shared" ref="O3170:O3178" si="460">"60511"</f>
        <v>60511</v>
      </c>
      <c r="P3170" t="str">
        <f>"2200L"</f>
        <v>2200L</v>
      </c>
      <c r="Q3170" t="str">
        <f t="shared" si="456"/>
        <v>0101</v>
      </c>
      <c r="R3170">
        <v>2200</v>
      </c>
      <c r="S3170" t="str">
        <f t="shared" ref="S3170:S3178" si="461">"6050"</f>
        <v>6050</v>
      </c>
      <c r="T3170" t="s">
        <v>3621</v>
      </c>
      <c r="U3170" t="s">
        <v>73</v>
      </c>
    </row>
    <row r="3171" spans="1:21" ht="15" customHeight="1" x14ac:dyDescent="0.3">
      <c r="A3171" t="s">
        <v>179</v>
      </c>
      <c r="B3171" t="str">
        <f>"00072106"</f>
        <v>00072106</v>
      </c>
      <c r="C3171" t="s">
        <v>4274</v>
      </c>
      <c r="D3171" t="s">
        <v>5257</v>
      </c>
      <c r="E3171" t="str">
        <f>"00052306"</f>
        <v>00052306</v>
      </c>
      <c r="F3171">
        <v>0</v>
      </c>
      <c r="G3171" s="243">
        <v>39679</v>
      </c>
      <c r="H3171" t="s">
        <v>182</v>
      </c>
      <c r="I3171">
        <v>4</v>
      </c>
      <c r="J3171">
        <v>9</v>
      </c>
      <c r="K3171">
        <v>1</v>
      </c>
      <c r="L3171">
        <v>28025.38</v>
      </c>
      <c r="M3171" t="str">
        <f t="shared" si="459"/>
        <v>13</v>
      </c>
      <c r="N3171" t="s">
        <v>3323</v>
      </c>
      <c r="O3171" t="str">
        <f t="shared" si="460"/>
        <v>60511</v>
      </c>
      <c r="P3171" t="str">
        <f>"2200L"</f>
        <v>2200L</v>
      </c>
      <c r="Q3171" t="str">
        <f t="shared" si="456"/>
        <v>0101</v>
      </c>
      <c r="R3171">
        <v>2200</v>
      </c>
      <c r="S3171" t="str">
        <f t="shared" si="461"/>
        <v>6050</v>
      </c>
      <c r="T3171" t="s">
        <v>3704</v>
      </c>
      <c r="U3171" t="s">
        <v>2567</v>
      </c>
    </row>
    <row r="3172" spans="1:21" ht="15" customHeight="1" x14ac:dyDescent="0.3">
      <c r="A3172" t="s">
        <v>179</v>
      </c>
      <c r="B3172" t="str">
        <f>"00073777"</f>
        <v>00073777</v>
      </c>
      <c r="C3172" t="s">
        <v>4265</v>
      </c>
      <c r="H3172" t="s">
        <v>170</v>
      </c>
      <c r="I3172">
        <v>15</v>
      </c>
      <c r="J3172">
        <v>1</v>
      </c>
      <c r="K3172">
        <v>0.5</v>
      </c>
      <c r="L3172">
        <v>60128</v>
      </c>
      <c r="M3172" t="str">
        <f t="shared" si="459"/>
        <v>13</v>
      </c>
      <c r="N3172" t="s">
        <v>3323</v>
      </c>
      <c r="O3172" t="str">
        <f t="shared" si="460"/>
        <v>60511</v>
      </c>
      <c r="P3172" t="str">
        <f>"2100L"</f>
        <v>2100L</v>
      </c>
      <c r="Q3172" t="str">
        <f t="shared" si="456"/>
        <v>0101</v>
      </c>
      <c r="R3172">
        <v>2100</v>
      </c>
      <c r="S3172" t="str">
        <f t="shared" si="461"/>
        <v>6050</v>
      </c>
      <c r="T3172" t="s">
        <v>3621</v>
      </c>
      <c r="U3172" t="s">
        <v>73</v>
      </c>
    </row>
    <row r="3173" spans="1:21" ht="15" customHeight="1" x14ac:dyDescent="0.3">
      <c r="A3173" t="s">
        <v>179</v>
      </c>
      <c r="B3173" t="str">
        <f>"00073959"</f>
        <v>00073959</v>
      </c>
      <c r="C3173" t="s">
        <v>4274</v>
      </c>
      <c r="D3173" t="s">
        <v>5258</v>
      </c>
      <c r="E3173" t="str">
        <f>"00058480"</f>
        <v>00058480</v>
      </c>
      <c r="F3173">
        <v>0</v>
      </c>
      <c r="G3173" s="243">
        <v>40070</v>
      </c>
      <c r="H3173" t="s">
        <v>182</v>
      </c>
      <c r="I3173">
        <v>4</v>
      </c>
      <c r="J3173">
        <v>7</v>
      </c>
      <c r="K3173">
        <v>0.71</v>
      </c>
      <c r="L3173">
        <v>26633.25</v>
      </c>
      <c r="M3173" t="str">
        <f t="shared" si="459"/>
        <v>13</v>
      </c>
      <c r="N3173" t="s">
        <v>3323</v>
      </c>
      <c r="O3173" t="str">
        <f t="shared" si="460"/>
        <v>60511</v>
      </c>
      <c r="P3173" t="str">
        <f>"2100L"</f>
        <v>2100L</v>
      </c>
      <c r="Q3173" t="str">
        <f t="shared" si="456"/>
        <v>0101</v>
      </c>
      <c r="R3173">
        <v>2100</v>
      </c>
      <c r="S3173" t="str">
        <f t="shared" si="461"/>
        <v>6050</v>
      </c>
      <c r="T3173" t="s">
        <v>3621</v>
      </c>
      <c r="U3173" t="s">
        <v>73</v>
      </c>
    </row>
    <row r="3174" spans="1:21" ht="15" customHeight="1" x14ac:dyDescent="0.3">
      <c r="A3174" t="s">
        <v>179</v>
      </c>
      <c r="B3174" t="str">
        <f>"00073960"</f>
        <v>00073960</v>
      </c>
      <c r="C3174" t="s">
        <v>4288</v>
      </c>
      <c r="D3174" t="s">
        <v>5259</v>
      </c>
      <c r="E3174" t="str">
        <f>"00046553"</f>
        <v>00046553</v>
      </c>
      <c r="F3174">
        <v>0</v>
      </c>
      <c r="G3174" s="243">
        <v>39679</v>
      </c>
      <c r="H3174" t="s">
        <v>182</v>
      </c>
      <c r="I3174">
        <v>4</v>
      </c>
      <c r="J3174">
        <v>7</v>
      </c>
      <c r="K3174">
        <v>0.71</v>
      </c>
      <c r="L3174">
        <v>26633.25</v>
      </c>
      <c r="M3174" t="str">
        <f t="shared" si="459"/>
        <v>13</v>
      </c>
      <c r="N3174" t="s">
        <v>3323</v>
      </c>
      <c r="O3174" t="str">
        <f t="shared" si="460"/>
        <v>60511</v>
      </c>
      <c r="P3174" t="str">
        <f>"2100L"</f>
        <v>2100L</v>
      </c>
      <c r="Q3174" t="str">
        <f t="shared" si="456"/>
        <v>0101</v>
      </c>
      <c r="R3174">
        <v>2100</v>
      </c>
      <c r="S3174" t="str">
        <f t="shared" si="461"/>
        <v>6050</v>
      </c>
      <c r="T3174" t="s">
        <v>3621</v>
      </c>
      <c r="U3174" t="s">
        <v>73</v>
      </c>
    </row>
    <row r="3175" spans="1:21" ht="15" customHeight="1" x14ac:dyDescent="0.3">
      <c r="A3175" t="s">
        <v>179</v>
      </c>
      <c r="B3175" t="str">
        <f>"00074349"</f>
        <v>00074349</v>
      </c>
      <c r="C3175" t="s">
        <v>4260</v>
      </c>
      <c r="D3175" t="s">
        <v>955</v>
      </c>
      <c r="E3175" t="str">
        <f>"00062680"</f>
        <v>00062680</v>
      </c>
      <c r="F3175">
        <v>0</v>
      </c>
      <c r="G3175" s="243">
        <v>40406</v>
      </c>
      <c r="H3175" t="s">
        <v>182</v>
      </c>
      <c r="I3175">
        <v>15</v>
      </c>
      <c r="J3175">
        <v>3</v>
      </c>
      <c r="K3175">
        <v>1</v>
      </c>
      <c r="L3175">
        <v>52777</v>
      </c>
      <c r="M3175" t="str">
        <f t="shared" si="459"/>
        <v>13</v>
      </c>
      <c r="N3175" t="s">
        <v>3323</v>
      </c>
      <c r="O3175" t="str">
        <f t="shared" si="460"/>
        <v>60511</v>
      </c>
      <c r="P3175" t="str">
        <f>"3030L"</f>
        <v>3030L</v>
      </c>
      <c r="Q3175" t="str">
        <f t="shared" si="456"/>
        <v>0101</v>
      </c>
      <c r="R3175">
        <v>3030</v>
      </c>
      <c r="S3175" t="str">
        <f t="shared" si="461"/>
        <v>6050</v>
      </c>
      <c r="T3175" t="s">
        <v>3621</v>
      </c>
      <c r="U3175" t="s">
        <v>73</v>
      </c>
    </row>
    <row r="3176" spans="1:21" ht="15" customHeight="1" x14ac:dyDescent="0.3">
      <c r="A3176" t="s">
        <v>179</v>
      </c>
      <c r="B3176" t="str">
        <f>"00074653"</f>
        <v>00074653</v>
      </c>
      <c r="C3176" t="s">
        <v>4260</v>
      </c>
      <c r="D3176" t="s">
        <v>852</v>
      </c>
      <c r="E3176" t="str">
        <f>"00046003"</f>
        <v>00046003</v>
      </c>
      <c r="F3176">
        <v>0</v>
      </c>
      <c r="G3176" s="243">
        <v>39314</v>
      </c>
      <c r="H3176" t="s">
        <v>182</v>
      </c>
      <c r="I3176">
        <v>15</v>
      </c>
      <c r="J3176">
        <v>6</v>
      </c>
      <c r="K3176">
        <v>1</v>
      </c>
      <c r="L3176">
        <v>66078</v>
      </c>
      <c r="M3176" t="str">
        <f t="shared" si="459"/>
        <v>13</v>
      </c>
      <c r="N3176" t="s">
        <v>3323</v>
      </c>
      <c r="O3176" t="str">
        <f t="shared" si="460"/>
        <v>60511</v>
      </c>
      <c r="P3176" t="str">
        <f>"3030L"</f>
        <v>3030L</v>
      </c>
      <c r="Q3176" t="str">
        <f t="shared" ref="Q3176:Q3230" si="462">"0101"</f>
        <v>0101</v>
      </c>
      <c r="R3176">
        <v>3030</v>
      </c>
      <c r="S3176" t="str">
        <f t="shared" si="461"/>
        <v>6050</v>
      </c>
      <c r="T3176" t="s">
        <v>3621</v>
      </c>
      <c r="U3176" t="s">
        <v>73</v>
      </c>
    </row>
    <row r="3177" spans="1:21" ht="15" customHeight="1" x14ac:dyDescent="0.3">
      <c r="A3177" t="s">
        <v>179</v>
      </c>
      <c r="B3177" t="str">
        <f>"00076376"</f>
        <v>00076376</v>
      </c>
      <c r="C3177" t="s">
        <v>4271</v>
      </c>
      <c r="D3177" t="s">
        <v>5260</v>
      </c>
      <c r="E3177" t="str">
        <f>"00049196"</f>
        <v>00049196</v>
      </c>
      <c r="F3177">
        <v>0</v>
      </c>
      <c r="G3177" s="243">
        <v>39775</v>
      </c>
      <c r="H3177" t="s">
        <v>182</v>
      </c>
      <c r="I3177">
        <v>15</v>
      </c>
      <c r="J3177">
        <v>7</v>
      </c>
      <c r="K3177">
        <v>1</v>
      </c>
      <c r="L3177">
        <v>71581</v>
      </c>
      <c r="M3177" t="str">
        <f t="shared" si="459"/>
        <v>13</v>
      </c>
      <c r="N3177" t="s">
        <v>3370</v>
      </c>
      <c r="O3177" t="str">
        <f t="shared" si="460"/>
        <v>60511</v>
      </c>
      <c r="P3177" t="str">
        <f>"2100L"</f>
        <v>2100L</v>
      </c>
      <c r="Q3177" t="str">
        <f t="shared" si="462"/>
        <v>0101</v>
      </c>
      <c r="R3177">
        <v>2100</v>
      </c>
      <c r="S3177" t="str">
        <f t="shared" si="461"/>
        <v>6050</v>
      </c>
      <c r="T3177" t="s">
        <v>3621</v>
      </c>
      <c r="U3177" t="s">
        <v>73</v>
      </c>
    </row>
    <row r="3178" spans="1:21" ht="15" customHeight="1" x14ac:dyDescent="0.3">
      <c r="A3178" t="s">
        <v>179</v>
      </c>
      <c r="B3178" t="str">
        <f>"00076378"</f>
        <v>00076378</v>
      </c>
      <c r="C3178" t="s">
        <v>4262</v>
      </c>
      <c r="H3178" t="s">
        <v>170</v>
      </c>
      <c r="I3178">
        <v>15</v>
      </c>
      <c r="J3178">
        <v>0</v>
      </c>
      <c r="K3178">
        <v>1</v>
      </c>
      <c r="L3178">
        <v>56693</v>
      </c>
      <c r="M3178" t="str">
        <f t="shared" si="459"/>
        <v>13</v>
      </c>
      <c r="N3178" t="s">
        <v>3323</v>
      </c>
      <c r="O3178" t="str">
        <f t="shared" si="460"/>
        <v>60511</v>
      </c>
      <c r="P3178" t="str">
        <f>"2100L"</f>
        <v>2100L</v>
      </c>
      <c r="Q3178" t="str">
        <f t="shared" si="462"/>
        <v>0101</v>
      </c>
      <c r="R3178">
        <v>2100</v>
      </c>
      <c r="S3178" t="str">
        <f t="shared" si="461"/>
        <v>6050</v>
      </c>
      <c r="T3178" t="s">
        <v>3621</v>
      </c>
      <c r="U3178" t="s">
        <v>73</v>
      </c>
    </row>
    <row r="3179" spans="1:21" ht="15" customHeight="1" x14ac:dyDescent="0.3">
      <c r="A3179" t="s">
        <v>179</v>
      </c>
      <c r="B3179" t="str">
        <f>"00051712"</f>
        <v>00051712</v>
      </c>
      <c r="C3179" t="s">
        <v>4252</v>
      </c>
      <c r="D3179" t="s">
        <v>2656</v>
      </c>
      <c r="E3179" t="str">
        <f>"00045595"</f>
        <v>00045595</v>
      </c>
      <c r="F3179">
        <v>0</v>
      </c>
      <c r="G3179" s="243">
        <v>33848</v>
      </c>
      <c r="H3179" t="s">
        <v>182</v>
      </c>
      <c r="I3179">
        <v>15</v>
      </c>
      <c r="J3179">
        <v>16</v>
      </c>
      <c r="K3179">
        <v>1</v>
      </c>
      <c r="L3179">
        <v>103347</v>
      </c>
      <c r="M3179" t="str">
        <f t="shared" si="459"/>
        <v>13</v>
      </c>
      <c r="N3179" t="s">
        <v>3323</v>
      </c>
      <c r="O3179" t="str">
        <f t="shared" ref="O3179:O3217" si="463">"60611"</f>
        <v>60611</v>
      </c>
      <c r="P3179" t="str">
        <f>"2100L"</f>
        <v>2100L</v>
      </c>
      <c r="Q3179" t="str">
        <f t="shared" si="462"/>
        <v>0101</v>
      </c>
      <c r="R3179">
        <v>2100</v>
      </c>
      <c r="S3179" t="str">
        <f t="shared" ref="S3179:S3217" si="464">"6060"</f>
        <v>6060</v>
      </c>
      <c r="T3179" t="s">
        <v>3755</v>
      </c>
      <c r="U3179" t="s">
        <v>2657</v>
      </c>
    </row>
    <row r="3180" spans="1:21" ht="15" customHeight="1" x14ac:dyDescent="0.3">
      <c r="A3180" t="s">
        <v>179</v>
      </c>
      <c r="B3180" t="str">
        <f>"00051998"</f>
        <v>00051998</v>
      </c>
      <c r="C3180" t="s">
        <v>4262</v>
      </c>
      <c r="D3180" t="s">
        <v>5261</v>
      </c>
      <c r="E3180" t="str">
        <f>"00069886"</f>
        <v>00069886</v>
      </c>
      <c r="F3180">
        <v>0</v>
      </c>
      <c r="G3180" s="243">
        <v>41133</v>
      </c>
      <c r="H3180" t="s">
        <v>182</v>
      </c>
      <c r="I3180">
        <v>15</v>
      </c>
      <c r="J3180">
        <v>1</v>
      </c>
      <c r="K3180">
        <v>1</v>
      </c>
      <c r="L3180">
        <v>51539</v>
      </c>
      <c r="M3180" t="str">
        <f t="shared" si="459"/>
        <v>13</v>
      </c>
      <c r="N3180" t="s">
        <v>3370</v>
      </c>
      <c r="O3180" t="str">
        <f t="shared" si="463"/>
        <v>60611</v>
      </c>
      <c r="P3180" t="str">
        <f>"2100L"</f>
        <v>2100L</v>
      </c>
      <c r="Q3180" t="str">
        <f t="shared" si="462"/>
        <v>0101</v>
      </c>
      <c r="R3180">
        <v>2100</v>
      </c>
      <c r="S3180" t="str">
        <f t="shared" si="464"/>
        <v>6060</v>
      </c>
      <c r="T3180" t="s">
        <v>3755</v>
      </c>
      <c r="U3180" t="s">
        <v>2657</v>
      </c>
    </row>
    <row r="3181" spans="1:21" ht="15" customHeight="1" x14ac:dyDescent="0.3">
      <c r="A3181" t="s">
        <v>179</v>
      </c>
      <c r="B3181" t="str">
        <f>"00052052"</f>
        <v>00052052</v>
      </c>
      <c r="C3181" t="s">
        <v>4262</v>
      </c>
      <c r="D3181" t="s">
        <v>3758</v>
      </c>
      <c r="E3181" t="str">
        <f>"00065891"</f>
        <v>00065891</v>
      </c>
      <c r="F3181">
        <v>0</v>
      </c>
      <c r="G3181" s="243">
        <v>40755</v>
      </c>
      <c r="H3181" t="s">
        <v>182</v>
      </c>
      <c r="I3181">
        <v>15</v>
      </c>
      <c r="J3181">
        <v>1</v>
      </c>
      <c r="K3181">
        <v>1</v>
      </c>
      <c r="L3181">
        <v>51539</v>
      </c>
      <c r="M3181" t="str">
        <f t="shared" si="459"/>
        <v>13</v>
      </c>
      <c r="N3181" t="s">
        <v>3323</v>
      </c>
      <c r="O3181" t="str">
        <f t="shared" si="463"/>
        <v>60611</v>
      </c>
      <c r="P3181" t="str">
        <f>"2100L"</f>
        <v>2100L</v>
      </c>
      <c r="Q3181" t="str">
        <f t="shared" si="462"/>
        <v>0101</v>
      </c>
      <c r="R3181">
        <v>2100</v>
      </c>
      <c r="S3181" t="str">
        <f t="shared" si="464"/>
        <v>6060</v>
      </c>
      <c r="T3181" t="s">
        <v>3755</v>
      </c>
      <c r="U3181" t="s">
        <v>2657</v>
      </c>
    </row>
    <row r="3182" spans="1:21" ht="15" customHeight="1" x14ac:dyDescent="0.3">
      <c r="A3182" t="s">
        <v>179</v>
      </c>
      <c r="B3182" t="str">
        <f>"00052387"</f>
        <v>00052387</v>
      </c>
      <c r="C3182" t="s">
        <v>4272</v>
      </c>
      <c r="D3182" t="s">
        <v>2658</v>
      </c>
      <c r="E3182" t="str">
        <f>"00048156"</f>
        <v>00048156</v>
      </c>
      <c r="F3182">
        <v>0</v>
      </c>
      <c r="G3182" s="243">
        <v>26903</v>
      </c>
      <c r="H3182" t="s">
        <v>182</v>
      </c>
      <c r="I3182">
        <v>15</v>
      </c>
      <c r="J3182">
        <v>16</v>
      </c>
      <c r="K3182">
        <v>1</v>
      </c>
      <c r="L3182">
        <v>106540</v>
      </c>
      <c r="M3182" t="str">
        <f t="shared" si="459"/>
        <v>13</v>
      </c>
      <c r="N3182" t="s">
        <v>3323</v>
      </c>
      <c r="O3182" t="str">
        <f t="shared" si="463"/>
        <v>60611</v>
      </c>
      <c r="P3182" t="str">
        <f>"2200L"</f>
        <v>2200L</v>
      </c>
      <c r="Q3182" t="str">
        <f t="shared" si="462"/>
        <v>0101</v>
      </c>
      <c r="R3182">
        <v>2200</v>
      </c>
      <c r="S3182" t="str">
        <f t="shared" si="464"/>
        <v>6060</v>
      </c>
      <c r="T3182" t="s">
        <v>3755</v>
      </c>
      <c r="U3182" t="s">
        <v>2657</v>
      </c>
    </row>
    <row r="3183" spans="1:21" ht="15" customHeight="1" x14ac:dyDescent="0.3">
      <c r="A3183" t="s">
        <v>179</v>
      </c>
      <c r="B3183" t="str">
        <f>"00052819"</f>
        <v>00052819</v>
      </c>
      <c r="C3183" t="s">
        <v>4272</v>
      </c>
      <c r="D3183" t="s">
        <v>2659</v>
      </c>
      <c r="E3183" t="str">
        <f>"00049578"</f>
        <v>00049578</v>
      </c>
      <c r="F3183">
        <v>0</v>
      </c>
      <c r="G3183" s="243">
        <v>32050</v>
      </c>
      <c r="H3183" t="s">
        <v>182</v>
      </c>
      <c r="I3183">
        <v>15</v>
      </c>
      <c r="J3183">
        <v>16</v>
      </c>
      <c r="K3183">
        <v>1</v>
      </c>
      <c r="L3183">
        <v>106540</v>
      </c>
      <c r="M3183" t="str">
        <f t="shared" si="459"/>
        <v>13</v>
      </c>
      <c r="N3183" t="s">
        <v>3323</v>
      </c>
      <c r="O3183" t="str">
        <f t="shared" si="463"/>
        <v>60611</v>
      </c>
      <c r="P3183" t="str">
        <f>"2100L"</f>
        <v>2100L</v>
      </c>
      <c r="Q3183" t="str">
        <f t="shared" si="462"/>
        <v>0101</v>
      </c>
      <c r="R3183">
        <v>2100</v>
      </c>
      <c r="S3183" t="str">
        <f t="shared" si="464"/>
        <v>6060</v>
      </c>
      <c r="T3183" t="s">
        <v>3755</v>
      </c>
      <c r="U3183" t="s">
        <v>2657</v>
      </c>
    </row>
    <row r="3184" spans="1:21" ht="15" customHeight="1" x14ac:dyDescent="0.3">
      <c r="A3184" t="s">
        <v>179</v>
      </c>
      <c r="B3184" t="str">
        <f>"00053094"</f>
        <v>00053094</v>
      </c>
      <c r="C3184" t="s">
        <v>4272</v>
      </c>
      <c r="D3184" t="s">
        <v>2660</v>
      </c>
      <c r="E3184" t="str">
        <f>"00050944"</f>
        <v>00050944</v>
      </c>
      <c r="F3184">
        <v>0</v>
      </c>
      <c r="G3184" s="243">
        <v>26240</v>
      </c>
      <c r="H3184" t="s">
        <v>182</v>
      </c>
      <c r="I3184">
        <v>15</v>
      </c>
      <c r="J3184">
        <v>16</v>
      </c>
      <c r="K3184">
        <v>1</v>
      </c>
      <c r="L3184">
        <v>100839</v>
      </c>
      <c r="M3184" t="str">
        <f t="shared" si="459"/>
        <v>13</v>
      </c>
      <c r="N3184" t="s">
        <v>3323</v>
      </c>
      <c r="O3184" t="str">
        <f t="shared" si="463"/>
        <v>60611</v>
      </c>
      <c r="P3184" t="str">
        <f>"2200L"</f>
        <v>2200L</v>
      </c>
      <c r="Q3184" t="str">
        <f t="shared" si="462"/>
        <v>0101</v>
      </c>
      <c r="R3184">
        <v>2200</v>
      </c>
      <c r="S3184" t="str">
        <f t="shared" si="464"/>
        <v>6060</v>
      </c>
      <c r="T3184" t="s">
        <v>3755</v>
      </c>
      <c r="U3184" t="s">
        <v>2657</v>
      </c>
    </row>
    <row r="3185" spans="1:21" ht="15" customHeight="1" x14ac:dyDescent="0.3">
      <c r="A3185" t="s">
        <v>179</v>
      </c>
      <c r="B3185" t="str">
        <f>"00053347"</f>
        <v>00053347</v>
      </c>
      <c r="C3185" t="s">
        <v>4257</v>
      </c>
      <c r="D3185" t="s">
        <v>2661</v>
      </c>
      <c r="E3185" t="str">
        <f>"00051343"</f>
        <v>00051343</v>
      </c>
      <c r="F3185">
        <v>0</v>
      </c>
      <c r="G3185" s="243">
        <v>32050</v>
      </c>
      <c r="H3185" t="s">
        <v>182</v>
      </c>
      <c r="I3185">
        <v>15</v>
      </c>
      <c r="J3185">
        <v>16</v>
      </c>
      <c r="K3185">
        <v>1</v>
      </c>
      <c r="L3185">
        <v>103347</v>
      </c>
      <c r="M3185" t="str">
        <f t="shared" si="459"/>
        <v>13</v>
      </c>
      <c r="N3185" t="s">
        <v>3323</v>
      </c>
      <c r="O3185" t="str">
        <f t="shared" si="463"/>
        <v>60611</v>
      </c>
      <c r="P3185" t="str">
        <f>"2100L"</f>
        <v>2100L</v>
      </c>
      <c r="Q3185" t="str">
        <f t="shared" si="462"/>
        <v>0101</v>
      </c>
      <c r="R3185">
        <v>2100</v>
      </c>
      <c r="S3185" t="str">
        <f t="shared" si="464"/>
        <v>6060</v>
      </c>
      <c r="T3185" t="s">
        <v>3755</v>
      </c>
      <c r="U3185" t="s">
        <v>2657</v>
      </c>
    </row>
    <row r="3186" spans="1:21" ht="15" customHeight="1" x14ac:dyDescent="0.3">
      <c r="A3186" t="s">
        <v>179</v>
      </c>
      <c r="B3186" t="str">
        <f>"00054645"</f>
        <v>00054645</v>
      </c>
      <c r="C3186" t="s">
        <v>4262</v>
      </c>
      <c r="D3186" t="s">
        <v>2662</v>
      </c>
      <c r="E3186" t="str">
        <f>"00054341"</f>
        <v>00054341</v>
      </c>
      <c r="F3186">
        <v>0</v>
      </c>
      <c r="G3186" s="243">
        <v>32050</v>
      </c>
      <c r="H3186" t="s">
        <v>182</v>
      </c>
      <c r="I3186">
        <v>15</v>
      </c>
      <c r="J3186">
        <v>13</v>
      </c>
      <c r="K3186">
        <v>1</v>
      </c>
      <c r="L3186">
        <v>86613</v>
      </c>
      <c r="M3186" t="str">
        <f t="shared" si="459"/>
        <v>13</v>
      </c>
      <c r="N3186" t="s">
        <v>3323</v>
      </c>
      <c r="O3186" t="str">
        <f t="shared" si="463"/>
        <v>60611</v>
      </c>
      <c r="P3186" t="str">
        <f>"2100L"</f>
        <v>2100L</v>
      </c>
      <c r="Q3186" t="str">
        <f t="shared" si="462"/>
        <v>0101</v>
      </c>
      <c r="R3186">
        <v>2100</v>
      </c>
      <c r="S3186" t="str">
        <f t="shared" si="464"/>
        <v>6060</v>
      </c>
      <c r="T3186" t="s">
        <v>3755</v>
      </c>
      <c r="U3186" t="s">
        <v>2657</v>
      </c>
    </row>
    <row r="3187" spans="1:21" ht="15" customHeight="1" x14ac:dyDescent="0.3">
      <c r="A3187" t="s">
        <v>179</v>
      </c>
      <c r="B3187" t="str">
        <f>"00055082"</f>
        <v>00055082</v>
      </c>
      <c r="C3187" t="s">
        <v>200</v>
      </c>
      <c r="D3187" t="s">
        <v>2663</v>
      </c>
      <c r="E3187" t="str">
        <f>"00054785"</f>
        <v>00054785</v>
      </c>
      <c r="F3187">
        <v>0</v>
      </c>
      <c r="G3187" s="243">
        <v>35793</v>
      </c>
      <c r="H3187" t="s">
        <v>182</v>
      </c>
      <c r="I3187">
        <v>15</v>
      </c>
      <c r="J3187">
        <v>16</v>
      </c>
      <c r="K3187">
        <v>1</v>
      </c>
      <c r="L3187">
        <v>100839</v>
      </c>
      <c r="M3187" t="str">
        <f t="shared" si="459"/>
        <v>13</v>
      </c>
      <c r="N3187" t="s">
        <v>3323</v>
      </c>
      <c r="O3187" t="str">
        <f t="shared" si="463"/>
        <v>60611</v>
      </c>
      <c r="P3187" t="str">
        <f>"3030L"</f>
        <v>3030L</v>
      </c>
      <c r="Q3187" t="str">
        <f t="shared" si="462"/>
        <v>0101</v>
      </c>
      <c r="R3187">
        <v>3030</v>
      </c>
      <c r="S3187" t="str">
        <f t="shared" si="464"/>
        <v>6060</v>
      </c>
      <c r="T3187" t="s">
        <v>3755</v>
      </c>
      <c r="U3187" t="s">
        <v>2657</v>
      </c>
    </row>
    <row r="3188" spans="1:21" ht="15" customHeight="1" x14ac:dyDescent="0.3">
      <c r="A3188" t="s">
        <v>179</v>
      </c>
      <c r="B3188" t="str">
        <f>"00055146"</f>
        <v>00055146</v>
      </c>
      <c r="C3188" t="s">
        <v>4262</v>
      </c>
      <c r="D3188" t="s">
        <v>2664</v>
      </c>
      <c r="E3188" t="str">
        <f>"00045786"</f>
        <v>00045786</v>
      </c>
      <c r="F3188">
        <v>0</v>
      </c>
      <c r="G3188" s="243">
        <v>36390</v>
      </c>
      <c r="H3188" t="s">
        <v>182</v>
      </c>
      <c r="I3188">
        <v>15</v>
      </c>
      <c r="J3188">
        <v>13</v>
      </c>
      <c r="K3188">
        <v>1</v>
      </c>
      <c r="L3188">
        <v>81724</v>
      </c>
      <c r="M3188" t="str">
        <f t="shared" si="459"/>
        <v>13</v>
      </c>
      <c r="N3188" t="s">
        <v>3323</v>
      </c>
      <c r="O3188" t="str">
        <f t="shared" si="463"/>
        <v>60611</v>
      </c>
      <c r="P3188" t="str">
        <f>"2100L"</f>
        <v>2100L</v>
      </c>
      <c r="Q3188" t="str">
        <f t="shared" si="462"/>
        <v>0101</v>
      </c>
      <c r="R3188">
        <v>2100</v>
      </c>
      <c r="S3188" t="str">
        <f t="shared" si="464"/>
        <v>6060</v>
      </c>
      <c r="T3188" t="s">
        <v>3755</v>
      </c>
      <c r="U3188" t="s">
        <v>2657</v>
      </c>
    </row>
    <row r="3189" spans="1:21" ht="15" customHeight="1" x14ac:dyDescent="0.3">
      <c r="A3189" t="s">
        <v>179</v>
      </c>
      <c r="B3189" t="str">
        <f>"00057345"</f>
        <v>00057345</v>
      </c>
      <c r="C3189" t="s">
        <v>3798</v>
      </c>
      <c r="D3189" t="s">
        <v>2665</v>
      </c>
      <c r="E3189" t="str">
        <f>"00047254"</f>
        <v>00047254</v>
      </c>
      <c r="F3189">
        <v>0</v>
      </c>
      <c r="G3189" s="243">
        <v>36761</v>
      </c>
      <c r="H3189" t="s">
        <v>182</v>
      </c>
      <c r="I3189">
        <v>61</v>
      </c>
      <c r="J3189">
        <v>5</v>
      </c>
      <c r="K3189">
        <v>1</v>
      </c>
      <c r="L3189">
        <v>120000</v>
      </c>
      <c r="M3189" t="str">
        <f t="shared" si="459"/>
        <v>13</v>
      </c>
      <c r="N3189" t="s">
        <v>3323</v>
      </c>
      <c r="O3189" t="str">
        <f t="shared" si="463"/>
        <v>60611</v>
      </c>
      <c r="P3189" t="str">
        <f>"1501L"</f>
        <v>1501L</v>
      </c>
      <c r="Q3189" t="str">
        <f t="shared" si="462"/>
        <v>0101</v>
      </c>
      <c r="R3189">
        <v>1501</v>
      </c>
      <c r="S3189" t="str">
        <f t="shared" si="464"/>
        <v>6060</v>
      </c>
      <c r="T3189" t="s">
        <v>3755</v>
      </c>
      <c r="U3189" t="s">
        <v>2657</v>
      </c>
    </row>
    <row r="3190" spans="1:21" ht="15" customHeight="1" x14ac:dyDescent="0.3">
      <c r="A3190" t="s">
        <v>179</v>
      </c>
      <c r="B3190" t="str">
        <f>"00057392"</f>
        <v>00057392</v>
      </c>
      <c r="C3190" t="s">
        <v>3670</v>
      </c>
      <c r="D3190" t="s">
        <v>2666</v>
      </c>
      <c r="E3190" t="str">
        <f>"00045362"</f>
        <v>00045362</v>
      </c>
      <c r="F3190">
        <v>0</v>
      </c>
      <c r="G3190" s="243">
        <v>38949</v>
      </c>
      <c r="H3190" t="s">
        <v>182</v>
      </c>
      <c r="I3190">
        <v>8</v>
      </c>
      <c r="J3190">
        <v>5</v>
      </c>
      <c r="K3190">
        <v>1</v>
      </c>
      <c r="L3190">
        <v>93780</v>
      </c>
      <c r="M3190" t="str">
        <f t="shared" si="459"/>
        <v>13</v>
      </c>
      <c r="N3190" t="s">
        <v>3323</v>
      </c>
      <c r="O3190" t="str">
        <f t="shared" si="463"/>
        <v>60611</v>
      </c>
      <c r="P3190" t="str">
        <f>"1501L"</f>
        <v>1501L</v>
      </c>
      <c r="Q3190" t="str">
        <f t="shared" si="462"/>
        <v>0101</v>
      </c>
      <c r="R3190">
        <v>1501</v>
      </c>
      <c r="S3190" t="str">
        <f t="shared" si="464"/>
        <v>6060</v>
      </c>
      <c r="T3190" t="s">
        <v>3755</v>
      </c>
      <c r="U3190" t="s">
        <v>2657</v>
      </c>
    </row>
    <row r="3191" spans="1:21" ht="15" customHeight="1" x14ac:dyDescent="0.3">
      <c r="A3191" t="s">
        <v>179</v>
      </c>
      <c r="B3191" t="str">
        <f>"00057410"</f>
        <v>00057410</v>
      </c>
      <c r="C3191" t="s">
        <v>4272</v>
      </c>
      <c r="D3191" t="s">
        <v>3759</v>
      </c>
      <c r="E3191" t="str">
        <f>"00065892"</f>
        <v>00065892</v>
      </c>
      <c r="F3191">
        <v>0</v>
      </c>
      <c r="G3191" s="243">
        <v>40755</v>
      </c>
      <c r="H3191" t="s">
        <v>182</v>
      </c>
      <c r="I3191">
        <v>15</v>
      </c>
      <c r="J3191">
        <v>2</v>
      </c>
      <c r="K3191">
        <v>1</v>
      </c>
      <c r="L3191">
        <v>51716</v>
      </c>
      <c r="M3191" t="str">
        <f t="shared" si="459"/>
        <v>13</v>
      </c>
      <c r="N3191" t="s">
        <v>3323</v>
      </c>
      <c r="O3191" t="str">
        <f t="shared" si="463"/>
        <v>60611</v>
      </c>
      <c r="P3191" t="str">
        <f>"2100L"</f>
        <v>2100L</v>
      </c>
      <c r="Q3191" t="str">
        <f t="shared" si="462"/>
        <v>0101</v>
      </c>
      <c r="R3191">
        <v>2100</v>
      </c>
      <c r="S3191" t="str">
        <f t="shared" si="464"/>
        <v>6060</v>
      </c>
      <c r="T3191" t="s">
        <v>3755</v>
      </c>
      <c r="U3191" t="s">
        <v>2657</v>
      </c>
    </row>
    <row r="3192" spans="1:21" ht="15" customHeight="1" x14ac:dyDescent="0.3">
      <c r="A3192" t="s">
        <v>179</v>
      </c>
      <c r="B3192" t="str">
        <f>"00057480"</f>
        <v>00057480</v>
      </c>
      <c r="C3192" t="s">
        <v>4288</v>
      </c>
      <c r="D3192" t="s">
        <v>5262</v>
      </c>
      <c r="E3192" t="str">
        <f>"00050561"</f>
        <v>00050561</v>
      </c>
      <c r="F3192">
        <v>0</v>
      </c>
      <c r="G3192" s="243">
        <v>39995</v>
      </c>
      <c r="H3192" t="s">
        <v>182</v>
      </c>
      <c r="I3192">
        <v>4</v>
      </c>
      <c r="J3192">
        <v>6</v>
      </c>
      <c r="K3192">
        <v>0.875</v>
      </c>
      <c r="L3192">
        <v>25935.88</v>
      </c>
      <c r="M3192" t="str">
        <f t="shared" si="459"/>
        <v>13</v>
      </c>
      <c r="N3192" t="s">
        <v>3323</v>
      </c>
      <c r="O3192" t="str">
        <f t="shared" si="463"/>
        <v>60611</v>
      </c>
      <c r="P3192" t="str">
        <f>"2200L"</f>
        <v>2200L</v>
      </c>
      <c r="Q3192" t="str">
        <f t="shared" si="462"/>
        <v>0101</v>
      </c>
      <c r="R3192">
        <v>2200</v>
      </c>
      <c r="S3192" t="str">
        <f t="shared" si="464"/>
        <v>6060</v>
      </c>
      <c r="T3192" t="s">
        <v>3755</v>
      </c>
      <c r="U3192" t="s">
        <v>2657</v>
      </c>
    </row>
    <row r="3193" spans="1:21" ht="15" customHeight="1" x14ac:dyDescent="0.3">
      <c r="A3193" t="s">
        <v>179</v>
      </c>
      <c r="B3193" t="str">
        <f>"00057657"</f>
        <v>00057657</v>
      </c>
      <c r="C3193" t="s">
        <v>4262</v>
      </c>
      <c r="D3193" t="s">
        <v>2124</v>
      </c>
      <c r="E3193" t="str">
        <f>"00054961"</f>
        <v>00054961</v>
      </c>
      <c r="F3193">
        <v>0</v>
      </c>
      <c r="G3193" s="243">
        <v>39679</v>
      </c>
      <c r="H3193" t="s">
        <v>182</v>
      </c>
      <c r="I3193">
        <v>15</v>
      </c>
      <c r="J3193">
        <v>5</v>
      </c>
      <c r="K3193">
        <v>1</v>
      </c>
      <c r="L3193">
        <v>56655</v>
      </c>
      <c r="M3193" t="str">
        <f t="shared" si="459"/>
        <v>13</v>
      </c>
      <c r="N3193" t="s">
        <v>3370</v>
      </c>
      <c r="O3193" t="str">
        <f t="shared" si="463"/>
        <v>60611</v>
      </c>
      <c r="P3193" t="str">
        <f>"2100L"</f>
        <v>2100L</v>
      </c>
      <c r="Q3193" t="str">
        <f t="shared" si="462"/>
        <v>0101</v>
      </c>
      <c r="R3193">
        <v>2100</v>
      </c>
      <c r="S3193" t="str">
        <f t="shared" si="464"/>
        <v>6060</v>
      </c>
      <c r="T3193" t="s">
        <v>3755</v>
      </c>
      <c r="U3193" t="s">
        <v>2657</v>
      </c>
    </row>
    <row r="3194" spans="1:21" ht="15" customHeight="1" x14ac:dyDescent="0.3">
      <c r="A3194" t="s">
        <v>179</v>
      </c>
      <c r="B3194" t="str">
        <f>"00057707"</f>
        <v>00057707</v>
      </c>
      <c r="C3194" t="s">
        <v>4262</v>
      </c>
      <c r="D3194" t="s">
        <v>191</v>
      </c>
      <c r="E3194" t="str">
        <f>"00053555"</f>
        <v>00053555</v>
      </c>
      <c r="F3194">
        <v>0</v>
      </c>
      <c r="G3194" s="243">
        <v>36034</v>
      </c>
      <c r="H3194" t="s">
        <v>182</v>
      </c>
      <c r="I3194">
        <v>15</v>
      </c>
      <c r="J3194">
        <v>13</v>
      </c>
      <c r="K3194">
        <v>1</v>
      </c>
      <c r="L3194">
        <v>81724</v>
      </c>
      <c r="M3194" t="str">
        <f t="shared" si="459"/>
        <v>13</v>
      </c>
      <c r="N3194" t="s">
        <v>3370</v>
      </c>
      <c r="O3194" t="str">
        <f t="shared" si="463"/>
        <v>60611</v>
      </c>
      <c r="P3194" t="str">
        <f>"2100L"</f>
        <v>2100L</v>
      </c>
      <c r="Q3194" t="str">
        <f t="shared" si="462"/>
        <v>0101</v>
      </c>
      <c r="R3194">
        <v>2100</v>
      </c>
      <c r="S3194" t="str">
        <f t="shared" si="464"/>
        <v>6060</v>
      </c>
      <c r="T3194" t="s">
        <v>3755</v>
      </c>
      <c r="U3194" t="s">
        <v>2657</v>
      </c>
    </row>
    <row r="3195" spans="1:21" ht="15" customHeight="1" x14ac:dyDescent="0.3">
      <c r="A3195" t="s">
        <v>179</v>
      </c>
      <c r="B3195" t="str">
        <f>"00058200"</f>
        <v>00058200</v>
      </c>
      <c r="C3195" t="s">
        <v>4262</v>
      </c>
      <c r="D3195" t="s">
        <v>2669</v>
      </c>
      <c r="E3195" t="str">
        <f>"00046839"</f>
        <v>00046839</v>
      </c>
      <c r="F3195">
        <v>0</v>
      </c>
      <c r="G3195" s="243">
        <v>37124</v>
      </c>
      <c r="H3195" t="s">
        <v>182</v>
      </c>
      <c r="I3195">
        <v>15</v>
      </c>
      <c r="J3195">
        <v>16</v>
      </c>
      <c r="K3195">
        <v>1</v>
      </c>
      <c r="L3195">
        <v>103347</v>
      </c>
      <c r="M3195" t="str">
        <f t="shared" si="459"/>
        <v>13</v>
      </c>
      <c r="N3195" t="s">
        <v>3323</v>
      </c>
      <c r="O3195" t="str">
        <f t="shared" si="463"/>
        <v>60611</v>
      </c>
      <c r="P3195" t="str">
        <f>"2100L"</f>
        <v>2100L</v>
      </c>
      <c r="Q3195" t="str">
        <f t="shared" si="462"/>
        <v>0101</v>
      </c>
      <c r="R3195">
        <v>2100</v>
      </c>
      <c r="S3195" t="str">
        <f t="shared" si="464"/>
        <v>6060</v>
      </c>
      <c r="T3195" t="s">
        <v>3755</v>
      </c>
      <c r="U3195" t="s">
        <v>2657</v>
      </c>
    </row>
    <row r="3196" spans="1:21" ht="15" customHeight="1" x14ac:dyDescent="0.3">
      <c r="A3196" t="s">
        <v>179</v>
      </c>
      <c r="B3196" t="str">
        <f>"00059201"</f>
        <v>00059201</v>
      </c>
      <c r="C3196" t="s">
        <v>4262</v>
      </c>
      <c r="D3196" t="s">
        <v>2670</v>
      </c>
      <c r="E3196" t="str">
        <f>"00055288"</f>
        <v>00055288</v>
      </c>
      <c r="F3196">
        <v>0</v>
      </c>
      <c r="G3196" s="243">
        <v>38587</v>
      </c>
      <c r="H3196" t="s">
        <v>182</v>
      </c>
      <c r="I3196">
        <v>15</v>
      </c>
      <c r="J3196">
        <v>14</v>
      </c>
      <c r="K3196">
        <v>1</v>
      </c>
      <c r="L3196">
        <v>96460</v>
      </c>
      <c r="M3196" t="str">
        <f t="shared" si="459"/>
        <v>13</v>
      </c>
      <c r="N3196" t="s">
        <v>3323</v>
      </c>
      <c r="O3196" t="str">
        <f t="shared" si="463"/>
        <v>60611</v>
      </c>
      <c r="P3196" t="str">
        <f>"2100L"</f>
        <v>2100L</v>
      </c>
      <c r="Q3196" t="str">
        <f t="shared" si="462"/>
        <v>0101</v>
      </c>
      <c r="R3196">
        <v>2100</v>
      </c>
      <c r="S3196" t="str">
        <f t="shared" si="464"/>
        <v>6060</v>
      </c>
      <c r="T3196" t="s">
        <v>3755</v>
      </c>
      <c r="U3196" t="s">
        <v>2657</v>
      </c>
    </row>
    <row r="3197" spans="1:21" ht="15" customHeight="1" x14ac:dyDescent="0.3">
      <c r="A3197" t="s">
        <v>179</v>
      </c>
      <c r="B3197" t="str">
        <f>"00059507"</f>
        <v>00059507</v>
      </c>
      <c r="C3197" t="s">
        <v>4262</v>
      </c>
      <c r="D3197" t="s">
        <v>5263</v>
      </c>
      <c r="E3197" t="str">
        <f>"00070480"</f>
        <v>00070480</v>
      </c>
      <c r="F3197">
        <v>0</v>
      </c>
      <c r="G3197" s="243">
        <v>41180</v>
      </c>
      <c r="H3197" t="s">
        <v>182</v>
      </c>
      <c r="I3197">
        <v>15</v>
      </c>
      <c r="J3197">
        <v>1</v>
      </c>
      <c r="K3197">
        <v>1</v>
      </c>
      <c r="L3197">
        <v>54975</v>
      </c>
      <c r="M3197" t="str">
        <f t="shared" si="459"/>
        <v>13</v>
      </c>
      <c r="N3197" t="s">
        <v>3323</v>
      </c>
      <c r="O3197" t="str">
        <f t="shared" si="463"/>
        <v>60611</v>
      </c>
      <c r="P3197" t="str">
        <f>"2100L"</f>
        <v>2100L</v>
      </c>
      <c r="Q3197" t="str">
        <f t="shared" si="462"/>
        <v>0101</v>
      </c>
      <c r="R3197">
        <v>2100</v>
      </c>
      <c r="S3197" t="str">
        <f t="shared" si="464"/>
        <v>6060</v>
      </c>
      <c r="T3197" t="s">
        <v>3755</v>
      </c>
      <c r="U3197" t="s">
        <v>2657</v>
      </c>
    </row>
    <row r="3198" spans="1:21" ht="15" customHeight="1" x14ac:dyDescent="0.3">
      <c r="A3198" t="s">
        <v>179</v>
      </c>
      <c r="B3198" t="str">
        <f>"00060415"</f>
        <v>00060415</v>
      </c>
      <c r="C3198" t="s">
        <v>4274</v>
      </c>
      <c r="D3198" t="s">
        <v>5264</v>
      </c>
      <c r="E3198" t="str">
        <f>"00062617"</f>
        <v>00062617</v>
      </c>
      <c r="F3198">
        <v>0</v>
      </c>
      <c r="G3198" s="243">
        <v>40406</v>
      </c>
      <c r="H3198" t="s">
        <v>182</v>
      </c>
      <c r="I3198">
        <v>4</v>
      </c>
      <c r="J3198">
        <v>5</v>
      </c>
      <c r="K3198">
        <v>0.875</v>
      </c>
      <c r="L3198">
        <v>25239.37</v>
      </c>
      <c r="M3198" t="str">
        <f t="shared" si="459"/>
        <v>13</v>
      </c>
      <c r="N3198" t="s">
        <v>3370</v>
      </c>
      <c r="O3198" t="str">
        <f t="shared" si="463"/>
        <v>60611</v>
      </c>
      <c r="P3198" t="str">
        <f>"3030L"</f>
        <v>3030L</v>
      </c>
      <c r="Q3198" t="str">
        <f t="shared" si="462"/>
        <v>0101</v>
      </c>
      <c r="R3198">
        <v>3030</v>
      </c>
      <c r="S3198" t="str">
        <f t="shared" si="464"/>
        <v>6060</v>
      </c>
      <c r="T3198" t="s">
        <v>3755</v>
      </c>
      <c r="U3198" t="s">
        <v>2657</v>
      </c>
    </row>
    <row r="3199" spans="1:21" ht="15" customHeight="1" x14ac:dyDescent="0.3">
      <c r="A3199" t="s">
        <v>179</v>
      </c>
      <c r="B3199" t="str">
        <f>"00062346"</f>
        <v>00062346</v>
      </c>
      <c r="C3199" t="s">
        <v>4254</v>
      </c>
      <c r="D3199" t="s">
        <v>5265</v>
      </c>
      <c r="E3199" t="str">
        <f>"00047553"</f>
        <v>00047553</v>
      </c>
      <c r="F3199">
        <v>0</v>
      </c>
      <c r="G3199" s="243">
        <v>41133</v>
      </c>
      <c r="H3199" t="s">
        <v>182</v>
      </c>
      <c r="I3199">
        <v>15</v>
      </c>
      <c r="J3199">
        <v>10</v>
      </c>
      <c r="K3199">
        <v>1</v>
      </c>
      <c r="L3199">
        <v>80729</v>
      </c>
      <c r="M3199" t="str">
        <f t="shared" si="459"/>
        <v>13</v>
      </c>
      <c r="N3199" t="s">
        <v>3370</v>
      </c>
      <c r="O3199" t="str">
        <f t="shared" si="463"/>
        <v>60611</v>
      </c>
      <c r="P3199" t="str">
        <f>"2100L"</f>
        <v>2100L</v>
      </c>
      <c r="Q3199" t="str">
        <f t="shared" si="462"/>
        <v>0101</v>
      </c>
      <c r="R3199">
        <v>2100</v>
      </c>
      <c r="S3199" t="str">
        <f t="shared" si="464"/>
        <v>6060</v>
      </c>
      <c r="T3199" t="s">
        <v>3755</v>
      </c>
      <c r="U3199" t="s">
        <v>2657</v>
      </c>
    </row>
    <row r="3200" spans="1:21" ht="15" customHeight="1" x14ac:dyDescent="0.3">
      <c r="A3200" t="s">
        <v>179</v>
      </c>
      <c r="B3200" t="str">
        <f>"00062561"</f>
        <v>00062561</v>
      </c>
      <c r="C3200" t="s">
        <v>4259</v>
      </c>
      <c r="D3200" t="s">
        <v>2676</v>
      </c>
      <c r="E3200" t="str">
        <f>"00048523"</f>
        <v>00048523</v>
      </c>
      <c r="F3200">
        <v>0</v>
      </c>
      <c r="G3200" s="243">
        <v>40451</v>
      </c>
      <c r="H3200" t="s">
        <v>182</v>
      </c>
      <c r="I3200">
        <v>15</v>
      </c>
      <c r="J3200">
        <v>12</v>
      </c>
      <c r="K3200">
        <v>1</v>
      </c>
      <c r="L3200">
        <v>87431</v>
      </c>
      <c r="M3200" t="str">
        <f t="shared" si="459"/>
        <v>13</v>
      </c>
      <c r="N3200" t="s">
        <v>3370</v>
      </c>
      <c r="O3200" t="str">
        <f t="shared" si="463"/>
        <v>60611</v>
      </c>
      <c r="P3200" t="str">
        <f>"2100L"</f>
        <v>2100L</v>
      </c>
      <c r="Q3200" t="str">
        <f t="shared" si="462"/>
        <v>0101</v>
      </c>
      <c r="R3200">
        <v>2100</v>
      </c>
      <c r="S3200" t="str">
        <f t="shared" si="464"/>
        <v>6060</v>
      </c>
      <c r="T3200" t="s">
        <v>3755</v>
      </c>
      <c r="U3200" t="s">
        <v>2657</v>
      </c>
    </row>
    <row r="3201" spans="1:21" ht="15" customHeight="1" x14ac:dyDescent="0.3">
      <c r="A3201" t="s">
        <v>179</v>
      </c>
      <c r="B3201" t="str">
        <f>"00062639"</f>
        <v>00062639</v>
      </c>
      <c r="C3201" t="s">
        <v>4258</v>
      </c>
      <c r="D3201" t="s">
        <v>728</v>
      </c>
      <c r="E3201" t="str">
        <f>"00054810"</f>
        <v>00054810</v>
      </c>
      <c r="F3201">
        <v>0</v>
      </c>
      <c r="G3201" s="243">
        <v>32050</v>
      </c>
      <c r="H3201" t="s">
        <v>182</v>
      </c>
      <c r="I3201">
        <v>15</v>
      </c>
      <c r="J3201">
        <v>16</v>
      </c>
      <c r="K3201">
        <v>1</v>
      </c>
      <c r="L3201">
        <v>106540</v>
      </c>
      <c r="M3201" t="str">
        <f t="shared" si="459"/>
        <v>13</v>
      </c>
      <c r="N3201" t="s">
        <v>3323</v>
      </c>
      <c r="O3201" t="str">
        <f t="shared" si="463"/>
        <v>60611</v>
      </c>
      <c r="P3201" t="str">
        <f>"2100L"</f>
        <v>2100L</v>
      </c>
      <c r="Q3201" t="str">
        <f t="shared" si="462"/>
        <v>0101</v>
      </c>
      <c r="R3201">
        <v>2100</v>
      </c>
      <c r="S3201" t="str">
        <f t="shared" si="464"/>
        <v>6060</v>
      </c>
      <c r="T3201" t="s">
        <v>3755</v>
      </c>
      <c r="U3201" t="s">
        <v>2657</v>
      </c>
    </row>
    <row r="3202" spans="1:21" ht="15" customHeight="1" x14ac:dyDescent="0.3">
      <c r="A3202" t="s">
        <v>179</v>
      </c>
      <c r="B3202" t="str">
        <f>"00062869"</f>
        <v>00062869</v>
      </c>
      <c r="C3202" t="s">
        <v>4274</v>
      </c>
      <c r="D3202" t="s">
        <v>5266</v>
      </c>
      <c r="E3202" t="str">
        <f>"00054801"</f>
        <v>00054801</v>
      </c>
      <c r="F3202">
        <v>0</v>
      </c>
      <c r="G3202" s="243">
        <v>34256</v>
      </c>
      <c r="H3202" t="s">
        <v>182</v>
      </c>
      <c r="I3202">
        <v>4</v>
      </c>
      <c r="J3202">
        <v>10</v>
      </c>
      <c r="K3202">
        <v>0.875</v>
      </c>
      <c r="L3202">
        <v>28721</v>
      </c>
      <c r="M3202" t="str">
        <f t="shared" si="459"/>
        <v>13</v>
      </c>
      <c r="N3202" t="s">
        <v>3370</v>
      </c>
      <c r="O3202" t="str">
        <f t="shared" si="463"/>
        <v>60611</v>
      </c>
      <c r="P3202" t="str">
        <f>"2200L"</f>
        <v>2200L</v>
      </c>
      <c r="Q3202" t="str">
        <f t="shared" si="462"/>
        <v>0101</v>
      </c>
      <c r="R3202">
        <v>2200</v>
      </c>
      <c r="S3202" t="str">
        <f t="shared" si="464"/>
        <v>6060</v>
      </c>
      <c r="T3202" t="s">
        <v>3755</v>
      </c>
      <c r="U3202" t="s">
        <v>2657</v>
      </c>
    </row>
    <row r="3203" spans="1:21" ht="15" customHeight="1" x14ac:dyDescent="0.3">
      <c r="A3203" t="s">
        <v>179</v>
      </c>
      <c r="B3203" t="str">
        <f>"00065715"</f>
        <v>00065715</v>
      </c>
      <c r="C3203" t="s">
        <v>4260</v>
      </c>
      <c r="D3203" t="s">
        <v>2671</v>
      </c>
      <c r="E3203" t="str">
        <f>"00057784"</f>
        <v>00057784</v>
      </c>
      <c r="F3203">
        <v>0</v>
      </c>
      <c r="G3203" s="243">
        <v>40042</v>
      </c>
      <c r="H3203" t="s">
        <v>182</v>
      </c>
      <c r="I3203">
        <v>15</v>
      </c>
      <c r="J3203">
        <v>10</v>
      </c>
      <c r="K3203">
        <v>1</v>
      </c>
      <c r="L3203">
        <v>78273</v>
      </c>
      <c r="M3203" t="str">
        <f t="shared" si="459"/>
        <v>13</v>
      </c>
      <c r="N3203" t="s">
        <v>3323</v>
      </c>
      <c r="O3203" t="str">
        <f t="shared" si="463"/>
        <v>60611</v>
      </c>
      <c r="P3203" t="str">
        <f>"2100L"</f>
        <v>2100L</v>
      </c>
      <c r="Q3203" t="str">
        <f t="shared" si="462"/>
        <v>0101</v>
      </c>
      <c r="R3203">
        <v>2100</v>
      </c>
      <c r="S3203" t="str">
        <f t="shared" si="464"/>
        <v>6060</v>
      </c>
      <c r="T3203" t="s">
        <v>3755</v>
      </c>
      <c r="U3203" t="s">
        <v>2657</v>
      </c>
    </row>
    <row r="3204" spans="1:21" ht="15" customHeight="1" x14ac:dyDescent="0.3">
      <c r="A3204" t="s">
        <v>179</v>
      </c>
      <c r="B3204" t="str">
        <f>"00066010"</f>
        <v>00066010</v>
      </c>
      <c r="C3204" t="s">
        <v>4256</v>
      </c>
      <c r="D3204" t="s">
        <v>2672</v>
      </c>
      <c r="E3204" t="str">
        <f>"00057869"</f>
        <v>00057869</v>
      </c>
      <c r="F3204">
        <v>0</v>
      </c>
      <c r="G3204" s="243">
        <v>40049</v>
      </c>
      <c r="H3204" t="s">
        <v>182</v>
      </c>
      <c r="I3204">
        <v>15</v>
      </c>
      <c r="J3204">
        <v>8</v>
      </c>
      <c r="K3204">
        <v>1</v>
      </c>
      <c r="L3204">
        <v>72171</v>
      </c>
      <c r="M3204" t="str">
        <f t="shared" si="459"/>
        <v>13</v>
      </c>
      <c r="N3204" t="s">
        <v>3323</v>
      </c>
      <c r="O3204" t="str">
        <f t="shared" si="463"/>
        <v>60611</v>
      </c>
      <c r="P3204" t="str">
        <f>"2100L"</f>
        <v>2100L</v>
      </c>
      <c r="Q3204" t="str">
        <f t="shared" si="462"/>
        <v>0101</v>
      </c>
      <c r="R3204">
        <v>2100</v>
      </c>
      <c r="S3204" t="str">
        <f t="shared" si="464"/>
        <v>6060</v>
      </c>
      <c r="T3204" t="s">
        <v>3755</v>
      </c>
      <c r="U3204" t="s">
        <v>2657</v>
      </c>
    </row>
    <row r="3205" spans="1:21" ht="15" customHeight="1" x14ac:dyDescent="0.3">
      <c r="A3205" t="s">
        <v>179</v>
      </c>
      <c r="B3205" t="str">
        <f>"00066035"</f>
        <v>00066035</v>
      </c>
      <c r="C3205" t="s">
        <v>4274</v>
      </c>
      <c r="D3205" t="s">
        <v>5267</v>
      </c>
      <c r="E3205" t="str">
        <f>"00068257"</f>
        <v>00068257</v>
      </c>
      <c r="F3205">
        <v>0</v>
      </c>
      <c r="G3205" s="243">
        <v>41016</v>
      </c>
      <c r="H3205" t="s">
        <v>182</v>
      </c>
      <c r="I3205">
        <v>4</v>
      </c>
      <c r="J3205">
        <v>9</v>
      </c>
      <c r="K3205">
        <v>1</v>
      </c>
      <c r="L3205">
        <v>28025.38</v>
      </c>
      <c r="M3205" t="str">
        <f t="shared" si="459"/>
        <v>13</v>
      </c>
      <c r="N3205" t="s">
        <v>3323</v>
      </c>
      <c r="O3205" t="str">
        <f t="shared" si="463"/>
        <v>60611</v>
      </c>
      <c r="P3205" t="str">
        <f>"2200L"</f>
        <v>2200L</v>
      </c>
      <c r="Q3205" t="str">
        <f t="shared" si="462"/>
        <v>0101</v>
      </c>
      <c r="R3205">
        <v>2200</v>
      </c>
      <c r="S3205" t="str">
        <f t="shared" si="464"/>
        <v>6060</v>
      </c>
      <c r="T3205" t="s">
        <v>3755</v>
      </c>
      <c r="U3205" t="s">
        <v>2657</v>
      </c>
    </row>
    <row r="3206" spans="1:21" ht="15" customHeight="1" x14ac:dyDescent="0.3">
      <c r="A3206" t="s">
        <v>179</v>
      </c>
      <c r="B3206" t="str">
        <f>"00066096"</f>
        <v>00066096</v>
      </c>
      <c r="C3206" t="s">
        <v>4381</v>
      </c>
      <c r="D3206" t="s">
        <v>2674</v>
      </c>
      <c r="E3206" t="str">
        <f>"00057862"</f>
        <v>00057862</v>
      </c>
      <c r="F3206">
        <v>0</v>
      </c>
      <c r="G3206" s="243">
        <v>40049</v>
      </c>
      <c r="H3206" t="s">
        <v>182</v>
      </c>
      <c r="I3206">
        <v>9</v>
      </c>
      <c r="J3206">
        <v>6</v>
      </c>
      <c r="K3206">
        <v>1</v>
      </c>
      <c r="L3206">
        <v>38478</v>
      </c>
      <c r="M3206" t="str">
        <f t="shared" si="459"/>
        <v>13</v>
      </c>
      <c r="N3206" t="s">
        <v>3323</v>
      </c>
      <c r="O3206" t="str">
        <f t="shared" si="463"/>
        <v>60611</v>
      </c>
      <c r="P3206" t="str">
        <f>"2100L"</f>
        <v>2100L</v>
      </c>
      <c r="Q3206" t="str">
        <f t="shared" si="462"/>
        <v>0101</v>
      </c>
      <c r="R3206">
        <v>2100</v>
      </c>
      <c r="S3206" t="str">
        <f t="shared" si="464"/>
        <v>6060</v>
      </c>
      <c r="T3206" t="s">
        <v>3755</v>
      </c>
      <c r="U3206" t="s">
        <v>2657</v>
      </c>
    </row>
    <row r="3207" spans="1:21" ht="15" customHeight="1" x14ac:dyDescent="0.3">
      <c r="A3207" t="s">
        <v>179</v>
      </c>
      <c r="B3207" t="str">
        <f>"00067431"</f>
        <v>00067431</v>
      </c>
      <c r="C3207" t="s">
        <v>4264</v>
      </c>
      <c r="H3207" t="s">
        <v>170</v>
      </c>
      <c r="I3207">
        <v>15</v>
      </c>
      <c r="J3207">
        <v>1</v>
      </c>
      <c r="K3207">
        <v>1</v>
      </c>
      <c r="L3207">
        <v>54975</v>
      </c>
      <c r="M3207" t="str">
        <f t="shared" si="459"/>
        <v>13</v>
      </c>
      <c r="N3207" t="s">
        <v>3323</v>
      </c>
      <c r="O3207" t="str">
        <f t="shared" si="463"/>
        <v>60611</v>
      </c>
      <c r="P3207" t="str">
        <f>"3030L"</f>
        <v>3030L</v>
      </c>
      <c r="Q3207" t="str">
        <f t="shared" si="462"/>
        <v>0101</v>
      </c>
      <c r="R3207">
        <v>3030</v>
      </c>
      <c r="S3207" t="str">
        <f t="shared" si="464"/>
        <v>6060</v>
      </c>
      <c r="T3207" t="s">
        <v>3755</v>
      </c>
      <c r="U3207" t="s">
        <v>2657</v>
      </c>
    </row>
    <row r="3208" spans="1:21" ht="15" customHeight="1" x14ac:dyDescent="0.3">
      <c r="A3208" t="s">
        <v>179</v>
      </c>
      <c r="B3208" t="str">
        <f>"00072484"</f>
        <v>00072484</v>
      </c>
      <c r="C3208" t="s">
        <v>4288</v>
      </c>
      <c r="D3208" t="s">
        <v>5268</v>
      </c>
      <c r="E3208" t="str">
        <f>"00066198"</f>
        <v>00066198</v>
      </c>
      <c r="F3208">
        <v>0</v>
      </c>
      <c r="G3208" s="243">
        <v>40770</v>
      </c>
      <c r="H3208" t="s">
        <v>182</v>
      </c>
      <c r="I3208">
        <v>4</v>
      </c>
      <c r="J3208">
        <v>6</v>
      </c>
      <c r="K3208">
        <v>0.71</v>
      </c>
      <c r="L3208">
        <v>25935.88</v>
      </c>
      <c r="M3208" t="str">
        <f t="shared" si="459"/>
        <v>13</v>
      </c>
      <c r="N3208" t="s">
        <v>3323</v>
      </c>
      <c r="O3208" t="str">
        <f t="shared" si="463"/>
        <v>60611</v>
      </c>
      <c r="P3208" t="str">
        <f>"2200L"</f>
        <v>2200L</v>
      </c>
      <c r="Q3208" t="str">
        <f t="shared" si="462"/>
        <v>0101</v>
      </c>
      <c r="R3208">
        <v>2200</v>
      </c>
      <c r="S3208" t="str">
        <f t="shared" si="464"/>
        <v>6060</v>
      </c>
      <c r="T3208" t="s">
        <v>3755</v>
      </c>
      <c r="U3208" t="s">
        <v>2657</v>
      </c>
    </row>
    <row r="3209" spans="1:21" ht="15" customHeight="1" x14ac:dyDescent="0.3">
      <c r="A3209" t="s">
        <v>179</v>
      </c>
      <c r="B3209" t="str">
        <f>"00072631"</f>
        <v>00072631</v>
      </c>
      <c r="C3209" t="s">
        <v>4274</v>
      </c>
      <c r="D3209" t="s">
        <v>5269</v>
      </c>
      <c r="E3209" t="str">
        <f>"00051971"</f>
        <v>00051971</v>
      </c>
      <c r="F3209">
        <v>0</v>
      </c>
      <c r="G3209" s="243">
        <v>40420</v>
      </c>
      <c r="H3209" t="s">
        <v>182</v>
      </c>
      <c r="I3209">
        <v>4</v>
      </c>
      <c r="J3209">
        <v>7</v>
      </c>
      <c r="K3209">
        <v>0.71</v>
      </c>
      <c r="L3209">
        <v>26633.25</v>
      </c>
      <c r="M3209" t="str">
        <f t="shared" si="459"/>
        <v>13</v>
      </c>
      <c r="N3209" t="s">
        <v>3323</v>
      </c>
      <c r="O3209" t="str">
        <f t="shared" si="463"/>
        <v>60611</v>
      </c>
      <c r="P3209" t="str">
        <f>"2200L"</f>
        <v>2200L</v>
      </c>
      <c r="Q3209" t="str">
        <f t="shared" si="462"/>
        <v>0101</v>
      </c>
      <c r="R3209">
        <v>2200</v>
      </c>
      <c r="S3209" t="str">
        <f t="shared" si="464"/>
        <v>6060</v>
      </c>
      <c r="T3209" t="s">
        <v>3755</v>
      </c>
      <c r="U3209" t="s">
        <v>2657</v>
      </c>
    </row>
    <row r="3210" spans="1:21" ht="15" customHeight="1" x14ac:dyDescent="0.3">
      <c r="A3210" t="s">
        <v>179</v>
      </c>
      <c r="B3210" t="str">
        <f>"00072811"</f>
        <v>00072811</v>
      </c>
      <c r="C3210" t="s">
        <v>4272</v>
      </c>
      <c r="D3210" t="s">
        <v>1838</v>
      </c>
      <c r="E3210" t="str">
        <f>"00052005"</f>
        <v>00052005</v>
      </c>
      <c r="F3210">
        <v>0</v>
      </c>
      <c r="G3210" s="243">
        <v>40840</v>
      </c>
      <c r="H3210" t="s">
        <v>182</v>
      </c>
      <c r="I3210">
        <v>15</v>
      </c>
      <c r="J3210">
        <v>7</v>
      </c>
      <c r="K3210">
        <v>1</v>
      </c>
      <c r="L3210">
        <v>71581</v>
      </c>
      <c r="M3210" t="str">
        <f t="shared" si="459"/>
        <v>13</v>
      </c>
      <c r="N3210" t="s">
        <v>3323</v>
      </c>
      <c r="O3210" t="str">
        <f t="shared" si="463"/>
        <v>60611</v>
      </c>
      <c r="P3210" t="str">
        <f>"2100L"</f>
        <v>2100L</v>
      </c>
      <c r="Q3210" t="str">
        <f t="shared" si="462"/>
        <v>0101</v>
      </c>
      <c r="R3210">
        <v>2100</v>
      </c>
      <c r="S3210" t="str">
        <f t="shared" si="464"/>
        <v>6060</v>
      </c>
      <c r="T3210" t="s">
        <v>3755</v>
      </c>
      <c r="U3210" t="s">
        <v>2657</v>
      </c>
    </row>
    <row r="3211" spans="1:21" ht="15" customHeight="1" x14ac:dyDescent="0.3">
      <c r="A3211" t="s">
        <v>179</v>
      </c>
      <c r="B3211" t="str">
        <f>"00072812"</f>
        <v>00072812</v>
      </c>
      <c r="C3211" t="s">
        <v>4262</v>
      </c>
      <c r="D3211" t="s">
        <v>2677</v>
      </c>
      <c r="E3211" t="str">
        <f>"00045211"</f>
        <v>00045211</v>
      </c>
      <c r="F3211">
        <v>0</v>
      </c>
      <c r="G3211" s="243">
        <v>36761</v>
      </c>
      <c r="H3211" t="s">
        <v>182</v>
      </c>
      <c r="I3211">
        <v>15</v>
      </c>
      <c r="J3211">
        <v>12</v>
      </c>
      <c r="K3211">
        <v>1</v>
      </c>
      <c r="L3211">
        <v>75816</v>
      </c>
      <c r="M3211" t="str">
        <f t="shared" si="459"/>
        <v>13</v>
      </c>
      <c r="N3211" t="s">
        <v>3323</v>
      </c>
      <c r="O3211" t="str">
        <f t="shared" si="463"/>
        <v>60611</v>
      </c>
      <c r="P3211" t="str">
        <f>"2100L"</f>
        <v>2100L</v>
      </c>
      <c r="Q3211" t="str">
        <f t="shared" si="462"/>
        <v>0101</v>
      </c>
      <c r="R3211">
        <v>2100</v>
      </c>
      <c r="S3211" t="str">
        <f t="shared" si="464"/>
        <v>6060</v>
      </c>
      <c r="T3211" t="s">
        <v>3755</v>
      </c>
      <c r="U3211" t="s">
        <v>2657</v>
      </c>
    </row>
    <row r="3212" spans="1:21" ht="15" customHeight="1" x14ac:dyDescent="0.3">
      <c r="A3212" t="s">
        <v>179</v>
      </c>
      <c r="B3212" t="str">
        <f>"00073039"</f>
        <v>00073039</v>
      </c>
      <c r="C3212" t="s">
        <v>4260</v>
      </c>
      <c r="D3212" t="s">
        <v>3757</v>
      </c>
      <c r="E3212" t="str">
        <f>"00064614"</f>
        <v>00064614</v>
      </c>
      <c r="F3212">
        <v>0</v>
      </c>
      <c r="G3212" s="243">
        <v>40582</v>
      </c>
      <c r="H3212" t="s">
        <v>182</v>
      </c>
      <c r="I3212">
        <v>15</v>
      </c>
      <c r="J3212">
        <v>3</v>
      </c>
      <c r="K3212">
        <v>1</v>
      </c>
      <c r="L3212">
        <v>61159</v>
      </c>
      <c r="M3212" t="str">
        <f t="shared" si="459"/>
        <v>13</v>
      </c>
      <c r="N3212" t="s">
        <v>3323</v>
      </c>
      <c r="O3212" t="str">
        <f t="shared" si="463"/>
        <v>60611</v>
      </c>
      <c r="P3212" t="str">
        <f>"3030L"</f>
        <v>3030L</v>
      </c>
      <c r="Q3212" t="str">
        <f t="shared" si="462"/>
        <v>0101</v>
      </c>
      <c r="R3212">
        <v>3030</v>
      </c>
      <c r="S3212" t="str">
        <f t="shared" si="464"/>
        <v>6060</v>
      </c>
      <c r="T3212" t="s">
        <v>3755</v>
      </c>
      <c r="U3212" t="s">
        <v>2657</v>
      </c>
    </row>
    <row r="3213" spans="1:21" ht="15" customHeight="1" x14ac:dyDescent="0.3">
      <c r="A3213" t="s">
        <v>179</v>
      </c>
      <c r="B3213" t="str">
        <f>"00073963"</f>
        <v>00073963</v>
      </c>
      <c r="C3213" t="s">
        <v>4499</v>
      </c>
      <c r="H3213" t="s">
        <v>170</v>
      </c>
      <c r="I3213">
        <v>10</v>
      </c>
      <c r="J3213">
        <v>1</v>
      </c>
      <c r="K3213">
        <v>0.5</v>
      </c>
      <c r="L3213">
        <v>64547</v>
      </c>
      <c r="M3213" t="str">
        <f t="shared" si="459"/>
        <v>13</v>
      </c>
      <c r="N3213" t="s">
        <v>3370</v>
      </c>
      <c r="O3213" t="str">
        <f t="shared" si="463"/>
        <v>60611</v>
      </c>
      <c r="P3213" t="str">
        <f>"3030L"</f>
        <v>3030L</v>
      </c>
      <c r="Q3213" t="str">
        <f t="shared" si="462"/>
        <v>0101</v>
      </c>
      <c r="R3213">
        <v>3030</v>
      </c>
      <c r="S3213" t="str">
        <f t="shared" si="464"/>
        <v>6060</v>
      </c>
      <c r="T3213" t="s">
        <v>3755</v>
      </c>
      <c r="U3213" t="s">
        <v>2657</v>
      </c>
    </row>
    <row r="3214" spans="1:21" ht="15" customHeight="1" x14ac:dyDescent="0.3">
      <c r="A3214" t="s">
        <v>179</v>
      </c>
      <c r="B3214" t="str">
        <f>"00074314"</f>
        <v>00074314</v>
      </c>
      <c r="C3214" t="s">
        <v>4518</v>
      </c>
      <c r="D3214" t="s">
        <v>3756</v>
      </c>
      <c r="E3214" t="str">
        <f>"00062711"</f>
        <v>00062711</v>
      </c>
      <c r="F3214">
        <v>0</v>
      </c>
      <c r="G3214" s="243">
        <v>40399</v>
      </c>
      <c r="H3214" t="s">
        <v>182</v>
      </c>
      <c r="I3214">
        <v>10</v>
      </c>
      <c r="J3214">
        <v>4</v>
      </c>
      <c r="K3214">
        <v>1</v>
      </c>
      <c r="L3214">
        <v>69119</v>
      </c>
      <c r="M3214" t="str">
        <f t="shared" si="459"/>
        <v>13</v>
      </c>
      <c r="N3214" t="s">
        <v>3323</v>
      </c>
      <c r="O3214" t="str">
        <f t="shared" si="463"/>
        <v>60611</v>
      </c>
      <c r="P3214" t="str">
        <f>"2100L"</f>
        <v>2100L</v>
      </c>
      <c r="Q3214" t="str">
        <f t="shared" si="462"/>
        <v>0101</v>
      </c>
      <c r="R3214">
        <v>2100</v>
      </c>
      <c r="S3214" t="str">
        <f t="shared" si="464"/>
        <v>6060</v>
      </c>
      <c r="T3214" t="s">
        <v>3755</v>
      </c>
      <c r="U3214" t="s">
        <v>2657</v>
      </c>
    </row>
    <row r="3215" spans="1:21" ht="15" customHeight="1" x14ac:dyDescent="0.3">
      <c r="A3215" t="s">
        <v>179</v>
      </c>
      <c r="B3215" t="str">
        <f>"00076154"</f>
        <v>00076154</v>
      </c>
      <c r="C3215" t="s">
        <v>4270</v>
      </c>
      <c r="D3215" t="s">
        <v>5270</v>
      </c>
      <c r="E3215" t="str">
        <f>"00047014"</f>
        <v>00047014</v>
      </c>
      <c r="F3215">
        <v>0</v>
      </c>
      <c r="G3215" s="243">
        <v>41180</v>
      </c>
      <c r="H3215" t="s">
        <v>182</v>
      </c>
      <c r="I3215">
        <v>15</v>
      </c>
      <c r="J3215">
        <v>2</v>
      </c>
      <c r="K3215">
        <v>0.5</v>
      </c>
      <c r="L3215">
        <v>51716</v>
      </c>
      <c r="M3215" t="str">
        <f t="shared" si="459"/>
        <v>13</v>
      </c>
      <c r="N3215" t="s">
        <v>3323</v>
      </c>
      <c r="O3215" t="str">
        <f t="shared" si="463"/>
        <v>60611</v>
      </c>
      <c r="P3215" t="str">
        <f>"2100L"</f>
        <v>2100L</v>
      </c>
      <c r="Q3215" t="str">
        <f t="shared" si="462"/>
        <v>0101</v>
      </c>
      <c r="R3215">
        <v>2100</v>
      </c>
      <c r="S3215" t="str">
        <f t="shared" si="464"/>
        <v>6060</v>
      </c>
      <c r="T3215" t="s">
        <v>3755</v>
      </c>
      <c r="U3215" t="s">
        <v>2657</v>
      </c>
    </row>
    <row r="3216" spans="1:21" ht="15" customHeight="1" x14ac:dyDescent="0.3">
      <c r="A3216" t="s">
        <v>179</v>
      </c>
      <c r="B3216" t="str">
        <f>"00076379"</f>
        <v>00076379</v>
      </c>
      <c r="C3216" t="s">
        <v>4728</v>
      </c>
      <c r="H3216" t="s">
        <v>170</v>
      </c>
      <c r="I3216">
        <v>9</v>
      </c>
      <c r="J3216">
        <v>0</v>
      </c>
      <c r="K3216">
        <v>0.5</v>
      </c>
      <c r="L3216">
        <v>33163</v>
      </c>
      <c r="M3216" t="str">
        <f t="shared" si="459"/>
        <v>13</v>
      </c>
      <c r="N3216" t="s">
        <v>3323</v>
      </c>
      <c r="O3216" t="str">
        <f t="shared" si="463"/>
        <v>60611</v>
      </c>
      <c r="P3216" t="str">
        <f>"2100L"</f>
        <v>2100L</v>
      </c>
      <c r="Q3216" t="str">
        <f t="shared" si="462"/>
        <v>0101</v>
      </c>
      <c r="R3216">
        <v>2100</v>
      </c>
      <c r="S3216" t="str">
        <f t="shared" si="464"/>
        <v>6060</v>
      </c>
      <c r="T3216" t="s">
        <v>3755</v>
      </c>
      <c r="U3216" t="s">
        <v>2657</v>
      </c>
    </row>
    <row r="3217" spans="1:21" ht="15" customHeight="1" x14ac:dyDescent="0.3">
      <c r="A3217" t="s">
        <v>179</v>
      </c>
      <c r="B3217" t="str">
        <f>"00076380"</f>
        <v>00076380</v>
      </c>
      <c r="C3217" t="s">
        <v>4262</v>
      </c>
      <c r="D3217" t="s">
        <v>187</v>
      </c>
      <c r="E3217" t="str">
        <f>"00051531"</f>
        <v>00051531</v>
      </c>
      <c r="F3217">
        <v>0</v>
      </c>
      <c r="G3217" s="243">
        <v>31813</v>
      </c>
      <c r="H3217" t="s">
        <v>182</v>
      </c>
      <c r="I3217">
        <v>15</v>
      </c>
      <c r="J3217">
        <v>10</v>
      </c>
      <c r="K3217">
        <v>1</v>
      </c>
      <c r="L3217">
        <v>78273</v>
      </c>
      <c r="M3217" t="str">
        <f t="shared" si="459"/>
        <v>13</v>
      </c>
      <c r="N3217" t="s">
        <v>3370</v>
      </c>
      <c r="O3217" t="str">
        <f t="shared" si="463"/>
        <v>60611</v>
      </c>
      <c r="P3217" t="str">
        <f>"2100L"</f>
        <v>2100L</v>
      </c>
      <c r="Q3217" t="str">
        <f t="shared" si="462"/>
        <v>0101</v>
      </c>
      <c r="R3217">
        <v>2100</v>
      </c>
      <c r="S3217" t="str">
        <f t="shared" si="464"/>
        <v>6060</v>
      </c>
      <c r="T3217" t="s">
        <v>3755</v>
      </c>
      <c r="U3217" t="s">
        <v>2657</v>
      </c>
    </row>
    <row r="3218" spans="1:21" ht="15" customHeight="1" x14ac:dyDescent="0.3">
      <c r="A3218" t="s">
        <v>179</v>
      </c>
      <c r="B3218" t="str">
        <f>"00051644"</f>
        <v>00051644</v>
      </c>
      <c r="C3218" t="s">
        <v>4274</v>
      </c>
      <c r="D3218" t="s">
        <v>5271</v>
      </c>
      <c r="E3218" t="str">
        <f>"00045273"</f>
        <v>00045273</v>
      </c>
      <c r="F3218">
        <v>0</v>
      </c>
      <c r="G3218" s="243">
        <v>35758</v>
      </c>
      <c r="H3218" t="s">
        <v>182</v>
      </c>
      <c r="I3218">
        <v>4</v>
      </c>
      <c r="J3218">
        <v>9</v>
      </c>
      <c r="K3218">
        <v>0.875</v>
      </c>
      <c r="L3218">
        <v>28025.38</v>
      </c>
      <c r="M3218" t="str">
        <f t="shared" si="459"/>
        <v>13</v>
      </c>
      <c r="N3218" t="s">
        <v>3323</v>
      </c>
      <c r="O3218" t="str">
        <f t="shared" ref="O3218:O3246" si="465">"60711"</f>
        <v>60711</v>
      </c>
      <c r="P3218" t="str">
        <f>"3030L"</f>
        <v>3030L</v>
      </c>
      <c r="Q3218" t="str">
        <f t="shared" si="462"/>
        <v>0101</v>
      </c>
      <c r="R3218">
        <v>3030</v>
      </c>
      <c r="S3218" t="str">
        <f t="shared" ref="S3218:S3246" si="466">"6070"</f>
        <v>6070</v>
      </c>
      <c r="T3218" t="s">
        <v>3760</v>
      </c>
      <c r="U3218" t="s">
        <v>72</v>
      </c>
    </row>
    <row r="3219" spans="1:21" ht="15" customHeight="1" x14ac:dyDescent="0.3">
      <c r="A3219" t="s">
        <v>179</v>
      </c>
      <c r="B3219" t="str">
        <f>"00051652"</f>
        <v>00051652</v>
      </c>
      <c r="C3219" t="s">
        <v>4341</v>
      </c>
      <c r="D3219" t="s">
        <v>2593</v>
      </c>
      <c r="E3219" t="str">
        <f>"00045313"</f>
        <v>00045313</v>
      </c>
      <c r="F3219">
        <v>0</v>
      </c>
      <c r="G3219" s="243">
        <v>33534</v>
      </c>
      <c r="H3219" t="s">
        <v>182</v>
      </c>
      <c r="I3219">
        <v>10</v>
      </c>
      <c r="J3219">
        <v>9</v>
      </c>
      <c r="K3219">
        <v>1</v>
      </c>
      <c r="L3219">
        <v>88084</v>
      </c>
      <c r="M3219" t="str">
        <f t="shared" si="459"/>
        <v>13</v>
      </c>
      <c r="N3219" t="s">
        <v>3323</v>
      </c>
      <c r="O3219" t="str">
        <f t="shared" si="465"/>
        <v>60711</v>
      </c>
      <c r="P3219" t="str">
        <f>"3030L"</f>
        <v>3030L</v>
      </c>
      <c r="Q3219" t="str">
        <f t="shared" si="462"/>
        <v>0101</v>
      </c>
      <c r="R3219">
        <v>3030</v>
      </c>
      <c r="S3219" t="str">
        <f t="shared" si="466"/>
        <v>6070</v>
      </c>
      <c r="T3219" t="s">
        <v>3760</v>
      </c>
      <c r="U3219" t="s">
        <v>72</v>
      </c>
    </row>
    <row r="3220" spans="1:21" ht="15" customHeight="1" x14ac:dyDescent="0.3">
      <c r="A3220" t="s">
        <v>179</v>
      </c>
      <c r="B3220" t="str">
        <f>"00053358"</f>
        <v>00053358</v>
      </c>
      <c r="C3220" t="s">
        <v>4262</v>
      </c>
      <c r="D3220" t="s">
        <v>2595</v>
      </c>
      <c r="E3220" t="str">
        <f>"00051360"</f>
        <v>00051360</v>
      </c>
      <c r="F3220">
        <v>0</v>
      </c>
      <c r="G3220" s="243">
        <v>34941</v>
      </c>
      <c r="H3220" t="s">
        <v>182</v>
      </c>
      <c r="I3220">
        <v>15</v>
      </c>
      <c r="J3220">
        <v>15</v>
      </c>
      <c r="K3220">
        <v>1</v>
      </c>
      <c r="L3220">
        <v>98285</v>
      </c>
      <c r="M3220" t="str">
        <f t="shared" si="459"/>
        <v>13</v>
      </c>
      <c r="N3220" t="s">
        <v>3323</v>
      </c>
      <c r="O3220" t="str">
        <f t="shared" si="465"/>
        <v>60711</v>
      </c>
      <c r="P3220" t="str">
        <f>"2100L"</f>
        <v>2100L</v>
      </c>
      <c r="Q3220" t="str">
        <f t="shared" si="462"/>
        <v>0101</v>
      </c>
      <c r="R3220">
        <v>2100</v>
      </c>
      <c r="S3220" t="str">
        <f t="shared" si="466"/>
        <v>6070</v>
      </c>
      <c r="T3220" t="s">
        <v>3760</v>
      </c>
      <c r="U3220" t="s">
        <v>72</v>
      </c>
    </row>
    <row r="3221" spans="1:21" ht="15" customHeight="1" x14ac:dyDescent="0.3">
      <c r="A3221" t="s">
        <v>179</v>
      </c>
      <c r="B3221" t="str">
        <f>"00053378"</f>
        <v>00053378</v>
      </c>
      <c r="C3221" t="s">
        <v>4274</v>
      </c>
      <c r="D3221" t="s">
        <v>5272</v>
      </c>
      <c r="E3221" t="str">
        <f>"00029640"</f>
        <v>00029640</v>
      </c>
      <c r="F3221">
        <v>1</v>
      </c>
      <c r="G3221" s="243">
        <v>33140</v>
      </c>
      <c r="H3221" t="s">
        <v>182</v>
      </c>
      <c r="I3221">
        <v>4</v>
      </c>
      <c r="J3221">
        <v>10</v>
      </c>
      <c r="K3221">
        <v>0.875</v>
      </c>
      <c r="L3221">
        <v>28721</v>
      </c>
      <c r="M3221" t="str">
        <f t="shared" si="459"/>
        <v>13</v>
      </c>
      <c r="N3221" t="s">
        <v>3323</v>
      </c>
      <c r="O3221" t="str">
        <f t="shared" si="465"/>
        <v>60711</v>
      </c>
      <c r="P3221" t="str">
        <f>"2200L"</f>
        <v>2200L</v>
      </c>
      <c r="Q3221" t="str">
        <f t="shared" si="462"/>
        <v>0101</v>
      </c>
      <c r="R3221">
        <v>2200</v>
      </c>
      <c r="S3221" t="str">
        <f t="shared" si="466"/>
        <v>6070</v>
      </c>
      <c r="T3221" t="s">
        <v>3760</v>
      </c>
      <c r="U3221" t="s">
        <v>72</v>
      </c>
    </row>
    <row r="3222" spans="1:21" ht="15" customHeight="1" x14ac:dyDescent="0.3">
      <c r="A3222" t="s">
        <v>179</v>
      </c>
      <c r="B3222" t="str">
        <f>"00053514"</f>
        <v>00053514</v>
      </c>
      <c r="C3222" t="s">
        <v>4274</v>
      </c>
      <c r="D3222" t="s">
        <v>5273</v>
      </c>
      <c r="E3222" t="str">
        <f>"00051633"</f>
        <v>00051633</v>
      </c>
      <c r="F3222">
        <v>0</v>
      </c>
      <c r="G3222" s="243">
        <v>34220</v>
      </c>
      <c r="H3222" t="s">
        <v>182</v>
      </c>
      <c r="I3222">
        <v>4</v>
      </c>
      <c r="J3222">
        <v>10</v>
      </c>
      <c r="K3222">
        <v>0.875</v>
      </c>
      <c r="L3222">
        <v>28721</v>
      </c>
      <c r="M3222" t="str">
        <f t="shared" si="459"/>
        <v>13</v>
      </c>
      <c r="N3222" t="s">
        <v>3323</v>
      </c>
      <c r="O3222" t="str">
        <f t="shared" si="465"/>
        <v>60711</v>
      </c>
      <c r="P3222" t="str">
        <f>"2200L"</f>
        <v>2200L</v>
      </c>
      <c r="Q3222" t="str">
        <f t="shared" si="462"/>
        <v>0101</v>
      </c>
      <c r="R3222">
        <v>2200</v>
      </c>
      <c r="S3222" t="str">
        <f t="shared" si="466"/>
        <v>6070</v>
      </c>
      <c r="T3222" t="s">
        <v>3760</v>
      </c>
      <c r="U3222" t="s">
        <v>72</v>
      </c>
    </row>
    <row r="3223" spans="1:21" ht="15" customHeight="1" x14ac:dyDescent="0.3">
      <c r="A3223" t="s">
        <v>179</v>
      </c>
      <c r="B3223" t="str">
        <f>"00053986"</f>
        <v>00053986</v>
      </c>
      <c r="C3223" t="s">
        <v>4262</v>
      </c>
      <c r="D3223" t="s">
        <v>2596</v>
      </c>
      <c r="E3223" t="str">
        <f>"00052835"</f>
        <v>00052835</v>
      </c>
      <c r="F3223">
        <v>0</v>
      </c>
      <c r="G3223" s="243">
        <v>32876</v>
      </c>
      <c r="H3223" t="s">
        <v>182</v>
      </c>
      <c r="I3223">
        <v>15</v>
      </c>
      <c r="J3223">
        <v>16</v>
      </c>
      <c r="K3223">
        <v>1</v>
      </c>
      <c r="L3223">
        <v>106540</v>
      </c>
      <c r="M3223" t="str">
        <f t="shared" si="459"/>
        <v>13</v>
      </c>
      <c r="N3223" t="s">
        <v>3323</v>
      </c>
      <c r="O3223" t="str">
        <f t="shared" si="465"/>
        <v>60711</v>
      </c>
      <c r="P3223" t="str">
        <f>"2100L"</f>
        <v>2100L</v>
      </c>
      <c r="Q3223" t="str">
        <f t="shared" si="462"/>
        <v>0101</v>
      </c>
      <c r="R3223">
        <v>2100</v>
      </c>
      <c r="S3223" t="str">
        <f t="shared" si="466"/>
        <v>6070</v>
      </c>
      <c r="T3223" t="s">
        <v>3760</v>
      </c>
      <c r="U3223" t="s">
        <v>72</v>
      </c>
    </row>
    <row r="3224" spans="1:21" ht="15" customHeight="1" x14ac:dyDescent="0.3">
      <c r="A3224" t="s">
        <v>179</v>
      </c>
      <c r="B3224" t="str">
        <f>"00054218"</f>
        <v>00054218</v>
      </c>
      <c r="C3224" t="s">
        <v>4260</v>
      </c>
      <c r="H3224" t="s">
        <v>170</v>
      </c>
      <c r="I3224">
        <v>15</v>
      </c>
      <c r="J3224">
        <v>1</v>
      </c>
      <c r="K3224">
        <v>1</v>
      </c>
      <c r="L3224">
        <v>51539</v>
      </c>
      <c r="M3224" t="str">
        <f t="shared" si="459"/>
        <v>13</v>
      </c>
      <c r="N3224" t="s">
        <v>3323</v>
      </c>
      <c r="O3224" t="str">
        <f t="shared" si="465"/>
        <v>60711</v>
      </c>
      <c r="P3224" t="str">
        <f>"3030L"</f>
        <v>3030L</v>
      </c>
      <c r="Q3224" t="str">
        <f t="shared" si="462"/>
        <v>0101</v>
      </c>
      <c r="R3224">
        <v>3030</v>
      </c>
      <c r="S3224" t="str">
        <f t="shared" si="466"/>
        <v>6070</v>
      </c>
      <c r="T3224" t="s">
        <v>3760</v>
      </c>
      <c r="U3224" t="s">
        <v>72</v>
      </c>
    </row>
    <row r="3225" spans="1:21" ht="15" customHeight="1" x14ac:dyDescent="0.3">
      <c r="A3225" t="s">
        <v>179</v>
      </c>
      <c r="B3225" t="str">
        <f>"00056737"</f>
        <v>00056737</v>
      </c>
      <c r="C3225" t="s">
        <v>4262</v>
      </c>
      <c r="D3225" t="s">
        <v>2597</v>
      </c>
      <c r="E3225" t="str">
        <f>"00062756"</f>
        <v>00062756</v>
      </c>
      <c r="F3225">
        <v>0</v>
      </c>
      <c r="G3225" s="243">
        <v>40406</v>
      </c>
      <c r="H3225" t="s">
        <v>182</v>
      </c>
      <c r="I3225">
        <v>15</v>
      </c>
      <c r="J3225">
        <v>11</v>
      </c>
      <c r="K3225">
        <v>1</v>
      </c>
      <c r="L3225">
        <v>81335</v>
      </c>
      <c r="M3225" t="str">
        <f t="shared" ref="M3225:M3279" si="467">"13"</f>
        <v>13</v>
      </c>
      <c r="N3225" t="s">
        <v>3323</v>
      </c>
      <c r="O3225" t="str">
        <f t="shared" si="465"/>
        <v>60711</v>
      </c>
      <c r="P3225" t="str">
        <f>"2300L"</f>
        <v>2300L</v>
      </c>
      <c r="Q3225" t="str">
        <f t="shared" si="462"/>
        <v>0101</v>
      </c>
      <c r="R3225">
        <v>2300</v>
      </c>
      <c r="S3225" t="str">
        <f t="shared" si="466"/>
        <v>6070</v>
      </c>
      <c r="T3225" t="s">
        <v>3760</v>
      </c>
      <c r="U3225" t="s">
        <v>72</v>
      </c>
    </row>
    <row r="3226" spans="1:21" ht="15" customHeight="1" x14ac:dyDescent="0.3">
      <c r="A3226" t="s">
        <v>179</v>
      </c>
      <c r="B3226" t="str">
        <f>"00056908"</f>
        <v>00056908</v>
      </c>
      <c r="C3226" t="s">
        <v>4253</v>
      </c>
      <c r="D3226" t="s">
        <v>2598</v>
      </c>
      <c r="E3226" t="str">
        <f>"00044642"</f>
        <v>00044642</v>
      </c>
      <c r="F3226">
        <v>0</v>
      </c>
      <c r="G3226" s="243">
        <v>36059</v>
      </c>
      <c r="H3226" t="s">
        <v>182</v>
      </c>
      <c r="I3226">
        <v>15</v>
      </c>
      <c r="J3226">
        <v>15</v>
      </c>
      <c r="K3226">
        <v>1</v>
      </c>
      <c r="L3226">
        <v>98285</v>
      </c>
      <c r="M3226" t="str">
        <f t="shared" si="467"/>
        <v>13</v>
      </c>
      <c r="N3226" t="s">
        <v>3323</v>
      </c>
      <c r="O3226" t="str">
        <f t="shared" si="465"/>
        <v>60711</v>
      </c>
      <c r="P3226" t="str">
        <f>"2100L"</f>
        <v>2100L</v>
      </c>
      <c r="Q3226" t="str">
        <f t="shared" si="462"/>
        <v>0101</v>
      </c>
      <c r="R3226">
        <v>2100</v>
      </c>
      <c r="S3226" t="str">
        <f t="shared" si="466"/>
        <v>6070</v>
      </c>
      <c r="T3226" t="s">
        <v>3760</v>
      </c>
      <c r="U3226" t="s">
        <v>72</v>
      </c>
    </row>
    <row r="3227" spans="1:21" ht="15" customHeight="1" x14ac:dyDescent="0.3">
      <c r="A3227" t="s">
        <v>179</v>
      </c>
      <c r="B3227" t="str">
        <f>"00057442"</f>
        <v>00057442</v>
      </c>
      <c r="C3227" t="s">
        <v>4272</v>
      </c>
      <c r="D3227" t="s">
        <v>5274</v>
      </c>
      <c r="E3227" t="str">
        <f>"00069818"</f>
        <v>00069818</v>
      </c>
      <c r="F3227">
        <v>0</v>
      </c>
      <c r="G3227" s="243">
        <v>41133</v>
      </c>
      <c r="H3227" t="s">
        <v>182</v>
      </c>
      <c r="I3227">
        <v>15</v>
      </c>
      <c r="J3227">
        <v>1</v>
      </c>
      <c r="K3227">
        <v>1</v>
      </c>
      <c r="L3227">
        <v>51539</v>
      </c>
      <c r="M3227" t="str">
        <f t="shared" si="467"/>
        <v>13</v>
      </c>
      <c r="N3227" t="s">
        <v>3370</v>
      </c>
      <c r="O3227" t="str">
        <f t="shared" si="465"/>
        <v>60711</v>
      </c>
      <c r="P3227" t="str">
        <f t="shared" ref="P3227:P3233" si="468">"2100L"</f>
        <v>2100L</v>
      </c>
      <c r="Q3227" t="str">
        <f t="shared" si="462"/>
        <v>0101</v>
      </c>
      <c r="R3227">
        <v>2100</v>
      </c>
      <c r="S3227" t="str">
        <f t="shared" si="466"/>
        <v>6070</v>
      </c>
      <c r="T3227" t="s">
        <v>3760</v>
      </c>
      <c r="U3227" t="s">
        <v>72</v>
      </c>
    </row>
    <row r="3228" spans="1:21" ht="15" customHeight="1" x14ac:dyDescent="0.3">
      <c r="A3228" t="s">
        <v>179</v>
      </c>
      <c r="B3228" t="str">
        <f>"00058203"</f>
        <v>00058203</v>
      </c>
      <c r="C3228" t="s">
        <v>4262</v>
      </c>
      <c r="D3228" t="s">
        <v>2600</v>
      </c>
      <c r="E3228" t="str">
        <f>"00052430"</f>
        <v>00052430</v>
      </c>
      <c r="F3228">
        <v>0</v>
      </c>
      <c r="G3228" s="243">
        <v>37124</v>
      </c>
      <c r="H3228" t="s">
        <v>182</v>
      </c>
      <c r="I3228">
        <v>15</v>
      </c>
      <c r="J3228">
        <v>15</v>
      </c>
      <c r="K3228">
        <v>1</v>
      </c>
      <c r="L3228">
        <v>103985</v>
      </c>
      <c r="M3228" t="str">
        <f t="shared" si="467"/>
        <v>13</v>
      </c>
      <c r="N3228" t="s">
        <v>3323</v>
      </c>
      <c r="O3228" t="str">
        <f t="shared" si="465"/>
        <v>60711</v>
      </c>
      <c r="P3228" t="str">
        <f t="shared" si="468"/>
        <v>2100L</v>
      </c>
      <c r="Q3228" t="str">
        <f t="shared" si="462"/>
        <v>0101</v>
      </c>
      <c r="R3228">
        <v>2100</v>
      </c>
      <c r="S3228" t="str">
        <f t="shared" si="466"/>
        <v>6070</v>
      </c>
      <c r="T3228" t="s">
        <v>3760</v>
      </c>
      <c r="U3228" t="s">
        <v>72</v>
      </c>
    </row>
    <row r="3229" spans="1:21" ht="15" customHeight="1" x14ac:dyDescent="0.3">
      <c r="A3229" t="s">
        <v>179</v>
      </c>
      <c r="B3229" t="str">
        <f>"00058423"</f>
        <v>00058423</v>
      </c>
      <c r="C3229" t="s">
        <v>4258</v>
      </c>
      <c r="D3229" t="s">
        <v>5275</v>
      </c>
      <c r="E3229" t="str">
        <f>"00049163"</f>
        <v>00049163</v>
      </c>
      <c r="F3229">
        <v>0</v>
      </c>
      <c r="G3229" s="243">
        <v>41146</v>
      </c>
      <c r="H3229" t="s">
        <v>182</v>
      </c>
      <c r="I3229">
        <v>15</v>
      </c>
      <c r="J3229">
        <v>12</v>
      </c>
      <c r="K3229">
        <v>1</v>
      </c>
      <c r="L3229">
        <v>89887</v>
      </c>
      <c r="M3229" t="str">
        <f t="shared" si="467"/>
        <v>13</v>
      </c>
      <c r="N3229" t="s">
        <v>3323</v>
      </c>
      <c r="O3229" t="str">
        <f t="shared" si="465"/>
        <v>60711</v>
      </c>
      <c r="P3229" t="str">
        <f t="shared" si="468"/>
        <v>2100L</v>
      </c>
      <c r="Q3229" t="str">
        <f t="shared" si="462"/>
        <v>0101</v>
      </c>
      <c r="R3229">
        <v>2100</v>
      </c>
      <c r="S3229" t="str">
        <f t="shared" si="466"/>
        <v>6070</v>
      </c>
      <c r="T3229" t="s">
        <v>3760</v>
      </c>
      <c r="U3229" t="s">
        <v>72</v>
      </c>
    </row>
    <row r="3230" spans="1:21" ht="15" customHeight="1" x14ac:dyDescent="0.3">
      <c r="A3230" t="s">
        <v>179</v>
      </c>
      <c r="B3230" t="str">
        <f>"00058613"</f>
        <v>00058613</v>
      </c>
      <c r="C3230" t="s">
        <v>4372</v>
      </c>
      <c r="H3230" t="s">
        <v>170</v>
      </c>
      <c r="I3230">
        <v>4</v>
      </c>
      <c r="J3230">
        <v>1</v>
      </c>
      <c r="K3230">
        <v>1</v>
      </c>
      <c r="L3230">
        <v>27254</v>
      </c>
      <c r="M3230" t="str">
        <f t="shared" si="467"/>
        <v>13</v>
      </c>
      <c r="N3230" t="s">
        <v>3370</v>
      </c>
      <c r="O3230" t="str">
        <f t="shared" si="465"/>
        <v>60711</v>
      </c>
      <c r="P3230" t="str">
        <f t="shared" si="468"/>
        <v>2100L</v>
      </c>
      <c r="Q3230" t="str">
        <f t="shared" si="462"/>
        <v>0101</v>
      </c>
      <c r="R3230">
        <v>2100</v>
      </c>
      <c r="S3230" t="str">
        <f t="shared" si="466"/>
        <v>6070</v>
      </c>
      <c r="T3230" t="s">
        <v>3760</v>
      </c>
      <c r="U3230" t="s">
        <v>72</v>
      </c>
    </row>
    <row r="3231" spans="1:21" ht="15" customHeight="1" x14ac:dyDescent="0.3">
      <c r="A3231" t="s">
        <v>179</v>
      </c>
      <c r="B3231" t="str">
        <f>"00058921"</f>
        <v>00058921</v>
      </c>
      <c r="C3231" t="s">
        <v>4262</v>
      </c>
      <c r="D3231" t="s">
        <v>2601</v>
      </c>
      <c r="E3231" t="str">
        <f>"00047274"</f>
        <v>00047274</v>
      </c>
      <c r="F3231">
        <v>0</v>
      </c>
      <c r="G3231" s="243">
        <v>37496</v>
      </c>
      <c r="H3231" t="s">
        <v>182</v>
      </c>
      <c r="I3231">
        <v>15</v>
      </c>
      <c r="J3231">
        <v>15</v>
      </c>
      <c r="K3231">
        <v>1</v>
      </c>
      <c r="L3231">
        <v>98285</v>
      </c>
      <c r="M3231" t="str">
        <f t="shared" si="467"/>
        <v>13</v>
      </c>
      <c r="N3231" t="s">
        <v>3323</v>
      </c>
      <c r="O3231" t="str">
        <f t="shared" si="465"/>
        <v>60711</v>
      </c>
      <c r="P3231" t="str">
        <f t="shared" si="468"/>
        <v>2100L</v>
      </c>
      <c r="Q3231" t="str">
        <f t="shared" ref="Q3231:Q3286" si="469">"0101"</f>
        <v>0101</v>
      </c>
      <c r="R3231">
        <v>2100</v>
      </c>
      <c r="S3231" t="str">
        <f t="shared" si="466"/>
        <v>6070</v>
      </c>
      <c r="T3231" t="s">
        <v>3760</v>
      </c>
      <c r="U3231" t="s">
        <v>72</v>
      </c>
    </row>
    <row r="3232" spans="1:21" ht="15" customHeight="1" x14ac:dyDescent="0.3">
      <c r="A3232" t="s">
        <v>179</v>
      </c>
      <c r="B3232" t="str">
        <f>"00059227"</f>
        <v>00059227</v>
      </c>
      <c r="C3232" t="s">
        <v>4262</v>
      </c>
      <c r="D3232" t="s">
        <v>3769</v>
      </c>
      <c r="E3232" t="str">
        <f>"00066152"</f>
        <v>00066152</v>
      </c>
      <c r="F3232">
        <v>0</v>
      </c>
      <c r="G3232" s="243">
        <v>40755</v>
      </c>
      <c r="H3232" t="s">
        <v>182</v>
      </c>
      <c r="I3232">
        <v>15</v>
      </c>
      <c r="J3232">
        <v>2</v>
      </c>
      <c r="K3232">
        <v>1</v>
      </c>
      <c r="L3232">
        <v>51716</v>
      </c>
      <c r="M3232" t="str">
        <f t="shared" si="467"/>
        <v>13</v>
      </c>
      <c r="N3232" t="s">
        <v>3323</v>
      </c>
      <c r="O3232" t="str">
        <f t="shared" si="465"/>
        <v>60711</v>
      </c>
      <c r="P3232" t="str">
        <f t="shared" si="468"/>
        <v>2100L</v>
      </c>
      <c r="Q3232" t="str">
        <f t="shared" si="469"/>
        <v>0101</v>
      </c>
      <c r="R3232">
        <v>2100</v>
      </c>
      <c r="S3232" t="str">
        <f t="shared" si="466"/>
        <v>6070</v>
      </c>
      <c r="T3232" t="s">
        <v>3760</v>
      </c>
      <c r="U3232" t="s">
        <v>72</v>
      </c>
    </row>
    <row r="3233" spans="1:21" ht="15" customHeight="1" x14ac:dyDescent="0.3">
      <c r="A3233" t="s">
        <v>179</v>
      </c>
      <c r="B3233" t="str">
        <f>"00059585"</f>
        <v>00059585</v>
      </c>
      <c r="C3233" t="s">
        <v>4272</v>
      </c>
      <c r="D3233" t="s">
        <v>2602</v>
      </c>
      <c r="E3233" t="str">
        <f>"00062742"</f>
        <v>00062742</v>
      </c>
      <c r="F3233">
        <v>0</v>
      </c>
      <c r="G3233" s="243">
        <v>40406</v>
      </c>
      <c r="H3233" t="s">
        <v>182</v>
      </c>
      <c r="I3233">
        <v>15</v>
      </c>
      <c r="J3233">
        <v>3</v>
      </c>
      <c r="K3233">
        <v>1</v>
      </c>
      <c r="L3233">
        <v>55210</v>
      </c>
      <c r="M3233" t="str">
        <f t="shared" si="467"/>
        <v>13</v>
      </c>
      <c r="N3233" t="s">
        <v>3323</v>
      </c>
      <c r="O3233" t="str">
        <f t="shared" si="465"/>
        <v>60711</v>
      </c>
      <c r="P3233" t="str">
        <f t="shared" si="468"/>
        <v>2100L</v>
      </c>
      <c r="Q3233" t="str">
        <f t="shared" si="469"/>
        <v>0101</v>
      </c>
      <c r="R3233">
        <v>2100</v>
      </c>
      <c r="S3233" t="str">
        <f t="shared" si="466"/>
        <v>6070</v>
      </c>
      <c r="T3233" t="s">
        <v>3760</v>
      </c>
      <c r="U3233" t="s">
        <v>72</v>
      </c>
    </row>
    <row r="3234" spans="1:21" ht="15" customHeight="1" x14ac:dyDescent="0.3">
      <c r="A3234" t="s">
        <v>179</v>
      </c>
      <c r="B3234" t="str">
        <f>"00059929"</f>
        <v>00059929</v>
      </c>
      <c r="C3234" t="s">
        <v>4266</v>
      </c>
      <c r="D3234" t="s">
        <v>2603</v>
      </c>
      <c r="E3234" t="str">
        <f>"00047081"</f>
        <v>00047081</v>
      </c>
      <c r="F3234">
        <v>0</v>
      </c>
      <c r="G3234" s="243">
        <v>38240</v>
      </c>
      <c r="H3234" t="s">
        <v>182</v>
      </c>
      <c r="I3234">
        <v>15</v>
      </c>
      <c r="J3234">
        <v>14</v>
      </c>
      <c r="K3234">
        <v>1</v>
      </c>
      <c r="L3234">
        <v>96460</v>
      </c>
      <c r="M3234" t="str">
        <f t="shared" si="467"/>
        <v>13</v>
      </c>
      <c r="N3234" t="s">
        <v>3323</v>
      </c>
      <c r="O3234" t="str">
        <f t="shared" si="465"/>
        <v>60711</v>
      </c>
      <c r="P3234" t="str">
        <f>"2300L"</f>
        <v>2300L</v>
      </c>
      <c r="Q3234" t="str">
        <f t="shared" si="469"/>
        <v>0101</v>
      </c>
      <c r="R3234">
        <v>2300</v>
      </c>
      <c r="S3234" t="str">
        <f t="shared" si="466"/>
        <v>6070</v>
      </c>
      <c r="T3234" t="s">
        <v>3760</v>
      </c>
      <c r="U3234" t="s">
        <v>72</v>
      </c>
    </row>
    <row r="3235" spans="1:21" ht="15" customHeight="1" x14ac:dyDescent="0.3">
      <c r="A3235" t="s">
        <v>179</v>
      </c>
      <c r="B3235" t="str">
        <f>"00060244"</f>
        <v>00060244</v>
      </c>
      <c r="C3235" t="s">
        <v>3798</v>
      </c>
      <c r="D3235" t="s">
        <v>2604</v>
      </c>
      <c r="E3235" t="str">
        <f>"00062939"</f>
        <v>00062939</v>
      </c>
      <c r="F3235">
        <v>0</v>
      </c>
      <c r="G3235" s="243">
        <v>40392</v>
      </c>
      <c r="H3235" t="s">
        <v>182</v>
      </c>
      <c r="I3235">
        <v>62</v>
      </c>
      <c r="J3235">
        <v>4</v>
      </c>
      <c r="K3235">
        <v>1</v>
      </c>
      <c r="L3235">
        <v>118000</v>
      </c>
      <c r="M3235" t="str">
        <f t="shared" si="467"/>
        <v>13</v>
      </c>
      <c r="N3235" t="s">
        <v>3323</v>
      </c>
      <c r="O3235" t="str">
        <f t="shared" si="465"/>
        <v>60711</v>
      </c>
      <c r="P3235" t="str">
        <f>"1501L"</f>
        <v>1501L</v>
      </c>
      <c r="Q3235" t="str">
        <f t="shared" si="469"/>
        <v>0101</v>
      </c>
      <c r="R3235">
        <v>1501</v>
      </c>
      <c r="S3235" t="str">
        <f t="shared" si="466"/>
        <v>6070</v>
      </c>
      <c r="T3235" t="s">
        <v>3760</v>
      </c>
      <c r="U3235" t="s">
        <v>72</v>
      </c>
    </row>
    <row r="3236" spans="1:21" ht="15" customHeight="1" x14ac:dyDescent="0.3">
      <c r="A3236" t="s">
        <v>179</v>
      </c>
      <c r="B3236" t="str">
        <f>"00060330"</f>
        <v>00060330</v>
      </c>
      <c r="C3236" t="s">
        <v>4262</v>
      </c>
      <c r="D3236" t="s">
        <v>3766</v>
      </c>
      <c r="E3236" t="str">
        <f>"00064394"</f>
        <v>00064394</v>
      </c>
      <c r="F3236">
        <v>0</v>
      </c>
      <c r="G3236" s="243">
        <v>40546</v>
      </c>
      <c r="H3236" t="s">
        <v>182</v>
      </c>
      <c r="I3236">
        <v>15</v>
      </c>
      <c r="J3236">
        <v>2</v>
      </c>
      <c r="K3236">
        <v>1</v>
      </c>
      <c r="L3236">
        <v>51716</v>
      </c>
      <c r="M3236" t="str">
        <f t="shared" si="467"/>
        <v>13</v>
      </c>
      <c r="N3236" t="s">
        <v>3323</v>
      </c>
      <c r="O3236" t="str">
        <f t="shared" si="465"/>
        <v>60711</v>
      </c>
      <c r="P3236" t="str">
        <f>"2100L"</f>
        <v>2100L</v>
      </c>
      <c r="Q3236" t="str">
        <f t="shared" si="469"/>
        <v>0101</v>
      </c>
      <c r="R3236">
        <v>2100</v>
      </c>
      <c r="S3236" t="str">
        <f t="shared" si="466"/>
        <v>6070</v>
      </c>
      <c r="T3236" t="s">
        <v>3760</v>
      </c>
      <c r="U3236" t="s">
        <v>72</v>
      </c>
    </row>
    <row r="3237" spans="1:21" ht="15" customHeight="1" x14ac:dyDescent="0.3">
      <c r="A3237" t="s">
        <v>179</v>
      </c>
      <c r="B3237" t="str">
        <f>"00060699"</f>
        <v>00060699</v>
      </c>
      <c r="C3237" t="s">
        <v>4288</v>
      </c>
      <c r="D3237" t="s">
        <v>5276</v>
      </c>
      <c r="E3237" t="str">
        <f>"00047093"</f>
        <v>00047093</v>
      </c>
      <c r="F3237">
        <v>0</v>
      </c>
      <c r="G3237" s="243">
        <v>39139</v>
      </c>
      <c r="H3237" t="s">
        <v>182</v>
      </c>
      <c r="I3237">
        <v>4</v>
      </c>
      <c r="J3237">
        <v>4</v>
      </c>
      <c r="K3237">
        <v>0.875</v>
      </c>
      <c r="L3237">
        <v>24543.75</v>
      </c>
      <c r="M3237" t="str">
        <f t="shared" si="467"/>
        <v>13</v>
      </c>
      <c r="N3237" t="s">
        <v>3323</v>
      </c>
      <c r="O3237" t="str">
        <f t="shared" si="465"/>
        <v>60711</v>
      </c>
      <c r="P3237" t="str">
        <f>"2200L"</f>
        <v>2200L</v>
      </c>
      <c r="Q3237" t="str">
        <f t="shared" si="469"/>
        <v>0101</v>
      </c>
      <c r="R3237">
        <v>2200</v>
      </c>
      <c r="S3237" t="str">
        <f t="shared" si="466"/>
        <v>6070</v>
      </c>
      <c r="T3237" t="s">
        <v>3760</v>
      </c>
      <c r="U3237" t="s">
        <v>72</v>
      </c>
    </row>
    <row r="3238" spans="1:21" ht="15" customHeight="1" x14ac:dyDescent="0.3">
      <c r="A3238" t="s">
        <v>179</v>
      </c>
      <c r="B3238" t="str">
        <f>"00060852"</f>
        <v>00060852</v>
      </c>
      <c r="C3238" t="s">
        <v>3670</v>
      </c>
      <c r="D3238" t="s">
        <v>2605</v>
      </c>
      <c r="E3238" t="str">
        <f>"00043786"</f>
        <v>00043786</v>
      </c>
      <c r="F3238">
        <v>0</v>
      </c>
      <c r="G3238" s="243">
        <v>39834</v>
      </c>
      <c r="H3238" t="s">
        <v>182</v>
      </c>
      <c r="I3238">
        <v>8</v>
      </c>
      <c r="J3238">
        <v>2</v>
      </c>
      <c r="K3238">
        <v>1</v>
      </c>
      <c r="L3238">
        <v>84746</v>
      </c>
      <c r="M3238" t="str">
        <f t="shared" si="467"/>
        <v>13</v>
      </c>
      <c r="N3238" t="s">
        <v>3323</v>
      </c>
      <c r="O3238" t="str">
        <f t="shared" si="465"/>
        <v>60711</v>
      </c>
      <c r="P3238" t="str">
        <f>"1501L"</f>
        <v>1501L</v>
      </c>
      <c r="Q3238" t="str">
        <f t="shared" si="469"/>
        <v>0101</v>
      </c>
      <c r="R3238">
        <v>1501</v>
      </c>
      <c r="S3238" t="str">
        <f t="shared" si="466"/>
        <v>6070</v>
      </c>
      <c r="T3238" t="s">
        <v>3760</v>
      </c>
      <c r="U3238" t="s">
        <v>72</v>
      </c>
    </row>
    <row r="3239" spans="1:21" ht="15" customHeight="1" x14ac:dyDescent="0.3">
      <c r="A3239" t="s">
        <v>179</v>
      </c>
      <c r="B3239" t="str">
        <f>"00061104"</f>
        <v>00061104</v>
      </c>
      <c r="C3239" t="s">
        <v>4262</v>
      </c>
      <c r="D3239" t="s">
        <v>5277</v>
      </c>
      <c r="E3239" t="str">
        <f>"00070118"</f>
        <v>00070118</v>
      </c>
      <c r="F3239">
        <v>0</v>
      </c>
      <c r="G3239" s="243">
        <v>41133</v>
      </c>
      <c r="H3239" t="s">
        <v>182</v>
      </c>
      <c r="I3239">
        <v>15</v>
      </c>
      <c r="J3239">
        <v>1</v>
      </c>
      <c r="K3239">
        <v>1</v>
      </c>
      <c r="L3239">
        <v>51539</v>
      </c>
      <c r="M3239" t="str">
        <f t="shared" si="467"/>
        <v>13</v>
      </c>
      <c r="N3239" t="s">
        <v>3370</v>
      </c>
      <c r="O3239" t="str">
        <f t="shared" si="465"/>
        <v>60711</v>
      </c>
      <c r="P3239" t="str">
        <f>"2100L"</f>
        <v>2100L</v>
      </c>
      <c r="Q3239" t="str">
        <f t="shared" si="469"/>
        <v>0101</v>
      </c>
      <c r="R3239">
        <v>2100</v>
      </c>
      <c r="S3239" t="str">
        <f t="shared" si="466"/>
        <v>6070</v>
      </c>
      <c r="T3239" t="s">
        <v>3760</v>
      </c>
      <c r="U3239" t="s">
        <v>72</v>
      </c>
    </row>
    <row r="3240" spans="1:21" ht="15" customHeight="1" x14ac:dyDescent="0.3">
      <c r="A3240" t="s">
        <v>179</v>
      </c>
      <c r="B3240" t="str">
        <f>"00061224"</f>
        <v>00061224</v>
      </c>
      <c r="C3240" t="s">
        <v>4271</v>
      </c>
      <c r="D3240" t="s">
        <v>5278</v>
      </c>
      <c r="E3240" t="str">
        <f>"00045772"</f>
        <v>00045772</v>
      </c>
      <c r="F3240">
        <v>0</v>
      </c>
      <c r="G3240" s="243">
        <v>39314</v>
      </c>
      <c r="H3240" t="s">
        <v>182</v>
      </c>
      <c r="I3240">
        <v>15</v>
      </c>
      <c r="J3240">
        <v>8</v>
      </c>
      <c r="K3240">
        <v>1</v>
      </c>
      <c r="L3240">
        <v>77101</v>
      </c>
      <c r="M3240" t="str">
        <f t="shared" si="467"/>
        <v>13</v>
      </c>
      <c r="N3240" t="s">
        <v>3323</v>
      </c>
      <c r="O3240" t="str">
        <f t="shared" si="465"/>
        <v>60711</v>
      </c>
      <c r="P3240" t="str">
        <f>"3030L"</f>
        <v>3030L</v>
      </c>
      <c r="Q3240" t="str">
        <f t="shared" si="469"/>
        <v>0101</v>
      </c>
      <c r="R3240">
        <v>3030</v>
      </c>
      <c r="S3240" t="str">
        <f t="shared" si="466"/>
        <v>6070</v>
      </c>
      <c r="T3240" t="s">
        <v>3760</v>
      </c>
      <c r="U3240" t="s">
        <v>72</v>
      </c>
    </row>
    <row r="3241" spans="1:21" ht="15" customHeight="1" x14ac:dyDescent="0.3">
      <c r="A3241" t="s">
        <v>179</v>
      </c>
      <c r="B3241" t="str">
        <f>"00061296"</f>
        <v>00061296</v>
      </c>
      <c r="C3241" t="s">
        <v>4260</v>
      </c>
      <c r="D3241" t="s">
        <v>2606</v>
      </c>
      <c r="E3241" t="str">
        <f>"00048128"</f>
        <v>00048128</v>
      </c>
      <c r="F3241">
        <v>0</v>
      </c>
      <c r="G3241" s="243">
        <v>39314</v>
      </c>
      <c r="H3241" t="s">
        <v>182</v>
      </c>
      <c r="I3241">
        <v>15</v>
      </c>
      <c r="J3241">
        <v>10</v>
      </c>
      <c r="K3241">
        <v>1</v>
      </c>
      <c r="L3241">
        <v>78273</v>
      </c>
      <c r="M3241" t="str">
        <f t="shared" si="467"/>
        <v>13</v>
      </c>
      <c r="N3241" t="s">
        <v>3323</v>
      </c>
      <c r="O3241" t="str">
        <f t="shared" si="465"/>
        <v>60711</v>
      </c>
      <c r="P3241" t="str">
        <f>"3030L"</f>
        <v>3030L</v>
      </c>
      <c r="Q3241" t="str">
        <f t="shared" si="469"/>
        <v>0101</v>
      </c>
      <c r="R3241">
        <v>3030</v>
      </c>
      <c r="S3241" t="str">
        <f t="shared" si="466"/>
        <v>6070</v>
      </c>
      <c r="T3241" t="s">
        <v>3760</v>
      </c>
      <c r="U3241" t="s">
        <v>72</v>
      </c>
    </row>
    <row r="3242" spans="1:21" ht="15" customHeight="1" x14ac:dyDescent="0.3">
      <c r="A3242" t="s">
        <v>179</v>
      </c>
      <c r="B3242" t="str">
        <f>"00061921"</f>
        <v>00061921</v>
      </c>
      <c r="C3242" t="s">
        <v>4262</v>
      </c>
      <c r="D3242" t="s">
        <v>2607</v>
      </c>
      <c r="E3242" t="str">
        <f>"00062691"</f>
        <v>00062691</v>
      </c>
      <c r="F3242">
        <v>0</v>
      </c>
      <c r="G3242" s="243">
        <v>40406</v>
      </c>
      <c r="H3242" t="s">
        <v>182</v>
      </c>
      <c r="I3242">
        <v>15</v>
      </c>
      <c r="J3242">
        <v>5</v>
      </c>
      <c r="K3242">
        <v>1</v>
      </c>
      <c r="L3242">
        <v>63611</v>
      </c>
      <c r="M3242" t="str">
        <f t="shared" si="467"/>
        <v>13</v>
      </c>
      <c r="N3242" t="s">
        <v>3323</v>
      </c>
      <c r="O3242" t="str">
        <f t="shared" si="465"/>
        <v>60711</v>
      </c>
      <c r="P3242" t="str">
        <f>"2100L"</f>
        <v>2100L</v>
      </c>
      <c r="Q3242" t="str">
        <f t="shared" si="469"/>
        <v>0101</v>
      </c>
      <c r="R3242">
        <v>2100</v>
      </c>
      <c r="S3242" t="str">
        <f t="shared" si="466"/>
        <v>6070</v>
      </c>
      <c r="T3242" t="s">
        <v>3760</v>
      </c>
      <c r="U3242" t="s">
        <v>72</v>
      </c>
    </row>
    <row r="3243" spans="1:21" ht="15" customHeight="1" x14ac:dyDescent="0.3">
      <c r="A3243" t="s">
        <v>179</v>
      </c>
      <c r="B3243" t="str">
        <f>"00061973"</f>
        <v>00061973</v>
      </c>
      <c r="C3243" t="s">
        <v>4260</v>
      </c>
      <c r="D3243" t="s">
        <v>5279</v>
      </c>
      <c r="E3243" t="str">
        <f>"00069593"</f>
        <v>00069593</v>
      </c>
      <c r="F3243">
        <v>0</v>
      </c>
      <c r="G3243" s="243">
        <v>41133</v>
      </c>
      <c r="H3243" t="s">
        <v>182</v>
      </c>
      <c r="I3243">
        <v>15</v>
      </c>
      <c r="J3243">
        <v>1</v>
      </c>
      <c r="K3243">
        <v>1</v>
      </c>
      <c r="L3243">
        <v>51539</v>
      </c>
      <c r="M3243" t="str">
        <f t="shared" si="467"/>
        <v>13</v>
      </c>
      <c r="N3243" t="s">
        <v>3370</v>
      </c>
      <c r="O3243" t="str">
        <f t="shared" si="465"/>
        <v>60711</v>
      </c>
      <c r="P3243" t="str">
        <f>"3030L"</f>
        <v>3030L</v>
      </c>
      <c r="Q3243" t="str">
        <f t="shared" si="469"/>
        <v>0101</v>
      </c>
      <c r="R3243">
        <v>3030</v>
      </c>
      <c r="S3243" t="str">
        <f t="shared" si="466"/>
        <v>6070</v>
      </c>
      <c r="T3243" t="s">
        <v>3760</v>
      </c>
      <c r="U3243" t="s">
        <v>72</v>
      </c>
    </row>
    <row r="3244" spans="1:21" ht="15" customHeight="1" x14ac:dyDescent="0.3">
      <c r="A3244" t="s">
        <v>179</v>
      </c>
      <c r="B3244" t="str">
        <f>"00061974"</f>
        <v>00061974</v>
      </c>
      <c r="C3244" t="s">
        <v>4257</v>
      </c>
      <c r="D3244" t="s">
        <v>2609</v>
      </c>
      <c r="E3244" t="str">
        <f>"00048976"</f>
        <v>00048976</v>
      </c>
      <c r="F3244">
        <v>0</v>
      </c>
      <c r="G3244" s="243">
        <v>39679</v>
      </c>
      <c r="H3244" t="s">
        <v>182</v>
      </c>
      <c r="I3244">
        <v>15</v>
      </c>
      <c r="J3244">
        <v>9</v>
      </c>
      <c r="K3244">
        <v>1</v>
      </c>
      <c r="L3244">
        <v>65985</v>
      </c>
      <c r="M3244" t="str">
        <f t="shared" si="467"/>
        <v>13</v>
      </c>
      <c r="N3244" t="s">
        <v>3323</v>
      </c>
      <c r="O3244" t="str">
        <f t="shared" si="465"/>
        <v>60711</v>
      </c>
      <c r="P3244" t="str">
        <f>"2100L"</f>
        <v>2100L</v>
      </c>
      <c r="Q3244" t="str">
        <f t="shared" si="469"/>
        <v>0101</v>
      </c>
      <c r="R3244">
        <v>2100</v>
      </c>
      <c r="S3244" t="str">
        <f t="shared" si="466"/>
        <v>6070</v>
      </c>
      <c r="T3244" t="s">
        <v>3760</v>
      </c>
      <c r="U3244" t="s">
        <v>72</v>
      </c>
    </row>
    <row r="3245" spans="1:21" ht="15" customHeight="1" x14ac:dyDescent="0.3">
      <c r="A3245" t="s">
        <v>179</v>
      </c>
      <c r="B3245" t="str">
        <f>"00061978"</f>
        <v>00061978</v>
      </c>
      <c r="C3245" t="s">
        <v>4254</v>
      </c>
      <c r="D3245" t="s">
        <v>3762</v>
      </c>
      <c r="E3245" t="str">
        <f>"00066332"</f>
        <v>00066332</v>
      </c>
      <c r="F3245">
        <v>0</v>
      </c>
      <c r="G3245" s="243">
        <v>40777</v>
      </c>
      <c r="H3245" t="s">
        <v>182</v>
      </c>
      <c r="I3245">
        <v>15</v>
      </c>
      <c r="J3245">
        <v>2</v>
      </c>
      <c r="K3245">
        <v>1</v>
      </c>
      <c r="L3245">
        <v>51716</v>
      </c>
      <c r="M3245" t="str">
        <f t="shared" si="467"/>
        <v>13</v>
      </c>
      <c r="N3245" t="s">
        <v>3323</v>
      </c>
      <c r="O3245" t="str">
        <f t="shared" si="465"/>
        <v>60711</v>
      </c>
      <c r="P3245" t="str">
        <f>"2300L"</f>
        <v>2300L</v>
      </c>
      <c r="Q3245" t="str">
        <f t="shared" si="469"/>
        <v>0101</v>
      </c>
      <c r="R3245">
        <v>2300</v>
      </c>
      <c r="S3245" t="str">
        <f t="shared" si="466"/>
        <v>6070</v>
      </c>
      <c r="T3245" t="s">
        <v>3760</v>
      </c>
      <c r="U3245" t="s">
        <v>72</v>
      </c>
    </row>
    <row r="3246" spans="1:21" ht="15" customHeight="1" x14ac:dyDescent="0.3">
      <c r="A3246" t="s">
        <v>179</v>
      </c>
      <c r="B3246" t="str">
        <f>"00062014"</f>
        <v>00062014</v>
      </c>
      <c r="C3246" t="s">
        <v>4266</v>
      </c>
      <c r="D3246" t="s">
        <v>3768</v>
      </c>
      <c r="E3246" t="str">
        <f>"00067428"</f>
        <v>00067428</v>
      </c>
      <c r="F3246">
        <v>0</v>
      </c>
      <c r="G3246" s="243">
        <v>40911</v>
      </c>
      <c r="H3246" t="s">
        <v>182</v>
      </c>
      <c r="I3246">
        <v>15</v>
      </c>
      <c r="J3246">
        <v>1</v>
      </c>
      <c r="K3246">
        <v>1</v>
      </c>
      <c r="L3246">
        <v>51539</v>
      </c>
      <c r="M3246" t="str">
        <f t="shared" si="467"/>
        <v>13</v>
      </c>
      <c r="N3246" t="s">
        <v>3323</v>
      </c>
      <c r="O3246" t="str">
        <f t="shared" si="465"/>
        <v>60711</v>
      </c>
      <c r="P3246" t="str">
        <f>"2300L"</f>
        <v>2300L</v>
      </c>
      <c r="Q3246" t="str">
        <f t="shared" si="469"/>
        <v>0101</v>
      </c>
      <c r="R3246">
        <v>2300</v>
      </c>
      <c r="S3246" t="str">
        <f t="shared" si="466"/>
        <v>6070</v>
      </c>
      <c r="T3246" t="s">
        <v>3760</v>
      </c>
      <c r="U3246" t="s">
        <v>72</v>
      </c>
    </row>
    <row r="3247" spans="1:21" ht="15" customHeight="1" x14ac:dyDescent="0.3">
      <c r="A3247" t="s">
        <v>179</v>
      </c>
      <c r="B3247" t="str">
        <f>"00062074"</f>
        <v>00062074</v>
      </c>
      <c r="C3247" t="s">
        <v>4272</v>
      </c>
      <c r="D3247" t="s">
        <v>5280</v>
      </c>
      <c r="E3247" t="str">
        <f>"00069656"</f>
        <v>00069656</v>
      </c>
      <c r="F3247">
        <v>0</v>
      </c>
      <c r="G3247" s="243">
        <v>41133</v>
      </c>
      <c r="H3247" t="s">
        <v>182</v>
      </c>
      <c r="I3247">
        <v>15</v>
      </c>
      <c r="J3247">
        <v>6</v>
      </c>
      <c r="K3247">
        <v>1</v>
      </c>
      <c r="L3247">
        <v>66078</v>
      </c>
      <c r="M3247" t="str">
        <f t="shared" si="467"/>
        <v>13</v>
      </c>
      <c r="N3247" t="s">
        <v>3370</v>
      </c>
      <c r="O3247" t="str">
        <f t="shared" ref="O3247:O3273" si="470">"60711"</f>
        <v>60711</v>
      </c>
      <c r="P3247" t="str">
        <f>"2100L"</f>
        <v>2100L</v>
      </c>
      <c r="Q3247" t="str">
        <f t="shared" si="469"/>
        <v>0101</v>
      </c>
      <c r="R3247">
        <v>2100</v>
      </c>
      <c r="S3247" t="str">
        <f t="shared" ref="S3247:S3273" si="471">"6070"</f>
        <v>6070</v>
      </c>
      <c r="T3247" t="s">
        <v>3760</v>
      </c>
      <c r="U3247" t="s">
        <v>72</v>
      </c>
    </row>
    <row r="3248" spans="1:21" ht="15" customHeight="1" x14ac:dyDescent="0.3">
      <c r="A3248" t="s">
        <v>179</v>
      </c>
      <c r="B3248" t="str">
        <f>"00062172"</f>
        <v>00062172</v>
      </c>
      <c r="C3248" t="s">
        <v>4260</v>
      </c>
      <c r="D3248" t="s">
        <v>719</v>
      </c>
      <c r="E3248" t="str">
        <f>"00046769"</f>
        <v>00046769</v>
      </c>
      <c r="F3248">
        <v>0</v>
      </c>
      <c r="G3248" s="243">
        <v>34578</v>
      </c>
      <c r="H3248" t="s">
        <v>182</v>
      </c>
      <c r="I3248">
        <v>15</v>
      </c>
      <c r="J3248">
        <v>15</v>
      </c>
      <c r="K3248">
        <v>1</v>
      </c>
      <c r="L3248">
        <v>103985</v>
      </c>
      <c r="M3248" t="str">
        <f t="shared" si="467"/>
        <v>13</v>
      </c>
      <c r="N3248" t="s">
        <v>3370</v>
      </c>
      <c r="O3248" t="str">
        <f t="shared" si="470"/>
        <v>60711</v>
      </c>
      <c r="P3248" t="str">
        <f>"2100L"</f>
        <v>2100L</v>
      </c>
      <c r="Q3248" t="str">
        <f t="shared" si="469"/>
        <v>0101</v>
      </c>
      <c r="R3248">
        <v>2100</v>
      </c>
      <c r="S3248" t="str">
        <f t="shared" si="471"/>
        <v>6070</v>
      </c>
      <c r="T3248" t="s">
        <v>3760</v>
      </c>
      <c r="U3248" t="s">
        <v>72</v>
      </c>
    </row>
    <row r="3249" spans="1:21" ht="15" customHeight="1" x14ac:dyDescent="0.3">
      <c r="A3249" t="s">
        <v>179</v>
      </c>
      <c r="B3249" t="str">
        <f>"00062260"</f>
        <v>00062260</v>
      </c>
      <c r="C3249" t="s">
        <v>4272</v>
      </c>
      <c r="D3249" t="s">
        <v>2610</v>
      </c>
      <c r="E3249" t="str">
        <f>"00062700"</f>
        <v>00062700</v>
      </c>
      <c r="F3249">
        <v>0</v>
      </c>
      <c r="G3249" s="243">
        <v>40406</v>
      </c>
      <c r="H3249" t="s">
        <v>182</v>
      </c>
      <c r="I3249">
        <v>15</v>
      </c>
      <c r="J3249">
        <v>3</v>
      </c>
      <c r="K3249">
        <v>1</v>
      </c>
      <c r="L3249">
        <v>58699</v>
      </c>
      <c r="M3249" t="str">
        <f t="shared" si="467"/>
        <v>13</v>
      </c>
      <c r="N3249" t="s">
        <v>3323</v>
      </c>
      <c r="O3249" t="str">
        <f t="shared" si="470"/>
        <v>60711</v>
      </c>
      <c r="P3249" t="str">
        <f>"2200L"</f>
        <v>2200L</v>
      </c>
      <c r="Q3249" t="str">
        <f t="shared" si="469"/>
        <v>0101</v>
      </c>
      <c r="R3249">
        <v>2200</v>
      </c>
      <c r="S3249" t="str">
        <f t="shared" si="471"/>
        <v>6070</v>
      </c>
      <c r="T3249" t="s">
        <v>3760</v>
      </c>
      <c r="U3249" t="s">
        <v>72</v>
      </c>
    </row>
    <row r="3250" spans="1:21" ht="15" customHeight="1" x14ac:dyDescent="0.3">
      <c r="A3250" t="s">
        <v>179</v>
      </c>
      <c r="B3250" t="str">
        <f>"00062450"</f>
        <v>00062450</v>
      </c>
      <c r="C3250" t="s">
        <v>4272</v>
      </c>
      <c r="D3250" t="s">
        <v>3767</v>
      </c>
      <c r="E3250" t="str">
        <f>"00065771"</f>
        <v>00065771</v>
      </c>
      <c r="F3250">
        <v>0</v>
      </c>
      <c r="G3250" s="243">
        <v>40755</v>
      </c>
      <c r="H3250" t="s">
        <v>182</v>
      </c>
      <c r="I3250">
        <v>15</v>
      </c>
      <c r="J3250">
        <v>2</v>
      </c>
      <c r="K3250">
        <v>1</v>
      </c>
      <c r="L3250">
        <v>51716</v>
      </c>
      <c r="M3250" t="str">
        <f t="shared" si="467"/>
        <v>13</v>
      </c>
      <c r="N3250" t="s">
        <v>3323</v>
      </c>
      <c r="O3250" t="str">
        <f t="shared" si="470"/>
        <v>60711</v>
      </c>
      <c r="P3250" t="str">
        <f t="shared" ref="P3250:P3258" si="472">"2100L"</f>
        <v>2100L</v>
      </c>
      <c r="Q3250" t="str">
        <f t="shared" si="469"/>
        <v>0101</v>
      </c>
      <c r="R3250">
        <v>2100</v>
      </c>
      <c r="S3250" t="str">
        <f t="shared" si="471"/>
        <v>6070</v>
      </c>
      <c r="T3250" t="s">
        <v>3760</v>
      </c>
      <c r="U3250" t="s">
        <v>72</v>
      </c>
    </row>
    <row r="3251" spans="1:21" ht="15" customHeight="1" x14ac:dyDescent="0.3">
      <c r="A3251" t="s">
        <v>179</v>
      </c>
      <c r="B3251" t="str">
        <f>"00062730"</f>
        <v>00062730</v>
      </c>
      <c r="C3251" t="s">
        <v>4262</v>
      </c>
      <c r="H3251" t="s">
        <v>170</v>
      </c>
      <c r="I3251">
        <v>15</v>
      </c>
      <c r="J3251">
        <v>1</v>
      </c>
      <c r="K3251">
        <v>1</v>
      </c>
      <c r="L3251">
        <v>53256</v>
      </c>
      <c r="M3251" t="str">
        <f t="shared" si="467"/>
        <v>13</v>
      </c>
      <c r="N3251" t="s">
        <v>3323</v>
      </c>
      <c r="O3251" t="str">
        <f t="shared" si="470"/>
        <v>60711</v>
      </c>
      <c r="P3251" t="str">
        <f t="shared" si="472"/>
        <v>2100L</v>
      </c>
      <c r="Q3251" t="str">
        <f t="shared" si="469"/>
        <v>0101</v>
      </c>
      <c r="R3251">
        <v>2100</v>
      </c>
      <c r="S3251" t="str">
        <f t="shared" si="471"/>
        <v>6070</v>
      </c>
      <c r="T3251" t="s">
        <v>3760</v>
      </c>
      <c r="U3251" t="s">
        <v>72</v>
      </c>
    </row>
    <row r="3252" spans="1:21" ht="15" customHeight="1" x14ac:dyDescent="0.3">
      <c r="A3252" t="s">
        <v>179</v>
      </c>
      <c r="B3252" t="str">
        <f>"00065816"</f>
        <v>00065816</v>
      </c>
      <c r="C3252" t="s">
        <v>4266</v>
      </c>
      <c r="D3252" t="s">
        <v>5281</v>
      </c>
      <c r="E3252" t="str">
        <f>"00069600"</f>
        <v>00069600</v>
      </c>
      <c r="F3252">
        <v>0</v>
      </c>
      <c r="G3252" s="243">
        <v>41133</v>
      </c>
      <c r="H3252" t="s">
        <v>182</v>
      </c>
      <c r="I3252">
        <v>15</v>
      </c>
      <c r="J3252">
        <v>1</v>
      </c>
      <c r="K3252">
        <v>1</v>
      </c>
      <c r="L3252">
        <v>54975</v>
      </c>
      <c r="M3252" t="str">
        <f t="shared" si="467"/>
        <v>13</v>
      </c>
      <c r="N3252" t="s">
        <v>3370</v>
      </c>
      <c r="O3252" t="str">
        <f t="shared" si="470"/>
        <v>60711</v>
      </c>
      <c r="P3252" t="str">
        <f t="shared" si="472"/>
        <v>2100L</v>
      </c>
      <c r="Q3252" t="str">
        <f t="shared" si="469"/>
        <v>0101</v>
      </c>
      <c r="R3252">
        <v>2100</v>
      </c>
      <c r="S3252" t="str">
        <f t="shared" si="471"/>
        <v>6070</v>
      </c>
      <c r="T3252" t="s">
        <v>3760</v>
      </c>
      <c r="U3252" t="s">
        <v>72</v>
      </c>
    </row>
    <row r="3253" spans="1:21" ht="15" customHeight="1" x14ac:dyDescent="0.3">
      <c r="A3253" t="s">
        <v>179</v>
      </c>
      <c r="B3253" t="str">
        <f>"00065817"</f>
        <v>00065817</v>
      </c>
      <c r="C3253" t="s">
        <v>4272</v>
      </c>
      <c r="D3253" t="s">
        <v>2612</v>
      </c>
      <c r="E3253" t="str">
        <f>"00057337"</f>
        <v>00057337</v>
      </c>
      <c r="F3253">
        <v>0</v>
      </c>
      <c r="G3253" s="243">
        <v>40042</v>
      </c>
      <c r="H3253" t="s">
        <v>182</v>
      </c>
      <c r="I3253">
        <v>15</v>
      </c>
      <c r="J3253">
        <v>6</v>
      </c>
      <c r="K3253">
        <v>1</v>
      </c>
      <c r="L3253">
        <v>66078</v>
      </c>
      <c r="M3253" t="str">
        <f t="shared" si="467"/>
        <v>13</v>
      </c>
      <c r="N3253" t="s">
        <v>3323</v>
      </c>
      <c r="O3253" t="str">
        <f t="shared" si="470"/>
        <v>60711</v>
      </c>
      <c r="P3253" t="str">
        <f t="shared" si="472"/>
        <v>2100L</v>
      </c>
      <c r="Q3253" t="str">
        <f t="shared" si="469"/>
        <v>0101</v>
      </c>
      <c r="R3253">
        <v>2100</v>
      </c>
      <c r="S3253" t="str">
        <f t="shared" si="471"/>
        <v>6070</v>
      </c>
      <c r="T3253" t="s">
        <v>3760</v>
      </c>
      <c r="U3253" t="s">
        <v>72</v>
      </c>
    </row>
    <row r="3254" spans="1:21" ht="15" customHeight="1" x14ac:dyDescent="0.3">
      <c r="A3254" t="s">
        <v>179</v>
      </c>
      <c r="B3254" t="str">
        <f>"00065819"</f>
        <v>00065819</v>
      </c>
      <c r="C3254" t="s">
        <v>4262</v>
      </c>
      <c r="D3254" t="s">
        <v>1295</v>
      </c>
      <c r="E3254" t="str">
        <f>"00052153"</f>
        <v>00052153</v>
      </c>
      <c r="F3254">
        <v>0</v>
      </c>
      <c r="G3254" s="243">
        <v>37124</v>
      </c>
      <c r="H3254" t="s">
        <v>182</v>
      </c>
      <c r="I3254">
        <v>15</v>
      </c>
      <c r="J3254">
        <v>12</v>
      </c>
      <c r="K3254">
        <v>1</v>
      </c>
      <c r="L3254">
        <v>87431</v>
      </c>
      <c r="M3254" t="str">
        <f t="shared" si="467"/>
        <v>13</v>
      </c>
      <c r="N3254" t="s">
        <v>3323</v>
      </c>
      <c r="O3254" t="str">
        <f t="shared" si="470"/>
        <v>60711</v>
      </c>
      <c r="P3254" t="str">
        <f t="shared" si="472"/>
        <v>2100L</v>
      </c>
      <c r="Q3254" t="str">
        <f t="shared" si="469"/>
        <v>0101</v>
      </c>
      <c r="R3254">
        <v>2100</v>
      </c>
      <c r="S3254" t="str">
        <f t="shared" si="471"/>
        <v>6070</v>
      </c>
      <c r="T3254" t="s">
        <v>3760</v>
      </c>
      <c r="U3254" t="s">
        <v>72</v>
      </c>
    </row>
    <row r="3255" spans="1:21" ht="15" customHeight="1" x14ac:dyDescent="0.3">
      <c r="A3255" t="s">
        <v>179</v>
      </c>
      <c r="B3255" t="str">
        <f>"00065820"</f>
        <v>00065820</v>
      </c>
      <c r="C3255" t="s">
        <v>4262</v>
      </c>
      <c r="D3255" t="s">
        <v>3763</v>
      </c>
      <c r="E3255" t="str">
        <f>"00066426"</f>
        <v>00066426</v>
      </c>
      <c r="F3255">
        <v>0</v>
      </c>
      <c r="G3255" s="243">
        <v>40755</v>
      </c>
      <c r="H3255" t="s">
        <v>182</v>
      </c>
      <c r="I3255">
        <v>15</v>
      </c>
      <c r="J3255">
        <v>2</v>
      </c>
      <c r="K3255">
        <v>1</v>
      </c>
      <c r="L3255">
        <v>58699</v>
      </c>
      <c r="M3255" t="str">
        <f t="shared" si="467"/>
        <v>13</v>
      </c>
      <c r="N3255" t="s">
        <v>3323</v>
      </c>
      <c r="O3255" t="str">
        <f t="shared" si="470"/>
        <v>60711</v>
      </c>
      <c r="P3255" t="str">
        <f t="shared" si="472"/>
        <v>2100L</v>
      </c>
      <c r="Q3255" t="str">
        <f t="shared" si="469"/>
        <v>0101</v>
      </c>
      <c r="R3255">
        <v>2100</v>
      </c>
      <c r="S3255" t="str">
        <f t="shared" si="471"/>
        <v>6070</v>
      </c>
      <c r="T3255" t="s">
        <v>3760</v>
      </c>
      <c r="U3255" t="s">
        <v>72</v>
      </c>
    </row>
    <row r="3256" spans="1:21" ht="15" customHeight="1" x14ac:dyDescent="0.3">
      <c r="A3256" t="s">
        <v>179</v>
      </c>
      <c r="B3256" t="str">
        <f>"00065821"</f>
        <v>00065821</v>
      </c>
      <c r="C3256" t="s">
        <v>4253</v>
      </c>
      <c r="D3256" t="s">
        <v>5282</v>
      </c>
      <c r="E3256" t="str">
        <f>"00069969"</f>
        <v>00069969</v>
      </c>
      <c r="F3256">
        <v>0</v>
      </c>
      <c r="G3256" s="243">
        <v>41133</v>
      </c>
      <c r="H3256" t="s">
        <v>182</v>
      </c>
      <c r="I3256">
        <v>15</v>
      </c>
      <c r="J3256">
        <v>1</v>
      </c>
      <c r="K3256">
        <v>1</v>
      </c>
      <c r="L3256">
        <v>51539</v>
      </c>
      <c r="M3256" t="str">
        <f t="shared" si="467"/>
        <v>13</v>
      </c>
      <c r="N3256" t="s">
        <v>3370</v>
      </c>
      <c r="O3256" t="str">
        <f t="shared" si="470"/>
        <v>60711</v>
      </c>
      <c r="P3256" t="str">
        <f t="shared" si="472"/>
        <v>2100L</v>
      </c>
      <c r="Q3256" t="str">
        <f t="shared" si="469"/>
        <v>0101</v>
      </c>
      <c r="R3256">
        <v>2100</v>
      </c>
      <c r="S3256" t="str">
        <f t="shared" si="471"/>
        <v>6070</v>
      </c>
      <c r="T3256" t="s">
        <v>3760</v>
      </c>
      <c r="U3256" t="s">
        <v>72</v>
      </c>
    </row>
    <row r="3257" spans="1:21" ht="15" customHeight="1" x14ac:dyDescent="0.3">
      <c r="A3257" t="s">
        <v>179</v>
      </c>
      <c r="B3257" t="str">
        <f>"00065822"</f>
        <v>00065822</v>
      </c>
      <c r="C3257" t="s">
        <v>4262</v>
      </c>
      <c r="D3257" t="s">
        <v>2614</v>
      </c>
      <c r="E3257" t="str">
        <f>"00057743"</f>
        <v>00057743</v>
      </c>
      <c r="F3257">
        <v>0</v>
      </c>
      <c r="G3257" s="243">
        <v>40042</v>
      </c>
      <c r="H3257" t="s">
        <v>182</v>
      </c>
      <c r="I3257">
        <v>15</v>
      </c>
      <c r="J3257">
        <v>3</v>
      </c>
      <c r="K3257">
        <v>1</v>
      </c>
      <c r="L3257">
        <v>58699</v>
      </c>
      <c r="M3257" t="str">
        <f t="shared" si="467"/>
        <v>13</v>
      </c>
      <c r="N3257" t="s">
        <v>3323</v>
      </c>
      <c r="O3257" t="str">
        <f t="shared" si="470"/>
        <v>60711</v>
      </c>
      <c r="P3257" t="str">
        <f t="shared" si="472"/>
        <v>2100L</v>
      </c>
      <c r="Q3257" t="str">
        <f t="shared" si="469"/>
        <v>0101</v>
      </c>
      <c r="R3257">
        <v>2100</v>
      </c>
      <c r="S3257" t="str">
        <f t="shared" si="471"/>
        <v>6070</v>
      </c>
      <c r="T3257" t="s">
        <v>3760</v>
      </c>
      <c r="U3257" t="s">
        <v>72</v>
      </c>
    </row>
    <row r="3258" spans="1:21" ht="15" customHeight="1" x14ac:dyDescent="0.3">
      <c r="A3258" t="s">
        <v>179</v>
      </c>
      <c r="B3258" t="str">
        <f>"00065824"</f>
        <v>00065824</v>
      </c>
      <c r="C3258" t="s">
        <v>4262</v>
      </c>
      <c r="D3258" t="s">
        <v>3764</v>
      </c>
      <c r="E3258" t="str">
        <f>"00060233"</f>
        <v>00060233</v>
      </c>
      <c r="F3258">
        <v>0</v>
      </c>
      <c r="G3258" s="243">
        <v>40755</v>
      </c>
      <c r="H3258" t="s">
        <v>182</v>
      </c>
      <c r="I3258">
        <v>15</v>
      </c>
      <c r="J3258">
        <v>5</v>
      </c>
      <c r="K3258">
        <v>1</v>
      </c>
      <c r="L3258">
        <v>56655</v>
      </c>
      <c r="M3258" t="str">
        <f t="shared" si="467"/>
        <v>13</v>
      </c>
      <c r="N3258" t="s">
        <v>3323</v>
      </c>
      <c r="O3258" t="str">
        <f t="shared" si="470"/>
        <v>60711</v>
      </c>
      <c r="P3258" t="str">
        <f t="shared" si="472"/>
        <v>2100L</v>
      </c>
      <c r="Q3258" t="str">
        <f t="shared" si="469"/>
        <v>0101</v>
      </c>
      <c r="R3258">
        <v>2100</v>
      </c>
      <c r="S3258" t="str">
        <f t="shared" si="471"/>
        <v>6070</v>
      </c>
      <c r="T3258" t="s">
        <v>3760</v>
      </c>
      <c r="U3258" t="s">
        <v>72</v>
      </c>
    </row>
    <row r="3259" spans="1:21" ht="15" customHeight="1" x14ac:dyDescent="0.3">
      <c r="A3259" t="s">
        <v>179</v>
      </c>
      <c r="B3259" t="str">
        <f>"00065825"</f>
        <v>00065825</v>
      </c>
      <c r="C3259" t="s">
        <v>4253</v>
      </c>
      <c r="D3259" t="s">
        <v>5283</v>
      </c>
      <c r="E3259" t="str">
        <f>"00067934"</f>
        <v>00067934</v>
      </c>
      <c r="F3259">
        <v>0</v>
      </c>
      <c r="G3259" s="243">
        <v>40966</v>
      </c>
      <c r="H3259" t="s">
        <v>182</v>
      </c>
      <c r="I3259">
        <v>15</v>
      </c>
      <c r="J3259">
        <v>1</v>
      </c>
      <c r="K3259">
        <v>1</v>
      </c>
      <c r="L3259">
        <v>51539</v>
      </c>
      <c r="M3259" t="str">
        <f t="shared" si="467"/>
        <v>13</v>
      </c>
      <c r="N3259" t="s">
        <v>3323</v>
      </c>
      <c r="O3259" t="str">
        <f t="shared" si="470"/>
        <v>60711</v>
      </c>
      <c r="P3259" t="str">
        <f>"2300L"</f>
        <v>2300L</v>
      </c>
      <c r="Q3259" t="str">
        <f t="shared" si="469"/>
        <v>0101</v>
      </c>
      <c r="R3259">
        <v>2300</v>
      </c>
      <c r="S3259" t="str">
        <f t="shared" si="471"/>
        <v>6070</v>
      </c>
      <c r="T3259" t="s">
        <v>3760</v>
      </c>
      <c r="U3259" t="s">
        <v>72</v>
      </c>
    </row>
    <row r="3260" spans="1:21" ht="15" customHeight="1" x14ac:dyDescent="0.3">
      <c r="A3260" t="s">
        <v>179</v>
      </c>
      <c r="B3260" t="str">
        <f>"00065826"</f>
        <v>00065826</v>
      </c>
      <c r="C3260" t="s">
        <v>4266</v>
      </c>
      <c r="D3260" t="s">
        <v>5284</v>
      </c>
      <c r="E3260" t="str">
        <f>"00069690"</f>
        <v>00069690</v>
      </c>
      <c r="F3260">
        <v>0</v>
      </c>
      <c r="G3260" s="243">
        <v>41133</v>
      </c>
      <c r="H3260" t="s">
        <v>182</v>
      </c>
      <c r="I3260">
        <v>15</v>
      </c>
      <c r="J3260">
        <v>1</v>
      </c>
      <c r="K3260">
        <v>1</v>
      </c>
      <c r="L3260">
        <v>54975</v>
      </c>
      <c r="M3260" t="str">
        <f t="shared" si="467"/>
        <v>13</v>
      </c>
      <c r="N3260" t="s">
        <v>3370</v>
      </c>
      <c r="O3260" t="str">
        <f t="shared" si="470"/>
        <v>60711</v>
      </c>
      <c r="P3260" t="str">
        <f>"2300L"</f>
        <v>2300L</v>
      </c>
      <c r="Q3260" t="str">
        <f t="shared" si="469"/>
        <v>0101</v>
      </c>
      <c r="R3260">
        <v>2300</v>
      </c>
      <c r="S3260" t="str">
        <f t="shared" si="471"/>
        <v>6070</v>
      </c>
      <c r="T3260" t="s">
        <v>3760</v>
      </c>
      <c r="U3260" t="s">
        <v>72</v>
      </c>
    </row>
    <row r="3261" spans="1:21" ht="15" customHeight="1" x14ac:dyDescent="0.3">
      <c r="A3261" t="s">
        <v>179</v>
      </c>
      <c r="B3261" t="str">
        <f>"00065827"</f>
        <v>00065827</v>
      </c>
      <c r="C3261" t="s">
        <v>4266</v>
      </c>
      <c r="D3261" t="s">
        <v>3765</v>
      </c>
      <c r="E3261" t="str">
        <f>"00065889"</f>
        <v>00065889</v>
      </c>
      <c r="F3261">
        <v>0</v>
      </c>
      <c r="G3261" s="243">
        <v>40755</v>
      </c>
      <c r="H3261" t="s">
        <v>182</v>
      </c>
      <c r="I3261">
        <v>15</v>
      </c>
      <c r="J3261">
        <v>2</v>
      </c>
      <c r="K3261">
        <v>1</v>
      </c>
      <c r="L3261">
        <v>51716</v>
      </c>
      <c r="M3261" t="str">
        <f t="shared" si="467"/>
        <v>13</v>
      </c>
      <c r="N3261" t="s">
        <v>3323</v>
      </c>
      <c r="O3261" t="str">
        <f t="shared" si="470"/>
        <v>60711</v>
      </c>
      <c r="P3261" t="str">
        <f>"2300L"</f>
        <v>2300L</v>
      </c>
      <c r="Q3261" t="str">
        <f t="shared" si="469"/>
        <v>0101</v>
      </c>
      <c r="R3261">
        <v>2300</v>
      </c>
      <c r="S3261" t="str">
        <f t="shared" si="471"/>
        <v>6070</v>
      </c>
      <c r="T3261" t="s">
        <v>3760</v>
      </c>
      <c r="U3261" t="s">
        <v>72</v>
      </c>
    </row>
    <row r="3262" spans="1:21" ht="15" customHeight="1" x14ac:dyDescent="0.3">
      <c r="A3262" t="s">
        <v>179</v>
      </c>
      <c r="B3262" t="str">
        <f>"00066088"</f>
        <v>00066088</v>
      </c>
      <c r="C3262" t="s">
        <v>4326</v>
      </c>
      <c r="D3262" t="s">
        <v>5285</v>
      </c>
      <c r="E3262" t="str">
        <f>"00066370"</f>
        <v>00066370</v>
      </c>
      <c r="F3262">
        <v>0</v>
      </c>
      <c r="G3262" s="243">
        <v>40770</v>
      </c>
      <c r="H3262" t="s">
        <v>182</v>
      </c>
      <c r="I3262">
        <v>4</v>
      </c>
      <c r="J3262">
        <v>5</v>
      </c>
      <c r="K3262">
        <v>1</v>
      </c>
      <c r="L3262">
        <v>25239.37</v>
      </c>
      <c r="M3262" t="str">
        <f t="shared" si="467"/>
        <v>13</v>
      </c>
      <c r="N3262" t="s">
        <v>3323</v>
      </c>
      <c r="O3262" t="str">
        <f t="shared" si="470"/>
        <v>60711</v>
      </c>
      <c r="P3262" t="str">
        <f>"2200L"</f>
        <v>2200L</v>
      </c>
      <c r="Q3262" t="str">
        <f t="shared" si="469"/>
        <v>0101</v>
      </c>
      <c r="R3262">
        <v>2200</v>
      </c>
      <c r="S3262" t="str">
        <f t="shared" si="471"/>
        <v>6070</v>
      </c>
      <c r="T3262" t="s">
        <v>3760</v>
      </c>
      <c r="U3262" t="s">
        <v>72</v>
      </c>
    </row>
    <row r="3263" spans="1:21" ht="15" customHeight="1" x14ac:dyDescent="0.3">
      <c r="A3263" t="s">
        <v>179</v>
      </c>
      <c r="B3263" t="str">
        <f>"00066328"</f>
        <v>00066328</v>
      </c>
      <c r="C3263" t="s">
        <v>4262</v>
      </c>
      <c r="H3263" t="s">
        <v>170</v>
      </c>
      <c r="I3263">
        <v>15</v>
      </c>
      <c r="J3263">
        <v>1</v>
      </c>
      <c r="K3263">
        <v>1</v>
      </c>
      <c r="L3263">
        <v>54975</v>
      </c>
      <c r="M3263" t="str">
        <f t="shared" si="467"/>
        <v>13</v>
      </c>
      <c r="N3263" t="s">
        <v>3323</v>
      </c>
      <c r="O3263" t="str">
        <f t="shared" si="470"/>
        <v>60711</v>
      </c>
      <c r="P3263" t="str">
        <f>"2100L"</f>
        <v>2100L</v>
      </c>
      <c r="Q3263" t="str">
        <f t="shared" si="469"/>
        <v>0101</v>
      </c>
      <c r="R3263">
        <v>2100</v>
      </c>
      <c r="S3263" t="str">
        <f t="shared" si="471"/>
        <v>6070</v>
      </c>
      <c r="T3263" t="s">
        <v>3760</v>
      </c>
      <c r="U3263" t="s">
        <v>72</v>
      </c>
    </row>
    <row r="3264" spans="1:21" ht="15" customHeight="1" x14ac:dyDescent="0.3">
      <c r="A3264" t="s">
        <v>179</v>
      </c>
      <c r="B3264" t="str">
        <f>"00066966"</f>
        <v>00066966</v>
      </c>
      <c r="C3264" t="s">
        <v>200</v>
      </c>
      <c r="D3264" t="s">
        <v>3761</v>
      </c>
      <c r="E3264" t="str">
        <f>"00057350"</f>
        <v>00057350</v>
      </c>
      <c r="F3264">
        <v>0</v>
      </c>
      <c r="G3264" s="243">
        <v>40042</v>
      </c>
      <c r="H3264" t="s">
        <v>182</v>
      </c>
      <c r="I3264">
        <v>15</v>
      </c>
      <c r="J3264">
        <v>4</v>
      </c>
      <c r="K3264">
        <v>1</v>
      </c>
      <c r="L3264">
        <v>61158</v>
      </c>
      <c r="M3264" t="str">
        <f t="shared" si="467"/>
        <v>13</v>
      </c>
      <c r="N3264" t="s">
        <v>3323</v>
      </c>
      <c r="O3264" t="str">
        <f t="shared" si="470"/>
        <v>60711</v>
      </c>
      <c r="P3264" t="str">
        <f>"3030L"</f>
        <v>3030L</v>
      </c>
      <c r="Q3264" t="str">
        <f t="shared" si="469"/>
        <v>0101</v>
      </c>
      <c r="R3264">
        <v>3030</v>
      </c>
      <c r="S3264" t="str">
        <f t="shared" si="471"/>
        <v>6070</v>
      </c>
      <c r="T3264" t="s">
        <v>3760</v>
      </c>
      <c r="U3264" t="s">
        <v>72</v>
      </c>
    </row>
    <row r="3265" spans="1:21" ht="15" customHeight="1" x14ac:dyDescent="0.3">
      <c r="A3265" t="s">
        <v>179</v>
      </c>
      <c r="B3265" t="str">
        <f>"00069580"</f>
        <v>00069580</v>
      </c>
      <c r="C3265" t="s">
        <v>4266</v>
      </c>
      <c r="H3265" t="s">
        <v>170</v>
      </c>
      <c r="I3265">
        <v>15</v>
      </c>
      <c r="J3265">
        <v>1</v>
      </c>
      <c r="K3265">
        <v>1</v>
      </c>
      <c r="L3265">
        <v>51539</v>
      </c>
      <c r="M3265" t="str">
        <f t="shared" si="467"/>
        <v>13</v>
      </c>
      <c r="N3265" t="s">
        <v>3323</v>
      </c>
      <c r="O3265" t="str">
        <f t="shared" si="470"/>
        <v>60711</v>
      </c>
      <c r="P3265" t="str">
        <f t="shared" ref="P3265:P3271" si="473">"2100L"</f>
        <v>2100L</v>
      </c>
      <c r="Q3265" t="str">
        <f t="shared" si="469"/>
        <v>0101</v>
      </c>
      <c r="R3265">
        <v>2100</v>
      </c>
      <c r="S3265" t="str">
        <f t="shared" si="471"/>
        <v>6070</v>
      </c>
      <c r="T3265" t="s">
        <v>3760</v>
      </c>
      <c r="U3265" t="s">
        <v>72</v>
      </c>
    </row>
    <row r="3266" spans="1:21" ht="15" customHeight="1" x14ac:dyDescent="0.3">
      <c r="A3266" t="s">
        <v>179</v>
      </c>
      <c r="B3266" t="str">
        <f>"00072244"</f>
        <v>00072244</v>
      </c>
      <c r="C3266" t="s">
        <v>4263</v>
      </c>
      <c r="D3266" t="s">
        <v>2842</v>
      </c>
      <c r="E3266" t="str">
        <f>"00061448"</f>
        <v>00061448</v>
      </c>
      <c r="F3266">
        <v>0</v>
      </c>
      <c r="G3266" s="243">
        <v>40406</v>
      </c>
      <c r="H3266" t="s">
        <v>182</v>
      </c>
      <c r="I3266">
        <v>15</v>
      </c>
      <c r="J3266">
        <v>12</v>
      </c>
      <c r="K3266">
        <v>1</v>
      </c>
      <c r="L3266">
        <v>87431</v>
      </c>
      <c r="M3266" t="str">
        <f t="shared" si="467"/>
        <v>13</v>
      </c>
      <c r="N3266" t="s">
        <v>3370</v>
      </c>
      <c r="O3266" t="str">
        <f t="shared" si="470"/>
        <v>60711</v>
      </c>
      <c r="P3266" t="str">
        <f t="shared" si="473"/>
        <v>2100L</v>
      </c>
      <c r="Q3266" t="str">
        <f t="shared" si="469"/>
        <v>0101</v>
      </c>
      <c r="R3266">
        <v>2100</v>
      </c>
      <c r="S3266" t="str">
        <f t="shared" si="471"/>
        <v>6070</v>
      </c>
      <c r="T3266" t="s">
        <v>3760</v>
      </c>
      <c r="U3266" t="s">
        <v>72</v>
      </c>
    </row>
    <row r="3267" spans="1:21" ht="15" customHeight="1" x14ac:dyDescent="0.3">
      <c r="A3267" t="s">
        <v>179</v>
      </c>
      <c r="B3267" t="str">
        <f>"00072358"</f>
        <v>00072358</v>
      </c>
      <c r="C3267" t="s">
        <v>4256</v>
      </c>
      <c r="D3267" t="s">
        <v>5286</v>
      </c>
      <c r="E3267" t="str">
        <f>"00070309"</f>
        <v>00070309</v>
      </c>
      <c r="F3267">
        <v>0</v>
      </c>
      <c r="G3267" s="243">
        <v>41141</v>
      </c>
      <c r="H3267" t="s">
        <v>182</v>
      </c>
      <c r="I3267">
        <v>15</v>
      </c>
      <c r="J3267">
        <v>10</v>
      </c>
      <c r="K3267">
        <v>1</v>
      </c>
      <c r="L3267">
        <v>78273</v>
      </c>
      <c r="M3267" t="str">
        <f t="shared" si="467"/>
        <v>13</v>
      </c>
      <c r="N3267" t="s">
        <v>3370</v>
      </c>
      <c r="O3267" t="str">
        <f t="shared" si="470"/>
        <v>60711</v>
      </c>
      <c r="P3267" t="str">
        <f t="shared" si="473"/>
        <v>2100L</v>
      </c>
      <c r="Q3267" t="str">
        <f t="shared" si="469"/>
        <v>0101</v>
      </c>
      <c r="R3267">
        <v>2100</v>
      </c>
      <c r="S3267" t="str">
        <f t="shared" si="471"/>
        <v>6070</v>
      </c>
      <c r="T3267" t="s">
        <v>3760</v>
      </c>
      <c r="U3267" t="s">
        <v>72</v>
      </c>
    </row>
    <row r="3268" spans="1:21" ht="15" customHeight="1" x14ac:dyDescent="0.3">
      <c r="A3268" t="s">
        <v>179</v>
      </c>
      <c r="B3268" t="str">
        <f>"00072810"</f>
        <v>00072810</v>
      </c>
      <c r="C3268" t="s">
        <v>4343</v>
      </c>
      <c r="D3268" t="s">
        <v>5287</v>
      </c>
      <c r="E3268" t="str">
        <f>"00069922"</f>
        <v>00069922</v>
      </c>
      <c r="F3268">
        <v>0</v>
      </c>
      <c r="G3268" s="243">
        <v>41133</v>
      </c>
      <c r="H3268" t="s">
        <v>182</v>
      </c>
      <c r="I3268">
        <v>15</v>
      </c>
      <c r="J3268">
        <v>1</v>
      </c>
      <c r="K3268">
        <v>1</v>
      </c>
      <c r="L3268">
        <v>54975</v>
      </c>
      <c r="M3268" t="str">
        <f t="shared" si="467"/>
        <v>13</v>
      </c>
      <c r="N3268" t="s">
        <v>3323</v>
      </c>
      <c r="O3268" t="str">
        <f t="shared" si="470"/>
        <v>60711</v>
      </c>
      <c r="P3268" t="str">
        <f t="shared" si="473"/>
        <v>2100L</v>
      </c>
      <c r="Q3268" t="str">
        <f t="shared" si="469"/>
        <v>0101</v>
      </c>
      <c r="R3268">
        <v>2100</v>
      </c>
      <c r="S3268" t="str">
        <f t="shared" si="471"/>
        <v>6070</v>
      </c>
      <c r="T3268" t="s">
        <v>3760</v>
      </c>
      <c r="U3268" t="s">
        <v>72</v>
      </c>
    </row>
    <row r="3269" spans="1:21" ht="15" customHeight="1" x14ac:dyDescent="0.3">
      <c r="A3269" t="s">
        <v>179</v>
      </c>
      <c r="B3269" t="str">
        <f>"00076373"</f>
        <v>00076373</v>
      </c>
      <c r="C3269" t="s">
        <v>4367</v>
      </c>
      <c r="D3269" t="s">
        <v>5288</v>
      </c>
      <c r="E3269" t="str">
        <f>"00051237"</f>
        <v>00051237</v>
      </c>
      <c r="F3269">
        <v>0</v>
      </c>
      <c r="G3269" s="243">
        <v>39463</v>
      </c>
      <c r="H3269" t="s">
        <v>182</v>
      </c>
      <c r="I3269">
        <v>9</v>
      </c>
      <c r="J3269">
        <v>1</v>
      </c>
      <c r="K3269">
        <v>1</v>
      </c>
      <c r="L3269">
        <v>36775</v>
      </c>
      <c r="M3269" t="str">
        <f t="shared" si="467"/>
        <v>13</v>
      </c>
      <c r="N3269" t="s">
        <v>3370</v>
      </c>
      <c r="O3269" t="str">
        <f t="shared" si="470"/>
        <v>60711</v>
      </c>
      <c r="P3269" t="str">
        <f t="shared" si="473"/>
        <v>2100L</v>
      </c>
      <c r="Q3269" t="str">
        <f t="shared" si="469"/>
        <v>0101</v>
      </c>
      <c r="R3269">
        <v>2100</v>
      </c>
      <c r="S3269" t="str">
        <f t="shared" si="471"/>
        <v>6070</v>
      </c>
      <c r="T3269" t="s">
        <v>3760</v>
      </c>
      <c r="U3269" t="s">
        <v>72</v>
      </c>
    </row>
    <row r="3270" spans="1:21" ht="15" customHeight="1" x14ac:dyDescent="0.3">
      <c r="A3270" t="s">
        <v>179</v>
      </c>
      <c r="B3270" t="str">
        <f>"00076374"</f>
        <v>00076374</v>
      </c>
      <c r="C3270" t="s">
        <v>4262</v>
      </c>
      <c r="D3270" t="s">
        <v>5289</v>
      </c>
      <c r="E3270" t="str">
        <f>"00069607"</f>
        <v>00069607</v>
      </c>
      <c r="F3270">
        <v>0</v>
      </c>
      <c r="G3270" s="243">
        <v>41133</v>
      </c>
      <c r="H3270" t="s">
        <v>182</v>
      </c>
      <c r="I3270">
        <v>15</v>
      </c>
      <c r="J3270">
        <v>1</v>
      </c>
      <c r="K3270">
        <v>1</v>
      </c>
      <c r="L3270">
        <v>51539</v>
      </c>
      <c r="M3270" t="str">
        <f t="shared" si="467"/>
        <v>13</v>
      </c>
      <c r="N3270" t="s">
        <v>3370</v>
      </c>
      <c r="O3270" t="str">
        <f t="shared" si="470"/>
        <v>60711</v>
      </c>
      <c r="P3270" t="str">
        <f t="shared" si="473"/>
        <v>2100L</v>
      </c>
      <c r="Q3270" t="str">
        <f t="shared" si="469"/>
        <v>0101</v>
      </c>
      <c r="R3270">
        <v>2100</v>
      </c>
      <c r="S3270" t="str">
        <f t="shared" si="471"/>
        <v>6070</v>
      </c>
      <c r="T3270" t="s">
        <v>3760</v>
      </c>
      <c r="U3270" t="s">
        <v>72</v>
      </c>
    </row>
    <row r="3271" spans="1:21" ht="15" customHeight="1" x14ac:dyDescent="0.3">
      <c r="A3271" t="s">
        <v>179</v>
      </c>
      <c r="B3271" t="str">
        <f>"00076375"</f>
        <v>00076375</v>
      </c>
      <c r="C3271" t="s">
        <v>4728</v>
      </c>
      <c r="D3271" t="s">
        <v>5290</v>
      </c>
      <c r="E3271" t="str">
        <f>"00066933"</f>
        <v>00066933</v>
      </c>
      <c r="F3271">
        <v>0</v>
      </c>
      <c r="G3271" s="243">
        <v>40829</v>
      </c>
      <c r="H3271" t="s">
        <v>182</v>
      </c>
      <c r="I3271">
        <v>9</v>
      </c>
      <c r="J3271">
        <v>4</v>
      </c>
      <c r="K3271">
        <v>1</v>
      </c>
      <c r="L3271">
        <v>36352</v>
      </c>
      <c r="M3271" t="str">
        <f t="shared" si="467"/>
        <v>13</v>
      </c>
      <c r="N3271" t="s">
        <v>3370</v>
      </c>
      <c r="O3271" t="str">
        <f t="shared" si="470"/>
        <v>60711</v>
      </c>
      <c r="P3271" t="str">
        <f t="shared" si="473"/>
        <v>2100L</v>
      </c>
      <c r="Q3271" t="str">
        <f t="shared" si="469"/>
        <v>0101</v>
      </c>
      <c r="R3271">
        <v>2100</v>
      </c>
      <c r="S3271" t="str">
        <f t="shared" si="471"/>
        <v>6070</v>
      </c>
      <c r="T3271" t="s">
        <v>3760</v>
      </c>
      <c r="U3271" t="s">
        <v>72</v>
      </c>
    </row>
    <row r="3272" spans="1:21" ht="15" customHeight="1" x14ac:dyDescent="0.3">
      <c r="A3272" t="s">
        <v>179</v>
      </c>
      <c r="B3272" t="str">
        <f>"00076484"</f>
        <v>00076484</v>
      </c>
      <c r="C3272" t="s">
        <v>4288</v>
      </c>
      <c r="D3272" t="s">
        <v>5291</v>
      </c>
      <c r="E3272" t="str">
        <f>"00066311"</f>
        <v>00066311</v>
      </c>
      <c r="F3272">
        <v>0</v>
      </c>
      <c r="G3272" s="243">
        <v>40777</v>
      </c>
      <c r="H3272" t="s">
        <v>182</v>
      </c>
      <c r="I3272">
        <v>4</v>
      </c>
      <c r="J3272">
        <v>8</v>
      </c>
      <c r="K3272">
        <v>0.71</v>
      </c>
      <c r="L3272">
        <v>27329.75</v>
      </c>
      <c r="M3272" t="str">
        <f t="shared" si="467"/>
        <v>13</v>
      </c>
      <c r="N3272" t="s">
        <v>3323</v>
      </c>
      <c r="O3272" t="str">
        <f t="shared" si="470"/>
        <v>60711</v>
      </c>
      <c r="P3272" t="str">
        <f>"2300L"</f>
        <v>2300L</v>
      </c>
      <c r="Q3272" t="str">
        <f t="shared" si="469"/>
        <v>0101</v>
      </c>
      <c r="R3272">
        <v>2300</v>
      </c>
      <c r="S3272" t="str">
        <f t="shared" si="471"/>
        <v>6070</v>
      </c>
      <c r="T3272" t="s">
        <v>3760</v>
      </c>
      <c r="U3272" t="s">
        <v>72</v>
      </c>
    </row>
    <row r="3273" spans="1:21" ht="15" customHeight="1" x14ac:dyDescent="0.3">
      <c r="A3273" t="s">
        <v>179</v>
      </c>
      <c r="B3273" t="str">
        <f>"00076832"</f>
        <v>00076832</v>
      </c>
      <c r="C3273" t="s">
        <v>4262</v>
      </c>
      <c r="D3273" t="s">
        <v>5292</v>
      </c>
      <c r="E3273" t="str">
        <f>"00070098"</f>
        <v>00070098</v>
      </c>
      <c r="F3273">
        <v>0</v>
      </c>
      <c r="G3273" s="243">
        <v>41133</v>
      </c>
      <c r="H3273" t="s">
        <v>182</v>
      </c>
      <c r="I3273">
        <v>15</v>
      </c>
      <c r="J3273">
        <v>2</v>
      </c>
      <c r="K3273">
        <v>1</v>
      </c>
      <c r="L3273">
        <v>51716</v>
      </c>
      <c r="M3273" t="str">
        <f t="shared" si="467"/>
        <v>13</v>
      </c>
      <c r="N3273" t="s">
        <v>3370</v>
      </c>
      <c r="O3273" t="str">
        <f t="shared" si="470"/>
        <v>60711</v>
      </c>
      <c r="P3273" t="str">
        <f>"3030L"</f>
        <v>3030L</v>
      </c>
      <c r="Q3273" t="str">
        <f t="shared" si="469"/>
        <v>0101</v>
      </c>
      <c r="R3273">
        <v>3030</v>
      </c>
      <c r="S3273" t="str">
        <f t="shared" si="471"/>
        <v>6070</v>
      </c>
      <c r="T3273" t="s">
        <v>3760</v>
      </c>
      <c r="U3273" t="s">
        <v>72</v>
      </c>
    </row>
    <row r="3274" spans="1:21" ht="15" customHeight="1" x14ac:dyDescent="0.3">
      <c r="A3274" t="s">
        <v>179</v>
      </c>
      <c r="B3274" t="str">
        <f>"00052563"</f>
        <v>00052563</v>
      </c>
      <c r="C3274" t="s">
        <v>4272</v>
      </c>
      <c r="D3274" t="s">
        <v>2678</v>
      </c>
      <c r="E3274" t="str">
        <f>"00048562"</f>
        <v>00048562</v>
      </c>
      <c r="F3274">
        <v>0</v>
      </c>
      <c r="G3274" s="243">
        <v>32050</v>
      </c>
      <c r="H3274" t="s">
        <v>182</v>
      </c>
      <c r="I3274">
        <v>15</v>
      </c>
      <c r="J3274">
        <v>16</v>
      </c>
      <c r="K3274">
        <v>1</v>
      </c>
      <c r="L3274">
        <v>106540</v>
      </c>
      <c r="M3274" t="str">
        <f t="shared" si="467"/>
        <v>13</v>
      </c>
      <c r="N3274" t="s">
        <v>3323</v>
      </c>
      <c r="O3274" t="str">
        <f t="shared" ref="O3274:O3302" si="474">"60911"</f>
        <v>60911</v>
      </c>
      <c r="P3274" t="str">
        <f>"2200L"</f>
        <v>2200L</v>
      </c>
      <c r="Q3274" t="str">
        <f t="shared" si="469"/>
        <v>0101</v>
      </c>
      <c r="R3274">
        <v>2200</v>
      </c>
      <c r="S3274" t="str">
        <f t="shared" ref="S3274:S3302" si="475">"6090"</f>
        <v>6090</v>
      </c>
      <c r="T3274" t="s">
        <v>3770</v>
      </c>
      <c r="U3274" t="s">
        <v>75</v>
      </c>
    </row>
    <row r="3275" spans="1:21" ht="15" customHeight="1" x14ac:dyDescent="0.3">
      <c r="A3275" t="s">
        <v>179</v>
      </c>
      <c r="B3275" t="str">
        <f>"00053436"</f>
        <v>00053436</v>
      </c>
      <c r="C3275" t="s">
        <v>4260</v>
      </c>
      <c r="H3275" t="s">
        <v>170</v>
      </c>
      <c r="I3275">
        <v>15</v>
      </c>
      <c r="J3275">
        <v>1</v>
      </c>
      <c r="K3275">
        <v>1</v>
      </c>
      <c r="L3275">
        <v>60128</v>
      </c>
      <c r="M3275" t="str">
        <f t="shared" si="467"/>
        <v>13</v>
      </c>
      <c r="N3275" t="s">
        <v>3323</v>
      </c>
      <c r="O3275" t="str">
        <f t="shared" si="474"/>
        <v>60911</v>
      </c>
      <c r="P3275" t="str">
        <f>"3030L"</f>
        <v>3030L</v>
      </c>
      <c r="Q3275" t="str">
        <f t="shared" si="469"/>
        <v>0101</v>
      </c>
      <c r="R3275">
        <v>3030</v>
      </c>
      <c r="S3275" t="str">
        <f t="shared" si="475"/>
        <v>6090</v>
      </c>
      <c r="T3275" t="s">
        <v>3770</v>
      </c>
      <c r="U3275" t="s">
        <v>75</v>
      </c>
    </row>
    <row r="3276" spans="1:21" ht="15" customHeight="1" x14ac:dyDescent="0.3">
      <c r="A3276" t="s">
        <v>179</v>
      </c>
      <c r="B3276" t="str">
        <f>"00053534"</f>
        <v>00053534</v>
      </c>
      <c r="C3276" t="s">
        <v>4274</v>
      </c>
      <c r="D3276" t="s">
        <v>5293</v>
      </c>
      <c r="E3276" t="str">
        <f>"00051680"</f>
        <v>00051680</v>
      </c>
      <c r="F3276">
        <v>0</v>
      </c>
      <c r="G3276" s="243">
        <v>35381</v>
      </c>
      <c r="H3276" t="s">
        <v>182</v>
      </c>
      <c r="I3276">
        <v>4</v>
      </c>
      <c r="J3276">
        <v>10</v>
      </c>
      <c r="K3276">
        <v>0.75</v>
      </c>
      <c r="L3276">
        <v>24618</v>
      </c>
      <c r="M3276" t="str">
        <f t="shared" si="467"/>
        <v>13</v>
      </c>
      <c r="N3276" t="s">
        <v>3323</v>
      </c>
      <c r="O3276" t="str">
        <f t="shared" si="474"/>
        <v>60911</v>
      </c>
      <c r="P3276" t="str">
        <f>"2200L"</f>
        <v>2200L</v>
      </c>
      <c r="Q3276" t="str">
        <f t="shared" si="469"/>
        <v>0101</v>
      </c>
      <c r="R3276">
        <v>2200</v>
      </c>
      <c r="S3276" t="str">
        <f t="shared" si="475"/>
        <v>6090</v>
      </c>
      <c r="T3276" t="s">
        <v>3770</v>
      </c>
      <c r="U3276" t="s">
        <v>75</v>
      </c>
    </row>
    <row r="3277" spans="1:21" ht="15" customHeight="1" x14ac:dyDescent="0.3">
      <c r="A3277" t="s">
        <v>179</v>
      </c>
      <c r="B3277" t="str">
        <f>"00053683"</f>
        <v>00053683</v>
      </c>
      <c r="C3277" t="s">
        <v>4288</v>
      </c>
      <c r="D3277" t="s">
        <v>5294</v>
      </c>
      <c r="E3277" t="str">
        <f>"00050745"</f>
        <v>00050745</v>
      </c>
      <c r="F3277">
        <v>0</v>
      </c>
      <c r="G3277" s="243">
        <v>40770</v>
      </c>
      <c r="H3277" t="s">
        <v>182</v>
      </c>
      <c r="I3277">
        <v>4</v>
      </c>
      <c r="J3277">
        <v>6</v>
      </c>
      <c r="K3277">
        <v>1</v>
      </c>
      <c r="L3277">
        <v>25935.88</v>
      </c>
      <c r="M3277" t="str">
        <f t="shared" si="467"/>
        <v>13</v>
      </c>
      <c r="N3277" t="s">
        <v>3323</v>
      </c>
      <c r="O3277" t="str">
        <f t="shared" si="474"/>
        <v>60911</v>
      </c>
      <c r="P3277" t="str">
        <f>"2200L"</f>
        <v>2200L</v>
      </c>
      <c r="Q3277" t="str">
        <f t="shared" si="469"/>
        <v>0101</v>
      </c>
      <c r="R3277">
        <v>2200</v>
      </c>
      <c r="S3277" t="str">
        <f t="shared" si="475"/>
        <v>6090</v>
      </c>
      <c r="T3277" t="s">
        <v>3770</v>
      </c>
      <c r="U3277" t="s">
        <v>75</v>
      </c>
    </row>
    <row r="3278" spans="1:21" ht="15" customHeight="1" x14ac:dyDescent="0.3">
      <c r="A3278" t="s">
        <v>179</v>
      </c>
      <c r="B3278" t="str">
        <f>"00053799"</f>
        <v>00053799</v>
      </c>
      <c r="C3278" t="s">
        <v>4262</v>
      </c>
      <c r="D3278" t="s">
        <v>2689</v>
      </c>
      <c r="E3278" t="str">
        <f>"00047270"</f>
        <v>00047270</v>
      </c>
      <c r="F3278">
        <v>0</v>
      </c>
      <c r="G3278" s="243">
        <v>37493</v>
      </c>
      <c r="H3278" t="s">
        <v>182</v>
      </c>
      <c r="I3278">
        <v>15</v>
      </c>
      <c r="J3278">
        <v>11</v>
      </c>
      <c r="K3278">
        <v>1</v>
      </c>
      <c r="L3278">
        <v>83774</v>
      </c>
      <c r="M3278" t="str">
        <f t="shared" si="467"/>
        <v>13</v>
      </c>
      <c r="N3278" t="s">
        <v>3323</v>
      </c>
      <c r="O3278" t="str">
        <f t="shared" si="474"/>
        <v>60911</v>
      </c>
      <c r="P3278" t="str">
        <f>"2100L"</f>
        <v>2100L</v>
      </c>
      <c r="Q3278" t="str">
        <f t="shared" si="469"/>
        <v>0101</v>
      </c>
      <c r="R3278">
        <v>2100</v>
      </c>
      <c r="S3278" t="str">
        <f t="shared" si="475"/>
        <v>6090</v>
      </c>
      <c r="T3278" t="s">
        <v>3770</v>
      </c>
      <c r="U3278" t="s">
        <v>75</v>
      </c>
    </row>
    <row r="3279" spans="1:21" ht="15" customHeight="1" x14ac:dyDescent="0.3">
      <c r="A3279" t="s">
        <v>179</v>
      </c>
      <c r="B3279" t="str">
        <f>"00054041"</f>
        <v>00054041</v>
      </c>
      <c r="C3279" t="s">
        <v>4257</v>
      </c>
      <c r="D3279" t="s">
        <v>2680</v>
      </c>
      <c r="E3279" t="str">
        <f>"00052924"</f>
        <v>00052924</v>
      </c>
      <c r="F3279">
        <v>0</v>
      </c>
      <c r="G3279" s="243">
        <v>31287</v>
      </c>
      <c r="H3279" t="s">
        <v>182</v>
      </c>
      <c r="I3279">
        <v>15</v>
      </c>
      <c r="J3279">
        <v>16</v>
      </c>
      <c r="K3279">
        <v>1</v>
      </c>
      <c r="L3279">
        <v>100839</v>
      </c>
      <c r="M3279" t="str">
        <f t="shared" si="467"/>
        <v>13</v>
      </c>
      <c r="N3279" t="s">
        <v>3323</v>
      </c>
      <c r="O3279" t="str">
        <f t="shared" si="474"/>
        <v>60911</v>
      </c>
      <c r="P3279" t="str">
        <f>"2100L"</f>
        <v>2100L</v>
      </c>
      <c r="Q3279" t="str">
        <f t="shared" si="469"/>
        <v>0101</v>
      </c>
      <c r="R3279">
        <v>2100</v>
      </c>
      <c r="S3279" t="str">
        <f t="shared" si="475"/>
        <v>6090</v>
      </c>
      <c r="T3279" t="s">
        <v>3770</v>
      </c>
      <c r="U3279" t="s">
        <v>75</v>
      </c>
    </row>
    <row r="3280" spans="1:21" ht="15" customHeight="1" x14ac:dyDescent="0.3">
      <c r="A3280" t="s">
        <v>179</v>
      </c>
      <c r="B3280" t="str">
        <f>"00054276"</f>
        <v>00054276</v>
      </c>
      <c r="C3280" t="s">
        <v>4274</v>
      </c>
      <c r="D3280" t="s">
        <v>5295</v>
      </c>
      <c r="E3280" t="str">
        <f>"00053436"</f>
        <v>00053436</v>
      </c>
      <c r="F3280">
        <v>0</v>
      </c>
      <c r="G3280" s="243">
        <v>33056</v>
      </c>
      <c r="H3280" t="s">
        <v>182</v>
      </c>
      <c r="I3280">
        <v>4</v>
      </c>
      <c r="J3280">
        <v>10</v>
      </c>
      <c r="K3280">
        <v>0.875</v>
      </c>
      <c r="L3280">
        <v>28721</v>
      </c>
      <c r="M3280" t="str">
        <f t="shared" ref="M3280:M3341" si="476">"13"</f>
        <v>13</v>
      </c>
      <c r="N3280" t="s">
        <v>3323</v>
      </c>
      <c r="O3280" t="str">
        <f t="shared" si="474"/>
        <v>60911</v>
      </c>
      <c r="P3280" t="str">
        <f>"3030L"</f>
        <v>3030L</v>
      </c>
      <c r="Q3280" t="str">
        <f t="shared" si="469"/>
        <v>0101</v>
      </c>
      <c r="R3280">
        <v>3030</v>
      </c>
      <c r="S3280" t="str">
        <f t="shared" si="475"/>
        <v>6090</v>
      </c>
      <c r="T3280" t="s">
        <v>3770</v>
      </c>
      <c r="U3280" t="s">
        <v>75</v>
      </c>
    </row>
    <row r="3281" spans="1:21" ht="15" customHeight="1" x14ac:dyDescent="0.3">
      <c r="A3281" t="s">
        <v>179</v>
      </c>
      <c r="B3281" t="str">
        <f>"00055043"</f>
        <v>00055043</v>
      </c>
      <c r="C3281" t="s">
        <v>4260</v>
      </c>
      <c r="D3281" t="s">
        <v>2681</v>
      </c>
      <c r="E3281" t="str">
        <f>"00044566"</f>
        <v>00044566</v>
      </c>
      <c r="F3281">
        <v>0</v>
      </c>
      <c r="G3281" s="243">
        <v>39315</v>
      </c>
      <c r="H3281" t="s">
        <v>182</v>
      </c>
      <c r="I3281">
        <v>15</v>
      </c>
      <c r="J3281">
        <v>9</v>
      </c>
      <c r="K3281">
        <v>1</v>
      </c>
      <c r="L3281">
        <v>75232</v>
      </c>
      <c r="M3281" t="str">
        <f t="shared" si="476"/>
        <v>13</v>
      </c>
      <c r="N3281" t="s">
        <v>3323</v>
      </c>
      <c r="O3281" t="str">
        <f t="shared" si="474"/>
        <v>60911</v>
      </c>
      <c r="P3281" t="str">
        <f>"3030L"</f>
        <v>3030L</v>
      </c>
      <c r="Q3281" t="str">
        <f t="shared" si="469"/>
        <v>0101</v>
      </c>
      <c r="R3281">
        <v>3030</v>
      </c>
      <c r="S3281" t="str">
        <f t="shared" si="475"/>
        <v>6090</v>
      </c>
      <c r="T3281" t="s">
        <v>3770</v>
      </c>
      <c r="U3281" t="s">
        <v>75</v>
      </c>
    </row>
    <row r="3282" spans="1:21" ht="15" customHeight="1" x14ac:dyDescent="0.3">
      <c r="A3282" t="s">
        <v>179</v>
      </c>
      <c r="B3282" t="str">
        <f>"00055151"</f>
        <v>00055151</v>
      </c>
      <c r="C3282" t="s">
        <v>4272</v>
      </c>
      <c r="D3282" t="s">
        <v>2682</v>
      </c>
      <c r="E3282" t="str">
        <f>"00045079"</f>
        <v>00045079</v>
      </c>
      <c r="F3282">
        <v>0</v>
      </c>
      <c r="G3282" s="243">
        <v>36390</v>
      </c>
      <c r="H3282" t="s">
        <v>182</v>
      </c>
      <c r="I3282">
        <v>15</v>
      </c>
      <c r="J3282">
        <v>16</v>
      </c>
      <c r="K3282">
        <v>1</v>
      </c>
      <c r="L3282">
        <v>106540</v>
      </c>
      <c r="M3282" t="str">
        <f t="shared" si="476"/>
        <v>13</v>
      </c>
      <c r="N3282" t="s">
        <v>3323</v>
      </c>
      <c r="O3282" t="str">
        <f t="shared" si="474"/>
        <v>60911</v>
      </c>
      <c r="P3282" t="str">
        <f>"2100L"</f>
        <v>2100L</v>
      </c>
      <c r="Q3282" t="str">
        <f t="shared" si="469"/>
        <v>0101</v>
      </c>
      <c r="R3282">
        <v>2100</v>
      </c>
      <c r="S3282" t="str">
        <f t="shared" si="475"/>
        <v>6090</v>
      </c>
      <c r="T3282" t="s">
        <v>3770</v>
      </c>
      <c r="U3282" t="s">
        <v>75</v>
      </c>
    </row>
    <row r="3283" spans="1:21" ht="15" customHeight="1" x14ac:dyDescent="0.3">
      <c r="A3283" t="s">
        <v>179</v>
      </c>
      <c r="B3283" t="str">
        <f>"00055210"</f>
        <v>00055210</v>
      </c>
      <c r="C3283" t="s">
        <v>4258</v>
      </c>
      <c r="D3283" t="s">
        <v>2683</v>
      </c>
      <c r="E3283" t="str">
        <f>"00052737"</f>
        <v>00052737</v>
      </c>
      <c r="F3283">
        <v>0</v>
      </c>
      <c r="G3283" s="243">
        <v>36390</v>
      </c>
      <c r="H3283" t="s">
        <v>182</v>
      </c>
      <c r="I3283">
        <v>15</v>
      </c>
      <c r="J3283">
        <v>16</v>
      </c>
      <c r="K3283">
        <v>1</v>
      </c>
      <c r="L3283">
        <v>100839</v>
      </c>
      <c r="M3283" t="str">
        <f t="shared" si="476"/>
        <v>13</v>
      </c>
      <c r="N3283" t="s">
        <v>3323</v>
      </c>
      <c r="O3283" t="str">
        <f t="shared" si="474"/>
        <v>60911</v>
      </c>
      <c r="P3283" t="str">
        <f>"2100L"</f>
        <v>2100L</v>
      </c>
      <c r="Q3283" t="str">
        <f t="shared" si="469"/>
        <v>0101</v>
      </c>
      <c r="R3283">
        <v>2100</v>
      </c>
      <c r="S3283" t="str">
        <f t="shared" si="475"/>
        <v>6090</v>
      </c>
      <c r="T3283" t="s">
        <v>3770</v>
      </c>
      <c r="U3283" t="s">
        <v>75</v>
      </c>
    </row>
    <row r="3284" spans="1:21" ht="15" customHeight="1" x14ac:dyDescent="0.3">
      <c r="A3284" t="s">
        <v>179</v>
      </c>
      <c r="B3284" t="str">
        <f>"00056813"</f>
        <v>00056813</v>
      </c>
      <c r="C3284" t="s">
        <v>4272</v>
      </c>
      <c r="D3284" t="s">
        <v>3782</v>
      </c>
      <c r="E3284" t="str">
        <f>"00064265"</f>
        <v>00064265</v>
      </c>
      <c r="F3284">
        <v>0</v>
      </c>
      <c r="G3284" s="243">
        <v>40511</v>
      </c>
      <c r="H3284" t="s">
        <v>182</v>
      </c>
      <c r="I3284">
        <v>15</v>
      </c>
      <c r="J3284">
        <v>11</v>
      </c>
      <c r="K3284">
        <v>1</v>
      </c>
      <c r="L3284">
        <v>81335</v>
      </c>
      <c r="M3284" t="str">
        <f t="shared" si="476"/>
        <v>13</v>
      </c>
      <c r="N3284" t="s">
        <v>3323</v>
      </c>
      <c r="O3284" t="str">
        <f t="shared" si="474"/>
        <v>60911</v>
      </c>
      <c r="P3284" t="str">
        <f>"2100L"</f>
        <v>2100L</v>
      </c>
      <c r="Q3284" t="str">
        <f t="shared" si="469"/>
        <v>0101</v>
      </c>
      <c r="R3284">
        <v>2100</v>
      </c>
      <c r="S3284" t="str">
        <f t="shared" si="475"/>
        <v>6090</v>
      </c>
      <c r="T3284" t="s">
        <v>3770</v>
      </c>
      <c r="U3284" t="s">
        <v>75</v>
      </c>
    </row>
    <row r="3285" spans="1:21" ht="15" customHeight="1" x14ac:dyDescent="0.3">
      <c r="A3285" t="s">
        <v>179</v>
      </c>
      <c r="B3285" t="str">
        <f>"00057365"</f>
        <v>00057365</v>
      </c>
      <c r="C3285" t="s">
        <v>4262</v>
      </c>
      <c r="D3285" t="s">
        <v>2684</v>
      </c>
      <c r="E3285" t="str">
        <f>"00045160"</f>
        <v>00045160</v>
      </c>
      <c r="F3285">
        <v>0</v>
      </c>
      <c r="G3285" s="243">
        <v>36761</v>
      </c>
      <c r="H3285" t="s">
        <v>182</v>
      </c>
      <c r="I3285">
        <v>15</v>
      </c>
      <c r="J3285">
        <v>14</v>
      </c>
      <c r="K3285">
        <v>1</v>
      </c>
      <c r="L3285">
        <v>96460</v>
      </c>
      <c r="M3285" t="str">
        <f t="shared" si="476"/>
        <v>13</v>
      </c>
      <c r="N3285" t="s">
        <v>3323</v>
      </c>
      <c r="O3285" t="str">
        <f t="shared" si="474"/>
        <v>60911</v>
      </c>
      <c r="P3285" t="str">
        <f>"2100L"</f>
        <v>2100L</v>
      </c>
      <c r="Q3285" t="str">
        <f t="shared" si="469"/>
        <v>0101</v>
      </c>
      <c r="R3285">
        <v>2100</v>
      </c>
      <c r="S3285" t="str">
        <f t="shared" si="475"/>
        <v>6090</v>
      </c>
      <c r="T3285" t="s">
        <v>3770</v>
      </c>
      <c r="U3285" t="s">
        <v>75</v>
      </c>
    </row>
    <row r="3286" spans="1:21" ht="15" customHeight="1" x14ac:dyDescent="0.3">
      <c r="A3286" t="s">
        <v>179</v>
      </c>
      <c r="B3286" t="str">
        <f>"00057407"</f>
        <v>00057407</v>
      </c>
      <c r="C3286" t="s">
        <v>4254</v>
      </c>
      <c r="D3286" t="s">
        <v>3778</v>
      </c>
      <c r="E3286" t="str">
        <f>"00064359"</f>
        <v>00064359</v>
      </c>
      <c r="F3286">
        <v>0</v>
      </c>
      <c r="G3286" s="243">
        <v>40530</v>
      </c>
      <c r="H3286" t="s">
        <v>182</v>
      </c>
      <c r="I3286">
        <v>15</v>
      </c>
      <c r="J3286">
        <v>11</v>
      </c>
      <c r="K3286">
        <v>1</v>
      </c>
      <c r="L3286">
        <v>81335</v>
      </c>
      <c r="M3286" t="str">
        <f t="shared" si="476"/>
        <v>13</v>
      </c>
      <c r="N3286" t="s">
        <v>3370</v>
      </c>
      <c r="O3286" t="str">
        <f t="shared" si="474"/>
        <v>60911</v>
      </c>
      <c r="P3286" t="str">
        <f>"2100L"</f>
        <v>2100L</v>
      </c>
      <c r="Q3286" t="str">
        <f t="shared" si="469"/>
        <v>0101</v>
      </c>
      <c r="R3286">
        <v>2100</v>
      </c>
      <c r="S3286" t="str">
        <f t="shared" si="475"/>
        <v>6090</v>
      </c>
      <c r="T3286" t="s">
        <v>3770</v>
      </c>
      <c r="U3286" t="s">
        <v>75</v>
      </c>
    </row>
    <row r="3287" spans="1:21" ht="15" customHeight="1" x14ac:dyDescent="0.3">
      <c r="A3287" t="s">
        <v>179</v>
      </c>
      <c r="B3287" t="str">
        <f>"00057803"</f>
        <v>00057803</v>
      </c>
      <c r="C3287" t="s">
        <v>4260</v>
      </c>
      <c r="D3287" t="s">
        <v>3781</v>
      </c>
      <c r="E3287" t="str">
        <f>"00064402"</f>
        <v>00064402</v>
      </c>
      <c r="F3287">
        <v>0</v>
      </c>
      <c r="G3287" s="243">
        <v>40546</v>
      </c>
      <c r="H3287" t="s">
        <v>182</v>
      </c>
      <c r="I3287">
        <v>15</v>
      </c>
      <c r="J3287">
        <v>2</v>
      </c>
      <c r="K3287">
        <v>1</v>
      </c>
      <c r="L3287">
        <v>51716</v>
      </c>
      <c r="M3287" t="str">
        <f t="shared" si="476"/>
        <v>13</v>
      </c>
      <c r="N3287" t="s">
        <v>3323</v>
      </c>
      <c r="O3287" t="str">
        <f t="shared" si="474"/>
        <v>60911</v>
      </c>
      <c r="P3287" t="str">
        <f>"3030L"</f>
        <v>3030L</v>
      </c>
      <c r="Q3287" t="str">
        <f t="shared" ref="Q3287:Q3349" si="477">"0101"</f>
        <v>0101</v>
      </c>
      <c r="R3287">
        <v>3030</v>
      </c>
      <c r="S3287" t="str">
        <f t="shared" si="475"/>
        <v>6090</v>
      </c>
      <c r="T3287" t="s">
        <v>3770</v>
      </c>
      <c r="U3287" t="s">
        <v>75</v>
      </c>
    </row>
    <row r="3288" spans="1:21" ht="15" customHeight="1" x14ac:dyDescent="0.3">
      <c r="A3288" t="s">
        <v>179</v>
      </c>
      <c r="B3288" t="str">
        <f>"00058644"</f>
        <v>00058644</v>
      </c>
      <c r="C3288" t="s">
        <v>4260</v>
      </c>
      <c r="D3288" t="s">
        <v>2686</v>
      </c>
      <c r="E3288" t="str">
        <f>"00046495"</f>
        <v>00046495</v>
      </c>
      <c r="F3288">
        <v>0</v>
      </c>
      <c r="G3288" s="243">
        <v>38949</v>
      </c>
      <c r="H3288" t="s">
        <v>182</v>
      </c>
      <c r="I3288">
        <v>15</v>
      </c>
      <c r="J3288">
        <v>10</v>
      </c>
      <c r="K3288">
        <v>1</v>
      </c>
      <c r="L3288">
        <v>78273</v>
      </c>
      <c r="M3288" t="str">
        <f t="shared" si="476"/>
        <v>13</v>
      </c>
      <c r="N3288" t="s">
        <v>3323</v>
      </c>
      <c r="O3288" t="str">
        <f t="shared" si="474"/>
        <v>60911</v>
      </c>
      <c r="P3288" t="str">
        <f>"3030L"</f>
        <v>3030L</v>
      </c>
      <c r="Q3288" t="str">
        <f t="shared" si="477"/>
        <v>0101</v>
      </c>
      <c r="R3288">
        <v>3030</v>
      </c>
      <c r="S3288" t="str">
        <f t="shared" si="475"/>
        <v>6090</v>
      </c>
      <c r="T3288" t="s">
        <v>3770</v>
      </c>
      <c r="U3288" t="s">
        <v>75</v>
      </c>
    </row>
    <row r="3289" spans="1:21" ht="15" customHeight="1" x14ac:dyDescent="0.3">
      <c r="A3289" t="s">
        <v>179</v>
      </c>
      <c r="B3289" t="str">
        <f>"00058912"</f>
        <v>00058912</v>
      </c>
      <c r="C3289" t="s">
        <v>4260</v>
      </c>
      <c r="H3289" t="s">
        <v>170</v>
      </c>
      <c r="I3289">
        <v>15</v>
      </c>
      <c r="J3289">
        <v>1</v>
      </c>
      <c r="K3289">
        <v>1</v>
      </c>
      <c r="L3289">
        <v>54975</v>
      </c>
      <c r="M3289" t="str">
        <f t="shared" si="476"/>
        <v>13</v>
      </c>
      <c r="N3289" t="s">
        <v>3323</v>
      </c>
      <c r="O3289" t="str">
        <f t="shared" si="474"/>
        <v>60911</v>
      </c>
      <c r="P3289" t="str">
        <f>"3030L"</f>
        <v>3030L</v>
      </c>
      <c r="Q3289" t="str">
        <f t="shared" si="477"/>
        <v>0101</v>
      </c>
      <c r="R3289">
        <v>3030</v>
      </c>
      <c r="S3289" t="str">
        <f t="shared" si="475"/>
        <v>6090</v>
      </c>
      <c r="T3289" t="s">
        <v>3770</v>
      </c>
      <c r="U3289" t="s">
        <v>75</v>
      </c>
    </row>
    <row r="3290" spans="1:21" ht="15" customHeight="1" x14ac:dyDescent="0.3">
      <c r="A3290" t="s">
        <v>179</v>
      </c>
      <c r="B3290" t="str">
        <f>"00059059"</f>
        <v>00059059</v>
      </c>
      <c r="C3290" t="s">
        <v>4290</v>
      </c>
      <c r="D3290" t="s">
        <v>5296</v>
      </c>
      <c r="E3290" t="str">
        <f>"00029831"</f>
        <v>00029831</v>
      </c>
      <c r="F3290">
        <v>1</v>
      </c>
      <c r="G3290" s="243">
        <v>37536</v>
      </c>
      <c r="H3290" t="s">
        <v>182</v>
      </c>
      <c r="I3290">
        <v>4</v>
      </c>
      <c r="J3290">
        <v>9</v>
      </c>
      <c r="K3290">
        <v>0.875</v>
      </c>
      <c r="L3290">
        <v>28025.38</v>
      </c>
      <c r="M3290" t="str">
        <f t="shared" si="476"/>
        <v>13</v>
      </c>
      <c r="N3290" t="s">
        <v>3323</v>
      </c>
      <c r="O3290" t="str">
        <f t="shared" si="474"/>
        <v>60911</v>
      </c>
      <c r="P3290" t="str">
        <f>"3030L"</f>
        <v>3030L</v>
      </c>
      <c r="Q3290" t="str">
        <f t="shared" si="477"/>
        <v>0101</v>
      </c>
      <c r="R3290">
        <v>3030</v>
      </c>
      <c r="S3290" t="str">
        <f t="shared" si="475"/>
        <v>6090</v>
      </c>
      <c r="T3290" t="s">
        <v>3770</v>
      </c>
      <c r="U3290" t="s">
        <v>75</v>
      </c>
    </row>
    <row r="3291" spans="1:21" ht="15" customHeight="1" x14ac:dyDescent="0.3">
      <c r="A3291" t="s">
        <v>179</v>
      </c>
      <c r="B3291" t="str">
        <f>"00059504"</f>
        <v>00059504</v>
      </c>
      <c r="C3291" t="s">
        <v>4272</v>
      </c>
      <c r="D3291" t="s">
        <v>2687</v>
      </c>
      <c r="E3291" t="str">
        <f>"00055260"</f>
        <v>00055260</v>
      </c>
      <c r="F3291">
        <v>0</v>
      </c>
      <c r="G3291" s="243">
        <v>37916</v>
      </c>
      <c r="H3291" t="s">
        <v>182</v>
      </c>
      <c r="I3291">
        <v>15</v>
      </c>
      <c r="J3291">
        <v>13</v>
      </c>
      <c r="K3291">
        <v>1</v>
      </c>
      <c r="L3291">
        <v>95366</v>
      </c>
      <c r="M3291" t="str">
        <f t="shared" si="476"/>
        <v>13</v>
      </c>
      <c r="N3291" t="s">
        <v>3323</v>
      </c>
      <c r="O3291" t="str">
        <f t="shared" si="474"/>
        <v>60911</v>
      </c>
      <c r="P3291" t="str">
        <f>"2200L"</f>
        <v>2200L</v>
      </c>
      <c r="Q3291" t="str">
        <f t="shared" si="477"/>
        <v>0101</v>
      </c>
      <c r="R3291">
        <v>2200</v>
      </c>
      <c r="S3291" t="str">
        <f t="shared" si="475"/>
        <v>6090</v>
      </c>
      <c r="T3291" t="s">
        <v>3770</v>
      </c>
      <c r="U3291" t="s">
        <v>75</v>
      </c>
    </row>
    <row r="3292" spans="1:21" ht="15" customHeight="1" x14ac:dyDescent="0.3">
      <c r="A3292" t="s">
        <v>179</v>
      </c>
      <c r="B3292" t="str">
        <f>"00060167"</f>
        <v>00060167</v>
      </c>
      <c r="C3292" t="s">
        <v>4290</v>
      </c>
      <c r="D3292" t="s">
        <v>5297</v>
      </c>
      <c r="E3292" t="str">
        <f>"00051675"</f>
        <v>00051675</v>
      </c>
      <c r="F3292">
        <v>0</v>
      </c>
      <c r="G3292" s="243">
        <v>38404</v>
      </c>
      <c r="H3292" t="s">
        <v>182</v>
      </c>
      <c r="I3292">
        <v>4</v>
      </c>
      <c r="J3292">
        <v>6</v>
      </c>
      <c r="K3292">
        <v>0.875</v>
      </c>
      <c r="L3292">
        <v>25935.88</v>
      </c>
      <c r="M3292" t="str">
        <f t="shared" si="476"/>
        <v>13</v>
      </c>
      <c r="N3292" t="s">
        <v>3323</v>
      </c>
      <c r="O3292" t="str">
        <f t="shared" si="474"/>
        <v>60911</v>
      </c>
      <c r="P3292" t="str">
        <f>"3030L"</f>
        <v>3030L</v>
      </c>
      <c r="Q3292" t="str">
        <f t="shared" si="477"/>
        <v>0101</v>
      </c>
      <c r="R3292">
        <v>3030</v>
      </c>
      <c r="S3292" t="str">
        <f t="shared" si="475"/>
        <v>6090</v>
      </c>
      <c r="T3292" t="s">
        <v>3770</v>
      </c>
      <c r="U3292" t="s">
        <v>75</v>
      </c>
    </row>
    <row r="3293" spans="1:21" ht="15" customHeight="1" x14ac:dyDescent="0.3">
      <c r="A3293" t="s">
        <v>179</v>
      </c>
      <c r="B3293" t="str">
        <f>"00060367"</f>
        <v>00060367</v>
      </c>
      <c r="C3293" t="s">
        <v>4259</v>
      </c>
      <c r="D3293" t="s">
        <v>3780</v>
      </c>
      <c r="E3293" t="str">
        <f>"00065685"</f>
        <v>00065685</v>
      </c>
      <c r="F3293">
        <v>0</v>
      </c>
      <c r="G3293" s="243">
        <v>40770</v>
      </c>
      <c r="H3293" t="s">
        <v>182</v>
      </c>
      <c r="I3293">
        <v>15</v>
      </c>
      <c r="J3293">
        <v>11</v>
      </c>
      <c r="K3293">
        <v>1</v>
      </c>
      <c r="L3293">
        <v>86236</v>
      </c>
      <c r="M3293" t="str">
        <f t="shared" si="476"/>
        <v>13</v>
      </c>
      <c r="N3293" t="s">
        <v>3323</v>
      </c>
      <c r="O3293" t="str">
        <f t="shared" si="474"/>
        <v>60911</v>
      </c>
      <c r="P3293" t="str">
        <f>"2100L"</f>
        <v>2100L</v>
      </c>
      <c r="Q3293" t="str">
        <f t="shared" si="477"/>
        <v>0101</v>
      </c>
      <c r="R3293">
        <v>2100</v>
      </c>
      <c r="S3293" t="str">
        <f t="shared" si="475"/>
        <v>6090</v>
      </c>
      <c r="T3293" t="s">
        <v>3770</v>
      </c>
      <c r="U3293" t="s">
        <v>75</v>
      </c>
    </row>
    <row r="3294" spans="1:21" ht="15" customHeight="1" x14ac:dyDescent="0.3">
      <c r="A3294" t="s">
        <v>179</v>
      </c>
      <c r="B3294" t="str">
        <f>"00060483"</f>
        <v>00060483</v>
      </c>
      <c r="C3294" t="s">
        <v>4290</v>
      </c>
      <c r="D3294" t="s">
        <v>5298</v>
      </c>
      <c r="E3294" t="str">
        <f>"00058654"</f>
        <v>00058654</v>
      </c>
      <c r="F3294">
        <v>0</v>
      </c>
      <c r="G3294" s="243">
        <v>40087</v>
      </c>
      <c r="H3294" t="s">
        <v>182</v>
      </c>
      <c r="I3294">
        <v>4</v>
      </c>
      <c r="J3294">
        <v>6</v>
      </c>
      <c r="K3294">
        <v>0.875</v>
      </c>
      <c r="L3294">
        <v>25935.88</v>
      </c>
      <c r="M3294" t="str">
        <f t="shared" si="476"/>
        <v>13</v>
      </c>
      <c r="N3294" t="s">
        <v>3370</v>
      </c>
      <c r="O3294" t="str">
        <f t="shared" si="474"/>
        <v>60911</v>
      </c>
      <c r="P3294" t="str">
        <f>"2200L"</f>
        <v>2200L</v>
      </c>
      <c r="Q3294" t="str">
        <f t="shared" si="477"/>
        <v>0101</v>
      </c>
      <c r="R3294">
        <v>2200</v>
      </c>
      <c r="S3294" t="str">
        <f t="shared" si="475"/>
        <v>6090</v>
      </c>
      <c r="T3294" t="s">
        <v>3770</v>
      </c>
      <c r="U3294" t="s">
        <v>75</v>
      </c>
    </row>
    <row r="3295" spans="1:21" ht="15" customHeight="1" x14ac:dyDescent="0.3">
      <c r="A3295" t="s">
        <v>179</v>
      </c>
      <c r="B3295" t="str">
        <f>"00060505"</f>
        <v>00060505</v>
      </c>
      <c r="C3295" t="s">
        <v>4262</v>
      </c>
      <c r="D3295" t="s">
        <v>5299</v>
      </c>
      <c r="E3295" t="str">
        <f>"00069565"</f>
        <v>00069565</v>
      </c>
      <c r="F3295">
        <v>0</v>
      </c>
      <c r="G3295" s="243">
        <v>41133</v>
      </c>
      <c r="H3295" t="s">
        <v>182</v>
      </c>
      <c r="I3295">
        <v>15</v>
      </c>
      <c r="J3295">
        <v>10</v>
      </c>
      <c r="K3295">
        <v>1</v>
      </c>
      <c r="L3295">
        <v>78273</v>
      </c>
      <c r="M3295" t="str">
        <f t="shared" si="476"/>
        <v>13</v>
      </c>
      <c r="N3295" t="s">
        <v>3370</v>
      </c>
      <c r="O3295" t="str">
        <f t="shared" si="474"/>
        <v>60911</v>
      </c>
      <c r="P3295" t="str">
        <f>"2100L"</f>
        <v>2100L</v>
      </c>
      <c r="Q3295" t="str">
        <f t="shared" si="477"/>
        <v>0101</v>
      </c>
      <c r="R3295">
        <v>2100</v>
      </c>
      <c r="S3295" t="str">
        <f t="shared" si="475"/>
        <v>6090</v>
      </c>
      <c r="T3295" t="s">
        <v>3770</v>
      </c>
      <c r="U3295" t="s">
        <v>75</v>
      </c>
    </row>
    <row r="3296" spans="1:21" ht="15" customHeight="1" x14ac:dyDescent="0.3">
      <c r="A3296" t="s">
        <v>179</v>
      </c>
      <c r="B3296" t="str">
        <f>"00060541"</f>
        <v>00060541</v>
      </c>
      <c r="C3296" t="s">
        <v>4253</v>
      </c>
      <c r="D3296" t="s">
        <v>3773</v>
      </c>
      <c r="E3296" t="str">
        <f>"00066898"</f>
        <v>00066898</v>
      </c>
      <c r="F3296">
        <v>0</v>
      </c>
      <c r="G3296" s="243">
        <v>40755</v>
      </c>
      <c r="H3296" t="s">
        <v>182</v>
      </c>
      <c r="I3296">
        <v>15</v>
      </c>
      <c r="J3296">
        <v>1</v>
      </c>
      <c r="K3296">
        <v>1</v>
      </c>
      <c r="L3296">
        <v>51539</v>
      </c>
      <c r="M3296" t="str">
        <f t="shared" si="476"/>
        <v>13</v>
      </c>
      <c r="N3296" t="s">
        <v>3323</v>
      </c>
      <c r="O3296" t="str">
        <f t="shared" si="474"/>
        <v>60911</v>
      </c>
      <c r="P3296" t="str">
        <f>"2100L"</f>
        <v>2100L</v>
      </c>
      <c r="Q3296" t="str">
        <f t="shared" si="477"/>
        <v>0101</v>
      </c>
      <c r="R3296">
        <v>2100</v>
      </c>
      <c r="S3296" t="str">
        <f t="shared" si="475"/>
        <v>6090</v>
      </c>
      <c r="T3296" t="s">
        <v>3770</v>
      </c>
      <c r="U3296" t="s">
        <v>75</v>
      </c>
    </row>
    <row r="3297" spans="1:21" ht="15" customHeight="1" x14ac:dyDescent="0.3">
      <c r="A3297" t="s">
        <v>179</v>
      </c>
      <c r="B3297" t="str">
        <f>"00060787"</f>
        <v>00060787</v>
      </c>
      <c r="C3297" t="s">
        <v>4256</v>
      </c>
      <c r="H3297" t="s">
        <v>170</v>
      </c>
      <c r="I3297">
        <v>15</v>
      </c>
      <c r="J3297">
        <v>1</v>
      </c>
      <c r="K3297">
        <v>1</v>
      </c>
      <c r="L3297">
        <v>54975</v>
      </c>
      <c r="M3297" t="str">
        <f t="shared" si="476"/>
        <v>13</v>
      </c>
      <c r="N3297" t="s">
        <v>3323</v>
      </c>
      <c r="O3297" t="str">
        <f t="shared" si="474"/>
        <v>60911</v>
      </c>
      <c r="P3297" t="str">
        <f>"2100L"</f>
        <v>2100L</v>
      </c>
      <c r="Q3297" t="str">
        <f t="shared" si="477"/>
        <v>0101</v>
      </c>
      <c r="R3297">
        <v>2100</v>
      </c>
      <c r="S3297" t="str">
        <f t="shared" si="475"/>
        <v>6090</v>
      </c>
      <c r="T3297" t="s">
        <v>3770</v>
      </c>
      <c r="U3297" t="s">
        <v>75</v>
      </c>
    </row>
    <row r="3298" spans="1:21" ht="15" customHeight="1" x14ac:dyDescent="0.3">
      <c r="A3298" t="s">
        <v>179</v>
      </c>
      <c r="B3298" t="str">
        <f>"00060851"</f>
        <v>00060851</v>
      </c>
      <c r="C3298" t="s">
        <v>3798</v>
      </c>
      <c r="D3298" t="s">
        <v>2690</v>
      </c>
      <c r="E3298" t="str">
        <f>"00062631"</f>
        <v>00062631</v>
      </c>
      <c r="F3298">
        <v>0</v>
      </c>
      <c r="G3298" s="243">
        <v>40392</v>
      </c>
      <c r="H3298" t="s">
        <v>182</v>
      </c>
      <c r="I3298">
        <v>61</v>
      </c>
      <c r="J3298">
        <v>7</v>
      </c>
      <c r="K3298">
        <v>1</v>
      </c>
      <c r="L3298">
        <v>128000</v>
      </c>
      <c r="M3298" t="str">
        <f t="shared" si="476"/>
        <v>13</v>
      </c>
      <c r="N3298" t="s">
        <v>3323</v>
      </c>
      <c r="O3298" t="str">
        <f t="shared" si="474"/>
        <v>60911</v>
      </c>
      <c r="P3298" t="str">
        <f>"1501L"</f>
        <v>1501L</v>
      </c>
      <c r="Q3298" t="str">
        <f t="shared" si="477"/>
        <v>0101</v>
      </c>
      <c r="R3298">
        <v>1501</v>
      </c>
      <c r="S3298" t="str">
        <f t="shared" si="475"/>
        <v>6090</v>
      </c>
      <c r="T3298" t="s">
        <v>3770</v>
      </c>
      <c r="U3298" t="s">
        <v>75</v>
      </c>
    </row>
    <row r="3299" spans="1:21" ht="15" customHeight="1" x14ac:dyDescent="0.3">
      <c r="A3299" t="s">
        <v>179</v>
      </c>
      <c r="B3299" t="str">
        <f>"00060944"</f>
        <v>00060944</v>
      </c>
      <c r="C3299" t="s">
        <v>4272</v>
      </c>
      <c r="D3299" t="s">
        <v>3783</v>
      </c>
      <c r="E3299" t="str">
        <f>"00065863"</f>
        <v>00065863</v>
      </c>
      <c r="F3299">
        <v>0</v>
      </c>
      <c r="G3299" s="243">
        <v>40755</v>
      </c>
      <c r="H3299" t="s">
        <v>182</v>
      </c>
      <c r="I3299">
        <v>15</v>
      </c>
      <c r="J3299">
        <v>2</v>
      </c>
      <c r="K3299">
        <v>1</v>
      </c>
      <c r="L3299">
        <v>51716</v>
      </c>
      <c r="M3299" t="str">
        <f t="shared" si="476"/>
        <v>13</v>
      </c>
      <c r="N3299" t="s">
        <v>3323</v>
      </c>
      <c r="O3299" t="str">
        <f t="shared" si="474"/>
        <v>60911</v>
      </c>
      <c r="P3299" t="str">
        <f>"2100L"</f>
        <v>2100L</v>
      </c>
      <c r="Q3299" t="str">
        <f t="shared" si="477"/>
        <v>0101</v>
      </c>
      <c r="R3299">
        <v>2100</v>
      </c>
      <c r="S3299" t="str">
        <f t="shared" si="475"/>
        <v>6090</v>
      </c>
      <c r="T3299" t="s">
        <v>3770</v>
      </c>
      <c r="U3299" t="s">
        <v>75</v>
      </c>
    </row>
    <row r="3300" spans="1:21" ht="15" customHeight="1" x14ac:dyDescent="0.3">
      <c r="A3300" t="s">
        <v>179</v>
      </c>
      <c r="B3300" t="str">
        <f>"00061160"</f>
        <v>00061160</v>
      </c>
      <c r="C3300" t="s">
        <v>4262</v>
      </c>
      <c r="D3300" t="s">
        <v>5300</v>
      </c>
      <c r="E3300" t="str">
        <f>"00069546"</f>
        <v>00069546</v>
      </c>
      <c r="F3300">
        <v>0</v>
      </c>
      <c r="G3300" s="243">
        <v>41133</v>
      </c>
      <c r="H3300" t="s">
        <v>182</v>
      </c>
      <c r="I3300">
        <v>15</v>
      </c>
      <c r="J3300">
        <v>10</v>
      </c>
      <c r="K3300">
        <v>1</v>
      </c>
      <c r="L3300">
        <v>80729</v>
      </c>
      <c r="M3300" t="str">
        <f t="shared" si="476"/>
        <v>13</v>
      </c>
      <c r="N3300" t="s">
        <v>3370</v>
      </c>
      <c r="O3300" t="str">
        <f t="shared" si="474"/>
        <v>60911</v>
      </c>
      <c r="P3300" t="str">
        <f>"2100L"</f>
        <v>2100L</v>
      </c>
      <c r="Q3300" t="str">
        <f t="shared" si="477"/>
        <v>0101</v>
      </c>
      <c r="R3300">
        <v>2100</v>
      </c>
      <c r="S3300" t="str">
        <f t="shared" si="475"/>
        <v>6090</v>
      </c>
      <c r="T3300" t="s">
        <v>3770</v>
      </c>
      <c r="U3300" t="s">
        <v>75</v>
      </c>
    </row>
    <row r="3301" spans="1:21" ht="15" customHeight="1" x14ac:dyDescent="0.3">
      <c r="A3301" t="s">
        <v>179</v>
      </c>
      <c r="B3301" t="str">
        <f>"00061427"</f>
        <v>00061427</v>
      </c>
      <c r="C3301" t="s">
        <v>4260</v>
      </c>
      <c r="D3301" t="s">
        <v>2691</v>
      </c>
      <c r="E3301" t="str">
        <f>"00049068"</f>
        <v>00049068</v>
      </c>
      <c r="F3301">
        <v>0</v>
      </c>
      <c r="G3301" s="243">
        <v>39315</v>
      </c>
      <c r="H3301" t="s">
        <v>182</v>
      </c>
      <c r="I3301">
        <v>15</v>
      </c>
      <c r="J3301">
        <v>6</v>
      </c>
      <c r="K3301">
        <v>1</v>
      </c>
      <c r="L3301">
        <v>66078</v>
      </c>
      <c r="M3301" t="str">
        <f t="shared" si="476"/>
        <v>13</v>
      </c>
      <c r="N3301" t="s">
        <v>3323</v>
      </c>
      <c r="O3301" t="str">
        <f t="shared" si="474"/>
        <v>60911</v>
      </c>
      <c r="P3301" t="str">
        <f>"2100L"</f>
        <v>2100L</v>
      </c>
      <c r="Q3301" t="str">
        <f t="shared" si="477"/>
        <v>0101</v>
      </c>
      <c r="R3301">
        <v>2100</v>
      </c>
      <c r="S3301" t="str">
        <f t="shared" si="475"/>
        <v>6090</v>
      </c>
      <c r="T3301" t="s">
        <v>3770</v>
      </c>
      <c r="U3301" t="s">
        <v>75</v>
      </c>
    </row>
    <row r="3302" spans="1:21" ht="15" customHeight="1" x14ac:dyDescent="0.3">
      <c r="A3302" t="s">
        <v>179</v>
      </c>
      <c r="B3302" t="str">
        <f>"00061557"</f>
        <v>00061557</v>
      </c>
      <c r="C3302" t="s">
        <v>4272</v>
      </c>
      <c r="D3302" t="s">
        <v>2692</v>
      </c>
      <c r="E3302" t="str">
        <f>"00055055"</f>
        <v>00055055</v>
      </c>
      <c r="F3302">
        <v>0</v>
      </c>
      <c r="G3302" s="243">
        <v>39356</v>
      </c>
      <c r="H3302" t="s">
        <v>182</v>
      </c>
      <c r="I3302">
        <v>15</v>
      </c>
      <c r="J3302">
        <v>12</v>
      </c>
      <c r="K3302">
        <v>1</v>
      </c>
      <c r="L3302">
        <v>87431</v>
      </c>
      <c r="M3302" t="str">
        <f t="shared" si="476"/>
        <v>13</v>
      </c>
      <c r="N3302" t="s">
        <v>3323</v>
      </c>
      <c r="O3302" t="str">
        <f t="shared" si="474"/>
        <v>60911</v>
      </c>
      <c r="P3302" t="str">
        <f>"2200L"</f>
        <v>2200L</v>
      </c>
      <c r="Q3302" t="str">
        <f t="shared" si="477"/>
        <v>0101</v>
      </c>
      <c r="R3302">
        <v>2200</v>
      </c>
      <c r="S3302" t="str">
        <f t="shared" si="475"/>
        <v>6090</v>
      </c>
      <c r="T3302" t="s">
        <v>3770</v>
      </c>
      <c r="U3302" t="s">
        <v>75</v>
      </c>
    </row>
    <row r="3303" spans="1:21" ht="15" customHeight="1" x14ac:dyDescent="0.3">
      <c r="A3303" t="s">
        <v>179</v>
      </c>
      <c r="B3303" t="str">
        <f>"00062250"</f>
        <v>00062250</v>
      </c>
      <c r="C3303" t="s">
        <v>4262</v>
      </c>
      <c r="H3303" t="s">
        <v>170</v>
      </c>
      <c r="I3303">
        <v>15</v>
      </c>
      <c r="J3303">
        <v>1</v>
      </c>
      <c r="K3303">
        <v>1</v>
      </c>
      <c r="L3303">
        <v>56693</v>
      </c>
      <c r="M3303" t="str">
        <f t="shared" si="476"/>
        <v>13</v>
      </c>
      <c r="N3303" t="s">
        <v>3323</v>
      </c>
      <c r="O3303" t="str">
        <f t="shared" ref="O3303:O3333" si="478">"60911"</f>
        <v>60911</v>
      </c>
      <c r="P3303" t="str">
        <f>"2100L"</f>
        <v>2100L</v>
      </c>
      <c r="Q3303" t="str">
        <f t="shared" si="477"/>
        <v>0101</v>
      </c>
      <c r="R3303">
        <v>2100</v>
      </c>
      <c r="S3303" t="str">
        <f t="shared" ref="S3303:S3333" si="479">"6090"</f>
        <v>6090</v>
      </c>
      <c r="T3303" t="s">
        <v>3770</v>
      </c>
      <c r="U3303" t="s">
        <v>75</v>
      </c>
    </row>
    <row r="3304" spans="1:21" ht="15" customHeight="1" x14ac:dyDescent="0.3">
      <c r="A3304" t="s">
        <v>179</v>
      </c>
      <c r="B3304" t="str">
        <f>"00062265"</f>
        <v>00062265</v>
      </c>
      <c r="C3304" t="s">
        <v>4260</v>
      </c>
      <c r="D3304" t="s">
        <v>2694</v>
      </c>
      <c r="E3304" t="str">
        <f>"00046892"</f>
        <v>00046892</v>
      </c>
      <c r="F3304">
        <v>0</v>
      </c>
      <c r="G3304" s="243">
        <v>39679</v>
      </c>
      <c r="H3304" t="s">
        <v>182</v>
      </c>
      <c r="I3304">
        <v>15</v>
      </c>
      <c r="J3304">
        <v>8</v>
      </c>
      <c r="K3304">
        <v>1</v>
      </c>
      <c r="L3304">
        <v>72171</v>
      </c>
      <c r="M3304" t="str">
        <f t="shared" si="476"/>
        <v>13</v>
      </c>
      <c r="N3304" t="s">
        <v>3323</v>
      </c>
      <c r="O3304" t="str">
        <f t="shared" si="478"/>
        <v>60911</v>
      </c>
      <c r="P3304" t="str">
        <f>"3030L"</f>
        <v>3030L</v>
      </c>
      <c r="Q3304" t="str">
        <f t="shared" si="477"/>
        <v>0101</v>
      </c>
      <c r="R3304">
        <v>3030</v>
      </c>
      <c r="S3304" t="str">
        <f t="shared" si="479"/>
        <v>6090</v>
      </c>
      <c r="T3304" t="s">
        <v>3770</v>
      </c>
      <c r="U3304" t="s">
        <v>75</v>
      </c>
    </row>
    <row r="3305" spans="1:21" ht="15" customHeight="1" x14ac:dyDescent="0.3">
      <c r="A3305" t="s">
        <v>179</v>
      </c>
      <c r="B3305" t="str">
        <f>"00062455"</f>
        <v>00062455</v>
      </c>
      <c r="C3305" t="s">
        <v>4288</v>
      </c>
      <c r="D3305" t="s">
        <v>5301</v>
      </c>
      <c r="E3305" t="str">
        <f>"00065742"</f>
        <v>00065742</v>
      </c>
      <c r="F3305">
        <v>0</v>
      </c>
      <c r="G3305" s="243">
        <v>40770</v>
      </c>
      <c r="H3305" t="s">
        <v>182</v>
      </c>
      <c r="I3305">
        <v>4</v>
      </c>
      <c r="J3305">
        <v>8</v>
      </c>
      <c r="K3305">
        <v>0.875</v>
      </c>
      <c r="L3305">
        <v>27329.75</v>
      </c>
      <c r="M3305" t="str">
        <f t="shared" si="476"/>
        <v>13</v>
      </c>
      <c r="N3305" t="s">
        <v>3323</v>
      </c>
      <c r="O3305" t="str">
        <f t="shared" si="478"/>
        <v>60911</v>
      </c>
      <c r="P3305" t="str">
        <f>"2200L"</f>
        <v>2200L</v>
      </c>
      <c r="Q3305" t="str">
        <f t="shared" si="477"/>
        <v>0101</v>
      </c>
      <c r="R3305">
        <v>2200</v>
      </c>
      <c r="S3305" t="str">
        <f t="shared" si="479"/>
        <v>6090</v>
      </c>
      <c r="T3305" t="s">
        <v>3770</v>
      </c>
      <c r="U3305" t="s">
        <v>75</v>
      </c>
    </row>
    <row r="3306" spans="1:21" ht="15" customHeight="1" x14ac:dyDescent="0.3">
      <c r="A3306" t="s">
        <v>179</v>
      </c>
      <c r="B3306" t="str">
        <f>"00062980"</f>
        <v>00062980</v>
      </c>
      <c r="C3306" t="s">
        <v>4272</v>
      </c>
      <c r="H3306" t="s">
        <v>170</v>
      </c>
      <c r="I3306">
        <v>15</v>
      </c>
      <c r="J3306">
        <v>1</v>
      </c>
      <c r="K3306">
        <v>1</v>
      </c>
      <c r="L3306">
        <v>51539</v>
      </c>
      <c r="M3306" t="str">
        <f t="shared" si="476"/>
        <v>13</v>
      </c>
      <c r="N3306" t="s">
        <v>3323</v>
      </c>
      <c r="O3306" t="str">
        <f t="shared" si="478"/>
        <v>60911</v>
      </c>
      <c r="P3306" t="str">
        <f>"2100L"</f>
        <v>2100L</v>
      </c>
      <c r="Q3306" t="str">
        <f t="shared" si="477"/>
        <v>0101</v>
      </c>
      <c r="R3306">
        <v>2100</v>
      </c>
      <c r="S3306" t="str">
        <f t="shared" si="479"/>
        <v>6090</v>
      </c>
      <c r="T3306" t="s">
        <v>3770</v>
      </c>
      <c r="U3306" t="s">
        <v>75</v>
      </c>
    </row>
    <row r="3307" spans="1:21" ht="15" customHeight="1" x14ac:dyDescent="0.3">
      <c r="A3307" t="s">
        <v>179</v>
      </c>
      <c r="B3307" t="str">
        <f>"00063083"</f>
        <v>00063083</v>
      </c>
      <c r="C3307" t="s">
        <v>4272</v>
      </c>
      <c r="D3307" t="s">
        <v>3777</v>
      </c>
      <c r="E3307" t="str">
        <f>"00065772"</f>
        <v>00065772</v>
      </c>
      <c r="F3307">
        <v>0</v>
      </c>
      <c r="G3307" s="243">
        <v>40755</v>
      </c>
      <c r="H3307" t="s">
        <v>182</v>
      </c>
      <c r="I3307">
        <v>15</v>
      </c>
      <c r="J3307">
        <v>2</v>
      </c>
      <c r="K3307">
        <v>1</v>
      </c>
      <c r="L3307">
        <v>51716</v>
      </c>
      <c r="M3307" t="str">
        <f t="shared" si="476"/>
        <v>13</v>
      </c>
      <c r="N3307" t="s">
        <v>3370</v>
      </c>
      <c r="O3307" t="str">
        <f t="shared" si="478"/>
        <v>60911</v>
      </c>
      <c r="P3307" t="str">
        <f>"2200L"</f>
        <v>2200L</v>
      </c>
      <c r="Q3307" t="str">
        <f t="shared" si="477"/>
        <v>0101</v>
      </c>
      <c r="R3307">
        <v>2200</v>
      </c>
      <c r="S3307" t="str">
        <f t="shared" si="479"/>
        <v>6090</v>
      </c>
      <c r="T3307" t="s">
        <v>3770</v>
      </c>
      <c r="U3307" t="s">
        <v>75</v>
      </c>
    </row>
    <row r="3308" spans="1:21" ht="15" customHeight="1" x14ac:dyDescent="0.3">
      <c r="A3308" t="s">
        <v>179</v>
      </c>
      <c r="B3308" t="str">
        <f>"00065708"</f>
        <v>00065708</v>
      </c>
      <c r="C3308" t="s">
        <v>4262</v>
      </c>
      <c r="D3308" t="s">
        <v>3774</v>
      </c>
      <c r="E3308" t="str">
        <f>"00066267"</f>
        <v>00066267</v>
      </c>
      <c r="F3308">
        <v>0</v>
      </c>
      <c r="G3308" s="243">
        <v>40755</v>
      </c>
      <c r="H3308" t="s">
        <v>182</v>
      </c>
      <c r="I3308">
        <v>15</v>
      </c>
      <c r="J3308">
        <v>2</v>
      </c>
      <c r="K3308">
        <v>1</v>
      </c>
      <c r="L3308">
        <v>51716</v>
      </c>
      <c r="M3308" t="str">
        <f t="shared" si="476"/>
        <v>13</v>
      </c>
      <c r="N3308" t="s">
        <v>3323</v>
      </c>
      <c r="O3308" t="str">
        <f t="shared" si="478"/>
        <v>60911</v>
      </c>
      <c r="P3308" t="str">
        <f>"2100L"</f>
        <v>2100L</v>
      </c>
      <c r="Q3308" t="str">
        <f t="shared" si="477"/>
        <v>0101</v>
      </c>
      <c r="R3308">
        <v>2100</v>
      </c>
      <c r="S3308" t="str">
        <f t="shared" si="479"/>
        <v>6090</v>
      </c>
      <c r="T3308" t="s">
        <v>3770</v>
      </c>
      <c r="U3308" t="s">
        <v>75</v>
      </c>
    </row>
    <row r="3309" spans="1:21" ht="15" customHeight="1" x14ac:dyDescent="0.3">
      <c r="A3309" t="s">
        <v>179</v>
      </c>
      <c r="B3309" t="str">
        <f>"00065709"</f>
        <v>00065709</v>
      </c>
      <c r="C3309" t="s">
        <v>4262</v>
      </c>
      <c r="H3309" t="s">
        <v>170</v>
      </c>
      <c r="I3309">
        <v>15</v>
      </c>
      <c r="J3309">
        <v>1</v>
      </c>
      <c r="K3309">
        <v>1</v>
      </c>
      <c r="L3309">
        <v>56693</v>
      </c>
      <c r="M3309" t="str">
        <f t="shared" si="476"/>
        <v>13</v>
      </c>
      <c r="N3309" t="s">
        <v>3323</v>
      </c>
      <c r="O3309" t="str">
        <f t="shared" si="478"/>
        <v>60911</v>
      </c>
      <c r="P3309" t="str">
        <f>"2100L"</f>
        <v>2100L</v>
      </c>
      <c r="Q3309" t="str">
        <f t="shared" si="477"/>
        <v>0101</v>
      </c>
      <c r="R3309">
        <v>2100</v>
      </c>
      <c r="S3309" t="str">
        <f t="shared" si="479"/>
        <v>6090</v>
      </c>
      <c r="T3309" t="s">
        <v>3770</v>
      </c>
      <c r="U3309" t="s">
        <v>75</v>
      </c>
    </row>
    <row r="3310" spans="1:21" ht="15" customHeight="1" x14ac:dyDescent="0.3">
      <c r="A3310" t="s">
        <v>179</v>
      </c>
      <c r="B3310" t="str">
        <f>"00065710"</f>
        <v>00065710</v>
      </c>
      <c r="C3310" t="s">
        <v>4260</v>
      </c>
      <c r="D3310" t="s">
        <v>3775</v>
      </c>
      <c r="E3310" t="str">
        <f>"00062898"</f>
        <v>00062898</v>
      </c>
      <c r="F3310">
        <v>0</v>
      </c>
      <c r="G3310" s="243">
        <v>40406</v>
      </c>
      <c r="H3310" t="s">
        <v>182</v>
      </c>
      <c r="I3310">
        <v>15</v>
      </c>
      <c r="J3310">
        <v>8</v>
      </c>
      <c r="K3310">
        <v>1</v>
      </c>
      <c r="L3310">
        <v>72171</v>
      </c>
      <c r="M3310" t="str">
        <f t="shared" si="476"/>
        <v>13</v>
      </c>
      <c r="N3310" t="s">
        <v>3323</v>
      </c>
      <c r="O3310" t="str">
        <f t="shared" si="478"/>
        <v>60911</v>
      </c>
      <c r="P3310" t="str">
        <f>"3030L"</f>
        <v>3030L</v>
      </c>
      <c r="Q3310" t="str">
        <f t="shared" si="477"/>
        <v>0101</v>
      </c>
      <c r="R3310">
        <v>3030</v>
      </c>
      <c r="S3310" t="str">
        <f t="shared" si="479"/>
        <v>6090</v>
      </c>
      <c r="T3310" t="s">
        <v>3770</v>
      </c>
      <c r="U3310" t="s">
        <v>75</v>
      </c>
    </row>
    <row r="3311" spans="1:21" ht="15" customHeight="1" x14ac:dyDescent="0.3">
      <c r="A3311" t="s">
        <v>179</v>
      </c>
      <c r="B3311" t="str">
        <f>"00065712"</f>
        <v>00065712</v>
      </c>
      <c r="C3311" t="s">
        <v>4272</v>
      </c>
      <c r="D3311" t="s">
        <v>2696</v>
      </c>
      <c r="E3311" t="str">
        <f>"00057824"</f>
        <v>00057824</v>
      </c>
      <c r="F3311">
        <v>0</v>
      </c>
      <c r="G3311" s="243">
        <v>40049</v>
      </c>
      <c r="H3311" t="s">
        <v>182</v>
      </c>
      <c r="I3311">
        <v>15</v>
      </c>
      <c r="J3311">
        <v>2</v>
      </c>
      <c r="K3311">
        <v>1</v>
      </c>
      <c r="L3311">
        <v>54099</v>
      </c>
      <c r="M3311" t="str">
        <f t="shared" si="476"/>
        <v>13</v>
      </c>
      <c r="N3311" t="s">
        <v>3323</v>
      </c>
      <c r="O3311" t="str">
        <f t="shared" si="478"/>
        <v>60911</v>
      </c>
      <c r="P3311" t="str">
        <f>"2100L"</f>
        <v>2100L</v>
      </c>
      <c r="Q3311" t="str">
        <f t="shared" si="477"/>
        <v>0101</v>
      </c>
      <c r="R3311">
        <v>2100</v>
      </c>
      <c r="S3311" t="str">
        <f t="shared" si="479"/>
        <v>6090</v>
      </c>
      <c r="T3311" t="s">
        <v>3770</v>
      </c>
      <c r="U3311" t="s">
        <v>75</v>
      </c>
    </row>
    <row r="3312" spans="1:21" ht="15" customHeight="1" x14ac:dyDescent="0.3">
      <c r="A3312" t="s">
        <v>179</v>
      </c>
      <c r="B3312" t="str">
        <f>"00066009"</f>
        <v>00066009</v>
      </c>
      <c r="C3312" t="s">
        <v>4290</v>
      </c>
      <c r="D3312" t="s">
        <v>5302</v>
      </c>
      <c r="E3312" t="str">
        <f>"00066932"</f>
        <v>00066932</v>
      </c>
      <c r="F3312">
        <v>0</v>
      </c>
      <c r="G3312" s="243">
        <v>40827</v>
      </c>
      <c r="H3312" t="s">
        <v>182</v>
      </c>
      <c r="I3312">
        <v>4</v>
      </c>
      <c r="J3312">
        <v>6</v>
      </c>
      <c r="K3312">
        <v>1</v>
      </c>
      <c r="L3312">
        <v>25935.88</v>
      </c>
      <c r="M3312" t="str">
        <f t="shared" si="476"/>
        <v>13</v>
      </c>
      <c r="N3312" t="s">
        <v>3323</v>
      </c>
      <c r="O3312" t="str">
        <f t="shared" si="478"/>
        <v>60911</v>
      </c>
      <c r="P3312" t="str">
        <f>"2200L"</f>
        <v>2200L</v>
      </c>
      <c r="Q3312" t="str">
        <f t="shared" si="477"/>
        <v>0101</v>
      </c>
      <c r="R3312">
        <v>2200</v>
      </c>
      <c r="S3312" t="str">
        <f t="shared" si="479"/>
        <v>6090</v>
      </c>
      <c r="T3312" t="s">
        <v>3770</v>
      </c>
      <c r="U3312" t="s">
        <v>75</v>
      </c>
    </row>
    <row r="3313" spans="1:21" ht="15" customHeight="1" x14ac:dyDescent="0.3">
      <c r="A3313" t="s">
        <v>179</v>
      </c>
      <c r="B3313" t="str">
        <f>"00066025"</f>
        <v>00066025</v>
      </c>
      <c r="C3313" t="s">
        <v>4290</v>
      </c>
      <c r="D3313" t="s">
        <v>5303</v>
      </c>
      <c r="E3313" t="str">
        <f>"00046424"</f>
        <v>00046424</v>
      </c>
      <c r="F3313">
        <v>0</v>
      </c>
      <c r="G3313" s="243">
        <v>26385</v>
      </c>
      <c r="H3313" t="s">
        <v>182</v>
      </c>
      <c r="I3313">
        <v>4</v>
      </c>
      <c r="J3313">
        <v>8</v>
      </c>
      <c r="K3313">
        <v>1</v>
      </c>
      <c r="L3313">
        <v>27329.75</v>
      </c>
      <c r="M3313" t="str">
        <f t="shared" si="476"/>
        <v>13</v>
      </c>
      <c r="N3313" t="s">
        <v>3323</v>
      </c>
      <c r="O3313" t="str">
        <f t="shared" si="478"/>
        <v>60911</v>
      </c>
      <c r="P3313" t="str">
        <f>"2200L"</f>
        <v>2200L</v>
      </c>
      <c r="Q3313" t="str">
        <f t="shared" si="477"/>
        <v>0101</v>
      </c>
      <c r="R3313">
        <v>2200</v>
      </c>
      <c r="S3313" t="str">
        <f t="shared" si="479"/>
        <v>6090</v>
      </c>
      <c r="T3313" t="s">
        <v>3770</v>
      </c>
      <c r="U3313" t="s">
        <v>75</v>
      </c>
    </row>
    <row r="3314" spans="1:21" ht="15" customHeight="1" x14ac:dyDescent="0.3">
      <c r="A3314" t="s">
        <v>179</v>
      </c>
      <c r="B3314" t="str">
        <f>"00066189"</f>
        <v>00066189</v>
      </c>
      <c r="C3314" t="s">
        <v>4274</v>
      </c>
      <c r="D3314" t="s">
        <v>5304</v>
      </c>
      <c r="E3314" t="str">
        <f>"00066753"</f>
        <v>00066753</v>
      </c>
      <c r="F3314">
        <v>0</v>
      </c>
      <c r="G3314" s="243">
        <v>40813</v>
      </c>
      <c r="H3314" t="s">
        <v>182</v>
      </c>
      <c r="I3314">
        <v>4</v>
      </c>
      <c r="J3314">
        <v>6</v>
      </c>
      <c r="K3314">
        <v>1</v>
      </c>
      <c r="L3314">
        <v>25935.88</v>
      </c>
      <c r="M3314" t="str">
        <f t="shared" si="476"/>
        <v>13</v>
      </c>
      <c r="N3314" t="s">
        <v>3323</v>
      </c>
      <c r="O3314" t="str">
        <f t="shared" si="478"/>
        <v>60911</v>
      </c>
      <c r="P3314" t="str">
        <f>"3030L"</f>
        <v>3030L</v>
      </c>
      <c r="Q3314" t="str">
        <f t="shared" si="477"/>
        <v>0101</v>
      </c>
      <c r="R3314">
        <v>3030</v>
      </c>
      <c r="S3314" t="str">
        <f t="shared" si="479"/>
        <v>6090</v>
      </c>
      <c r="T3314" t="s">
        <v>3770</v>
      </c>
      <c r="U3314" t="s">
        <v>75</v>
      </c>
    </row>
    <row r="3315" spans="1:21" ht="15" customHeight="1" x14ac:dyDescent="0.3">
      <c r="A3315" t="s">
        <v>179</v>
      </c>
      <c r="B3315" t="str">
        <f>"00066191"</f>
        <v>00066191</v>
      </c>
      <c r="C3315" t="s">
        <v>4274</v>
      </c>
      <c r="D3315" t="s">
        <v>5305</v>
      </c>
      <c r="E3315" t="str">
        <f>"00070068"</f>
        <v>00070068</v>
      </c>
      <c r="F3315">
        <v>0</v>
      </c>
      <c r="G3315" s="243">
        <v>41147</v>
      </c>
      <c r="H3315" t="s">
        <v>182</v>
      </c>
      <c r="I3315">
        <v>4</v>
      </c>
      <c r="J3315">
        <v>4</v>
      </c>
      <c r="K3315">
        <v>1</v>
      </c>
      <c r="L3315">
        <v>24543.75</v>
      </c>
      <c r="M3315" t="str">
        <f t="shared" si="476"/>
        <v>13</v>
      </c>
      <c r="N3315" t="s">
        <v>3370</v>
      </c>
      <c r="O3315" t="str">
        <f t="shared" si="478"/>
        <v>60911</v>
      </c>
      <c r="P3315" t="str">
        <f>"3030L"</f>
        <v>3030L</v>
      </c>
      <c r="Q3315" t="str">
        <f t="shared" si="477"/>
        <v>0101</v>
      </c>
      <c r="R3315">
        <v>3030</v>
      </c>
      <c r="S3315" t="str">
        <f t="shared" si="479"/>
        <v>6090</v>
      </c>
      <c r="T3315" t="s">
        <v>3770</v>
      </c>
      <c r="U3315" t="s">
        <v>75</v>
      </c>
    </row>
    <row r="3316" spans="1:21" ht="15" customHeight="1" x14ac:dyDescent="0.3">
      <c r="A3316" t="s">
        <v>179</v>
      </c>
      <c r="B3316" t="str">
        <f>"00066192"</f>
        <v>00066192</v>
      </c>
      <c r="C3316" t="s">
        <v>4274</v>
      </c>
      <c r="D3316" t="s">
        <v>5306</v>
      </c>
      <c r="E3316" t="str">
        <f>"00052963"</f>
        <v>00052963</v>
      </c>
      <c r="F3316">
        <v>0</v>
      </c>
      <c r="G3316" s="243">
        <v>40042</v>
      </c>
      <c r="H3316" t="s">
        <v>182</v>
      </c>
      <c r="I3316">
        <v>4</v>
      </c>
      <c r="J3316">
        <v>6</v>
      </c>
      <c r="K3316">
        <v>1</v>
      </c>
      <c r="L3316">
        <v>25935.88</v>
      </c>
      <c r="M3316" t="str">
        <f t="shared" si="476"/>
        <v>13</v>
      </c>
      <c r="N3316" t="s">
        <v>3323</v>
      </c>
      <c r="O3316" t="str">
        <f t="shared" si="478"/>
        <v>60911</v>
      </c>
      <c r="P3316" t="str">
        <f>"3030L"</f>
        <v>3030L</v>
      </c>
      <c r="Q3316" t="str">
        <f t="shared" si="477"/>
        <v>0101</v>
      </c>
      <c r="R3316">
        <v>3030</v>
      </c>
      <c r="S3316" t="str">
        <f t="shared" si="479"/>
        <v>6090</v>
      </c>
      <c r="T3316" t="s">
        <v>3770</v>
      </c>
      <c r="U3316" t="s">
        <v>75</v>
      </c>
    </row>
    <row r="3317" spans="1:21" ht="15" customHeight="1" x14ac:dyDescent="0.3">
      <c r="A3317" t="s">
        <v>179</v>
      </c>
      <c r="B3317" t="str">
        <f>"00066193"</f>
        <v>00066193</v>
      </c>
      <c r="C3317" t="s">
        <v>4290</v>
      </c>
      <c r="D3317" t="s">
        <v>5307</v>
      </c>
      <c r="E3317" t="str">
        <f>"00060975"</f>
        <v>00060975</v>
      </c>
      <c r="F3317">
        <v>0</v>
      </c>
      <c r="G3317" s="243">
        <v>40316</v>
      </c>
      <c r="H3317" t="s">
        <v>182</v>
      </c>
      <c r="I3317">
        <v>4</v>
      </c>
      <c r="J3317">
        <v>3</v>
      </c>
      <c r="K3317">
        <v>1</v>
      </c>
      <c r="L3317">
        <v>23848.12</v>
      </c>
      <c r="M3317" t="str">
        <f t="shared" si="476"/>
        <v>13</v>
      </c>
      <c r="N3317" t="s">
        <v>3370</v>
      </c>
      <c r="O3317" t="str">
        <f t="shared" si="478"/>
        <v>60911</v>
      </c>
      <c r="P3317" t="str">
        <f>"3030L"</f>
        <v>3030L</v>
      </c>
      <c r="Q3317" t="str">
        <f t="shared" si="477"/>
        <v>0101</v>
      </c>
      <c r="R3317">
        <v>3030</v>
      </c>
      <c r="S3317" t="str">
        <f t="shared" si="479"/>
        <v>6090</v>
      </c>
      <c r="T3317" t="s">
        <v>3770</v>
      </c>
      <c r="U3317" t="s">
        <v>75</v>
      </c>
    </row>
    <row r="3318" spans="1:21" ht="15" customHeight="1" x14ac:dyDescent="0.3">
      <c r="A3318" t="s">
        <v>179</v>
      </c>
      <c r="B3318" t="str">
        <f>"00066194"</f>
        <v>00066194</v>
      </c>
      <c r="C3318" t="s">
        <v>4274</v>
      </c>
      <c r="D3318" t="s">
        <v>5308</v>
      </c>
      <c r="E3318" t="str">
        <f>"00069986"</f>
        <v>00069986</v>
      </c>
      <c r="F3318">
        <v>0</v>
      </c>
      <c r="G3318" s="243">
        <v>41133</v>
      </c>
      <c r="H3318" t="s">
        <v>182</v>
      </c>
      <c r="I3318">
        <v>4</v>
      </c>
      <c r="J3318">
        <v>7</v>
      </c>
      <c r="K3318">
        <v>1</v>
      </c>
      <c r="L3318">
        <v>26633.25</v>
      </c>
      <c r="M3318" t="str">
        <f t="shared" si="476"/>
        <v>13</v>
      </c>
      <c r="N3318" t="s">
        <v>3370</v>
      </c>
      <c r="O3318" t="str">
        <f t="shared" si="478"/>
        <v>60911</v>
      </c>
      <c r="P3318" t="str">
        <f>"3030L"</f>
        <v>3030L</v>
      </c>
      <c r="Q3318" t="str">
        <f t="shared" si="477"/>
        <v>0101</v>
      </c>
      <c r="R3318">
        <v>3030</v>
      </c>
      <c r="S3318" t="str">
        <f t="shared" si="479"/>
        <v>6090</v>
      </c>
      <c r="T3318" t="s">
        <v>3770</v>
      </c>
      <c r="U3318" t="s">
        <v>75</v>
      </c>
    </row>
    <row r="3319" spans="1:21" ht="15" customHeight="1" x14ac:dyDescent="0.3">
      <c r="A3319" t="s">
        <v>179</v>
      </c>
      <c r="B3319" t="str">
        <f>"00067421"</f>
        <v>00067421</v>
      </c>
      <c r="C3319" t="s">
        <v>4260</v>
      </c>
      <c r="D3319" t="s">
        <v>2697</v>
      </c>
      <c r="E3319" t="str">
        <f>"00057722"</f>
        <v>00057722</v>
      </c>
      <c r="F3319">
        <v>0</v>
      </c>
      <c r="G3319" s="243">
        <v>40042</v>
      </c>
      <c r="H3319" t="s">
        <v>182</v>
      </c>
      <c r="I3319">
        <v>15</v>
      </c>
      <c r="J3319">
        <v>7</v>
      </c>
      <c r="K3319">
        <v>1</v>
      </c>
      <c r="L3319">
        <v>69132</v>
      </c>
      <c r="M3319" t="str">
        <f t="shared" si="476"/>
        <v>13</v>
      </c>
      <c r="N3319" t="s">
        <v>3323</v>
      </c>
      <c r="O3319" t="str">
        <f t="shared" si="478"/>
        <v>60911</v>
      </c>
      <c r="P3319" t="str">
        <f t="shared" ref="P3319:P3325" si="480">"2100L"</f>
        <v>2100L</v>
      </c>
      <c r="Q3319" t="str">
        <f t="shared" si="477"/>
        <v>0101</v>
      </c>
      <c r="R3319">
        <v>2100</v>
      </c>
      <c r="S3319" t="str">
        <f t="shared" si="479"/>
        <v>6090</v>
      </c>
      <c r="T3319" t="s">
        <v>3770</v>
      </c>
      <c r="U3319" t="s">
        <v>75</v>
      </c>
    </row>
    <row r="3320" spans="1:21" ht="15" customHeight="1" x14ac:dyDescent="0.3">
      <c r="A3320" t="s">
        <v>179</v>
      </c>
      <c r="B3320" t="str">
        <f>"00072245"</f>
        <v>00072245</v>
      </c>
      <c r="C3320" t="s">
        <v>4262</v>
      </c>
      <c r="D3320" t="s">
        <v>2699</v>
      </c>
      <c r="E3320" t="str">
        <f>"00062564"</f>
        <v>00062564</v>
      </c>
      <c r="F3320">
        <v>0</v>
      </c>
      <c r="G3320" s="243">
        <v>40406</v>
      </c>
      <c r="H3320" t="s">
        <v>182</v>
      </c>
      <c r="I3320">
        <v>15</v>
      </c>
      <c r="J3320">
        <v>3</v>
      </c>
      <c r="K3320">
        <v>1</v>
      </c>
      <c r="L3320">
        <v>52777</v>
      </c>
      <c r="M3320" t="str">
        <f t="shared" si="476"/>
        <v>13</v>
      </c>
      <c r="N3320" t="s">
        <v>3323</v>
      </c>
      <c r="O3320" t="str">
        <f t="shared" si="478"/>
        <v>60911</v>
      </c>
      <c r="P3320" t="str">
        <f t="shared" si="480"/>
        <v>2100L</v>
      </c>
      <c r="Q3320" t="str">
        <f t="shared" si="477"/>
        <v>0101</v>
      </c>
      <c r="R3320">
        <v>2100</v>
      </c>
      <c r="S3320" t="str">
        <f t="shared" si="479"/>
        <v>6090</v>
      </c>
      <c r="T3320" t="s">
        <v>3770</v>
      </c>
      <c r="U3320" t="s">
        <v>75</v>
      </c>
    </row>
    <row r="3321" spans="1:21" ht="15" customHeight="1" x14ac:dyDescent="0.3">
      <c r="A3321" t="s">
        <v>179</v>
      </c>
      <c r="B3321" t="str">
        <f>"00072550"</f>
        <v>00072550</v>
      </c>
      <c r="C3321" t="s">
        <v>4520</v>
      </c>
      <c r="H3321" t="s">
        <v>170</v>
      </c>
      <c r="I3321">
        <v>4</v>
      </c>
      <c r="J3321">
        <v>1</v>
      </c>
      <c r="K3321">
        <v>1</v>
      </c>
      <c r="L3321">
        <v>25662</v>
      </c>
      <c r="M3321" t="str">
        <f t="shared" si="476"/>
        <v>13</v>
      </c>
      <c r="N3321" t="s">
        <v>3323</v>
      </c>
      <c r="O3321" t="str">
        <f t="shared" si="478"/>
        <v>60911</v>
      </c>
      <c r="P3321" t="str">
        <f t="shared" si="480"/>
        <v>2100L</v>
      </c>
      <c r="Q3321" t="str">
        <f t="shared" si="477"/>
        <v>0101</v>
      </c>
      <c r="R3321">
        <v>2100</v>
      </c>
      <c r="S3321" t="str">
        <f t="shared" si="479"/>
        <v>6090</v>
      </c>
      <c r="T3321" t="s">
        <v>3770</v>
      </c>
      <c r="U3321" t="s">
        <v>75</v>
      </c>
    </row>
    <row r="3322" spans="1:21" ht="15" customHeight="1" x14ac:dyDescent="0.3">
      <c r="A3322" t="s">
        <v>179</v>
      </c>
      <c r="B3322" t="str">
        <f>"00072632"</f>
        <v>00072632</v>
      </c>
      <c r="C3322" t="s">
        <v>4290</v>
      </c>
      <c r="D3322" t="s">
        <v>5309</v>
      </c>
      <c r="E3322" t="str">
        <f>"00061513"</f>
        <v>00061513</v>
      </c>
      <c r="F3322">
        <v>0</v>
      </c>
      <c r="G3322" s="243">
        <v>40406</v>
      </c>
      <c r="H3322" t="s">
        <v>182</v>
      </c>
      <c r="I3322">
        <v>4</v>
      </c>
      <c r="J3322">
        <v>4</v>
      </c>
      <c r="K3322">
        <v>0.71</v>
      </c>
      <c r="L3322">
        <v>24543.75</v>
      </c>
      <c r="M3322" t="str">
        <f t="shared" si="476"/>
        <v>13</v>
      </c>
      <c r="N3322" t="s">
        <v>3323</v>
      </c>
      <c r="O3322" t="str">
        <f t="shared" si="478"/>
        <v>60911</v>
      </c>
      <c r="P3322" t="str">
        <f t="shared" si="480"/>
        <v>2100L</v>
      </c>
      <c r="Q3322" t="str">
        <f t="shared" si="477"/>
        <v>0101</v>
      </c>
      <c r="R3322">
        <v>2100</v>
      </c>
      <c r="S3322" t="str">
        <f t="shared" si="479"/>
        <v>6090</v>
      </c>
      <c r="T3322" t="s">
        <v>3770</v>
      </c>
      <c r="U3322" t="s">
        <v>75</v>
      </c>
    </row>
    <row r="3323" spans="1:21" ht="15" customHeight="1" x14ac:dyDescent="0.3">
      <c r="A3323" t="s">
        <v>179</v>
      </c>
      <c r="B3323" t="str">
        <f>"00072633"</f>
        <v>00072633</v>
      </c>
      <c r="C3323" t="s">
        <v>4290</v>
      </c>
      <c r="D3323" t="s">
        <v>5310</v>
      </c>
      <c r="E3323" t="str">
        <f>"00047698"</f>
        <v>00047698</v>
      </c>
      <c r="F3323">
        <v>0</v>
      </c>
      <c r="G3323" s="243">
        <v>40116</v>
      </c>
      <c r="H3323" t="s">
        <v>182</v>
      </c>
      <c r="I3323">
        <v>4</v>
      </c>
      <c r="J3323">
        <v>6</v>
      </c>
      <c r="K3323">
        <v>0.71</v>
      </c>
      <c r="L3323">
        <v>25935.88</v>
      </c>
      <c r="M3323" t="str">
        <f t="shared" si="476"/>
        <v>13</v>
      </c>
      <c r="N3323" t="s">
        <v>3323</v>
      </c>
      <c r="O3323" t="str">
        <f t="shared" si="478"/>
        <v>60911</v>
      </c>
      <c r="P3323" t="str">
        <f t="shared" si="480"/>
        <v>2100L</v>
      </c>
      <c r="Q3323" t="str">
        <f t="shared" si="477"/>
        <v>0101</v>
      </c>
      <c r="R3323">
        <v>2100</v>
      </c>
      <c r="S3323" t="str">
        <f t="shared" si="479"/>
        <v>6090</v>
      </c>
      <c r="T3323" t="s">
        <v>3770</v>
      </c>
      <c r="U3323" t="s">
        <v>75</v>
      </c>
    </row>
    <row r="3324" spans="1:21" ht="15" customHeight="1" x14ac:dyDescent="0.3">
      <c r="A3324" t="s">
        <v>179</v>
      </c>
      <c r="B3324" t="str">
        <f>"00072813"</f>
        <v>00072813</v>
      </c>
      <c r="C3324" t="s">
        <v>4272</v>
      </c>
      <c r="D3324" t="s">
        <v>2701</v>
      </c>
      <c r="E3324" t="str">
        <f>"00045646"</f>
        <v>00045646</v>
      </c>
      <c r="F3324">
        <v>0</v>
      </c>
      <c r="G3324" s="243">
        <v>36114</v>
      </c>
      <c r="H3324" t="s">
        <v>182</v>
      </c>
      <c r="I3324">
        <v>15</v>
      </c>
      <c r="J3324">
        <v>16</v>
      </c>
      <c r="K3324">
        <v>1</v>
      </c>
      <c r="L3324">
        <v>103347</v>
      </c>
      <c r="M3324" t="str">
        <f t="shared" si="476"/>
        <v>13</v>
      </c>
      <c r="N3324" t="s">
        <v>3323</v>
      </c>
      <c r="O3324" t="str">
        <f t="shared" si="478"/>
        <v>60911</v>
      </c>
      <c r="P3324" t="str">
        <f t="shared" si="480"/>
        <v>2100L</v>
      </c>
      <c r="Q3324" t="str">
        <f t="shared" si="477"/>
        <v>0101</v>
      </c>
      <c r="R3324">
        <v>2100</v>
      </c>
      <c r="S3324" t="str">
        <f t="shared" si="479"/>
        <v>6090</v>
      </c>
      <c r="T3324" t="s">
        <v>3770</v>
      </c>
      <c r="U3324" t="s">
        <v>75</v>
      </c>
    </row>
    <row r="3325" spans="1:21" ht="15" customHeight="1" x14ac:dyDescent="0.3">
      <c r="A3325" t="s">
        <v>179</v>
      </c>
      <c r="B3325" t="str">
        <f>"00072815"</f>
        <v>00072815</v>
      </c>
      <c r="C3325" t="s">
        <v>4262</v>
      </c>
      <c r="D3325" t="s">
        <v>5311</v>
      </c>
      <c r="E3325" t="str">
        <f>"00070161"</f>
        <v>00070161</v>
      </c>
      <c r="F3325">
        <v>1</v>
      </c>
      <c r="H3325" t="s">
        <v>182</v>
      </c>
      <c r="I3325">
        <v>15</v>
      </c>
      <c r="J3325">
        <v>1</v>
      </c>
      <c r="K3325">
        <v>1</v>
      </c>
      <c r="L3325">
        <v>54975</v>
      </c>
      <c r="M3325" t="str">
        <f t="shared" si="476"/>
        <v>13</v>
      </c>
      <c r="N3325" t="s">
        <v>3323</v>
      </c>
      <c r="O3325" t="str">
        <f t="shared" si="478"/>
        <v>60911</v>
      </c>
      <c r="P3325" t="str">
        <f t="shared" si="480"/>
        <v>2100L</v>
      </c>
      <c r="Q3325" t="str">
        <f t="shared" si="477"/>
        <v>0101</v>
      </c>
      <c r="R3325">
        <v>2100</v>
      </c>
      <c r="S3325" t="str">
        <f t="shared" si="479"/>
        <v>6090</v>
      </c>
      <c r="T3325" t="s">
        <v>3770</v>
      </c>
      <c r="U3325" t="s">
        <v>75</v>
      </c>
    </row>
    <row r="3326" spans="1:21" ht="15" customHeight="1" x14ac:dyDescent="0.3">
      <c r="A3326" t="s">
        <v>179</v>
      </c>
      <c r="B3326" t="str">
        <f>"00072882"</f>
        <v>00072882</v>
      </c>
      <c r="C3326" t="s">
        <v>3670</v>
      </c>
      <c r="D3326" t="s">
        <v>684</v>
      </c>
      <c r="E3326" t="str">
        <f>"00047917"</f>
        <v>00047917</v>
      </c>
      <c r="F3326">
        <v>0</v>
      </c>
      <c r="G3326" s="243">
        <v>37903</v>
      </c>
      <c r="H3326" t="s">
        <v>182</v>
      </c>
      <c r="I3326">
        <v>8</v>
      </c>
      <c r="J3326">
        <v>4</v>
      </c>
      <c r="K3326">
        <v>1</v>
      </c>
      <c r="L3326">
        <v>91181</v>
      </c>
      <c r="M3326" t="str">
        <f t="shared" si="476"/>
        <v>13</v>
      </c>
      <c r="N3326" t="s">
        <v>3323</v>
      </c>
      <c r="O3326" t="str">
        <f t="shared" si="478"/>
        <v>60911</v>
      </c>
      <c r="P3326" t="str">
        <f>"1501L"</f>
        <v>1501L</v>
      </c>
      <c r="Q3326" t="str">
        <f t="shared" si="477"/>
        <v>0101</v>
      </c>
      <c r="R3326">
        <v>1501</v>
      </c>
      <c r="S3326" t="str">
        <f t="shared" si="479"/>
        <v>6090</v>
      </c>
      <c r="T3326" t="s">
        <v>3770</v>
      </c>
      <c r="U3326" t="s">
        <v>75</v>
      </c>
    </row>
    <row r="3327" spans="1:21" ht="15" customHeight="1" x14ac:dyDescent="0.3">
      <c r="A3327" t="s">
        <v>179</v>
      </c>
      <c r="B3327" t="str">
        <f>"00073969"</f>
        <v>00073969</v>
      </c>
      <c r="C3327" t="s">
        <v>4614</v>
      </c>
      <c r="D3327" t="s">
        <v>3771</v>
      </c>
      <c r="E3327" t="str">
        <f>"00063560"</f>
        <v>00063560</v>
      </c>
      <c r="F3327">
        <v>0</v>
      </c>
      <c r="G3327" s="243">
        <v>40471</v>
      </c>
      <c r="H3327" t="s">
        <v>182</v>
      </c>
      <c r="I3327">
        <v>7</v>
      </c>
      <c r="J3327">
        <v>1</v>
      </c>
      <c r="K3327">
        <v>1</v>
      </c>
      <c r="L3327">
        <v>34871</v>
      </c>
      <c r="M3327" t="str">
        <f t="shared" si="476"/>
        <v>13</v>
      </c>
      <c r="N3327" t="s">
        <v>3323</v>
      </c>
      <c r="O3327" t="str">
        <f t="shared" si="478"/>
        <v>60911</v>
      </c>
      <c r="P3327" t="str">
        <f>"2100L"</f>
        <v>2100L</v>
      </c>
      <c r="Q3327" t="str">
        <f t="shared" si="477"/>
        <v>0101</v>
      </c>
      <c r="R3327">
        <v>2100</v>
      </c>
      <c r="S3327" t="str">
        <f t="shared" si="479"/>
        <v>6090</v>
      </c>
      <c r="T3327" t="s">
        <v>3770</v>
      </c>
      <c r="U3327" t="s">
        <v>75</v>
      </c>
    </row>
    <row r="3328" spans="1:21" ht="15" customHeight="1" x14ac:dyDescent="0.3">
      <c r="A3328" t="s">
        <v>179</v>
      </c>
      <c r="B3328" t="str">
        <f>"00073970"</f>
        <v>00073970</v>
      </c>
      <c r="C3328" t="s">
        <v>4260</v>
      </c>
      <c r="D3328" t="s">
        <v>3776</v>
      </c>
      <c r="E3328" t="str">
        <f>"00049179"</f>
        <v>00049179</v>
      </c>
      <c r="F3328">
        <v>0</v>
      </c>
      <c r="G3328" s="243">
        <v>40476</v>
      </c>
      <c r="H3328" t="s">
        <v>182</v>
      </c>
      <c r="I3328">
        <v>15</v>
      </c>
      <c r="J3328">
        <v>4</v>
      </c>
      <c r="K3328">
        <v>1</v>
      </c>
      <c r="L3328">
        <v>61158</v>
      </c>
      <c r="M3328" t="str">
        <f t="shared" si="476"/>
        <v>13</v>
      </c>
      <c r="N3328" t="s">
        <v>3323</v>
      </c>
      <c r="O3328" t="str">
        <f t="shared" si="478"/>
        <v>60911</v>
      </c>
      <c r="P3328" t="str">
        <f>"2100L"</f>
        <v>2100L</v>
      </c>
      <c r="Q3328" t="str">
        <f t="shared" si="477"/>
        <v>0101</v>
      </c>
      <c r="R3328">
        <v>2100</v>
      </c>
      <c r="S3328" t="str">
        <f t="shared" si="479"/>
        <v>6090</v>
      </c>
      <c r="T3328" t="s">
        <v>3770</v>
      </c>
      <c r="U3328" t="s">
        <v>75</v>
      </c>
    </row>
    <row r="3329" spans="1:21" ht="15" customHeight="1" x14ac:dyDescent="0.3">
      <c r="A3329" t="s">
        <v>179</v>
      </c>
      <c r="B3329" t="str">
        <f>"00073971"</f>
        <v>00073971</v>
      </c>
      <c r="C3329" t="s">
        <v>200</v>
      </c>
      <c r="D3329" t="s">
        <v>3772</v>
      </c>
      <c r="E3329" t="str">
        <f>"00050039"</f>
        <v>00050039</v>
      </c>
      <c r="F3329">
        <v>0</v>
      </c>
      <c r="G3329" s="243">
        <v>36017</v>
      </c>
      <c r="H3329" t="s">
        <v>182</v>
      </c>
      <c r="I3329">
        <v>15</v>
      </c>
      <c r="J3329">
        <v>11</v>
      </c>
      <c r="K3329">
        <v>1</v>
      </c>
      <c r="L3329">
        <v>81335</v>
      </c>
      <c r="M3329" t="str">
        <f t="shared" si="476"/>
        <v>13</v>
      </c>
      <c r="N3329" t="s">
        <v>3323</v>
      </c>
      <c r="O3329" t="str">
        <f t="shared" si="478"/>
        <v>60911</v>
      </c>
      <c r="P3329" t="str">
        <f>"2100L"</f>
        <v>2100L</v>
      </c>
      <c r="Q3329" t="str">
        <f t="shared" si="477"/>
        <v>0101</v>
      </c>
      <c r="R3329">
        <v>2100</v>
      </c>
      <c r="S3329" t="str">
        <f t="shared" si="479"/>
        <v>6090</v>
      </c>
      <c r="T3329" t="s">
        <v>3770</v>
      </c>
      <c r="U3329" t="s">
        <v>75</v>
      </c>
    </row>
    <row r="3330" spans="1:21" ht="15" customHeight="1" x14ac:dyDescent="0.3">
      <c r="A3330" t="s">
        <v>179</v>
      </c>
      <c r="B3330" t="str">
        <f>"00073974"</f>
        <v>00073974</v>
      </c>
      <c r="C3330" t="s">
        <v>4290</v>
      </c>
      <c r="D3330" t="s">
        <v>5312</v>
      </c>
      <c r="E3330" t="str">
        <f>"00057961"</f>
        <v>00057961</v>
      </c>
      <c r="F3330">
        <v>0</v>
      </c>
      <c r="G3330" s="243">
        <v>40052</v>
      </c>
      <c r="H3330" t="s">
        <v>182</v>
      </c>
      <c r="I3330">
        <v>4</v>
      </c>
      <c r="J3330">
        <v>5</v>
      </c>
      <c r="K3330">
        <v>0.71</v>
      </c>
      <c r="L3330">
        <v>25239.37</v>
      </c>
      <c r="M3330" t="str">
        <f t="shared" si="476"/>
        <v>13</v>
      </c>
      <c r="N3330" t="s">
        <v>3323</v>
      </c>
      <c r="O3330" t="str">
        <f t="shared" si="478"/>
        <v>60911</v>
      </c>
      <c r="P3330" t="str">
        <f>"3030L"</f>
        <v>3030L</v>
      </c>
      <c r="Q3330" t="str">
        <f t="shared" si="477"/>
        <v>0101</v>
      </c>
      <c r="R3330">
        <v>3030</v>
      </c>
      <c r="S3330" t="str">
        <f t="shared" si="479"/>
        <v>6090</v>
      </c>
      <c r="T3330" t="s">
        <v>3770</v>
      </c>
      <c r="U3330" t="s">
        <v>75</v>
      </c>
    </row>
    <row r="3331" spans="1:21" ht="15" customHeight="1" x14ac:dyDescent="0.3">
      <c r="A3331" t="s">
        <v>179</v>
      </c>
      <c r="B3331" t="str">
        <f>"00074318"</f>
        <v>00074318</v>
      </c>
      <c r="C3331" t="s">
        <v>4290</v>
      </c>
      <c r="D3331" t="s">
        <v>5313</v>
      </c>
      <c r="E3331" t="str">
        <f>"00066170"</f>
        <v>00066170</v>
      </c>
      <c r="F3331">
        <v>0</v>
      </c>
      <c r="G3331" s="243">
        <v>40770</v>
      </c>
      <c r="H3331" t="s">
        <v>182</v>
      </c>
      <c r="I3331">
        <v>4</v>
      </c>
      <c r="J3331">
        <v>4</v>
      </c>
      <c r="K3331">
        <v>0.71</v>
      </c>
      <c r="L3331">
        <v>24543.75</v>
      </c>
      <c r="M3331" t="str">
        <f t="shared" si="476"/>
        <v>13</v>
      </c>
      <c r="N3331" t="s">
        <v>3323</v>
      </c>
      <c r="O3331" t="str">
        <f t="shared" si="478"/>
        <v>60911</v>
      </c>
      <c r="P3331" t="str">
        <f>"3030L"</f>
        <v>3030L</v>
      </c>
      <c r="Q3331" t="str">
        <f t="shared" si="477"/>
        <v>0101</v>
      </c>
      <c r="R3331">
        <v>3030</v>
      </c>
      <c r="S3331" t="str">
        <f t="shared" si="479"/>
        <v>6090</v>
      </c>
      <c r="T3331" t="s">
        <v>3770</v>
      </c>
      <c r="U3331" t="s">
        <v>75</v>
      </c>
    </row>
    <row r="3332" spans="1:21" ht="15" customHeight="1" x14ac:dyDescent="0.3">
      <c r="A3332" t="s">
        <v>179</v>
      </c>
      <c r="B3332" t="str">
        <f>"00074319"</f>
        <v>00074319</v>
      </c>
      <c r="C3332" t="s">
        <v>4290</v>
      </c>
      <c r="D3332" t="s">
        <v>5314</v>
      </c>
      <c r="E3332" t="str">
        <f>"00065593"</f>
        <v>00065593</v>
      </c>
      <c r="F3332">
        <v>0</v>
      </c>
      <c r="G3332" s="243">
        <v>40770</v>
      </c>
      <c r="H3332" t="s">
        <v>182</v>
      </c>
      <c r="I3332">
        <v>4</v>
      </c>
      <c r="J3332">
        <v>4</v>
      </c>
      <c r="K3332">
        <v>0.71</v>
      </c>
      <c r="L3332">
        <v>24543.75</v>
      </c>
      <c r="M3332" t="str">
        <f t="shared" si="476"/>
        <v>13</v>
      </c>
      <c r="N3332" t="s">
        <v>3323</v>
      </c>
      <c r="O3332" t="str">
        <f t="shared" si="478"/>
        <v>60911</v>
      </c>
      <c r="P3332" t="str">
        <f>"3030L"</f>
        <v>3030L</v>
      </c>
      <c r="Q3332" t="str">
        <f t="shared" si="477"/>
        <v>0101</v>
      </c>
      <c r="R3332">
        <v>3030</v>
      </c>
      <c r="S3332" t="str">
        <f t="shared" si="479"/>
        <v>6090</v>
      </c>
      <c r="T3332" t="s">
        <v>3770</v>
      </c>
      <c r="U3332" t="s">
        <v>75</v>
      </c>
    </row>
    <row r="3333" spans="1:21" ht="15" customHeight="1" x14ac:dyDescent="0.3">
      <c r="A3333" t="s">
        <v>179</v>
      </c>
      <c r="B3333" t="str">
        <f>"00074321"</f>
        <v>00074321</v>
      </c>
      <c r="C3333" t="s">
        <v>4290</v>
      </c>
      <c r="D3333" t="s">
        <v>5315</v>
      </c>
      <c r="E3333" t="str">
        <f>"00069945"</f>
        <v>00069945</v>
      </c>
      <c r="F3333">
        <v>0</v>
      </c>
      <c r="G3333" s="243">
        <v>41141</v>
      </c>
      <c r="H3333" t="s">
        <v>182</v>
      </c>
      <c r="I3333">
        <v>4</v>
      </c>
      <c r="J3333">
        <v>3</v>
      </c>
      <c r="K3333">
        <v>0.71</v>
      </c>
      <c r="L3333">
        <v>23848.12</v>
      </c>
      <c r="M3333" t="str">
        <f t="shared" si="476"/>
        <v>13</v>
      </c>
      <c r="N3333" t="s">
        <v>3323</v>
      </c>
      <c r="O3333" t="str">
        <f t="shared" si="478"/>
        <v>60911</v>
      </c>
      <c r="P3333" t="str">
        <f>"3030L"</f>
        <v>3030L</v>
      </c>
      <c r="Q3333" t="str">
        <f t="shared" si="477"/>
        <v>0101</v>
      </c>
      <c r="R3333">
        <v>3030</v>
      </c>
      <c r="S3333" t="str">
        <f t="shared" si="479"/>
        <v>6090</v>
      </c>
      <c r="T3333" t="s">
        <v>3770</v>
      </c>
      <c r="U3333" t="s">
        <v>75</v>
      </c>
    </row>
    <row r="3334" spans="1:21" ht="15" customHeight="1" x14ac:dyDescent="0.3">
      <c r="A3334" t="s">
        <v>179</v>
      </c>
      <c r="B3334" t="str">
        <f>"00074360"</f>
        <v>00074360</v>
      </c>
      <c r="C3334" t="s">
        <v>4262</v>
      </c>
      <c r="D3334" t="s">
        <v>5316</v>
      </c>
      <c r="E3334" t="str">
        <f>"00069905"</f>
        <v>00069905</v>
      </c>
      <c r="F3334">
        <v>0</v>
      </c>
      <c r="G3334" s="243">
        <v>41133</v>
      </c>
      <c r="H3334" t="s">
        <v>182</v>
      </c>
      <c r="I3334">
        <v>15</v>
      </c>
      <c r="J3334">
        <v>9</v>
      </c>
      <c r="K3334">
        <v>1</v>
      </c>
      <c r="L3334">
        <v>75232</v>
      </c>
      <c r="M3334" t="str">
        <f t="shared" si="476"/>
        <v>13</v>
      </c>
      <c r="N3334" t="s">
        <v>3370</v>
      </c>
      <c r="O3334" t="str">
        <f t="shared" ref="O3334:O3353" si="481">"60911"</f>
        <v>60911</v>
      </c>
      <c r="P3334" t="str">
        <f t="shared" ref="P3334:P3344" si="482">"2100L"</f>
        <v>2100L</v>
      </c>
      <c r="Q3334" t="str">
        <f t="shared" si="477"/>
        <v>0101</v>
      </c>
      <c r="R3334">
        <v>2100</v>
      </c>
      <c r="S3334" t="str">
        <f t="shared" ref="S3334:S3353" si="483">"6090"</f>
        <v>6090</v>
      </c>
      <c r="T3334" t="s">
        <v>3770</v>
      </c>
      <c r="U3334" t="s">
        <v>75</v>
      </c>
    </row>
    <row r="3335" spans="1:21" ht="15" customHeight="1" x14ac:dyDescent="0.3">
      <c r="A3335" t="s">
        <v>179</v>
      </c>
      <c r="B3335" t="str">
        <f>"00074371"</f>
        <v>00074371</v>
      </c>
      <c r="C3335" t="s">
        <v>4259</v>
      </c>
      <c r="D3335" t="s">
        <v>2695</v>
      </c>
      <c r="E3335" t="str">
        <f>"00057148"</f>
        <v>00057148</v>
      </c>
      <c r="F3335">
        <v>0</v>
      </c>
      <c r="G3335" s="243">
        <v>40042</v>
      </c>
      <c r="H3335" t="s">
        <v>182</v>
      </c>
      <c r="I3335">
        <v>15</v>
      </c>
      <c r="J3335">
        <v>10</v>
      </c>
      <c r="K3335">
        <v>1</v>
      </c>
      <c r="L3335">
        <v>78273</v>
      </c>
      <c r="M3335" t="str">
        <f t="shared" si="476"/>
        <v>13</v>
      </c>
      <c r="N3335" t="s">
        <v>3323</v>
      </c>
      <c r="O3335" t="str">
        <f t="shared" si="481"/>
        <v>60911</v>
      </c>
      <c r="P3335" t="str">
        <f t="shared" si="482"/>
        <v>2100L</v>
      </c>
      <c r="Q3335" t="str">
        <f t="shared" si="477"/>
        <v>0101</v>
      </c>
      <c r="R3335">
        <v>2100</v>
      </c>
      <c r="S3335" t="str">
        <f t="shared" si="483"/>
        <v>6090</v>
      </c>
      <c r="T3335" t="s">
        <v>3770</v>
      </c>
      <c r="U3335" t="s">
        <v>75</v>
      </c>
    </row>
    <row r="3336" spans="1:21" ht="15" customHeight="1" x14ac:dyDescent="0.3">
      <c r="A3336" t="s">
        <v>179</v>
      </c>
      <c r="B3336" t="str">
        <f>"00074574"</f>
        <v>00074574</v>
      </c>
      <c r="C3336" t="s">
        <v>4274</v>
      </c>
      <c r="D3336" t="s">
        <v>5317</v>
      </c>
      <c r="E3336" t="str">
        <f>"00065757"</f>
        <v>00065757</v>
      </c>
      <c r="F3336">
        <v>0</v>
      </c>
      <c r="G3336" s="243">
        <v>40770</v>
      </c>
      <c r="H3336" t="s">
        <v>182</v>
      </c>
      <c r="I3336">
        <v>4</v>
      </c>
      <c r="J3336">
        <v>7</v>
      </c>
      <c r="K3336">
        <v>0.71</v>
      </c>
      <c r="L3336">
        <v>26633.25</v>
      </c>
      <c r="M3336" t="str">
        <f t="shared" si="476"/>
        <v>13</v>
      </c>
      <c r="N3336" t="s">
        <v>3323</v>
      </c>
      <c r="O3336" t="str">
        <f t="shared" si="481"/>
        <v>60911</v>
      </c>
      <c r="P3336" t="str">
        <f t="shared" si="482"/>
        <v>2100L</v>
      </c>
      <c r="Q3336" t="str">
        <f t="shared" si="477"/>
        <v>0101</v>
      </c>
      <c r="R3336">
        <v>2100</v>
      </c>
      <c r="S3336" t="str">
        <f t="shared" si="483"/>
        <v>6090</v>
      </c>
      <c r="T3336" t="s">
        <v>3770</v>
      </c>
      <c r="U3336" t="s">
        <v>75</v>
      </c>
    </row>
    <row r="3337" spans="1:21" ht="15" customHeight="1" x14ac:dyDescent="0.3">
      <c r="A3337" t="s">
        <v>179</v>
      </c>
      <c r="B3337" t="str">
        <f>"00074575"</f>
        <v>00074575</v>
      </c>
      <c r="C3337" t="s">
        <v>4288</v>
      </c>
      <c r="D3337" t="s">
        <v>5318</v>
      </c>
      <c r="E3337" t="str">
        <f>"00066800"</f>
        <v>00066800</v>
      </c>
      <c r="F3337">
        <v>0</v>
      </c>
      <c r="G3337" s="243">
        <v>40816</v>
      </c>
      <c r="H3337" t="s">
        <v>182</v>
      </c>
      <c r="I3337">
        <v>4</v>
      </c>
      <c r="J3337">
        <v>3</v>
      </c>
      <c r="K3337">
        <v>0.71</v>
      </c>
      <c r="L3337">
        <v>23848.12</v>
      </c>
      <c r="M3337" t="str">
        <f t="shared" si="476"/>
        <v>13</v>
      </c>
      <c r="N3337" t="s">
        <v>3323</v>
      </c>
      <c r="O3337" t="str">
        <f t="shared" si="481"/>
        <v>60911</v>
      </c>
      <c r="P3337" t="str">
        <f t="shared" si="482"/>
        <v>2100L</v>
      </c>
      <c r="Q3337" t="str">
        <f t="shared" si="477"/>
        <v>0101</v>
      </c>
      <c r="R3337">
        <v>2100</v>
      </c>
      <c r="S3337" t="str">
        <f t="shared" si="483"/>
        <v>6090</v>
      </c>
      <c r="T3337" t="s">
        <v>3770</v>
      </c>
      <c r="U3337" t="s">
        <v>75</v>
      </c>
    </row>
    <row r="3338" spans="1:21" ht="15" customHeight="1" x14ac:dyDescent="0.3">
      <c r="A3338" t="s">
        <v>179</v>
      </c>
      <c r="B3338" t="str">
        <f>"00074576"</f>
        <v>00074576</v>
      </c>
      <c r="C3338" t="s">
        <v>4262</v>
      </c>
      <c r="D3338" t="s">
        <v>5319</v>
      </c>
      <c r="E3338" t="str">
        <f>"00069835"</f>
        <v>00069835</v>
      </c>
      <c r="F3338">
        <v>0</v>
      </c>
      <c r="G3338" s="243">
        <v>41133</v>
      </c>
      <c r="H3338" t="s">
        <v>182</v>
      </c>
      <c r="I3338">
        <v>15</v>
      </c>
      <c r="J3338">
        <v>1</v>
      </c>
      <c r="K3338">
        <v>1</v>
      </c>
      <c r="L3338">
        <v>54975</v>
      </c>
      <c r="M3338" t="str">
        <f t="shared" si="476"/>
        <v>13</v>
      </c>
      <c r="N3338" t="s">
        <v>3370</v>
      </c>
      <c r="O3338" t="str">
        <f t="shared" si="481"/>
        <v>60911</v>
      </c>
      <c r="P3338" t="str">
        <f t="shared" si="482"/>
        <v>2100L</v>
      </c>
      <c r="Q3338" t="str">
        <f t="shared" si="477"/>
        <v>0101</v>
      </c>
      <c r="R3338">
        <v>2100</v>
      </c>
      <c r="S3338" t="str">
        <f t="shared" si="483"/>
        <v>6090</v>
      </c>
      <c r="T3338" t="s">
        <v>3770</v>
      </c>
      <c r="U3338" t="s">
        <v>75</v>
      </c>
    </row>
    <row r="3339" spans="1:21" ht="15" customHeight="1" x14ac:dyDescent="0.3">
      <c r="A3339" t="s">
        <v>179</v>
      </c>
      <c r="B3339" t="str">
        <f>"00074577"</f>
        <v>00074577</v>
      </c>
      <c r="C3339" t="s">
        <v>4262</v>
      </c>
      <c r="D3339" t="s">
        <v>5320</v>
      </c>
      <c r="E3339" t="str">
        <f>"00055013"</f>
        <v>00055013</v>
      </c>
      <c r="F3339">
        <v>0</v>
      </c>
      <c r="G3339" s="243">
        <v>41133</v>
      </c>
      <c r="H3339" t="s">
        <v>182</v>
      </c>
      <c r="I3339">
        <v>15</v>
      </c>
      <c r="J3339">
        <v>13</v>
      </c>
      <c r="K3339">
        <v>1</v>
      </c>
      <c r="L3339">
        <v>97873</v>
      </c>
      <c r="M3339" t="str">
        <f t="shared" si="476"/>
        <v>13</v>
      </c>
      <c r="N3339" t="s">
        <v>3323</v>
      </c>
      <c r="O3339" t="str">
        <f t="shared" si="481"/>
        <v>60911</v>
      </c>
      <c r="P3339" t="str">
        <f t="shared" si="482"/>
        <v>2100L</v>
      </c>
      <c r="Q3339" t="str">
        <f t="shared" si="477"/>
        <v>0101</v>
      </c>
      <c r="R3339">
        <v>2100</v>
      </c>
      <c r="S3339" t="str">
        <f t="shared" si="483"/>
        <v>6090</v>
      </c>
      <c r="T3339" t="s">
        <v>3770</v>
      </c>
      <c r="U3339" t="s">
        <v>75</v>
      </c>
    </row>
    <row r="3340" spans="1:21" ht="15" customHeight="1" x14ac:dyDescent="0.3">
      <c r="A3340" t="s">
        <v>179</v>
      </c>
      <c r="B3340" t="str">
        <f>"00074578"</f>
        <v>00074578</v>
      </c>
      <c r="C3340" t="s">
        <v>4260</v>
      </c>
      <c r="D3340" t="s">
        <v>3779</v>
      </c>
      <c r="E3340" t="str">
        <f>"00057523"</f>
        <v>00057523</v>
      </c>
      <c r="F3340">
        <v>0</v>
      </c>
      <c r="G3340" s="243">
        <v>40755</v>
      </c>
      <c r="H3340" t="s">
        <v>182</v>
      </c>
      <c r="I3340">
        <v>15</v>
      </c>
      <c r="J3340">
        <v>2</v>
      </c>
      <c r="K3340">
        <v>1</v>
      </c>
      <c r="L3340">
        <v>54099</v>
      </c>
      <c r="M3340" t="str">
        <f t="shared" si="476"/>
        <v>13</v>
      </c>
      <c r="N3340" t="s">
        <v>3323</v>
      </c>
      <c r="O3340" t="str">
        <f t="shared" si="481"/>
        <v>60911</v>
      </c>
      <c r="P3340" t="str">
        <f t="shared" si="482"/>
        <v>2100L</v>
      </c>
      <c r="Q3340" t="str">
        <f t="shared" si="477"/>
        <v>0101</v>
      </c>
      <c r="R3340">
        <v>2100</v>
      </c>
      <c r="S3340" t="str">
        <f t="shared" si="483"/>
        <v>6090</v>
      </c>
      <c r="T3340" t="s">
        <v>3770</v>
      </c>
      <c r="U3340" t="s">
        <v>75</v>
      </c>
    </row>
    <row r="3341" spans="1:21" ht="15" customHeight="1" x14ac:dyDescent="0.3">
      <c r="A3341" t="s">
        <v>179</v>
      </c>
      <c r="B3341" t="str">
        <f>"00074579"</f>
        <v>00074579</v>
      </c>
      <c r="C3341" t="s">
        <v>4274</v>
      </c>
      <c r="D3341" t="s">
        <v>5321</v>
      </c>
      <c r="E3341" t="str">
        <f>"00053462"</f>
        <v>00053462</v>
      </c>
      <c r="F3341">
        <v>0</v>
      </c>
      <c r="G3341" s="243">
        <v>35382</v>
      </c>
      <c r="H3341" t="s">
        <v>182</v>
      </c>
      <c r="I3341">
        <v>4</v>
      </c>
      <c r="J3341">
        <v>10</v>
      </c>
      <c r="K3341">
        <v>0.71</v>
      </c>
      <c r="L3341">
        <v>28721</v>
      </c>
      <c r="M3341" t="str">
        <f t="shared" si="476"/>
        <v>13</v>
      </c>
      <c r="N3341" t="s">
        <v>3323</v>
      </c>
      <c r="O3341" t="str">
        <f t="shared" si="481"/>
        <v>60911</v>
      </c>
      <c r="P3341" t="str">
        <f t="shared" si="482"/>
        <v>2100L</v>
      </c>
      <c r="Q3341" t="str">
        <f t="shared" si="477"/>
        <v>0101</v>
      </c>
      <c r="R3341">
        <v>2100</v>
      </c>
      <c r="S3341" t="str">
        <f t="shared" si="483"/>
        <v>6090</v>
      </c>
      <c r="T3341" t="s">
        <v>3770</v>
      </c>
      <c r="U3341" t="s">
        <v>75</v>
      </c>
    </row>
    <row r="3342" spans="1:21" ht="15" customHeight="1" x14ac:dyDescent="0.3">
      <c r="A3342" t="s">
        <v>179</v>
      </c>
      <c r="B3342" t="str">
        <f>"00074580"</f>
        <v>00074580</v>
      </c>
      <c r="C3342" t="s">
        <v>4274</v>
      </c>
      <c r="D3342" t="s">
        <v>5322</v>
      </c>
      <c r="E3342" t="str">
        <f>"00066130"</f>
        <v>00066130</v>
      </c>
      <c r="F3342">
        <v>0</v>
      </c>
      <c r="G3342" s="243">
        <v>40770</v>
      </c>
      <c r="H3342" t="s">
        <v>182</v>
      </c>
      <c r="I3342">
        <v>4</v>
      </c>
      <c r="J3342">
        <v>1</v>
      </c>
      <c r="K3342">
        <v>0.71</v>
      </c>
      <c r="L3342">
        <v>22454.25</v>
      </c>
      <c r="M3342" t="str">
        <f t="shared" ref="M3342:M3400" si="484">"13"</f>
        <v>13</v>
      </c>
      <c r="N3342" t="s">
        <v>3323</v>
      </c>
      <c r="O3342" t="str">
        <f t="shared" si="481"/>
        <v>60911</v>
      </c>
      <c r="P3342" t="str">
        <f t="shared" si="482"/>
        <v>2100L</v>
      </c>
      <c r="Q3342" t="str">
        <f t="shared" si="477"/>
        <v>0101</v>
      </c>
      <c r="R3342">
        <v>2100</v>
      </c>
      <c r="S3342" t="str">
        <f t="shared" si="483"/>
        <v>6090</v>
      </c>
      <c r="T3342" t="s">
        <v>3770</v>
      </c>
      <c r="U3342" t="s">
        <v>75</v>
      </c>
    </row>
    <row r="3343" spans="1:21" ht="15" customHeight="1" x14ac:dyDescent="0.3">
      <c r="A3343" t="s">
        <v>179</v>
      </c>
      <c r="B3343" t="str">
        <f>"00074654"</f>
        <v>00074654</v>
      </c>
      <c r="C3343" t="s">
        <v>4263</v>
      </c>
      <c r="D3343" t="s">
        <v>5323</v>
      </c>
      <c r="E3343" t="str">
        <f>"00064850"</f>
        <v>00064850</v>
      </c>
      <c r="F3343">
        <v>0</v>
      </c>
      <c r="G3343" s="243">
        <v>40644</v>
      </c>
      <c r="H3343" t="s">
        <v>182</v>
      </c>
      <c r="I3343">
        <v>15</v>
      </c>
      <c r="J3343">
        <v>1</v>
      </c>
      <c r="K3343">
        <v>1</v>
      </c>
      <c r="L3343">
        <v>51539</v>
      </c>
      <c r="M3343" t="str">
        <f t="shared" si="484"/>
        <v>13</v>
      </c>
      <c r="N3343" t="s">
        <v>3323</v>
      </c>
      <c r="O3343" t="str">
        <f t="shared" si="481"/>
        <v>60911</v>
      </c>
      <c r="P3343" t="str">
        <f t="shared" si="482"/>
        <v>2100L</v>
      </c>
      <c r="Q3343" t="str">
        <f t="shared" si="477"/>
        <v>0101</v>
      </c>
      <c r="R3343">
        <v>2100</v>
      </c>
      <c r="S3343" t="str">
        <f t="shared" si="483"/>
        <v>6090</v>
      </c>
      <c r="T3343" t="s">
        <v>3770</v>
      </c>
      <c r="U3343" t="s">
        <v>75</v>
      </c>
    </row>
    <row r="3344" spans="1:21" ht="15" customHeight="1" x14ac:dyDescent="0.3">
      <c r="A3344" t="s">
        <v>179</v>
      </c>
      <c r="B3344" t="str">
        <f>"00074746"</f>
        <v>00074746</v>
      </c>
      <c r="C3344" t="s">
        <v>4260</v>
      </c>
      <c r="D3344" t="s">
        <v>2700</v>
      </c>
      <c r="E3344" t="str">
        <f>"00054603"</f>
        <v>00054603</v>
      </c>
      <c r="F3344">
        <v>0</v>
      </c>
      <c r="G3344" s="243">
        <v>32050</v>
      </c>
      <c r="H3344" t="s">
        <v>182</v>
      </c>
      <c r="I3344">
        <v>15</v>
      </c>
      <c r="J3344">
        <v>16</v>
      </c>
      <c r="K3344">
        <v>1</v>
      </c>
      <c r="L3344">
        <v>100839</v>
      </c>
      <c r="M3344" t="str">
        <f t="shared" si="484"/>
        <v>13</v>
      </c>
      <c r="N3344" t="s">
        <v>3323</v>
      </c>
      <c r="O3344" t="str">
        <f t="shared" si="481"/>
        <v>60911</v>
      </c>
      <c r="P3344" t="str">
        <f t="shared" si="482"/>
        <v>2100L</v>
      </c>
      <c r="Q3344" t="str">
        <f t="shared" si="477"/>
        <v>0101</v>
      </c>
      <c r="R3344">
        <v>2100</v>
      </c>
      <c r="S3344" t="str">
        <f t="shared" si="483"/>
        <v>6090</v>
      </c>
      <c r="T3344" t="s">
        <v>3770</v>
      </c>
      <c r="U3344" t="s">
        <v>75</v>
      </c>
    </row>
    <row r="3345" spans="1:21" ht="15" customHeight="1" x14ac:dyDescent="0.3">
      <c r="A3345" t="s">
        <v>179</v>
      </c>
      <c r="B3345" t="str">
        <f>"00074747"</f>
        <v>00074747</v>
      </c>
      <c r="C3345" t="s">
        <v>4367</v>
      </c>
      <c r="H3345" t="s">
        <v>170</v>
      </c>
      <c r="I3345">
        <v>9</v>
      </c>
      <c r="J3345">
        <v>0</v>
      </c>
      <c r="K3345">
        <v>1</v>
      </c>
      <c r="L3345">
        <v>36775</v>
      </c>
      <c r="M3345" t="str">
        <f t="shared" si="484"/>
        <v>13</v>
      </c>
      <c r="N3345" t="s">
        <v>3323</v>
      </c>
      <c r="O3345" t="str">
        <f t="shared" si="481"/>
        <v>60911</v>
      </c>
      <c r="P3345" t="str">
        <f>"1502L"</f>
        <v>1502L</v>
      </c>
      <c r="Q3345" t="str">
        <f t="shared" si="477"/>
        <v>0101</v>
      </c>
      <c r="R3345">
        <v>1502</v>
      </c>
      <c r="S3345" t="str">
        <f t="shared" si="483"/>
        <v>6090</v>
      </c>
      <c r="T3345" t="s">
        <v>3770</v>
      </c>
      <c r="U3345" t="s">
        <v>75</v>
      </c>
    </row>
    <row r="3346" spans="1:21" ht="15" customHeight="1" x14ac:dyDescent="0.3">
      <c r="A3346" t="s">
        <v>179</v>
      </c>
      <c r="B3346" t="str">
        <f>"00074748"</f>
        <v>00074748</v>
      </c>
      <c r="C3346" t="s">
        <v>4306</v>
      </c>
      <c r="H3346" t="s">
        <v>170</v>
      </c>
      <c r="I3346">
        <v>9</v>
      </c>
      <c r="J3346">
        <v>1</v>
      </c>
      <c r="K3346">
        <v>1</v>
      </c>
      <c r="L3346">
        <v>33163</v>
      </c>
      <c r="M3346" t="str">
        <f t="shared" si="484"/>
        <v>13</v>
      </c>
      <c r="N3346" t="s">
        <v>3323</v>
      </c>
      <c r="O3346" t="str">
        <f t="shared" si="481"/>
        <v>60911</v>
      </c>
      <c r="P3346" t="str">
        <f>"1502L"</f>
        <v>1502L</v>
      </c>
      <c r="Q3346" t="str">
        <f t="shared" si="477"/>
        <v>0101</v>
      </c>
      <c r="R3346">
        <v>1502</v>
      </c>
      <c r="S3346" t="str">
        <f t="shared" si="483"/>
        <v>6090</v>
      </c>
      <c r="T3346" t="s">
        <v>3770</v>
      </c>
      <c r="U3346" t="s">
        <v>75</v>
      </c>
    </row>
    <row r="3347" spans="1:21" ht="15" customHeight="1" x14ac:dyDescent="0.3">
      <c r="A3347" t="s">
        <v>179</v>
      </c>
      <c r="B3347" t="str">
        <f>"00075548"</f>
        <v>00075548</v>
      </c>
      <c r="C3347" t="s">
        <v>4333</v>
      </c>
      <c r="D3347" t="s">
        <v>1697</v>
      </c>
      <c r="E3347" t="str">
        <f>"00062937"</f>
        <v>00062937</v>
      </c>
      <c r="F3347">
        <v>1</v>
      </c>
      <c r="H3347" t="s">
        <v>182</v>
      </c>
      <c r="I3347">
        <v>12</v>
      </c>
      <c r="J3347">
        <v>10</v>
      </c>
      <c r="K3347">
        <v>0.25</v>
      </c>
      <c r="L3347">
        <v>23150.400000000001</v>
      </c>
      <c r="M3347" t="str">
        <f t="shared" si="484"/>
        <v>13</v>
      </c>
      <c r="N3347" t="s">
        <v>3370</v>
      </c>
      <c r="O3347" t="str">
        <f t="shared" si="481"/>
        <v>60911</v>
      </c>
      <c r="P3347" t="str">
        <f>"2100L"</f>
        <v>2100L</v>
      </c>
      <c r="Q3347" t="str">
        <f t="shared" si="477"/>
        <v>0101</v>
      </c>
      <c r="R3347">
        <v>2100</v>
      </c>
      <c r="S3347" t="str">
        <f t="shared" si="483"/>
        <v>6090</v>
      </c>
      <c r="T3347" t="s">
        <v>3770</v>
      </c>
      <c r="U3347" t="s">
        <v>75</v>
      </c>
    </row>
    <row r="3348" spans="1:21" ht="15" customHeight="1" x14ac:dyDescent="0.3">
      <c r="A3348" t="s">
        <v>179</v>
      </c>
      <c r="B3348" t="str">
        <f>"00076381"</f>
        <v>00076381</v>
      </c>
      <c r="C3348" t="s">
        <v>4262</v>
      </c>
      <c r="D3348" t="s">
        <v>5324</v>
      </c>
      <c r="E3348" t="str">
        <f>"00069665"</f>
        <v>00069665</v>
      </c>
      <c r="F3348">
        <v>0</v>
      </c>
      <c r="G3348" s="243">
        <v>41133</v>
      </c>
      <c r="H3348" t="s">
        <v>182</v>
      </c>
      <c r="I3348">
        <v>15</v>
      </c>
      <c r="J3348">
        <v>10</v>
      </c>
      <c r="K3348">
        <v>1</v>
      </c>
      <c r="L3348">
        <v>78273</v>
      </c>
      <c r="M3348" t="str">
        <f t="shared" si="484"/>
        <v>13</v>
      </c>
      <c r="N3348" t="s">
        <v>3370</v>
      </c>
      <c r="O3348" t="str">
        <f t="shared" si="481"/>
        <v>60911</v>
      </c>
      <c r="P3348" t="str">
        <f>"2100L"</f>
        <v>2100L</v>
      </c>
      <c r="Q3348" t="str">
        <f t="shared" si="477"/>
        <v>0101</v>
      </c>
      <c r="R3348">
        <v>2100</v>
      </c>
      <c r="S3348" t="str">
        <f t="shared" si="483"/>
        <v>6090</v>
      </c>
      <c r="T3348" t="s">
        <v>3770</v>
      </c>
      <c r="U3348" t="s">
        <v>75</v>
      </c>
    </row>
    <row r="3349" spans="1:21" ht="15" customHeight="1" x14ac:dyDescent="0.3">
      <c r="A3349" t="s">
        <v>179</v>
      </c>
      <c r="B3349" t="str">
        <f>"00076382"</f>
        <v>00076382</v>
      </c>
      <c r="C3349" t="s">
        <v>4387</v>
      </c>
      <c r="H3349" t="s">
        <v>170</v>
      </c>
      <c r="I3349">
        <v>10</v>
      </c>
      <c r="J3349">
        <v>0</v>
      </c>
      <c r="K3349">
        <v>0.5</v>
      </c>
      <c r="L3349">
        <v>62794</v>
      </c>
      <c r="M3349" t="str">
        <f t="shared" si="484"/>
        <v>13</v>
      </c>
      <c r="N3349" t="s">
        <v>3370</v>
      </c>
      <c r="O3349" t="str">
        <f t="shared" si="481"/>
        <v>60911</v>
      </c>
      <c r="P3349" t="str">
        <f>"2100L"</f>
        <v>2100L</v>
      </c>
      <c r="Q3349" t="str">
        <f t="shared" si="477"/>
        <v>0101</v>
      </c>
      <c r="R3349">
        <v>2100</v>
      </c>
      <c r="S3349" t="str">
        <f t="shared" si="483"/>
        <v>6090</v>
      </c>
      <c r="T3349" t="s">
        <v>3770</v>
      </c>
      <c r="U3349" t="s">
        <v>75</v>
      </c>
    </row>
    <row r="3350" spans="1:21" ht="15" customHeight="1" x14ac:dyDescent="0.3">
      <c r="A3350" t="s">
        <v>179</v>
      </c>
      <c r="B3350" t="str">
        <f>"00076383"</f>
        <v>00076383</v>
      </c>
      <c r="C3350" t="s">
        <v>4271</v>
      </c>
      <c r="D3350" t="s">
        <v>5325</v>
      </c>
      <c r="E3350" t="str">
        <f>"00052287"</f>
        <v>00052287</v>
      </c>
      <c r="F3350">
        <v>0</v>
      </c>
      <c r="G3350" s="243">
        <v>39307</v>
      </c>
      <c r="H3350" t="s">
        <v>182</v>
      </c>
      <c r="I3350">
        <v>15</v>
      </c>
      <c r="J3350">
        <v>6</v>
      </c>
      <c r="K3350">
        <v>1</v>
      </c>
      <c r="L3350">
        <v>66078</v>
      </c>
      <c r="M3350" t="str">
        <f t="shared" si="484"/>
        <v>13</v>
      </c>
      <c r="N3350" t="s">
        <v>3370</v>
      </c>
      <c r="O3350" t="str">
        <f t="shared" si="481"/>
        <v>60911</v>
      </c>
      <c r="P3350" t="str">
        <f>"2100L"</f>
        <v>2100L</v>
      </c>
      <c r="Q3350" t="str">
        <f t="shared" ref="Q3350:Q3408" si="485">"0101"</f>
        <v>0101</v>
      </c>
      <c r="R3350">
        <v>2100</v>
      </c>
      <c r="S3350" t="str">
        <f t="shared" si="483"/>
        <v>6090</v>
      </c>
      <c r="T3350" t="s">
        <v>3770</v>
      </c>
      <c r="U3350" t="s">
        <v>75</v>
      </c>
    </row>
    <row r="3351" spans="1:21" ht="15" customHeight="1" x14ac:dyDescent="0.3">
      <c r="A3351" t="s">
        <v>179</v>
      </c>
      <c r="B3351" t="str">
        <f>"00076531"</f>
        <v>00076531</v>
      </c>
      <c r="C3351" t="s">
        <v>4294</v>
      </c>
      <c r="D3351" t="s">
        <v>5326</v>
      </c>
      <c r="E3351" t="str">
        <f>"00046263"</f>
        <v>00046263</v>
      </c>
      <c r="F3351">
        <v>0</v>
      </c>
      <c r="G3351" s="243">
        <v>36433</v>
      </c>
      <c r="H3351" t="s">
        <v>182</v>
      </c>
      <c r="I3351">
        <v>7</v>
      </c>
      <c r="J3351">
        <v>8</v>
      </c>
      <c r="K3351">
        <v>1</v>
      </c>
      <c r="L3351">
        <v>42621</v>
      </c>
      <c r="M3351" t="str">
        <f t="shared" si="484"/>
        <v>13</v>
      </c>
      <c r="N3351" t="s">
        <v>3370</v>
      </c>
      <c r="O3351" t="str">
        <f t="shared" si="481"/>
        <v>60911</v>
      </c>
      <c r="P3351" t="str">
        <f>"1502L"</f>
        <v>1502L</v>
      </c>
      <c r="Q3351" t="str">
        <f t="shared" si="485"/>
        <v>0101</v>
      </c>
      <c r="R3351">
        <v>1502</v>
      </c>
      <c r="S3351" t="str">
        <f t="shared" si="483"/>
        <v>6090</v>
      </c>
      <c r="T3351" t="s">
        <v>3770</v>
      </c>
      <c r="U3351" t="s">
        <v>75</v>
      </c>
    </row>
    <row r="3352" spans="1:21" ht="15" customHeight="1" x14ac:dyDescent="0.3">
      <c r="A3352" t="s">
        <v>179</v>
      </c>
      <c r="B3352" t="str">
        <f>"00076797"</f>
        <v>00076797</v>
      </c>
      <c r="C3352" t="s">
        <v>4294</v>
      </c>
      <c r="D3352" t="s">
        <v>5327</v>
      </c>
      <c r="E3352" t="str">
        <f>"00050183"</f>
        <v>00050183</v>
      </c>
      <c r="F3352">
        <v>0</v>
      </c>
      <c r="G3352" s="243">
        <v>39685</v>
      </c>
      <c r="H3352" t="s">
        <v>182</v>
      </c>
      <c r="I3352">
        <v>7</v>
      </c>
      <c r="J3352">
        <v>4</v>
      </c>
      <c r="K3352">
        <v>1</v>
      </c>
      <c r="L3352">
        <v>39299</v>
      </c>
      <c r="M3352" t="str">
        <f t="shared" si="484"/>
        <v>13</v>
      </c>
      <c r="N3352" t="s">
        <v>3370</v>
      </c>
      <c r="O3352" t="str">
        <f t="shared" si="481"/>
        <v>60911</v>
      </c>
      <c r="P3352" t="str">
        <f>"2100L"</f>
        <v>2100L</v>
      </c>
      <c r="Q3352" t="str">
        <f t="shared" si="485"/>
        <v>0101</v>
      </c>
      <c r="R3352">
        <v>2100</v>
      </c>
      <c r="S3352" t="str">
        <f t="shared" si="483"/>
        <v>6090</v>
      </c>
      <c r="T3352" t="s">
        <v>3770</v>
      </c>
      <c r="U3352" t="s">
        <v>75</v>
      </c>
    </row>
    <row r="3353" spans="1:21" ht="15" customHeight="1" x14ac:dyDescent="0.3">
      <c r="A3353" t="s">
        <v>179</v>
      </c>
      <c r="B3353" t="str">
        <f>"00077003"</f>
        <v>00077003</v>
      </c>
      <c r="C3353" t="s">
        <v>5328</v>
      </c>
      <c r="D3353" t="s">
        <v>5329</v>
      </c>
      <c r="E3353" t="str">
        <f>"00067838"</f>
        <v>00067838</v>
      </c>
      <c r="F3353">
        <v>0</v>
      </c>
      <c r="G3353" s="243">
        <v>40966</v>
      </c>
      <c r="H3353" t="s">
        <v>182</v>
      </c>
      <c r="I3353">
        <v>13</v>
      </c>
      <c r="J3353">
        <v>1</v>
      </c>
      <c r="K3353">
        <v>1</v>
      </c>
      <c r="L3353">
        <v>56980</v>
      </c>
      <c r="M3353" t="str">
        <f t="shared" si="484"/>
        <v>13</v>
      </c>
      <c r="N3353" t="s">
        <v>3370</v>
      </c>
      <c r="O3353" t="str">
        <f t="shared" si="481"/>
        <v>60911</v>
      </c>
      <c r="P3353" t="str">
        <f>"2100L"</f>
        <v>2100L</v>
      </c>
      <c r="Q3353" t="str">
        <f t="shared" si="485"/>
        <v>0101</v>
      </c>
      <c r="R3353">
        <v>2100</v>
      </c>
      <c r="S3353" t="str">
        <f t="shared" si="483"/>
        <v>6090</v>
      </c>
      <c r="T3353" t="s">
        <v>3770</v>
      </c>
      <c r="U3353" t="s">
        <v>75</v>
      </c>
    </row>
    <row r="3354" spans="1:21" ht="15" customHeight="1" x14ac:dyDescent="0.3">
      <c r="A3354" t="s">
        <v>179</v>
      </c>
      <c r="B3354" t="str">
        <f>"00051907"</f>
        <v>00051907</v>
      </c>
      <c r="C3354" t="s">
        <v>4274</v>
      </c>
      <c r="D3354" t="s">
        <v>5330</v>
      </c>
      <c r="E3354" t="str">
        <f>"00067647"</f>
        <v>00067647</v>
      </c>
      <c r="F3354">
        <v>0</v>
      </c>
      <c r="G3354" s="243">
        <v>40945</v>
      </c>
      <c r="H3354" t="s">
        <v>182</v>
      </c>
      <c r="I3354">
        <v>4</v>
      </c>
      <c r="J3354">
        <v>8</v>
      </c>
      <c r="K3354">
        <v>0.875</v>
      </c>
      <c r="L3354">
        <v>27329.75</v>
      </c>
      <c r="M3354" t="str">
        <f t="shared" si="484"/>
        <v>13</v>
      </c>
      <c r="N3354" t="s">
        <v>3323</v>
      </c>
      <c r="O3354" t="str">
        <f t="shared" ref="O3354:O3381" si="486">"61111"</f>
        <v>61111</v>
      </c>
      <c r="P3354" t="str">
        <f>"2200L"</f>
        <v>2200L</v>
      </c>
      <c r="Q3354" t="str">
        <f t="shared" si="485"/>
        <v>0101</v>
      </c>
      <c r="R3354">
        <v>2200</v>
      </c>
      <c r="S3354" t="str">
        <f t="shared" ref="S3354:S3381" si="487">"6110"</f>
        <v>6110</v>
      </c>
      <c r="T3354" t="s">
        <v>3784</v>
      </c>
      <c r="U3354" t="s">
        <v>1744</v>
      </c>
    </row>
    <row r="3355" spans="1:21" ht="15" customHeight="1" x14ac:dyDescent="0.3">
      <c r="A3355" t="s">
        <v>179</v>
      </c>
      <c r="B3355" t="str">
        <f>"00052048"</f>
        <v>00052048</v>
      </c>
      <c r="C3355" t="s">
        <v>4290</v>
      </c>
      <c r="D3355" t="s">
        <v>5331</v>
      </c>
      <c r="E3355" t="str">
        <f>"00063339"</f>
        <v>00063339</v>
      </c>
      <c r="F3355">
        <v>0</v>
      </c>
      <c r="G3355" s="243">
        <v>40406</v>
      </c>
      <c r="H3355" t="s">
        <v>182</v>
      </c>
      <c r="I3355">
        <v>4</v>
      </c>
      <c r="J3355">
        <v>3</v>
      </c>
      <c r="K3355">
        <v>0.875</v>
      </c>
      <c r="L3355">
        <v>23848.12</v>
      </c>
      <c r="M3355" t="str">
        <f t="shared" si="484"/>
        <v>13</v>
      </c>
      <c r="N3355" t="s">
        <v>3323</v>
      </c>
      <c r="O3355" t="str">
        <f t="shared" si="486"/>
        <v>61111</v>
      </c>
      <c r="P3355" t="str">
        <f t="shared" ref="P3355:P3362" si="488">"2100L"</f>
        <v>2100L</v>
      </c>
      <c r="Q3355" t="str">
        <f t="shared" si="485"/>
        <v>0101</v>
      </c>
      <c r="R3355">
        <v>2100</v>
      </c>
      <c r="S3355" t="str">
        <f t="shared" si="487"/>
        <v>6110</v>
      </c>
      <c r="T3355" t="s">
        <v>3784</v>
      </c>
      <c r="U3355" t="s">
        <v>1744</v>
      </c>
    </row>
    <row r="3356" spans="1:21" ht="15" customHeight="1" x14ac:dyDescent="0.3">
      <c r="A3356" t="s">
        <v>179</v>
      </c>
      <c r="B3356" t="str">
        <f>"00052139"</f>
        <v>00052139</v>
      </c>
      <c r="C3356" t="s">
        <v>4253</v>
      </c>
      <c r="D3356" t="s">
        <v>2702</v>
      </c>
      <c r="E3356" t="str">
        <f>"00047415"</f>
        <v>00047415</v>
      </c>
      <c r="F3356">
        <v>0</v>
      </c>
      <c r="G3356" s="243">
        <v>36034</v>
      </c>
      <c r="H3356" t="s">
        <v>182</v>
      </c>
      <c r="I3356">
        <v>15</v>
      </c>
      <c r="J3356">
        <v>13</v>
      </c>
      <c r="K3356">
        <v>1</v>
      </c>
      <c r="L3356">
        <v>81724</v>
      </c>
      <c r="M3356" t="str">
        <f t="shared" si="484"/>
        <v>13</v>
      </c>
      <c r="N3356" t="s">
        <v>3323</v>
      </c>
      <c r="O3356" t="str">
        <f t="shared" si="486"/>
        <v>61111</v>
      </c>
      <c r="P3356" t="str">
        <f t="shared" si="488"/>
        <v>2100L</v>
      </c>
      <c r="Q3356" t="str">
        <f t="shared" si="485"/>
        <v>0101</v>
      </c>
      <c r="R3356">
        <v>2100</v>
      </c>
      <c r="S3356" t="str">
        <f t="shared" si="487"/>
        <v>6110</v>
      </c>
      <c r="T3356" t="s">
        <v>3784</v>
      </c>
      <c r="U3356" t="s">
        <v>1744</v>
      </c>
    </row>
    <row r="3357" spans="1:21" ht="15" customHeight="1" x14ac:dyDescent="0.3">
      <c r="A3357" t="s">
        <v>179</v>
      </c>
      <c r="B3357" t="str">
        <f>"00053049"</f>
        <v>00053049</v>
      </c>
      <c r="C3357" t="s">
        <v>4253</v>
      </c>
      <c r="D3357" t="s">
        <v>3792</v>
      </c>
      <c r="E3357" t="str">
        <f>"00066037"</f>
        <v>00066037</v>
      </c>
      <c r="F3357">
        <v>0</v>
      </c>
      <c r="G3357" s="243">
        <v>40755</v>
      </c>
      <c r="H3357" t="s">
        <v>182</v>
      </c>
      <c r="I3357">
        <v>15</v>
      </c>
      <c r="J3357">
        <v>9</v>
      </c>
      <c r="K3357">
        <v>1</v>
      </c>
      <c r="L3357">
        <v>65985</v>
      </c>
      <c r="M3357" t="str">
        <f t="shared" si="484"/>
        <v>13</v>
      </c>
      <c r="N3357" t="s">
        <v>3323</v>
      </c>
      <c r="O3357" t="str">
        <f t="shared" si="486"/>
        <v>61111</v>
      </c>
      <c r="P3357" t="str">
        <f t="shared" si="488"/>
        <v>2100L</v>
      </c>
      <c r="Q3357" t="str">
        <f t="shared" si="485"/>
        <v>0101</v>
      </c>
      <c r="R3357">
        <v>2100</v>
      </c>
      <c r="S3357" t="str">
        <f t="shared" si="487"/>
        <v>6110</v>
      </c>
      <c r="T3357" t="s">
        <v>3784</v>
      </c>
      <c r="U3357" t="s">
        <v>1744</v>
      </c>
    </row>
    <row r="3358" spans="1:21" ht="15" customHeight="1" x14ac:dyDescent="0.3">
      <c r="A3358" t="s">
        <v>179</v>
      </c>
      <c r="B3358" t="str">
        <f>"00053151"</f>
        <v>00053151</v>
      </c>
      <c r="C3358" t="s">
        <v>4274</v>
      </c>
      <c r="D3358" t="s">
        <v>5332</v>
      </c>
      <c r="E3358" t="str">
        <f>"00051028"</f>
        <v>00051028</v>
      </c>
      <c r="F3358">
        <v>0</v>
      </c>
      <c r="G3358" s="243">
        <v>29620</v>
      </c>
      <c r="H3358" t="s">
        <v>182</v>
      </c>
      <c r="I3358">
        <v>4</v>
      </c>
      <c r="J3358">
        <v>10</v>
      </c>
      <c r="K3358">
        <v>0.875</v>
      </c>
      <c r="L3358">
        <v>28721</v>
      </c>
      <c r="M3358" t="str">
        <f t="shared" si="484"/>
        <v>13</v>
      </c>
      <c r="N3358" t="s">
        <v>3323</v>
      </c>
      <c r="O3358" t="str">
        <f t="shared" si="486"/>
        <v>61111</v>
      </c>
      <c r="P3358" t="str">
        <f t="shared" si="488"/>
        <v>2100L</v>
      </c>
      <c r="Q3358" t="str">
        <f t="shared" si="485"/>
        <v>0101</v>
      </c>
      <c r="R3358">
        <v>2100</v>
      </c>
      <c r="S3358" t="str">
        <f t="shared" si="487"/>
        <v>6110</v>
      </c>
      <c r="T3358" t="s">
        <v>3784</v>
      </c>
      <c r="U3358" t="s">
        <v>1744</v>
      </c>
    </row>
    <row r="3359" spans="1:21" ht="15" customHeight="1" x14ac:dyDescent="0.3">
      <c r="A3359" t="s">
        <v>179</v>
      </c>
      <c r="B3359" t="str">
        <f>"00053622"</f>
        <v>00053622</v>
      </c>
      <c r="C3359" t="s">
        <v>4262</v>
      </c>
      <c r="D3359" t="s">
        <v>3790</v>
      </c>
      <c r="E3359" t="str">
        <f>"00066209"</f>
        <v>00066209</v>
      </c>
      <c r="F3359">
        <v>0</v>
      </c>
      <c r="G3359" s="243">
        <v>40755</v>
      </c>
      <c r="H3359" t="s">
        <v>182</v>
      </c>
      <c r="I3359">
        <v>15</v>
      </c>
      <c r="J3359">
        <v>2</v>
      </c>
      <c r="K3359">
        <v>1</v>
      </c>
      <c r="L3359">
        <v>51716</v>
      </c>
      <c r="M3359" t="str">
        <f t="shared" si="484"/>
        <v>13</v>
      </c>
      <c r="N3359" t="s">
        <v>3323</v>
      </c>
      <c r="O3359" t="str">
        <f t="shared" si="486"/>
        <v>61111</v>
      </c>
      <c r="P3359" t="str">
        <f t="shared" si="488"/>
        <v>2100L</v>
      </c>
      <c r="Q3359" t="str">
        <f t="shared" si="485"/>
        <v>0101</v>
      </c>
      <c r="R3359">
        <v>2100</v>
      </c>
      <c r="S3359" t="str">
        <f t="shared" si="487"/>
        <v>6110</v>
      </c>
      <c r="T3359" t="s">
        <v>3784</v>
      </c>
      <c r="U3359" t="s">
        <v>1744</v>
      </c>
    </row>
    <row r="3360" spans="1:21" ht="15" customHeight="1" x14ac:dyDescent="0.3">
      <c r="A3360" t="s">
        <v>179</v>
      </c>
      <c r="B3360" t="str">
        <f>"00053766"</f>
        <v>00053766</v>
      </c>
      <c r="C3360" t="s">
        <v>4253</v>
      </c>
      <c r="D3360" t="s">
        <v>2703</v>
      </c>
      <c r="E3360" t="str">
        <f>"00063046"</f>
        <v>00063046</v>
      </c>
      <c r="F3360">
        <v>0</v>
      </c>
      <c r="G3360" s="243">
        <v>40406</v>
      </c>
      <c r="H3360" t="s">
        <v>182</v>
      </c>
      <c r="I3360">
        <v>15</v>
      </c>
      <c r="J3360">
        <v>5</v>
      </c>
      <c r="K3360">
        <v>1</v>
      </c>
      <c r="L3360">
        <v>63611</v>
      </c>
      <c r="M3360" t="str">
        <f t="shared" si="484"/>
        <v>13</v>
      </c>
      <c r="N3360" t="s">
        <v>3323</v>
      </c>
      <c r="O3360" t="str">
        <f t="shared" si="486"/>
        <v>61111</v>
      </c>
      <c r="P3360" t="str">
        <f t="shared" si="488"/>
        <v>2100L</v>
      </c>
      <c r="Q3360" t="str">
        <f t="shared" si="485"/>
        <v>0101</v>
      </c>
      <c r="R3360">
        <v>2100</v>
      </c>
      <c r="S3360" t="str">
        <f t="shared" si="487"/>
        <v>6110</v>
      </c>
      <c r="T3360" t="s">
        <v>3784</v>
      </c>
      <c r="U3360" t="s">
        <v>1744</v>
      </c>
    </row>
    <row r="3361" spans="1:21" ht="15" customHeight="1" x14ac:dyDescent="0.3">
      <c r="A3361" t="s">
        <v>179</v>
      </c>
      <c r="B3361" t="str">
        <f>"00054093"</f>
        <v>00054093</v>
      </c>
      <c r="C3361" t="s">
        <v>4262</v>
      </c>
      <c r="D3361" t="s">
        <v>5333</v>
      </c>
      <c r="E3361" t="str">
        <f>"00069817"</f>
        <v>00069817</v>
      </c>
      <c r="F3361">
        <v>0</v>
      </c>
      <c r="G3361" s="243">
        <v>41133</v>
      </c>
      <c r="H3361" t="s">
        <v>182</v>
      </c>
      <c r="I3361">
        <v>15</v>
      </c>
      <c r="J3361">
        <v>1</v>
      </c>
      <c r="K3361">
        <v>1</v>
      </c>
      <c r="L3361">
        <v>51539</v>
      </c>
      <c r="M3361" t="str">
        <f t="shared" si="484"/>
        <v>13</v>
      </c>
      <c r="N3361" t="s">
        <v>3370</v>
      </c>
      <c r="O3361" t="str">
        <f t="shared" si="486"/>
        <v>61111</v>
      </c>
      <c r="P3361" t="str">
        <f t="shared" si="488"/>
        <v>2100L</v>
      </c>
      <c r="Q3361" t="str">
        <f t="shared" si="485"/>
        <v>0101</v>
      </c>
      <c r="R3361">
        <v>2100</v>
      </c>
      <c r="S3361" t="str">
        <f t="shared" si="487"/>
        <v>6110</v>
      </c>
      <c r="T3361" t="s">
        <v>3784</v>
      </c>
      <c r="U3361" t="s">
        <v>1744</v>
      </c>
    </row>
    <row r="3362" spans="1:21" ht="15" customHeight="1" x14ac:dyDescent="0.3">
      <c r="A3362" t="s">
        <v>179</v>
      </c>
      <c r="B3362" t="str">
        <f>"00054192"</f>
        <v>00054192</v>
      </c>
      <c r="C3362" t="s">
        <v>4272</v>
      </c>
      <c r="D3362" t="s">
        <v>2704</v>
      </c>
      <c r="E3362" t="str">
        <f>"00053220"</f>
        <v>00053220</v>
      </c>
      <c r="F3362">
        <v>0</v>
      </c>
      <c r="G3362" s="243">
        <v>32050</v>
      </c>
      <c r="H3362" t="s">
        <v>182</v>
      </c>
      <c r="I3362">
        <v>15</v>
      </c>
      <c r="J3362">
        <v>16</v>
      </c>
      <c r="K3362">
        <v>1</v>
      </c>
      <c r="L3362">
        <v>100839</v>
      </c>
      <c r="M3362" t="str">
        <f t="shared" si="484"/>
        <v>13</v>
      </c>
      <c r="N3362" t="s">
        <v>3323</v>
      </c>
      <c r="O3362" t="str">
        <f t="shared" si="486"/>
        <v>61111</v>
      </c>
      <c r="P3362" t="str">
        <f t="shared" si="488"/>
        <v>2100L</v>
      </c>
      <c r="Q3362" t="str">
        <f t="shared" si="485"/>
        <v>0101</v>
      </c>
      <c r="R3362">
        <v>2100</v>
      </c>
      <c r="S3362" t="str">
        <f t="shared" si="487"/>
        <v>6110</v>
      </c>
      <c r="T3362" t="s">
        <v>3784</v>
      </c>
      <c r="U3362" t="s">
        <v>1744</v>
      </c>
    </row>
    <row r="3363" spans="1:21" ht="15" customHeight="1" x14ac:dyDescent="0.3">
      <c r="A3363" t="s">
        <v>179</v>
      </c>
      <c r="B3363" t="str">
        <f>"00057159"</f>
        <v>00057159</v>
      </c>
      <c r="C3363" t="s">
        <v>4262</v>
      </c>
      <c r="D3363" t="s">
        <v>3791</v>
      </c>
      <c r="E3363" t="str">
        <f>"00066059"</f>
        <v>00066059</v>
      </c>
      <c r="F3363">
        <v>0</v>
      </c>
      <c r="G3363" s="243">
        <v>40755</v>
      </c>
      <c r="H3363" t="s">
        <v>182</v>
      </c>
      <c r="I3363">
        <v>15</v>
      </c>
      <c r="J3363">
        <v>2</v>
      </c>
      <c r="K3363">
        <v>1</v>
      </c>
      <c r="L3363">
        <v>51716</v>
      </c>
      <c r="M3363" t="str">
        <f t="shared" si="484"/>
        <v>13</v>
      </c>
      <c r="N3363" t="s">
        <v>3323</v>
      </c>
      <c r="O3363" t="str">
        <f t="shared" si="486"/>
        <v>61111</v>
      </c>
      <c r="P3363" t="str">
        <f>"2100L"</f>
        <v>2100L</v>
      </c>
      <c r="Q3363" t="str">
        <f t="shared" si="485"/>
        <v>0101</v>
      </c>
      <c r="R3363">
        <v>2100</v>
      </c>
      <c r="S3363" t="str">
        <f t="shared" si="487"/>
        <v>6110</v>
      </c>
      <c r="T3363" t="s">
        <v>3784</v>
      </c>
      <c r="U3363" t="s">
        <v>1744</v>
      </c>
    </row>
    <row r="3364" spans="1:21" ht="15" customHeight="1" x14ac:dyDescent="0.3">
      <c r="A3364" t="s">
        <v>179</v>
      </c>
      <c r="B3364" t="str">
        <f>"00058949"</f>
        <v>00058949</v>
      </c>
      <c r="C3364" t="s">
        <v>4262</v>
      </c>
      <c r="D3364" t="s">
        <v>3788</v>
      </c>
      <c r="E3364" t="str">
        <f>"00065883"</f>
        <v>00065883</v>
      </c>
      <c r="F3364">
        <v>0</v>
      </c>
      <c r="G3364" s="243">
        <v>40755</v>
      </c>
      <c r="H3364" t="s">
        <v>182</v>
      </c>
      <c r="I3364">
        <v>15</v>
      </c>
      <c r="J3364">
        <v>3</v>
      </c>
      <c r="K3364">
        <v>1</v>
      </c>
      <c r="L3364">
        <v>52777</v>
      </c>
      <c r="M3364" t="str">
        <f t="shared" si="484"/>
        <v>13</v>
      </c>
      <c r="N3364" t="s">
        <v>3323</v>
      </c>
      <c r="O3364" t="str">
        <f t="shared" si="486"/>
        <v>61111</v>
      </c>
      <c r="P3364" t="str">
        <f>"2100L"</f>
        <v>2100L</v>
      </c>
      <c r="Q3364" t="str">
        <f t="shared" si="485"/>
        <v>0101</v>
      </c>
      <c r="R3364">
        <v>2100</v>
      </c>
      <c r="S3364" t="str">
        <f t="shared" si="487"/>
        <v>6110</v>
      </c>
      <c r="T3364" t="s">
        <v>3784</v>
      </c>
      <c r="U3364" t="s">
        <v>1744</v>
      </c>
    </row>
    <row r="3365" spans="1:21" ht="15" customHeight="1" x14ac:dyDescent="0.3">
      <c r="A3365" t="s">
        <v>179</v>
      </c>
      <c r="B3365" t="str">
        <f>"00058967"</f>
        <v>00058967</v>
      </c>
      <c r="C3365" t="s">
        <v>3798</v>
      </c>
      <c r="D3365" t="s">
        <v>1684</v>
      </c>
      <c r="E3365" t="str">
        <f>"00048898"</f>
        <v>00048898</v>
      </c>
      <c r="F3365">
        <v>0</v>
      </c>
      <c r="G3365" s="243">
        <v>38226</v>
      </c>
      <c r="H3365" t="s">
        <v>182</v>
      </c>
      <c r="I3365">
        <v>62</v>
      </c>
      <c r="J3365">
        <v>1</v>
      </c>
      <c r="K3365">
        <v>1</v>
      </c>
      <c r="L3365">
        <v>103000</v>
      </c>
      <c r="M3365" t="str">
        <f t="shared" si="484"/>
        <v>13</v>
      </c>
      <c r="N3365" t="s">
        <v>3323</v>
      </c>
      <c r="O3365" t="str">
        <f t="shared" si="486"/>
        <v>61111</v>
      </c>
      <c r="P3365" t="str">
        <f>"1501L"</f>
        <v>1501L</v>
      </c>
      <c r="Q3365" t="str">
        <f t="shared" si="485"/>
        <v>0101</v>
      </c>
      <c r="R3365">
        <v>1501</v>
      </c>
      <c r="S3365" t="str">
        <f t="shared" si="487"/>
        <v>6110</v>
      </c>
      <c r="T3365" t="s">
        <v>3784</v>
      </c>
      <c r="U3365" t="s">
        <v>1744</v>
      </c>
    </row>
    <row r="3366" spans="1:21" ht="15" customHeight="1" x14ac:dyDescent="0.3">
      <c r="A3366" t="s">
        <v>179</v>
      </c>
      <c r="B3366" t="str">
        <f>"00059208"</f>
        <v>00059208</v>
      </c>
      <c r="C3366" t="s">
        <v>4253</v>
      </c>
      <c r="D3366" t="s">
        <v>2707</v>
      </c>
      <c r="E3366" t="str">
        <f>"00063160"</f>
        <v>00063160</v>
      </c>
      <c r="F3366">
        <v>0</v>
      </c>
      <c r="G3366" s="243">
        <v>40406</v>
      </c>
      <c r="H3366" t="s">
        <v>182</v>
      </c>
      <c r="I3366">
        <v>15</v>
      </c>
      <c r="J3366">
        <v>9</v>
      </c>
      <c r="K3366">
        <v>1</v>
      </c>
      <c r="L3366">
        <v>75232</v>
      </c>
      <c r="M3366" t="str">
        <f t="shared" si="484"/>
        <v>13</v>
      </c>
      <c r="N3366" t="s">
        <v>3323</v>
      </c>
      <c r="O3366" t="str">
        <f t="shared" si="486"/>
        <v>61111</v>
      </c>
      <c r="P3366" t="str">
        <f>"2100L"</f>
        <v>2100L</v>
      </c>
      <c r="Q3366" t="str">
        <f t="shared" si="485"/>
        <v>0101</v>
      </c>
      <c r="R3366">
        <v>2100</v>
      </c>
      <c r="S3366" t="str">
        <f t="shared" si="487"/>
        <v>6110</v>
      </c>
      <c r="T3366" t="s">
        <v>3784</v>
      </c>
      <c r="U3366" t="s">
        <v>1744</v>
      </c>
    </row>
    <row r="3367" spans="1:21" ht="15" customHeight="1" x14ac:dyDescent="0.3">
      <c r="A3367" t="s">
        <v>179</v>
      </c>
      <c r="B3367" t="str">
        <f>"00059752"</f>
        <v>00059752</v>
      </c>
      <c r="C3367" t="s">
        <v>4262</v>
      </c>
      <c r="D3367" t="s">
        <v>2819</v>
      </c>
      <c r="E3367" t="str">
        <f>"00053006"</f>
        <v>00053006</v>
      </c>
      <c r="F3367">
        <v>0</v>
      </c>
      <c r="G3367" s="243">
        <v>32050</v>
      </c>
      <c r="H3367" t="s">
        <v>182</v>
      </c>
      <c r="I3367">
        <v>15</v>
      </c>
      <c r="J3367">
        <v>16</v>
      </c>
      <c r="K3367">
        <v>1</v>
      </c>
      <c r="L3367">
        <v>100839</v>
      </c>
      <c r="M3367" t="str">
        <f t="shared" si="484"/>
        <v>13</v>
      </c>
      <c r="N3367" t="s">
        <v>3370</v>
      </c>
      <c r="O3367" t="str">
        <f t="shared" si="486"/>
        <v>61111</v>
      </c>
      <c r="P3367" t="str">
        <f>"2100L"</f>
        <v>2100L</v>
      </c>
      <c r="Q3367" t="str">
        <f t="shared" si="485"/>
        <v>0101</v>
      </c>
      <c r="R3367">
        <v>2100</v>
      </c>
      <c r="S3367" t="str">
        <f t="shared" si="487"/>
        <v>6110</v>
      </c>
      <c r="T3367" t="s">
        <v>3784</v>
      </c>
      <c r="U3367" t="s">
        <v>1744</v>
      </c>
    </row>
    <row r="3368" spans="1:21" ht="15" customHeight="1" x14ac:dyDescent="0.3">
      <c r="A3368" t="s">
        <v>179</v>
      </c>
      <c r="B3368" t="str">
        <f>"00060277"</f>
        <v>00060277</v>
      </c>
      <c r="C3368" t="s">
        <v>4256</v>
      </c>
      <c r="D3368" t="s">
        <v>2709</v>
      </c>
      <c r="E3368" t="str">
        <f>"00049052"</f>
        <v>00049052</v>
      </c>
      <c r="F3368">
        <v>0</v>
      </c>
      <c r="G3368" s="243">
        <v>38587</v>
      </c>
      <c r="H3368" t="s">
        <v>182</v>
      </c>
      <c r="I3368">
        <v>15</v>
      </c>
      <c r="J3368">
        <v>14</v>
      </c>
      <c r="K3368">
        <v>1</v>
      </c>
      <c r="L3368">
        <v>96460</v>
      </c>
      <c r="M3368" t="str">
        <f t="shared" si="484"/>
        <v>13</v>
      </c>
      <c r="N3368" t="s">
        <v>3323</v>
      </c>
      <c r="O3368" t="str">
        <f t="shared" si="486"/>
        <v>61111</v>
      </c>
      <c r="P3368" t="str">
        <f>"2100L"</f>
        <v>2100L</v>
      </c>
      <c r="Q3368" t="str">
        <f t="shared" si="485"/>
        <v>0101</v>
      </c>
      <c r="R3368">
        <v>2100</v>
      </c>
      <c r="S3368" t="str">
        <f t="shared" si="487"/>
        <v>6110</v>
      </c>
      <c r="T3368" t="s">
        <v>3784</v>
      </c>
      <c r="U3368" t="s">
        <v>1744</v>
      </c>
    </row>
    <row r="3369" spans="1:21" ht="15" customHeight="1" x14ac:dyDescent="0.3">
      <c r="A3369" t="s">
        <v>179</v>
      </c>
      <c r="B3369" t="str">
        <f>"00060728"</f>
        <v>00060728</v>
      </c>
      <c r="C3369" t="s">
        <v>4262</v>
      </c>
      <c r="D3369" t="s">
        <v>2710</v>
      </c>
      <c r="E3369" t="str">
        <f>"00046233"</f>
        <v>00046233</v>
      </c>
      <c r="F3369">
        <v>0</v>
      </c>
      <c r="G3369" s="243">
        <v>39104</v>
      </c>
      <c r="H3369" t="s">
        <v>182</v>
      </c>
      <c r="I3369">
        <v>15</v>
      </c>
      <c r="J3369">
        <v>7</v>
      </c>
      <c r="K3369">
        <v>1</v>
      </c>
      <c r="L3369">
        <v>69132</v>
      </c>
      <c r="M3369" t="str">
        <f t="shared" si="484"/>
        <v>13</v>
      </c>
      <c r="N3369" t="s">
        <v>3323</v>
      </c>
      <c r="O3369" t="str">
        <f t="shared" si="486"/>
        <v>61111</v>
      </c>
      <c r="P3369" t="str">
        <f>"2100L"</f>
        <v>2100L</v>
      </c>
      <c r="Q3369" t="str">
        <f t="shared" si="485"/>
        <v>0101</v>
      </c>
      <c r="R3369">
        <v>2100</v>
      </c>
      <c r="S3369" t="str">
        <f t="shared" si="487"/>
        <v>6110</v>
      </c>
      <c r="T3369" t="s">
        <v>3784</v>
      </c>
      <c r="U3369" t="s">
        <v>1744</v>
      </c>
    </row>
    <row r="3370" spans="1:21" ht="15" customHeight="1" x14ac:dyDescent="0.3">
      <c r="A3370" t="s">
        <v>179</v>
      </c>
      <c r="B3370" t="str">
        <f>"00061122"</f>
        <v>00061122</v>
      </c>
      <c r="C3370" t="s">
        <v>4260</v>
      </c>
      <c r="D3370" t="s">
        <v>3789</v>
      </c>
      <c r="E3370" t="str">
        <f>"00066057"</f>
        <v>00066057</v>
      </c>
      <c r="F3370">
        <v>0</v>
      </c>
      <c r="G3370" s="243">
        <v>40755</v>
      </c>
      <c r="H3370" t="s">
        <v>182</v>
      </c>
      <c r="I3370">
        <v>15</v>
      </c>
      <c r="J3370">
        <v>11</v>
      </c>
      <c r="K3370">
        <v>1</v>
      </c>
      <c r="L3370">
        <v>81335</v>
      </c>
      <c r="M3370" t="str">
        <f t="shared" si="484"/>
        <v>13</v>
      </c>
      <c r="N3370" t="s">
        <v>3323</v>
      </c>
      <c r="O3370" t="str">
        <f t="shared" si="486"/>
        <v>61111</v>
      </c>
      <c r="P3370" t="str">
        <f>"3030L"</f>
        <v>3030L</v>
      </c>
      <c r="Q3370" t="str">
        <f t="shared" si="485"/>
        <v>0101</v>
      </c>
      <c r="R3370">
        <v>3030</v>
      </c>
      <c r="S3370" t="str">
        <f t="shared" si="487"/>
        <v>6110</v>
      </c>
      <c r="T3370" t="s">
        <v>3784</v>
      </c>
      <c r="U3370" t="s">
        <v>1744</v>
      </c>
    </row>
    <row r="3371" spans="1:21" ht="15" customHeight="1" x14ac:dyDescent="0.3">
      <c r="A3371" t="s">
        <v>179</v>
      </c>
      <c r="B3371" t="str">
        <f>"00061798"</f>
        <v>00061798</v>
      </c>
      <c r="C3371" t="s">
        <v>4274</v>
      </c>
      <c r="H3371" t="s">
        <v>170</v>
      </c>
      <c r="I3371">
        <v>4</v>
      </c>
      <c r="J3371">
        <v>1</v>
      </c>
      <c r="K3371">
        <v>1</v>
      </c>
      <c r="L3371">
        <v>25662</v>
      </c>
      <c r="M3371" t="str">
        <f t="shared" si="484"/>
        <v>13</v>
      </c>
      <c r="N3371" t="s">
        <v>3323</v>
      </c>
      <c r="O3371" t="str">
        <f t="shared" si="486"/>
        <v>61111</v>
      </c>
      <c r="P3371" t="str">
        <f>"2100L"</f>
        <v>2100L</v>
      </c>
      <c r="Q3371" t="str">
        <f t="shared" si="485"/>
        <v>0101</v>
      </c>
      <c r="R3371">
        <v>2100</v>
      </c>
      <c r="S3371" t="str">
        <f t="shared" si="487"/>
        <v>6110</v>
      </c>
      <c r="T3371" t="s">
        <v>3784</v>
      </c>
      <c r="U3371" t="s">
        <v>1744</v>
      </c>
    </row>
    <row r="3372" spans="1:21" ht="15" customHeight="1" x14ac:dyDescent="0.3">
      <c r="A3372" t="s">
        <v>179</v>
      </c>
      <c r="B3372" t="str">
        <f>"00061890"</f>
        <v>00061890</v>
      </c>
      <c r="C3372" t="s">
        <v>4254</v>
      </c>
      <c r="D3372" t="s">
        <v>1499</v>
      </c>
      <c r="E3372" t="str">
        <f>"00054575"</f>
        <v>00054575</v>
      </c>
      <c r="F3372">
        <v>0</v>
      </c>
      <c r="G3372" s="243">
        <v>37124</v>
      </c>
      <c r="H3372" t="s">
        <v>182</v>
      </c>
      <c r="I3372">
        <v>15</v>
      </c>
      <c r="J3372">
        <v>16</v>
      </c>
      <c r="K3372">
        <v>1</v>
      </c>
      <c r="L3372">
        <v>100839</v>
      </c>
      <c r="M3372" t="str">
        <f t="shared" si="484"/>
        <v>13</v>
      </c>
      <c r="N3372" t="s">
        <v>3323</v>
      </c>
      <c r="O3372" t="str">
        <f t="shared" si="486"/>
        <v>61111</v>
      </c>
      <c r="P3372" t="str">
        <f>"2100L"</f>
        <v>2100L</v>
      </c>
      <c r="Q3372" t="str">
        <f t="shared" si="485"/>
        <v>0101</v>
      </c>
      <c r="R3372">
        <v>2100</v>
      </c>
      <c r="S3372" t="str">
        <f t="shared" si="487"/>
        <v>6110</v>
      </c>
      <c r="T3372" t="s">
        <v>3784</v>
      </c>
      <c r="U3372" t="s">
        <v>1744</v>
      </c>
    </row>
    <row r="3373" spans="1:21" ht="15" customHeight="1" x14ac:dyDescent="0.3">
      <c r="A3373" t="s">
        <v>179</v>
      </c>
      <c r="B3373" t="str">
        <f>"00061891"</f>
        <v>00061891</v>
      </c>
      <c r="C3373" t="s">
        <v>4260</v>
      </c>
      <c r="D3373" t="s">
        <v>5334</v>
      </c>
      <c r="E3373" t="str">
        <f>"00070096"</f>
        <v>00070096</v>
      </c>
      <c r="F3373">
        <v>0</v>
      </c>
      <c r="G3373" s="243">
        <v>41133</v>
      </c>
      <c r="H3373" t="s">
        <v>182</v>
      </c>
      <c r="I3373">
        <v>15</v>
      </c>
      <c r="J3373">
        <v>1</v>
      </c>
      <c r="K3373">
        <v>1</v>
      </c>
      <c r="L3373">
        <v>54975</v>
      </c>
      <c r="M3373" t="str">
        <f t="shared" si="484"/>
        <v>13</v>
      </c>
      <c r="N3373" t="s">
        <v>3370</v>
      </c>
      <c r="O3373" t="str">
        <f t="shared" si="486"/>
        <v>61111</v>
      </c>
      <c r="P3373" t="str">
        <f>"2100L"</f>
        <v>2100L</v>
      </c>
      <c r="Q3373" t="str">
        <f t="shared" si="485"/>
        <v>0101</v>
      </c>
      <c r="R3373">
        <v>2100</v>
      </c>
      <c r="S3373" t="str">
        <f t="shared" si="487"/>
        <v>6110</v>
      </c>
      <c r="T3373" t="s">
        <v>3784</v>
      </c>
      <c r="U3373" t="s">
        <v>1744</v>
      </c>
    </row>
    <row r="3374" spans="1:21" ht="15" customHeight="1" x14ac:dyDescent="0.3">
      <c r="A3374" t="s">
        <v>179</v>
      </c>
      <c r="B3374" t="str">
        <f>"00061892"</f>
        <v>00061892</v>
      </c>
      <c r="C3374" t="s">
        <v>4271</v>
      </c>
      <c r="H3374" t="s">
        <v>170</v>
      </c>
      <c r="I3374">
        <v>15</v>
      </c>
      <c r="J3374">
        <v>1</v>
      </c>
      <c r="K3374">
        <v>1</v>
      </c>
      <c r="L3374">
        <v>56693</v>
      </c>
      <c r="M3374" t="str">
        <f t="shared" si="484"/>
        <v>13</v>
      </c>
      <c r="N3374" t="s">
        <v>3370</v>
      </c>
      <c r="O3374" t="str">
        <f t="shared" si="486"/>
        <v>61111</v>
      </c>
      <c r="P3374" t="str">
        <f>"3030L"</f>
        <v>3030L</v>
      </c>
      <c r="Q3374" t="str">
        <f t="shared" si="485"/>
        <v>0101</v>
      </c>
      <c r="R3374">
        <v>3030</v>
      </c>
      <c r="S3374" t="str">
        <f t="shared" si="487"/>
        <v>6110</v>
      </c>
      <c r="T3374" t="s">
        <v>3784</v>
      </c>
      <c r="U3374" t="s">
        <v>1744</v>
      </c>
    </row>
    <row r="3375" spans="1:21" ht="15" customHeight="1" x14ac:dyDescent="0.3">
      <c r="A3375" t="s">
        <v>179</v>
      </c>
      <c r="B3375" t="str">
        <f>"00062027"</f>
        <v>00062027</v>
      </c>
      <c r="C3375" t="s">
        <v>4260</v>
      </c>
      <c r="D3375" t="s">
        <v>2713</v>
      </c>
      <c r="E3375" t="str">
        <f>"00057008"</f>
        <v>00057008</v>
      </c>
      <c r="F3375">
        <v>0</v>
      </c>
      <c r="G3375" s="243">
        <v>40042</v>
      </c>
      <c r="H3375" t="s">
        <v>182</v>
      </c>
      <c r="I3375">
        <v>15</v>
      </c>
      <c r="J3375">
        <v>12</v>
      </c>
      <c r="K3375">
        <v>1</v>
      </c>
      <c r="L3375">
        <v>87431</v>
      </c>
      <c r="M3375" t="str">
        <f t="shared" si="484"/>
        <v>13</v>
      </c>
      <c r="N3375" t="s">
        <v>3323</v>
      </c>
      <c r="O3375" t="str">
        <f t="shared" si="486"/>
        <v>61111</v>
      </c>
      <c r="P3375" t="str">
        <f>"3030L"</f>
        <v>3030L</v>
      </c>
      <c r="Q3375" t="str">
        <f t="shared" si="485"/>
        <v>0101</v>
      </c>
      <c r="R3375">
        <v>3030</v>
      </c>
      <c r="S3375" t="str">
        <f t="shared" si="487"/>
        <v>6110</v>
      </c>
      <c r="T3375" t="s">
        <v>3784</v>
      </c>
      <c r="U3375" t="s">
        <v>1744</v>
      </c>
    </row>
    <row r="3376" spans="1:21" ht="15" customHeight="1" x14ac:dyDescent="0.3">
      <c r="A3376" t="s">
        <v>179</v>
      </c>
      <c r="B3376" t="str">
        <f>"00062107"</f>
        <v>00062107</v>
      </c>
      <c r="C3376" t="s">
        <v>4260</v>
      </c>
      <c r="D3376" t="s">
        <v>518</v>
      </c>
      <c r="E3376" t="str">
        <f>"00056999"</f>
        <v>00056999</v>
      </c>
      <c r="F3376">
        <v>0</v>
      </c>
      <c r="G3376" s="243">
        <v>40042</v>
      </c>
      <c r="H3376" t="s">
        <v>182</v>
      </c>
      <c r="I3376">
        <v>15</v>
      </c>
      <c r="J3376">
        <v>4</v>
      </c>
      <c r="K3376">
        <v>1</v>
      </c>
      <c r="L3376">
        <v>54725</v>
      </c>
      <c r="M3376" t="str">
        <f t="shared" si="484"/>
        <v>13</v>
      </c>
      <c r="N3376" t="s">
        <v>3323</v>
      </c>
      <c r="O3376" t="str">
        <f t="shared" si="486"/>
        <v>61111</v>
      </c>
      <c r="P3376" t="str">
        <f>"3030L"</f>
        <v>3030L</v>
      </c>
      <c r="Q3376" t="str">
        <f t="shared" si="485"/>
        <v>0101</v>
      </c>
      <c r="R3376">
        <v>3030</v>
      </c>
      <c r="S3376" t="str">
        <f t="shared" si="487"/>
        <v>6110</v>
      </c>
      <c r="T3376" t="s">
        <v>3784</v>
      </c>
      <c r="U3376" t="s">
        <v>1744</v>
      </c>
    </row>
    <row r="3377" spans="1:21" ht="15" customHeight="1" x14ac:dyDescent="0.3">
      <c r="A3377" t="s">
        <v>179</v>
      </c>
      <c r="B3377" t="str">
        <f>"00066083"</f>
        <v>00066083</v>
      </c>
      <c r="C3377" t="s">
        <v>1737</v>
      </c>
      <c r="H3377" t="s">
        <v>170</v>
      </c>
      <c r="I3377">
        <v>16</v>
      </c>
      <c r="J3377">
        <v>0</v>
      </c>
      <c r="K3377">
        <v>1</v>
      </c>
      <c r="L3377">
        <v>48755.199999999997</v>
      </c>
      <c r="M3377" t="str">
        <f t="shared" si="484"/>
        <v>13</v>
      </c>
      <c r="N3377" t="s">
        <v>3323</v>
      </c>
      <c r="O3377" t="str">
        <f t="shared" si="486"/>
        <v>61111</v>
      </c>
      <c r="P3377" t="str">
        <f>"2100L"</f>
        <v>2100L</v>
      </c>
      <c r="Q3377" t="str">
        <f t="shared" si="485"/>
        <v>0101</v>
      </c>
      <c r="R3377">
        <v>2100</v>
      </c>
      <c r="S3377" t="str">
        <f t="shared" si="487"/>
        <v>6110</v>
      </c>
      <c r="T3377" t="s">
        <v>3784</v>
      </c>
      <c r="U3377" t="s">
        <v>1744</v>
      </c>
    </row>
    <row r="3378" spans="1:21" ht="15" customHeight="1" x14ac:dyDescent="0.3">
      <c r="A3378" t="s">
        <v>179</v>
      </c>
      <c r="B3378" t="str">
        <f>"00066888"</f>
        <v>00066888</v>
      </c>
      <c r="C3378" t="s">
        <v>4262</v>
      </c>
      <c r="D3378" t="s">
        <v>3785</v>
      </c>
      <c r="E3378" t="str">
        <f>"00066318"</f>
        <v>00066318</v>
      </c>
      <c r="F3378">
        <v>0</v>
      </c>
      <c r="G3378" s="243">
        <v>40755</v>
      </c>
      <c r="H3378" t="s">
        <v>182</v>
      </c>
      <c r="I3378">
        <v>15</v>
      </c>
      <c r="J3378">
        <v>2</v>
      </c>
      <c r="K3378">
        <v>1</v>
      </c>
      <c r="L3378">
        <v>56242</v>
      </c>
      <c r="M3378" t="str">
        <f t="shared" si="484"/>
        <v>13</v>
      </c>
      <c r="N3378" t="s">
        <v>3323</v>
      </c>
      <c r="O3378" t="str">
        <f t="shared" si="486"/>
        <v>61111</v>
      </c>
      <c r="P3378" t="str">
        <f>"2100L"</f>
        <v>2100L</v>
      </c>
      <c r="Q3378" t="str">
        <f t="shared" si="485"/>
        <v>0101</v>
      </c>
      <c r="R3378">
        <v>2100</v>
      </c>
      <c r="S3378" t="str">
        <f t="shared" si="487"/>
        <v>6110</v>
      </c>
      <c r="T3378" t="s">
        <v>3784</v>
      </c>
      <c r="U3378" t="s">
        <v>1744</v>
      </c>
    </row>
    <row r="3379" spans="1:21" ht="15" customHeight="1" x14ac:dyDescent="0.3">
      <c r="A3379" t="s">
        <v>179</v>
      </c>
      <c r="B3379" t="str">
        <f>"00066889"</f>
        <v>00066889</v>
      </c>
      <c r="C3379" t="s">
        <v>4260</v>
      </c>
      <c r="D3379" t="s">
        <v>3786</v>
      </c>
      <c r="E3379" t="str">
        <f>"00065622"</f>
        <v>00065622</v>
      </c>
      <c r="F3379">
        <v>0</v>
      </c>
      <c r="G3379" s="243">
        <v>40755</v>
      </c>
      <c r="H3379" t="s">
        <v>182</v>
      </c>
      <c r="I3379">
        <v>15</v>
      </c>
      <c r="J3379">
        <v>6</v>
      </c>
      <c r="K3379">
        <v>1</v>
      </c>
      <c r="L3379">
        <v>66078</v>
      </c>
      <c r="M3379" t="str">
        <f t="shared" si="484"/>
        <v>13</v>
      </c>
      <c r="N3379" t="s">
        <v>3323</v>
      </c>
      <c r="O3379" t="str">
        <f t="shared" si="486"/>
        <v>61111</v>
      </c>
      <c r="P3379" t="str">
        <f>"3030L"</f>
        <v>3030L</v>
      </c>
      <c r="Q3379" t="str">
        <f t="shared" si="485"/>
        <v>0101</v>
      </c>
      <c r="R3379">
        <v>3030</v>
      </c>
      <c r="S3379" t="str">
        <f t="shared" si="487"/>
        <v>6110</v>
      </c>
      <c r="T3379" t="s">
        <v>3784</v>
      </c>
      <c r="U3379" t="s">
        <v>1744</v>
      </c>
    </row>
    <row r="3380" spans="1:21" ht="15" customHeight="1" x14ac:dyDescent="0.3">
      <c r="A3380" t="s">
        <v>179</v>
      </c>
      <c r="B3380" t="str">
        <f>"00066890"</f>
        <v>00066890</v>
      </c>
      <c r="C3380" t="s">
        <v>4260</v>
      </c>
      <c r="D3380" t="s">
        <v>2715</v>
      </c>
      <c r="E3380" t="str">
        <f>"00062858"</f>
        <v>00062858</v>
      </c>
      <c r="F3380">
        <v>0</v>
      </c>
      <c r="G3380" s="243">
        <v>40406</v>
      </c>
      <c r="H3380" t="s">
        <v>182</v>
      </c>
      <c r="I3380">
        <v>15</v>
      </c>
      <c r="J3380">
        <v>12</v>
      </c>
      <c r="K3380">
        <v>1</v>
      </c>
      <c r="L3380">
        <v>87431</v>
      </c>
      <c r="M3380" t="str">
        <f t="shared" si="484"/>
        <v>13</v>
      </c>
      <c r="N3380" t="s">
        <v>3323</v>
      </c>
      <c r="O3380" t="str">
        <f t="shared" si="486"/>
        <v>61111</v>
      </c>
      <c r="P3380" t="str">
        <f>"3030L"</f>
        <v>3030L</v>
      </c>
      <c r="Q3380" t="str">
        <f t="shared" si="485"/>
        <v>0101</v>
      </c>
      <c r="R3380">
        <v>3030</v>
      </c>
      <c r="S3380" t="str">
        <f t="shared" si="487"/>
        <v>6110</v>
      </c>
      <c r="T3380" t="s">
        <v>3784</v>
      </c>
      <c r="U3380" t="s">
        <v>1744</v>
      </c>
    </row>
    <row r="3381" spans="1:21" ht="15" customHeight="1" x14ac:dyDescent="0.3">
      <c r="A3381" t="s">
        <v>179</v>
      </c>
      <c r="B3381" t="str">
        <f>"00067366"</f>
        <v>00067366</v>
      </c>
      <c r="C3381" t="s">
        <v>4290</v>
      </c>
      <c r="D3381" t="s">
        <v>5335</v>
      </c>
      <c r="E3381" t="str">
        <f>"00056991"</f>
        <v>00056991</v>
      </c>
      <c r="F3381">
        <v>0</v>
      </c>
      <c r="G3381" s="243">
        <v>40042</v>
      </c>
      <c r="H3381" t="s">
        <v>182</v>
      </c>
      <c r="I3381">
        <v>4</v>
      </c>
      <c r="J3381">
        <v>6</v>
      </c>
      <c r="K3381">
        <v>0.875</v>
      </c>
      <c r="L3381">
        <v>25935.88</v>
      </c>
      <c r="M3381" t="str">
        <f t="shared" si="484"/>
        <v>13</v>
      </c>
      <c r="N3381" t="s">
        <v>3323</v>
      </c>
      <c r="O3381" t="str">
        <f t="shared" si="486"/>
        <v>61111</v>
      </c>
      <c r="P3381" t="str">
        <f>"2200L"</f>
        <v>2200L</v>
      </c>
      <c r="Q3381" t="str">
        <f t="shared" si="485"/>
        <v>0101</v>
      </c>
      <c r="R3381">
        <v>2200</v>
      </c>
      <c r="S3381" t="str">
        <f t="shared" si="487"/>
        <v>6110</v>
      </c>
      <c r="T3381" t="s">
        <v>3784</v>
      </c>
      <c r="U3381" t="s">
        <v>1744</v>
      </c>
    </row>
    <row r="3382" spans="1:21" ht="15" customHeight="1" x14ac:dyDescent="0.3">
      <c r="A3382" t="s">
        <v>179</v>
      </c>
      <c r="B3382" t="str">
        <f>"00067995"</f>
        <v>00067995</v>
      </c>
      <c r="C3382" t="s">
        <v>4290</v>
      </c>
      <c r="D3382" t="s">
        <v>5336</v>
      </c>
      <c r="E3382" t="str">
        <f>"00062856"</f>
        <v>00062856</v>
      </c>
      <c r="F3382">
        <v>0</v>
      </c>
      <c r="G3382" s="243">
        <v>40415</v>
      </c>
      <c r="H3382" t="s">
        <v>182</v>
      </c>
      <c r="I3382">
        <v>4</v>
      </c>
      <c r="J3382">
        <v>6</v>
      </c>
      <c r="K3382">
        <v>1</v>
      </c>
      <c r="L3382">
        <v>25935.88</v>
      </c>
      <c r="M3382" t="str">
        <f t="shared" si="484"/>
        <v>13</v>
      </c>
      <c r="N3382" t="s">
        <v>3370</v>
      </c>
      <c r="O3382" t="str">
        <f t="shared" ref="O3382:O3412" si="489">"61111"</f>
        <v>61111</v>
      </c>
      <c r="P3382" t="str">
        <f t="shared" ref="P3382:P3387" si="490">"2100L"</f>
        <v>2100L</v>
      </c>
      <c r="Q3382" t="str">
        <f t="shared" si="485"/>
        <v>0101</v>
      </c>
      <c r="R3382">
        <v>2100</v>
      </c>
      <c r="S3382" t="str">
        <f t="shared" ref="S3382:S3412" si="491">"6110"</f>
        <v>6110</v>
      </c>
      <c r="T3382" t="s">
        <v>3784</v>
      </c>
      <c r="U3382" t="s">
        <v>1744</v>
      </c>
    </row>
    <row r="3383" spans="1:21" ht="15" customHeight="1" x14ac:dyDescent="0.3">
      <c r="A3383" t="s">
        <v>179</v>
      </c>
      <c r="B3383" t="str">
        <f>"00068033"</f>
        <v>00068033</v>
      </c>
      <c r="C3383" t="s">
        <v>4274</v>
      </c>
      <c r="D3383" t="s">
        <v>5337</v>
      </c>
      <c r="E3383" t="str">
        <f>"00051926"</f>
        <v>00051926</v>
      </c>
      <c r="F3383">
        <v>0</v>
      </c>
      <c r="G3383" s="243">
        <v>35465</v>
      </c>
      <c r="H3383" t="s">
        <v>182</v>
      </c>
      <c r="I3383">
        <v>4</v>
      </c>
      <c r="J3383">
        <v>10</v>
      </c>
      <c r="K3383">
        <v>1</v>
      </c>
      <c r="L3383">
        <v>28721</v>
      </c>
      <c r="M3383" t="str">
        <f t="shared" si="484"/>
        <v>13</v>
      </c>
      <c r="N3383" t="s">
        <v>3370</v>
      </c>
      <c r="O3383" t="str">
        <f t="shared" si="489"/>
        <v>61111</v>
      </c>
      <c r="P3383" t="str">
        <f t="shared" si="490"/>
        <v>2100L</v>
      </c>
      <c r="Q3383" t="str">
        <f t="shared" si="485"/>
        <v>0101</v>
      </c>
      <c r="R3383">
        <v>2100</v>
      </c>
      <c r="S3383" t="str">
        <f t="shared" si="491"/>
        <v>6110</v>
      </c>
      <c r="T3383" t="s">
        <v>3784</v>
      </c>
      <c r="U3383" t="s">
        <v>1744</v>
      </c>
    </row>
    <row r="3384" spans="1:21" ht="15" customHeight="1" x14ac:dyDescent="0.3">
      <c r="A3384" t="s">
        <v>179</v>
      </c>
      <c r="B3384" t="str">
        <f>"00072246"</f>
        <v>00072246</v>
      </c>
      <c r="C3384" t="s">
        <v>4260</v>
      </c>
      <c r="D3384" t="s">
        <v>5338</v>
      </c>
      <c r="E3384" t="str">
        <f>"00069884"</f>
        <v>00069884</v>
      </c>
      <c r="F3384">
        <v>0</v>
      </c>
      <c r="G3384" s="243">
        <v>41133</v>
      </c>
      <c r="H3384" t="s">
        <v>182</v>
      </c>
      <c r="I3384">
        <v>15</v>
      </c>
      <c r="J3384">
        <v>6</v>
      </c>
      <c r="K3384">
        <v>1</v>
      </c>
      <c r="L3384">
        <v>66078</v>
      </c>
      <c r="M3384" t="str">
        <f t="shared" si="484"/>
        <v>13</v>
      </c>
      <c r="N3384" t="s">
        <v>3370</v>
      </c>
      <c r="O3384" t="str">
        <f t="shared" si="489"/>
        <v>61111</v>
      </c>
      <c r="P3384" t="str">
        <f t="shared" si="490"/>
        <v>2100L</v>
      </c>
      <c r="Q3384" t="str">
        <f t="shared" si="485"/>
        <v>0101</v>
      </c>
      <c r="R3384">
        <v>2100</v>
      </c>
      <c r="S3384" t="str">
        <f t="shared" si="491"/>
        <v>6110</v>
      </c>
      <c r="T3384" t="s">
        <v>3784</v>
      </c>
      <c r="U3384" t="s">
        <v>1744</v>
      </c>
    </row>
    <row r="3385" spans="1:21" ht="15" customHeight="1" x14ac:dyDescent="0.3">
      <c r="A3385" t="s">
        <v>179</v>
      </c>
      <c r="B3385" t="str">
        <f>"00072360"</f>
        <v>00072360</v>
      </c>
      <c r="C3385" t="s">
        <v>200</v>
      </c>
      <c r="D3385" t="s">
        <v>2717</v>
      </c>
      <c r="E3385" t="str">
        <f>"00004416"</f>
        <v>00004416</v>
      </c>
      <c r="F3385">
        <v>1</v>
      </c>
      <c r="G3385" s="243">
        <v>40406</v>
      </c>
      <c r="H3385" t="s">
        <v>182</v>
      </c>
      <c r="I3385">
        <v>15</v>
      </c>
      <c r="J3385">
        <v>12</v>
      </c>
      <c r="K3385">
        <v>1</v>
      </c>
      <c r="L3385">
        <v>87431</v>
      </c>
      <c r="M3385" t="str">
        <f t="shared" si="484"/>
        <v>13</v>
      </c>
      <c r="N3385" t="s">
        <v>3323</v>
      </c>
      <c r="O3385" t="str">
        <f t="shared" si="489"/>
        <v>61111</v>
      </c>
      <c r="P3385" t="str">
        <f t="shared" si="490"/>
        <v>2100L</v>
      </c>
      <c r="Q3385" t="str">
        <f t="shared" si="485"/>
        <v>0101</v>
      </c>
      <c r="R3385">
        <v>2100</v>
      </c>
      <c r="S3385" t="str">
        <f t="shared" si="491"/>
        <v>6110</v>
      </c>
      <c r="T3385" t="s">
        <v>3784</v>
      </c>
      <c r="U3385" t="s">
        <v>1744</v>
      </c>
    </row>
    <row r="3386" spans="1:21" ht="15" customHeight="1" x14ac:dyDescent="0.3">
      <c r="A3386" t="s">
        <v>179</v>
      </c>
      <c r="B3386" t="str">
        <f>"00072380"</f>
        <v>00072380</v>
      </c>
      <c r="C3386" t="s">
        <v>4272</v>
      </c>
      <c r="D3386" t="s">
        <v>2718</v>
      </c>
      <c r="E3386" t="str">
        <f>"00062864"</f>
        <v>00062864</v>
      </c>
      <c r="F3386">
        <v>0</v>
      </c>
      <c r="G3386" s="243">
        <v>40406</v>
      </c>
      <c r="H3386" t="s">
        <v>182</v>
      </c>
      <c r="I3386">
        <v>15</v>
      </c>
      <c r="J3386">
        <v>10</v>
      </c>
      <c r="K3386">
        <v>1</v>
      </c>
      <c r="L3386">
        <v>78273</v>
      </c>
      <c r="M3386" t="str">
        <f t="shared" si="484"/>
        <v>13</v>
      </c>
      <c r="N3386" t="s">
        <v>3323</v>
      </c>
      <c r="O3386" t="str">
        <f t="shared" si="489"/>
        <v>61111</v>
      </c>
      <c r="P3386" t="str">
        <f t="shared" si="490"/>
        <v>2100L</v>
      </c>
      <c r="Q3386" t="str">
        <f t="shared" si="485"/>
        <v>0101</v>
      </c>
      <c r="R3386">
        <v>2100</v>
      </c>
      <c r="S3386" t="str">
        <f t="shared" si="491"/>
        <v>6110</v>
      </c>
      <c r="T3386" t="s">
        <v>3784</v>
      </c>
      <c r="U3386" t="s">
        <v>1744</v>
      </c>
    </row>
    <row r="3387" spans="1:21" ht="15" customHeight="1" x14ac:dyDescent="0.3">
      <c r="A3387" t="s">
        <v>179</v>
      </c>
      <c r="B3387" t="str">
        <f>"00072409"</f>
        <v>00072409</v>
      </c>
      <c r="C3387" t="s">
        <v>4410</v>
      </c>
      <c r="H3387" t="s">
        <v>170</v>
      </c>
      <c r="I3387">
        <v>5</v>
      </c>
      <c r="J3387">
        <v>1</v>
      </c>
      <c r="K3387">
        <v>1</v>
      </c>
      <c r="L3387">
        <v>28486</v>
      </c>
      <c r="M3387" t="str">
        <f t="shared" si="484"/>
        <v>13</v>
      </c>
      <c r="N3387" t="s">
        <v>3323</v>
      </c>
      <c r="O3387" t="str">
        <f t="shared" si="489"/>
        <v>61111</v>
      </c>
      <c r="P3387" t="str">
        <f t="shared" si="490"/>
        <v>2100L</v>
      </c>
      <c r="Q3387" t="str">
        <f t="shared" si="485"/>
        <v>0101</v>
      </c>
      <c r="R3387">
        <v>2100</v>
      </c>
      <c r="S3387" t="str">
        <f t="shared" si="491"/>
        <v>6110</v>
      </c>
      <c r="T3387" t="s">
        <v>3784</v>
      </c>
      <c r="U3387" t="s">
        <v>1744</v>
      </c>
    </row>
    <row r="3388" spans="1:21" ht="15" customHeight="1" x14ac:dyDescent="0.3">
      <c r="A3388" t="s">
        <v>179</v>
      </c>
      <c r="B3388" t="str">
        <f>"00072485"</f>
        <v>00072485</v>
      </c>
      <c r="C3388" t="s">
        <v>4274</v>
      </c>
      <c r="D3388" t="s">
        <v>5339</v>
      </c>
      <c r="E3388" t="str">
        <f>"00062483"</f>
        <v>00062483</v>
      </c>
      <c r="F3388">
        <v>0</v>
      </c>
      <c r="G3388" s="243">
        <v>40406</v>
      </c>
      <c r="H3388" t="s">
        <v>182</v>
      </c>
      <c r="I3388">
        <v>4</v>
      </c>
      <c r="J3388">
        <v>6</v>
      </c>
      <c r="K3388">
        <v>0.71</v>
      </c>
      <c r="L3388">
        <v>25935.88</v>
      </c>
      <c r="M3388" t="str">
        <f t="shared" si="484"/>
        <v>13</v>
      </c>
      <c r="N3388" t="s">
        <v>3323</v>
      </c>
      <c r="O3388" t="str">
        <f t="shared" si="489"/>
        <v>61111</v>
      </c>
      <c r="P3388" t="str">
        <f>"2200L"</f>
        <v>2200L</v>
      </c>
      <c r="Q3388" t="str">
        <f t="shared" si="485"/>
        <v>0101</v>
      </c>
      <c r="R3388">
        <v>2200</v>
      </c>
      <c r="S3388" t="str">
        <f t="shared" si="491"/>
        <v>6110</v>
      </c>
      <c r="T3388" t="s">
        <v>3784</v>
      </c>
      <c r="U3388" t="s">
        <v>1744</v>
      </c>
    </row>
    <row r="3389" spans="1:21" ht="15" customHeight="1" x14ac:dyDescent="0.3">
      <c r="A3389" t="s">
        <v>179</v>
      </c>
      <c r="B3389" t="str">
        <f>"00072486"</f>
        <v>00072486</v>
      </c>
      <c r="C3389" t="s">
        <v>4290</v>
      </c>
      <c r="D3389" t="s">
        <v>5340</v>
      </c>
      <c r="E3389" t="str">
        <f>"00067139"</f>
        <v>00067139</v>
      </c>
      <c r="F3389">
        <v>0</v>
      </c>
      <c r="G3389" s="243">
        <v>40854</v>
      </c>
      <c r="H3389" t="s">
        <v>182</v>
      </c>
      <c r="I3389">
        <v>4</v>
      </c>
      <c r="J3389">
        <v>5</v>
      </c>
      <c r="K3389">
        <v>0.71</v>
      </c>
      <c r="L3389">
        <v>25239.37</v>
      </c>
      <c r="M3389" t="str">
        <f t="shared" si="484"/>
        <v>13</v>
      </c>
      <c r="N3389" t="s">
        <v>3323</v>
      </c>
      <c r="O3389" t="str">
        <f t="shared" si="489"/>
        <v>61111</v>
      </c>
      <c r="P3389" t="str">
        <f>"2200L"</f>
        <v>2200L</v>
      </c>
      <c r="Q3389" t="str">
        <f t="shared" si="485"/>
        <v>0101</v>
      </c>
      <c r="R3389">
        <v>2200</v>
      </c>
      <c r="S3389" t="str">
        <f t="shared" si="491"/>
        <v>6110</v>
      </c>
      <c r="T3389" t="s">
        <v>3784</v>
      </c>
      <c r="U3389" t="s">
        <v>1744</v>
      </c>
    </row>
    <row r="3390" spans="1:21" ht="15" customHeight="1" x14ac:dyDescent="0.3">
      <c r="A3390" t="s">
        <v>179</v>
      </c>
      <c r="B3390" t="str">
        <f>"00072502"</f>
        <v>00072502</v>
      </c>
      <c r="C3390" t="s">
        <v>4274</v>
      </c>
      <c r="D3390" t="s">
        <v>5341</v>
      </c>
      <c r="E3390" t="str">
        <f>"00068050"</f>
        <v>00068050</v>
      </c>
      <c r="F3390">
        <v>0</v>
      </c>
      <c r="G3390" s="243">
        <v>40994</v>
      </c>
      <c r="H3390" t="s">
        <v>182</v>
      </c>
      <c r="I3390">
        <v>4</v>
      </c>
      <c r="J3390">
        <v>6</v>
      </c>
      <c r="K3390">
        <v>0.71</v>
      </c>
      <c r="L3390">
        <v>25935.88</v>
      </c>
      <c r="M3390" t="str">
        <f t="shared" si="484"/>
        <v>13</v>
      </c>
      <c r="N3390" t="s">
        <v>3323</v>
      </c>
      <c r="O3390" t="str">
        <f t="shared" si="489"/>
        <v>61111</v>
      </c>
      <c r="P3390" t="str">
        <f>"2200L"</f>
        <v>2200L</v>
      </c>
      <c r="Q3390" t="str">
        <f t="shared" si="485"/>
        <v>0101</v>
      </c>
      <c r="R3390">
        <v>2200</v>
      </c>
      <c r="S3390" t="str">
        <f t="shared" si="491"/>
        <v>6110</v>
      </c>
      <c r="T3390" t="s">
        <v>3784</v>
      </c>
      <c r="U3390" t="s">
        <v>1744</v>
      </c>
    </row>
    <row r="3391" spans="1:21" ht="15" customHeight="1" x14ac:dyDescent="0.3">
      <c r="A3391" t="s">
        <v>179</v>
      </c>
      <c r="B3391" t="str">
        <f>"00072504"</f>
        <v>00072504</v>
      </c>
      <c r="C3391" t="s">
        <v>4290</v>
      </c>
      <c r="D3391" t="s">
        <v>5342</v>
      </c>
      <c r="E3391" t="str">
        <f>"00054277"</f>
        <v>00054277</v>
      </c>
      <c r="F3391">
        <v>0</v>
      </c>
      <c r="G3391" s="243">
        <v>40042</v>
      </c>
      <c r="H3391" t="s">
        <v>182</v>
      </c>
      <c r="I3391">
        <v>4</v>
      </c>
      <c r="J3391">
        <v>6</v>
      </c>
      <c r="K3391">
        <v>0.71</v>
      </c>
      <c r="L3391">
        <v>25935.88</v>
      </c>
      <c r="M3391" t="str">
        <f t="shared" si="484"/>
        <v>13</v>
      </c>
      <c r="N3391" t="s">
        <v>3323</v>
      </c>
      <c r="O3391" t="str">
        <f t="shared" si="489"/>
        <v>61111</v>
      </c>
      <c r="P3391" t="str">
        <f>"2200L"</f>
        <v>2200L</v>
      </c>
      <c r="Q3391" t="str">
        <f t="shared" si="485"/>
        <v>0101</v>
      </c>
      <c r="R3391">
        <v>2200</v>
      </c>
      <c r="S3391" t="str">
        <f t="shared" si="491"/>
        <v>6110</v>
      </c>
      <c r="T3391" t="s">
        <v>3784</v>
      </c>
      <c r="U3391" t="s">
        <v>1744</v>
      </c>
    </row>
    <row r="3392" spans="1:21" ht="15" customHeight="1" x14ac:dyDescent="0.3">
      <c r="A3392" t="s">
        <v>179</v>
      </c>
      <c r="B3392" t="str">
        <f>"00072505"</f>
        <v>00072505</v>
      </c>
      <c r="C3392" t="s">
        <v>4290</v>
      </c>
      <c r="D3392" t="s">
        <v>5343</v>
      </c>
      <c r="E3392" t="str">
        <f>"00066350"</f>
        <v>00066350</v>
      </c>
      <c r="F3392">
        <v>0</v>
      </c>
      <c r="G3392" s="243">
        <v>40770</v>
      </c>
      <c r="H3392" t="s">
        <v>182</v>
      </c>
      <c r="I3392">
        <v>4</v>
      </c>
      <c r="J3392">
        <v>5</v>
      </c>
      <c r="K3392">
        <v>0.71</v>
      </c>
      <c r="L3392">
        <v>25239.37</v>
      </c>
      <c r="M3392" t="str">
        <f t="shared" si="484"/>
        <v>13</v>
      </c>
      <c r="N3392" t="s">
        <v>3323</v>
      </c>
      <c r="O3392" t="str">
        <f t="shared" si="489"/>
        <v>61111</v>
      </c>
      <c r="P3392" t="str">
        <f>"2200L"</f>
        <v>2200L</v>
      </c>
      <c r="Q3392" t="str">
        <f t="shared" si="485"/>
        <v>0101</v>
      </c>
      <c r="R3392">
        <v>2200</v>
      </c>
      <c r="S3392" t="str">
        <f t="shared" si="491"/>
        <v>6110</v>
      </c>
      <c r="T3392" t="s">
        <v>3784</v>
      </c>
      <c r="U3392" t="s">
        <v>1744</v>
      </c>
    </row>
    <row r="3393" spans="1:21" ht="15" customHeight="1" x14ac:dyDescent="0.3">
      <c r="A3393" t="s">
        <v>179</v>
      </c>
      <c r="B3393" t="str">
        <f>"00072576"</f>
        <v>00072576</v>
      </c>
      <c r="C3393" t="s">
        <v>4360</v>
      </c>
      <c r="D3393" t="s">
        <v>5344</v>
      </c>
      <c r="E3393" t="str">
        <f>"00046926"</f>
        <v>00046926</v>
      </c>
      <c r="F3393">
        <v>0</v>
      </c>
      <c r="G3393" s="243">
        <v>31289</v>
      </c>
      <c r="H3393" t="s">
        <v>182</v>
      </c>
      <c r="I3393">
        <v>7</v>
      </c>
      <c r="J3393">
        <v>5</v>
      </c>
      <c r="K3393">
        <v>1</v>
      </c>
      <c r="L3393">
        <v>39300</v>
      </c>
      <c r="M3393" t="str">
        <f t="shared" si="484"/>
        <v>13</v>
      </c>
      <c r="N3393" t="s">
        <v>3323</v>
      </c>
      <c r="O3393" t="str">
        <f t="shared" si="489"/>
        <v>61111</v>
      </c>
      <c r="P3393" t="str">
        <f>"1502L"</f>
        <v>1502L</v>
      </c>
      <c r="Q3393" t="str">
        <f t="shared" si="485"/>
        <v>0101</v>
      </c>
      <c r="R3393">
        <v>1502</v>
      </c>
      <c r="S3393" t="str">
        <f t="shared" si="491"/>
        <v>6110</v>
      </c>
      <c r="T3393" t="s">
        <v>3784</v>
      </c>
      <c r="U3393" t="s">
        <v>1744</v>
      </c>
    </row>
    <row r="3394" spans="1:21" ht="15" customHeight="1" x14ac:dyDescent="0.3">
      <c r="A3394" t="s">
        <v>179</v>
      </c>
      <c r="B3394" t="str">
        <f>"00072634"</f>
        <v>00072634</v>
      </c>
      <c r="C3394" t="s">
        <v>4274</v>
      </c>
      <c r="D3394" t="s">
        <v>5345</v>
      </c>
      <c r="E3394" t="str">
        <f>"00070516"</f>
        <v>00070516</v>
      </c>
      <c r="F3394">
        <v>0</v>
      </c>
      <c r="G3394" s="243">
        <v>41161</v>
      </c>
      <c r="H3394" t="s">
        <v>182</v>
      </c>
      <c r="I3394">
        <v>4</v>
      </c>
      <c r="J3394">
        <v>4</v>
      </c>
      <c r="K3394">
        <v>0.71</v>
      </c>
      <c r="L3394">
        <v>24543.75</v>
      </c>
      <c r="M3394" t="str">
        <f t="shared" si="484"/>
        <v>13</v>
      </c>
      <c r="N3394" t="s">
        <v>3323</v>
      </c>
      <c r="O3394" t="str">
        <f t="shared" si="489"/>
        <v>61111</v>
      </c>
      <c r="P3394" t="str">
        <f>"2200L"</f>
        <v>2200L</v>
      </c>
      <c r="Q3394" t="str">
        <f t="shared" si="485"/>
        <v>0101</v>
      </c>
      <c r="R3394">
        <v>2200</v>
      </c>
      <c r="S3394" t="str">
        <f t="shared" si="491"/>
        <v>6110</v>
      </c>
      <c r="T3394" t="s">
        <v>3784</v>
      </c>
      <c r="U3394" t="s">
        <v>1744</v>
      </c>
    </row>
    <row r="3395" spans="1:21" ht="15" customHeight="1" x14ac:dyDescent="0.3">
      <c r="A3395" t="s">
        <v>179</v>
      </c>
      <c r="B3395" t="str">
        <f>"00072635"</f>
        <v>00072635</v>
      </c>
      <c r="C3395" t="s">
        <v>4290</v>
      </c>
      <c r="D3395" t="s">
        <v>5346</v>
      </c>
      <c r="E3395" t="str">
        <f>"00046987"</f>
        <v>00046987</v>
      </c>
      <c r="F3395">
        <v>0</v>
      </c>
      <c r="G3395" s="243">
        <v>31229</v>
      </c>
      <c r="H3395" t="s">
        <v>182</v>
      </c>
      <c r="I3395">
        <v>4</v>
      </c>
      <c r="J3395">
        <v>10</v>
      </c>
      <c r="K3395">
        <v>0.71</v>
      </c>
      <c r="L3395">
        <v>28721</v>
      </c>
      <c r="M3395" t="str">
        <f t="shared" si="484"/>
        <v>13</v>
      </c>
      <c r="N3395" t="s">
        <v>3323</v>
      </c>
      <c r="O3395" t="str">
        <f t="shared" si="489"/>
        <v>61111</v>
      </c>
      <c r="P3395" t="str">
        <f>"2200L"</f>
        <v>2200L</v>
      </c>
      <c r="Q3395" t="str">
        <f t="shared" si="485"/>
        <v>0101</v>
      </c>
      <c r="R3395">
        <v>2200</v>
      </c>
      <c r="S3395" t="str">
        <f t="shared" si="491"/>
        <v>6110</v>
      </c>
      <c r="T3395" t="s">
        <v>3784</v>
      </c>
      <c r="U3395" t="s">
        <v>1744</v>
      </c>
    </row>
    <row r="3396" spans="1:21" ht="15" customHeight="1" x14ac:dyDescent="0.3">
      <c r="A3396" t="s">
        <v>179</v>
      </c>
      <c r="B3396" t="str">
        <f>"00072637"</f>
        <v>00072637</v>
      </c>
      <c r="C3396" t="s">
        <v>4290</v>
      </c>
      <c r="D3396" t="s">
        <v>5347</v>
      </c>
      <c r="E3396" t="str">
        <f>"00054144"</f>
        <v>00054144</v>
      </c>
      <c r="F3396">
        <v>0</v>
      </c>
      <c r="G3396" s="243">
        <v>33147</v>
      </c>
      <c r="H3396" t="s">
        <v>182</v>
      </c>
      <c r="I3396">
        <v>4</v>
      </c>
      <c r="J3396">
        <v>10</v>
      </c>
      <c r="K3396">
        <v>0.71</v>
      </c>
      <c r="L3396">
        <v>28721</v>
      </c>
      <c r="M3396" t="str">
        <f t="shared" si="484"/>
        <v>13</v>
      </c>
      <c r="N3396" t="s">
        <v>3323</v>
      </c>
      <c r="O3396" t="str">
        <f t="shared" si="489"/>
        <v>61111</v>
      </c>
      <c r="P3396" t="str">
        <f>"2200L"</f>
        <v>2200L</v>
      </c>
      <c r="Q3396" t="str">
        <f t="shared" si="485"/>
        <v>0101</v>
      </c>
      <c r="R3396">
        <v>2200</v>
      </c>
      <c r="S3396" t="str">
        <f t="shared" si="491"/>
        <v>6110</v>
      </c>
      <c r="T3396" t="s">
        <v>3784</v>
      </c>
      <c r="U3396" t="s">
        <v>1744</v>
      </c>
    </row>
    <row r="3397" spans="1:21" ht="15" customHeight="1" x14ac:dyDescent="0.3">
      <c r="A3397" t="s">
        <v>179</v>
      </c>
      <c r="B3397" t="str">
        <f>"00072638"</f>
        <v>00072638</v>
      </c>
      <c r="C3397" t="s">
        <v>4290</v>
      </c>
      <c r="D3397" t="s">
        <v>5348</v>
      </c>
      <c r="E3397" t="str">
        <f>"00050415"</f>
        <v>00050415</v>
      </c>
      <c r="F3397">
        <v>0</v>
      </c>
      <c r="G3397" s="243">
        <v>37242</v>
      </c>
      <c r="H3397" t="s">
        <v>182</v>
      </c>
      <c r="I3397">
        <v>4</v>
      </c>
      <c r="J3397">
        <v>7</v>
      </c>
      <c r="K3397">
        <v>0.71</v>
      </c>
      <c r="L3397">
        <v>26633.25</v>
      </c>
      <c r="M3397" t="str">
        <f t="shared" si="484"/>
        <v>13</v>
      </c>
      <c r="N3397" t="s">
        <v>3323</v>
      </c>
      <c r="O3397" t="str">
        <f t="shared" si="489"/>
        <v>61111</v>
      </c>
      <c r="P3397" t="str">
        <f>"2200L"</f>
        <v>2200L</v>
      </c>
      <c r="Q3397" t="str">
        <f t="shared" si="485"/>
        <v>0101</v>
      </c>
      <c r="R3397">
        <v>2200</v>
      </c>
      <c r="S3397" t="str">
        <f t="shared" si="491"/>
        <v>6110</v>
      </c>
      <c r="T3397" t="s">
        <v>3784</v>
      </c>
      <c r="U3397" t="s">
        <v>1744</v>
      </c>
    </row>
    <row r="3398" spans="1:21" ht="15" customHeight="1" x14ac:dyDescent="0.3">
      <c r="A3398" t="s">
        <v>179</v>
      </c>
      <c r="B3398" t="str">
        <f>"00072816"</f>
        <v>00072816</v>
      </c>
      <c r="C3398" t="s">
        <v>4259</v>
      </c>
      <c r="D3398" t="s">
        <v>2720</v>
      </c>
      <c r="E3398" t="str">
        <f>"00062921"</f>
        <v>00062921</v>
      </c>
      <c r="F3398">
        <v>0</v>
      </c>
      <c r="G3398" s="243">
        <v>40406</v>
      </c>
      <c r="H3398" t="s">
        <v>182</v>
      </c>
      <c r="I3398">
        <v>15</v>
      </c>
      <c r="J3398">
        <v>12</v>
      </c>
      <c r="K3398">
        <v>1</v>
      </c>
      <c r="L3398">
        <v>89887</v>
      </c>
      <c r="M3398" t="str">
        <f t="shared" si="484"/>
        <v>13</v>
      </c>
      <c r="N3398" t="s">
        <v>3323</v>
      </c>
      <c r="O3398" t="str">
        <f t="shared" si="489"/>
        <v>61111</v>
      </c>
      <c r="P3398" t="str">
        <f t="shared" ref="P3398:P3408" si="492">"2100L"</f>
        <v>2100L</v>
      </c>
      <c r="Q3398" t="str">
        <f t="shared" si="485"/>
        <v>0101</v>
      </c>
      <c r="R3398">
        <v>2100</v>
      </c>
      <c r="S3398" t="str">
        <f t="shared" si="491"/>
        <v>6110</v>
      </c>
      <c r="T3398" t="s">
        <v>3784</v>
      </c>
      <c r="U3398" t="s">
        <v>1744</v>
      </c>
    </row>
    <row r="3399" spans="1:21" ht="15" customHeight="1" x14ac:dyDescent="0.3">
      <c r="A3399" t="s">
        <v>179</v>
      </c>
      <c r="B3399" t="str">
        <f>"00072819"</f>
        <v>00072819</v>
      </c>
      <c r="C3399" t="s">
        <v>4272</v>
      </c>
      <c r="D3399" t="s">
        <v>2722</v>
      </c>
      <c r="E3399" t="str">
        <f>"00046765"</f>
        <v>00046765</v>
      </c>
      <c r="F3399">
        <v>0</v>
      </c>
      <c r="G3399" s="243">
        <v>39436</v>
      </c>
      <c r="H3399" t="s">
        <v>182</v>
      </c>
      <c r="I3399">
        <v>15</v>
      </c>
      <c r="J3399">
        <v>10</v>
      </c>
      <c r="K3399">
        <v>1</v>
      </c>
      <c r="L3399">
        <v>78273</v>
      </c>
      <c r="M3399" t="str">
        <f t="shared" si="484"/>
        <v>13</v>
      </c>
      <c r="N3399" t="s">
        <v>3323</v>
      </c>
      <c r="O3399" t="str">
        <f t="shared" si="489"/>
        <v>61111</v>
      </c>
      <c r="P3399" t="str">
        <f t="shared" si="492"/>
        <v>2100L</v>
      </c>
      <c r="Q3399" t="str">
        <f t="shared" si="485"/>
        <v>0101</v>
      </c>
      <c r="R3399">
        <v>2100</v>
      </c>
      <c r="S3399" t="str">
        <f t="shared" si="491"/>
        <v>6110</v>
      </c>
      <c r="T3399" t="s">
        <v>3784</v>
      </c>
      <c r="U3399" t="s">
        <v>1744</v>
      </c>
    </row>
    <row r="3400" spans="1:21" ht="15" customHeight="1" x14ac:dyDescent="0.3">
      <c r="A3400" t="s">
        <v>179</v>
      </c>
      <c r="B3400" t="str">
        <f>"00072820"</f>
        <v>00072820</v>
      </c>
      <c r="C3400" t="s">
        <v>4262</v>
      </c>
      <c r="D3400" t="s">
        <v>2723</v>
      </c>
      <c r="E3400" t="str">
        <f>"00044572"</f>
        <v>00044572</v>
      </c>
      <c r="F3400">
        <v>0</v>
      </c>
      <c r="G3400" s="243">
        <v>38587</v>
      </c>
      <c r="H3400" t="s">
        <v>182</v>
      </c>
      <c r="I3400">
        <v>15</v>
      </c>
      <c r="J3400">
        <v>8</v>
      </c>
      <c r="K3400">
        <v>1</v>
      </c>
      <c r="L3400">
        <v>74640</v>
      </c>
      <c r="M3400" t="str">
        <f t="shared" si="484"/>
        <v>13</v>
      </c>
      <c r="N3400" t="s">
        <v>3323</v>
      </c>
      <c r="O3400" t="str">
        <f t="shared" si="489"/>
        <v>61111</v>
      </c>
      <c r="P3400" t="str">
        <f t="shared" si="492"/>
        <v>2100L</v>
      </c>
      <c r="Q3400" t="str">
        <f t="shared" si="485"/>
        <v>0101</v>
      </c>
      <c r="R3400">
        <v>2100</v>
      </c>
      <c r="S3400" t="str">
        <f t="shared" si="491"/>
        <v>6110</v>
      </c>
      <c r="T3400" t="s">
        <v>3784</v>
      </c>
      <c r="U3400" t="s">
        <v>1744</v>
      </c>
    </row>
    <row r="3401" spans="1:21" ht="15" customHeight="1" x14ac:dyDescent="0.3">
      <c r="A3401" t="s">
        <v>179</v>
      </c>
      <c r="B3401" t="str">
        <f>"00072821"</f>
        <v>00072821</v>
      </c>
      <c r="C3401" t="s">
        <v>4262</v>
      </c>
      <c r="D3401" t="s">
        <v>5349</v>
      </c>
      <c r="E3401" t="str">
        <f>"00070144"</f>
        <v>00070144</v>
      </c>
      <c r="F3401">
        <v>0</v>
      </c>
      <c r="G3401" s="243">
        <v>41133</v>
      </c>
      <c r="H3401" t="s">
        <v>182</v>
      </c>
      <c r="I3401">
        <v>15</v>
      </c>
      <c r="J3401">
        <v>1</v>
      </c>
      <c r="K3401">
        <v>1</v>
      </c>
      <c r="L3401">
        <v>51539</v>
      </c>
      <c r="M3401" t="str">
        <f t="shared" ref="M3401:M3459" si="493">"13"</f>
        <v>13</v>
      </c>
      <c r="N3401" t="s">
        <v>3370</v>
      </c>
      <c r="O3401" t="str">
        <f t="shared" si="489"/>
        <v>61111</v>
      </c>
      <c r="P3401" t="str">
        <f t="shared" si="492"/>
        <v>2100L</v>
      </c>
      <c r="Q3401" t="str">
        <f t="shared" si="485"/>
        <v>0101</v>
      </c>
      <c r="R3401">
        <v>2100</v>
      </c>
      <c r="S3401" t="str">
        <f t="shared" si="491"/>
        <v>6110</v>
      </c>
      <c r="T3401" t="s">
        <v>3784</v>
      </c>
      <c r="U3401" t="s">
        <v>1744</v>
      </c>
    </row>
    <row r="3402" spans="1:21" ht="15" customHeight="1" x14ac:dyDescent="0.3">
      <c r="A3402" t="s">
        <v>179</v>
      </c>
      <c r="B3402" t="str">
        <f>"00072822"</f>
        <v>00072822</v>
      </c>
      <c r="C3402" t="s">
        <v>4262</v>
      </c>
      <c r="D3402" t="s">
        <v>5350</v>
      </c>
      <c r="E3402" t="str">
        <f>"00069704"</f>
        <v>00069704</v>
      </c>
      <c r="F3402">
        <v>0</v>
      </c>
      <c r="G3402" s="243">
        <v>41133</v>
      </c>
      <c r="H3402" t="s">
        <v>182</v>
      </c>
      <c r="I3402">
        <v>15</v>
      </c>
      <c r="J3402">
        <v>10</v>
      </c>
      <c r="K3402">
        <v>1</v>
      </c>
      <c r="L3402">
        <v>78273</v>
      </c>
      <c r="M3402" t="str">
        <f t="shared" si="493"/>
        <v>13</v>
      </c>
      <c r="N3402" t="s">
        <v>3370</v>
      </c>
      <c r="O3402" t="str">
        <f t="shared" si="489"/>
        <v>61111</v>
      </c>
      <c r="P3402" t="str">
        <f t="shared" si="492"/>
        <v>2100L</v>
      </c>
      <c r="Q3402" t="str">
        <f t="shared" si="485"/>
        <v>0101</v>
      </c>
      <c r="R3402">
        <v>2100</v>
      </c>
      <c r="S3402" t="str">
        <f t="shared" si="491"/>
        <v>6110</v>
      </c>
      <c r="T3402" t="s">
        <v>3784</v>
      </c>
      <c r="U3402" t="s">
        <v>1744</v>
      </c>
    </row>
    <row r="3403" spans="1:21" ht="15" customHeight="1" x14ac:dyDescent="0.3">
      <c r="A3403" t="s">
        <v>179</v>
      </c>
      <c r="B3403" t="str">
        <f>"00072823"</f>
        <v>00072823</v>
      </c>
      <c r="C3403" t="s">
        <v>4272</v>
      </c>
      <c r="D3403" t="s">
        <v>2724</v>
      </c>
      <c r="E3403" t="str">
        <f>"00045195"</f>
        <v>00045195</v>
      </c>
      <c r="F3403">
        <v>0</v>
      </c>
      <c r="G3403" s="243">
        <v>39679</v>
      </c>
      <c r="H3403" t="s">
        <v>182</v>
      </c>
      <c r="I3403">
        <v>15</v>
      </c>
      <c r="J3403">
        <v>12</v>
      </c>
      <c r="K3403">
        <v>1</v>
      </c>
      <c r="L3403">
        <v>87431</v>
      </c>
      <c r="M3403" t="str">
        <f t="shared" si="493"/>
        <v>13</v>
      </c>
      <c r="N3403" t="s">
        <v>3323</v>
      </c>
      <c r="O3403" t="str">
        <f t="shared" si="489"/>
        <v>61111</v>
      </c>
      <c r="P3403" t="str">
        <f t="shared" si="492"/>
        <v>2100L</v>
      </c>
      <c r="Q3403" t="str">
        <f t="shared" si="485"/>
        <v>0101</v>
      </c>
      <c r="R3403">
        <v>2100</v>
      </c>
      <c r="S3403" t="str">
        <f t="shared" si="491"/>
        <v>6110</v>
      </c>
      <c r="T3403" t="s">
        <v>3784</v>
      </c>
      <c r="U3403" t="s">
        <v>1744</v>
      </c>
    </row>
    <row r="3404" spans="1:21" ht="15" customHeight="1" x14ac:dyDescent="0.3">
      <c r="A3404" t="s">
        <v>179</v>
      </c>
      <c r="B3404" t="str">
        <f>"00072824"</f>
        <v>00072824</v>
      </c>
      <c r="C3404" t="s">
        <v>4272</v>
      </c>
      <c r="D3404" t="s">
        <v>5351</v>
      </c>
      <c r="E3404" t="str">
        <f>"00069805"</f>
        <v>00069805</v>
      </c>
      <c r="F3404">
        <v>0</v>
      </c>
      <c r="G3404" s="243">
        <v>41133</v>
      </c>
      <c r="H3404" t="s">
        <v>182</v>
      </c>
      <c r="I3404">
        <v>15</v>
      </c>
      <c r="J3404">
        <v>1</v>
      </c>
      <c r="K3404">
        <v>1</v>
      </c>
      <c r="L3404">
        <v>60128</v>
      </c>
      <c r="M3404" t="str">
        <f t="shared" si="493"/>
        <v>13</v>
      </c>
      <c r="N3404" t="s">
        <v>3370</v>
      </c>
      <c r="O3404" t="str">
        <f t="shared" si="489"/>
        <v>61111</v>
      </c>
      <c r="P3404" t="str">
        <f t="shared" si="492"/>
        <v>2100L</v>
      </c>
      <c r="Q3404" t="str">
        <f t="shared" si="485"/>
        <v>0101</v>
      </c>
      <c r="R3404">
        <v>2100</v>
      </c>
      <c r="S3404" t="str">
        <f t="shared" si="491"/>
        <v>6110</v>
      </c>
      <c r="T3404" t="s">
        <v>3784</v>
      </c>
      <c r="U3404" t="s">
        <v>1744</v>
      </c>
    </row>
    <row r="3405" spans="1:21" ht="15" customHeight="1" x14ac:dyDescent="0.3">
      <c r="A3405" t="s">
        <v>179</v>
      </c>
      <c r="B3405" t="str">
        <f>"00072826"</f>
        <v>00072826</v>
      </c>
      <c r="C3405" t="s">
        <v>4272</v>
      </c>
      <c r="D3405" t="s">
        <v>5352</v>
      </c>
      <c r="E3405" t="str">
        <f>"00069483"</f>
        <v>00069483</v>
      </c>
      <c r="F3405">
        <v>0</v>
      </c>
      <c r="G3405" s="243">
        <v>41133</v>
      </c>
      <c r="H3405" t="s">
        <v>182</v>
      </c>
      <c r="I3405">
        <v>15</v>
      </c>
      <c r="J3405">
        <v>1</v>
      </c>
      <c r="K3405">
        <v>1</v>
      </c>
      <c r="L3405">
        <v>54975</v>
      </c>
      <c r="M3405" t="str">
        <f t="shared" si="493"/>
        <v>13</v>
      </c>
      <c r="N3405" t="s">
        <v>3370</v>
      </c>
      <c r="O3405" t="str">
        <f t="shared" si="489"/>
        <v>61111</v>
      </c>
      <c r="P3405" t="str">
        <f t="shared" si="492"/>
        <v>2100L</v>
      </c>
      <c r="Q3405" t="str">
        <f t="shared" si="485"/>
        <v>0101</v>
      </c>
      <c r="R3405">
        <v>2100</v>
      </c>
      <c r="S3405" t="str">
        <f t="shared" si="491"/>
        <v>6110</v>
      </c>
      <c r="T3405" t="s">
        <v>3784</v>
      </c>
      <c r="U3405" t="s">
        <v>1744</v>
      </c>
    </row>
    <row r="3406" spans="1:21" ht="15" customHeight="1" x14ac:dyDescent="0.3">
      <c r="A3406" t="s">
        <v>179</v>
      </c>
      <c r="B3406" t="str">
        <f>"00072827"</f>
        <v>00072827</v>
      </c>
      <c r="C3406" t="s">
        <v>4260</v>
      </c>
      <c r="D3406" t="s">
        <v>5353</v>
      </c>
      <c r="E3406" t="str">
        <f>"00062545"</f>
        <v>00062545</v>
      </c>
      <c r="F3406">
        <v>0</v>
      </c>
      <c r="G3406" s="243">
        <v>41133</v>
      </c>
      <c r="H3406" t="s">
        <v>182</v>
      </c>
      <c r="I3406">
        <v>15</v>
      </c>
      <c r="J3406">
        <v>10</v>
      </c>
      <c r="K3406">
        <v>1</v>
      </c>
      <c r="L3406">
        <v>78273</v>
      </c>
      <c r="M3406" t="str">
        <f t="shared" si="493"/>
        <v>13</v>
      </c>
      <c r="N3406" t="s">
        <v>3370</v>
      </c>
      <c r="O3406" t="str">
        <f t="shared" si="489"/>
        <v>61111</v>
      </c>
      <c r="P3406" t="str">
        <f t="shared" si="492"/>
        <v>2100L</v>
      </c>
      <c r="Q3406" t="str">
        <f t="shared" si="485"/>
        <v>0101</v>
      </c>
      <c r="R3406">
        <v>2100</v>
      </c>
      <c r="S3406" t="str">
        <f t="shared" si="491"/>
        <v>6110</v>
      </c>
      <c r="T3406" t="s">
        <v>3784</v>
      </c>
      <c r="U3406" t="s">
        <v>1744</v>
      </c>
    </row>
    <row r="3407" spans="1:21" ht="15" customHeight="1" x14ac:dyDescent="0.3">
      <c r="A3407" t="s">
        <v>179</v>
      </c>
      <c r="B3407" t="str">
        <f>"00072828"</f>
        <v>00072828</v>
      </c>
      <c r="C3407" t="s">
        <v>4260</v>
      </c>
      <c r="D3407" t="s">
        <v>2727</v>
      </c>
      <c r="E3407" t="str">
        <f>"00045964"</f>
        <v>00045964</v>
      </c>
      <c r="F3407">
        <v>0</v>
      </c>
      <c r="G3407" s="243">
        <v>39679</v>
      </c>
      <c r="H3407" t="s">
        <v>182</v>
      </c>
      <c r="I3407">
        <v>15</v>
      </c>
      <c r="J3407">
        <v>12</v>
      </c>
      <c r="K3407">
        <v>1</v>
      </c>
      <c r="L3407">
        <v>87431</v>
      </c>
      <c r="M3407" t="str">
        <f t="shared" si="493"/>
        <v>13</v>
      </c>
      <c r="N3407" t="s">
        <v>3323</v>
      </c>
      <c r="O3407" t="str">
        <f t="shared" si="489"/>
        <v>61111</v>
      </c>
      <c r="P3407" t="str">
        <f t="shared" si="492"/>
        <v>2100L</v>
      </c>
      <c r="Q3407" t="str">
        <f t="shared" si="485"/>
        <v>0101</v>
      </c>
      <c r="R3407">
        <v>2100</v>
      </c>
      <c r="S3407" t="str">
        <f t="shared" si="491"/>
        <v>6110</v>
      </c>
      <c r="T3407" t="s">
        <v>3784</v>
      </c>
      <c r="U3407" t="s">
        <v>1744</v>
      </c>
    </row>
    <row r="3408" spans="1:21" ht="15" customHeight="1" x14ac:dyDescent="0.3">
      <c r="A3408" t="s">
        <v>179</v>
      </c>
      <c r="B3408" t="str">
        <f>"00072829"</f>
        <v>00072829</v>
      </c>
      <c r="C3408" t="s">
        <v>4257</v>
      </c>
      <c r="D3408" t="s">
        <v>2728</v>
      </c>
      <c r="E3408" t="str">
        <f>"00048108"</f>
        <v>00048108</v>
      </c>
      <c r="F3408">
        <v>0</v>
      </c>
      <c r="G3408" s="243">
        <v>32125</v>
      </c>
      <c r="H3408" t="s">
        <v>182</v>
      </c>
      <c r="I3408">
        <v>15</v>
      </c>
      <c r="J3408">
        <v>13</v>
      </c>
      <c r="K3408">
        <v>1</v>
      </c>
      <c r="L3408">
        <v>81724</v>
      </c>
      <c r="M3408" t="str">
        <f t="shared" si="493"/>
        <v>13</v>
      </c>
      <c r="N3408" t="s">
        <v>3323</v>
      </c>
      <c r="O3408" t="str">
        <f t="shared" si="489"/>
        <v>61111</v>
      </c>
      <c r="P3408" t="str">
        <f t="shared" si="492"/>
        <v>2100L</v>
      </c>
      <c r="Q3408" t="str">
        <f t="shared" si="485"/>
        <v>0101</v>
      </c>
      <c r="R3408">
        <v>2100</v>
      </c>
      <c r="S3408" t="str">
        <f t="shared" si="491"/>
        <v>6110</v>
      </c>
      <c r="T3408" t="s">
        <v>3784</v>
      </c>
      <c r="U3408" t="s">
        <v>1744</v>
      </c>
    </row>
    <row r="3409" spans="1:21" ht="15" customHeight="1" x14ac:dyDescent="0.3">
      <c r="A3409" t="s">
        <v>179</v>
      </c>
      <c r="B3409" t="str">
        <f>"00072836"</f>
        <v>00072836</v>
      </c>
      <c r="C3409" t="s">
        <v>3670</v>
      </c>
      <c r="D3409" t="s">
        <v>2432</v>
      </c>
      <c r="E3409" t="str">
        <f>"00049028"</f>
        <v>00049028</v>
      </c>
      <c r="F3409">
        <v>0</v>
      </c>
      <c r="G3409" s="243">
        <v>39678</v>
      </c>
      <c r="H3409" t="s">
        <v>182</v>
      </c>
      <c r="I3409">
        <v>8</v>
      </c>
      <c r="J3409">
        <v>5</v>
      </c>
      <c r="K3409">
        <v>1</v>
      </c>
      <c r="L3409">
        <v>92198</v>
      </c>
      <c r="M3409" t="str">
        <f t="shared" si="493"/>
        <v>13</v>
      </c>
      <c r="N3409" t="s">
        <v>3370</v>
      </c>
      <c r="O3409" t="str">
        <f t="shared" si="489"/>
        <v>61111</v>
      </c>
      <c r="P3409" t="str">
        <f>"1501L"</f>
        <v>1501L</v>
      </c>
      <c r="Q3409" t="str">
        <f t="shared" ref="Q3409:Q3465" si="494">"0101"</f>
        <v>0101</v>
      </c>
      <c r="R3409">
        <v>1501</v>
      </c>
      <c r="S3409" t="str">
        <f t="shared" si="491"/>
        <v>6110</v>
      </c>
      <c r="T3409" t="s">
        <v>3784</v>
      </c>
      <c r="U3409" t="s">
        <v>1744</v>
      </c>
    </row>
    <row r="3410" spans="1:21" ht="15" customHeight="1" x14ac:dyDescent="0.3">
      <c r="A3410" t="s">
        <v>179</v>
      </c>
      <c r="B3410" t="str">
        <f>"00073073"</f>
        <v>00073073</v>
      </c>
      <c r="C3410" t="s">
        <v>4395</v>
      </c>
      <c r="D3410" t="s">
        <v>2730</v>
      </c>
      <c r="E3410" t="str">
        <f>"00047502"</f>
        <v>00047502</v>
      </c>
      <c r="F3410">
        <v>0</v>
      </c>
      <c r="G3410" s="243">
        <v>38951</v>
      </c>
      <c r="H3410" t="s">
        <v>182</v>
      </c>
      <c r="I3410">
        <v>10</v>
      </c>
      <c r="J3410">
        <v>7</v>
      </c>
      <c r="K3410">
        <v>1</v>
      </c>
      <c r="L3410">
        <v>77822</v>
      </c>
      <c r="M3410" t="str">
        <f t="shared" si="493"/>
        <v>13</v>
      </c>
      <c r="N3410" t="s">
        <v>3323</v>
      </c>
      <c r="O3410" t="str">
        <f t="shared" si="489"/>
        <v>61111</v>
      </c>
      <c r="P3410" t="str">
        <f>"1502L"</f>
        <v>1502L</v>
      </c>
      <c r="Q3410" t="str">
        <f t="shared" si="494"/>
        <v>0101</v>
      </c>
      <c r="R3410">
        <v>1502</v>
      </c>
      <c r="S3410" t="str">
        <f t="shared" si="491"/>
        <v>6110</v>
      </c>
      <c r="T3410" t="s">
        <v>3784</v>
      </c>
      <c r="U3410" t="s">
        <v>1744</v>
      </c>
    </row>
    <row r="3411" spans="1:21" ht="15" customHeight="1" x14ac:dyDescent="0.3">
      <c r="A3411" t="s">
        <v>179</v>
      </c>
      <c r="B3411" t="str">
        <f>"00073976"</f>
        <v>00073976</v>
      </c>
      <c r="C3411" t="s">
        <v>4258</v>
      </c>
      <c r="D3411" t="s">
        <v>1083</v>
      </c>
      <c r="E3411" t="str">
        <f>"00054331"</f>
        <v>00054331</v>
      </c>
      <c r="F3411">
        <v>0</v>
      </c>
      <c r="G3411" s="243">
        <v>32050</v>
      </c>
      <c r="H3411" t="s">
        <v>182</v>
      </c>
      <c r="I3411">
        <v>15</v>
      </c>
      <c r="J3411">
        <v>16</v>
      </c>
      <c r="K3411">
        <v>1</v>
      </c>
      <c r="L3411">
        <v>100839</v>
      </c>
      <c r="M3411" t="str">
        <f t="shared" si="493"/>
        <v>13</v>
      </c>
      <c r="N3411" t="s">
        <v>3323</v>
      </c>
      <c r="O3411" t="str">
        <f t="shared" si="489"/>
        <v>61111</v>
      </c>
      <c r="P3411" t="str">
        <f>"2100L"</f>
        <v>2100L</v>
      </c>
      <c r="Q3411" t="str">
        <f t="shared" si="494"/>
        <v>0101</v>
      </c>
      <c r="R3411">
        <v>2100</v>
      </c>
      <c r="S3411" t="str">
        <f t="shared" si="491"/>
        <v>6110</v>
      </c>
      <c r="T3411" t="s">
        <v>3784</v>
      </c>
      <c r="U3411" t="s">
        <v>1744</v>
      </c>
    </row>
    <row r="3412" spans="1:21" ht="15" customHeight="1" x14ac:dyDescent="0.3">
      <c r="A3412" t="s">
        <v>179</v>
      </c>
      <c r="B3412" t="str">
        <f>"00073977"</f>
        <v>00073977</v>
      </c>
      <c r="C3412" t="s">
        <v>4260</v>
      </c>
      <c r="D3412" t="s">
        <v>1142</v>
      </c>
      <c r="E3412" t="str">
        <f>"00062703"</f>
        <v>00062703</v>
      </c>
      <c r="F3412">
        <v>0</v>
      </c>
      <c r="G3412" s="243">
        <v>40406</v>
      </c>
      <c r="H3412" t="s">
        <v>182</v>
      </c>
      <c r="I3412">
        <v>15</v>
      </c>
      <c r="J3412">
        <v>3</v>
      </c>
      <c r="K3412">
        <v>1</v>
      </c>
      <c r="L3412">
        <v>58699</v>
      </c>
      <c r="M3412" t="str">
        <f t="shared" si="493"/>
        <v>13</v>
      </c>
      <c r="N3412" t="s">
        <v>3323</v>
      </c>
      <c r="O3412" t="str">
        <f t="shared" si="489"/>
        <v>61111</v>
      </c>
      <c r="P3412" t="str">
        <f>"3030L"</f>
        <v>3030L</v>
      </c>
      <c r="Q3412" t="str">
        <f t="shared" si="494"/>
        <v>0101</v>
      </c>
      <c r="R3412">
        <v>3030</v>
      </c>
      <c r="S3412" t="str">
        <f t="shared" si="491"/>
        <v>6110</v>
      </c>
      <c r="T3412" t="s">
        <v>3784</v>
      </c>
      <c r="U3412" t="s">
        <v>1744</v>
      </c>
    </row>
    <row r="3413" spans="1:21" ht="15" customHeight="1" x14ac:dyDescent="0.3">
      <c r="A3413" t="s">
        <v>179</v>
      </c>
      <c r="B3413" t="str">
        <f>"00074322"</f>
        <v>00074322</v>
      </c>
      <c r="C3413" t="s">
        <v>4614</v>
      </c>
      <c r="D3413" t="s">
        <v>2719</v>
      </c>
      <c r="E3413" t="str">
        <f>"00046509"</f>
        <v>00046509</v>
      </c>
      <c r="F3413">
        <v>0</v>
      </c>
      <c r="G3413" s="243">
        <v>36080</v>
      </c>
      <c r="H3413" t="s">
        <v>182</v>
      </c>
      <c r="I3413">
        <v>7</v>
      </c>
      <c r="J3413">
        <v>1</v>
      </c>
      <c r="K3413">
        <v>1</v>
      </c>
      <c r="L3413">
        <v>34871</v>
      </c>
      <c r="M3413" t="str">
        <f t="shared" si="493"/>
        <v>13</v>
      </c>
      <c r="N3413" t="s">
        <v>3323</v>
      </c>
      <c r="O3413" t="str">
        <f t="shared" ref="O3413:O3421" si="495">"61111"</f>
        <v>61111</v>
      </c>
      <c r="P3413" t="str">
        <f>"1502L"</f>
        <v>1502L</v>
      </c>
      <c r="Q3413" t="str">
        <f t="shared" si="494"/>
        <v>0101</v>
      </c>
      <c r="R3413">
        <v>1502</v>
      </c>
      <c r="S3413" t="str">
        <f t="shared" ref="S3413:S3421" si="496">"6110"</f>
        <v>6110</v>
      </c>
      <c r="T3413" t="s">
        <v>3784</v>
      </c>
      <c r="U3413" t="s">
        <v>1744</v>
      </c>
    </row>
    <row r="3414" spans="1:21" ht="15" customHeight="1" x14ac:dyDescent="0.3">
      <c r="A3414" t="s">
        <v>179</v>
      </c>
      <c r="B3414" t="str">
        <f>"00074582"</f>
        <v>00074582</v>
      </c>
      <c r="C3414" t="s">
        <v>4258</v>
      </c>
      <c r="D3414" t="s">
        <v>2721</v>
      </c>
      <c r="E3414" t="str">
        <f>"00046619"</f>
        <v>00046619</v>
      </c>
      <c r="F3414">
        <v>0</v>
      </c>
      <c r="G3414" s="243">
        <v>39677</v>
      </c>
      <c r="H3414" t="s">
        <v>182</v>
      </c>
      <c r="I3414">
        <v>15</v>
      </c>
      <c r="J3414">
        <v>5</v>
      </c>
      <c r="K3414">
        <v>1</v>
      </c>
      <c r="L3414">
        <v>56655</v>
      </c>
      <c r="M3414" t="str">
        <f t="shared" si="493"/>
        <v>13</v>
      </c>
      <c r="N3414" t="s">
        <v>3323</v>
      </c>
      <c r="O3414" t="str">
        <f t="shared" si="495"/>
        <v>61111</v>
      </c>
      <c r="P3414" t="str">
        <f>"2100L"</f>
        <v>2100L</v>
      </c>
      <c r="Q3414" t="str">
        <f t="shared" si="494"/>
        <v>0101</v>
      </c>
      <c r="R3414">
        <v>2100</v>
      </c>
      <c r="S3414" t="str">
        <f t="shared" si="496"/>
        <v>6110</v>
      </c>
      <c r="T3414" t="s">
        <v>3784</v>
      </c>
      <c r="U3414" t="s">
        <v>1744</v>
      </c>
    </row>
    <row r="3415" spans="1:21" ht="15" customHeight="1" x14ac:dyDescent="0.3">
      <c r="A3415" t="s">
        <v>179</v>
      </c>
      <c r="B3415" t="str">
        <f>"00074583"</f>
        <v>00074583</v>
      </c>
      <c r="C3415" t="s">
        <v>4272</v>
      </c>
      <c r="D3415" t="s">
        <v>3787</v>
      </c>
      <c r="E3415" t="str">
        <f>"00065684"</f>
        <v>00065684</v>
      </c>
      <c r="F3415">
        <v>0</v>
      </c>
      <c r="G3415" s="243">
        <v>40755</v>
      </c>
      <c r="H3415" t="s">
        <v>182</v>
      </c>
      <c r="I3415">
        <v>15</v>
      </c>
      <c r="J3415">
        <v>5</v>
      </c>
      <c r="K3415">
        <v>1</v>
      </c>
      <c r="L3415">
        <v>63611</v>
      </c>
      <c r="M3415" t="str">
        <f t="shared" si="493"/>
        <v>13</v>
      </c>
      <c r="N3415" t="s">
        <v>3323</v>
      </c>
      <c r="O3415" t="str">
        <f t="shared" si="495"/>
        <v>61111</v>
      </c>
      <c r="P3415" t="str">
        <f>"2100L"</f>
        <v>2100L</v>
      </c>
      <c r="Q3415" t="str">
        <f t="shared" si="494"/>
        <v>0101</v>
      </c>
      <c r="R3415">
        <v>2100</v>
      </c>
      <c r="S3415" t="str">
        <f t="shared" si="496"/>
        <v>6110</v>
      </c>
      <c r="T3415" t="s">
        <v>3784</v>
      </c>
      <c r="U3415" t="s">
        <v>1744</v>
      </c>
    </row>
    <row r="3416" spans="1:21" ht="15" customHeight="1" x14ac:dyDescent="0.3">
      <c r="A3416" t="s">
        <v>179</v>
      </c>
      <c r="B3416" t="str">
        <f>"00074655"</f>
        <v>00074655</v>
      </c>
      <c r="C3416" t="s">
        <v>4260</v>
      </c>
      <c r="D3416" t="s">
        <v>4233</v>
      </c>
      <c r="E3416" t="str">
        <f>"00066005"</f>
        <v>00066005</v>
      </c>
      <c r="F3416">
        <v>0</v>
      </c>
      <c r="G3416" s="243">
        <v>40755</v>
      </c>
      <c r="H3416" t="s">
        <v>182</v>
      </c>
      <c r="I3416">
        <v>15</v>
      </c>
      <c r="J3416">
        <v>11</v>
      </c>
      <c r="K3416">
        <v>1</v>
      </c>
      <c r="L3416">
        <v>81335</v>
      </c>
      <c r="M3416" t="str">
        <f t="shared" si="493"/>
        <v>13</v>
      </c>
      <c r="N3416" t="s">
        <v>3370</v>
      </c>
      <c r="O3416" t="str">
        <f t="shared" si="495"/>
        <v>61111</v>
      </c>
      <c r="P3416" t="str">
        <f>"3030L"</f>
        <v>3030L</v>
      </c>
      <c r="Q3416" t="str">
        <f t="shared" si="494"/>
        <v>0101</v>
      </c>
      <c r="R3416">
        <v>3030</v>
      </c>
      <c r="S3416" t="str">
        <f t="shared" si="496"/>
        <v>6110</v>
      </c>
      <c r="T3416" t="s">
        <v>3784</v>
      </c>
      <c r="U3416" t="s">
        <v>1744</v>
      </c>
    </row>
    <row r="3417" spans="1:21" ht="15" customHeight="1" x14ac:dyDescent="0.3">
      <c r="A3417" t="s">
        <v>179</v>
      </c>
      <c r="B3417" t="str">
        <f>"00076384"</f>
        <v>00076384</v>
      </c>
      <c r="C3417" t="s">
        <v>4410</v>
      </c>
      <c r="D3417" t="s">
        <v>1118</v>
      </c>
      <c r="E3417" t="str">
        <f>"00050997"</f>
        <v>00050997</v>
      </c>
      <c r="F3417">
        <v>0</v>
      </c>
      <c r="G3417" s="243">
        <v>31155</v>
      </c>
      <c r="H3417" t="s">
        <v>182</v>
      </c>
      <c r="I3417">
        <v>5</v>
      </c>
      <c r="J3417">
        <v>10</v>
      </c>
      <c r="K3417">
        <v>1</v>
      </c>
      <c r="L3417">
        <v>36549</v>
      </c>
      <c r="M3417" t="str">
        <f t="shared" si="493"/>
        <v>13</v>
      </c>
      <c r="N3417" t="s">
        <v>3370</v>
      </c>
      <c r="O3417" t="str">
        <f t="shared" si="495"/>
        <v>61111</v>
      </c>
      <c r="P3417" t="str">
        <f>"2100L"</f>
        <v>2100L</v>
      </c>
      <c r="Q3417" t="str">
        <f t="shared" si="494"/>
        <v>0101</v>
      </c>
      <c r="R3417">
        <v>2100</v>
      </c>
      <c r="S3417" t="str">
        <f t="shared" si="496"/>
        <v>6110</v>
      </c>
      <c r="T3417" t="s">
        <v>3784</v>
      </c>
      <c r="U3417" t="s">
        <v>1744</v>
      </c>
    </row>
    <row r="3418" spans="1:21" ht="15" customHeight="1" x14ac:dyDescent="0.3">
      <c r="A3418" t="s">
        <v>179</v>
      </c>
      <c r="B3418" t="str">
        <f>"00076385"</f>
        <v>00076385</v>
      </c>
      <c r="C3418" t="s">
        <v>4270</v>
      </c>
      <c r="H3418" t="s">
        <v>170</v>
      </c>
      <c r="I3418">
        <v>15</v>
      </c>
      <c r="J3418">
        <v>0</v>
      </c>
      <c r="K3418">
        <v>0.5</v>
      </c>
      <c r="L3418">
        <v>51539</v>
      </c>
      <c r="M3418" t="str">
        <f t="shared" si="493"/>
        <v>13</v>
      </c>
      <c r="N3418" t="s">
        <v>3370</v>
      </c>
      <c r="O3418" t="str">
        <f t="shared" si="495"/>
        <v>61111</v>
      </c>
      <c r="P3418" t="str">
        <f>"2100L"</f>
        <v>2100L</v>
      </c>
      <c r="Q3418" t="str">
        <f t="shared" si="494"/>
        <v>0101</v>
      </c>
      <c r="R3418">
        <v>2100</v>
      </c>
      <c r="S3418" t="str">
        <f t="shared" si="496"/>
        <v>6110</v>
      </c>
      <c r="T3418" t="s">
        <v>3784</v>
      </c>
      <c r="U3418" t="s">
        <v>1744</v>
      </c>
    </row>
    <row r="3419" spans="1:21" ht="15" customHeight="1" x14ac:dyDescent="0.3">
      <c r="A3419" t="s">
        <v>179</v>
      </c>
      <c r="B3419" t="str">
        <f>"00076386"</f>
        <v>00076386</v>
      </c>
      <c r="C3419" t="s">
        <v>4262</v>
      </c>
      <c r="D3419" t="s">
        <v>5354</v>
      </c>
      <c r="E3419" t="str">
        <f>"00069865"</f>
        <v>00069865</v>
      </c>
      <c r="F3419">
        <v>0</v>
      </c>
      <c r="G3419" s="243">
        <v>41133</v>
      </c>
      <c r="H3419" t="s">
        <v>182</v>
      </c>
      <c r="I3419">
        <v>15</v>
      </c>
      <c r="J3419">
        <v>1</v>
      </c>
      <c r="K3419">
        <v>1</v>
      </c>
      <c r="L3419">
        <v>54975</v>
      </c>
      <c r="M3419" t="str">
        <f t="shared" si="493"/>
        <v>13</v>
      </c>
      <c r="N3419" t="s">
        <v>3370</v>
      </c>
      <c r="O3419" t="str">
        <f t="shared" si="495"/>
        <v>61111</v>
      </c>
      <c r="P3419" t="str">
        <f>"2100L"</f>
        <v>2100L</v>
      </c>
      <c r="Q3419" t="str">
        <f t="shared" si="494"/>
        <v>0101</v>
      </c>
      <c r="R3419">
        <v>2100</v>
      </c>
      <c r="S3419" t="str">
        <f t="shared" si="496"/>
        <v>6110</v>
      </c>
      <c r="T3419" t="s">
        <v>3784</v>
      </c>
      <c r="U3419" t="s">
        <v>1744</v>
      </c>
    </row>
    <row r="3420" spans="1:21" ht="15" customHeight="1" x14ac:dyDescent="0.3">
      <c r="A3420" t="s">
        <v>179</v>
      </c>
      <c r="B3420" t="str">
        <f>"00076387"</f>
        <v>00076387</v>
      </c>
      <c r="C3420" t="s">
        <v>4271</v>
      </c>
      <c r="D3420" t="s">
        <v>5355</v>
      </c>
      <c r="E3420" t="str">
        <f>"00069837"</f>
        <v>00069837</v>
      </c>
      <c r="F3420">
        <v>0</v>
      </c>
      <c r="G3420" s="243">
        <v>41133</v>
      </c>
      <c r="H3420" t="s">
        <v>182</v>
      </c>
      <c r="I3420">
        <v>15</v>
      </c>
      <c r="J3420">
        <v>3</v>
      </c>
      <c r="K3420">
        <v>1</v>
      </c>
      <c r="L3420">
        <v>58699</v>
      </c>
      <c r="M3420" t="str">
        <f t="shared" si="493"/>
        <v>13</v>
      </c>
      <c r="N3420" t="s">
        <v>3370</v>
      </c>
      <c r="O3420" t="str">
        <f t="shared" si="495"/>
        <v>61111</v>
      </c>
      <c r="P3420" t="str">
        <f>"2100L"</f>
        <v>2100L</v>
      </c>
      <c r="Q3420" t="str">
        <f t="shared" si="494"/>
        <v>0101</v>
      </c>
      <c r="R3420">
        <v>2100</v>
      </c>
      <c r="S3420" t="str">
        <f t="shared" si="496"/>
        <v>6110</v>
      </c>
      <c r="T3420" t="s">
        <v>3784</v>
      </c>
      <c r="U3420" t="s">
        <v>1744</v>
      </c>
    </row>
    <row r="3421" spans="1:21" ht="15" customHeight="1" x14ac:dyDescent="0.3">
      <c r="A3421" t="s">
        <v>179</v>
      </c>
      <c r="B3421" t="str">
        <f>"00076485"</f>
        <v>00076485</v>
      </c>
      <c r="C3421" t="s">
        <v>4288</v>
      </c>
      <c r="D3421" t="s">
        <v>5356</v>
      </c>
      <c r="E3421" t="str">
        <f>"00014324"</f>
        <v>00014324</v>
      </c>
      <c r="F3421">
        <v>2</v>
      </c>
      <c r="G3421" s="243">
        <v>40770</v>
      </c>
      <c r="H3421" t="s">
        <v>182</v>
      </c>
      <c r="I3421">
        <v>4</v>
      </c>
      <c r="J3421">
        <v>4</v>
      </c>
      <c r="K3421">
        <v>0.71</v>
      </c>
      <c r="L3421">
        <v>24543.75</v>
      </c>
      <c r="M3421" t="str">
        <f t="shared" si="493"/>
        <v>13</v>
      </c>
      <c r="N3421" t="s">
        <v>3370</v>
      </c>
      <c r="O3421" t="str">
        <f t="shared" si="495"/>
        <v>61111</v>
      </c>
      <c r="P3421" t="str">
        <f>"2200L"</f>
        <v>2200L</v>
      </c>
      <c r="Q3421" t="str">
        <f t="shared" si="494"/>
        <v>0101</v>
      </c>
      <c r="R3421">
        <v>2200</v>
      </c>
      <c r="S3421" t="str">
        <f t="shared" si="496"/>
        <v>6110</v>
      </c>
      <c r="T3421" t="s">
        <v>3784</v>
      </c>
      <c r="U3421" t="s">
        <v>1744</v>
      </c>
    </row>
    <row r="3422" spans="1:21" ht="15" customHeight="1" x14ac:dyDescent="0.3">
      <c r="A3422" t="s">
        <v>179</v>
      </c>
      <c r="B3422" t="str">
        <f>"00051543"</f>
        <v>00051543</v>
      </c>
      <c r="C3422" t="s">
        <v>4262</v>
      </c>
      <c r="D3422" t="s">
        <v>2731</v>
      </c>
      <c r="E3422" t="str">
        <f>"00044781"</f>
        <v>00044781</v>
      </c>
      <c r="F3422">
        <v>0</v>
      </c>
      <c r="G3422" s="243">
        <v>32021</v>
      </c>
      <c r="H3422" t="s">
        <v>182</v>
      </c>
      <c r="I3422">
        <v>15</v>
      </c>
      <c r="J3422">
        <v>16</v>
      </c>
      <c r="K3422">
        <v>1</v>
      </c>
      <c r="L3422">
        <v>100839</v>
      </c>
      <c r="M3422" t="str">
        <f t="shared" si="493"/>
        <v>13</v>
      </c>
      <c r="N3422" t="s">
        <v>3323</v>
      </c>
      <c r="O3422" t="str">
        <f t="shared" ref="O3422:O3449" si="497">"61211"</f>
        <v>61211</v>
      </c>
      <c r="P3422" t="str">
        <f>"2100L"</f>
        <v>2100L</v>
      </c>
      <c r="Q3422" t="str">
        <f t="shared" si="494"/>
        <v>0101</v>
      </c>
      <c r="R3422">
        <v>2100</v>
      </c>
      <c r="S3422" t="str">
        <f t="shared" ref="S3422:S3449" si="498">"6120"</f>
        <v>6120</v>
      </c>
      <c r="T3422" t="s">
        <v>3794</v>
      </c>
      <c r="U3422" t="s">
        <v>131</v>
      </c>
    </row>
    <row r="3423" spans="1:21" ht="15" customHeight="1" x14ac:dyDescent="0.3">
      <c r="A3423" t="s">
        <v>179</v>
      </c>
      <c r="B3423" t="str">
        <f>"00051656"</f>
        <v>00051656</v>
      </c>
      <c r="C3423" t="s">
        <v>4262</v>
      </c>
      <c r="D3423" t="s">
        <v>2732</v>
      </c>
      <c r="E3423" t="str">
        <f>"00045330"</f>
        <v>00045330</v>
      </c>
      <c r="F3423">
        <v>0</v>
      </c>
      <c r="G3423" s="243">
        <v>34941</v>
      </c>
      <c r="H3423" t="s">
        <v>182</v>
      </c>
      <c r="I3423">
        <v>15</v>
      </c>
      <c r="J3423">
        <v>15</v>
      </c>
      <c r="K3423">
        <v>1</v>
      </c>
      <c r="L3423">
        <v>100792</v>
      </c>
      <c r="M3423" t="str">
        <f t="shared" si="493"/>
        <v>13</v>
      </c>
      <c r="N3423" t="s">
        <v>3323</v>
      </c>
      <c r="O3423" t="str">
        <f t="shared" si="497"/>
        <v>61211</v>
      </c>
      <c r="P3423" t="str">
        <f>"2100L"</f>
        <v>2100L</v>
      </c>
      <c r="Q3423" t="str">
        <f t="shared" si="494"/>
        <v>0101</v>
      </c>
      <c r="R3423">
        <v>2100</v>
      </c>
      <c r="S3423" t="str">
        <f t="shared" si="498"/>
        <v>6120</v>
      </c>
      <c r="T3423" t="s">
        <v>3794</v>
      </c>
      <c r="U3423" t="s">
        <v>131</v>
      </c>
    </row>
    <row r="3424" spans="1:21" ht="15" customHeight="1" x14ac:dyDescent="0.3">
      <c r="A3424" t="s">
        <v>179</v>
      </c>
      <c r="B3424" t="str">
        <f>"00051700"</f>
        <v>00051700</v>
      </c>
      <c r="C3424" t="s">
        <v>4272</v>
      </c>
      <c r="D3424" t="s">
        <v>2733</v>
      </c>
      <c r="E3424" t="str">
        <f>"00045547"</f>
        <v>00045547</v>
      </c>
      <c r="F3424">
        <v>0</v>
      </c>
      <c r="G3424" s="243">
        <v>34941</v>
      </c>
      <c r="H3424" t="s">
        <v>182</v>
      </c>
      <c r="I3424">
        <v>15</v>
      </c>
      <c r="J3424">
        <v>14</v>
      </c>
      <c r="K3424">
        <v>1</v>
      </c>
      <c r="L3424">
        <v>96460</v>
      </c>
      <c r="M3424" t="str">
        <f t="shared" si="493"/>
        <v>13</v>
      </c>
      <c r="N3424" t="s">
        <v>3323</v>
      </c>
      <c r="O3424" t="str">
        <f t="shared" si="497"/>
        <v>61211</v>
      </c>
      <c r="P3424" t="str">
        <f>"2100L"</f>
        <v>2100L</v>
      </c>
      <c r="Q3424" t="str">
        <f t="shared" si="494"/>
        <v>0101</v>
      </c>
      <c r="R3424">
        <v>2100</v>
      </c>
      <c r="S3424" t="str">
        <f t="shared" si="498"/>
        <v>6120</v>
      </c>
      <c r="T3424" t="s">
        <v>3794</v>
      </c>
      <c r="U3424" t="s">
        <v>131</v>
      </c>
    </row>
    <row r="3425" spans="1:21" ht="15" customHeight="1" x14ac:dyDescent="0.3">
      <c r="A3425" t="s">
        <v>179</v>
      </c>
      <c r="B3425" t="str">
        <f>"00051881"</f>
        <v>00051881</v>
      </c>
      <c r="C3425" t="s">
        <v>4262</v>
      </c>
      <c r="D3425" t="s">
        <v>2734</v>
      </c>
      <c r="E3425" t="str">
        <f>"00046419"</f>
        <v>00046419</v>
      </c>
      <c r="F3425">
        <v>0</v>
      </c>
      <c r="G3425" s="243">
        <v>35717</v>
      </c>
      <c r="H3425" t="s">
        <v>182</v>
      </c>
      <c r="I3425">
        <v>15</v>
      </c>
      <c r="J3425">
        <v>13</v>
      </c>
      <c r="K3425">
        <v>1</v>
      </c>
      <c r="L3425">
        <v>95366</v>
      </c>
      <c r="M3425" t="str">
        <f t="shared" si="493"/>
        <v>13</v>
      </c>
      <c r="N3425" t="s">
        <v>3323</v>
      </c>
      <c r="O3425" t="str">
        <f t="shared" si="497"/>
        <v>61211</v>
      </c>
      <c r="P3425" t="str">
        <f>"2100L"</f>
        <v>2100L</v>
      </c>
      <c r="Q3425" t="str">
        <f t="shared" si="494"/>
        <v>0101</v>
      </c>
      <c r="R3425">
        <v>2100</v>
      </c>
      <c r="S3425" t="str">
        <f t="shared" si="498"/>
        <v>6120</v>
      </c>
      <c r="T3425" t="s">
        <v>3794</v>
      </c>
      <c r="U3425" t="s">
        <v>131</v>
      </c>
    </row>
    <row r="3426" spans="1:21" ht="15" customHeight="1" x14ac:dyDescent="0.3">
      <c r="A3426" t="s">
        <v>179</v>
      </c>
      <c r="B3426" t="str">
        <f>"00051943"</f>
        <v>00051943</v>
      </c>
      <c r="C3426" t="s">
        <v>4262</v>
      </c>
      <c r="D3426" t="s">
        <v>2487</v>
      </c>
      <c r="E3426" t="str">
        <f>"00046628"</f>
        <v>00046628</v>
      </c>
      <c r="F3426">
        <v>0</v>
      </c>
      <c r="G3426" s="243">
        <v>34213</v>
      </c>
      <c r="H3426" t="s">
        <v>182</v>
      </c>
      <c r="I3426">
        <v>15</v>
      </c>
      <c r="J3426">
        <v>13</v>
      </c>
      <c r="K3426">
        <v>1</v>
      </c>
      <c r="L3426">
        <v>86613</v>
      </c>
      <c r="M3426" t="str">
        <f t="shared" si="493"/>
        <v>13</v>
      </c>
      <c r="N3426" t="s">
        <v>3323</v>
      </c>
      <c r="O3426" t="str">
        <f t="shared" si="497"/>
        <v>61211</v>
      </c>
      <c r="P3426" t="str">
        <f>"2100L"</f>
        <v>2100L</v>
      </c>
      <c r="Q3426" t="str">
        <f t="shared" si="494"/>
        <v>0101</v>
      </c>
      <c r="R3426">
        <v>2100</v>
      </c>
      <c r="S3426" t="str">
        <f t="shared" si="498"/>
        <v>6120</v>
      </c>
      <c r="T3426" t="s">
        <v>3794</v>
      </c>
      <c r="U3426" t="s">
        <v>131</v>
      </c>
    </row>
    <row r="3427" spans="1:21" ht="15" customHeight="1" x14ac:dyDescent="0.3">
      <c r="A3427" t="s">
        <v>179</v>
      </c>
      <c r="B3427" t="str">
        <f>"00052249"</f>
        <v>00052249</v>
      </c>
      <c r="C3427" t="s">
        <v>3798</v>
      </c>
      <c r="D3427" t="s">
        <v>3799</v>
      </c>
      <c r="E3427" t="str">
        <f>"00065422"</f>
        <v>00065422</v>
      </c>
      <c r="F3427">
        <v>0</v>
      </c>
      <c r="G3427" s="243">
        <v>40728</v>
      </c>
      <c r="H3427" t="s">
        <v>182</v>
      </c>
      <c r="I3427">
        <v>64</v>
      </c>
      <c r="J3427">
        <v>7</v>
      </c>
      <c r="K3427">
        <v>1</v>
      </c>
      <c r="L3427">
        <v>137000</v>
      </c>
      <c r="M3427" t="str">
        <f t="shared" si="493"/>
        <v>13</v>
      </c>
      <c r="N3427" t="s">
        <v>3323</v>
      </c>
      <c r="O3427" t="str">
        <f t="shared" si="497"/>
        <v>61211</v>
      </c>
      <c r="P3427" t="str">
        <f>"1501L"</f>
        <v>1501L</v>
      </c>
      <c r="Q3427" t="str">
        <f t="shared" si="494"/>
        <v>0101</v>
      </c>
      <c r="R3427">
        <v>1501</v>
      </c>
      <c r="S3427" t="str">
        <f t="shared" si="498"/>
        <v>6120</v>
      </c>
      <c r="T3427" t="s">
        <v>3794</v>
      </c>
      <c r="U3427" t="s">
        <v>131</v>
      </c>
    </row>
    <row r="3428" spans="1:21" ht="15" customHeight="1" x14ac:dyDescent="0.3">
      <c r="A3428" t="s">
        <v>179</v>
      </c>
      <c r="B3428" t="str">
        <f>"00052758"</f>
        <v>00052758</v>
      </c>
      <c r="C3428" t="s">
        <v>4262</v>
      </c>
      <c r="D3428" t="s">
        <v>2493</v>
      </c>
      <c r="E3428" t="str">
        <f>"00049338"</f>
        <v>00049338</v>
      </c>
      <c r="F3428">
        <v>0</v>
      </c>
      <c r="G3428" s="243">
        <v>36034</v>
      </c>
      <c r="H3428" t="s">
        <v>182</v>
      </c>
      <c r="I3428">
        <v>15</v>
      </c>
      <c r="J3428">
        <v>14</v>
      </c>
      <c r="K3428">
        <v>1</v>
      </c>
      <c r="L3428">
        <v>96460</v>
      </c>
      <c r="M3428" t="str">
        <f t="shared" si="493"/>
        <v>13</v>
      </c>
      <c r="N3428" t="s">
        <v>3323</v>
      </c>
      <c r="O3428" t="str">
        <f t="shared" si="497"/>
        <v>61211</v>
      </c>
      <c r="P3428" t="str">
        <f>"2100L"</f>
        <v>2100L</v>
      </c>
      <c r="Q3428" t="str">
        <f t="shared" si="494"/>
        <v>0101</v>
      </c>
      <c r="R3428">
        <v>2100</v>
      </c>
      <c r="S3428" t="str">
        <f t="shared" si="498"/>
        <v>6120</v>
      </c>
      <c r="T3428" t="s">
        <v>3794</v>
      </c>
      <c r="U3428" t="s">
        <v>131</v>
      </c>
    </row>
    <row r="3429" spans="1:21" ht="15" customHeight="1" x14ac:dyDescent="0.3">
      <c r="A3429" t="s">
        <v>179</v>
      </c>
      <c r="B3429" t="str">
        <f>"00052785"</f>
        <v>00052785</v>
      </c>
      <c r="C3429" t="s">
        <v>4258</v>
      </c>
      <c r="D3429" t="s">
        <v>2736</v>
      </c>
      <c r="E3429" t="str">
        <f>"00049471"</f>
        <v>00049471</v>
      </c>
      <c r="F3429">
        <v>0</v>
      </c>
      <c r="G3429" s="243">
        <v>33848</v>
      </c>
      <c r="H3429" t="s">
        <v>182</v>
      </c>
      <c r="I3429">
        <v>15</v>
      </c>
      <c r="J3429">
        <v>16</v>
      </c>
      <c r="K3429">
        <v>1</v>
      </c>
      <c r="L3429">
        <v>106540</v>
      </c>
      <c r="M3429" t="str">
        <f t="shared" si="493"/>
        <v>13</v>
      </c>
      <c r="N3429" t="s">
        <v>3323</v>
      </c>
      <c r="O3429" t="str">
        <f t="shared" si="497"/>
        <v>61211</v>
      </c>
      <c r="P3429" t="str">
        <f>"2100L"</f>
        <v>2100L</v>
      </c>
      <c r="Q3429" t="str">
        <f t="shared" si="494"/>
        <v>0101</v>
      </c>
      <c r="R3429">
        <v>2100</v>
      </c>
      <c r="S3429" t="str">
        <f t="shared" si="498"/>
        <v>6120</v>
      </c>
      <c r="T3429" t="s">
        <v>3794</v>
      </c>
      <c r="U3429" t="s">
        <v>131</v>
      </c>
    </row>
    <row r="3430" spans="1:21" ht="15" customHeight="1" x14ac:dyDescent="0.3">
      <c r="A3430" t="s">
        <v>179</v>
      </c>
      <c r="B3430" t="str">
        <f>"00052914"</f>
        <v>00052914</v>
      </c>
      <c r="C3430" t="s">
        <v>4255</v>
      </c>
      <c r="D3430" t="s">
        <v>2737</v>
      </c>
      <c r="E3430" t="str">
        <f>"00050084"</f>
        <v>00050084</v>
      </c>
      <c r="F3430">
        <v>0</v>
      </c>
      <c r="G3430" s="243">
        <v>34673</v>
      </c>
      <c r="H3430" t="s">
        <v>182</v>
      </c>
      <c r="I3430">
        <v>15</v>
      </c>
      <c r="J3430">
        <v>16</v>
      </c>
      <c r="K3430">
        <v>1</v>
      </c>
      <c r="L3430">
        <v>103347</v>
      </c>
      <c r="M3430" t="str">
        <f t="shared" si="493"/>
        <v>13</v>
      </c>
      <c r="N3430" t="s">
        <v>3323</v>
      </c>
      <c r="O3430" t="str">
        <f t="shared" si="497"/>
        <v>61211</v>
      </c>
      <c r="P3430" t="str">
        <f>"2100L"</f>
        <v>2100L</v>
      </c>
      <c r="Q3430" t="str">
        <f t="shared" si="494"/>
        <v>0101</v>
      </c>
      <c r="R3430">
        <v>2100</v>
      </c>
      <c r="S3430" t="str">
        <f t="shared" si="498"/>
        <v>6120</v>
      </c>
      <c r="T3430" t="s">
        <v>3794</v>
      </c>
      <c r="U3430" t="s">
        <v>131</v>
      </c>
    </row>
    <row r="3431" spans="1:21" ht="15" customHeight="1" x14ac:dyDescent="0.3">
      <c r="A3431" t="s">
        <v>179</v>
      </c>
      <c r="B3431" t="str">
        <f>"00052936"</f>
        <v>00052936</v>
      </c>
      <c r="C3431" t="s">
        <v>3670</v>
      </c>
      <c r="D3431" t="s">
        <v>3793</v>
      </c>
      <c r="E3431" t="str">
        <f>"00066001"</f>
        <v>00066001</v>
      </c>
      <c r="F3431">
        <v>0</v>
      </c>
      <c r="G3431" s="243">
        <v>40749</v>
      </c>
      <c r="H3431" t="s">
        <v>182</v>
      </c>
      <c r="I3431">
        <v>8</v>
      </c>
      <c r="J3431">
        <v>2</v>
      </c>
      <c r="K3431">
        <v>1</v>
      </c>
      <c r="L3431">
        <v>84746</v>
      </c>
      <c r="M3431" t="str">
        <f t="shared" si="493"/>
        <v>13</v>
      </c>
      <c r="N3431" t="s">
        <v>3323</v>
      </c>
      <c r="O3431" t="str">
        <f t="shared" si="497"/>
        <v>61211</v>
      </c>
      <c r="P3431" t="str">
        <f>"1501L"</f>
        <v>1501L</v>
      </c>
      <c r="Q3431" t="str">
        <f t="shared" si="494"/>
        <v>0101</v>
      </c>
      <c r="R3431">
        <v>1501</v>
      </c>
      <c r="S3431" t="str">
        <f t="shared" si="498"/>
        <v>6120</v>
      </c>
      <c r="T3431" t="s">
        <v>3794</v>
      </c>
      <c r="U3431" t="s">
        <v>131</v>
      </c>
    </row>
    <row r="3432" spans="1:21" ht="15" customHeight="1" x14ac:dyDescent="0.3">
      <c r="A3432" t="s">
        <v>179</v>
      </c>
      <c r="B3432" t="str">
        <f>"00053953"</f>
        <v>00053953</v>
      </c>
      <c r="C3432" t="s">
        <v>4272</v>
      </c>
      <c r="D3432" t="s">
        <v>1953</v>
      </c>
      <c r="E3432" t="str">
        <f>"00052788"</f>
        <v>00052788</v>
      </c>
      <c r="F3432">
        <v>0</v>
      </c>
      <c r="G3432" s="243">
        <v>32468</v>
      </c>
      <c r="H3432" t="s">
        <v>182</v>
      </c>
      <c r="I3432">
        <v>15</v>
      </c>
      <c r="J3432">
        <v>16</v>
      </c>
      <c r="K3432">
        <v>1</v>
      </c>
      <c r="L3432">
        <v>103347</v>
      </c>
      <c r="M3432" t="str">
        <f t="shared" si="493"/>
        <v>13</v>
      </c>
      <c r="N3432" t="s">
        <v>3323</v>
      </c>
      <c r="O3432" t="str">
        <f t="shared" si="497"/>
        <v>61211</v>
      </c>
      <c r="P3432" t="str">
        <f>"2100L"</f>
        <v>2100L</v>
      </c>
      <c r="Q3432" t="str">
        <f t="shared" si="494"/>
        <v>0101</v>
      </c>
      <c r="R3432">
        <v>2100</v>
      </c>
      <c r="S3432" t="str">
        <f t="shared" si="498"/>
        <v>6120</v>
      </c>
      <c r="T3432" t="s">
        <v>3794</v>
      </c>
      <c r="U3432" t="s">
        <v>131</v>
      </c>
    </row>
    <row r="3433" spans="1:21" ht="15" customHeight="1" x14ac:dyDescent="0.3">
      <c r="A3433" t="s">
        <v>179</v>
      </c>
      <c r="B3433" t="str">
        <f>"00054285"</f>
        <v>00054285</v>
      </c>
      <c r="C3433" t="s">
        <v>4341</v>
      </c>
      <c r="H3433" t="s">
        <v>170</v>
      </c>
      <c r="I3433">
        <v>10</v>
      </c>
      <c r="J3433">
        <v>1</v>
      </c>
      <c r="K3433">
        <v>1</v>
      </c>
      <c r="L3433">
        <v>64547</v>
      </c>
      <c r="M3433" t="str">
        <f t="shared" si="493"/>
        <v>13</v>
      </c>
      <c r="N3433" t="s">
        <v>3323</v>
      </c>
      <c r="O3433" t="str">
        <f t="shared" si="497"/>
        <v>61211</v>
      </c>
      <c r="P3433" t="str">
        <f>"3030L"</f>
        <v>3030L</v>
      </c>
      <c r="Q3433" t="str">
        <f t="shared" si="494"/>
        <v>0101</v>
      </c>
      <c r="R3433">
        <v>3030</v>
      </c>
      <c r="S3433" t="str">
        <f t="shared" si="498"/>
        <v>6120</v>
      </c>
      <c r="T3433" t="s">
        <v>3794</v>
      </c>
      <c r="U3433" t="s">
        <v>131</v>
      </c>
    </row>
    <row r="3434" spans="1:21" ht="15" customHeight="1" x14ac:dyDescent="0.3">
      <c r="A3434" t="s">
        <v>179</v>
      </c>
      <c r="B3434" t="str">
        <f>"00054436"</f>
        <v>00054436</v>
      </c>
      <c r="C3434" t="s">
        <v>4254</v>
      </c>
      <c r="D3434" t="s">
        <v>2741</v>
      </c>
      <c r="E3434" t="str">
        <f>"00024673"</f>
        <v>00024673</v>
      </c>
      <c r="F3434">
        <v>1</v>
      </c>
      <c r="G3434" s="243">
        <v>36056</v>
      </c>
      <c r="H3434" t="s">
        <v>182</v>
      </c>
      <c r="I3434">
        <v>15</v>
      </c>
      <c r="J3434">
        <v>15</v>
      </c>
      <c r="K3434">
        <v>1</v>
      </c>
      <c r="L3434">
        <v>100792</v>
      </c>
      <c r="M3434" t="str">
        <f t="shared" si="493"/>
        <v>13</v>
      </c>
      <c r="N3434" t="s">
        <v>3323</v>
      </c>
      <c r="O3434" t="str">
        <f t="shared" si="497"/>
        <v>61211</v>
      </c>
      <c r="P3434" t="str">
        <f>"2100L"</f>
        <v>2100L</v>
      </c>
      <c r="Q3434" t="str">
        <f t="shared" si="494"/>
        <v>0101</v>
      </c>
      <c r="R3434">
        <v>2100</v>
      </c>
      <c r="S3434" t="str">
        <f t="shared" si="498"/>
        <v>6120</v>
      </c>
      <c r="T3434" t="s">
        <v>3794</v>
      </c>
      <c r="U3434" t="s">
        <v>131</v>
      </c>
    </row>
    <row r="3435" spans="1:21" ht="15" customHeight="1" x14ac:dyDescent="0.3">
      <c r="A3435" t="s">
        <v>179</v>
      </c>
      <c r="B3435" t="str">
        <f>"00054659"</f>
        <v>00054659</v>
      </c>
      <c r="C3435" t="s">
        <v>4274</v>
      </c>
      <c r="H3435" t="s">
        <v>170</v>
      </c>
      <c r="I3435">
        <v>4</v>
      </c>
      <c r="J3435">
        <v>1</v>
      </c>
      <c r="K3435">
        <v>0.875</v>
      </c>
      <c r="L3435">
        <v>25662</v>
      </c>
      <c r="M3435" t="str">
        <f t="shared" si="493"/>
        <v>13</v>
      </c>
      <c r="N3435" t="s">
        <v>3323</v>
      </c>
      <c r="O3435" t="str">
        <f t="shared" si="497"/>
        <v>61211</v>
      </c>
      <c r="P3435" t="str">
        <f>"2200L"</f>
        <v>2200L</v>
      </c>
      <c r="Q3435" t="str">
        <f t="shared" si="494"/>
        <v>0101</v>
      </c>
      <c r="R3435">
        <v>2200</v>
      </c>
      <c r="S3435" t="str">
        <f t="shared" si="498"/>
        <v>6120</v>
      </c>
      <c r="T3435" t="s">
        <v>3794</v>
      </c>
      <c r="U3435" t="s">
        <v>131</v>
      </c>
    </row>
    <row r="3436" spans="1:21" ht="15" customHeight="1" x14ac:dyDescent="0.3">
      <c r="A3436" t="s">
        <v>179</v>
      </c>
      <c r="B3436" t="str">
        <f>"00054689"</f>
        <v>00054689</v>
      </c>
      <c r="C3436" t="s">
        <v>4262</v>
      </c>
      <c r="D3436" t="s">
        <v>2742</v>
      </c>
      <c r="E3436" t="str">
        <f>"00054415"</f>
        <v>00054415</v>
      </c>
      <c r="F3436">
        <v>0</v>
      </c>
      <c r="G3436" s="243">
        <v>35675</v>
      </c>
      <c r="H3436" t="s">
        <v>182</v>
      </c>
      <c r="I3436">
        <v>15</v>
      </c>
      <c r="J3436">
        <v>13</v>
      </c>
      <c r="K3436">
        <v>1</v>
      </c>
      <c r="L3436">
        <v>81724</v>
      </c>
      <c r="M3436" t="str">
        <f t="shared" si="493"/>
        <v>13</v>
      </c>
      <c r="N3436" t="s">
        <v>3323</v>
      </c>
      <c r="O3436" t="str">
        <f t="shared" si="497"/>
        <v>61211</v>
      </c>
      <c r="P3436" t="str">
        <f t="shared" ref="P3436:P3441" si="499">"2100L"</f>
        <v>2100L</v>
      </c>
      <c r="Q3436" t="str">
        <f t="shared" si="494"/>
        <v>0101</v>
      </c>
      <c r="R3436">
        <v>2100</v>
      </c>
      <c r="S3436" t="str">
        <f t="shared" si="498"/>
        <v>6120</v>
      </c>
      <c r="T3436" t="s">
        <v>3794</v>
      </c>
      <c r="U3436" t="s">
        <v>131</v>
      </c>
    </row>
    <row r="3437" spans="1:21" ht="15" customHeight="1" x14ac:dyDescent="0.3">
      <c r="A3437" t="s">
        <v>179</v>
      </c>
      <c r="B3437" t="str">
        <f>"00054911"</f>
        <v>00054911</v>
      </c>
      <c r="C3437" t="s">
        <v>4262</v>
      </c>
      <c r="D3437" t="s">
        <v>2500</v>
      </c>
      <c r="E3437" t="str">
        <f>"00054970"</f>
        <v>00054970</v>
      </c>
      <c r="F3437">
        <v>0</v>
      </c>
      <c r="G3437" s="243">
        <v>34581</v>
      </c>
      <c r="H3437" t="s">
        <v>182</v>
      </c>
      <c r="I3437">
        <v>15</v>
      </c>
      <c r="J3437">
        <v>16</v>
      </c>
      <c r="K3437">
        <v>1</v>
      </c>
      <c r="L3437">
        <v>103347</v>
      </c>
      <c r="M3437" t="str">
        <f t="shared" si="493"/>
        <v>13</v>
      </c>
      <c r="N3437" t="s">
        <v>3323</v>
      </c>
      <c r="O3437" t="str">
        <f t="shared" si="497"/>
        <v>61211</v>
      </c>
      <c r="P3437" t="str">
        <f t="shared" si="499"/>
        <v>2100L</v>
      </c>
      <c r="Q3437" t="str">
        <f t="shared" si="494"/>
        <v>0101</v>
      </c>
      <c r="R3437">
        <v>2100</v>
      </c>
      <c r="S3437" t="str">
        <f t="shared" si="498"/>
        <v>6120</v>
      </c>
      <c r="T3437" t="s">
        <v>3794</v>
      </c>
      <c r="U3437" t="s">
        <v>131</v>
      </c>
    </row>
    <row r="3438" spans="1:21" ht="15" customHeight="1" x14ac:dyDescent="0.3">
      <c r="A3438" t="s">
        <v>179</v>
      </c>
      <c r="B3438" t="str">
        <f>"00056955"</f>
        <v>00056955</v>
      </c>
      <c r="C3438" t="s">
        <v>4252</v>
      </c>
      <c r="D3438" t="s">
        <v>2743</v>
      </c>
      <c r="E3438" t="str">
        <f>"00050555"</f>
        <v>00050555</v>
      </c>
      <c r="F3438">
        <v>0</v>
      </c>
      <c r="G3438" s="243">
        <v>36440</v>
      </c>
      <c r="H3438" t="s">
        <v>182</v>
      </c>
      <c r="I3438">
        <v>15</v>
      </c>
      <c r="J3438">
        <v>12</v>
      </c>
      <c r="K3438">
        <v>1</v>
      </c>
      <c r="L3438">
        <v>89887</v>
      </c>
      <c r="M3438" t="str">
        <f t="shared" si="493"/>
        <v>13</v>
      </c>
      <c r="N3438" t="s">
        <v>3323</v>
      </c>
      <c r="O3438" t="str">
        <f t="shared" si="497"/>
        <v>61211</v>
      </c>
      <c r="P3438" t="str">
        <f t="shared" si="499"/>
        <v>2100L</v>
      </c>
      <c r="Q3438" t="str">
        <f t="shared" si="494"/>
        <v>0101</v>
      </c>
      <c r="R3438">
        <v>2100</v>
      </c>
      <c r="S3438" t="str">
        <f t="shared" si="498"/>
        <v>6120</v>
      </c>
      <c r="T3438" t="s">
        <v>3794</v>
      </c>
      <c r="U3438" t="s">
        <v>131</v>
      </c>
    </row>
    <row r="3439" spans="1:21" ht="15" customHeight="1" x14ac:dyDescent="0.3">
      <c r="A3439" t="s">
        <v>179</v>
      </c>
      <c r="B3439" t="str">
        <f>"00057117"</f>
        <v>00057117</v>
      </c>
      <c r="C3439" t="s">
        <v>4262</v>
      </c>
      <c r="D3439" t="s">
        <v>2744</v>
      </c>
      <c r="E3439" t="str">
        <f>"00050151"</f>
        <v>00050151</v>
      </c>
      <c r="F3439">
        <v>0</v>
      </c>
      <c r="G3439" s="243">
        <v>38587</v>
      </c>
      <c r="H3439" t="s">
        <v>182</v>
      </c>
      <c r="I3439">
        <v>15</v>
      </c>
      <c r="J3439">
        <v>9</v>
      </c>
      <c r="K3439">
        <v>1</v>
      </c>
      <c r="L3439">
        <v>75232</v>
      </c>
      <c r="M3439" t="str">
        <f t="shared" si="493"/>
        <v>13</v>
      </c>
      <c r="N3439" t="s">
        <v>3323</v>
      </c>
      <c r="O3439" t="str">
        <f t="shared" si="497"/>
        <v>61211</v>
      </c>
      <c r="P3439" t="str">
        <f t="shared" si="499"/>
        <v>2100L</v>
      </c>
      <c r="Q3439" t="str">
        <f t="shared" si="494"/>
        <v>0101</v>
      </c>
      <c r="R3439">
        <v>2100</v>
      </c>
      <c r="S3439" t="str">
        <f t="shared" si="498"/>
        <v>6120</v>
      </c>
      <c r="T3439" t="s">
        <v>3794</v>
      </c>
      <c r="U3439" t="s">
        <v>131</v>
      </c>
    </row>
    <row r="3440" spans="1:21" ht="15" customHeight="1" x14ac:dyDescent="0.3">
      <c r="A3440" t="s">
        <v>179</v>
      </c>
      <c r="B3440" t="str">
        <f>"00057138"</f>
        <v>00057138</v>
      </c>
      <c r="C3440" t="s">
        <v>4262</v>
      </c>
      <c r="D3440" t="s">
        <v>2745</v>
      </c>
      <c r="E3440" t="str">
        <f>"00053523"</f>
        <v>00053523</v>
      </c>
      <c r="F3440">
        <v>0</v>
      </c>
      <c r="G3440" s="243">
        <v>36390</v>
      </c>
      <c r="H3440" t="s">
        <v>182</v>
      </c>
      <c r="I3440">
        <v>15</v>
      </c>
      <c r="J3440">
        <v>15</v>
      </c>
      <c r="K3440">
        <v>1</v>
      </c>
      <c r="L3440">
        <v>98285</v>
      </c>
      <c r="M3440" t="str">
        <f t="shared" si="493"/>
        <v>13</v>
      </c>
      <c r="N3440" t="s">
        <v>3323</v>
      </c>
      <c r="O3440" t="str">
        <f t="shared" si="497"/>
        <v>61211</v>
      </c>
      <c r="P3440" t="str">
        <f t="shared" si="499"/>
        <v>2100L</v>
      </c>
      <c r="Q3440" t="str">
        <f t="shared" si="494"/>
        <v>0101</v>
      </c>
      <c r="R3440">
        <v>2100</v>
      </c>
      <c r="S3440" t="str">
        <f t="shared" si="498"/>
        <v>6120</v>
      </c>
      <c r="T3440" t="s">
        <v>3794</v>
      </c>
      <c r="U3440" t="s">
        <v>131</v>
      </c>
    </row>
    <row r="3441" spans="1:21" ht="15" customHeight="1" x14ac:dyDescent="0.3">
      <c r="A3441" t="s">
        <v>179</v>
      </c>
      <c r="B3441" t="str">
        <f>"00057156"</f>
        <v>00057156</v>
      </c>
      <c r="C3441" t="s">
        <v>4262</v>
      </c>
      <c r="D3441" t="s">
        <v>3805</v>
      </c>
      <c r="E3441" t="str">
        <f>"00064397"</f>
        <v>00064397</v>
      </c>
      <c r="F3441">
        <v>0</v>
      </c>
      <c r="G3441" s="243">
        <v>40547</v>
      </c>
      <c r="H3441" t="s">
        <v>182</v>
      </c>
      <c r="I3441">
        <v>15</v>
      </c>
      <c r="J3441">
        <v>2</v>
      </c>
      <c r="K3441">
        <v>1</v>
      </c>
      <c r="L3441">
        <v>56242</v>
      </c>
      <c r="M3441" t="str">
        <f t="shared" si="493"/>
        <v>13</v>
      </c>
      <c r="N3441" t="s">
        <v>3323</v>
      </c>
      <c r="O3441" t="str">
        <f t="shared" si="497"/>
        <v>61211</v>
      </c>
      <c r="P3441" t="str">
        <f t="shared" si="499"/>
        <v>2100L</v>
      </c>
      <c r="Q3441" t="str">
        <f t="shared" si="494"/>
        <v>0101</v>
      </c>
      <c r="R3441">
        <v>2100</v>
      </c>
      <c r="S3441" t="str">
        <f t="shared" si="498"/>
        <v>6120</v>
      </c>
      <c r="T3441" t="s">
        <v>3794</v>
      </c>
      <c r="U3441" t="s">
        <v>131</v>
      </c>
    </row>
    <row r="3442" spans="1:21" ht="15" customHeight="1" x14ac:dyDescent="0.3">
      <c r="A3442" t="s">
        <v>179</v>
      </c>
      <c r="B3442" t="str">
        <f>"00057558"</f>
        <v>00057558</v>
      </c>
      <c r="C3442" t="s">
        <v>4262</v>
      </c>
      <c r="H3442" t="s">
        <v>170</v>
      </c>
      <c r="I3442">
        <v>15</v>
      </c>
      <c r="J3442">
        <v>1</v>
      </c>
      <c r="K3442">
        <v>1</v>
      </c>
      <c r="L3442">
        <v>54975</v>
      </c>
      <c r="M3442" t="str">
        <f t="shared" si="493"/>
        <v>13</v>
      </c>
      <c r="N3442" t="s">
        <v>3323</v>
      </c>
      <c r="O3442" t="str">
        <f t="shared" si="497"/>
        <v>61211</v>
      </c>
      <c r="P3442" t="str">
        <f t="shared" ref="P3442:P3456" si="500">"2100L"</f>
        <v>2100L</v>
      </c>
      <c r="Q3442" t="str">
        <f t="shared" si="494"/>
        <v>0101</v>
      </c>
      <c r="R3442">
        <v>2100</v>
      </c>
      <c r="S3442" t="str">
        <f t="shared" si="498"/>
        <v>6120</v>
      </c>
      <c r="T3442" t="s">
        <v>3794</v>
      </c>
      <c r="U3442" t="s">
        <v>131</v>
      </c>
    </row>
    <row r="3443" spans="1:21" ht="15" customHeight="1" x14ac:dyDescent="0.3">
      <c r="A3443" t="s">
        <v>179</v>
      </c>
      <c r="B3443" t="str">
        <f>"00057717"</f>
        <v>00057717</v>
      </c>
      <c r="C3443" t="s">
        <v>4262</v>
      </c>
      <c r="D3443" t="s">
        <v>2747</v>
      </c>
      <c r="E3443" t="str">
        <f>"00048369"</f>
        <v>00048369</v>
      </c>
      <c r="F3443">
        <v>0</v>
      </c>
      <c r="G3443" s="243">
        <v>38587</v>
      </c>
      <c r="H3443" t="s">
        <v>182</v>
      </c>
      <c r="I3443">
        <v>15</v>
      </c>
      <c r="J3443">
        <v>8</v>
      </c>
      <c r="K3443">
        <v>1</v>
      </c>
      <c r="L3443">
        <v>74640</v>
      </c>
      <c r="M3443" t="str">
        <f t="shared" si="493"/>
        <v>13</v>
      </c>
      <c r="N3443" t="s">
        <v>3323</v>
      </c>
      <c r="O3443" t="str">
        <f t="shared" si="497"/>
        <v>61211</v>
      </c>
      <c r="P3443" t="str">
        <f t="shared" si="500"/>
        <v>2100L</v>
      </c>
      <c r="Q3443" t="str">
        <f t="shared" si="494"/>
        <v>0101</v>
      </c>
      <c r="R3443">
        <v>2100</v>
      </c>
      <c r="S3443" t="str">
        <f t="shared" si="498"/>
        <v>6120</v>
      </c>
      <c r="T3443" t="s">
        <v>3794</v>
      </c>
      <c r="U3443" t="s">
        <v>131</v>
      </c>
    </row>
    <row r="3444" spans="1:21" ht="15" customHeight="1" x14ac:dyDescent="0.3">
      <c r="A3444" t="s">
        <v>179</v>
      </c>
      <c r="B3444" t="str">
        <f>"00057855"</f>
        <v>00057855</v>
      </c>
      <c r="C3444" t="s">
        <v>4257</v>
      </c>
      <c r="D3444" t="s">
        <v>1048</v>
      </c>
      <c r="E3444" t="str">
        <f>"00057001"</f>
        <v>00057001</v>
      </c>
      <c r="F3444">
        <v>0</v>
      </c>
      <c r="G3444" s="243">
        <v>40042</v>
      </c>
      <c r="H3444" t="s">
        <v>182</v>
      </c>
      <c r="I3444">
        <v>15</v>
      </c>
      <c r="J3444">
        <v>11</v>
      </c>
      <c r="K3444">
        <v>1</v>
      </c>
      <c r="L3444">
        <v>81335</v>
      </c>
      <c r="M3444" t="str">
        <f t="shared" si="493"/>
        <v>13</v>
      </c>
      <c r="N3444" t="s">
        <v>3370</v>
      </c>
      <c r="O3444" t="str">
        <f t="shared" si="497"/>
        <v>61211</v>
      </c>
      <c r="P3444" t="str">
        <f t="shared" si="500"/>
        <v>2100L</v>
      </c>
      <c r="Q3444" t="str">
        <f t="shared" si="494"/>
        <v>0101</v>
      </c>
      <c r="R3444">
        <v>2100</v>
      </c>
      <c r="S3444" t="str">
        <f t="shared" si="498"/>
        <v>6120</v>
      </c>
      <c r="T3444" t="s">
        <v>3794</v>
      </c>
      <c r="U3444" t="s">
        <v>131</v>
      </c>
    </row>
    <row r="3445" spans="1:21" ht="15" customHeight="1" x14ac:dyDescent="0.3">
      <c r="A3445" t="s">
        <v>179</v>
      </c>
      <c r="B3445" t="str">
        <f>"00057977"</f>
        <v>00057977</v>
      </c>
      <c r="C3445" t="s">
        <v>4262</v>
      </c>
      <c r="D3445" t="s">
        <v>2748</v>
      </c>
      <c r="E3445" t="str">
        <f>"00044529"</f>
        <v>00044529</v>
      </c>
      <c r="F3445">
        <v>0</v>
      </c>
      <c r="G3445" s="243">
        <v>37854</v>
      </c>
      <c r="H3445" t="s">
        <v>182</v>
      </c>
      <c r="I3445">
        <v>15</v>
      </c>
      <c r="J3445">
        <v>11</v>
      </c>
      <c r="K3445">
        <v>1</v>
      </c>
      <c r="L3445">
        <v>70891</v>
      </c>
      <c r="M3445" t="str">
        <f t="shared" si="493"/>
        <v>13</v>
      </c>
      <c r="N3445" t="s">
        <v>3323</v>
      </c>
      <c r="O3445" t="str">
        <f t="shared" si="497"/>
        <v>61211</v>
      </c>
      <c r="P3445" t="str">
        <f t="shared" si="500"/>
        <v>2100L</v>
      </c>
      <c r="Q3445" t="str">
        <f t="shared" si="494"/>
        <v>0101</v>
      </c>
      <c r="R3445">
        <v>2100</v>
      </c>
      <c r="S3445" t="str">
        <f t="shared" si="498"/>
        <v>6120</v>
      </c>
      <c r="T3445" t="s">
        <v>3794</v>
      </c>
      <c r="U3445" t="s">
        <v>131</v>
      </c>
    </row>
    <row r="3446" spans="1:21" ht="15" customHeight="1" x14ac:dyDescent="0.3">
      <c r="A3446" t="s">
        <v>179</v>
      </c>
      <c r="B3446" t="str">
        <f>"00058053"</f>
        <v>00058053</v>
      </c>
      <c r="C3446" t="s">
        <v>4262</v>
      </c>
      <c r="D3446" t="s">
        <v>3804</v>
      </c>
      <c r="E3446" t="str">
        <f>"00046886"</f>
        <v>00046886</v>
      </c>
      <c r="F3446">
        <v>0</v>
      </c>
      <c r="G3446" s="243">
        <v>37124</v>
      </c>
      <c r="H3446" t="s">
        <v>182</v>
      </c>
      <c r="I3446">
        <v>15</v>
      </c>
      <c r="J3446">
        <v>12</v>
      </c>
      <c r="K3446">
        <v>1</v>
      </c>
      <c r="L3446">
        <v>75816</v>
      </c>
      <c r="M3446" t="str">
        <f t="shared" si="493"/>
        <v>13</v>
      </c>
      <c r="N3446" t="s">
        <v>3323</v>
      </c>
      <c r="O3446" t="str">
        <f t="shared" si="497"/>
        <v>61211</v>
      </c>
      <c r="P3446" t="str">
        <f t="shared" si="500"/>
        <v>2100L</v>
      </c>
      <c r="Q3446" t="str">
        <f t="shared" si="494"/>
        <v>0101</v>
      </c>
      <c r="R3446">
        <v>2100</v>
      </c>
      <c r="S3446" t="str">
        <f t="shared" si="498"/>
        <v>6120</v>
      </c>
      <c r="T3446" t="s">
        <v>3794</v>
      </c>
      <c r="U3446" t="s">
        <v>131</v>
      </c>
    </row>
    <row r="3447" spans="1:21" ht="15" customHeight="1" x14ac:dyDescent="0.3">
      <c r="A3447" t="s">
        <v>179</v>
      </c>
      <c r="B3447" t="str">
        <f>"00058164"</f>
        <v>00058164</v>
      </c>
      <c r="C3447" t="s">
        <v>4262</v>
      </c>
      <c r="D3447" t="s">
        <v>2749</v>
      </c>
      <c r="E3447" t="str">
        <f>"00053702"</f>
        <v>00053702</v>
      </c>
      <c r="F3447">
        <v>0</v>
      </c>
      <c r="G3447" s="243">
        <v>36768</v>
      </c>
      <c r="H3447" t="s">
        <v>182</v>
      </c>
      <c r="I3447">
        <v>15</v>
      </c>
      <c r="J3447">
        <v>12</v>
      </c>
      <c r="K3447">
        <v>1</v>
      </c>
      <c r="L3447">
        <v>87431</v>
      </c>
      <c r="M3447" t="str">
        <f t="shared" si="493"/>
        <v>13</v>
      </c>
      <c r="N3447" t="s">
        <v>3323</v>
      </c>
      <c r="O3447" t="str">
        <f t="shared" si="497"/>
        <v>61211</v>
      </c>
      <c r="P3447" t="str">
        <f t="shared" si="500"/>
        <v>2100L</v>
      </c>
      <c r="Q3447" t="str">
        <f t="shared" si="494"/>
        <v>0101</v>
      </c>
      <c r="R3447">
        <v>2100</v>
      </c>
      <c r="S3447" t="str">
        <f t="shared" si="498"/>
        <v>6120</v>
      </c>
      <c r="T3447" t="s">
        <v>3794</v>
      </c>
      <c r="U3447" t="s">
        <v>131</v>
      </c>
    </row>
    <row r="3448" spans="1:21" ht="15" customHeight="1" x14ac:dyDescent="0.3">
      <c r="A3448" t="s">
        <v>179</v>
      </c>
      <c r="B3448" t="str">
        <f>"00058655"</f>
        <v>00058655</v>
      </c>
      <c r="C3448" t="s">
        <v>4272</v>
      </c>
      <c r="D3448" t="s">
        <v>2750</v>
      </c>
      <c r="E3448" t="str">
        <f>"00031759"</f>
        <v>00031759</v>
      </c>
      <c r="F3448">
        <v>1</v>
      </c>
      <c r="G3448" s="243">
        <v>37138</v>
      </c>
      <c r="H3448" t="s">
        <v>182</v>
      </c>
      <c r="I3448">
        <v>15</v>
      </c>
      <c r="J3448">
        <v>15</v>
      </c>
      <c r="K3448">
        <v>1</v>
      </c>
      <c r="L3448">
        <v>98285</v>
      </c>
      <c r="M3448" t="str">
        <f t="shared" si="493"/>
        <v>13</v>
      </c>
      <c r="N3448" t="s">
        <v>3323</v>
      </c>
      <c r="O3448" t="str">
        <f t="shared" si="497"/>
        <v>61211</v>
      </c>
      <c r="P3448" t="str">
        <f t="shared" si="500"/>
        <v>2100L</v>
      </c>
      <c r="Q3448" t="str">
        <f t="shared" si="494"/>
        <v>0101</v>
      </c>
      <c r="R3448">
        <v>2100</v>
      </c>
      <c r="S3448" t="str">
        <f t="shared" si="498"/>
        <v>6120</v>
      </c>
      <c r="T3448" t="s">
        <v>3794</v>
      </c>
      <c r="U3448" t="s">
        <v>131</v>
      </c>
    </row>
    <row r="3449" spans="1:21" ht="15" customHeight="1" x14ac:dyDescent="0.3">
      <c r="A3449" t="s">
        <v>179</v>
      </c>
      <c r="B3449" t="str">
        <f>"00059143"</f>
        <v>00059143</v>
      </c>
      <c r="C3449" t="s">
        <v>4260</v>
      </c>
      <c r="D3449" t="s">
        <v>2751</v>
      </c>
      <c r="E3449" t="str">
        <f>"00050154"</f>
        <v>00050154</v>
      </c>
      <c r="F3449">
        <v>0</v>
      </c>
      <c r="G3449" s="243">
        <v>34029</v>
      </c>
      <c r="H3449" t="s">
        <v>182</v>
      </c>
      <c r="I3449">
        <v>15</v>
      </c>
      <c r="J3449">
        <v>13</v>
      </c>
      <c r="K3449">
        <v>1</v>
      </c>
      <c r="L3449">
        <v>95366</v>
      </c>
      <c r="M3449" t="str">
        <f t="shared" si="493"/>
        <v>13</v>
      </c>
      <c r="N3449" t="s">
        <v>3323</v>
      </c>
      <c r="O3449" t="str">
        <f t="shared" si="497"/>
        <v>61211</v>
      </c>
      <c r="P3449" t="str">
        <f t="shared" si="500"/>
        <v>2100L</v>
      </c>
      <c r="Q3449" t="str">
        <f t="shared" si="494"/>
        <v>0101</v>
      </c>
      <c r="R3449">
        <v>2100</v>
      </c>
      <c r="S3449" t="str">
        <f t="shared" si="498"/>
        <v>6120</v>
      </c>
      <c r="T3449" t="s">
        <v>3794</v>
      </c>
      <c r="U3449" t="s">
        <v>131</v>
      </c>
    </row>
    <row r="3450" spans="1:21" ht="15" customHeight="1" x14ac:dyDescent="0.3">
      <c r="A3450" t="s">
        <v>179</v>
      </c>
      <c r="B3450" t="str">
        <f>"00059196"</f>
        <v>00059196</v>
      </c>
      <c r="C3450" t="s">
        <v>4262</v>
      </c>
      <c r="D3450" t="s">
        <v>2752</v>
      </c>
      <c r="E3450" t="str">
        <f>"00050521"</f>
        <v>00050521</v>
      </c>
      <c r="F3450">
        <v>0</v>
      </c>
      <c r="G3450" s="243">
        <v>38587</v>
      </c>
      <c r="H3450" t="s">
        <v>182</v>
      </c>
      <c r="I3450">
        <v>15</v>
      </c>
      <c r="J3450">
        <v>12</v>
      </c>
      <c r="K3450">
        <v>1</v>
      </c>
      <c r="L3450">
        <v>87431</v>
      </c>
      <c r="M3450" t="str">
        <f t="shared" si="493"/>
        <v>13</v>
      </c>
      <c r="N3450" t="s">
        <v>3323</v>
      </c>
      <c r="O3450" t="str">
        <f t="shared" ref="O3450:O3471" si="501">"61211"</f>
        <v>61211</v>
      </c>
      <c r="P3450" t="str">
        <f t="shared" si="500"/>
        <v>2100L</v>
      </c>
      <c r="Q3450" t="str">
        <f t="shared" si="494"/>
        <v>0101</v>
      </c>
      <c r="R3450">
        <v>2100</v>
      </c>
      <c r="S3450" t="str">
        <f t="shared" ref="S3450:S3471" si="502">"6120"</f>
        <v>6120</v>
      </c>
      <c r="T3450" t="s">
        <v>3794</v>
      </c>
      <c r="U3450" t="s">
        <v>131</v>
      </c>
    </row>
    <row r="3451" spans="1:21" ht="15" customHeight="1" x14ac:dyDescent="0.3">
      <c r="A3451" t="s">
        <v>179</v>
      </c>
      <c r="B3451" t="str">
        <f>"00059321"</f>
        <v>00059321</v>
      </c>
      <c r="C3451" t="s">
        <v>4272</v>
      </c>
      <c r="D3451" t="s">
        <v>2753</v>
      </c>
      <c r="E3451" t="str">
        <f>"00049432"</f>
        <v>00049432</v>
      </c>
      <c r="F3451">
        <v>0</v>
      </c>
      <c r="G3451" s="243">
        <v>37861</v>
      </c>
      <c r="H3451" t="s">
        <v>182</v>
      </c>
      <c r="I3451">
        <v>15</v>
      </c>
      <c r="J3451">
        <v>10</v>
      </c>
      <c r="K3451">
        <v>1</v>
      </c>
      <c r="L3451">
        <v>68431</v>
      </c>
      <c r="M3451" t="str">
        <f t="shared" si="493"/>
        <v>13</v>
      </c>
      <c r="N3451" t="s">
        <v>3323</v>
      </c>
      <c r="O3451" t="str">
        <f t="shared" si="501"/>
        <v>61211</v>
      </c>
      <c r="P3451" t="str">
        <f t="shared" si="500"/>
        <v>2100L</v>
      </c>
      <c r="Q3451" t="str">
        <f t="shared" si="494"/>
        <v>0101</v>
      </c>
      <c r="R3451">
        <v>2100</v>
      </c>
      <c r="S3451" t="str">
        <f t="shared" si="502"/>
        <v>6120</v>
      </c>
      <c r="T3451" t="s">
        <v>3794</v>
      </c>
      <c r="U3451" t="s">
        <v>131</v>
      </c>
    </row>
    <row r="3452" spans="1:21" ht="15" customHeight="1" x14ac:dyDescent="0.3">
      <c r="A3452" t="s">
        <v>179</v>
      </c>
      <c r="B3452" t="str">
        <f>"00060352"</f>
        <v>00060352</v>
      </c>
      <c r="C3452" t="s">
        <v>4256</v>
      </c>
      <c r="D3452" t="s">
        <v>3797</v>
      </c>
      <c r="E3452" t="str">
        <f>"00066041"</f>
        <v>00066041</v>
      </c>
      <c r="F3452">
        <v>0</v>
      </c>
      <c r="G3452" s="243">
        <v>40755</v>
      </c>
      <c r="H3452" t="s">
        <v>182</v>
      </c>
      <c r="I3452">
        <v>15</v>
      </c>
      <c r="J3452">
        <v>11</v>
      </c>
      <c r="K3452">
        <v>1</v>
      </c>
      <c r="L3452">
        <v>81335</v>
      </c>
      <c r="M3452" t="str">
        <f t="shared" si="493"/>
        <v>13</v>
      </c>
      <c r="N3452" t="s">
        <v>3323</v>
      </c>
      <c r="O3452" t="str">
        <f t="shared" si="501"/>
        <v>61211</v>
      </c>
      <c r="P3452" t="str">
        <f t="shared" si="500"/>
        <v>2100L</v>
      </c>
      <c r="Q3452" t="str">
        <f t="shared" si="494"/>
        <v>0101</v>
      </c>
      <c r="R3452">
        <v>2100</v>
      </c>
      <c r="S3452" t="str">
        <f t="shared" si="502"/>
        <v>6120</v>
      </c>
      <c r="T3452" t="s">
        <v>3794</v>
      </c>
      <c r="U3452" t="s">
        <v>131</v>
      </c>
    </row>
    <row r="3453" spans="1:21" ht="15" customHeight="1" x14ac:dyDescent="0.3">
      <c r="A3453" t="s">
        <v>179</v>
      </c>
      <c r="B3453" t="str">
        <f>"00060444"</f>
        <v>00060444</v>
      </c>
      <c r="C3453" t="s">
        <v>4262</v>
      </c>
      <c r="D3453" t="s">
        <v>2755</v>
      </c>
      <c r="E3453" t="str">
        <f>"00044861"</f>
        <v>00044861</v>
      </c>
      <c r="F3453">
        <v>0</v>
      </c>
      <c r="G3453" s="243">
        <v>38587</v>
      </c>
      <c r="H3453" t="s">
        <v>182</v>
      </c>
      <c r="I3453">
        <v>15</v>
      </c>
      <c r="J3453">
        <v>8</v>
      </c>
      <c r="K3453">
        <v>1</v>
      </c>
      <c r="L3453">
        <v>72171</v>
      </c>
      <c r="M3453" t="str">
        <f t="shared" si="493"/>
        <v>13</v>
      </c>
      <c r="N3453" t="s">
        <v>3323</v>
      </c>
      <c r="O3453" t="str">
        <f t="shared" si="501"/>
        <v>61211</v>
      </c>
      <c r="P3453" t="str">
        <f t="shared" si="500"/>
        <v>2100L</v>
      </c>
      <c r="Q3453" t="str">
        <f t="shared" si="494"/>
        <v>0101</v>
      </c>
      <c r="R3453">
        <v>2100</v>
      </c>
      <c r="S3453" t="str">
        <f t="shared" si="502"/>
        <v>6120</v>
      </c>
      <c r="T3453" t="s">
        <v>3794</v>
      </c>
      <c r="U3453" t="s">
        <v>131</v>
      </c>
    </row>
    <row r="3454" spans="1:21" ht="15" customHeight="1" x14ac:dyDescent="0.3">
      <c r="A3454" t="s">
        <v>179</v>
      </c>
      <c r="B3454" t="str">
        <f>"00061397"</f>
        <v>00061397</v>
      </c>
      <c r="C3454" t="s">
        <v>4262</v>
      </c>
      <c r="D3454" t="s">
        <v>5357</v>
      </c>
      <c r="E3454" t="str">
        <f>"00069535"</f>
        <v>00069535</v>
      </c>
      <c r="F3454">
        <v>0</v>
      </c>
      <c r="G3454" s="243">
        <v>41133</v>
      </c>
      <c r="H3454" t="s">
        <v>182</v>
      </c>
      <c r="I3454">
        <v>15</v>
      </c>
      <c r="J3454">
        <v>7</v>
      </c>
      <c r="K3454">
        <v>1</v>
      </c>
      <c r="L3454">
        <v>69132</v>
      </c>
      <c r="M3454" t="str">
        <f t="shared" si="493"/>
        <v>13</v>
      </c>
      <c r="N3454" t="s">
        <v>3370</v>
      </c>
      <c r="O3454" t="str">
        <f t="shared" si="501"/>
        <v>61211</v>
      </c>
      <c r="P3454" t="str">
        <f t="shared" si="500"/>
        <v>2100L</v>
      </c>
      <c r="Q3454" t="str">
        <f t="shared" si="494"/>
        <v>0101</v>
      </c>
      <c r="R3454">
        <v>2100</v>
      </c>
      <c r="S3454" t="str">
        <f t="shared" si="502"/>
        <v>6120</v>
      </c>
      <c r="T3454" t="s">
        <v>3794</v>
      </c>
      <c r="U3454" t="s">
        <v>131</v>
      </c>
    </row>
    <row r="3455" spans="1:21" ht="15" customHeight="1" x14ac:dyDescent="0.3">
      <c r="A3455" t="s">
        <v>179</v>
      </c>
      <c r="B3455" t="str">
        <f>"00061547"</f>
        <v>00061547</v>
      </c>
      <c r="C3455" t="s">
        <v>4262</v>
      </c>
      <c r="D3455" t="s">
        <v>2507</v>
      </c>
      <c r="E3455" t="str">
        <f>"00045616"</f>
        <v>00045616</v>
      </c>
      <c r="F3455">
        <v>0</v>
      </c>
      <c r="G3455" s="243">
        <v>39331</v>
      </c>
      <c r="H3455" t="s">
        <v>182</v>
      </c>
      <c r="I3455">
        <v>15</v>
      </c>
      <c r="J3455">
        <v>11</v>
      </c>
      <c r="K3455">
        <v>1</v>
      </c>
      <c r="L3455">
        <v>73325</v>
      </c>
      <c r="M3455" t="str">
        <f t="shared" si="493"/>
        <v>13</v>
      </c>
      <c r="N3455" t="s">
        <v>3323</v>
      </c>
      <c r="O3455" t="str">
        <f t="shared" si="501"/>
        <v>61211</v>
      </c>
      <c r="P3455" t="str">
        <f t="shared" si="500"/>
        <v>2100L</v>
      </c>
      <c r="Q3455" t="str">
        <f t="shared" si="494"/>
        <v>0101</v>
      </c>
      <c r="R3455">
        <v>2100</v>
      </c>
      <c r="S3455" t="str">
        <f t="shared" si="502"/>
        <v>6120</v>
      </c>
      <c r="T3455" t="s">
        <v>3794</v>
      </c>
      <c r="U3455" t="s">
        <v>131</v>
      </c>
    </row>
    <row r="3456" spans="1:21" ht="15" customHeight="1" x14ac:dyDescent="0.3">
      <c r="A3456" t="s">
        <v>179</v>
      </c>
      <c r="B3456" t="str">
        <f>"00066300"</f>
        <v>00066300</v>
      </c>
      <c r="C3456" t="s">
        <v>4259</v>
      </c>
      <c r="D3456" t="s">
        <v>3796</v>
      </c>
      <c r="E3456" t="str">
        <f>"00065586"</f>
        <v>00065586</v>
      </c>
      <c r="F3456">
        <v>0</v>
      </c>
      <c r="G3456" s="243">
        <v>40755</v>
      </c>
      <c r="H3456" t="s">
        <v>182</v>
      </c>
      <c r="I3456">
        <v>15</v>
      </c>
      <c r="J3456">
        <v>8</v>
      </c>
      <c r="K3456">
        <v>1</v>
      </c>
      <c r="L3456">
        <v>72171</v>
      </c>
      <c r="M3456" t="str">
        <f t="shared" si="493"/>
        <v>13</v>
      </c>
      <c r="N3456" t="s">
        <v>3323</v>
      </c>
      <c r="O3456" t="str">
        <f t="shared" si="501"/>
        <v>61211</v>
      </c>
      <c r="P3456" t="str">
        <f t="shared" si="500"/>
        <v>2100L</v>
      </c>
      <c r="Q3456" t="str">
        <f t="shared" si="494"/>
        <v>0101</v>
      </c>
      <c r="R3456">
        <v>2100</v>
      </c>
      <c r="S3456" t="str">
        <f t="shared" si="502"/>
        <v>6120</v>
      </c>
      <c r="T3456" t="s">
        <v>3794</v>
      </c>
      <c r="U3456" t="s">
        <v>131</v>
      </c>
    </row>
    <row r="3457" spans="1:21" ht="15" customHeight="1" x14ac:dyDescent="0.3">
      <c r="A3457" t="s">
        <v>179</v>
      </c>
      <c r="B3457" t="str">
        <f>"00066443"</f>
        <v>00066443</v>
      </c>
      <c r="C3457" t="s">
        <v>4260</v>
      </c>
      <c r="D3457" t="s">
        <v>2757</v>
      </c>
      <c r="E3457" t="str">
        <f>"00045951"</f>
        <v>00045951</v>
      </c>
      <c r="F3457">
        <v>0</v>
      </c>
      <c r="G3457" s="243">
        <v>40042</v>
      </c>
      <c r="H3457" t="s">
        <v>182</v>
      </c>
      <c r="I3457">
        <v>15</v>
      </c>
      <c r="J3457">
        <v>4</v>
      </c>
      <c r="K3457">
        <v>1</v>
      </c>
      <c r="L3457">
        <v>54725</v>
      </c>
      <c r="M3457" t="str">
        <f t="shared" si="493"/>
        <v>13</v>
      </c>
      <c r="N3457" t="s">
        <v>3323</v>
      </c>
      <c r="O3457" t="str">
        <f t="shared" si="501"/>
        <v>61211</v>
      </c>
      <c r="P3457" t="str">
        <f>"3030L"</f>
        <v>3030L</v>
      </c>
      <c r="Q3457" t="str">
        <f t="shared" si="494"/>
        <v>0101</v>
      </c>
      <c r="R3457">
        <v>3030</v>
      </c>
      <c r="S3457" t="str">
        <f t="shared" si="502"/>
        <v>6120</v>
      </c>
      <c r="T3457" t="s">
        <v>3794</v>
      </c>
      <c r="U3457" t="s">
        <v>131</v>
      </c>
    </row>
    <row r="3458" spans="1:21" ht="15" customHeight="1" x14ac:dyDescent="0.3">
      <c r="A3458" t="s">
        <v>179</v>
      </c>
      <c r="B3458" t="str">
        <f>"00066444"</f>
        <v>00066444</v>
      </c>
      <c r="C3458" t="s">
        <v>4262</v>
      </c>
      <c r="D3458" t="s">
        <v>5358</v>
      </c>
      <c r="E3458" t="str">
        <f>"00069512"</f>
        <v>00069512</v>
      </c>
      <c r="F3458">
        <v>0</v>
      </c>
      <c r="G3458" s="243">
        <v>41133</v>
      </c>
      <c r="H3458" t="s">
        <v>182</v>
      </c>
      <c r="I3458">
        <v>15</v>
      </c>
      <c r="J3458">
        <v>1</v>
      </c>
      <c r="K3458">
        <v>1</v>
      </c>
      <c r="L3458">
        <v>54975</v>
      </c>
      <c r="M3458" t="str">
        <f t="shared" si="493"/>
        <v>13</v>
      </c>
      <c r="N3458" t="s">
        <v>3370</v>
      </c>
      <c r="O3458" t="str">
        <f t="shared" si="501"/>
        <v>61211</v>
      </c>
      <c r="P3458" t="str">
        <f>"2100L"</f>
        <v>2100L</v>
      </c>
      <c r="Q3458" t="str">
        <f t="shared" si="494"/>
        <v>0101</v>
      </c>
      <c r="R3458">
        <v>2100</v>
      </c>
      <c r="S3458" t="str">
        <f t="shared" si="502"/>
        <v>6120</v>
      </c>
      <c r="T3458" t="s">
        <v>3794</v>
      </c>
      <c r="U3458" t="s">
        <v>131</v>
      </c>
    </row>
    <row r="3459" spans="1:21" ht="15" customHeight="1" x14ac:dyDescent="0.3">
      <c r="A3459" t="s">
        <v>179</v>
      </c>
      <c r="B3459" t="str">
        <f>"00066445"</f>
        <v>00066445</v>
      </c>
      <c r="C3459" t="s">
        <v>4262</v>
      </c>
      <c r="D3459" t="s">
        <v>2758</v>
      </c>
      <c r="E3459" t="str">
        <f>"00058015"</f>
        <v>00058015</v>
      </c>
      <c r="F3459">
        <v>0</v>
      </c>
      <c r="G3459" s="243">
        <v>40042</v>
      </c>
      <c r="H3459" t="s">
        <v>182</v>
      </c>
      <c r="I3459">
        <v>15</v>
      </c>
      <c r="J3459">
        <v>4</v>
      </c>
      <c r="K3459">
        <v>1</v>
      </c>
      <c r="L3459">
        <v>54725</v>
      </c>
      <c r="M3459" t="str">
        <f t="shared" si="493"/>
        <v>13</v>
      </c>
      <c r="N3459" t="s">
        <v>3323</v>
      </c>
      <c r="O3459" t="str">
        <f t="shared" si="501"/>
        <v>61211</v>
      </c>
      <c r="P3459" t="str">
        <f>"2100L"</f>
        <v>2100L</v>
      </c>
      <c r="Q3459" t="str">
        <f t="shared" si="494"/>
        <v>0101</v>
      </c>
      <c r="R3459">
        <v>2100</v>
      </c>
      <c r="S3459" t="str">
        <f t="shared" si="502"/>
        <v>6120</v>
      </c>
      <c r="T3459" t="s">
        <v>3794</v>
      </c>
      <c r="U3459" t="s">
        <v>131</v>
      </c>
    </row>
    <row r="3460" spans="1:21" ht="15" customHeight="1" x14ac:dyDescent="0.3">
      <c r="A3460" t="s">
        <v>179</v>
      </c>
      <c r="B3460" t="str">
        <f>"00066447"</f>
        <v>00066447</v>
      </c>
      <c r="C3460" t="s">
        <v>4262</v>
      </c>
      <c r="D3460" t="s">
        <v>5359</v>
      </c>
      <c r="E3460" t="str">
        <f>"00069778"</f>
        <v>00069778</v>
      </c>
      <c r="F3460">
        <v>0</v>
      </c>
      <c r="G3460" s="243">
        <v>41133</v>
      </c>
      <c r="H3460" t="s">
        <v>182</v>
      </c>
      <c r="I3460">
        <v>15</v>
      </c>
      <c r="J3460">
        <v>3</v>
      </c>
      <c r="K3460">
        <v>1</v>
      </c>
      <c r="L3460">
        <v>58699</v>
      </c>
      <c r="M3460" t="str">
        <f t="shared" ref="M3460:M3514" si="503">"13"</f>
        <v>13</v>
      </c>
      <c r="N3460" t="s">
        <v>3370</v>
      </c>
      <c r="O3460" t="str">
        <f t="shared" si="501"/>
        <v>61211</v>
      </c>
      <c r="P3460" t="str">
        <f>"2100L"</f>
        <v>2100L</v>
      </c>
      <c r="Q3460" t="str">
        <f t="shared" si="494"/>
        <v>0101</v>
      </c>
      <c r="R3460">
        <v>2100</v>
      </c>
      <c r="S3460" t="str">
        <f t="shared" si="502"/>
        <v>6120</v>
      </c>
      <c r="T3460" t="s">
        <v>3794</v>
      </c>
      <c r="U3460" t="s">
        <v>131</v>
      </c>
    </row>
    <row r="3461" spans="1:21" ht="15" customHeight="1" x14ac:dyDescent="0.3">
      <c r="A3461" t="s">
        <v>179</v>
      </c>
      <c r="B3461" t="str">
        <f>"00066958"</f>
        <v>00066958</v>
      </c>
      <c r="C3461" t="s">
        <v>200</v>
      </c>
      <c r="D3461" t="s">
        <v>209</v>
      </c>
      <c r="E3461" t="str">
        <f>"00046889"</f>
        <v>00046889</v>
      </c>
      <c r="F3461">
        <v>0</v>
      </c>
      <c r="G3461" s="243">
        <v>36390</v>
      </c>
      <c r="H3461" t="s">
        <v>182</v>
      </c>
      <c r="I3461">
        <v>15</v>
      </c>
      <c r="J3461">
        <v>10</v>
      </c>
      <c r="K3461">
        <v>1</v>
      </c>
      <c r="L3461">
        <v>78273</v>
      </c>
      <c r="M3461" t="str">
        <f t="shared" si="503"/>
        <v>13</v>
      </c>
      <c r="N3461" t="s">
        <v>3323</v>
      </c>
      <c r="O3461" t="str">
        <f t="shared" si="501"/>
        <v>61211</v>
      </c>
      <c r="P3461" t="str">
        <f>"3030L"</f>
        <v>3030L</v>
      </c>
      <c r="Q3461" t="str">
        <f t="shared" si="494"/>
        <v>0101</v>
      </c>
      <c r="R3461">
        <v>3030</v>
      </c>
      <c r="S3461" t="str">
        <f t="shared" si="502"/>
        <v>6120</v>
      </c>
      <c r="T3461" t="s">
        <v>3794</v>
      </c>
      <c r="U3461" t="s">
        <v>131</v>
      </c>
    </row>
    <row r="3462" spans="1:21" ht="15" customHeight="1" x14ac:dyDescent="0.3">
      <c r="A3462" t="s">
        <v>179</v>
      </c>
      <c r="B3462" t="str">
        <f>"00074325"</f>
        <v>00074325</v>
      </c>
      <c r="C3462" t="s">
        <v>4262</v>
      </c>
      <c r="D3462" t="s">
        <v>3802</v>
      </c>
      <c r="E3462" t="str">
        <f>"00066046"</f>
        <v>00066046</v>
      </c>
      <c r="F3462">
        <v>0</v>
      </c>
      <c r="G3462" s="243">
        <v>40755</v>
      </c>
      <c r="H3462" t="s">
        <v>182</v>
      </c>
      <c r="I3462">
        <v>15</v>
      </c>
      <c r="J3462">
        <v>2</v>
      </c>
      <c r="K3462">
        <v>1</v>
      </c>
      <c r="L3462">
        <v>56242</v>
      </c>
      <c r="M3462" t="str">
        <f t="shared" si="503"/>
        <v>13</v>
      </c>
      <c r="N3462" t="s">
        <v>3323</v>
      </c>
      <c r="O3462" t="str">
        <f t="shared" si="501"/>
        <v>61211</v>
      </c>
      <c r="P3462" t="str">
        <f>"2100L"</f>
        <v>2100L</v>
      </c>
      <c r="Q3462" t="str">
        <f t="shared" si="494"/>
        <v>0101</v>
      </c>
      <c r="R3462">
        <v>2100</v>
      </c>
      <c r="S3462" t="str">
        <f t="shared" si="502"/>
        <v>6120</v>
      </c>
      <c r="T3462" t="s">
        <v>3794</v>
      </c>
      <c r="U3462" t="s">
        <v>131</v>
      </c>
    </row>
    <row r="3463" spans="1:21" ht="15" customHeight="1" x14ac:dyDescent="0.3">
      <c r="A3463" t="s">
        <v>179</v>
      </c>
      <c r="B3463" t="str">
        <f>"00074328"</f>
        <v>00074328</v>
      </c>
      <c r="C3463" t="s">
        <v>4262</v>
      </c>
      <c r="D3463" t="s">
        <v>1954</v>
      </c>
      <c r="E3463" t="str">
        <f>"00048759"</f>
        <v>00048759</v>
      </c>
      <c r="F3463">
        <v>0</v>
      </c>
      <c r="G3463" s="243">
        <v>36332</v>
      </c>
      <c r="H3463" t="s">
        <v>182</v>
      </c>
      <c r="I3463">
        <v>15</v>
      </c>
      <c r="J3463">
        <v>14</v>
      </c>
      <c r="K3463">
        <v>1</v>
      </c>
      <c r="L3463">
        <v>96460</v>
      </c>
      <c r="M3463" t="str">
        <f t="shared" si="503"/>
        <v>13</v>
      </c>
      <c r="N3463" t="s">
        <v>3323</v>
      </c>
      <c r="O3463" t="str">
        <f t="shared" si="501"/>
        <v>61211</v>
      </c>
      <c r="P3463" t="str">
        <f>"2100L"</f>
        <v>2100L</v>
      </c>
      <c r="Q3463" t="str">
        <f t="shared" si="494"/>
        <v>0101</v>
      </c>
      <c r="R3463">
        <v>2100</v>
      </c>
      <c r="S3463" t="str">
        <f t="shared" si="502"/>
        <v>6120</v>
      </c>
      <c r="T3463" t="s">
        <v>3794</v>
      </c>
      <c r="U3463" t="s">
        <v>131</v>
      </c>
    </row>
    <row r="3464" spans="1:21" ht="15" customHeight="1" x14ac:dyDescent="0.3">
      <c r="A3464" t="s">
        <v>179</v>
      </c>
      <c r="B3464" t="str">
        <f>"00074329"</f>
        <v>00074329</v>
      </c>
      <c r="C3464" t="s">
        <v>4260</v>
      </c>
      <c r="D3464" t="s">
        <v>482</v>
      </c>
      <c r="E3464" t="str">
        <f>"00049075"</f>
        <v>00049075</v>
      </c>
      <c r="F3464">
        <v>0</v>
      </c>
      <c r="G3464" s="243">
        <v>39314</v>
      </c>
      <c r="H3464" t="s">
        <v>182</v>
      </c>
      <c r="I3464">
        <v>15</v>
      </c>
      <c r="J3464">
        <v>10</v>
      </c>
      <c r="K3464">
        <v>1</v>
      </c>
      <c r="L3464">
        <v>83199</v>
      </c>
      <c r="M3464" t="str">
        <f t="shared" si="503"/>
        <v>13</v>
      </c>
      <c r="N3464" t="s">
        <v>3323</v>
      </c>
      <c r="O3464" t="str">
        <f t="shared" si="501"/>
        <v>61211</v>
      </c>
      <c r="P3464" t="str">
        <f>"2100L"</f>
        <v>2100L</v>
      </c>
      <c r="Q3464" t="str">
        <f t="shared" si="494"/>
        <v>0101</v>
      </c>
      <c r="R3464">
        <v>2100</v>
      </c>
      <c r="S3464" t="str">
        <f t="shared" si="502"/>
        <v>6120</v>
      </c>
      <c r="T3464" t="s">
        <v>3794</v>
      </c>
      <c r="U3464" t="s">
        <v>131</v>
      </c>
    </row>
    <row r="3465" spans="1:21" ht="15" customHeight="1" x14ac:dyDescent="0.3">
      <c r="A3465" t="s">
        <v>179</v>
      </c>
      <c r="B3465" t="str">
        <f>"00074330"</f>
        <v>00074330</v>
      </c>
      <c r="C3465" t="s">
        <v>4270</v>
      </c>
      <c r="D3465" t="s">
        <v>3803</v>
      </c>
      <c r="E3465" t="str">
        <f>"00066457"</f>
        <v>00066457</v>
      </c>
      <c r="F3465">
        <v>0</v>
      </c>
      <c r="G3465" s="243">
        <v>40755</v>
      </c>
      <c r="H3465" t="s">
        <v>182</v>
      </c>
      <c r="I3465">
        <v>15</v>
      </c>
      <c r="J3465">
        <v>11</v>
      </c>
      <c r="K3465">
        <v>0.5</v>
      </c>
      <c r="L3465">
        <v>40667.5</v>
      </c>
      <c r="M3465" t="str">
        <f t="shared" si="503"/>
        <v>13</v>
      </c>
      <c r="N3465" t="s">
        <v>3323</v>
      </c>
      <c r="O3465" t="str">
        <f t="shared" si="501"/>
        <v>61211</v>
      </c>
      <c r="P3465" t="str">
        <f>"2100L"</f>
        <v>2100L</v>
      </c>
      <c r="Q3465" t="str">
        <f t="shared" si="494"/>
        <v>0101</v>
      </c>
      <c r="R3465">
        <v>2100</v>
      </c>
      <c r="S3465" t="str">
        <f t="shared" si="502"/>
        <v>6120</v>
      </c>
      <c r="T3465" t="s">
        <v>3794</v>
      </c>
      <c r="U3465" t="s">
        <v>131</v>
      </c>
    </row>
    <row r="3466" spans="1:21" ht="15" customHeight="1" x14ac:dyDescent="0.3">
      <c r="A3466" t="s">
        <v>179</v>
      </c>
      <c r="B3466" t="str">
        <f>"00075580"</f>
        <v>00075580</v>
      </c>
      <c r="C3466" t="s">
        <v>3670</v>
      </c>
      <c r="D3466" t="s">
        <v>1957</v>
      </c>
      <c r="E3466" t="str">
        <f>"00045841"</f>
        <v>00045841</v>
      </c>
      <c r="F3466">
        <v>0</v>
      </c>
      <c r="G3466" s="243">
        <v>37124</v>
      </c>
      <c r="H3466" t="s">
        <v>182</v>
      </c>
      <c r="I3466">
        <v>8</v>
      </c>
      <c r="J3466">
        <v>6</v>
      </c>
      <c r="K3466">
        <v>1</v>
      </c>
      <c r="L3466">
        <v>94825</v>
      </c>
      <c r="M3466" t="str">
        <f t="shared" si="503"/>
        <v>13</v>
      </c>
      <c r="N3466" t="s">
        <v>3370</v>
      </c>
      <c r="O3466" t="str">
        <f t="shared" si="501"/>
        <v>61211</v>
      </c>
      <c r="P3466" t="str">
        <f>"1501L"</f>
        <v>1501L</v>
      </c>
      <c r="Q3466" t="str">
        <f t="shared" ref="Q3466:Q3521" si="504">"0101"</f>
        <v>0101</v>
      </c>
      <c r="R3466">
        <v>1501</v>
      </c>
      <c r="S3466" t="str">
        <f t="shared" si="502"/>
        <v>6120</v>
      </c>
      <c r="T3466" t="s">
        <v>3794</v>
      </c>
      <c r="U3466" t="s">
        <v>131</v>
      </c>
    </row>
    <row r="3467" spans="1:21" ht="15" customHeight="1" x14ac:dyDescent="0.3">
      <c r="A3467" t="s">
        <v>179</v>
      </c>
      <c r="B3467" t="str">
        <f>"00076397"</f>
        <v>00076397</v>
      </c>
      <c r="C3467" t="s">
        <v>4372</v>
      </c>
      <c r="D3467" t="s">
        <v>5360</v>
      </c>
      <c r="E3467" t="str">
        <f>"00048540"</f>
        <v>00048540</v>
      </c>
      <c r="F3467">
        <v>0</v>
      </c>
      <c r="G3467" s="243">
        <v>36569</v>
      </c>
      <c r="H3467" t="s">
        <v>182</v>
      </c>
      <c r="I3467">
        <v>4</v>
      </c>
      <c r="J3467">
        <v>9</v>
      </c>
      <c r="K3467">
        <v>1</v>
      </c>
      <c r="L3467">
        <v>32029</v>
      </c>
      <c r="M3467" t="str">
        <f t="shared" si="503"/>
        <v>13</v>
      </c>
      <c r="N3467" t="s">
        <v>3323</v>
      </c>
      <c r="O3467" t="str">
        <f t="shared" si="501"/>
        <v>61211</v>
      </c>
      <c r="P3467" t="str">
        <f>"2100L"</f>
        <v>2100L</v>
      </c>
      <c r="Q3467" t="str">
        <f t="shared" si="504"/>
        <v>0101</v>
      </c>
      <c r="R3467">
        <v>2100</v>
      </c>
      <c r="S3467" t="str">
        <f t="shared" si="502"/>
        <v>6120</v>
      </c>
      <c r="T3467" t="s">
        <v>3794</v>
      </c>
      <c r="U3467" t="s">
        <v>131</v>
      </c>
    </row>
    <row r="3468" spans="1:21" ht="15" customHeight="1" x14ac:dyDescent="0.3">
      <c r="A3468" t="s">
        <v>179</v>
      </c>
      <c r="B3468" t="str">
        <f>"00076398"</f>
        <v>00076398</v>
      </c>
      <c r="C3468" t="s">
        <v>4367</v>
      </c>
      <c r="D3468" t="s">
        <v>5361</v>
      </c>
      <c r="E3468" t="str">
        <f>"00063725"</f>
        <v>00063725</v>
      </c>
      <c r="F3468">
        <v>0</v>
      </c>
      <c r="G3468" s="243">
        <v>40462</v>
      </c>
      <c r="H3468" t="s">
        <v>182</v>
      </c>
      <c r="I3468">
        <v>9</v>
      </c>
      <c r="J3468">
        <v>2</v>
      </c>
      <c r="K3468">
        <v>1</v>
      </c>
      <c r="L3468">
        <v>37949</v>
      </c>
      <c r="M3468" t="str">
        <f t="shared" si="503"/>
        <v>13</v>
      </c>
      <c r="N3468" t="s">
        <v>3370</v>
      </c>
      <c r="O3468" t="str">
        <f t="shared" si="501"/>
        <v>61211</v>
      </c>
      <c r="P3468" t="str">
        <f>"2100L"</f>
        <v>2100L</v>
      </c>
      <c r="Q3468" t="str">
        <f t="shared" si="504"/>
        <v>0101</v>
      </c>
      <c r="R3468">
        <v>2100</v>
      </c>
      <c r="S3468" t="str">
        <f t="shared" si="502"/>
        <v>6120</v>
      </c>
      <c r="T3468" t="s">
        <v>3794</v>
      </c>
      <c r="U3468" t="s">
        <v>131</v>
      </c>
    </row>
    <row r="3469" spans="1:21" ht="15" customHeight="1" x14ac:dyDescent="0.3">
      <c r="A3469" t="s">
        <v>179</v>
      </c>
      <c r="B3469" t="str">
        <f>"00076400"</f>
        <v>00076400</v>
      </c>
      <c r="C3469" t="s">
        <v>4271</v>
      </c>
      <c r="D3469" t="s">
        <v>3800</v>
      </c>
      <c r="E3469" t="str">
        <f>"00050667"</f>
        <v>00050667</v>
      </c>
      <c r="F3469">
        <v>0</v>
      </c>
      <c r="G3469" s="243">
        <v>40868</v>
      </c>
      <c r="H3469" t="s">
        <v>182</v>
      </c>
      <c r="I3469">
        <v>15</v>
      </c>
      <c r="J3469">
        <v>12</v>
      </c>
      <c r="K3469">
        <v>1</v>
      </c>
      <c r="L3469">
        <v>89887</v>
      </c>
      <c r="M3469" t="str">
        <f t="shared" si="503"/>
        <v>13</v>
      </c>
      <c r="N3469" t="s">
        <v>3370</v>
      </c>
      <c r="O3469" t="str">
        <f t="shared" si="501"/>
        <v>61211</v>
      </c>
      <c r="P3469" t="str">
        <f>"2100L"</f>
        <v>2100L</v>
      </c>
      <c r="Q3469" t="str">
        <f t="shared" si="504"/>
        <v>0101</v>
      </c>
      <c r="R3469">
        <v>2100</v>
      </c>
      <c r="S3469" t="str">
        <f t="shared" si="502"/>
        <v>6120</v>
      </c>
      <c r="T3469" t="s">
        <v>3794</v>
      </c>
      <c r="U3469" t="s">
        <v>131</v>
      </c>
    </row>
    <row r="3470" spans="1:21" ht="15" customHeight="1" x14ac:dyDescent="0.3">
      <c r="A3470" t="s">
        <v>179</v>
      </c>
      <c r="B3470" t="str">
        <f>"00076401"</f>
        <v>00076401</v>
      </c>
      <c r="C3470" t="s">
        <v>4381</v>
      </c>
      <c r="H3470" t="s">
        <v>170</v>
      </c>
      <c r="I3470">
        <v>9</v>
      </c>
      <c r="J3470">
        <v>0</v>
      </c>
      <c r="K3470">
        <v>1</v>
      </c>
      <c r="L3470">
        <v>33163</v>
      </c>
      <c r="M3470" t="str">
        <f t="shared" si="503"/>
        <v>13</v>
      </c>
      <c r="N3470" t="s">
        <v>3370</v>
      </c>
      <c r="O3470" t="str">
        <f t="shared" si="501"/>
        <v>61211</v>
      </c>
      <c r="P3470" t="str">
        <f>"2100L"</f>
        <v>2100L</v>
      </c>
      <c r="Q3470" t="str">
        <f t="shared" si="504"/>
        <v>0101</v>
      </c>
      <c r="R3470">
        <v>2100</v>
      </c>
      <c r="S3470" t="str">
        <f t="shared" si="502"/>
        <v>6120</v>
      </c>
      <c r="T3470" t="s">
        <v>3794</v>
      </c>
      <c r="U3470" t="s">
        <v>131</v>
      </c>
    </row>
    <row r="3471" spans="1:21" ht="15" customHeight="1" x14ac:dyDescent="0.3">
      <c r="A3471" t="s">
        <v>179</v>
      </c>
      <c r="B3471" t="str">
        <f>"00076542"</f>
        <v>00076542</v>
      </c>
      <c r="C3471" t="s">
        <v>4333</v>
      </c>
      <c r="D3471" t="s">
        <v>5362</v>
      </c>
      <c r="E3471" t="str">
        <f>"00070067"</f>
        <v>00070067</v>
      </c>
      <c r="F3471">
        <v>0</v>
      </c>
      <c r="G3471" s="243">
        <v>41133</v>
      </c>
      <c r="H3471" t="s">
        <v>182</v>
      </c>
      <c r="I3471">
        <v>12</v>
      </c>
      <c r="J3471">
        <v>8</v>
      </c>
      <c r="K3471">
        <v>1</v>
      </c>
      <c r="L3471">
        <v>73357</v>
      </c>
      <c r="M3471" t="str">
        <f t="shared" si="503"/>
        <v>13</v>
      </c>
      <c r="N3471" t="s">
        <v>3370</v>
      </c>
      <c r="O3471" t="str">
        <f t="shared" si="501"/>
        <v>61211</v>
      </c>
      <c r="P3471" t="str">
        <f>"1502L"</f>
        <v>1502L</v>
      </c>
      <c r="Q3471" t="str">
        <f t="shared" si="504"/>
        <v>0101</v>
      </c>
      <c r="R3471">
        <v>1502</v>
      </c>
      <c r="S3471" t="str">
        <f t="shared" si="502"/>
        <v>6120</v>
      </c>
      <c r="T3471" t="s">
        <v>3794</v>
      </c>
      <c r="U3471" t="s">
        <v>131</v>
      </c>
    </row>
    <row r="3472" spans="1:21" ht="15" customHeight="1" x14ac:dyDescent="0.3">
      <c r="A3472" t="s">
        <v>179</v>
      </c>
      <c r="B3472" t="str">
        <f>"00051721"</f>
        <v>00051721</v>
      </c>
      <c r="C3472" t="s">
        <v>4262</v>
      </c>
      <c r="D3472" t="s">
        <v>2761</v>
      </c>
      <c r="E3472" t="str">
        <f>"00045649"</f>
        <v>00045649</v>
      </c>
      <c r="F3472">
        <v>0</v>
      </c>
      <c r="G3472" s="243">
        <v>33055</v>
      </c>
      <c r="H3472" t="s">
        <v>182</v>
      </c>
      <c r="I3472">
        <v>15</v>
      </c>
      <c r="J3472">
        <v>16</v>
      </c>
      <c r="K3472">
        <v>1</v>
      </c>
      <c r="L3472">
        <v>106540</v>
      </c>
      <c r="M3472" t="str">
        <f t="shared" si="503"/>
        <v>13</v>
      </c>
      <c r="N3472" t="s">
        <v>3323</v>
      </c>
      <c r="O3472" t="str">
        <f t="shared" ref="O3472:O3500" si="505">"61311"</f>
        <v>61311</v>
      </c>
      <c r="P3472" t="str">
        <f t="shared" ref="P3472:P3479" si="506">"2100L"</f>
        <v>2100L</v>
      </c>
      <c r="Q3472" t="str">
        <f t="shared" si="504"/>
        <v>0101</v>
      </c>
      <c r="R3472">
        <v>2100</v>
      </c>
      <c r="S3472" t="str">
        <f t="shared" ref="S3472:S3500" si="507">"6130"</f>
        <v>6130</v>
      </c>
      <c r="T3472" t="s">
        <v>3806</v>
      </c>
      <c r="U3472" t="s">
        <v>5363</v>
      </c>
    </row>
    <row r="3473" spans="1:21" ht="15" customHeight="1" x14ac:dyDescent="0.3">
      <c r="A3473" t="s">
        <v>179</v>
      </c>
      <c r="B3473" t="str">
        <f>"00051838"</f>
        <v>00051838</v>
      </c>
      <c r="C3473" t="s">
        <v>4259</v>
      </c>
      <c r="D3473" t="s">
        <v>2762</v>
      </c>
      <c r="E3473" t="str">
        <f>"00046199"</f>
        <v>00046199</v>
      </c>
      <c r="F3473">
        <v>0</v>
      </c>
      <c r="G3473" s="243">
        <v>36761</v>
      </c>
      <c r="H3473" t="s">
        <v>182</v>
      </c>
      <c r="I3473">
        <v>15</v>
      </c>
      <c r="J3473">
        <v>16</v>
      </c>
      <c r="K3473">
        <v>1</v>
      </c>
      <c r="L3473">
        <v>100839</v>
      </c>
      <c r="M3473" t="str">
        <f t="shared" si="503"/>
        <v>13</v>
      </c>
      <c r="N3473" t="s">
        <v>3323</v>
      </c>
      <c r="O3473" t="str">
        <f t="shared" si="505"/>
        <v>61311</v>
      </c>
      <c r="P3473" t="str">
        <f t="shared" si="506"/>
        <v>2100L</v>
      </c>
      <c r="Q3473" t="str">
        <f t="shared" si="504"/>
        <v>0101</v>
      </c>
      <c r="R3473">
        <v>2100</v>
      </c>
      <c r="S3473" t="str">
        <f t="shared" si="507"/>
        <v>6130</v>
      </c>
      <c r="T3473" t="s">
        <v>3806</v>
      </c>
      <c r="U3473" t="s">
        <v>5363</v>
      </c>
    </row>
    <row r="3474" spans="1:21" ht="15" customHeight="1" x14ac:dyDescent="0.3">
      <c r="A3474" t="s">
        <v>179</v>
      </c>
      <c r="B3474" t="str">
        <f>"00052145"</f>
        <v>00052145</v>
      </c>
      <c r="C3474" t="s">
        <v>4272</v>
      </c>
      <c r="D3474" t="s">
        <v>2763</v>
      </c>
      <c r="E3474" t="str">
        <f>"00047437"</f>
        <v>00047437</v>
      </c>
      <c r="F3474">
        <v>0</v>
      </c>
      <c r="G3474" s="243">
        <v>32601</v>
      </c>
      <c r="H3474" t="s">
        <v>182</v>
      </c>
      <c r="I3474">
        <v>15</v>
      </c>
      <c r="J3474">
        <v>16</v>
      </c>
      <c r="K3474">
        <v>1</v>
      </c>
      <c r="L3474">
        <v>100839</v>
      </c>
      <c r="M3474" t="str">
        <f t="shared" si="503"/>
        <v>13</v>
      </c>
      <c r="N3474" t="s">
        <v>3323</v>
      </c>
      <c r="O3474" t="str">
        <f t="shared" si="505"/>
        <v>61311</v>
      </c>
      <c r="P3474" t="str">
        <f t="shared" si="506"/>
        <v>2100L</v>
      </c>
      <c r="Q3474" t="str">
        <f t="shared" si="504"/>
        <v>0101</v>
      </c>
      <c r="R3474">
        <v>2100</v>
      </c>
      <c r="S3474" t="str">
        <f t="shared" si="507"/>
        <v>6130</v>
      </c>
      <c r="T3474" t="s">
        <v>3806</v>
      </c>
      <c r="U3474" t="s">
        <v>5363</v>
      </c>
    </row>
    <row r="3475" spans="1:21" ht="15" customHeight="1" x14ac:dyDescent="0.3">
      <c r="A3475" t="s">
        <v>179</v>
      </c>
      <c r="B3475" t="str">
        <f>"00052363"</f>
        <v>00052363</v>
      </c>
      <c r="C3475" t="s">
        <v>4274</v>
      </c>
      <c r="D3475" t="s">
        <v>5364</v>
      </c>
      <c r="E3475" t="str">
        <f>"00048105"</f>
        <v>00048105</v>
      </c>
      <c r="F3475">
        <v>0</v>
      </c>
      <c r="G3475" s="243">
        <v>36039</v>
      </c>
      <c r="H3475" t="s">
        <v>182</v>
      </c>
      <c r="I3475">
        <v>4</v>
      </c>
      <c r="J3475">
        <v>8</v>
      </c>
      <c r="K3475">
        <v>0.875</v>
      </c>
      <c r="L3475">
        <v>27329.75</v>
      </c>
      <c r="M3475" t="str">
        <f t="shared" si="503"/>
        <v>13</v>
      </c>
      <c r="N3475" t="s">
        <v>3323</v>
      </c>
      <c r="O3475" t="str">
        <f t="shared" si="505"/>
        <v>61311</v>
      </c>
      <c r="P3475" t="str">
        <f t="shared" si="506"/>
        <v>2100L</v>
      </c>
      <c r="Q3475" t="str">
        <f t="shared" si="504"/>
        <v>0101</v>
      </c>
      <c r="R3475">
        <v>2100</v>
      </c>
      <c r="S3475" t="str">
        <f t="shared" si="507"/>
        <v>6130</v>
      </c>
      <c r="T3475" t="s">
        <v>3806</v>
      </c>
      <c r="U3475" t="s">
        <v>5363</v>
      </c>
    </row>
    <row r="3476" spans="1:21" ht="15" customHeight="1" x14ac:dyDescent="0.3">
      <c r="A3476" t="s">
        <v>179</v>
      </c>
      <c r="B3476" t="str">
        <f>"00052443"</f>
        <v>00052443</v>
      </c>
      <c r="C3476" t="s">
        <v>4258</v>
      </c>
      <c r="H3476" t="s">
        <v>170</v>
      </c>
      <c r="I3476">
        <v>15</v>
      </c>
      <c r="J3476">
        <v>1</v>
      </c>
      <c r="K3476">
        <v>1</v>
      </c>
      <c r="L3476">
        <v>51539</v>
      </c>
      <c r="M3476" t="str">
        <f t="shared" si="503"/>
        <v>13</v>
      </c>
      <c r="N3476" t="s">
        <v>3323</v>
      </c>
      <c r="O3476" t="str">
        <f t="shared" si="505"/>
        <v>61311</v>
      </c>
      <c r="P3476" t="str">
        <f t="shared" si="506"/>
        <v>2100L</v>
      </c>
      <c r="Q3476" t="str">
        <f t="shared" si="504"/>
        <v>0101</v>
      </c>
      <c r="R3476">
        <v>2100</v>
      </c>
      <c r="S3476" t="str">
        <f t="shared" si="507"/>
        <v>6130</v>
      </c>
      <c r="T3476" t="s">
        <v>3806</v>
      </c>
      <c r="U3476" t="s">
        <v>5363</v>
      </c>
    </row>
    <row r="3477" spans="1:21" ht="15" customHeight="1" x14ac:dyDescent="0.3">
      <c r="A3477" t="s">
        <v>179</v>
      </c>
      <c r="B3477" t="str">
        <f>"00052669"</f>
        <v>00052669</v>
      </c>
      <c r="C3477" t="s">
        <v>4253</v>
      </c>
      <c r="D3477" t="s">
        <v>2764</v>
      </c>
      <c r="E3477" t="str">
        <f>"00063031"</f>
        <v>00063031</v>
      </c>
      <c r="F3477">
        <v>0</v>
      </c>
      <c r="G3477" s="243">
        <v>40406</v>
      </c>
      <c r="H3477" t="s">
        <v>182</v>
      </c>
      <c r="I3477">
        <v>15</v>
      </c>
      <c r="J3477">
        <v>10</v>
      </c>
      <c r="K3477">
        <v>1</v>
      </c>
      <c r="L3477">
        <v>80729</v>
      </c>
      <c r="M3477" t="str">
        <f t="shared" si="503"/>
        <v>13</v>
      </c>
      <c r="N3477" t="s">
        <v>3323</v>
      </c>
      <c r="O3477" t="str">
        <f t="shared" si="505"/>
        <v>61311</v>
      </c>
      <c r="P3477" t="str">
        <f t="shared" si="506"/>
        <v>2100L</v>
      </c>
      <c r="Q3477" t="str">
        <f t="shared" si="504"/>
        <v>0101</v>
      </c>
      <c r="R3477">
        <v>2100</v>
      </c>
      <c r="S3477" t="str">
        <f t="shared" si="507"/>
        <v>6130</v>
      </c>
      <c r="T3477" t="s">
        <v>3806</v>
      </c>
      <c r="U3477" t="s">
        <v>5363</v>
      </c>
    </row>
    <row r="3478" spans="1:21" ht="15" customHeight="1" x14ac:dyDescent="0.3">
      <c r="A3478" t="s">
        <v>179</v>
      </c>
      <c r="B3478" t="str">
        <f>"00052910"</f>
        <v>00052910</v>
      </c>
      <c r="C3478" t="s">
        <v>4254</v>
      </c>
      <c r="D3478" t="s">
        <v>2765</v>
      </c>
      <c r="E3478" t="str">
        <f>"00050042"</f>
        <v>00050042</v>
      </c>
      <c r="F3478">
        <v>0</v>
      </c>
      <c r="G3478" s="243">
        <v>32875</v>
      </c>
      <c r="H3478" t="s">
        <v>182</v>
      </c>
      <c r="I3478">
        <v>15</v>
      </c>
      <c r="J3478">
        <v>13</v>
      </c>
      <c r="K3478">
        <v>1</v>
      </c>
      <c r="L3478">
        <v>81724</v>
      </c>
      <c r="M3478" t="str">
        <f t="shared" si="503"/>
        <v>13</v>
      </c>
      <c r="N3478" t="s">
        <v>3323</v>
      </c>
      <c r="O3478" t="str">
        <f t="shared" si="505"/>
        <v>61311</v>
      </c>
      <c r="P3478" t="str">
        <f t="shared" si="506"/>
        <v>2100L</v>
      </c>
      <c r="Q3478" t="str">
        <f t="shared" si="504"/>
        <v>0101</v>
      </c>
      <c r="R3478">
        <v>2100</v>
      </c>
      <c r="S3478" t="str">
        <f t="shared" si="507"/>
        <v>6130</v>
      </c>
      <c r="T3478" t="s">
        <v>3806</v>
      </c>
      <c r="U3478" t="s">
        <v>5363</v>
      </c>
    </row>
    <row r="3479" spans="1:21" ht="15" customHeight="1" x14ac:dyDescent="0.3">
      <c r="A3479" t="s">
        <v>179</v>
      </c>
      <c r="B3479" t="str">
        <f>"00053034"</f>
        <v>00053034</v>
      </c>
      <c r="C3479" t="s">
        <v>4272</v>
      </c>
      <c r="D3479" t="s">
        <v>2766</v>
      </c>
      <c r="E3479" t="str">
        <f>"00050844"</f>
        <v>00050844</v>
      </c>
      <c r="F3479">
        <v>0</v>
      </c>
      <c r="G3479" s="243">
        <v>27007</v>
      </c>
      <c r="H3479" t="s">
        <v>182</v>
      </c>
      <c r="I3479">
        <v>15</v>
      </c>
      <c r="J3479">
        <v>16</v>
      </c>
      <c r="K3479">
        <v>1</v>
      </c>
      <c r="L3479">
        <v>106540</v>
      </c>
      <c r="M3479" t="str">
        <f t="shared" si="503"/>
        <v>13</v>
      </c>
      <c r="N3479" t="s">
        <v>3323</v>
      </c>
      <c r="O3479" t="str">
        <f t="shared" si="505"/>
        <v>61311</v>
      </c>
      <c r="P3479" t="str">
        <f t="shared" si="506"/>
        <v>2100L</v>
      </c>
      <c r="Q3479" t="str">
        <f t="shared" si="504"/>
        <v>0101</v>
      </c>
      <c r="R3479">
        <v>2100</v>
      </c>
      <c r="S3479" t="str">
        <f t="shared" si="507"/>
        <v>6130</v>
      </c>
      <c r="T3479" t="s">
        <v>3806</v>
      </c>
      <c r="U3479" t="s">
        <v>5363</v>
      </c>
    </row>
    <row r="3480" spans="1:21" ht="15" customHeight="1" x14ac:dyDescent="0.3">
      <c r="A3480" t="s">
        <v>179</v>
      </c>
      <c r="B3480" t="str">
        <f>"00054235"</f>
        <v>00054235</v>
      </c>
      <c r="C3480" t="s">
        <v>4262</v>
      </c>
      <c r="D3480" t="s">
        <v>2767</v>
      </c>
      <c r="E3480" t="str">
        <f>"00053326"</f>
        <v>00053326</v>
      </c>
      <c r="F3480">
        <v>0</v>
      </c>
      <c r="G3480" s="243">
        <v>36034</v>
      </c>
      <c r="H3480" t="s">
        <v>182</v>
      </c>
      <c r="I3480">
        <v>15</v>
      </c>
      <c r="J3480">
        <v>12</v>
      </c>
      <c r="K3480">
        <v>1</v>
      </c>
      <c r="L3480">
        <v>87431</v>
      </c>
      <c r="M3480" t="str">
        <f t="shared" si="503"/>
        <v>13</v>
      </c>
      <c r="N3480" t="s">
        <v>3323</v>
      </c>
      <c r="O3480" t="str">
        <f t="shared" si="505"/>
        <v>61311</v>
      </c>
      <c r="P3480" t="str">
        <f>"2100L"</f>
        <v>2100L</v>
      </c>
      <c r="Q3480" t="str">
        <f t="shared" si="504"/>
        <v>0101</v>
      </c>
      <c r="R3480">
        <v>2100</v>
      </c>
      <c r="S3480" t="str">
        <f t="shared" si="507"/>
        <v>6130</v>
      </c>
      <c r="T3480" t="s">
        <v>3806</v>
      </c>
      <c r="U3480" t="s">
        <v>5363</v>
      </c>
    </row>
    <row r="3481" spans="1:21" ht="15" customHeight="1" x14ac:dyDescent="0.3">
      <c r="A3481" t="s">
        <v>179</v>
      </c>
      <c r="B3481" t="str">
        <f>"00054506"</f>
        <v>00054506</v>
      </c>
      <c r="C3481" t="s">
        <v>4272</v>
      </c>
      <c r="D3481" t="s">
        <v>2768</v>
      </c>
      <c r="E3481" t="str">
        <f>"00054124"</f>
        <v>00054124</v>
      </c>
      <c r="F3481">
        <v>0</v>
      </c>
      <c r="G3481" s="243">
        <v>32050</v>
      </c>
      <c r="H3481" t="s">
        <v>182</v>
      </c>
      <c r="I3481">
        <v>15</v>
      </c>
      <c r="J3481">
        <v>16</v>
      </c>
      <c r="K3481">
        <v>1</v>
      </c>
      <c r="L3481">
        <v>100839</v>
      </c>
      <c r="M3481" t="str">
        <f t="shared" si="503"/>
        <v>13</v>
      </c>
      <c r="N3481" t="s">
        <v>3323</v>
      </c>
      <c r="O3481" t="str">
        <f t="shared" si="505"/>
        <v>61311</v>
      </c>
      <c r="P3481" t="str">
        <f>"2100L"</f>
        <v>2100L</v>
      </c>
      <c r="Q3481" t="str">
        <f t="shared" si="504"/>
        <v>0101</v>
      </c>
      <c r="R3481">
        <v>2100</v>
      </c>
      <c r="S3481" t="str">
        <f t="shared" si="507"/>
        <v>6130</v>
      </c>
      <c r="T3481" t="s">
        <v>3806</v>
      </c>
      <c r="U3481" t="s">
        <v>5363</v>
      </c>
    </row>
    <row r="3482" spans="1:21" ht="15" customHeight="1" x14ac:dyDescent="0.3">
      <c r="A3482" t="s">
        <v>179</v>
      </c>
      <c r="B3482" t="str">
        <f>"00054776"</f>
        <v>00054776</v>
      </c>
      <c r="C3482" t="s">
        <v>4272</v>
      </c>
      <c r="D3482" t="s">
        <v>2769</v>
      </c>
      <c r="E3482" t="str">
        <f>"00054609"</f>
        <v>00054609</v>
      </c>
      <c r="F3482">
        <v>0</v>
      </c>
      <c r="G3482" s="243">
        <v>31287</v>
      </c>
      <c r="H3482" t="s">
        <v>182</v>
      </c>
      <c r="I3482">
        <v>15</v>
      </c>
      <c r="J3482">
        <v>16</v>
      </c>
      <c r="K3482">
        <v>1</v>
      </c>
      <c r="L3482">
        <v>106540</v>
      </c>
      <c r="M3482" t="str">
        <f t="shared" si="503"/>
        <v>13</v>
      </c>
      <c r="N3482" t="s">
        <v>3323</v>
      </c>
      <c r="O3482" t="str">
        <f t="shared" si="505"/>
        <v>61311</v>
      </c>
      <c r="P3482" t="str">
        <f>"2100L"</f>
        <v>2100L</v>
      </c>
      <c r="Q3482" t="str">
        <f t="shared" si="504"/>
        <v>0101</v>
      </c>
      <c r="R3482">
        <v>2100</v>
      </c>
      <c r="S3482" t="str">
        <f t="shared" si="507"/>
        <v>6130</v>
      </c>
      <c r="T3482" t="s">
        <v>3806</v>
      </c>
      <c r="U3482" t="s">
        <v>5363</v>
      </c>
    </row>
    <row r="3483" spans="1:21" ht="15" customHeight="1" x14ac:dyDescent="0.3">
      <c r="A3483" t="s">
        <v>179</v>
      </c>
      <c r="B3483" t="str">
        <f>"00054805"</f>
        <v>00054805</v>
      </c>
      <c r="C3483" t="s">
        <v>4299</v>
      </c>
      <c r="D3483" t="s">
        <v>4666</v>
      </c>
      <c r="E3483" t="str">
        <f>"00054668"</f>
        <v>00054668</v>
      </c>
      <c r="F3483">
        <v>0</v>
      </c>
      <c r="G3483" s="243">
        <v>31319</v>
      </c>
      <c r="H3483" t="s">
        <v>182</v>
      </c>
      <c r="I3483">
        <v>7</v>
      </c>
      <c r="J3483">
        <v>10</v>
      </c>
      <c r="K3483">
        <v>0.5</v>
      </c>
      <c r="L3483">
        <v>45943</v>
      </c>
      <c r="M3483" t="str">
        <f t="shared" si="503"/>
        <v>13</v>
      </c>
      <c r="N3483" t="s">
        <v>3323</v>
      </c>
      <c r="O3483" t="str">
        <f t="shared" si="505"/>
        <v>61311</v>
      </c>
      <c r="P3483" t="str">
        <f>"1502L"</f>
        <v>1502L</v>
      </c>
      <c r="Q3483" t="str">
        <f t="shared" si="504"/>
        <v>0101</v>
      </c>
      <c r="R3483">
        <v>1502</v>
      </c>
      <c r="S3483" t="str">
        <f t="shared" si="507"/>
        <v>6130</v>
      </c>
      <c r="T3483" t="s">
        <v>3512</v>
      </c>
      <c r="U3483" t="s">
        <v>121</v>
      </c>
    </row>
    <row r="3484" spans="1:21" ht="15" customHeight="1" x14ac:dyDescent="0.3">
      <c r="A3484" t="s">
        <v>179</v>
      </c>
      <c r="B3484" t="str">
        <f>"00058239"</f>
        <v>00058239</v>
      </c>
      <c r="C3484" t="s">
        <v>3798</v>
      </c>
      <c r="D3484" t="s">
        <v>2770</v>
      </c>
      <c r="E3484" t="str">
        <f>"00050025"</f>
        <v>00050025</v>
      </c>
      <c r="F3484">
        <v>0</v>
      </c>
      <c r="G3484" s="243">
        <v>36390</v>
      </c>
      <c r="H3484" t="s">
        <v>182</v>
      </c>
      <c r="I3484">
        <v>62</v>
      </c>
      <c r="J3484">
        <v>7</v>
      </c>
      <c r="K3484">
        <v>1</v>
      </c>
      <c r="L3484">
        <v>131000</v>
      </c>
      <c r="M3484" t="str">
        <f t="shared" si="503"/>
        <v>13</v>
      </c>
      <c r="N3484" t="s">
        <v>3323</v>
      </c>
      <c r="O3484" t="str">
        <f t="shared" si="505"/>
        <v>61311</v>
      </c>
      <c r="P3484" t="str">
        <f>"1501L"</f>
        <v>1501L</v>
      </c>
      <c r="Q3484" t="str">
        <f t="shared" si="504"/>
        <v>0101</v>
      </c>
      <c r="R3484">
        <v>1501</v>
      </c>
      <c r="S3484" t="str">
        <f t="shared" si="507"/>
        <v>6130</v>
      </c>
      <c r="T3484" t="s">
        <v>3806</v>
      </c>
      <c r="U3484" t="s">
        <v>5363</v>
      </c>
    </row>
    <row r="3485" spans="1:21" ht="15" customHeight="1" x14ac:dyDescent="0.3">
      <c r="A3485" t="s">
        <v>179</v>
      </c>
      <c r="B3485" t="str">
        <f>"00058389"</f>
        <v>00058389</v>
      </c>
      <c r="C3485" t="s">
        <v>4262</v>
      </c>
      <c r="D3485" t="s">
        <v>2771</v>
      </c>
      <c r="E3485" t="str">
        <f>"00061418"</f>
        <v>00061418</v>
      </c>
      <c r="F3485">
        <v>0</v>
      </c>
      <c r="G3485" s="243">
        <v>40334</v>
      </c>
      <c r="H3485" t="s">
        <v>182</v>
      </c>
      <c r="I3485">
        <v>15</v>
      </c>
      <c r="J3485">
        <v>3</v>
      </c>
      <c r="K3485">
        <v>1</v>
      </c>
      <c r="L3485">
        <v>58699</v>
      </c>
      <c r="M3485" t="str">
        <f t="shared" si="503"/>
        <v>13</v>
      </c>
      <c r="N3485" t="s">
        <v>3323</v>
      </c>
      <c r="O3485" t="str">
        <f t="shared" si="505"/>
        <v>61311</v>
      </c>
      <c r="P3485" t="str">
        <f>"2100L"</f>
        <v>2100L</v>
      </c>
      <c r="Q3485" t="str">
        <f t="shared" si="504"/>
        <v>0101</v>
      </c>
      <c r="R3485">
        <v>2100</v>
      </c>
      <c r="S3485" t="str">
        <f t="shared" si="507"/>
        <v>6130</v>
      </c>
      <c r="T3485" t="s">
        <v>3806</v>
      </c>
      <c r="U3485" t="s">
        <v>5363</v>
      </c>
    </row>
    <row r="3486" spans="1:21" ht="15" customHeight="1" x14ac:dyDescent="0.3">
      <c r="A3486" t="s">
        <v>179</v>
      </c>
      <c r="B3486" t="str">
        <f>"00058930"</f>
        <v>00058930</v>
      </c>
      <c r="C3486" t="s">
        <v>4262</v>
      </c>
      <c r="D3486" t="s">
        <v>2772</v>
      </c>
      <c r="E3486" t="str">
        <f>"00053260"</f>
        <v>00053260</v>
      </c>
      <c r="F3486">
        <v>0</v>
      </c>
      <c r="G3486" s="243">
        <v>35370</v>
      </c>
      <c r="H3486" t="s">
        <v>182</v>
      </c>
      <c r="I3486">
        <v>15</v>
      </c>
      <c r="J3486">
        <v>11</v>
      </c>
      <c r="K3486">
        <v>1</v>
      </c>
      <c r="L3486">
        <v>70891</v>
      </c>
      <c r="M3486" t="str">
        <f t="shared" si="503"/>
        <v>13</v>
      </c>
      <c r="N3486" t="s">
        <v>3323</v>
      </c>
      <c r="O3486" t="str">
        <f t="shared" si="505"/>
        <v>61311</v>
      </c>
      <c r="P3486" t="str">
        <f>"2100L"</f>
        <v>2100L</v>
      </c>
      <c r="Q3486" t="str">
        <f t="shared" si="504"/>
        <v>0101</v>
      </c>
      <c r="R3486">
        <v>2100</v>
      </c>
      <c r="S3486" t="str">
        <f t="shared" si="507"/>
        <v>6130</v>
      </c>
      <c r="T3486" t="s">
        <v>3806</v>
      </c>
      <c r="U3486" t="s">
        <v>5363</v>
      </c>
    </row>
    <row r="3487" spans="1:21" ht="15" customHeight="1" x14ac:dyDescent="0.3">
      <c r="A3487" t="s">
        <v>179</v>
      </c>
      <c r="B3487" t="str">
        <f>"00059260"</f>
        <v>00059260</v>
      </c>
      <c r="C3487" t="s">
        <v>4262</v>
      </c>
      <c r="D3487" t="s">
        <v>2773</v>
      </c>
      <c r="E3487" t="str">
        <f>"00053465"</f>
        <v>00053465</v>
      </c>
      <c r="F3487">
        <v>0</v>
      </c>
      <c r="G3487" s="243">
        <v>38649</v>
      </c>
      <c r="H3487" t="s">
        <v>182</v>
      </c>
      <c r="I3487">
        <v>15</v>
      </c>
      <c r="J3487">
        <v>9</v>
      </c>
      <c r="K3487">
        <v>1</v>
      </c>
      <c r="L3487">
        <v>80147</v>
      </c>
      <c r="M3487" t="str">
        <f t="shared" si="503"/>
        <v>13</v>
      </c>
      <c r="N3487" t="s">
        <v>3323</v>
      </c>
      <c r="O3487" t="str">
        <f t="shared" si="505"/>
        <v>61311</v>
      </c>
      <c r="P3487" t="str">
        <f>"2100L"</f>
        <v>2100L</v>
      </c>
      <c r="Q3487" t="str">
        <f t="shared" si="504"/>
        <v>0101</v>
      </c>
      <c r="R3487">
        <v>2100</v>
      </c>
      <c r="S3487" t="str">
        <f t="shared" si="507"/>
        <v>6130</v>
      </c>
      <c r="T3487" t="s">
        <v>3806</v>
      </c>
      <c r="U3487" t="s">
        <v>5363</v>
      </c>
    </row>
    <row r="3488" spans="1:21" ht="15" customHeight="1" x14ac:dyDescent="0.3">
      <c r="A3488" t="s">
        <v>179</v>
      </c>
      <c r="B3488" t="str">
        <f>"00060953"</f>
        <v>00060953</v>
      </c>
      <c r="C3488" t="s">
        <v>4341</v>
      </c>
      <c r="D3488" t="s">
        <v>2774</v>
      </c>
      <c r="E3488" t="str">
        <f>"00050197"</f>
        <v>00050197</v>
      </c>
      <c r="F3488">
        <v>0</v>
      </c>
      <c r="G3488" s="243">
        <v>39314</v>
      </c>
      <c r="H3488" t="s">
        <v>182</v>
      </c>
      <c r="I3488">
        <v>10</v>
      </c>
      <c r="J3488">
        <v>2</v>
      </c>
      <c r="K3488">
        <v>1</v>
      </c>
      <c r="L3488">
        <v>64671</v>
      </c>
      <c r="M3488" t="str">
        <f t="shared" si="503"/>
        <v>13</v>
      </c>
      <c r="N3488" t="s">
        <v>3323</v>
      </c>
      <c r="O3488" t="str">
        <f t="shared" si="505"/>
        <v>61311</v>
      </c>
      <c r="P3488" t="str">
        <f>"3030L"</f>
        <v>3030L</v>
      </c>
      <c r="Q3488" t="str">
        <f t="shared" si="504"/>
        <v>0101</v>
      </c>
      <c r="R3488">
        <v>3030</v>
      </c>
      <c r="S3488" t="str">
        <f t="shared" si="507"/>
        <v>6130</v>
      </c>
      <c r="T3488" t="s">
        <v>3806</v>
      </c>
      <c r="U3488" t="s">
        <v>5363</v>
      </c>
    </row>
    <row r="3489" spans="1:21" ht="15" customHeight="1" x14ac:dyDescent="0.3">
      <c r="A3489" t="s">
        <v>179</v>
      </c>
      <c r="B3489" t="str">
        <f>"00061653"</f>
        <v>00061653</v>
      </c>
      <c r="C3489" t="s">
        <v>4292</v>
      </c>
      <c r="H3489" t="s">
        <v>170</v>
      </c>
      <c r="I3489">
        <v>4</v>
      </c>
      <c r="J3489">
        <v>1</v>
      </c>
      <c r="K3489">
        <v>0.875</v>
      </c>
      <c r="L3489">
        <v>25662</v>
      </c>
      <c r="M3489" t="str">
        <f t="shared" si="503"/>
        <v>13</v>
      </c>
      <c r="N3489" t="s">
        <v>3323</v>
      </c>
      <c r="O3489" t="str">
        <f t="shared" si="505"/>
        <v>61311</v>
      </c>
      <c r="P3489" t="str">
        <f>"3030L"</f>
        <v>3030L</v>
      </c>
      <c r="Q3489" t="str">
        <f t="shared" si="504"/>
        <v>0101</v>
      </c>
      <c r="R3489">
        <v>3030</v>
      </c>
      <c r="S3489" t="str">
        <f t="shared" si="507"/>
        <v>6130</v>
      </c>
      <c r="T3489" t="s">
        <v>3806</v>
      </c>
      <c r="U3489" t="s">
        <v>5363</v>
      </c>
    </row>
    <row r="3490" spans="1:21" ht="15" customHeight="1" x14ac:dyDescent="0.3">
      <c r="A3490" t="s">
        <v>179</v>
      </c>
      <c r="B3490" t="str">
        <f>"00061893"</f>
        <v>00061893</v>
      </c>
      <c r="C3490" t="s">
        <v>4262</v>
      </c>
      <c r="D3490" t="s">
        <v>3811</v>
      </c>
      <c r="E3490" t="str">
        <f>"00066369"</f>
        <v>00066369</v>
      </c>
      <c r="F3490">
        <v>0</v>
      </c>
      <c r="G3490" s="243">
        <v>40755</v>
      </c>
      <c r="H3490" t="s">
        <v>182</v>
      </c>
      <c r="I3490">
        <v>15</v>
      </c>
      <c r="J3490">
        <v>5</v>
      </c>
      <c r="K3490">
        <v>1</v>
      </c>
      <c r="L3490">
        <v>63611</v>
      </c>
      <c r="M3490" t="str">
        <f t="shared" si="503"/>
        <v>13</v>
      </c>
      <c r="N3490" t="s">
        <v>3323</v>
      </c>
      <c r="O3490" t="str">
        <f t="shared" si="505"/>
        <v>61311</v>
      </c>
      <c r="P3490" t="str">
        <f>"2100L"</f>
        <v>2100L</v>
      </c>
      <c r="Q3490" t="str">
        <f t="shared" si="504"/>
        <v>0101</v>
      </c>
      <c r="R3490">
        <v>2100</v>
      </c>
      <c r="S3490" t="str">
        <f t="shared" si="507"/>
        <v>6130</v>
      </c>
      <c r="T3490" t="s">
        <v>3806</v>
      </c>
      <c r="U3490" t="s">
        <v>5363</v>
      </c>
    </row>
    <row r="3491" spans="1:21" ht="15" customHeight="1" x14ac:dyDescent="0.3">
      <c r="A3491" t="s">
        <v>179</v>
      </c>
      <c r="B3491" t="str">
        <f>"00061966"</f>
        <v>00061966</v>
      </c>
      <c r="C3491" t="s">
        <v>4257</v>
      </c>
      <c r="D3491" t="s">
        <v>2776</v>
      </c>
      <c r="E3491" t="str">
        <f>"00050070"</f>
        <v>00050070</v>
      </c>
      <c r="F3491">
        <v>0</v>
      </c>
      <c r="G3491" s="243">
        <v>39679</v>
      </c>
      <c r="H3491" t="s">
        <v>182</v>
      </c>
      <c r="I3491">
        <v>15</v>
      </c>
      <c r="J3491">
        <v>6</v>
      </c>
      <c r="K3491">
        <v>1</v>
      </c>
      <c r="L3491">
        <v>70997</v>
      </c>
      <c r="M3491" t="str">
        <f t="shared" si="503"/>
        <v>13</v>
      </c>
      <c r="N3491" t="s">
        <v>3323</v>
      </c>
      <c r="O3491" t="str">
        <f t="shared" si="505"/>
        <v>61311</v>
      </c>
      <c r="P3491" t="str">
        <f>"2100L"</f>
        <v>2100L</v>
      </c>
      <c r="Q3491" t="str">
        <f t="shared" si="504"/>
        <v>0101</v>
      </c>
      <c r="R3491">
        <v>2100</v>
      </c>
      <c r="S3491" t="str">
        <f t="shared" si="507"/>
        <v>6130</v>
      </c>
      <c r="T3491" t="s">
        <v>3806</v>
      </c>
      <c r="U3491" t="s">
        <v>5363</v>
      </c>
    </row>
    <row r="3492" spans="1:21" ht="15" customHeight="1" x14ac:dyDescent="0.3">
      <c r="A3492" t="s">
        <v>179</v>
      </c>
      <c r="B3492" t="str">
        <f>"00062041"</f>
        <v>00062041</v>
      </c>
      <c r="C3492" t="s">
        <v>4260</v>
      </c>
      <c r="D3492" t="s">
        <v>2777</v>
      </c>
      <c r="E3492" t="str">
        <f>"00057411"</f>
        <v>00057411</v>
      </c>
      <c r="F3492">
        <v>0</v>
      </c>
      <c r="G3492" s="243">
        <v>40042</v>
      </c>
      <c r="H3492" t="s">
        <v>182</v>
      </c>
      <c r="I3492">
        <v>15</v>
      </c>
      <c r="J3492">
        <v>3</v>
      </c>
      <c r="K3492">
        <v>1</v>
      </c>
      <c r="L3492">
        <v>58699</v>
      </c>
      <c r="M3492" t="str">
        <f t="shared" si="503"/>
        <v>13</v>
      </c>
      <c r="N3492" t="s">
        <v>3323</v>
      </c>
      <c r="O3492" t="str">
        <f t="shared" si="505"/>
        <v>61311</v>
      </c>
      <c r="P3492" t="str">
        <f>"3030L"</f>
        <v>3030L</v>
      </c>
      <c r="Q3492" t="str">
        <f t="shared" si="504"/>
        <v>0101</v>
      </c>
      <c r="R3492">
        <v>3030</v>
      </c>
      <c r="S3492" t="str">
        <f t="shared" si="507"/>
        <v>6130</v>
      </c>
      <c r="T3492" t="s">
        <v>3806</v>
      </c>
      <c r="U3492" t="s">
        <v>5363</v>
      </c>
    </row>
    <row r="3493" spans="1:21" ht="15" customHeight="1" x14ac:dyDescent="0.3">
      <c r="A3493" t="s">
        <v>179</v>
      </c>
      <c r="B3493" t="str">
        <f>"00062069"</f>
        <v>00062069</v>
      </c>
      <c r="C3493" t="s">
        <v>4262</v>
      </c>
      <c r="D3493" t="s">
        <v>5365</v>
      </c>
      <c r="E3493" t="str">
        <f>"00069630"</f>
        <v>00069630</v>
      </c>
      <c r="F3493">
        <v>0</v>
      </c>
      <c r="G3493" s="243">
        <v>41133</v>
      </c>
      <c r="H3493" t="s">
        <v>182</v>
      </c>
      <c r="I3493">
        <v>15</v>
      </c>
      <c r="J3493">
        <v>10</v>
      </c>
      <c r="K3493">
        <v>1</v>
      </c>
      <c r="L3493">
        <v>78273</v>
      </c>
      <c r="M3493" t="str">
        <f t="shared" si="503"/>
        <v>13</v>
      </c>
      <c r="N3493" t="s">
        <v>3370</v>
      </c>
      <c r="O3493" t="str">
        <f t="shared" si="505"/>
        <v>61311</v>
      </c>
      <c r="P3493" t="str">
        <f>"2100L"</f>
        <v>2100L</v>
      </c>
      <c r="Q3493" t="str">
        <f t="shared" si="504"/>
        <v>0101</v>
      </c>
      <c r="R3493">
        <v>2100</v>
      </c>
      <c r="S3493" t="str">
        <f t="shared" si="507"/>
        <v>6130</v>
      </c>
      <c r="T3493" t="s">
        <v>3806</v>
      </c>
      <c r="U3493" t="s">
        <v>5363</v>
      </c>
    </row>
    <row r="3494" spans="1:21" ht="15" customHeight="1" x14ac:dyDescent="0.3">
      <c r="A3494" t="s">
        <v>179</v>
      </c>
      <c r="B3494" t="str">
        <f>"00062083"</f>
        <v>00062083</v>
      </c>
      <c r="C3494" t="s">
        <v>4272</v>
      </c>
      <c r="D3494" t="s">
        <v>5366</v>
      </c>
      <c r="E3494" t="str">
        <f>"00066032"</f>
        <v>00066032</v>
      </c>
      <c r="F3494">
        <v>0</v>
      </c>
      <c r="G3494" s="243">
        <v>40770</v>
      </c>
      <c r="H3494" t="s">
        <v>182</v>
      </c>
      <c r="I3494">
        <v>15</v>
      </c>
      <c r="J3494">
        <v>4</v>
      </c>
      <c r="K3494">
        <v>1</v>
      </c>
      <c r="L3494">
        <v>61158</v>
      </c>
      <c r="M3494" t="str">
        <f t="shared" si="503"/>
        <v>13</v>
      </c>
      <c r="N3494" t="s">
        <v>3370</v>
      </c>
      <c r="O3494" t="str">
        <f t="shared" si="505"/>
        <v>61311</v>
      </c>
      <c r="P3494" t="str">
        <f>"2100L"</f>
        <v>2100L</v>
      </c>
      <c r="Q3494" t="str">
        <f t="shared" si="504"/>
        <v>0101</v>
      </c>
      <c r="R3494">
        <v>2100</v>
      </c>
      <c r="S3494" t="str">
        <f t="shared" si="507"/>
        <v>6130</v>
      </c>
      <c r="T3494" t="s">
        <v>3806</v>
      </c>
      <c r="U3494" t="s">
        <v>5363</v>
      </c>
    </row>
    <row r="3495" spans="1:21" ht="15" customHeight="1" x14ac:dyDescent="0.3">
      <c r="A3495" t="s">
        <v>179</v>
      </c>
      <c r="B3495" t="str">
        <f>"00062117"</f>
        <v>00062117</v>
      </c>
      <c r="C3495" t="s">
        <v>4262</v>
      </c>
      <c r="D3495" t="s">
        <v>2778</v>
      </c>
      <c r="E3495" t="str">
        <f>"00049081"</f>
        <v>00049081</v>
      </c>
      <c r="F3495">
        <v>0</v>
      </c>
      <c r="G3495" s="243">
        <v>39679</v>
      </c>
      <c r="H3495" t="s">
        <v>182</v>
      </c>
      <c r="I3495">
        <v>15</v>
      </c>
      <c r="J3495">
        <v>5</v>
      </c>
      <c r="K3495">
        <v>1</v>
      </c>
      <c r="L3495">
        <v>63611</v>
      </c>
      <c r="M3495" t="str">
        <f t="shared" si="503"/>
        <v>13</v>
      </c>
      <c r="N3495" t="s">
        <v>3323</v>
      </c>
      <c r="O3495" t="str">
        <f t="shared" si="505"/>
        <v>61311</v>
      </c>
      <c r="P3495" t="str">
        <f>"2100L"</f>
        <v>2100L</v>
      </c>
      <c r="Q3495" t="str">
        <f t="shared" si="504"/>
        <v>0101</v>
      </c>
      <c r="R3495">
        <v>2100</v>
      </c>
      <c r="S3495" t="str">
        <f t="shared" si="507"/>
        <v>6130</v>
      </c>
      <c r="T3495" t="s">
        <v>3806</v>
      </c>
      <c r="U3495" t="s">
        <v>5363</v>
      </c>
    </row>
    <row r="3496" spans="1:21" ht="15" customHeight="1" x14ac:dyDescent="0.3">
      <c r="A3496" t="s">
        <v>179</v>
      </c>
      <c r="B3496" t="str">
        <f>"00062118"</f>
        <v>00062118</v>
      </c>
      <c r="C3496" t="s">
        <v>4274</v>
      </c>
      <c r="D3496" t="s">
        <v>5367</v>
      </c>
      <c r="E3496" t="str">
        <f>"00066437"</f>
        <v>00066437</v>
      </c>
      <c r="F3496">
        <v>0</v>
      </c>
      <c r="G3496" s="243">
        <v>40770</v>
      </c>
      <c r="H3496" t="s">
        <v>182</v>
      </c>
      <c r="I3496">
        <v>4</v>
      </c>
      <c r="J3496">
        <v>6</v>
      </c>
      <c r="K3496">
        <v>0.875</v>
      </c>
      <c r="L3496">
        <v>25935.88</v>
      </c>
      <c r="M3496" t="str">
        <f t="shared" si="503"/>
        <v>13</v>
      </c>
      <c r="N3496" t="s">
        <v>3323</v>
      </c>
      <c r="O3496" t="str">
        <f t="shared" si="505"/>
        <v>61311</v>
      </c>
      <c r="P3496" t="str">
        <f>"2100L"</f>
        <v>2100L</v>
      </c>
      <c r="Q3496" t="str">
        <f t="shared" si="504"/>
        <v>0101</v>
      </c>
      <c r="R3496">
        <v>2100</v>
      </c>
      <c r="S3496" t="str">
        <f t="shared" si="507"/>
        <v>6130</v>
      </c>
      <c r="T3496" t="s">
        <v>3806</v>
      </c>
      <c r="U3496" t="s">
        <v>5363</v>
      </c>
    </row>
    <row r="3497" spans="1:21" ht="15" customHeight="1" x14ac:dyDescent="0.3">
      <c r="A3497" t="s">
        <v>179</v>
      </c>
      <c r="B3497" t="str">
        <f>"00062121"</f>
        <v>00062121</v>
      </c>
      <c r="C3497" t="s">
        <v>4260</v>
      </c>
      <c r="D3497" t="s">
        <v>2779</v>
      </c>
      <c r="E3497" t="str">
        <f>"00062953"</f>
        <v>00062953</v>
      </c>
      <c r="F3497">
        <v>0</v>
      </c>
      <c r="G3497" s="243">
        <v>40406</v>
      </c>
      <c r="H3497" t="s">
        <v>182</v>
      </c>
      <c r="I3497">
        <v>15</v>
      </c>
      <c r="J3497">
        <v>10</v>
      </c>
      <c r="K3497">
        <v>1</v>
      </c>
      <c r="L3497">
        <v>78273</v>
      </c>
      <c r="M3497" t="str">
        <f t="shared" si="503"/>
        <v>13</v>
      </c>
      <c r="N3497" t="s">
        <v>3323</v>
      </c>
      <c r="O3497" t="str">
        <f t="shared" si="505"/>
        <v>61311</v>
      </c>
      <c r="P3497" t="str">
        <f>"3030L"</f>
        <v>3030L</v>
      </c>
      <c r="Q3497" t="str">
        <f t="shared" si="504"/>
        <v>0101</v>
      </c>
      <c r="R3497">
        <v>3030</v>
      </c>
      <c r="S3497" t="str">
        <f t="shared" si="507"/>
        <v>6130</v>
      </c>
      <c r="T3497" t="s">
        <v>3806</v>
      </c>
      <c r="U3497" t="s">
        <v>5363</v>
      </c>
    </row>
    <row r="3498" spans="1:21" ht="15" customHeight="1" x14ac:dyDescent="0.3">
      <c r="A3498" t="s">
        <v>179</v>
      </c>
      <c r="B3498" t="str">
        <f>"00062124"</f>
        <v>00062124</v>
      </c>
      <c r="C3498" t="s">
        <v>4262</v>
      </c>
      <c r="D3498" t="s">
        <v>2780</v>
      </c>
      <c r="E3498" t="str">
        <f>"00046799"</f>
        <v>00046799</v>
      </c>
      <c r="F3498">
        <v>0</v>
      </c>
      <c r="G3498" s="243">
        <v>38587</v>
      </c>
      <c r="H3498" t="s">
        <v>182</v>
      </c>
      <c r="I3498">
        <v>15</v>
      </c>
      <c r="J3498">
        <v>8</v>
      </c>
      <c r="K3498">
        <v>1</v>
      </c>
      <c r="L3498">
        <v>63517</v>
      </c>
      <c r="M3498" t="str">
        <f t="shared" si="503"/>
        <v>13</v>
      </c>
      <c r="N3498" t="s">
        <v>3323</v>
      </c>
      <c r="O3498" t="str">
        <f t="shared" si="505"/>
        <v>61311</v>
      </c>
      <c r="P3498" t="str">
        <f>"2100L"</f>
        <v>2100L</v>
      </c>
      <c r="Q3498" t="str">
        <f t="shared" si="504"/>
        <v>0101</v>
      </c>
      <c r="R3498">
        <v>2100</v>
      </c>
      <c r="S3498" t="str">
        <f t="shared" si="507"/>
        <v>6130</v>
      </c>
      <c r="T3498" t="s">
        <v>3806</v>
      </c>
      <c r="U3498" t="s">
        <v>5363</v>
      </c>
    </row>
    <row r="3499" spans="1:21" ht="15" customHeight="1" x14ac:dyDescent="0.3">
      <c r="A3499" t="s">
        <v>179</v>
      </c>
      <c r="B3499" t="str">
        <f>"00062207"</f>
        <v>00062207</v>
      </c>
      <c r="C3499" t="s">
        <v>4262</v>
      </c>
      <c r="D3499" t="s">
        <v>5368</v>
      </c>
      <c r="E3499" t="str">
        <f>"00069845"</f>
        <v>00069845</v>
      </c>
      <c r="F3499">
        <v>0</v>
      </c>
      <c r="G3499" s="243">
        <v>41133</v>
      </c>
      <c r="H3499" t="s">
        <v>182</v>
      </c>
      <c r="I3499">
        <v>15</v>
      </c>
      <c r="J3499">
        <v>1</v>
      </c>
      <c r="K3499">
        <v>1</v>
      </c>
      <c r="L3499">
        <v>51539</v>
      </c>
      <c r="M3499" t="str">
        <f t="shared" si="503"/>
        <v>13</v>
      </c>
      <c r="N3499" t="s">
        <v>3370</v>
      </c>
      <c r="O3499" t="str">
        <f t="shared" si="505"/>
        <v>61311</v>
      </c>
      <c r="P3499" t="str">
        <f>"2100L"</f>
        <v>2100L</v>
      </c>
      <c r="Q3499" t="str">
        <f t="shared" si="504"/>
        <v>0101</v>
      </c>
      <c r="R3499">
        <v>2100</v>
      </c>
      <c r="S3499" t="str">
        <f t="shared" si="507"/>
        <v>6130</v>
      </c>
      <c r="T3499" t="s">
        <v>3806</v>
      </c>
      <c r="U3499" t="s">
        <v>5363</v>
      </c>
    </row>
    <row r="3500" spans="1:21" ht="15" customHeight="1" x14ac:dyDescent="0.3">
      <c r="A3500" t="s">
        <v>179</v>
      </c>
      <c r="B3500" t="str">
        <f>"00062229"</f>
        <v>00062229</v>
      </c>
      <c r="C3500" t="s">
        <v>4262</v>
      </c>
      <c r="D3500" t="s">
        <v>2781</v>
      </c>
      <c r="E3500" t="str">
        <f>"00063014"</f>
        <v>00063014</v>
      </c>
      <c r="F3500">
        <v>0</v>
      </c>
      <c r="G3500" s="243">
        <v>40406</v>
      </c>
      <c r="H3500" t="s">
        <v>182</v>
      </c>
      <c r="I3500">
        <v>15</v>
      </c>
      <c r="J3500">
        <v>3</v>
      </c>
      <c r="K3500">
        <v>1</v>
      </c>
      <c r="L3500">
        <v>52777</v>
      </c>
      <c r="M3500" t="str">
        <f t="shared" si="503"/>
        <v>13</v>
      </c>
      <c r="N3500" t="s">
        <v>3323</v>
      </c>
      <c r="O3500" t="str">
        <f t="shared" si="505"/>
        <v>61311</v>
      </c>
      <c r="P3500" t="str">
        <f>"2100L"</f>
        <v>2100L</v>
      </c>
      <c r="Q3500" t="str">
        <f t="shared" si="504"/>
        <v>0101</v>
      </c>
      <c r="R3500">
        <v>2100</v>
      </c>
      <c r="S3500" t="str">
        <f t="shared" si="507"/>
        <v>6130</v>
      </c>
      <c r="T3500" t="s">
        <v>3806</v>
      </c>
      <c r="U3500" t="s">
        <v>5363</v>
      </c>
    </row>
    <row r="3501" spans="1:21" ht="15" customHeight="1" x14ac:dyDescent="0.3">
      <c r="A3501" t="s">
        <v>179</v>
      </c>
      <c r="B3501" t="str">
        <f>"00062230"</f>
        <v>00062230</v>
      </c>
      <c r="C3501" t="s">
        <v>4272</v>
      </c>
      <c r="D3501" t="s">
        <v>3808</v>
      </c>
      <c r="E3501" t="str">
        <f>"00049100"</f>
        <v>00049100</v>
      </c>
      <c r="F3501">
        <v>0</v>
      </c>
      <c r="G3501" s="243">
        <v>41133</v>
      </c>
      <c r="H3501" t="s">
        <v>182</v>
      </c>
      <c r="I3501">
        <v>15</v>
      </c>
      <c r="J3501">
        <v>4</v>
      </c>
      <c r="K3501">
        <v>1</v>
      </c>
      <c r="L3501">
        <v>61158</v>
      </c>
      <c r="M3501" t="str">
        <f t="shared" si="503"/>
        <v>13</v>
      </c>
      <c r="N3501" t="s">
        <v>3370</v>
      </c>
      <c r="O3501" t="str">
        <f t="shared" ref="O3501:O3526" si="508">"61311"</f>
        <v>61311</v>
      </c>
      <c r="P3501" t="str">
        <f>"2100L"</f>
        <v>2100L</v>
      </c>
      <c r="Q3501" t="str">
        <f t="shared" si="504"/>
        <v>0101</v>
      </c>
      <c r="R3501">
        <v>2100</v>
      </c>
      <c r="S3501" t="str">
        <f t="shared" ref="S3501:S3526" si="509">"6130"</f>
        <v>6130</v>
      </c>
      <c r="T3501" t="s">
        <v>3806</v>
      </c>
      <c r="U3501" t="s">
        <v>5363</v>
      </c>
    </row>
    <row r="3502" spans="1:21" ht="15" customHeight="1" x14ac:dyDescent="0.3">
      <c r="A3502" t="s">
        <v>179</v>
      </c>
      <c r="B3502" t="str">
        <f>"00062245"</f>
        <v>00062245</v>
      </c>
      <c r="C3502" t="s">
        <v>4260</v>
      </c>
      <c r="D3502" t="s">
        <v>3812</v>
      </c>
      <c r="E3502" t="str">
        <f>"00065821"</f>
        <v>00065821</v>
      </c>
      <c r="F3502">
        <v>0</v>
      </c>
      <c r="G3502" s="243">
        <v>40755</v>
      </c>
      <c r="H3502" t="s">
        <v>182</v>
      </c>
      <c r="I3502">
        <v>15</v>
      </c>
      <c r="J3502">
        <v>2</v>
      </c>
      <c r="K3502">
        <v>1</v>
      </c>
      <c r="L3502">
        <v>51716</v>
      </c>
      <c r="M3502" t="str">
        <f t="shared" si="503"/>
        <v>13</v>
      </c>
      <c r="N3502" t="s">
        <v>3323</v>
      </c>
      <c r="O3502" t="str">
        <f t="shared" si="508"/>
        <v>61311</v>
      </c>
      <c r="P3502" t="str">
        <f>"3030L"</f>
        <v>3030L</v>
      </c>
      <c r="Q3502" t="str">
        <f t="shared" si="504"/>
        <v>0101</v>
      </c>
      <c r="R3502">
        <v>3030</v>
      </c>
      <c r="S3502" t="str">
        <f t="shared" si="509"/>
        <v>6130</v>
      </c>
      <c r="T3502" t="s">
        <v>3806</v>
      </c>
      <c r="U3502" t="s">
        <v>5363</v>
      </c>
    </row>
    <row r="3503" spans="1:21" ht="15" customHeight="1" x14ac:dyDescent="0.3">
      <c r="A3503" t="s">
        <v>179</v>
      </c>
      <c r="B3503" t="str">
        <f>"00065829"</f>
        <v>00065829</v>
      </c>
      <c r="C3503" t="s">
        <v>4262</v>
      </c>
      <c r="D3503" t="s">
        <v>563</v>
      </c>
      <c r="E3503" t="str">
        <f>"00035846"</f>
        <v>00035846</v>
      </c>
      <c r="F3503">
        <v>1</v>
      </c>
      <c r="G3503" s="243">
        <v>39315</v>
      </c>
      <c r="H3503" t="s">
        <v>182</v>
      </c>
      <c r="I3503">
        <v>15</v>
      </c>
      <c r="J3503">
        <v>12</v>
      </c>
      <c r="K3503">
        <v>1</v>
      </c>
      <c r="L3503">
        <v>87431</v>
      </c>
      <c r="M3503" t="str">
        <f t="shared" si="503"/>
        <v>13</v>
      </c>
      <c r="N3503" t="s">
        <v>3323</v>
      </c>
      <c r="O3503" t="str">
        <f t="shared" si="508"/>
        <v>61311</v>
      </c>
      <c r="P3503" t="str">
        <f>"2100L"</f>
        <v>2100L</v>
      </c>
      <c r="Q3503" t="str">
        <f t="shared" si="504"/>
        <v>0101</v>
      </c>
      <c r="R3503">
        <v>2100</v>
      </c>
      <c r="S3503" t="str">
        <f t="shared" si="509"/>
        <v>6130</v>
      </c>
      <c r="T3503" t="s">
        <v>3806</v>
      </c>
      <c r="U3503" t="s">
        <v>5363</v>
      </c>
    </row>
    <row r="3504" spans="1:21" ht="15" customHeight="1" x14ac:dyDescent="0.3">
      <c r="A3504" t="s">
        <v>179</v>
      </c>
      <c r="B3504" t="str">
        <f>"00065830"</f>
        <v>00065830</v>
      </c>
      <c r="C3504" t="s">
        <v>4253</v>
      </c>
      <c r="D3504" t="s">
        <v>3809</v>
      </c>
      <c r="E3504" t="str">
        <f>"00065711"</f>
        <v>00065711</v>
      </c>
      <c r="F3504">
        <v>0</v>
      </c>
      <c r="G3504" s="243">
        <v>40755</v>
      </c>
      <c r="H3504" t="s">
        <v>182</v>
      </c>
      <c r="I3504">
        <v>15</v>
      </c>
      <c r="J3504">
        <v>9</v>
      </c>
      <c r="K3504">
        <v>1</v>
      </c>
      <c r="L3504">
        <v>75232</v>
      </c>
      <c r="M3504" t="str">
        <f t="shared" si="503"/>
        <v>13</v>
      </c>
      <c r="N3504" t="s">
        <v>3323</v>
      </c>
      <c r="O3504" t="str">
        <f t="shared" si="508"/>
        <v>61311</v>
      </c>
      <c r="P3504" t="str">
        <f>"2100L"</f>
        <v>2100L</v>
      </c>
      <c r="Q3504" t="str">
        <f t="shared" si="504"/>
        <v>0101</v>
      </c>
      <c r="R3504">
        <v>2100</v>
      </c>
      <c r="S3504" t="str">
        <f t="shared" si="509"/>
        <v>6130</v>
      </c>
      <c r="T3504" t="s">
        <v>3806</v>
      </c>
      <c r="U3504" t="s">
        <v>5363</v>
      </c>
    </row>
    <row r="3505" spans="1:21" ht="15" customHeight="1" x14ac:dyDescent="0.3">
      <c r="A3505" t="s">
        <v>179</v>
      </c>
      <c r="B3505" t="str">
        <f>"00065831"</f>
        <v>00065831</v>
      </c>
      <c r="C3505" t="s">
        <v>4262</v>
      </c>
      <c r="D3505" t="s">
        <v>2782</v>
      </c>
      <c r="E3505" t="str">
        <f>"00057132"</f>
        <v>00057132</v>
      </c>
      <c r="F3505">
        <v>0</v>
      </c>
      <c r="G3505" s="243">
        <v>40042</v>
      </c>
      <c r="H3505" t="s">
        <v>182</v>
      </c>
      <c r="I3505">
        <v>15</v>
      </c>
      <c r="J3505">
        <v>5</v>
      </c>
      <c r="K3505">
        <v>1</v>
      </c>
      <c r="L3505">
        <v>63611</v>
      </c>
      <c r="M3505" t="str">
        <f t="shared" si="503"/>
        <v>13</v>
      </c>
      <c r="N3505" t="s">
        <v>3323</v>
      </c>
      <c r="O3505" t="str">
        <f t="shared" si="508"/>
        <v>61311</v>
      </c>
      <c r="P3505" t="str">
        <f>"2100L"</f>
        <v>2100L</v>
      </c>
      <c r="Q3505" t="str">
        <f t="shared" si="504"/>
        <v>0101</v>
      </c>
      <c r="R3505">
        <v>2100</v>
      </c>
      <c r="S3505" t="str">
        <f t="shared" si="509"/>
        <v>6130</v>
      </c>
      <c r="T3505" t="s">
        <v>3806</v>
      </c>
      <c r="U3505" t="s">
        <v>5363</v>
      </c>
    </row>
    <row r="3506" spans="1:21" ht="15" customHeight="1" x14ac:dyDescent="0.3">
      <c r="A3506" t="s">
        <v>179</v>
      </c>
      <c r="B3506" t="str">
        <f>"00065833"</f>
        <v>00065833</v>
      </c>
      <c r="C3506" t="s">
        <v>4260</v>
      </c>
      <c r="D3506" t="s">
        <v>2783</v>
      </c>
      <c r="E3506" t="str">
        <f>"00057867"</f>
        <v>00057867</v>
      </c>
      <c r="F3506">
        <v>0</v>
      </c>
      <c r="G3506" s="243">
        <v>40042</v>
      </c>
      <c r="H3506" t="s">
        <v>182</v>
      </c>
      <c r="I3506">
        <v>15</v>
      </c>
      <c r="J3506">
        <v>4</v>
      </c>
      <c r="K3506">
        <v>1</v>
      </c>
      <c r="L3506">
        <v>61158</v>
      </c>
      <c r="M3506" t="str">
        <f t="shared" si="503"/>
        <v>13</v>
      </c>
      <c r="N3506" t="s">
        <v>3323</v>
      </c>
      <c r="O3506" t="str">
        <f t="shared" si="508"/>
        <v>61311</v>
      </c>
      <c r="P3506" t="str">
        <f>"3030L"</f>
        <v>3030L</v>
      </c>
      <c r="Q3506" t="str">
        <f t="shared" si="504"/>
        <v>0101</v>
      </c>
      <c r="R3506">
        <v>3030</v>
      </c>
      <c r="S3506" t="str">
        <f t="shared" si="509"/>
        <v>6130</v>
      </c>
      <c r="T3506" t="s">
        <v>3806</v>
      </c>
      <c r="U3506" t="s">
        <v>5363</v>
      </c>
    </row>
    <row r="3507" spans="1:21" ht="15" customHeight="1" x14ac:dyDescent="0.3">
      <c r="A3507" t="s">
        <v>179</v>
      </c>
      <c r="B3507" t="str">
        <f>"00065834"</f>
        <v>00065834</v>
      </c>
      <c r="C3507" t="s">
        <v>4260</v>
      </c>
      <c r="D3507" t="s">
        <v>2784</v>
      </c>
      <c r="E3507" t="str">
        <f>"00060316"</f>
        <v>00060316</v>
      </c>
      <c r="F3507">
        <v>0</v>
      </c>
      <c r="G3507" s="243">
        <v>40199</v>
      </c>
      <c r="H3507" t="s">
        <v>182</v>
      </c>
      <c r="I3507">
        <v>15</v>
      </c>
      <c r="J3507">
        <v>3</v>
      </c>
      <c r="K3507">
        <v>1</v>
      </c>
      <c r="L3507">
        <v>58699</v>
      </c>
      <c r="M3507" t="str">
        <f t="shared" si="503"/>
        <v>13</v>
      </c>
      <c r="N3507" t="s">
        <v>3323</v>
      </c>
      <c r="O3507" t="str">
        <f t="shared" si="508"/>
        <v>61311</v>
      </c>
      <c r="P3507" t="str">
        <f>"3030L"</f>
        <v>3030L</v>
      </c>
      <c r="Q3507" t="str">
        <f t="shared" si="504"/>
        <v>0101</v>
      </c>
      <c r="R3507">
        <v>3030</v>
      </c>
      <c r="S3507" t="str">
        <f t="shared" si="509"/>
        <v>6130</v>
      </c>
      <c r="T3507" t="s">
        <v>3806</v>
      </c>
      <c r="U3507" t="s">
        <v>5363</v>
      </c>
    </row>
    <row r="3508" spans="1:21" ht="15" customHeight="1" x14ac:dyDescent="0.3">
      <c r="A3508" t="s">
        <v>179</v>
      </c>
      <c r="B3508" t="str">
        <f>"00066099"</f>
        <v>00066099</v>
      </c>
      <c r="C3508" t="s">
        <v>4274</v>
      </c>
      <c r="H3508" t="s">
        <v>170</v>
      </c>
      <c r="I3508">
        <v>4</v>
      </c>
      <c r="J3508">
        <v>1</v>
      </c>
      <c r="K3508">
        <v>1</v>
      </c>
      <c r="L3508">
        <v>25662</v>
      </c>
      <c r="M3508" t="str">
        <f t="shared" si="503"/>
        <v>13</v>
      </c>
      <c r="N3508" t="s">
        <v>3323</v>
      </c>
      <c r="O3508" t="str">
        <f t="shared" si="508"/>
        <v>61311</v>
      </c>
      <c r="P3508" t="str">
        <f>"2100L"</f>
        <v>2100L</v>
      </c>
      <c r="Q3508" t="str">
        <f t="shared" si="504"/>
        <v>0101</v>
      </c>
      <c r="R3508">
        <v>2100</v>
      </c>
      <c r="S3508" t="str">
        <f t="shared" si="509"/>
        <v>6130</v>
      </c>
      <c r="T3508" t="s">
        <v>3806</v>
      </c>
      <c r="U3508" t="s">
        <v>5363</v>
      </c>
    </row>
    <row r="3509" spans="1:21" ht="15" customHeight="1" x14ac:dyDescent="0.3">
      <c r="A3509" t="s">
        <v>179</v>
      </c>
      <c r="B3509" t="str">
        <f>"00066884"</f>
        <v>00066884</v>
      </c>
      <c r="C3509" t="s">
        <v>4262</v>
      </c>
      <c r="D3509" t="s">
        <v>3810</v>
      </c>
      <c r="E3509" t="str">
        <f>"00006373"</f>
        <v>00006373</v>
      </c>
      <c r="F3509">
        <v>0</v>
      </c>
      <c r="G3509" s="243">
        <v>40050</v>
      </c>
      <c r="H3509" t="s">
        <v>182</v>
      </c>
      <c r="I3509">
        <v>15</v>
      </c>
      <c r="J3509">
        <v>2</v>
      </c>
      <c r="K3509">
        <v>1</v>
      </c>
      <c r="L3509">
        <v>58699</v>
      </c>
      <c r="M3509" t="str">
        <f t="shared" si="503"/>
        <v>13</v>
      </c>
      <c r="N3509" t="s">
        <v>3323</v>
      </c>
      <c r="O3509" t="str">
        <f t="shared" si="508"/>
        <v>61311</v>
      </c>
      <c r="P3509" t="str">
        <f>"2100L"</f>
        <v>2100L</v>
      </c>
      <c r="Q3509" t="str">
        <f t="shared" si="504"/>
        <v>0101</v>
      </c>
      <c r="R3509">
        <v>2100</v>
      </c>
      <c r="S3509" t="str">
        <f t="shared" si="509"/>
        <v>6130</v>
      </c>
      <c r="T3509" t="s">
        <v>3806</v>
      </c>
      <c r="U3509" t="s">
        <v>5363</v>
      </c>
    </row>
    <row r="3510" spans="1:21" ht="15" customHeight="1" x14ac:dyDescent="0.3">
      <c r="A3510" t="s">
        <v>179</v>
      </c>
      <c r="B3510" t="str">
        <f>"00070804"</f>
        <v>00070804</v>
      </c>
      <c r="C3510" t="s">
        <v>4290</v>
      </c>
      <c r="D3510" t="s">
        <v>5369</v>
      </c>
      <c r="E3510" t="str">
        <f>"00059960"</f>
        <v>00059960</v>
      </c>
      <c r="F3510">
        <v>0</v>
      </c>
      <c r="G3510" s="243">
        <v>40150</v>
      </c>
      <c r="H3510" t="s">
        <v>182</v>
      </c>
      <c r="I3510">
        <v>4</v>
      </c>
      <c r="J3510">
        <v>5</v>
      </c>
      <c r="K3510">
        <v>0.71</v>
      </c>
      <c r="L3510">
        <v>25239.37</v>
      </c>
      <c r="M3510" t="str">
        <f t="shared" si="503"/>
        <v>13</v>
      </c>
      <c r="N3510" t="s">
        <v>3323</v>
      </c>
      <c r="O3510" t="str">
        <f t="shared" si="508"/>
        <v>61311</v>
      </c>
      <c r="P3510" t="str">
        <f>"2100L"</f>
        <v>2100L</v>
      </c>
      <c r="Q3510" t="str">
        <f t="shared" si="504"/>
        <v>0101</v>
      </c>
      <c r="R3510">
        <v>2100</v>
      </c>
      <c r="S3510" t="str">
        <f t="shared" si="509"/>
        <v>6130</v>
      </c>
      <c r="T3510" t="s">
        <v>3806</v>
      </c>
      <c r="U3510" t="s">
        <v>5363</v>
      </c>
    </row>
    <row r="3511" spans="1:21" ht="15" customHeight="1" x14ac:dyDescent="0.3">
      <c r="A3511" t="s">
        <v>179</v>
      </c>
      <c r="B3511" t="str">
        <f>"00070894"</f>
        <v>00070894</v>
      </c>
      <c r="C3511" t="s">
        <v>4614</v>
      </c>
      <c r="D3511" t="s">
        <v>2785</v>
      </c>
      <c r="E3511" t="str">
        <f>"00043474"</f>
        <v>00043474</v>
      </c>
      <c r="F3511">
        <v>0</v>
      </c>
      <c r="G3511" s="243">
        <v>39790</v>
      </c>
      <c r="H3511" t="s">
        <v>182</v>
      </c>
      <c r="I3511">
        <v>7</v>
      </c>
      <c r="J3511">
        <v>8</v>
      </c>
      <c r="K3511">
        <v>1</v>
      </c>
      <c r="L3511">
        <v>42621</v>
      </c>
      <c r="M3511" t="str">
        <f t="shared" si="503"/>
        <v>13</v>
      </c>
      <c r="N3511" t="s">
        <v>3323</v>
      </c>
      <c r="O3511" t="str">
        <f t="shared" si="508"/>
        <v>61311</v>
      </c>
      <c r="P3511" t="str">
        <f>"1502L"</f>
        <v>1502L</v>
      </c>
      <c r="Q3511" t="str">
        <f t="shared" si="504"/>
        <v>0101</v>
      </c>
      <c r="R3511">
        <v>1502</v>
      </c>
      <c r="S3511" t="str">
        <f t="shared" si="509"/>
        <v>6130</v>
      </c>
      <c r="T3511" t="s">
        <v>3806</v>
      </c>
      <c r="U3511" t="s">
        <v>5363</v>
      </c>
    </row>
    <row r="3512" spans="1:21" ht="15" customHeight="1" x14ac:dyDescent="0.3">
      <c r="A3512" t="s">
        <v>179</v>
      </c>
      <c r="B3512" t="str">
        <f>"00072084"</f>
        <v>00072084</v>
      </c>
      <c r="C3512" t="s">
        <v>4274</v>
      </c>
      <c r="D3512" t="s">
        <v>5370</v>
      </c>
      <c r="E3512" t="str">
        <f>"00051590"</f>
        <v>00051590</v>
      </c>
      <c r="F3512">
        <v>0</v>
      </c>
      <c r="G3512" s="243">
        <v>32174</v>
      </c>
      <c r="H3512" t="s">
        <v>182</v>
      </c>
      <c r="I3512">
        <v>4</v>
      </c>
      <c r="J3512">
        <v>10</v>
      </c>
      <c r="K3512">
        <v>1</v>
      </c>
      <c r="L3512">
        <v>28721</v>
      </c>
      <c r="M3512" t="str">
        <f t="shared" si="503"/>
        <v>13</v>
      </c>
      <c r="N3512" t="s">
        <v>3323</v>
      </c>
      <c r="O3512" t="str">
        <f t="shared" si="508"/>
        <v>61311</v>
      </c>
      <c r="P3512" t="str">
        <f>"2200L"</f>
        <v>2200L</v>
      </c>
      <c r="Q3512" t="str">
        <f t="shared" si="504"/>
        <v>0101</v>
      </c>
      <c r="R3512">
        <v>2200</v>
      </c>
      <c r="S3512" t="str">
        <f t="shared" si="509"/>
        <v>6130</v>
      </c>
      <c r="T3512" t="s">
        <v>3806</v>
      </c>
      <c r="U3512" t="s">
        <v>5363</v>
      </c>
    </row>
    <row r="3513" spans="1:21" ht="15" customHeight="1" x14ac:dyDescent="0.3">
      <c r="A3513" t="s">
        <v>179</v>
      </c>
      <c r="B3513" t="str">
        <f>"00072085"</f>
        <v>00072085</v>
      </c>
      <c r="C3513" t="s">
        <v>4288</v>
      </c>
      <c r="D3513" t="s">
        <v>5371</v>
      </c>
      <c r="E3513" t="str">
        <f>"00046942"</f>
        <v>00046942</v>
      </c>
      <c r="F3513">
        <v>0</v>
      </c>
      <c r="G3513" s="243">
        <v>39679</v>
      </c>
      <c r="H3513" t="s">
        <v>182</v>
      </c>
      <c r="I3513">
        <v>4</v>
      </c>
      <c r="J3513">
        <v>6</v>
      </c>
      <c r="K3513">
        <v>1</v>
      </c>
      <c r="L3513">
        <v>25935.88</v>
      </c>
      <c r="M3513" t="str">
        <f t="shared" si="503"/>
        <v>13</v>
      </c>
      <c r="N3513" t="s">
        <v>3323</v>
      </c>
      <c r="O3513" t="str">
        <f t="shared" si="508"/>
        <v>61311</v>
      </c>
      <c r="P3513" t="str">
        <f>"2200L"</f>
        <v>2200L</v>
      </c>
      <c r="Q3513" t="str">
        <f t="shared" si="504"/>
        <v>0101</v>
      </c>
      <c r="R3513">
        <v>2200</v>
      </c>
      <c r="S3513" t="str">
        <f t="shared" si="509"/>
        <v>6130</v>
      </c>
      <c r="T3513" t="s">
        <v>3806</v>
      </c>
      <c r="U3513" t="s">
        <v>5363</v>
      </c>
    </row>
    <row r="3514" spans="1:21" ht="15" customHeight="1" x14ac:dyDescent="0.3">
      <c r="A3514" t="s">
        <v>179</v>
      </c>
      <c r="B3514" t="str">
        <f>"00072157"</f>
        <v>00072157</v>
      </c>
      <c r="C3514" t="s">
        <v>3670</v>
      </c>
      <c r="D3514" t="s">
        <v>2786</v>
      </c>
      <c r="E3514" t="str">
        <f>"00047712"</f>
        <v>00047712</v>
      </c>
      <c r="F3514">
        <v>0</v>
      </c>
      <c r="G3514" s="243">
        <v>36161</v>
      </c>
      <c r="H3514" t="s">
        <v>182</v>
      </c>
      <c r="I3514">
        <v>8</v>
      </c>
      <c r="J3514">
        <v>5</v>
      </c>
      <c r="K3514">
        <v>1</v>
      </c>
      <c r="L3514">
        <v>95362</v>
      </c>
      <c r="M3514" t="str">
        <f t="shared" si="503"/>
        <v>13</v>
      </c>
      <c r="N3514" t="s">
        <v>3323</v>
      </c>
      <c r="O3514" t="str">
        <f t="shared" si="508"/>
        <v>61311</v>
      </c>
      <c r="P3514" t="str">
        <f>"1501L"</f>
        <v>1501L</v>
      </c>
      <c r="Q3514" t="str">
        <f t="shared" si="504"/>
        <v>0101</v>
      </c>
      <c r="R3514">
        <v>1501</v>
      </c>
      <c r="S3514" t="str">
        <f t="shared" si="509"/>
        <v>6130</v>
      </c>
      <c r="T3514" t="s">
        <v>3806</v>
      </c>
      <c r="U3514" t="s">
        <v>5363</v>
      </c>
    </row>
    <row r="3515" spans="1:21" ht="15" customHeight="1" x14ac:dyDescent="0.3">
      <c r="A3515" t="s">
        <v>179</v>
      </c>
      <c r="B3515" t="str">
        <f>"00072361"</f>
        <v>00072361</v>
      </c>
      <c r="C3515" t="s">
        <v>4252</v>
      </c>
      <c r="D3515" t="s">
        <v>2787</v>
      </c>
      <c r="E3515" t="str">
        <f>"00050677"</f>
        <v>00050677</v>
      </c>
      <c r="F3515">
        <v>0</v>
      </c>
      <c r="G3515" s="243">
        <v>40406</v>
      </c>
      <c r="H3515" t="s">
        <v>182</v>
      </c>
      <c r="I3515">
        <v>15</v>
      </c>
      <c r="J3515">
        <v>3</v>
      </c>
      <c r="K3515">
        <v>1</v>
      </c>
      <c r="L3515">
        <v>58699</v>
      </c>
      <c r="M3515" t="str">
        <f t="shared" ref="M3515:M3572" si="510">"13"</f>
        <v>13</v>
      </c>
      <c r="N3515" t="s">
        <v>3323</v>
      </c>
      <c r="O3515" t="str">
        <f t="shared" si="508"/>
        <v>61311</v>
      </c>
      <c r="P3515" t="str">
        <f>"2100L"</f>
        <v>2100L</v>
      </c>
      <c r="Q3515" t="str">
        <f t="shared" si="504"/>
        <v>0101</v>
      </c>
      <c r="R3515">
        <v>2100</v>
      </c>
      <c r="S3515" t="str">
        <f t="shared" si="509"/>
        <v>6130</v>
      </c>
      <c r="T3515" t="s">
        <v>3806</v>
      </c>
      <c r="U3515" t="s">
        <v>5363</v>
      </c>
    </row>
    <row r="3516" spans="1:21" ht="15" customHeight="1" x14ac:dyDescent="0.3">
      <c r="A3516" t="s">
        <v>179</v>
      </c>
      <c r="B3516" t="str">
        <f>"00072830"</f>
        <v>00072830</v>
      </c>
      <c r="C3516" t="s">
        <v>208</v>
      </c>
      <c r="D3516" t="s">
        <v>2788</v>
      </c>
      <c r="E3516" t="str">
        <f>"00049940"</f>
        <v>00049940</v>
      </c>
      <c r="F3516">
        <v>0</v>
      </c>
      <c r="G3516" s="243">
        <v>37493</v>
      </c>
      <c r="H3516" t="s">
        <v>182</v>
      </c>
      <c r="I3516">
        <v>15</v>
      </c>
      <c r="J3516">
        <v>12</v>
      </c>
      <c r="K3516">
        <v>1</v>
      </c>
      <c r="L3516">
        <v>87431</v>
      </c>
      <c r="M3516" t="str">
        <f t="shared" si="510"/>
        <v>13</v>
      </c>
      <c r="N3516" t="s">
        <v>3323</v>
      </c>
      <c r="O3516" t="str">
        <f t="shared" si="508"/>
        <v>61311</v>
      </c>
      <c r="P3516" t="str">
        <f>"2100L"</f>
        <v>2100L</v>
      </c>
      <c r="Q3516" t="str">
        <f t="shared" si="504"/>
        <v>0101</v>
      </c>
      <c r="R3516">
        <v>2100</v>
      </c>
      <c r="S3516" t="str">
        <f t="shared" si="509"/>
        <v>6130</v>
      </c>
      <c r="T3516" t="s">
        <v>3806</v>
      </c>
      <c r="U3516" t="s">
        <v>5363</v>
      </c>
    </row>
    <row r="3517" spans="1:21" ht="15" customHeight="1" x14ac:dyDescent="0.3">
      <c r="A3517" t="s">
        <v>179</v>
      </c>
      <c r="B3517" t="str">
        <f>"00073045"</f>
        <v>00073045</v>
      </c>
      <c r="C3517" t="s">
        <v>4260</v>
      </c>
      <c r="D3517" t="s">
        <v>5372</v>
      </c>
      <c r="E3517" t="str">
        <f>"00069703"</f>
        <v>00069703</v>
      </c>
      <c r="F3517">
        <v>0</v>
      </c>
      <c r="G3517" s="243">
        <v>41133</v>
      </c>
      <c r="H3517" t="s">
        <v>182</v>
      </c>
      <c r="I3517">
        <v>15</v>
      </c>
      <c r="J3517">
        <v>1</v>
      </c>
      <c r="K3517">
        <v>1</v>
      </c>
      <c r="L3517">
        <v>54975</v>
      </c>
      <c r="M3517" t="str">
        <f t="shared" si="510"/>
        <v>13</v>
      </c>
      <c r="N3517" t="s">
        <v>3370</v>
      </c>
      <c r="O3517" t="str">
        <f t="shared" si="508"/>
        <v>61311</v>
      </c>
      <c r="P3517" t="str">
        <f>"3030L"</f>
        <v>3030L</v>
      </c>
      <c r="Q3517" t="str">
        <f t="shared" si="504"/>
        <v>0101</v>
      </c>
      <c r="R3517">
        <v>3030</v>
      </c>
      <c r="S3517" t="str">
        <f t="shared" si="509"/>
        <v>6130</v>
      </c>
      <c r="T3517" t="s">
        <v>3806</v>
      </c>
      <c r="U3517" t="s">
        <v>5363</v>
      </c>
    </row>
    <row r="3518" spans="1:21" ht="15" customHeight="1" x14ac:dyDescent="0.3">
      <c r="A3518" t="s">
        <v>179</v>
      </c>
      <c r="B3518" t="str">
        <f>"00073980"</f>
        <v>00073980</v>
      </c>
      <c r="C3518" t="s">
        <v>4260</v>
      </c>
      <c r="D3518" t="s">
        <v>5373</v>
      </c>
      <c r="E3518" t="str">
        <f>"00069932"</f>
        <v>00069932</v>
      </c>
      <c r="F3518">
        <v>0</v>
      </c>
      <c r="G3518" s="243">
        <v>41133</v>
      </c>
      <c r="H3518" t="s">
        <v>182</v>
      </c>
      <c r="I3518">
        <v>15</v>
      </c>
      <c r="J3518">
        <v>1</v>
      </c>
      <c r="K3518">
        <v>1</v>
      </c>
      <c r="L3518">
        <v>56693</v>
      </c>
      <c r="M3518" t="str">
        <f t="shared" si="510"/>
        <v>13</v>
      </c>
      <c r="N3518" t="s">
        <v>3370</v>
      </c>
      <c r="O3518" t="str">
        <f t="shared" si="508"/>
        <v>61311</v>
      </c>
      <c r="P3518" t="str">
        <f>"3030L"</f>
        <v>3030L</v>
      </c>
      <c r="Q3518" t="str">
        <f t="shared" si="504"/>
        <v>0101</v>
      </c>
      <c r="R3518">
        <v>3030</v>
      </c>
      <c r="S3518" t="str">
        <f t="shared" si="509"/>
        <v>6130</v>
      </c>
      <c r="T3518" t="s">
        <v>3806</v>
      </c>
      <c r="U3518" t="s">
        <v>5363</v>
      </c>
    </row>
    <row r="3519" spans="1:21" ht="15" customHeight="1" x14ac:dyDescent="0.3">
      <c r="A3519" t="s">
        <v>179</v>
      </c>
      <c r="B3519" t="str">
        <f>"00074331"</f>
        <v>00074331</v>
      </c>
      <c r="C3519" t="s">
        <v>200</v>
      </c>
      <c r="D3519" t="s">
        <v>3807</v>
      </c>
      <c r="E3519" t="str">
        <f>"00066462"</f>
        <v>00066462</v>
      </c>
      <c r="F3519">
        <v>0</v>
      </c>
      <c r="G3519" s="243">
        <v>40784</v>
      </c>
      <c r="H3519" t="s">
        <v>182</v>
      </c>
      <c r="I3519">
        <v>15</v>
      </c>
      <c r="J3519">
        <v>6</v>
      </c>
      <c r="K3519">
        <v>1</v>
      </c>
      <c r="L3519">
        <v>66078</v>
      </c>
      <c r="M3519" t="str">
        <f t="shared" si="510"/>
        <v>13</v>
      </c>
      <c r="N3519" t="s">
        <v>3323</v>
      </c>
      <c r="O3519" t="str">
        <f t="shared" si="508"/>
        <v>61311</v>
      </c>
      <c r="P3519" t="str">
        <f>"2100L"</f>
        <v>2100L</v>
      </c>
      <c r="Q3519" t="str">
        <f t="shared" si="504"/>
        <v>0101</v>
      </c>
      <c r="R3519">
        <v>2100</v>
      </c>
      <c r="S3519" t="str">
        <f t="shared" si="509"/>
        <v>6130</v>
      </c>
      <c r="T3519" t="s">
        <v>3806</v>
      </c>
      <c r="U3519" t="s">
        <v>5363</v>
      </c>
    </row>
    <row r="3520" spans="1:21" ht="15" customHeight="1" x14ac:dyDescent="0.3">
      <c r="A3520" t="s">
        <v>179</v>
      </c>
      <c r="B3520" t="str">
        <f>"00074332"</f>
        <v>00074332</v>
      </c>
      <c r="C3520" t="s">
        <v>4292</v>
      </c>
      <c r="H3520" t="s">
        <v>170</v>
      </c>
      <c r="I3520">
        <v>4</v>
      </c>
      <c r="J3520">
        <v>1</v>
      </c>
      <c r="K3520">
        <v>0.71</v>
      </c>
      <c r="L3520">
        <v>25662</v>
      </c>
      <c r="M3520" t="str">
        <f t="shared" si="510"/>
        <v>13</v>
      </c>
      <c r="N3520" t="s">
        <v>3323</v>
      </c>
      <c r="O3520" t="str">
        <f t="shared" si="508"/>
        <v>61311</v>
      </c>
      <c r="P3520" t="str">
        <f>"2100L"</f>
        <v>2100L</v>
      </c>
      <c r="Q3520" t="str">
        <f t="shared" si="504"/>
        <v>0101</v>
      </c>
      <c r="R3520">
        <v>2100</v>
      </c>
      <c r="S3520" t="str">
        <f t="shared" si="509"/>
        <v>6130</v>
      </c>
      <c r="T3520" t="s">
        <v>3806</v>
      </c>
      <c r="U3520" t="s">
        <v>5363</v>
      </c>
    </row>
    <row r="3521" spans="1:21" ht="15" customHeight="1" x14ac:dyDescent="0.3">
      <c r="A3521" t="s">
        <v>179</v>
      </c>
      <c r="B3521" t="str">
        <f>"00076406"</f>
        <v>00076406</v>
      </c>
      <c r="C3521" t="s">
        <v>4271</v>
      </c>
      <c r="D3521" t="s">
        <v>5374</v>
      </c>
      <c r="E3521" t="str">
        <f>"00069912"</f>
        <v>00069912</v>
      </c>
      <c r="F3521">
        <v>0</v>
      </c>
      <c r="G3521" s="243">
        <v>41133</v>
      </c>
      <c r="H3521" t="s">
        <v>182</v>
      </c>
      <c r="I3521">
        <v>15</v>
      </c>
      <c r="J3521">
        <v>10</v>
      </c>
      <c r="K3521">
        <v>0.5</v>
      </c>
      <c r="L3521">
        <v>80729</v>
      </c>
      <c r="M3521" t="str">
        <f t="shared" si="510"/>
        <v>13</v>
      </c>
      <c r="N3521" t="s">
        <v>3370</v>
      </c>
      <c r="O3521" t="str">
        <f t="shared" si="508"/>
        <v>61311</v>
      </c>
      <c r="P3521" t="str">
        <f t="shared" ref="P3521:P3528" si="511">"2100L"</f>
        <v>2100L</v>
      </c>
      <c r="Q3521" t="str">
        <f t="shared" si="504"/>
        <v>0101</v>
      </c>
      <c r="R3521">
        <v>2100</v>
      </c>
      <c r="S3521" t="str">
        <f t="shared" si="509"/>
        <v>6130</v>
      </c>
      <c r="T3521" t="s">
        <v>3806</v>
      </c>
      <c r="U3521" t="s">
        <v>5363</v>
      </c>
    </row>
    <row r="3522" spans="1:21" ht="15" customHeight="1" x14ac:dyDescent="0.3">
      <c r="A3522" t="s">
        <v>179</v>
      </c>
      <c r="B3522" t="str">
        <f>"00076407"</f>
        <v>00076407</v>
      </c>
      <c r="C3522" t="s">
        <v>4256</v>
      </c>
      <c r="D3522" t="s">
        <v>650</v>
      </c>
      <c r="E3522" t="str">
        <f>"00062685"</f>
        <v>00062685</v>
      </c>
      <c r="F3522">
        <v>0</v>
      </c>
      <c r="G3522" s="243">
        <v>40406</v>
      </c>
      <c r="H3522" t="s">
        <v>182</v>
      </c>
      <c r="I3522">
        <v>15</v>
      </c>
      <c r="J3522">
        <v>12</v>
      </c>
      <c r="K3522">
        <v>1</v>
      </c>
      <c r="L3522">
        <v>89887</v>
      </c>
      <c r="M3522" t="str">
        <f t="shared" si="510"/>
        <v>13</v>
      </c>
      <c r="N3522" t="s">
        <v>3370</v>
      </c>
      <c r="O3522" t="str">
        <f t="shared" si="508"/>
        <v>61311</v>
      </c>
      <c r="P3522" t="str">
        <f t="shared" si="511"/>
        <v>2100L</v>
      </c>
      <c r="Q3522" t="str">
        <f t="shared" ref="Q3522:Q3578" si="512">"0101"</f>
        <v>0101</v>
      </c>
      <c r="R3522">
        <v>2100</v>
      </c>
      <c r="S3522" t="str">
        <f t="shared" si="509"/>
        <v>6130</v>
      </c>
      <c r="T3522" t="s">
        <v>3806</v>
      </c>
      <c r="U3522" t="s">
        <v>5363</v>
      </c>
    </row>
    <row r="3523" spans="1:21" ht="15" customHeight="1" x14ac:dyDescent="0.3">
      <c r="A3523" t="s">
        <v>179</v>
      </c>
      <c r="B3523" t="str">
        <f>"00076408"</f>
        <v>00076408</v>
      </c>
      <c r="C3523" t="s">
        <v>4262</v>
      </c>
      <c r="D3523" t="s">
        <v>5375</v>
      </c>
      <c r="E3523" t="str">
        <f>"00069573"</f>
        <v>00069573</v>
      </c>
      <c r="F3523">
        <v>0</v>
      </c>
      <c r="G3523" s="243">
        <v>41133</v>
      </c>
      <c r="H3523" t="s">
        <v>182</v>
      </c>
      <c r="I3523">
        <v>15</v>
      </c>
      <c r="J3523">
        <v>10</v>
      </c>
      <c r="K3523">
        <v>1</v>
      </c>
      <c r="L3523">
        <v>78273</v>
      </c>
      <c r="M3523" t="str">
        <f t="shared" si="510"/>
        <v>13</v>
      </c>
      <c r="N3523" t="s">
        <v>3323</v>
      </c>
      <c r="O3523" t="str">
        <f t="shared" si="508"/>
        <v>61311</v>
      </c>
      <c r="P3523" t="str">
        <f t="shared" si="511"/>
        <v>2100L</v>
      </c>
      <c r="Q3523" t="str">
        <f t="shared" si="512"/>
        <v>0101</v>
      </c>
      <c r="R3523">
        <v>2100</v>
      </c>
      <c r="S3523" t="str">
        <f t="shared" si="509"/>
        <v>6130</v>
      </c>
      <c r="T3523" t="s">
        <v>3806</v>
      </c>
      <c r="U3523" t="s">
        <v>5363</v>
      </c>
    </row>
    <row r="3524" spans="1:21" ht="15" customHeight="1" x14ac:dyDescent="0.3">
      <c r="A3524" t="s">
        <v>179</v>
      </c>
      <c r="B3524" t="str">
        <f>"00076409"</f>
        <v>00076409</v>
      </c>
      <c r="C3524" t="s">
        <v>4270</v>
      </c>
      <c r="H3524" t="s">
        <v>170</v>
      </c>
      <c r="I3524">
        <v>15</v>
      </c>
      <c r="J3524">
        <v>0</v>
      </c>
      <c r="K3524">
        <v>0.5</v>
      </c>
      <c r="L3524">
        <v>51539</v>
      </c>
      <c r="M3524" t="str">
        <f t="shared" si="510"/>
        <v>13</v>
      </c>
      <c r="N3524" t="s">
        <v>3323</v>
      </c>
      <c r="O3524" t="str">
        <f t="shared" si="508"/>
        <v>61311</v>
      </c>
      <c r="P3524" t="str">
        <f t="shared" si="511"/>
        <v>2100L</v>
      </c>
      <c r="Q3524" t="str">
        <f t="shared" si="512"/>
        <v>0101</v>
      </c>
      <c r="R3524">
        <v>2100</v>
      </c>
      <c r="S3524" t="str">
        <f t="shared" si="509"/>
        <v>6130</v>
      </c>
      <c r="T3524" t="s">
        <v>3806</v>
      </c>
      <c r="U3524" t="s">
        <v>5363</v>
      </c>
    </row>
    <row r="3525" spans="1:21" ht="15" customHeight="1" x14ac:dyDescent="0.3">
      <c r="A3525" t="s">
        <v>179</v>
      </c>
      <c r="B3525" t="str">
        <f>"00076411"</f>
        <v>00076411</v>
      </c>
      <c r="C3525" t="s">
        <v>4728</v>
      </c>
      <c r="D3525" t="s">
        <v>5376</v>
      </c>
      <c r="E3525" t="str">
        <f>"00052066"</f>
        <v>00052066</v>
      </c>
      <c r="F3525">
        <v>1</v>
      </c>
      <c r="G3525" s="243">
        <v>41133</v>
      </c>
      <c r="H3525" t="s">
        <v>182</v>
      </c>
      <c r="I3525">
        <v>9</v>
      </c>
      <c r="J3525">
        <v>2</v>
      </c>
      <c r="K3525">
        <v>1</v>
      </c>
      <c r="L3525">
        <v>34226</v>
      </c>
      <c r="M3525" t="str">
        <f t="shared" si="510"/>
        <v>13</v>
      </c>
      <c r="N3525" t="s">
        <v>3323</v>
      </c>
      <c r="O3525" t="str">
        <f t="shared" si="508"/>
        <v>61311</v>
      </c>
      <c r="P3525" t="str">
        <f t="shared" si="511"/>
        <v>2100L</v>
      </c>
      <c r="Q3525" t="str">
        <f t="shared" si="512"/>
        <v>0101</v>
      </c>
      <c r="R3525">
        <v>2100</v>
      </c>
      <c r="S3525" t="str">
        <f t="shared" si="509"/>
        <v>6130</v>
      </c>
      <c r="T3525" t="s">
        <v>3806</v>
      </c>
      <c r="U3525" t="s">
        <v>5363</v>
      </c>
    </row>
    <row r="3526" spans="1:21" ht="15" customHeight="1" x14ac:dyDescent="0.3">
      <c r="A3526" t="s">
        <v>179</v>
      </c>
      <c r="B3526" t="str">
        <f>"00076497"</f>
        <v>00076497</v>
      </c>
      <c r="C3526" t="s">
        <v>4864</v>
      </c>
      <c r="D3526" t="s">
        <v>5377</v>
      </c>
      <c r="E3526" t="str">
        <f>"00054740"</f>
        <v>00054740</v>
      </c>
      <c r="F3526">
        <v>0</v>
      </c>
      <c r="G3526" s="243">
        <v>39111</v>
      </c>
      <c r="H3526" t="s">
        <v>182</v>
      </c>
      <c r="I3526">
        <v>11</v>
      </c>
      <c r="J3526">
        <v>5</v>
      </c>
      <c r="K3526">
        <v>1</v>
      </c>
      <c r="L3526">
        <v>45108</v>
      </c>
      <c r="M3526" t="str">
        <f t="shared" si="510"/>
        <v>13</v>
      </c>
      <c r="N3526" t="s">
        <v>3370</v>
      </c>
      <c r="O3526" t="str">
        <f t="shared" si="508"/>
        <v>61311</v>
      </c>
      <c r="P3526" t="str">
        <f t="shared" si="511"/>
        <v>2100L</v>
      </c>
      <c r="Q3526" t="str">
        <f t="shared" si="512"/>
        <v>0101</v>
      </c>
      <c r="R3526">
        <v>2100</v>
      </c>
      <c r="S3526" t="str">
        <f t="shared" si="509"/>
        <v>6130</v>
      </c>
      <c r="T3526" t="s">
        <v>3806</v>
      </c>
      <c r="U3526" t="s">
        <v>5363</v>
      </c>
    </row>
    <row r="3527" spans="1:21" ht="15" customHeight="1" x14ac:dyDescent="0.3">
      <c r="A3527" t="s">
        <v>179</v>
      </c>
      <c r="B3527" t="str">
        <f>"00051876"</f>
        <v>00051876</v>
      </c>
      <c r="C3527" t="s">
        <v>4262</v>
      </c>
      <c r="D3527" t="s">
        <v>2789</v>
      </c>
      <c r="E3527" t="str">
        <f>"00046378"</f>
        <v>00046378</v>
      </c>
      <c r="F3527">
        <v>0</v>
      </c>
      <c r="G3527" s="243">
        <v>34235</v>
      </c>
      <c r="H3527" t="s">
        <v>182</v>
      </c>
      <c r="I3527">
        <v>15</v>
      </c>
      <c r="J3527">
        <v>15</v>
      </c>
      <c r="K3527">
        <v>1</v>
      </c>
      <c r="L3527">
        <v>98285</v>
      </c>
      <c r="M3527" t="str">
        <f t="shared" si="510"/>
        <v>13</v>
      </c>
      <c r="N3527" t="s">
        <v>3323</v>
      </c>
      <c r="O3527" t="str">
        <f t="shared" ref="O3527:O3562" si="513">"61511"</f>
        <v>61511</v>
      </c>
      <c r="P3527" t="str">
        <f t="shared" si="511"/>
        <v>2100L</v>
      </c>
      <c r="Q3527" t="str">
        <f t="shared" si="512"/>
        <v>0101</v>
      </c>
      <c r="R3527">
        <v>2100</v>
      </c>
      <c r="S3527" t="str">
        <f t="shared" ref="S3527:S3562" si="514">"6150"</f>
        <v>6150</v>
      </c>
      <c r="T3527" t="s">
        <v>3659</v>
      </c>
      <c r="U3527" t="s">
        <v>78</v>
      </c>
    </row>
    <row r="3528" spans="1:21" ht="15" customHeight="1" x14ac:dyDescent="0.3">
      <c r="A3528" t="s">
        <v>179</v>
      </c>
      <c r="B3528" t="str">
        <f>"00051877"</f>
        <v>00051877</v>
      </c>
      <c r="C3528" t="s">
        <v>4253</v>
      </c>
      <c r="D3528" t="s">
        <v>5378</v>
      </c>
      <c r="E3528" t="str">
        <f>"00069814"</f>
        <v>00069814</v>
      </c>
      <c r="F3528">
        <v>0</v>
      </c>
      <c r="G3528" s="243">
        <v>41133</v>
      </c>
      <c r="H3528" t="s">
        <v>182</v>
      </c>
      <c r="I3528">
        <v>15</v>
      </c>
      <c r="J3528">
        <v>1</v>
      </c>
      <c r="K3528">
        <v>1</v>
      </c>
      <c r="L3528">
        <v>51539</v>
      </c>
      <c r="M3528" t="str">
        <f t="shared" si="510"/>
        <v>13</v>
      </c>
      <c r="N3528" t="s">
        <v>3370</v>
      </c>
      <c r="O3528" t="str">
        <f t="shared" si="513"/>
        <v>61511</v>
      </c>
      <c r="P3528" t="str">
        <f t="shared" si="511"/>
        <v>2100L</v>
      </c>
      <c r="Q3528" t="str">
        <f t="shared" si="512"/>
        <v>0101</v>
      </c>
      <c r="R3528">
        <v>2100</v>
      </c>
      <c r="S3528" t="str">
        <f t="shared" si="514"/>
        <v>6150</v>
      </c>
      <c r="T3528" t="s">
        <v>3659</v>
      </c>
      <c r="U3528" t="s">
        <v>78</v>
      </c>
    </row>
    <row r="3529" spans="1:21" ht="15" customHeight="1" x14ac:dyDescent="0.3">
      <c r="A3529" t="s">
        <v>179</v>
      </c>
      <c r="B3529" t="str">
        <f>"00051888"</f>
        <v>00051888</v>
      </c>
      <c r="C3529" t="s">
        <v>4266</v>
      </c>
      <c r="D3529" t="s">
        <v>5379</v>
      </c>
      <c r="E3529" t="str">
        <f>"00070126"</f>
        <v>00070126</v>
      </c>
      <c r="F3529">
        <v>0</v>
      </c>
      <c r="G3529" s="243">
        <v>41133</v>
      </c>
      <c r="H3529" t="s">
        <v>182</v>
      </c>
      <c r="I3529">
        <v>15</v>
      </c>
      <c r="J3529">
        <v>1</v>
      </c>
      <c r="K3529">
        <v>1</v>
      </c>
      <c r="L3529">
        <v>51539</v>
      </c>
      <c r="M3529" t="str">
        <f t="shared" si="510"/>
        <v>13</v>
      </c>
      <c r="N3529" t="s">
        <v>3323</v>
      </c>
      <c r="O3529" t="str">
        <f t="shared" si="513"/>
        <v>61511</v>
      </c>
      <c r="P3529" t="str">
        <f>"2300L"</f>
        <v>2300L</v>
      </c>
      <c r="Q3529" t="str">
        <f t="shared" si="512"/>
        <v>0101</v>
      </c>
      <c r="R3529">
        <v>2300</v>
      </c>
      <c r="S3529" t="str">
        <f t="shared" si="514"/>
        <v>6150</v>
      </c>
      <c r="T3529" t="s">
        <v>3659</v>
      </c>
      <c r="U3529" t="s">
        <v>78</v>
      </c>
    </row>
    <row r="3530" spans="1:21" ht="15" customHeight="1" x14ac:dyDescent="0.3">
      <c r="A3530" t="s">
        <v>179</v>
      </c>
      <c r="B3530" t="str">
        <f>"00051910"</f>
        <v>00051910</v>
      </c>
      <c r="C3530" t="s">
        <v>4272</v>
      </c>
      <c r="D3530" t="s">
        <v>2790</v>
      </c>
      <c r="E3530" t="str">
        <f>"00046521"</f>
        <v>00046521</v>
      </c>
      <c r="F3530">
        <v>0</v>
      </c>
      <c r="G3530" s="243">
        <v>36034</v>
      </c>
      <c r="H3530" t="s">
        <v>182</v>
      </c>
      <c r="I3530">
        <v>15</v>
      </c>
      <c r="J3530">
        <v>12</v>
      </c>
      <c r="K3530">
        <v>1</v>
      </c>
      <c r="L3530">
        <v>89887</v>
      </c>
      <c r="M3530" t="str">
        <f t="shared" si="510"/>
        <v>13</v>
      </c>
      <c r="N3530" t="s">
        <v>3323</v>
      </c>
      <c r="O3530" t="str">
        <f t="shared" si="513"/>
        <v>61511</v>
      </c>
      <c r="P3530" t="str">
        <f>"2200L"</f>
        <v>2200L</v>
      </c>
      <c r="Q3530" t="str">
        <f t="shared" si="512"/>
        <v>0101</v>
      </c>
      <c r="R3530">
        <v>2200</v>
      </c>
      <c r="S3530" t="str">
        <f t="shared" si="514"/>
        <v>6150</v>
      </c>
      <c r="T3530" t="s">
        <v>3659</v>
      </c>
      <c r="U3530" t="s">
        <v>78</v>
      </c>
    </row>
    <row r="3531" spans="1:21" ht="15" customHeight="1" x14ac:dyDescent="0.3">
      <c r="A3531" t="s">
        <v>179</v>
      </c>
      <c r="B3531" t="str">
        <f>"00052822"</f>
        <v>00052822</v>
      </c>
      <c r="C3531" t="s">
        <v>4262</v>
      </c>
      <c r="D3531" t="s">
        <v>3814</v>
      </c>
      <c r="E3531" t="str">
        <f>"00065913"</f>
        <v>00065913</v>
      </c>
      <c r="F3531">
        <v>0</v>
      </c>
      <c r="G3531" s="243">
        <v>40755</v>
      </c>
      <c r="H3531" t="s">
        <v>182</v>
      </c>
      <c r="I3531">
        <v>15</v>
      </c>
      <c r="J3531">
        <v>9</v>
      </c>
      <c r="K3531">
        <v>1</v>
      </c>
      <c r="L3531">
        <v>75232</v>
      </c>
      <c r="M3531" t="str">
        <f t="shared" si="510"/>
        <v>13</v>
      </c>
      <c r="N3531" t="s">
        <v>3323</v>
      </c>
      <c r="O3531" t="str">
        <f t="shared" si="513"/>
        <v>61511</v>
      </c>
      <c r="P3531" t="str">
        <f>"2100L"</f>
        <v>2100L</v>
      </c>
      <c r="Q3531" t="str">
        <f t="shared" si="512"/>
        <v>0101</v>
      </c>
      <c r="R3531">
        <v>2100</v>
      </c>
      <c r="S3531" t="str">
        <f t="shared" si="514"/>
        <v>6150</v>
      </c>
      <c r="T3531" t="s">
        <v>3659</v>
      </c>
      <c r="U3531" t="s">
        <v>78</v>
      </c>
    </row>
    <row r="3532" spans="1:21" ht="15" customHeight="1" x14ac:dyDescent="0.3">
      <c r="A3532" t="s">
        <v>179</v>
      </c>
      <c r="B3532" t="str">
        <f>"00053125"</f>
        <v>00053125</v>
      </c>
      <c r="C3532" t="s">
        <v>4254</v>
      </c>
      <c r="D3532" t="s">
        <v>794</v>
      </c>
      <c r="E3532" t="str">
        <f>"00046938"</f>
        <v>00046938</v>
      </c>
      <c r="F3532">
        <v>0</v>
      </c>
      <c r="G3532" s="243">
        <v>40042</v>
      </c>
      <c r="H3532" t="s">
        <v>182</v>
      </c>
      <c r="I3532">
        <v>15</v>
      </c>
      <c r="J3532">
        <v>4</v>
      </c>
      <c r="K3532">
        <v>1</v>
      </c>
      <c r="L3532">
        <v>54725</v>
      </c>
      <c r="M3532" t="str">
        <f t="shared" si="510"/>
        <v>13</v>
      </c>
      <c r="N3532" t="s">
        <v>3323</v>
      </c>
      <c r="O3532" t="str">
        <f t="shared" si="513"/>
        <v>61511</v>
      </c>
      <c r="P3532" t="str">
        <f>"2100L"</f>
        <v>2100L</v>
      </c>
      <c r="Q3532" t="str">
        <f t="shared" si="512"/>
        <v>0101</v>
      </c>
      <c r="R3532">
        <v>2100</v>
      </c>
      <c r="S3532" t="str">
        <f t="shared" si="514"/>
        <v>6150</v>
      </c>
      <c r="T3532" t="s">
        <v>3659</v>
      </c>
      <c r="U3532" t="s">
        <v>78</v>
      </c>
    </row>
    <row r="3533" spans="1:21" ht="15" customHeight="1" x14ac:dyDescent="0.3">
      <c r="A3533" t="s">
        <v>179</v>
      </c>
      <c r="B3533" t="str">
        <f>"00053153"</f>
        <v>00053153</v>
      </c>
      <c r="C3533" t="s">
        <v>4274</v>
      </c>
      <c r="D3533" t="s">
        <v>5380</v>
      </c>
      <c r="E3533" t="str">
        <f>"00051031"</f>
        <v>00051031</v>
      </c>
      <c r="F3533">
        <v>0</v>
      </c>
      <c r="G3533" s="243">
        <v>32076</v>
      </c>
      <c r="H3533" t="s">
        <v>182</v>
      </c>
      <c r="I3533">
        <v>4</v>
      </c>
      <c r="J3533">
        <v>10</v>
      </c>
      <c r="K3533">
        <v>0.875</v>
      </c>
      <c r="L3533">
        <v>28721</v>
      </c>
      <c r="M3533" t="str">
        <f t="shared" si="510"/>
        <v>13</v>
      </c>
      <c r="N3533" t="s">
        <v>3323</v>
      </c>
      <c r="O3533" t="str">
        <f t="shared" si="513"/>
        <v>61511</v>
      </c>
      <c r="P3533" t="str">
        <f>"2200L"</f>
        <v>2200L</v>
      </c>
      <c r="Q3533" t="str">
        <f t="shared" si="512"/>
        <v>0101</v>
      </c>
      <c r="R3533">
        <v>2200</v>
      </c>
      <c r="S3533" t="str">
        <f t="shared" si="514"/>
        <v>6150</v>
      </c>
      <c r="T3533" t="s">
        <v>3659</v>
      </c>
      <c r="U3533" t="s">
        <v>78</v>
      </c>
    </row>
    <row r="3534" spans="1:21" ht="15" customHeight="1" x14ac:dyDescent="0.3">
      <c r="A3534" t="s">
        <v>179</v>
      </c>
      <c r="B3534" t="str">
        <f>"00053247"</f>
        <v>00053247</v>
      </c>
      <c r="C3534" t="s">
        <v>4260</v>
      </c>
      <c r="D3534" t="s">
        <v>2791</v>
      </c>
      <c r="E3534" t="str">
        <f>"00051164"</f>
        <v>00051164</v>
      </c>
      <c r="F3534">
        <v>0</v>
      </c>
      <c r="G3534" s="243">
        <v>32050</v>
      </c>
      <c r="H3534" t="s">
        <v>182</v>
      </c>
      <c r="I3534">
        <v>15</v>
      </c>
      <c r="J3534">
        <v>16</v>
      </c>
      <c r="K3534">
        <v>1</v>
      </c>
      <c r="L3534">
        <v>106540</v>
      </c>
      <c r="M3534" t="str">
        <f t="shared" si="510"/>
        <v>13</v>
      </c>
      <c r="N3534" t="s">
        <v>3323</v>
      </c>
      <c r="O3534" t="str">
        <f t="shared" si="513"/>
        <v>61511</v>
      </c>
      <c r="P3534" t="str">
        <f>"2100L"</f>
        <v>2100L</v>
      </c>
      <c r="Q3534" t="str">
        <f t="shared" si="512"/>
        <v>0101</v>
      </c>
      <c r="R3534">
        <v>2100</v>
      </c>
      <c r="S3534" t="str">
        <f t="shared" si="514"/>
        <v>6150</v>
      </c>
      <c r="T3534" t="s">
        <v>3659</v>
      </c>
      <c r="U3534" t="s">
        <v>4269</v>
      </c>
    </row>
    <row r="3535" spans="1:21" ht="15" customHeight="1" x14ac:dyDescent="0.3">
      <c r="A3535" t="s">
        <v>179</v>
      </c>
      <c r="B3535" t="str">
        <f>"00053452"</f>
        <v>00053452</v>
      </c>
      <c r="C3535" t="s">
        <v>4272</v>
      </c>
      <c r="D3535" t="s">
        <v>5381</v>
      </c>
      <c r="E3535" t="str">
        <f>"00069951"</f>
        <v>00069951</v>
      </c>
      <c r="F3535">
        <v>0</v>
      </c>
      <c r="G3535" s="243">
        <v>41133</v>
      </c>
      <c r="H3535" t="s">
        <v>182</v>
      </c>
      <c r="I3535">
        <v>15</v>
      </c>
      <c r="J3535">
        <v>2</v>
      </c>
      <c r="K3535">
        <v>1</v>
      </c>
      <c r="L3535">
        <v>51716</v>
      </c>
      <c r="M3535" t="str">
        <f t="shared" si="510"/>
        <v>13</v>
      </c>
      <c r="N3535" t="s">
        <v>3323</v>
      </c>
      <c r="O3535" t="str">
        <f t="shared" si="513"/>
        <v>61511</v>
      </c>
      <c r="P3535" t="str">
        <f>"2100L"</f>
        <v>2100L</v>
      </c>
      <c r="Q3535" t="str">
        <f t="shared" si="512"/>
        <v>0101</v>
      </c>
      <c r="R3535">
        <v>2100</v>
      </c>
      <c r="S3535" t="str">
        <f t="shared" si="514"/>
        <v>6150</v>
      </c>
      <c r="T3535" t="s">
        <v>3659</v>
      </c>
      <c r="U3535" t="s">
        <v>78</v>
      </c>
    </row>
    <row r="3536" spans="1:21" ht="15" customHeight="1" x14ac:dyDescent="0.3">
      <c r="A3536" t="s">
        <v>179</v>
      </c>
      <c r="B3536" t="str">
        <f>"00054122"</f>
        <v>00054122</v>
      </c>
      <c r="C3536" t="s">
        <v>4360</v>
      </c>
      <c r="D3536" t="s">
        <v>5382</v>
      </c>
      <c r="E3536" t="str">
        <f>"00053069"</f>
        <v>00053069</v>
      </c>
      <c r="F3536">
        <v>0</v>
      </c>
      <c r="G3536" s="243">
        <v>32956</v>
      </c>
      <c r="H3536" t="s">
        <v>182</v>
      </c>
      <c r="I3536">
        <v>7</v>
      </c>
      <c r="J3536">
        <v>8</v>
      </c>
      <c r="K3536">
        <v>1</v>
      </c>
      <c r="L3536">
        <v>42621</v>
      </c>
      <c r="M3536" t="str">
        <f t="shared" si="510"/>
        <v>13</v>
      </c>
      <c r="N3536" t="s">
        <v>3323</v>
      </c>
      <c r="O3536" t="str">
        <f t="shared" si="513"/>
        <v>61511</v>
      </c>
      <c r="P3536" t="str">
        <f>"1502L"</f>
        <v>1502L</v>
      </c>
      <c r="Q3536" t="str">
        <f t="shared" si="512"/>
        <v>0101</v>
      </c>
      <c r="R3536">
        <v>1502</v>
      </c>
      <c r="S3536" t="str">
        <f t="shared" si="514"/>
        <v>6150</v>
      </c>
      <c r="T3536" t="s">
        <v>3659</v>
      </c>
      <c r="U3536" t="s">
        <v>78</v>
      </c>
    </row>
    <row r="3537" spans="1:21" ht="15" customHeight="1" x14ac:dyDescent="0.3">
      <c r="A3537" t="s">
        <v>179</v>
      </c>
      <c r="B3537" t="str">
        <f>"00054598"</f>
        <v>00054598</v>
      </c>
      <c r="C3537" t="s">
        <v>4274</v>
      </c>
      <c r="D3537" t="s">
        <v>5383</v>
      </c>
      <c r="E3537" t="str">
        <f>"00054259"</f>
        <v>00054259</v>
      </c>
      <c r="F3537">
        <v>0</v>
      </c>
      <c r="G3537" s="243">
        <v>31712</v>
      </c>
      <c r="H3537" t="s">
        <v>182</v>
      </c>
      <c r="I3537">
        <v>4</v>
      </c>
      <c r="J3537">
        <v>10</v>
      </c>
      <c r="K3537">
        <v>0.875</v>
      </c>
      <c r="L3537">
        <v>28721</v>
      </c>
      <c r="M3537" t="str">
        <f t="shared" si="510"/>
        <v>13</v>
      </c>
      <c r="N3537" t="s">
        <v>3323</v>
      </c>
      <c r="O3537" t="str">
        <f t="shared" si="513"/>
        <v>61511</v>
      </c>
      <c r="P3537" t="str">
        <f>"2200L"</f>
        <v>2200L</v>
      </c>
      <c r="Q3537" t="str">
        <f t="shared" si="512"/>
        <v>0101</v>
      </c>
      <c r="R3537">
        <v>2200</v>
      </c>
      <c r="S3537" t="str">
        <f t="shared" si="514"/>
        <v>6150</v>
      </c>
      <c r="T3537" t="s">
        <v>3659</v>
      </c>
      <c r="U3537" t="s">
        <v>78</v>
      </c>
    </row>
    <row r="3538" spans="1:21" ht="15" customHeight="1" x14ac:dyDescent="0.3">
      <c r="A3538" t="s">
        <v>179</v>
      </c>
      <c r="B3538" t="str">
        <f>"00055153"</f>
        <v>00055153</v>
      </c>
      <c r="C3538" t="s">
        <v>3798</v>
      </c>
      <c r="D3538" t="s">
        <v>2792</v>
      </c>
      <c r="E3538" t="str">
        <f>"00056710"</f>
        <v>00056710</v>
      </c>
      <c r="F3538">
        <v>0</v>
      </c>
      <c r="G3538" s="243">
        <v>40000</v>
      </c>
      <c r="H3538" t="s">
        <v>182</v>
      </c>
      <c r="I3538">
        <v>62</v>
      </c>
      <c r="J3538">
        <v>3</v>
      </c>
      <c r="K3538">
        <v>1</v>
      </c>
      <c r="L3538">
        <v>113000</v>
      </c>
      <c r="M3538" t="str">
        <f t="shared" si="510"/>
        <v>13</v>
      </c>
      <c r="N3538" t="s">
        <v>3323</v>
      </c>
      <c r="O3538" t="str">
        <f t="shared" si="513"/>
        <v>61511</v>
      </c>
      <c r="P3538" t="str">
        <f>"1501L"</f>
        <v>1501L</v>
      </c>
      <c r="Q3538" t="str">
        <f t="shared" si="512"/>
        <v>0101</v>
      </c>
      <c r="R3538">
        <v>1501</v>
      </c>
      <c r="S3538" t="str">
        <f t="shared" si="514"/>
        <v>6150</v>
      </c>
      <c r="T3538" t="s">
        <v>3659</v>
      </c>
      <c r="U3538" t="s">
        <v>78</v>
      </c>
    </row>
    <row r="3539" spans="1:21" ht="15" customHeight="1" x14ac:dyDescent="0.3">
      <c r="A3539" t="s">
        <v>179</v>
      </c>
      <c r="B3539" t="str">
        <f>"00057449"</f>
        <v>00057449</v>
      </c>
      <c r="C3539" t="s">
        <v>4272</v>
      </c>
      <c r="H3539" t="s">
        <v>170</v>
      </c>
      <c r="I3539">
        <v>15</v>
      </c>
      <c r="J3539">
        <v>1</v>
      </c>
      <c r="K3539">
        <v>1</v>
      </c>
      <c r="L3539">
        <v>53256</v>
      </c>
      <c r="M3539" t="str">
        <f t="shared" si="510"/>
        <v>13</v>
      </c>
      <c r="N3539" t="s">
        <v>3323</v>
      </c>
      <c r="O3539" t="str">
        <f t="shared" si="513"/>
        <v>61511</v>
      </c>
      <c r="P3539" t="str">
        <f>"2200L"</f>
        <v>2200L</v>
      </c>
      <c r="Q3539" t="str">
        <f t="shared" si="512"/>
        <v>0101</v>
      </c>
      <c r="R3539">
        <v>2200</v>
      </c>
      <c r="S3539" t="str">
        <f t="shared" si="514"/>
        <v>6150</v>
      </c>
      <c r="T3539" t="s">
        <v>3659</v>
      </c>
      <c r="U3539" t="s">
        <v>78</v>
      </c>
    </row>
    <row r="3540" spans="1:21" ht="15" customHeight="1" x14ac:dyDescent="0.3">
      <c r="A3540" t="s">
        <v>179</v>
      </c>
      <c r="B3540" t="str">
        <f>"00058019"</f>
        <v>00058019</v>
      </c>
      <c r="C3540" t="s">
        <v>4253</v>
      </c>
      <c r="D3540" t="s">
        <v>5384</v>
      </c>
      <c r="E3540" t="str">
        <f>"00061442"</f>
        <v>00061442</v>
      </c>
      <c r="F3540">
        <v>0</v>
      </c>
      <c r="G3540" s="243">
        <v>41133</v>
      </c>
      <c r="H3540" t="s">
        <v>182</v>
      </c>
      <c r="I3540">
        <v>15</v>
      </c>
      <c r="J3540">
        <v>3</v>
      </c>
      <c r="K3540">
        <v>1</v>
      </c>
      <c r="L3540">
        <v>58699</v>
      </c>
      <c r="M3540" t="str">
        <f t="shared" si="510"/>
        <v>13</v>
      </c>
      <c r="N3540" t="s">
        <v>3370</v>
      </c>
      <c r="O3540" t="str">
        <f t="shared" si="513"/>
        <v>61511</v>
      </c>
      <c r="P3540" t="str">
        <f>"2100L"</f>
        <v>2100L</v>
      </c>
      <c r="Q3540" t="str">
        <f t="shared" si="512"/>
        <v>0101</v>
      </c>
      <c r="R3540">
        <v>2100</v>
      </c>
      <c r="S3540" t="str">
        <f t="shared" si="514"/>
        <v>6150</v>
      </c>
      <c r="T3540" t="s">
        <v>3659</v>
      </c>
      <c r="U3540" t="s">
        <v>78</v>
      </c>
    </row>
    <row r="3541" spans="1:21" ht="15" customHeight="1" x14ac:dyDescent="0.3">
      <c r="A3541" t="s">
        <v>179</v>
      </c>
      <c r="B3541" t="str">
        <f>"00059502"</f>
        <v>00059502</v>
      </c>
      <c r="C3541" t="s">
        <v>4252</v>
      </c>
      <c r="D3541" t="s">
        <v>2794</v>
      </c>
      <c r="E3541" t="str">
        <f>"00051792"</f>
        <v>00051792</v>
      </c>
      <c r="F3541">
        <v>0</v>
      </c>
      <c r="G3541" s="243">
        <v>38587</v>
      </c>
      <c r="H3541" t="s">
        <v>182</v>
      </c>
      <c r="I3541">
        <v>15</v>
      </c>
      <c r="J3541">
        <v>14</v>
      </c>
      <c r="K3541">
        <v>1</v>
      </c>
      <c r="L3541">
        <v>96460</v>
      </c>
      <c r="M3541" t="str">
        <f t="shared" si="510"/>
        <v>13</v>
      </c>
      <c r="N3541" t="s">
        <v>3323</v>
      </c>
      <c r="O3541" t="str">
        <f t="shared" si="513"/>
        <v>61511</v>
      </c>
      <c r="P3541" t="str">
        <f>"2100L"</f>
        <v>2100L</v>
      </c>
      <c r="Q3541" t="str">
        <f t="shared" si="512"/>
        <v>0101</v>
      </c>
      <c r="R3541">
        <v>2100</v>
      </c>
      <c r="S3541" t="str">
        <f t="shared" si="514"/>
        <v>6150</v>
      </c>
      <c r="T3541" t="s">
        <v>3659</v>
      </c>
      <c r="U3541" t="s">
        <v>78</v>
      </c>
    </row>
    <row r="3542" spans="1:21" ht="15" customHeight="1" x14ac:dyDescent="0.3">
      <c r="A3542" t="s">
        <v>179</v>
      </c>
      <c r="B3542" t="str">
        <f>"00059661"</f>
        <v>00059661</v>
      </c>
      <c r="C3542" t="s">
        <v>4262</v>
      </c>
      <c r="D3542" t="s">
        <v>5385</v>
      </c>
      <c r="E3542" t="str">
        <f>"00069753"</f>
        <v>00069753</v>
      </c>
      <c r="F3542">
        <v>0</v>
      </c>
      <c r="G3542" s="243">
        <v>41133</v>
      </c>
      <c r="H3542" t="s">
        <v>182</v>
      </c>
      <c r="I3542">
        <v>15</v>
      </c>
      <c r="J3542">
        <v>5</v>
      </c>
      <c r="K3542">
        <v>1</v>
      </c>
      <c r="L3542">
        <v>63611</v>
      </c>
      <c r="M3542" t="str">
        <f t="shared" si="510"/>
        <v>13</v>
      </c>
      <c r="N3542" t="s">
        <v>3370</v>
      </c>
      <c r="O3542" t="str">
        <f t="shared" si="513"/>
        <v>61511</v>
      </c>
      <c r="P3542" t="str">
        <f>"2100L"</f>
        <v>2100L</v>
      </c>
      <c r="Q3542" t="str">
        <f t="shared" si="512"/>
        <v>0101</v>
      </c>
      <c r="R3542">
        <v>2100</v>
      </c>
      <c r="S3542" t="str">
        <f t="shared" si="514"/>
        <v>6150</v>
      </c>
      <c r="T3542" t="s">
        <v>3659</v>
      </c>
      <c r="U3542" t="s">
        <v>78</v>
      </c>
    </row>
    <row r="3543" spans="1:21" ht="15" customHeight="1" x14ac:dyDescent="0.3">
      <c r="A3543" t="s">
        <v>179</v>
      </c>
      <c r="B3543" t="str">
        <f>"00060328"</f>
        <v>00060328</v>
      </c>
      <c r="C3543" t="s">
        <v>4256</v>
      </c>
      <c r="H3543" t="s">
        <v>170</v>
      </c>
      <c r="I3543">
        <v>15</v>
      </c>
      <c r="J3543">
        <v>1</v>
      </c>
      <c r="K3543">
        <v>0.5</v>
      </c>
      <c r="L3543">
        <v>54975</v>
      </c>
      <c r="M3543" t="str">
        <f t="shared" si="510"/>
        <v>13</v>
      </c>
      <c r="N3543" t="s">
        <v>3323</v>
      </c>
      <c r="O3543" t="str">
        <f t="shared" si="513"/>
        <v>61511</v>
      </c>
      <c r="P3543" t="str">
        <f>"2100L"</f>
        <v>2100L</v>
      </c>
      <c r="Q3543" t="str">
        <f t="shared" si="512"/>
        <v>0101</v>
      </c>
      <c r="R3543">
        <v>2100</v>
      </c>
      <c r="S3543" t="str">
        <f t="shared" si="514"/>
        <v>6150</v>
      </c>
      <c r="T3543" t="s">
        <v>3658</v>
      </c>
      <c r="U3543" t="s">
        <v>56</v>
      </c>
    </row>
    <row r="3544" spans="1:21" ht="15" customHeight="1" x14ac:dyDescent="0.3">
      <c r="A3544" t="s">
        <v>179</v>
      </c>
      <c r="B3544" t="str">
        <f>"00062036"</f>
        <v>00062036</v>
      </c>
      <c r="C3544" t="s">
        <v>4272</v>
      </c>
      <c r="D3544" t="s">
        <v>2795</v>
      </c>
      <c r="E3544" t="str">
        <f>"00049306"</f>
        <v>00049306</v>
      </c>
      <c r="F3544">
        <v>0</v>
      </c>
      <c r="G3544" s="243">
        <v>38792</v>
      </c>
      <c r="H3544" t="s">
        <v>182</v>
      </c>
      <c r="I3544">
        <v>15</v>
      </c>
      <c r="J3544">
        <v>12</v>
      </c>
      <c r="K3544">
        <v>1</v>
      </c>
      <c r="L3544">
        <v>87431</v>
      </c>
      <c r="M3544" t="str">
        <f t="shared" si="510"/>
        <v>13</v>
      </c>
      <c r="N3544" t="s">
        <v>3323</v>
      </c>
      <c r="O3544" t="str">
        <f t="shared" si="513"/>
        <v>61511</v>
      </c>
      <c r="P3544" t="str">
        <f>"2200L"</f>
        <v>2200L</v>
      </c>
      <c r="Q3544" t="str">
        <f t="shared" si="512"/>
        <v>0101</v>
      </c>
      <c r="R3544">
        <v>2200</v>
      </c>
      <c r="S3544" t="str">
        <f t="shared" si="514"/>
        <v>6150</v>
      </c>
      <c r="T3544" t="s">
        <v>3659</v>
      </c>
      <c r="U3544" t="s">
        <v>78</v>
      </c>
    </row>
    <row r="3545" spans="1:21" ht="15" customHeight="1" x14ac:dyDescent="0.3">
      <c r="A3545" t="s">
        <v>179</v>
      </c>
      <c r="B3545" t="str">
        <f>"00062037"</f>
        <v>00062037</v>
      </c>
      <c r="C3545" t="s">
        <v>4259</v>
      </c>
      <c r="H3545" t="s">
        <v>170</v>
      </c>
      <c r="I3545">
        <v>15</v>
      </c>
      <c r="J3545">
        <v>1</v>
      </c>
      <c r="K3545">
        <v>1</v>
      </c>
      <c r="L3545">
        <v>56693</v>
      </c>
      <c r="M3545" t="str">
        <f t="shared" si="510"/>
        <v>13</v>
      </c>
      <c r="N3545" t="s">
        <v>3323</v>
      </c>
      <c r="O3545" t="str">
        <f t="shared" si="513"/>
        <v>61511</v>
      </c>
      <c r="P3545" t="str">
        <f>"2100L"</f>
        <v>2100L</v>
      </c>
      <c r="Q3545" t="str">
        <f t="shared" si="512"/>
        <v>0101</v>
      </c>
      <c r="R3545">
        <v>2100</v>
      </c>
      <c r="S3545" t="str">
        <f t="shared" si="514"/>
        <v>6150</v>
      </c>
      <c r="T3545" t="s">
        <v>3659</v>
      </c>
      <c r="U3545" t="s">
        <v>78</v>
      </c>
    </row>
    <row r="3546" spans="1:21" ht="15" customHeight="1" x14ac:dyDescent="0.3">
      <c r="A3546" t="s">
        <v>179</v>
      </c>
      <c r="B3546" t="str">
        <f>"00062452"</f>
        <v>00062452</v>
      </c>
      <c r="C3546" t="s">
        <v>4274</v>
      </c>
      <c r="D3546" t="s">
        <v>5386</v>
      </c>
      <c r="E3546" t="str">
        <f>"00050697"</f>
        <v>00050697</v>
      </c>
      <c r="F3546">
        <v>0</v>
      </c>
      <c r="G3546" s="243">
        <v>40778</v>
      </c>
      <c r="H3546" t="s">
        <v>182</v>
      </c>
      <c r="I3546">
        <v>4</v>
      </c>
      <c r="J3546">
        <v>6</v>
      </c>
      <c r="K3546">
        <v>0.875</v>
      </c>
      <c r="L3546">
        <v>25935.88</v>
      </c>
      <c r="M3546" t="str">
        <f t="shared" si="510"/>
        <v>13</v>
      </c>
      <c r="N3546" t="s">
        <v>3323</v>
      </c>
      <c r="O3546" t="str">
        <f t="shared" si="513"/>
        <v>61511</v>
      </c>
      <c r="P3546" t="str">
        <f>"2100L"</f>
        <v>2100L</v>
      </c>
      <c r="Q3546" t="str">
        <f t="shared" si="512"/>
        <v>0101</v>
      </c>
      <c r="R3546">
        <v>2100</v>
      </c>
      <c r="S3546" t="str">
        <f t="shared" si="514"/>
        <v>6150</v>
      </c>
      <c r="T3546" t="s">
        <v>3659</v>
      </c>
      <c r="U3546" t="s">
        <v>78</v>
      </c>
    </row>
    <row r="3547" spans="1:21" ht="15" customHeight="1" x14ac:dyDescent="0.3">
      <c r="A3547" t="s">
        <v>179</v>
      </c>
      <c r="B3547" t="str">
        <f>"00065745"</f>
        <v>00065745</v>
      </c>
      <c r="C3547" t="s">
        <v>4288</v>
      </c>
      <c r="D3547" t="s">
        <v>5387</v>
      </c>
      <c r="E3547" t="str">
        <f>"00063425"</f>
        <v>00063425</v>
      </c>
      <c r="F3547">
        <v>0</v>
      </c>
      <c r="G3547" s="243">
        <v>40443</v>
      </c>
      <c r="H3547" t="s">
        <v>182</v>
      </c>
      <c r="I3547">
        <v>4</v>
      </c>
      <c r="J3547">
        <v>4</v>
      </c>
      <c r="K3547">
        <v>1</v>
      </c>
      <c r="L3547">
        <v>24543.75</v>
      </c>
      <c r="M3547" t="str">
        <f t="shared" si="510"/>
        <v>13</v>
      </c>
      <c r="N3547" t="s">
        <v>3323</v>
      </c>
      <c r="O3547" t="str">
        <f t="shared" si="513"/>
        <v>61511</v>
      </c>
      <c r="P3547" t="str">
        <f>"2100L"</f>
        <v>2100L</v>
      </c>
      <c r="Q3547" t="str">
        <f t="shared" si="512"/>
        <v>0101</v>
      </c>
      <c r="R3547">
        <v>2100</v>
      </c>
      <c r="S3547" t="str">
        <f t="shared" si="514"/>
        <v>6150</v>
      </c>
      <c r="T3547" t="s">
        <v>3659</v>
      </c>
      <c r="U3547" t="s">
        <v>78</v>
      </c>
    </row>
    <row r="3548" spans="1:21" ht="15" customHeight="1" x14ac:dyDescent="0.3">
      <c r="A3548" t="s">
        <v>179</v>
      </c>
      <c r="B3548" t="str">
        <f>"00066374"</f>
        <v>00066374</v>
      </c>
      <c r="C3548" t="s">
        <v>4574</v>
      </c>
      <c r="D3548" t="s">
        <v>2204</v>
      </c>
      <c r="E3548" t="str">
        <f>"00050922"</f>
        <v>00050922</v>
      </c>
      <c r="F3548">
        <v>0</v>
      </c>
      <c r="G3548" s="243">
        <v>32050</v>
      </c>
      <c r="H3548" t="s">
        <v>182</v>
      </c>
      <c r="I3548">
        <v>15</v>
      </c>
      <c r="J3548">
        <v>16</v>
      </c>
      <c r="K3548">
        <v>0.5</v>
      </c>
      <c r="L3548">
        <v>103347</v>
      </c>
      <c r="M3548" t="str">
        <f t="shared" si="510"/>
        <v>13</v>
      </c>
      <c r="N3548" t="s">
        <v>3370</v>
      </c>
      <c r="O3548" t="str">
        <f t="shared" si="513"/>
        <v>61511</v>
      </c>
      <c r="P3548" t="str">
        <f>"2300L"</f>
        <v>2300L</v>
      </c>
      <c r="Q3548" t="str">
        <f t="shared" si="512"/>
        <v>0101</v>
      </c>
      <c r="R3548">
        <v>2300</v>
      </c>
      <c r="S3548" t="str">
        <f t="shared" si="514"/>
        <v>6150</v>
      </c>
      <c r="T3548" t="s">
        <v>3658</v>
      </c>
      <c r="U3548" t="s">
        <v>56</v>
      </c>
    </row>
    <row r="3549" spans="1:21" ht="15" customHeight="1" x14ac:dyDescent="0.3">
      <c r="A3549" t="s">
        <v>179</v>
      </c>
      <c r="B3549" t="str">
        <f>"00066525"</f>
        <v>00066525</v>
      </c>
      <c r="C3549" t="s">
        <v>4272</v>
      </c>
      <c r="D3549" t="s">
        <v>2796</v>
      </c>
      <c r="E3549" t="str">
        <f>"00057033"</f>
        <v>00057033</v>
      </c>
      <c r="F3549">
        <v>0</v>
      </c>
      <c r="G3549" s="243">
        <v>40042</v>
      </c>
      <c r="H3549" t="s">
        <v>182</v>
      </c>
      <c r="I3549">
        <v>15</v>
      </c>
      <c r="J3549">
        <v>4</v>
      </c>
      <c r="K3549">
        <v>1</v>
      </c>
      <c r="L3549">
        <v>54725</v>
      </c>
      <c r="M3549" t="str">
        <f t="shared" si="510"/>
        <v>13</v>
      </c>
      <c r="N3549" t="s">
        <v>3323</v>
      </c>
      <c r="O3549" t="str">
        <f t="shared" si="513"/>
        <v>61511</v>
      </c>
      <c r="P3549" t="str">
        <f>"2200L"</f>
        <v>2200L</v>
      </c>
      <c r="Q3549" t="str">
        <f t="shared" si="512"/>
        <v>0101</v>
      </c>
      <c r="R3549">
        <v>2200</v>
      </c>
      <c r="S3549" t="str">
        <f t="shared" si="514"/>
        <v>6150</v>
      </c>
      <c r="T3549" t="s">
        <v>3659</v>
      </c>
      <c r="U3549" t="s">
        <v>78</v>
      </c>
    </row>
    <row r="3550" spans="1:21" ht="15" customHeight="1" x14ac:dyDescent="0.3">
      <c r="A3550" t="s">
        <v>179</v>
      </c>
      <c r="B3550" t="str">
        <f>"00066526"</f>
        <v>00066526</v>
      </c>
      <c r="C3550" t="s">
        <v>4262</v>
      </c>
      <c r="D3550" t="s">
        <v>5388</v>
      </c>
      <c r="E3550" t="str">
        <f>"00069578"</f>
        <v>00069578</v>
      </c>
      <c r="F3550">
        <v>0</v>
      </c>
      <c r="G3550" s="243">
        <v>41133</v>
      </c>
      <c r="H3550" t="s">
        <v>182</v>
      </c>
      <c r="I3550">
        <v>15</v>
      </c>
      <c r="J3550">
        <v>3</v>
      </c>
      <c r="K3550">
        <v>1</v>
      </c>
      <c r="L3550">
        <v>58699</v>
      </c>
      <c r="M3550" t="str">
        <f t="shared" si="510"/>
        <v>13</v>
      </c>
      <c r="N3550" t="s">
        <v>3370</v>
      </c>
      <c r="O3550" t="str">
        <f t="shared" si="513"/>
        <v>61511</v>
      </c>
      <c r="P3550" t="str">
        <f>"2100L"</f>
        <v>2100L</v>
      </c>
      <c r="Q3550" t="str">
        <f t="shared" si="512"/>
        <v>0101</v>
      </c>
      <c r="R3550">
        <v>2100</v>
      </c>
      <c r="S3550" t="str">
        <f t="shared" si="514"/>
        <v>6150</v>
      </c>
      <c r="T3550" t="s">
        <v>3659</v>
      </c>
      <c r="U3550" t="s">
        <v>78</v>
      </c>
    </row>
    <row r="3551" spans="1:21" ht="15" customHeight="1" x14ac:dyDescent="0.3">
      <c r="A3551" t="s">
        <v>179</v>
      </c>
      <c r="B3551" t="str">
        <f>"00066528"</f>
        <v>00066528</v>
      </c>
      <c r="C3551" t="s">
        <v>4262</v>
      </c>
      <c r="D3551" t="s">
        <v>5389</v>
      </c>
      <c r="E3551" t="str">
        <f>"00069852"</f>
        <v>00069852</v>
      </c>
      <c r="F3551">
        <v>0</v>
      </c>
      <c r="G3551" s="243">
        <v>41133</v>
      </c>
      <c r="H3551" t="s">
        <v>182</v>
      </c>
      <c r="I3551">
        <v>15</v>
      </c>
      <c r="J3551">
        <v>10</v>
      </c>
      <c r="K3551">
        <v>1</v>
      </c>
      <c r="L3551">
        <v>78273</v>
      </c>
      <c r="M3551" t="str">
        <f t="shared" si="510"/>
        <v>13</v>
      </c>
      <c r="N3551" t="s">
        <v>3370</v>
      </c>
      <c r="O3551" t="str">
        <f t="shared" si="513"/>
        <v>61511</v>
      </c>
      <c r="P3551" t="str">
        <f>"2100L"</f>
        <v>2100L</v>
      </c>
      <c r="Q3551" t="str">
        <f t="shared" si="512"/>
        <v>0101</v>
      </c>
      <c r="R3551">
        <v>2100</v>
      </c>
      <c r="S3551" t="str">
        <f t="shared" si="514"/>
        <v>6150</v>
      </c>
      <c r="T3551" t="s">
        <v>3659</v>
      </c>
      <c r="U3551" t="s">
        <v>78</v>
      </c>
    </row>
    <row r="3552" spans="1:21" ht="15" customHeight="1" x14ac:dyDescent="0.3">
      <c r="A3552" t="s">
        <v>179</v>
      </c>
      <c r="B3552" t="str">
        <f>"00066530"</f>
        <v>00066530</v>
      </c>
      <c r="C3552" t="s">
        <v>4263</v>
      </c>
      <c r="D3552" t="s">
        <v>2797</v>
      </c>
      <c r="E3552" t="str">
        <f>"00062701"</f>
        <v>00062701</v>
      </c>
      <c r="F3552">
        <v>0</v>
      </c>
      <c r="G3552" s="243">
        <v>40406</v>
      </c>
      <c r="H3552" t="s">
        <v>182</v>
      </c>
      <c r="I3552">
        <v>15</v>
      </c>
      <c r="J3552">
        <v>3</v>
      </c>
      <c r="K3552">
        <v>1</v>
      </c>
      <c r="L3552">
        <v>52777</v>
      </c>
      <c r="M3552" t="str">
        <f t="shared" si="510"/>
        <v>13</v>
      </c>
      <c r="N3552" t="s">
        <v>3323</v>
      </c>
      <c r="O3552" t="str">
        <f t="shared" si="513"/>
        <v>61511</v>
      </c>
      <c r="P3552" t="str">
        <f>"2100L"</f>
        <v>2100L</v>
      </c>
      <c r="Q3552" t="str">
        <f t="shared" si="512"/>
        <v>0101</v>
      </c>
      <c r="R3552">
        <v>2100</v>
      </c>
      <c r="S3552" t="str">
        <f t="shared" si="514"/>
        <v>6150</v>
      </c>
      <c r="T3552" t="s">
        <v>3659</v>
      </c>
      <c r="U3552" t="s">
        <v>78</v>
      </c>
    </row>
    <row r="3553" spans="1:21" ht="15" customHeight="1" x14ac:dyDescent="0.3">
      <c r="A3553" t="s">
        <v>179</v>
      </c>
      <c r="B3553" t="str">
        <f>"00068362"</f>
        <v>00068362</v>
      </c>
      <c r="C3553" t="s">
        <v>4260</v>
      </c>
      <c r="H3553" t="s">
        <v>170</v>
      </c>
      <c r="I3553">
        <v>15</v>
      </c>
      <c r="J3553">
        <v>1</v>
      </c>
      <c r="K3553">
        <v>1</v>
      </c>
      <c r="L3553">
        <v>51539</v>
      </c>
      <c r="M3553" t="str">
        <f t="shared" si="510"/>
        <v>13</v>
      </c>
      <c r="N3553" t="s">
        <v>3370</v>
      </c>
      <c r="O3553" t="str">
        <f t="shared" si="513"/>
        <v>61511</v>
      </c>
      <c r="P3553" t="str">
        <f>"2100L"</f>
        <v>2100L</v>
      </c>
      <c r="Q3553" t="str">
        <f t="shared" si="512"/>
        <v>0101</v>
      </c>
      <c r="R3553">
        <v>2100</v>
      </c>
      <c r="S3553" t="str">
        <f t="shared" si="514"/>
        <v>6150</v>
      </c>
      <c r="T3553" t="s">
        <v>3659</v>
      </c>
      <c r="U3553" t="s">
        <v>78</v>
      </c>
    </row>
    <row r="3554" spans="1:21" ht="15" customHeight="1" x14ac:dyDescent="0.3">
      <c r="A3554" t="s">
        <v>179</v>
      </c>
      <c r="B3554" t="str">
        <f>"00073982"</f>
        <v>00073982</v>
      </c>
      <c r="C3554" t="s">
        <v>4360</v>
      </c>
      <c r="D3554" t="s">
        <v>5390</v>
      </c>
      <c r="E3554" t="str">
        <f>"00044757"</f>
        <v>00044757</v>
      </c>
      <c r="F3554">
        <v>0</v>
      </c>
      <c r="G3554" s="243">
        <v>35663</v>
      </c>
      <c r="H3554" t="s">
        <v>182</v>
      </c>
      <c r="I3554">
        <v>7</v>
      </c>
      <c r="J3554">
        <v>10</v>
      </c>
      <c r="K3554">
        <v>1</v>
      </c>
      <c r="L3554">
        <v>44837</v>
      </c>
      <c r="M3554" t="str">
        <f t="shared" si="510"/>
        <v>13</v>
      </c>
      <c r="N3554" t="s">
        <v>3323</v>
      </c>
      <c r="O3554" t="str">
        <f t="shared" si="513"/>
        <v>61511</v>
      </c>
      <c r="P3554" t="str">
        <f>"1502L"</f>
        <v>1502L</v>
      </c>
      <c r="Q3554" t="str">
        <f t="shared" si="512"/>
        <v>0101</v>
      </c>
      <c r="R3554">
        <v>1502</v>
      </c>
      <c r="S3554" t="str">
        <f t="shared" si="514"/>
        <v>6150</v>
      </c>
      <c r="T3554" t="s">
        <v>3659</v>
      </c>
      <c r="U3554" t="s">
        <v>78</v>
      </c>
    </row>
    <row r="3555" spans="1:21" ht="15" customHeight="1" x14ac:dyDescent="0.3">
      <c r="A3555" t="s">
        <v>179</v>
      </c>
      <c r="B3555" t="str">
        <f>"00073983"</f>
        <v>00073983</v>
      </c>
      <c r="C3555" t="s">
        <v>4270</v>
      </c>
      <c r="D3555" t="s">
        <v>3816</v>
      </c>
      <c r="E3555" t="str">
        <f>"00066684"</f>
        <v>00066684</v>
      </c>
      <c r="F3555">
        <v>0</v>
      </c>
      <c r="G3555" s="243">
        <v>40805</v>
      </c>
      <c r="H3555" t="s">
        <v>182</v>
      </c>
      <c r="I3555">
        <v>15</v>
      </c>
      <c r="J3555">
        <v>2</v>
      </c>
      <c r="K3555">
        <v>0.5</v>
      </c>
      <c r="L3555">
        <v>28121</v>
      </c>
      <c r="M3555" t="str">
        <f t="shared" si="510"/>
        <v>13</v>
      </c>
      <c r="N3555" t="s">
        <v>3323</v>
      </c>
      <c r="O3555" t="str">
        <f t="shared" si="513"/>
        <v>61511</v>
      </c>
      <c r="P3555" t="str">
        <f t="shared" ref="P3555:P3564" si="515">"2100L"</f>
        <v>2100L</v>
      </c>
      <c r="Q3555" t="str">
        <f t="shared" si="512"/>
        <v>0101</v>
      </c>
      <c r="R3555">
        <v>2100</v>
      </c>
      <c r="S3555" t="str">
        <f t="shared" si="514"/>
        <v>6150</v>
      </c>
      <c r="T3555" t="s">
        <v>3659</v>
      </c>
      <c r="U3555" t="s">
        <v>78</v>
      </c>
    </row>
    <row r="3556" spans="1:21" ht="15" customHeight="1" x14ac:dyDescent="0.3">
      <c r="A3556" t="s">
        <v>179</v>
      </c>
      <c r="B3556" t="str">
        <f>"00073985"</f>
        <v>00073985</v>
      </c>
      <c r="C3556" t="s">
        <v>4270</v>
      </c>
      <c r="D3556" t="s">
        <v>5391</v>
      </c>
      <c r="E3556" t="str">
        <f>"00069850"</f>
        <v>00069850</v>
      </c>
      <c r="F3556">
        <v>0</v>
      </c>
      <c r="G3556" s="243">
        <v>41133</v>
      </c>
      <c r="H3556" t="s">
        <v>182</v>
      </c>
      <c r="I3556">
        <v>15</v>
      </c>
      <c r="J3556">
        <v>6</v>
      </c>
      <c r="K3556">
        <v>0.5</v>
      </c>
      <c r="L3556">
        <v>33039</v>
      </c>
      <c r="M3556" t="str">
        <f t="shared" si="510"/>
        <v>13</v>
      </c>
      <c r="N3556" t="s">
        <v>3370</v>
      </c>
      <c r="O3556" t="str">
        <f t="shared" si="513"/>
        <v>61511</v>
      </c>
      <c r="P3556" t="str">
        <f t="shared" si="515"/>
        <v>2100L</v>
      </c>
      <c r="Q3556" t="str">
        <f t="shared" si="512"/>
        <v>0101</v>
      </c>
      <c r="R3556">
        <v>2100</v>
      </c>
      <c r="S3556" t="str">
        <f t="shared" si="514"/>
        <v>6150</v>
      </c>
      <c r="T3556" t="s">
        <v>3659</v>
      </c>
      <c r="U3556" t="s">
        <v>78</v>
      </c>
    </row>
    <row r="3557" spans="1:21" ht="15" customHeight="1" x14ac:dyDescent="0.3">
      <c r="A3557" t="s">
        <v>179</v>
      </c>
      <c r="B3557" t="str">
        <f>"00074334"</f>
        <v>00074334</v>
      </c>
      <c r="C3557" t="s">
        <v>200</v>
      </c>
      <c r="H3557" t="s">
        <v>170</v>
      </c>
      <c r="I3557">
        <v>15</v>
      </c>
      <c r="J3557">
        <v>1</v>
      </c>
      <c r="K3557">
        <v>1</v>
      </c>
      <c r="L3557">
        <v>54975</v>
      </c>
      <c r="M3557" t="str">
        <f t="shared" si="510"/>
        <v>13</v>
      </c>
      <c r="N3557" t="s">
        <v>3323</v>
      </c>
      <c r="O3557" t="str">
        <f t="shared" si="513"/>
        <v>61511</v>
      </c>
      <c r="P3557" t="str">
        <f t="shared" si="515"/>
        <v>2100L</v>
      </c>
      <c r="Q3557" t="str">
        <f t="shared" si="512"/>
        <v>0101</v>
      </c>
      <c r="R3557">
        <v>2100</v>
      </c>
      <c r="S3557" t="str">
        <f t="shared" si="514"/>
        <v>6150</v>
      </c>
      <c r="T3557" t="s">
        <v>3659</v>
      </c>
      <c r="U3557" t="s">
        <v>78</v>
      </c>
    </row>
    <row r="3558" spans="1:21" ht="15" customHeight="1" x14ac:dyDescent="0.3">
      <c r="A3558" t="s">
        <v>179</v>
      </c>
      <c r="B3558" t="str">
        <f>"00074382"</f>
        <v>00074382</v>
      </c>
      <c r="C3558" t="s">
        <v>4258</v>
      </c>
      <c r="D3558" t="s">
        <v>1830</v>
      </c>
      <c r="E3558" t="str">
        <f>"00057575"</f>
        <v>00057575</v>
      </c>
      <c r="F3558">
        <v>0</v>
      </c>
      <c r="G3558" s="243">
        <v>40042</v>
      </c>
      <c r="H3558" t="s">
        <v>182</v>
      </c>
      <c r="I3558">
        <v>15</v>
      </c>
      <c r="J3558">
        <v>4</v>
      </c>
      <c r="K3558">
        <v>1</v>
      </c>
      <c r="L3558">
        <v>54725</v>
      </c>
      <c r="M3558" t="str">
        <f t="shared" si="510"/>
        <v>13</v>
      </c>
      <c r="N3558" t="s">
        <v>3323</v>
      </c>
      <c r="O3558" t="str">
        <f t="shared" si="513"/>
        <v>61511</v>
      </c>
      <c r="P3558" t="str">
        <f t="shared" si="515"/>
        <v>2100L</v>
      </c>
      <c r="Q3558" t="str">
        <f t="shared" si="512"/>
        <v>0101</v>
      </c>
      <c r="R3558">
        <v>2100</v>
      </c>
      <c r="S3558" t="str">
        <f t="shared" si="514"/>
        <v>6150</v>
      </c>
      <c r="T3558" t="s">
        <v>3659</v>
      </c>
      <c r="U3558" t="s">
        <v>78</v>
      </c>
    </row>
    <row r="3559" spans="1:21" ht="15" customHeight="1" x14ac:dyDescent="0.3">
      <c r="A3559" t="s">
        <v>179</v>
      </c>
      <c r="B3559" t="str">
        <f>"00076402"</f>
        <v>00076402</v>
      </c>
      <c r="C3559" t="s">
        <v>4262</v>
      </c>
      <c r="D3559" t="s">
        <v>5392</v>
      </c>
      <c r="E3559" t="str">
        <f>"00070117"</f>
        <v>00070117</v>
      </c>
      <c r="F3559">
        <v>0</v>
      </c>
      <c r="G3559" s="243">
        <v>41133</v>
      </c>
      <c r="H3559" t="s">
        <v>182</v>
      </c>
      <c r="I3559">
        <v>15</v>
      </c>
      <c r="J3559">
        <v>2</v>
      </c>
      <c r="K3559">
        <v>1</v>
      </c>
      <c r="L3559">
        <v>51716</v>
      </c>
      <c r="M3559" t="str">
        <f t="shared" si="510"/>
        <v>13</v>
      </c>
      <c r="N3559" t="s">
        <v>3370</v>
      </c>
      <c r="O3559" t="str">
        <f t="shared" si="513"/>
        <v>61511</v>
      </c>
      <c r="P3559" t="str">
        <f t="shared" si="515"/>
        <v>2100L</v>
      </c>
      <c r="Q3559" t="str">
        <f t="shared" si="512"/>
        <v>0101</v>
      </c>
      <c r="R3559">
        <v>2100</v>
      </c>
      <c r="S3559" t="str">
        <f t="shared" si="514"/>
        <v>6150</v>
      </c>
      <c r="T3559" t="s">
        <v>3659</v>
      </c>
      <c r="U3559" t="s">
        <v>78</v>
      </c>
    </row>
    <row r="3560" spans="1:21" ht="15" customHeight="1" x14ac:dyDescent="0.3">
      <c r="A3560" t="s">
        <v>179</v>
      </c>
      <c r="B3560" t="str">
        <f>"00076403"</f>
        <v>00076403</v>
      </c>
      <c r="C3560" t="s">
        <v>4270</v>
      </c>
      <c r="D3560" t="s">
        <v>5393</v>
      </c>
      <c r="E3560" t="str">
        <f>"00069588"</f>
        <v>00069588</v>
      </c>
      <c r="F3560">
        <v>0</v>
      </c>
      <c r="G3560" s="243">
        <v>41133</v>
      </c>
      <c r="H3560" t="s">
        <v>182</v>
      </c>
      <c r="I3560">
        <v>15</v>
      </c>
      <c r="J3560">
        <v>1</v>
      </c>
      <c r="K3560">
        <v>1</v>
      </c>
      <c r="L3560">
        <v>25769.5</v>
      </c>
      <c r="M3560" t="str">
        <f t="shared" si="510"/>
        <v>13</v>
      </c>
      <c r="N3560" t="s">
        <v>3370</v>
      </c>
      <c r="O3560" t="str">
        <f t="shared" si="513"/>
        <v>61511</v>
      </c>
      <c r="P3560" t="str">
        <f t="shared" si="515"/>
        <v>2100L</v>
      </c>
      <c r="Q3560" t="str">
        <f t="shared" si="512"/>
        <v>0101</v>
      </c>
      <c r="R3560">
        <v>2100</v>
      </c>
      <c r="S3560" t="str">
        <f t="shared" si="514"/>
        <v>6150</v>
      </c>
      <c r="T3560" t="s">
        <v>3659</v>
      </c>
      <c r="U3560" t="s">
        <v>78</v>
      </c>
    </row>
    <row r="3561" spans="1:21" ht="15" customHeight="1" x14ac:dyDescent="0.3">
      <c r="A3561" t="s">
        <v>179</v>
      </c>
      <c r="B3561" t="str">
        <f>"00076404"</f>
        <v>00076404</v>
      </c>
      <c r="C3561" t="s">
        <v>4395</v>
      </c>
      <c r="D3561" t="s">
        <v>3815</v>
      </c>
      <c r="E3561" t="str">
        <f>"00065611"</f>
        <v>00065611</v>
      </c>
      <c r="F3561">
        <v>0</v>
      </c>
      <c r="G3561" s="243">
        <v>40755</v>
      </c>
      <c r="H3561" t="s">
        <v>182</v>
      </c>
      <c r="I3561">
        <v>10</v>
      </c>
      <c r="J3561">
        <v>9</v>
      </c>
      <c r="K3561">
        <v>1</v>
      </c>
      <c r="L3561">
        <v>84226</v>
      </c>
      <c r="M3561" t="str">
        <f t="shared" si="510"/>
        <v>13</v>
      </c>
      <c r="N3561" t="s">
        <v>3370</v>
      </c>
      <c r="O3561" t="str">
        <f t="shared" si="513"/>
        <v>61511</v>
      </c>
      <c r="P3561" t="str">
        <f t="shared" si="515"/>
        <v>2100L</v>
      </c>
      <c r="Q3561" t="str">
        <f t="shared" si="512"/>
        <v>0101</v>
      </c>
      <c r="R3561">
        <v>2100</v>
      </c>
      <c r="S3561" t="str">
        <f t="shared" si="514"/>
        <v>6150</v>
      </c>
      <c r="T3561" t="s">
        <v>3659</v>
      </c>
      <c r="U3561" t="s">
        <v>78</v>
      </c>
    </row>
    <row r="3562" spans="1:21" ht="15" customHeight="1" x14ac:dyDescent="0.3">
      <c r="A3562" t="s">
        <v>179</v>
      </c>
      <c r="B3562" t="str">
        <f>"00076405"</f>
        <v>00076405</v>
      </c>
      <c r="C3562" t="s">
        <v>4271</v>
      </c>
      <c r="H3562" t="s">
        <v>170</v>
      </c>
      <c r="I3562">
        <v>15</v>
      </c>
      <c r="J3562">
        <v>0</v>
      </c>
      <c r="K3562">
        <v>0.5</v>
      </c>
      <c r="L3562">
        <v>60128</v>
      </c>
      <c r="M3562" t="str">
        <f t="shared" si="510"/>
        <v>13</v>
      </c>
      <c r="N3562" t="s">
        <v>3370</v>
      </c>
      <c r="O3562" t="str">
        <f t="shared" si="513"/>
        <v>61511</v>
      </c>
      <c r="P3562" t="str">
        <f t="shared" si="515"/>
        <v>2100L</v>
      </c>
      <c r="Q3562" t="str">
        <f t="shared" si="512"/>
        <v>0101</v>
      </c>
      <c r="R3562">
        <v>2100</v>
      </c>
      <c r="S3562" t="str">
        <f t="shared" si="514"/>
        <v>6150</v>
      </c>
      <c r="T3562" t="s">
        <v>3659</v>
      </c>
      <c r="U3562" t="s">
        <v>78</v>
      </c>
    </row>
    <row r="3563" spans="1:21" ht="15" customHeight="1" x14ac:dyDescent="0.3">
      <c r="A3563" t="s">
        <v>179</v>
      </c>
      <c r="B3563" t="str">
        <f>"00051552"</f>
        <v>00051552</v>
      </c>
      <c r="C3563" t="s">
        <v>4256</v>
      </c>
      <c r="H3563" t="s">
        <v>170</v>
      </c>
      <c r="I3563">
        <v>15</v>
      </c>
      <c r="J3563">
        <v>1</v>
      </c>
      <c r="K3563">
        <v>1</v>
      </c>
      <c r="L3563">
        <v>54975</v>
      </c>
      <c r="M3563" t="str">
        <f t="shared" si="510"/>
        <v>13</v>
      </c>
      <c r="N3563" t="s">
        <v>3370</v>
      </c>
      <c r="O3563" t="str">
        <f t="shared" ref="O3563:O3589" si="516">"61711"</f>
        <v>61711</v>
      </c>
      <c r="P3563" t="str">
        <f t="shared" si="515"/>
        <v>2100L</v>
      </c>
      <c r="Q3563" t="str">
        <f t="shared" si="512"/>
        <v>0101</v>
      </c>
      <c r="R3563">
        <v>2100</v>
      </c>
      <c r="S3563" t="str">
        <f t="shared" ref="S3563:S3589" si="517">"6170"</f>
        <v>6170</v>
      </c>
      <c r="T3563" t="s">
        <v>3624</v>
      </c>
      <c r="U3563" t="s">
        <v>79</v>
      </c>
    </row>
    <row r="3564" spans="1:21" ht="15" customHeight="1" x14ac:dyDescent="0.3">
      <c r="A3564" t="s">
        <v>179</v>
      </c>
      <c r="B3564" t="str">
        <f>"00051684"</f>
        <v>00051684</v>
      </c>
      <c r="C3564" t="s">
        <v>4272</v>
      </c>
      <c r="D3564" t="s">
        <v>2798</v>
      </c>
      <c r="E3564" t="str">
        <f>"00045475"</f>
        <v>00045475</v>
      </c>
      <c r="F3564">
        <v>0</v>
      </c>
      <c r="G3564" s="243">
        <v>32050</v>
      </c>
      <c r="H3564" t="s">
        <v>182</v>
      </c>
      <c r="I3564">
        <v>15</v>
      </c>
      <c r="J3564">
        <v>16</v>
      </c>
      <c r="K3564">
        <v>1</v>
      </c>
      <c r="L3564">
        <v>103347</v>
      </c>
      <c r="M3564" t="str">
        <f t="shared" si="510"/>
        <v>13</v>
      </c>
      <c r="N3564" t="s">
        <v>3323</v>
      </c>
      <c r="O3564" t="str">
        <f t="shared" si="516"/>
        <v>61711</v>
      </c>
      <c r="P3564" t="str">
        <f t="shared" si="515"/>
        <v>2100L</v>
      </c>
      <c r="Q3564" t="str">
        <f t="shared" si="512"/>
        <v>0101</v>
      </c>
      <c r="R3564">
        <v>2100</v>
      </c>
      <c r="S3564" t="str">
        <f t="shared" si="517"/>
        <v>6170</v>
      </c>
      <c r="T3564" t="s">
        <v>3624</v>
      </c>
      <c r="U3564" t="s">
        <v>79</v>
      </c>
    </row>
    <row r="3565" spans="1:21" ht="15" customHeight="1" x14ac:dyDescent="0.3">
      <c r="A3565" t="s">
        <v>179</v>
      </c>
      <c r="B3565" t="str">
        <f>"00052138"</f>
        <v>00052138</v>
      </c>
      <c r="C3565" t="s">
        <v>4262</v>
      </c>
      <c r="D3565" t="s">
        <v>2799</v>
      </c>
      <c r="E3565" t="str">
        <f>"00047414"</f>
        <v>00047414</v>
      </c>
      <c r="F3565">
        <v>0</v>
      </c>
      <c r="G3565" s="243">
        <v>34655</v>
      </c>
      <c r="H3565" t="s">
        <v>182</v>
      </c>
      <c r="I3565">
        <v>15</v>
      </c>
      <c r="J3565">
        <v>15</v>
      </c>
      <c r="K3565">
        <v>1</v>
      </c>
      <c r="L3565">
        <v>98285</v>
      </c>
      <c r="M3565" t="str">
        <f t="shared" si="510"/>
        <v>13</v>
      </c>
      <c r="N3565" t="s">
        <v>3323</v>
      </c>
      <c r="O3565" t="str">
        <f t="shared" si="516"/>
        <v>61711</v>
      </c>
      <c r="P3565" t="str">
        <f>"2100L"</f>
        <v>2100L</v>
      </c>
      <c r="Q3565" t="str">
        <f t="shared" si="512"/>
        <v>0101</v>
      </c>
      <c r="R3565">
        <v>2100</v>
      </c>
      <c r="S3565" t="str">
        <f t="shared" si="517"/>
        <v>6170</v>
      </c>
      <c r="T3565" t="s">
        <v>3624</v>
      </c>
      <c r="U3565" t="s">
        <v>79</v>
      </c>
    </row>
    <row r="3566" spans="1:21" ht="15" customHeight="1" x14ac:dyDescent="0.3">
      <c r="A3566" t="s">
        <v>179</v>
      </c>
      <c r="B3566" t="str">
        <f>"00052869"</f>
        <v>00052869</v>
      </c>
      <c r="C3566" t="s">
        <v>4262</v>
      </c>
      <c r="H3566" t="s">
        <v>170</v>
      </c>
      <c r="I3566">
        <v>15</v>
      </c>
      <c r="J3566">
        <v>1</v>
      </c>
      <c r="K3566">
        <v>1</v>
      </c>
      <c r="L3566">
        <v>60128</v>
      </c>
      <c r="M3566" t="str">
        <f t="shared" si="510"/>
        <v>13</v>
      </c>
      <c r="N3566" t="s">
        <v>3323</v>
      </c>
      <c r="O3566" t="str">
        <f t="shared" si="516"/>
        <v>61711</v>
      </c>
      <c r="P3566" t="str">
        <f>"2100L"</f>
        <v>2100L</v>
      </c>
      <c r="Q3566" t="str">
        <f t="shared" si="512"/>
        <v>0101</v>
      </c>
      <c r="R3566">
        <v>2100</v>
      </c>
      <c r="S3566" t="str">
        <f t="shared" si="517"/>
        <v>6170</v>
      </c>
      <c r="T3566" t="s">
        <v>3624</v>
      </c>
      <c r="U3566" t="s">
        <v>79</v>
      </c>
    </row>
    <row r="3567" spans="1:21" ht="15" customHeight="1" x14ac:dyDescent="0.3">
      <c r="A3567" t="s">
        <v>179</v>
      </c>
      <c r="B3567" t="str">
        <f>"00053238"</f>
        <v>00053238</v>
      </c>
      <c r="C3567" t="s">
        <v>4272</v>
      </c>
      <c r="D3567" t="s">
        <v>2800</v>
      </c>
      <c r="E3567" t="str">
        <f>"00049152"</f>
        <v>00049152</v>
      </c>
      <c r="F3567">
        <v>0</v>
      </c>
      <c r="G3567" s="243">
        <v>39831</v>
      </c>
      <c r="H3567" t="s">
        <v>182</v>
      </c>
      <c r="I3567">
        <v>15</v>
      </c>
      <c r="J3567">
        <v>12</v>
      </c>
      <c r="K3567">
        <v>1</v>
      </c>
      <c r="L3567">
        <v>75816</v>
      </c>
      <c r="M3567" t="str">
        <f t="shared" si="510"/>
        <v>13</v>
      </c>
      <c r="N3567" t="s">
        <v>3323</v>
      </c>
      <c r="O3567" t="str">
        <f t="shared" si="516"/>
        <v>61711</v>
      </c>
      <c r="P3567" t="str">
        <f>"2100L"</f>
        <v>2100L</v>
      </c>
      <c r="Q3567" t="str">
        <f t="shared" si="512"/>
        <v>0101</v>
      </c>
      <c r="R3567">
        <v>2100</v>
      </c>
      <c r="S3567" t="str">
        <f t="shared" si="517"/>
        <v>6170</v>
      </c>
      <c r="T3567" t="s">
        <v>3624</v>
      </c>
      <c r="U3567" t="s">
        <v>79</v>
      </c>
    </row>
    <row r="3568" spans="1:21" ht="15" customHeight="1" x14ac:dyDescent="0.3">
      <c r="A3568" t="s">
        <v>179</v>
      </c>
      <c r="B3568" t="str">
        <f>"00053259"</f>
        <v>00053259</v>
      </c>
      <c r="C3568" t="s">
        <v>4274</v>
      </c>
      <c r="D3568" t="s">
        <v>5394</v>
      </c>
      <c r="E3568" t="str">
        <f>"00051187"</f>
        <v>00051187</v>
      </c>
      <c r="F3568">
        <v>0</v>
      </c>
      <c r="G3568" s="243">
        <v>32176</v>
      </c>
      <c r="H3568" t="s">
        <v>182</v>
      </c>
      <c r="I3568">
        <v>4</v>
      </c>
      <c r="J3568">
        <v>10</v>
      </c>
      <c r="K3568">
        <v>0.875</v>
      </c>
      <c r="L3568">
        <v>28721</v>
      </c>
      <c r="M3568" t="str">
        <f t="shared" si="510"/>
        <v>13</v>
      </c>
      <c r="N3568" t="s">
        <v>3323</v>
      </c>
      <c r="O3568" t="str">
        <f t="shared" si="516"/>
        <v>61711</v>
      </c>
      <c r="P3568" t="str">
        <f>"2200L"</f>
        <v>2200L</v>
      </c>
      <c r="Q3568" t="str">
        <f t="shared" si="512"/>
        <v>0101</v>
      </c>
      <c r="R3568">
        <v>2200</v>
      </c>
      <c r="S3568" t="str">
        <f t="shared" si="517"/>
        <v>6170</v>
      </c>
      <c r="T3568" t="s">
        <v>3624</v>
      </c>
      <c r="U3568" t="s">
        <v>79</v>
      </c>
    </row>
    <row r="3569" spans="1:21" ht="15" customHeight="1" x14ac:dyDescent="0.3">
      <c r="A3569" t="s">
        <v>179</v>
      </c>
      <c r="B3569" t="str">
        <f>"00053439"</f>
        <v>00053439</v>
      </c>
      <c r="C3569" t="s">
        <v>4262</v>
      </c>
      <c r="H3569" t="s">
        <v>170</v>
      </c>
      <c r="I3569">
        <v>15</v>
      </c>
      <c r="J3569">
        <v>1</v>
      </c>
      <c r="K3569">
        <v>1</v>
      </c>
      <c r="L3569">
        <v>60128</v>
      </c>
      <c r="M3569" t="str">
        <f t="shared" si="510"/>
        <v>13</v>
      </c>
      <c r="N3569" t="s">
        <v>3323</v>
      </c>
      <c r="O3569" t="str">
        <f t="shared" si="516"/>
        <v>61711</v>
      </c>
      <c r="P3569" t="str">
        <f>"2100L"</f>
        <v>2100L</v>
      </c>
      <c r="Q3569" t="str">
        <f t="shared" si="512"/>
        <v>0101</v>
      </c>
      <c r="R3569">
        <v>2100</v>
      </c>
      <c r="S3569" t="str">
        <f t="shared" si="517"/>
        <v>6170</v>
      </c>
      <c r="T3569" t="s">
        <v>3624</v>
      </c>
      <c r="U3569" t="s">
        <v>79</v>
      </c>
    </row>
    <row r="3570" spans="1:21" ht="15" customHeight="1" x14ac:dyDescent="0.3">
      <c r="A3570" t="s">
        <v>179</v>
      </c>
      <c r="B3570" t="str">
        <f>"00054012"</f>
        <v>00054012</v>
      </c>
      <c r="C3570" t="s">
        <v>4257</v>
      </c>
      <c r="D3570" t="s">
        <v>2802</v>
      </c>
      <c r="E3570" t="str">
        <f>"00052873"</f>
        <v>00052873</v>
      </c>
      <c r="F3570">
        <v>0</v>
      </c>
      <c r="G3570" s="243">
        <v>36034</v>
      </c>
      <c r="H3570" t="s">
        <v>182</v>
      </c>
      <c r="I3570">
        <v>15</v>
      </c>
      <c r="J3570">
        <v>14</v>
      </c>
      <c r="K3570">
        <v>1</v>
      </c>
      <c r="L3570">
        <v>96460</v>
      </c>
      <c r="M3570" t="str">
        <f t="shared" si="510"/>
        <v>13</v>
      </c>
      <c r="N3570" t="s">
        <v>3323</v>
      </c>
      <c r="O3570" t="str">
        <f t="shared" si="516"/>
        <v>61711</v>
      </c>
      <c r="P3570" t="str">
        <f>"2100L"</f>
        <v>2100L</v>
      </c>
      <c r="Q3570" t="str">
        <f t="shared" si="512"/>
        <v>0101</v>
      </c>
      <c r="R3570">
        <v>2100</v>
      </c>
      <c r="S3570" t="str">
        <f t="shared" si="517"/>
        <v>6170</v>
      </c>
      <c r="T3570" t="s">
        <v>3624</v>
      </c>
      <c r="U3570" t="s">
        <v>79</v>
      </c>
    </row>
    <row r="3571" spans="1:21" ht="15" customHeight="1" x14ac:dyDescent="0.3">
      <c r="A3571" t="s">
        <v>179</v>
      </c>
      <c r="B3571" t="str">
        <f>"00054160"</f>
        <v>00054160</v>
      </c>
      <c r="C3571" t="s">
        <v>4260</v>
      </c>
      <c r="D3571" t="s">
        <v>2803</v>
      </c>
      <c r="E3571" t="str">
        <f>"00053143"</f>
        <v>00053143</v>
      </c>
      <c r="F3571">
        <v>0</v>
      </c>
      <c r="G3571" s="243">
        <v>30060</v>
      </c>
      <c r="H3571" t="s">
        <v>182</v>
      </c>
      <c r="I3571">
        <v>15</v>
      </c>
      <c r="J3571">
        <v>16</v>
      </c>
      <c r="K3571">
        <v>1</v>
      </c>
      <c r="L3571">
        <v>100839</v>
      </c>
      <c r="M3571" t="str">
        <f t="shared" si="510"/>
        <v>13</v>
      </c>
      <c r="N3571" t="s">
        <v>3323</v>
      </c>
      <c r="O3571" t="str">
        <f t="shared" si="516"/>
        <v>61711</v>
      </c>
      <c r="P3571" t="str">
        <f>"3030L"</f>
        <v>3030L</v>
      </c>
      <c r="Q3571" t="str">
        <f t="shared" si="512"/>
        <v>0101</v>
      </c>
      <c r="R3571">
        <v>3030</v>
      </c>
      <c r="S3571" t="str">
        <f t="shared" si="517"/>
        <v>6170</v>
      </c>
      <c r="T3571" t="s">
        <v>3624</v>
      </c>
      <c r="U3571" t="s">
        <v>79</v>
      </c>
    </row>
    <row r="3572" spans="1:21" ht="15" customHeight="1" x14ac:dyDescent="0.3">
      <c r="A3572" t="s">
        <v>179</v>
      </c>
      <c r="B3572" t="str">
        <f>"00054263"</f>
        <v>00054263</v>
      </c>
      <c r="C3572" t="s">
        <v>4272</v>
      </c>
      <c r="D3572" t="s">
        <v>2804</v>
      </c>
      <c r="E3572" t="str">
        <f>"00053388"</f>
        <v>00053388</v>
      </c>
      <c r="F3572">
        <v>0</v>
      </c>
      <c r="G3572" s="243">
        <v>32050</v>
      </c>
      <c r="H3572" t="s">
        <v>182</v>
      </c>
      <c r="I3572">
        <v>15</v>
      </c>
      <c r="J3572">
        <v>16</v>
      </c>
      <c r="K3572">
        <v>1</v>
      </c>
      <c r="L3572">
        <v>103347</v>
      </c>
      <c r="M3572" t="str">
        <f t="shared" si="510"/>
        <v>13</v>
      </c>
      <c r="N3572" t="s">
        <v>3323</v>
      </c>
      <c r="O3572" t="str">
        <f t="shared" si="516"/>
        <v>61711</v>
      </c>
      <c r="P3572" t="str">
        <f>"2200L"</f>
        <v>2200L</v>
      </c>
      <c r="Q3572" t="str">
        <f t="shared" si="512"/>
        <v>0101</v>
      </c>
      <c r="R3572">
        <v>2200</v>
      </c>
      <c r="S3572" t="str">
        <f t="shared" si="517"/>
        <v>6170</v>
      </c>
      <c r="T3572" t="s">
        <v>3624</v>
      </c>
      <c r="U3572" t="s">
        <v>79</v>
      </c>
    </row>
    <row r="3573" spans="1:21" ht="15" customHeight="1" x14ac:dyDescent="0.3">
      <c r="A3573" t="s">
        <v>179</v>
      </c>
      <c r="B3573" t="str">
        <f>"00054303"</f>
        <v>00054303</v>
      </c>
      <c r="C3573" t="s">
        <v>4272</v>
      </c>
      <c r="D3573" t="s">
        <v>5395</v>
      </c>
      <c r="E3573" t="str">
        <f>"00044747"</f>
        <v>00044747</v>
      </c>
      <c r="F3573">
        <v>0</v>
      </c>
      <c r="G3573" s="243">
        <v>39791</v>
      </c>
      <c r="H3573" t="s">
        <v>182</v>
      </c>
      <c r="I3573">
        <v>15</v>
      </c>
      <c r="J3573">
        <v>4</v>
      </c>
      <c r="K3573">
        <v>1</v>
      </c>
      <c r="L3573">
        <v>61158</v>
      </c>
      <c r="M3573" t="str">
        <f t="shared" ref="M3573:M3632" si="518">"13"</f>
        <v>13</v>
      </c>
      <c r="N3573" t="s">
        <v>3323</v>
      </c>
      <c r="O3573" t="str">
        <f t="shared" si="516"/>
        <v>61711</v>
      </c>
      <c r="P3573" t="str">
        <f>"2200L"</f>
        <v>2200L</v>
      </c>
      <c r="Q3573" t="str">
        <f t="shared" si="512"/>
        <v>0101</v>
      </c>
      <c r="R3573">
        <v>2200</v>
      </c>
      <c r="S3573" t="str">
        <f t="shared" si="517"/>
        <v>6170</v>
      </c>
      <c r="T3573" t="s">
        <v>3624</v>
      </c>
      <c r="U3573" t="s">
        <v>79</v>
      </c>
    </row>
    <row r="3574" spans="1:21" ht="15" customHeight="1" x14ac:dyDescent="0.3">
      <c r="A3574" t="s">
        <v>179</v>
      </c>
      <c r="B3574" t="str">
        <f>"00054826"</f>
        <v>00054826</v>
      </c>
      <c r="C3574" t="s">
        <v>4266</v>
      </c>
      <c r="D3574" t="s">
        <v>2806</v>
      </c>
      <c r="E3574" t="str">
        <f>"00054706"</f>
        <v>00054706</v>
      </c>
      <c r="F3574">
        <v>0</v>
      </c>
      <c r="G3574" s="243">
        <v>40824</v>
      </c>
      <c r="H3574" t="s">
        <v>182</v>
      </c>
      <c r="I3574">
        <v>15</v>
      </c>
      <c r="J3574">
        <v>15</v>
      </c>
      <c r="K3574">
        <v>1</v>
      </c>
      <c r="L3574">
        <v>100792</v>
      </c>
      <c r="M3574" t="str">
        <f t="shared" si="518"/>
        <v>13</v>
      </c>
      <c r="N3574" t="s">
        <v>3323</v>
      </c>
      <c r="O3574" t="str">
        <f t="shared" si="516"/>
        <v>61711</v>
      </c>
      <c r="P3574" t="str">
        <f>"2300L"</f>
        <v>2300L</v>
      </c>
      <c r="Q3574" t="str">
        <f t="shared" si="512"/>
        <v>0101</v>
      </c>
      <c r="R3574">
        <v>2300</v>
      </c>
      <c r="S3574" t="str">
        <f t="shared" si="517"/>
        <v>6170</v>
      </c>
      <c r="T3574" t="s">
        <v>3624</v>
      </c>
      <c r="U3574" t="s">
        <v>79</v>
      </c>
    </row>
    <row r="3575" spans="1:21" ht="15" customHeight="1" x14ac:dyDescent="0.3">
      <c r="A3575" t="s">
        <v>179</v>
      </c>
      <c r="B3575" t="str">
        <f>"00054868"</f>
        <v>00054868</v>
      </c>
      <c r="C3575" t="s">
        <v>4274</v>
      </c>
      <c r="D3575" t="s">
        <v>5396</v>
      </c>
      <c r="E3575" t="str">
        <f>"00054818"</f>
        <v>00054818</v>
      </c>
      <c r="F3575">
        <v>0</v>
      </c>
      <c r="G3575" s="243">
        <v>31880</v>
      </c>
      <c r="H3575" t="s">
        <v>182</v>
      </c>
      <c r="I3575">
        <v>4</v>
      </c>
      <c r="J3575">
        <v>10</v>
      </c>
      <c r="K3575">
        <v>0.875</v>
      </c>
      <c r="L3575">
        <v>28721</v>
      </c>
      <c r="M3575" t="str">
        <f t="shared" si="518"/>
        <v>13</v>
      </c>
      <c r="N3575" t="s">
        <v>3323</v>
      </c>
      <c r="O3575" t="str">
        <f t="shared" si="516"/>
        <v>61711</v>
      </c>
      <c r="P3575" t="str">
        <f>"2200L"</f>
        <v>2200L</v>
      </c>
      <c r="Q3575" t="str">
        <f t="shared" si="512"/>
        <v>0101</v>
      </c>
      <c r="R3575">
        <v>2200</v>
      </c>
      <c r="S3575" t="str">
        <f t="shared" si="517"/>
        <v>6170</v>
      </c>
      <c r="T3575" t="s">
        <v>3624</v>
      </c>
      <c r="U3575" t="s">
        <v>79</v>
      </c>
    </row>
    <row r="3576" spans="1:21" ht="15" customHeight="1" x14ac:dyDescent="0.3">
      <c r="A3576" t="s">
        <v>179</v>
      </c>
      <c r="B3576" t="str">
        <f>"00055242"</f>
        <v>00055242</v>
      </c>
      <c r="C3576" t="s">
        <v>4253</v>
      </c>
      <c r="H3576" t="s">
        <v>170</v>
      </c>
      <c r="I3576">
        <v>15</v>
      </c>
      <c r="J3576">
        <v>1</v>
      </c>
      <c r="K3576">
        <v>1</v>
      </c>
      <c r="L3576">
        <v>54975</v>
      </c>
      <c r="M3576" t="str">
        <f t="shared" si="518"/>
        <v>13</v>
      </c>
      <c r="N3576" t="s">
        <v>3323</v>
      </c>
      <c r="O3576" t="str">
        <f t="shared" si="516"/>
        <v>61711</v>
      </c>
      <c r="P3576" t="str">
        <f>"2100L"</f>
        <v>2100L</v>
      </c>
      <c r="Q3576" t="str">
        <f t="shared" si="512"/>
        <v>0101</v>
      </c>
      <c r="R3576">
        <v>2100</v>
      </c>
      <c r="S3576" t="str">
        <f t="shared" si="517"/>
        <v>6170</v>
      </c>
      <c r="T3576" t="s">
        <v>3624</v>
      </c>
      <c r="U3576" t="s">
        <v>79</v>
      </c>
    </row>
    <row r="3577" spans="1:21" ht="15" customHeight="1" x14ac:dyDescent="0.3">
      <c r="A3577" t="s">
        <v>179</v>
      </c>
      <c r="B3577" t="str">
        <f>"00055284"</f>
        <v>00055284</v>
      </c>
      <c r="C3577" t="s">
        <v>4262</v>
      </c>
      <c r="D3577" t="s">
        <v>2808</v>
      </c>
      <c r="E3577" t="str">
        <f>"00053272"</f>
        <v>00053272</v>
      </c>
      <c r="F3577">
        <v>0</v>
      </c>
      <c r="G3577" s="243">
        <v>36397</v>
      </c>
      <c r="H3577" t="s">
        <v>182</v>
      </c>
      <c r="I3577">
        <v>15</v>
      </c>
      <c r="J3577">
        <v>12</v>
      </c>
      <c r="K3577">
        <v>1</v>
      </c>
      <c r="L3577">
        <v>87431</v>
      </c>
      <c r="M3577" t="str">
        <f t="shared" si="518"/>
        <v>13</v>
      </c>
      <c r="N3577" t="s">
        <v>3323</v>
      </c>
      <c r="O3577" t="str">
        <f t="shared" si="516"/>
        <v>61711</v>
      </c>
      <c r="P3577" t="str">
        <f>"2100L"</f>
        <v>2100L</v>
      </c>
      <c r="Q3577" t="str">
        <f t="shared" si="512"/>
        <v>0101</v>
      </c>
      <c r="R3577">
        <v>2100</v>
      </c>
      <c r="S3577" t="str">
        <f t="shared" si="517"/>
        <v>6170</v>
      </c>
      <c r="T3577" t="s">
        <v>3624</v>
      </c>
      <c r="U3577" t="s">
        <v>79</v>
      </c>
    </row>
    <row r="3578" spans="1:21" ht="15" customHeight="1" x14ac:dyDescent="0.3">
      <c r="A3578" t="s">
        <v>179</v>
      </c>
      <c r="B3578" t="str">
        <f>"00056965"</f>
        <v>00056965</v>
      </c>
      <c r="C3578" t="s">
        <v>4262</v>
      </c>
      <c r="D3578" t="s">
        <v>2809</v>
      </c>
      <c r="E3578" t="str">
        <f>"00051656"</f>
        <v>00051656</v>
      </c>
      <c r="F3578">
        <v>0</v>
      </c>
      <c r="G3578" s="243">
        <v>34304</v>
      </c>
      <c r="H3578" t="s">
        <v>182</v>
      </c>
      <c r="I3578">
        <v>15</v>
      </c>
      <c r="J3578">
        <v>14</v>
      </c>
      <c r="K3578">
        <v>1</v>
      </c>
      <c r="L3578">
        <v>96460</v>
      </c>
      <c r="M3578" t="str">
        <f t="shared" si="518"/>
        <v>13</v>
      </c>
      <c r="N3578" t="s">
        <v>3323</v>
      </c>
      <c r="O3578" t="str">
        <f t="shared" si="516"/>
        <v>61711</v>
      </c>
      <c r="P3578" t="str">
        <f>"2100L"</f>
        <v>2100L</v>
      </c>
      <c r="Q3578" t="str">
        <f t="shared" si="512"/>
        <v>0101</v>
      </c>
      <c r="R3578">
        <v>2100</v>
      </c>
      <c r="S3578" t="str">
        <f t="shared" si="517"/>
        <v>6170</v>
      </c>
      <c r="T3578" t="s">
        <v>3624</v>
      </c>
      <c r="U3578" t="s">
        <v>79</v>
      </c>
    </row>
    <row r="3579" spans="1:21" ht="15" customHeight="1" x14ac:dyDescent="0.3">
      <c r="A3579" t="s">
        <v>179</v>
      </c>
      <c r="B3579" t="str">
        <f>"00057081"</f>
        <v>00057081</v>
      </c>
      <c r="C3579" t="s">
        <v>4292</v>
      </c>
      <c r="D3579" t="s">
        <v>5397</v>
      </c>
      <c r="E3579" t="str">
        <f>"00063891"</f>
        <v>00063891</v>
      </c>
      <c r="F3579">
        <v>0</v>
      </c>
      <c r="G3579" s="243">
        <v>40476</v>
      </c>
      <c r="H3579" t="s">
        <v>182</v>
      </c>
      <c r="I3579">
        <v>4</v>
      </c>
      <c r="J3579">
        <v>5</v>
      </c>
      <c r="K3579">
        <v>0.875</v>
      </c>
      <c r="L3579">
        <v>25239.37</v>
      </c>
      <c r="M3579" t="str">
        <f t="shared" si="518"/>
        <v>13</v>
      </c>
      <c r="N3579" t="s">
        <v>3323</v>
      </c>
      <c r="O3579" t="str">
        <f t="shared" si="516"/>
        <v>61711</v>
      </c>
      <c r="P3579" t="str">
        <f>"2200L"</f>
        <v>2200L</v>
      </c>
      <c r="Q3579" t="str">
        <f t="shared" ref="Q3579:Q3640" si="519">"0101"</f>
        <v>0101</v>
      </c>
      <c r="R3579">
        <v>2200</v>
      </c>
      <c r="S3579" t="str">
        <f t="shared" si="517"/>
        <v>6170</v>
      </c>
      <c r="T3579" t="s">
        <v>3624</v>
      </c>
      <c r="U3579" t="s">
        <v>79</v>
      </c>
    </row>
    <row r="3580" spans="1:21" ht="15" customHeight="1" x14ac:dyDescent="0.3">
      <c r="A3580" t="s">
        <v>179</v>
      </c>
      <c r="B3580" t="str">
        <f>"00057139"</f>
        <v>00057139</v>
      </c>
      <c r="C3580" t="s">
        <v>4262</v>
      </c>
      <c r="H3580" t="s">
        <v>170</v>
      </c>
      <c r="I3580">
        <v>15</v>
      </c>
      <c r="J3580">
        <v>1</v>
      </c>
      <c r="K3580">
        <v>1</v>
      </c>
      <c r="L3580">
        <v>54975</v>
      </c>
      <c r="M3580" t="str">
        <f t="shared" si="518"/>
        <v>13</v>
      </c>
      <c r="N3580" t="s">
        <v>3323</v>
      </c>
      <c r="O3580" t="str">
        <f t="shared" si="516"/>
        <v>61711</v>
      </c>
      <c r="P3580" t="str">
        <f>"2100L"</f>
        <v>2100L</v>
      </c>
      <c r="Q3580" t="str">
        <f t="shared" si="519"/>
        <v>0101</v>
      </c>
      <c r="R3580">
        <v>2100</v>
      </c>
      <c r="S3580" t="str">
        <f t="shared" si="517"/>
        <v>6170</v>
      </c>
      <c r="T3580" t="s">
        <v>3624</v>
      </c>
      <c r="U3580" t="s">
        <v>79</v>
      </c>
    </row>
    <row r="3581" spans="1:21" ht="15" customHeight="1" x14ac:dyDescent="0.3">
      <c r="A3581" t="s">
        <v>179</v>
      </c>
      <c r="B3581" t="str">
        <f>"00057347"</f>
        <v>00057347</v>
      </c>
      <c r="C3581" t="s">
        <v>4262</v>
      </c>
      <c r="D3581" t="s">
        <v>5398</v>
      </c>
      <c r="E3581" t="str">
        <f>"00070626"</f>
        <v>00070626</v>
      </c>
      <c r="F3581">
        <v>0</v>
      </c>
      <c r="G3581" s="243">
        <v>41182</v>
      </c>
      <c r="H3581" t="s">
        <v>182</v>
      </c>
      <c r="I3581">
        <v>15</v>
      </c>
      <c r="J3581">
        <v>1</v>
      </c>
      <c r="K3581">
        <v>1</v>
      </c>
      <c r="L3581">
        <v>54975</v>
      </c>
      <c r="M3581" t="str">
        <f t="shared" si="518"/>
        <v>13</v>
      </c>
      <c r="N3581" t="s">
        <v>3323</v>
      </c>
      <c r="O3581" t="str">
        <f t="shared" si="516"/>
        <v>61711</v>
      </c>
      <c r="P3581" t="str">
        <f>"2100L"</f>
        <v>2100L</v>
      </c>
      <c r="Q3581" t="str">
        <f t="shared" si="519"/>
        <v>0101</v>
      </c>
      <c r="R3581">
        <v>2100</v>
      </c>
      <c r="S3581" t="str">
        <f t="shared" si="517"/>
        <v>6170</v>
      </c>
      <c r="T3581" t="s">
        <v>3624</v>
      </c>
      <c r="U3581" t="s">
        <v>79</v>
      </c>
    </row>
    <row r="3582" spans="1:21" ht="15" customHeight="1" x14ac:dyDescent="0.3">
      <c r="A3582" t="s">
        <v>179</v>
      </c>
      <c r="B3582" t="str">
        <f>"00057495"</f>
        <v>00057495</v>
      </c>
      <c r="C3582" t="s">
        <v>4292</v>
      </c>
      <c r="H3582" t="s">
        <v>170</v>
      </c>
      <c r="I3582">
        <v>4</v>
      </c>
      <c r="J3582">
        <v>1</v>
      </c>
      <c r="K3582">
        <v>0.875</v>
      </c>
      <c r="L3582">
        <v>25662</v>
      </c>
      <c r="M3582" t="str">
        <f t="shared" si="518"/>
        <v>13</v>
      </c>
      <c r="N3582" t="s">
        <v>3323</v>
      </c>
      <c r="O3582" t="str">
        <f t="shared" si="516"/>
        <v>61711</v>
      </c>
      <c r="P3582" t="str">
        <f>"2200L"</f>
        <v>2200L</v>
      </c>
      <c r="Q3582" t="str">
        <f t="shared" si="519"/>
        <v>0101</v>
      </c>
      <c r="R3582">
        <v>2200</v>
      </c>
      <c r="S3582" t="str">
        <f t="shared" si="517"/>
        <v>6170</v>
      </c>
      <c r="T3582" t="s">
        <v>3624</v>
      </c>
      <c r="U3582" t="s">
        <v>79</v>
      </c>
    </row>
    <row r="3583" spans="1:21" ht="15" customHeight="1" x14ac:dyDescent="0.3">
      <c r="A3583" t="s">
        <v>179</v>
      </c>
      <c r="B3583" t="str">
        <f>"00057794"</f>
        <v>00057794</v>
      </c>
      <c r="C3583" t="s">
        <v>4381</v>
      </c>
      <c r="D3583" t="s">
        <v>2812</v>
      </c>
      <c r="E3583" t="str">
        <f>"00052984"</f>
        <v>00052984</v>
      </c>
      <c r="F3583">
        <v>0</v>
      </c>
      <c r="G3583" s="243">
        <v>36485</v>
      </c>
      <c r="H3583" t="s">
        <v>182</v>
      </c>
      <c r="I3583">
        <v>9</v>
      </c>
      <c r="J3583">
        <v>3</v>
      </c>
      <c r="K3583">
        <v>1</v>
      </c>
      <c r="L3583">
        <v>35289</v>
      </c>
      <c r="M3583" t="str">
        <f t="shared" si="518"/>
        <v>13</v>
      </c>
      <c r="N3583" t="s">
        <v>3323</v>
      </c>
      <c r="O3583" t="str">
        <f t="shared" si="516"/>
        <v>61711</v>
      </c>
      <c r="P3583" t="str">
        <f>"2100L"</f>
        <v>2100L</v>
      </c>
      <c r="Q3583" t="str">
        <f t="shared" si="519"/>
        <v>0101</v>
      </c>
      <c r="R3583">
        <v>2100</v>
      </c>
      <c r="S3583" t="str">
        <f t="shared" si="517"/>
        <v>6170</v>
      </c>
      <c r="T3583" t="s">
        <v>3624</v>
      </c>
      <c r="U3583" t="s">
        <v>79</v>
      </c>
    </row>
    <row r="3584" spans="1:21" ht="15" customHeight="1" x14ac:dyDescent="0.3">
      <c r="A3584" t="s">
        <v>179</v>
      </c>
      <c r="B3584" t="str">
        <f>"00058171"</f>
        <v>00058171</v>
      </c>
      <c r="C3584" t="s">
        <v>4253</v>
      </c>
      <c r="D3584" t="s">
        <v>3854</v>
      </c>
      <c r="E3584" t="str">
        <f>"00066444"</f>
        <v>00066444</v>
      </c>
      <c r="F3584">
        <v>0</v>
      </c>
      <c r="G3584" s="243">
        <v>40755</v>
      </c>
      <c r="H3584" t="s">
        <v>182</v>
      </c>
      <c r="I3584">
        <v>15</v>
      </c>
      <c r="J3584">
        <v>2</v>
      </c>
      <c r="K3584">
        <v>1</v>
      </c>
      <c r="L3584">
        <v>56242</v>
      </c>
      <c r="M3584" t="str">
        <f t="shared" si="518"/>
        <v>13</v>
      </c>
      <c r="N3584" t="s">
        <v>3323</v>
      </c>
      <c r="O3584" t="str">
        <f t="shared" si="516"/>
        <v>61711</v>
      </c>
      <c r="P3584" t="str">
        <f>"2100L"</f>
        <v>2100L</v>
      </c>
      <c r="Q3584" t="str">
        <f t="shared" si="519"/>
        <v>0101</v>
      </c>
      <c r="R3584">
        <v>2100</v>
      </c>
      <c r="S3584" t="str">
        <f t="shared" si="517"/>
        <v>6170</v>
      </c>
      <c r="T3584" t="s">
        <v>3624</v>
      </c>
      <c r="U3584" t="s">
        <v>79</v>
      </c>
    </row>
    <row r="3585" spans="1:21" ht="15" customHeight="1" x14ac:dyDescent="0.3">
      <c r="A3585" t="s">
        <v>179</v>
      </c>
      <c r="B3585" t="str">
        <f>"00058306"</f>
        <v>00058306</v>
      </c>
      <c r="C3585" t="s">
        <v>4262</v>
      </c>
      <c r="D3585" t="s">
        <v>3819</v>
      </c>
      <c r="E3585" t="str">
        <f>"00048053"</f>
        <v>00048053</v>
      </c>
      <c r="F3585">
        <v>0</v>
      </c>
      <c r="G3585" s="243">
        <v>40755</v>
      </c>
      <c r="H3585" t="s">
        <v>182</v>
      </c>
      <c r="I3585">
        <v>15</v>
      </c>
      <c r="J3585">
        <v>5</v>
      </c>
      <c r="K3585">
        <v>1</v>
      </c>
      <c r="L3585">
        <v>63611</v>
      </c>
      <c r="M3585" t="str">
        <f t="shared" si="518"/>
        <v>13</v>
      </c>
      <c r="N3585" t="s">
        <v>3323</v>
      </c>
      <c r="O3585" t="str">
        <f t="shared" si="516"/>
        <v>61711</v>
      </c>
      <c r="P3585" t="str">
        <f>"2100L"</f>
        <v>2100L</v>
      </c>
      <c r="Q3585" t="str">
        <f t="shared" si="519"/>
        <v>0101</v>
      </c>
      <c r="R3585">
        <v>2100</v>
      </c>
      <c r="S3585" t="str">
        <f t="shared" si="517"/>
        <v>6170</v>
      </c>
      <c r="T3585" t="s">
        <v>3624</v>
      </c>
      <c r="U3585" t="s">
        <v>79</v>
      </c>
    </row>
    <row r="3586" spans="1:21" ht="15" customHeight="1" x14ac:dyDescent="0.3">
      <c r="A3586" t="s">
        <v>179</v>
      </c>
      <c r="B3586" t="str">
        <f>"00059369"</f>
        <v>00059369</v>
      </c>
      <c r="C3586" t="s">
        <v>4395</v>
      </c>
      <c r="H3586" t="s">
        <v>170</v>
      </c>
      <c r="I3586">
        <v>10</v>
      </c>
      <c r="J3586">
        <v>1</v>
      </c>
      <c r="K3586">
        <v>1</v>
      </c>
      <c r="L3586">
        <v>64547</v>
      </c>
      <c r="M3586" t="str">
        <f t="shared" si="518"/>
        <v>13</v>
      </c>
      <c r="N3586" t="s">
        <v>3323</v>
      </c>
      <c r="O3586" t="str">
        <f t="shared" si="516"/>
        <v>61711</v>
      </c>
      <c r="P3586" t="str">
        <f>"1502L"</f>
        <v>1502L</v>
      </c>
      <c r="Q3586" t="str">
        <f t="shared" si="519"/>
        <v>0101</v>
      </c>
      <c r="R3586">
        <v>1502</v>
      </c>
      <c r="S3586" t="str">
        <f t="shared" si="517"/>
        <v>6170</v>
      </c>
      <c r="T3586" t="s">
        <v>3624</v>
      </c>
      <c r="U3586" t="s">
        <v>79</v>
      </c>
    </row>
    <row r="3587" spans="1:21" ht="15" customHeight="1" x14ac:dyDescent="0.3">
      <c r="A3587" t="s">
        <v>179</v>
      </c>
      <c r="B3587" t="str">
        <f>"00061254"</f>
        <v>00061254</v>
      </c>
      <c r="C3587" t="s">
        <v>3798</v>
      </c>
      <c r="D3587" t="s">
        <v>2810</v>
      </c>
      <c r="E3587" t="str">
        <f>"00052036"</f>
        <v>00052036</v>
      </c>
      <c r="F3587">
        <v>0</v>
      </c>
      <c r="G3587" s="243">
        <v>36605</v>
      </c>
      <c r="H3587" t="s">
        <v>182</v>
      </c>
      <c r="I3587">
        <v>62</v>
      </c>
      <c r="J3587">
        <v>1</v>
      </c>
      <c r="K3587">
        <v>1</v>
      </c>
      <c r="L3587">
        <v>103000</v>
      </c>
      <c r="M3587" t="str">
        <f t="shared" si="518"/>
        <v>13</v>
      </c>
      <c r="N3587" t="s">
        <v>3323</v>
      </c>
      <c r="O3587" t="str">
        <f t="shared" si="516"/>
        <v>61711</v>
      </c>
      <c r="P3587" t="str">
        <f>"1501L"</f>
        <v>1501L</v>
      </c>
      <c r="Q3587" t="str">
        <f t="shared" si="519"/>
        <v>0101</v>
      </c>
      <c r="R3587">
        <v>1501</v>
      </c>
      <c r="S3587" t="str">
        <f t="shared" si="517"/>
        <v>6170</v>
      </c>
      <c r="T3587" t="s">
        <v>3624</v>
      </c>
      <c r="U3587" t="s">
        <v>79</v>
      </c>
    </row>
    <row r="3588" spans="1:21" ht="15" customHeight="1" x14ac:dyDescent="0.3">
      <c r="A3588" t="s">
        <v>179</v>
      </c>
      <c r="B3588" t="str">
        <f>"00061849"</f>
        <v>00061849</v>
      </c>
      <c r="C3588" t="s">
        <v>3670</v>
      </c>
      <c r="D3588" t="s">
        <v>2134</v>
      </c>
      <c r="E3588" t="str">
        <f>"00045130"</f>
        <v>00045130</v>
      </c>
      <c r="F3588">
        <v>0</v>
      </c>
      <c r="G3588" s="243">
        <v>38587</v>
      </c>
      <c r="H3588" t="s">
        <v>182</v>
      </c>
      <c r="I3588">
        <v>8</v>
      </c>
      <c r="J3588">
        <v>2</v>
      </c>
      <c r="K3588">
        <v>1</v>
      </c>
      <c r="L3588">
        <v>84746</v>
      </c>
      <c r="M3588" t="str">
        <f t="shared" si="518"/>
        <v>13</v>
      </c>
      <c r="N3588" t="s">
        <v>3370</v>
      </c>
      <c r="O3588" t="str">
        <f t="shared" si="516"/>
        <v>61711</v>
      </c>
      <c r="P3588" t="str">
        <f>"1501L"</f>
        <v>1501L</v>
      </c>
      <c r="Q3588" t="str">
        <f t="shared" si="519"/>
        <v>0101</v>
      </c>
      <c r="R3588">
        <v>1501</v>
      </c>
      <c r="S3588" t="str">
        <f t="shared" si="517"/>
        <v>6170</v>
      </c>
      <c r="T3588" t="s">
        <v>3624</v>
      </c>
      <c r="U3588" t="s">
        <v>79</v>
      </c>
    </row>
    <row r="3589" spans="1:21" ht="15" customHeight="1" x14ac:dyDescent="0.3">
      <c r="A3589" t="s">
        <v>179</v>
      </c>
      <c r="B3589" t="str">
        <f>"00062012"</f>
        <v>00062012</v>
      </c>
      <c r="C3589" t="s">
        <v>4260</v>
      </c>
      <c r="D3589" t="s">
        <v>3818</v>
      </c>
      <c r="E3589" t="str">
        <f>"00064372"</f>
        <v>00064372</v>
      </c>
      <c r="F3589">
        <v>0</v>
      </c>
      <c r="G3589" s="243">
        <v>40548</v>
      </c>
      <c r="H3589" t="s">
        <v>182</v>
      </c>
      <c r="I3589">
        <v>15</v>
      </c>
      <c r="J3589">
        <v>2</v>
      </c>
      <c r="K3589">
        <v>1</v>
      </c>
      <c r="L3589">
        <v>51716</v>
      </c>
      <c r="M3589" t="str">
        <f t="shared" si="518"/>
        <v>13</v>
      </c>
      <c r="N3589" t="s">
        <v>3323</v>
      </c>
      <c r="O3589" t="str">
        <f t="shared" si="516"/>
        <v>61711</v>
      </c>
      <c r="P3589" t="str">
        <f>"2100L"</f>
        <v>2100L</v>
      </c>
      <c r="Q3589" t="str">
        <f t="shared" si="519"/>
        <v>0101</v>
      </c>
      <c r="R3589">
        <v>2100</v>
      </c>
      <c r="S3589" t="str">
        <f t="shared" si="517"/>
        <v>6170</v>
      </c>
      <c r="T3589" t="s">
        <v>3624</v>
      </c>
      <c r="U3589" t="s">
        <v>79</v>
      </c>
    </row>
    <row r="3590" spans="1:21" ht="15" customHeight="1" x14ac:dyDescent="0.3">
      <c r="A3590" t="s">
        <v>179</v>
      </c>
      <c r="B3590" t="str">
        <f>"00062997"</f>
        <v>00062997</v>
      </c>
      <c r="C3590" t="s">
        <v>4260</v>
      </c>
      <c r="D3590" t="s">
        <v>2815</v>
      </c>
      <c r="E3590" t="str">
        <f>"00051227"</f>
        <v>00051227</v>
      </c>
      <c r="F3590">
        <v>0</v>
      </c>
      <c r="G3590" s="243">
        <v>32762</v>
      </c>
      <c r="H3590" t="s">
        <v>182</v>
      </c>
      <c r="I3590">
        <v>15</v>
      </c>
      <c r="J3590">
        <v>16</v>
      </c>
      <c r="K3590">
        <v>1</v>
      </c>
      <c r="L3590">
        <v>100839</v>
      </c>
      <c r="M3590" t="str">
        <f t="shared" si="518"/>
        <v>13</v>
      </c>
      <c r="N3590" t="s">
        <v>3323</v>
      </c>
      <c r="O3590" t="str">
        <f t="shared" ref="O3590:O3613" si="520">"61711"</f>
        <v>61711</v>
      </c>
      <c r="P3590" t="str">
        <f>"3030L"</f>
        <v>3030L</v>
      </c>
      <c r="Q3590" t="str">
        <f t="shared" si="519"/>
        <v>0101</v>
      </c>
      <c r="R3590">
        <v>3030</v>
      </c>
      <c r="S3590" t="str">
        <f t="shared" ref="S3590:S3613" si="521">"6170"</f>
        <v>6170</v>
      </c>
      <c r="T3590" t="s">
        <v>3624</v>
      </c>
      <c r="U3590" t="s">
        <v>79</v>
      </c>
    </row>
    <row r="3591" spans="1:21" ht="15" customHeight="1" x14ac:dyDescent="0.3">
      <c r="A3591" t="s">
        <v>179</v>
      </c>
      <c r="B3591" t="str">
        <f>"00063097"</f>
        <v>00063097</v>
      </c>
      <c r="C3591" t="s">
        <v>4288</v>
      </c>
      <c r="D3591" t="s">
        <v>5399</v>
      </c>
      <c r="E3591" t="str">
        <f>"00051014"</f>
        <v>00051014</v>
      </c>
      <c r="F3591">
        <v>0</v>
      </c>
      <c r="G3591" s="243">
        <v>40052</v>
      </c>
      <c r="H3591" t="s">
        <v>182</v>
      </c>
      <c r="I3591">
        <v>4</v>
      </c>
      <c r="J3591">
        <v>8</v>
      </c>
      <c r="K3591">
        <v>0.875</v>
      </c>
      <c r="L3591">
        <v>27329.75</v>
      </c>
      <c r="M3591" t="str">
        <f t="shared" si="518"/>
        <v>13</v>
      </c>
      <c r="N3591" t="s">
        <v>3370</v>
      </c>
      <c r="O3591" t="str">
        <f t="shared" si="520"/>
        <v>61711</v>
      </c>
      <c r="P3591" t="str">
        <f>"2200L"</f>
        <v>2200L</v>
      </c>
      <c r="Q3591" t="str">
        <f t="shared" si="519"/>
        <v>0101</v>
      </c>
      <c r="R3591">
        <v>2200</v>
      </c>
      <c r="S3591" t="str">
        <f t="shared" si="521"/>
        <v>6170</v>
      </c>
      <c r="T3591" t="s">
        <v>3624</v>
      </c>
      <c r="U3591" t="s">
        <v>79</v>
      </c>
    </row>
    <row r="3592" spans="1:21" ht="15" customHeight="1" x14ac:dyDescent="0.3">
      <c r="A3592" t="s">
        <v>179</v>
      </c>
      <c r="B3592" t="str">
        <f>"00065791"</f>
        <v>00065791</v>
      </c>
      <c r="C3592" t="s">
        <v>4258</v>
      </c>
      <c r="D3592" t="s">
        <v>2816</v>
      </c>
      <c r="E3592" t="str">
        <f>"00057825"</f>
        <v>00057825</v>
      </c>
      <c r="F3592">
        <v>0</v>
      </c>
      <c r="G3592" s="243">
        <v>40049</v>
      </c>
      <c r="H3592" t="s">
        <v>182</v>
      </c>
      <c r="I3592">
        <v>15</v>
      </c>
      <c r="J3592">
        <v>4</v>
      </c>
      <c r="K3592">
        <v>1</v>
      </c>
      <c r="L3592">
        <v>54725</v>
      </c>
      <c r="M3592" t="str">
        <f t="shared" si="518"/>
        <v>13</v>
      </c>
      <c r="N3592" t="s">
        <v>3323</v>
      </c>
      <c r="O3592" t="str">
        <f t="shared" si="520"/>
        <v>61711</v>
      </c>
      <c r="P3592" t="str">
        <f t="shared" ref="P3592:P3598" si="522">"2100L"</f>
        <v>2100L</v>
      </c>
      <c r="Q3592" t="str">
        <f t="shared" si="519"/>
        <v>0101</v>
      </c>
      <c r="R3592">
        <v>2100</v>
      </c>
      <c r="S3592" t="str">
        <f t="shared" si="521"/>
        <v>6170</v>
      </c>
      <c r="T3592" t="s">
        <v>3624</v>
      </c>
      <c r="U3592" t="s">
        <v>79</v>
      </c>
    </row>
    <row r="3593" spans="1:21" ht="15" customHeight="1" x14ac:dyDescent="0.3">
      <c r="A3593" t="s">
        <v>179</v>
      </c>
      <c r="B3593" t="str">
        <f>"00065792"</f>
        <v>00065792</v>
      </c>
      <c r="C3593" t="s">
        <v>4254</v>
      </c>
      <c r="D3593" t="s">
        <v>2817</v>
      </c>
      <c r="E3593" t="str">
        <f>"00050734"</f>
        <v>00050734</v>
      </c>
      <c r="F3593">
        <v>0</v>
      </c>
      <c r="G3593" s="243">
        <v>40042</v>
      </c>
      <c r="H3593" t="s">
        <v>182</v>
      </c>
      <c r="I3593">
        <v>15</v>
      </c>
      <c r="J3593">
        <v>4</v>
      </c>
      <c r="K3593">
        <v>1</v>
      </c>
      <c r="L3593">
        <v>57147</v>
      </c>
      <c r="M3593" t="str">
        <f t="shared" si="518"/>
        <v>13</v>
      </c>
      <c r="N3593" t="s">
        <v>3323</v>
      </c>
      <c r="O3593" t="str">
        <f t="shared" si="520"/>
        <v>61711</v>
      </c>
      <c r="P3593" t="str">
        <f t="shared" si="522"/>
        <v>2100L</v>
      </c>
      <c r="Q3593" t="str">
        <f t="shared" si="519"/>
        <v>0101</v>
      </c>
      <c r="R3593">
        <v>2100</v>
      </c>
      <c r="S3593" t="str">
        <f t="shared" si="521"/>
        <v>6170</v>
      </c>
      <c r="T3593" t="s">
        <v>3624</v>
      </c>
      <c r="U3593" t="s">
        <v>79</v>
      </c>
    </row>
    <row r="3594" spans="1:21" ht="15" customHeight="1" x14ac:dyDescent="0.3">
      <c r="A3594" t="s">
        <v>179</v>
      </c>
      <c r="B3594" t="str">
        <f>"00065793"</f>
        <v>00065793</v>
      </c>
      <c r="C3594" t="s">
        <v>4262</v>
      </c>
      <c r="D3594" t="s">
        <v>2818</v>
      </c>
      <c r="E3594" t="str">
        <f>"00057553"</f>
        <v>00057553</v>
      </c>
      <c r="F3594">
        <v>0</v>
      </c>
      <c r="G3594" s="243">
        <v>40042</v>
      </c>
      <c r="H3594" t="s">
        <v>182</v>
      </c>
      <c r="I3594">
        <v>15</v>
      </c>
      <c r="J3594">
        <v>3</v>
      </c>
      <c r="K3594">
        <v>1</v>
      </c>
      <c r="L3594">
        <v>52777</v>
      </c>
      <c r="M3594" t="str">
        <f t="shared" si="518"/>
        <v>13</v>
      </c>
      <c r="N3594" t="s">
        <v>3323</v>
      </c>
      <c r="O3594" t="str">
        <f t="shared" si="520"/>
        <v>61711</v>
      </c>
      <c r="P3594" t="str">
        <f t="shared" si="522"/>
        <v>2100L</v>
      </c>
      <c r="Q3594" t="str">
        <f t="shared" si="519"/>
        <v>0101</v>
      </c>
      <c r="R3594">
        <v>2100</v>
      </c>
      <c r="S3594" t="str">
        <f t="shared" si="521"/>
        <v>6170</v>
      </c>
      <c r="T3594" t="s">
        <v>3624</v>
      </c>
      <c r="U3594" t="s">
        <v>79</v>
      </c>
    </row>
    <row r="3595" spans="1:21" ht="15" customHeight="1" x14ac:dyDescent="0.3">
      <c r="A3595" t="s">
        <v>179</v>
      </c>
      <c r="B3595" t="str">
        <f>"00065795"</f>
        <v>00065795</v>
      </c>
      <c r="C3595" t="s">
        <v>4262</v>
      </c>
      <c r="D3595" t="s">
        <v>2705</v>
      </c>
      <c r="E3595" t="str">
        <f>"00053633"</f>
        <v>00053633</v>
      </c>
      <c r="F3595">
        <v>0</v>
      </c>
      <c r="G3595" s="243">
        <v>35311</v>
      </c>
      <c r="H3595" t="s">
        <v>182</v>
      </c>
      <c r="I3595">
        <v>15</v>
      </c>
      <c r="J3595">
        <v>14</v>
      </c>
      <c r="K3595">
        <v>1</v>
      </c>
      <c r="L3595">
        <v>96460</v>
      </c>
      <c r="M3595" t="str">
        <f t="shared" si="518"/>
        <v>13</v>
      </c>
      <c r="N3595" t="s">
        <v>3323</v>
      </c>
      <c r="O3595" t="str">
        <f t="shared" si="520"/>
        <v>61711</v>
      </c>
      <c r="P3595" t="str">
        <f t="shared" si="522"/>
        <v>2100L</v>
      </c>
      <c r="Q3595" t="str">
        <f t="shared" si="519"/>
        <v>0101</v>
      </c>
      <c r="R3595">
        <v>2100</v>
      </c>
      <c r="S3595" t="str">
        <f t="shared" si="521"/>
        <v>6170</v>
      </c>
      <c r="T3595" t="s">
        <v>3624</v>
      </c>
      <c r="U3595" t="s">
        <v>79</v>
      </c>
    </row>
    <row r="3596" spans="1:21" ht="15" customHeight="1" x14ac:dyDescent="0.3">
      <c r="A3596" t="s">
        <v>179</v>
      </c>
      <c r="B3596" t="str">
        <f>"00065797"</f>
        <v>00065797</v>
      </c>
      <c r="C3596" t="s">
        <v>4262</v>
      </c>
      <c r="D3596" t="s">
        <v>3851</v>
      </c>
      <c r="E3596" t="str">
        <f>"00049784"</f>
        <v>00049784</v>
      </c>
      <c r="F3596">
        <v>0</v>
      </c>
      <c r="G3596" s="243">
        <v>32756</v>
      </c>
      <c r="H3596" t="s">
        <v>182</v>
      </c>
      <c r="I3596">
        <v>15</v>
      </c>
      <c r="J3596">
        <v>16</v>
      </c>
      <c r="K3596">
        <v>1</v>
      </c>
      <c r="L3596">
        <v>106540</v>
      </c>
      <c r="M3596" t="str">
        <f t="shared" si="518"/>
        <v>13</v>
      </c>
      <c r="N3596" t="s">
        <v>3370</v>
      </c>
      <c r="O3596" t="str">
        <f t="shared" si="520"/>
        <v>61711</v>
      </c>
      <c r="P3596" t="str">
        <f t="shared" si="522"/>
        <v>2100L</v>
      </c>
      <c r="Q3596" t="str">
        <f t="shared" si="519"/>
        <v>0101</v>
      </c>
      <c r="R3596">
        <v>2100</v>
      </c>
      <c r="S3596" t="str">
        <f t="shared" si="521"/>
        <v>6170</v>
      </c>
      <c r="T3596" t="s">
        <v>3624</v>
      </c>
      <c r="U3596" t="s">
        <v>79</v>
      </c>
    </row>
    <row r="3597" spans="1:21" ht="15" customHeight="1" x14ac:dyDescent="0.3">
      <c r="A3597" t="s">
        <v>179</v>
      </c>
      <c r="B3597" t="str">
        <f>"00065799"</f>
        <v>00065799</v>
      </c>
      <c r="C3597" t="s">
        <v>4253</v>
      </c>
      <c r="D3597" t="s">
        <v>2820</v>
      </c>
      <c r="E3597" t="str">
        <f>"00062896"</f>
        <v>00062896</v>
      </c>
      <c r="F3597">
        <v>0</v>
      </c>
      <c r="G3597" s="243">
        <v>40406</v>
      </c>
      <c r="H3597" t="s">
        <v>182</v>
      </c>
      <c r="I3597">
        <v>15</v>
      </c>
      <c r="J3597">
        <v>2</v>
      </c>
      <c r="K3597">
        <v>1</v>
      </c>
      <c r="L3597">
        <v>51716</v>
      </c>
      <c r="M3597" t="str">
        <f t="shared" si="518"/>
        <v>13</v>
      </c>
      <c r="N3597" t="s">
        <v>3323</v>
      </c>
      <c r="O3597" t="str">
        <f t="shared" si="520"/>
        <v>61711</v>
      </c>
      <c r="P3597" t="str">
        <f t="shared" si="522"/>
        <v>2100L</v>
      </c>
      <c r="Q3597" t="str">
        <f t="shared" si="519"/>
        <v>0101</v>
      </c>
      <c r="R3597">
        <v>2100</v>
      </c>
      <c r="S3597" t="str">
        <f t="shared" si="521"/>
        <v>6170</v>
      </c>
      <c r="T3597" t="s">
        <v>3624</v>
      </c>
      <c r="U3597" t="s">
        <v>79</v>
      </c>
    </row>
    <row r="3598" spans="1:21" ht="15" customHeight="1" x14ac:dyDescent="0.3">
      <c r="A3598" t="s">
        <v>179</v>
      </c>
      <c r="B3598" t="str">
        <f>"00065800"</f>
        <v>00065800</v>
      </c>
      <c r="C3598" t="s">
        <v>4253</v>
      </c>
      <c r="D3598" t="s">
        <v>2821</v>
      </c>
      <c r="E3598" t="str">
        <f>"00063056"</f>
        <v>00063056</v>
      </c>
      <c r="F3598">
        <v>0</v>
      </c>
      <c r="G3598" s="243">
        <v>40406</v>
      </c>
      <c r="H3598" t="s">
        <v>182</v>
      </c>
      <c r="I3598">
        <v>15</v>
      </c>
      <c r="J3598">
        <v>3</v>
      </c>
      <c r="K3598">
        <v>1</v>
      </c>
      <c r="L3598">
        <v>58699</v>
      </c>
      <c r="M3598" t="str">
        <f t="shared" si="518"/>
        <v>13</v>
      </c>
      <c r="N3598" t="s">
        <v>3323</v>
      </c>
      <c r="O3598" t="str">
        <f t="shared" si="520"/>
        <v>61711</v>
      </c>
      <c r="P3598" t="str">
        <f t="shared" si="522"/>
        <v>2100L</v>
      </c>
      <c r="Q3598" t="str">
        <f t="shared" si="519"/>
        <v>0101</v>
      </c>
      <c r="R3598">
        <v>2100</v>
      </c>
      <c r="S3598" t="str">
        <f t="shared" si="521"/>
        <v>6170</v>
      </c>
      <c r="T3598" t="s">
        <v>3624</v>
      </c>
      <c r="U3598" t="s">
        <v>79</v>
      </c>
    </row>
    <row r="3599" spans="1:21" ht="15" customHeight="1" x14ac:dyDescent="0.3">
      <c r="A3599" t="s">
        <v>179</v>
      </c>
      <c r="B3599" t="str">
        <f>"00066059"</f>
        <v>00066059</v>
      </c>
      <c r="C3599" t="s">
        <v>4292</v>
      </c>
      <c r="H3599" t="s">
        <v>170</v>
      </c>
      <c r="I3599">
        <v>4</v>
      </c>
      <c r="J3599">
        <v>1</v>
      </c>
      <c r="K3599">
        <v>1</v>
      </c>
      <c r="L3599">
        <v>25662</v>
      </c>
      <c r="M3599" t="str">
        <f t="shared" si="518"/>
        <v>13</v>
      </c>
      <c r="N3599" t="s">
        <v>3370</v>
      </c>
      <c r="O3599" t="str">
        <f t="shared" si="520"/>
        <v>61711</v>
      </c>
      <c r="P3599" t="str">
        <f>"2200L"</f>
        <v>2200L</v>
      </c>
      <c r="Q3599" t="str">
        <f t="shared" si="519"/>
        <v>0101</v>
      </c>
      <c r="R3599">
        <v>2200</v>
      </c>
      <c r="S3599" t="str">
        <f t="shared" si="521"/>
        <v>6170</v>
      </c>
      <c r="T3599" t="s">
        <v>3624</v>
      </c>
      <c r="U3599" t="s">
        <v>79</v>
      </c>
    </row>
    <row r="3600" spans="1:21" ht="15" customHeight="1" x14ac:dyDescent="0.3">
      <c r="A3600" t="s">
        <v>179</v>
      </c>
      <c r="B3600" t="str">
        <f>"00070735"</f>
        <v>00070735</v>
      </c>
      <c r="C3600" t="s">
        <v>4266</v>
      </c>
      <c r="D3600" t="s">
        <v>2822</v>
      </c>
      <c r="E3600" t="str">
        <f>"00044993"</f>
        <v>00044993</v>
      </c>
      <c r="F3600">
        <v>0</v>
      </c>
      <c r="G3600" s="243">
        <v>40042</v>
      </c>
      <c r="H3600" t="s">
        <v>182</v>
      </c>
      <c r="I3600">
        <v>15</v>
      </c>
      <c r="J3600">
        <v>12</v>
      </c>
      <c r="K3600">
        <v>1</v>
      </c>
      <c r="L3600">
        <v>87431</v>
      </c>
      <c r="M3600" t="str">
        <f t="shared" si="518"/>
        <v>13</v>
      </c>
      <c r="N3600" t="s">
        <v>3370</v>
      </c>
      <c r="O3600" t="str">
        <f t="shared" si="520"/>
        <v>61711</v>
      </c>
      <c r="P3600" t="str">
        <f>"2300L"</f>
        <v>2300L</v>
      </c>
      <c r="Q3600" t="str">
        <f t="shared" si="519"/>
        <v>0101</v>
      </c>
      <c r="R3600">
        <v>2300</v>
      </c>
      <c r="S3600" t="str">
        <f t="shared" si="521"/>
        <v>6170</v>
      </c>
      <c r="T3600" t="s">
        <v>3624</v>
      </c>
      <c r="U3600" t="s">
        <v>79</v>
      </c>
    </row>
    <row r="3601" spans="1:21" ht="15" customHeight="1" x14ac:dyDescent="0.3">
      <c r="A3601" t="s">
        <v>179</v>
      </c>
      <c r="B3601" t="str">
        <f>"00071500"</f>
        <v>00071500</v>
      </c>
      <c r="C3601" t="s">
        <v>4387</v>
      </c>
      <c r="D3601" t="s">
        <v>2823</v>
      </c>
      <c r="E3601" t="str">
        <f>"00050676"</f>
        <v>00050676</v>
      </c>
      <c r="F3601">
        <v>0</v>
      </c>
      <c r="G3601" s="243">
        <v>35675</v>
      </c>
      <c r="H3601" t="s">
        <v>182</v>
      </c>
      <c r="I3601">
        <v>10</v>
      </c>
      <c r="J3601">
        <v>8</v>
      </c>
      <c r="K3601">
        <v>1</v>
      </c>
      <c r="L3601">
        <v>82908</v>
      </c>
      <c r="M3601" t="str">
        <f t="shared" si="518"/>
        <v>13</v>
      </c>
      <c r="N3601" t="s">
        <v>3370</v>
      </c>
      <c r="O3601" t="str">
        <f t="shared" si="520"/>
        <v>61711</v>
      </c>
      <c r="P3601" t="str">
        <f>"2100L"</f>
        <v>2100L</v>
      </c>
      <c r="Q3601" t="str">
        <f t="shared" si="519"/>
        <v>0101</v>
      </c>
      <c r="R3601">
        <v>2100</v>
      </c>
      <c r="S3601" t="str">
        <f t="shared" si="521"/>
        <v>6170</v>
      </c>
      <c r="T3601" t="s">
        <v>3624</v>
      </c>
      <c r="U3601" t="s">
        <v>79</v>
      </c>
    </row>
    <row r="3602" spans="1:21" ht="15" customHeight="1" x14ac:dyDescent="0.3">
      <c r="A3602" t="s">
        <v>179</v>
      </c>
      <c r="B3602" t="str">
        <f>"00072363"</f>
        <v>00072363</v>
      </c>
      <c r="C3602" t="s">
        <v>4262</v>
      </c>
      <c r="D3602" t="s">
        <v>2824</v>
      </c>
      <c r="E3602" t="str">
        <f>"00060645"</f>
        <v>00060645</v>
      </c>
      <c r="F3602">
        <v>0</v>
      </c>
      <c r="G3602" s="243">
        <v>40247</v>
      </c>
      <c r="H3602" t="s">
        <v>182</v>
      </c>
      <c r="I3602">
        <v>15</v>
      </c>
      <c r="J3602">
        <v>3</v>
      </c>
      <c r="K3602">
        <v>1</v>
      </c>
      <c r="L3602">
        <v>58699</v>
      </c>
      <c r="M3602" t="str">
        <f t="shared" si="518"/>
        <v>13</v>
      </c>
      <c r="N3602" t="s">
        <v>3323</v>
      </c>
      <c r="O3602" t="str">
        <f t="shared" si="520"/>
        <v>61711</v>
      </c>
      <c r="P3602" t="str">
        <f>"2100L"</f>
        <v>2100L</v>
      </c>
      <c r="Q3602" t="str">
        <f t="shared" si="519"/>
        <v>0101</v>
      </c>
      <c r="R3602">
        <v>2100</v>
      </c>
      <c r="S3602" t="str">
        <f t="shared" si="521"/>
        <v>6170</v>
      </c>
      <c r="T3602" t="s">
        <v>3624</v>
      </c>
      <c r="U3602" t="s">
        <v>79</v>
      </c>
    </row>
    <row r="3603" spans="1:21" ht="15" customHeight="1" x14ac:dyDescent="0.3">
      <c r="A3603" t="s">
        <v>179</v>
      </c>
      <c r="B3603" t="str">
        <f>"00072364"</f>
        <v>00072364</v>
      </c>
      <c r="C3603" t="s">
        <v>4263</v>
      </c>
      <c r="D3603" t="s">
        <v>2825</v>
      </c>
      <c r="E3603" t="str">
        <f>"00062674"</f>
        <v>00062674</v>
      </c>
      <c r="F3603">
        <v>0</v>
      </c>
      <c r="G3603" s="243">
        <v>40406</v>
      </c>
      <c r="H3603" t="s">
        <v>182</v>
      </c>
      <c r="I3603">
        <v>15</v>
      </c>
      <c r="J3603">
        <v>12</v>
      </c>
      <c r="K3603">
        <v>1</v>
      </c>
      <c r="L3603">
        <v>87431</v>
      </c>
      <c r="M3603" t="str">
        <f t="shared" si="518"/>
        <v>13</v>
      </c>
      <c r="N3603" t="s">
        <v>3323</v>
      </c>
      <c r="O3603" t="str">
        <f t="shared" si="520"/>
        <v>61711</v>
      </c>
      <c r="P3603" t="str">
        <f>"2100L"</f>
        <v>2100L</v>
      </c>
      <c r="Q3603" t="str">
        <f t="shared" si="519"/>
        <v>0101</v>
      </c>
      <c r="R3603">
        <v>2100</v>
      </c>
      <c r="S3603" t="str">
        <f t="shared" si="521"/>
        <v>6170</v>
      </c>
      <c r="T3603" t="s">
        <v>3624</v>
      </c>
      <c r="U3603" t="s">
        <v>79</v>
      </c>
    </row>
    <row r="3604" spans="1:21" ht="15" customHeight="1" x14ac:dyDescent="0.3">
      <c r="A3604" t="s">
        <v>179</v>
      </c>
      <c r="B3604" t="str">
        <f>"00072533"</f>
        <v>00072533</v>
      </c>
      <c r="C3604" t="s">
        <v>4306</v>
      </c>
      <c r="D3604" t="s">
        <v>5400</v>
      </c>
      <c r="E3604" t="str">
        <f>"00047117"</f>
        <v>00047117</v>
      </c>
      <c r="F3604">
        <v>0</v>
      </c>
      <c r="G3604" s="243">
        <v>36934</v>
      </c>
      <c r="H3604" t="s">
        <v>182</v>
      </c>
      <c r="I3604">
        <v>9</v>
      </c>
      <c r="J3604">
        <v>4</v>
      </c>
      <c r="K3604">
        <v>1</v>
      </c>
      <c r="L3604">
        <v>36352</v>
      </c>
      <c r="M3604" t="str">
        <f t="shared" si="518"/>
        <v>13</v>
      </c>
      <c r="N3604" t="s">
        <v>3323</v>
      </c>
      <c r="O3604" t="str">
        <f t="shared" si="520"/>
        <v>61711</v>
      </c>
      <c r="P3604" t="str">
        <f>"1502L"</f>
        <v>1502L</v>
      </c>
      <c r="Q3604" t="str">
        <f t="shared" si="519"/>
        <v>0101</v>
      </c>
      <c r="R3604">
        <v>1502</v>
      </c>
      <c r="S3604" t="str">
        <f t="shared" si="521"/>
        <v>6170</v>
      </c>
      <c r="T3604" t="s">
        <v>3624</v>
      </c>
      <c r="U3604" t="s">
        <v>79</v>
      </c>
    </row>
    <row r="3605" spans="1:21" ht="15" customHeight="1" x14ac:dyDescent="0.3">
      <c r="A3605" t="s">
        <v>179</v>
      </c>
      <c r="B3605" t="str">
        <f>"00072831"</f>
        <v>00072831</v>
      </c>
      <c r="C3605" t="s">
        <v>4574</v>
      </c>
      <c r="D3605" t="s">
        <v>1848</v>
      </c>
      <c r="E3605" t="str">
        <f>"00046937"</f>
        <v>00046937</v>
      </c>
      <c r="F3605">
        <v>0</v>
      </c>
      <c r="G3605" s="243">
        <v>36390</v>
      </c>
      <c r="H3605" t="s">
        <v>182</v>
      </c>
      <c r="I3605">
        <v>15</v>
      </c>
      <c r="J3605">
        <v>16</v>
      </c>
      <c r="K3605">
        <v>0.5</v>
      </c>
      <c r="L3605">
        <v>106540</v>
      </c>
      <c r="M3605" t="str">
        <f t="shared" si="518"/>
        <v>13</v>
      </c>
      <c r="N3605" t="s">
        <v>3323</v>
      </c>
      <c r="O3605" t="str">
        <f t="shared" si="520"/>
        <v>61711</v>
      </c>
      <c r="P3605" t="str">
        <f>"2100L"</f>
        <v>2100L</v>
      </c>
      <c r="Q3605" t="str">
        <f t="shared" si="519"/>
        <v>0101</v>
      </c>
      <c r="R3605">
        <v>2100</v>
      </c>
      <c r="S3605" t="str">
        <f t="shared" si="521"/>
        <v>6170</v>
      </c>
      <c r="T3605" t="s">
        <v>3624</v>
      </c>
      <c r="U3605" t="s">
        <v>79</v>
      </c>
    </row>
    <row r="3606" spans="1:21" ht="15" customHeight="1" x14ac:dyDescent="0.3">
      <c r="A3606" t="s">
        <v>179</v>
      </c>
      <c r="B3606" t="str">
        <f>"00073987"</f>
        <v>00073987</v>
      </c>
      <c r="C3606" t="s">
        <v>4265</v>
      </c>
      <c r="H3606" t="s">
        <v>170</v>
      </c>
      <c r="I3606">
        <v>15</v>
      </c>
      <c r="J3606">
        <v>1</v>
      </c>
      <c r="K3606">
        <v>0.5</v>
      </c>
      <c r="L3606">
        <v>54975</v>
      </c>
      <c r="M3606" t="str">
        <f t="shared" si="518"/>
        <v>13</v>
      </c>
      <c r="N3606" t="s">
        <v>3370</v>
      </c>
      <c r="O3606" t="str">
        <f t="shared" si="520"/>
        <v>61711</v>
      </c>
      <c r="P3606" t="str">
        <f>"2100L"</f>
        <v>2100L</v>
      </c>
      <c r="Q3606" t="str">
        <f t="shared" si="519"/>
        <v>0101</v>
      </c>
      <c r="R3606">
        <v>2100</v>
      </c>
      <c r="S3606" t="str">
        <f t="shared" si="521"/>
        <v>6170</v>
      </c>
      <c r="T3606" t="s">
        <v>3624</v>
      </c>
      <c r="U3606" t="s">
        <v>79</v>
      </c>
    </row>
    <row r="3607" spans="1:21" ht="15" customHeight="1" x14ac:dyDescent="0.3">
      <c r="A3607" t="s">
        <v>179</v>
      </c>
      <c r="B3607" t="str">
        <f>"00076412"</f>
        <v>00076412</v>
      </c>
      <c r="C3607" t="s">
        <v>4410</v>
      </c>
      <c r="D3607" t="s">
        <v>5401</v>
      </c>
      <c r="E3607" t="str">
        <f>"00053427"</f>
        <v>00053427</v>
      </c>
      <c r="F3607">
        <v>0</v>
      </c>
      <c r="G3607" s="243">
        <v>41182</v>
      </c>
      <c r="H3607" t="s">
        <v>182</v>
      </c>
      <c r="I3607">
        <v>5</v>
      </c>
      <c r="J3607">
        <v>7</v>
      </c>
      <c r="K3607">
        <v>1</v>
      </c>
      <c r="L3607">
        <v>33861</v>
      </c>
      <c r="M3607" t="str">
        <f t="shared" si="518"/>
        <v>13</v>
      </c>
      <c r="N3607" t="s">
        <v>3323</v>
      </c>
      <c r="O3607" t="str">
        <f t="shared" si="520"/>
        <v>61711</v>
      </c>
      <c r="P3607" t="str">
        <f>"2100L"</f>
        <v>2100L</v>
      </c>
      <c r="Q3607" t="str">
        <f t="shared" si="519"/>
        <v>0101</v>
      </c>
      <c r="R3607">
        <v>2100</v>
      </c>
      <c r="S3607" t="str">
        <f t="shared" si="521"/>
        <v>6170</v>
      </c>
      <c r="T3607" t="s">
        <v>3624</v>
      </c>
      <c r="U3607" t="s">
        <v>2380</v>
      </c>
    </row>
    <row r="3608" spans="1:21" ht="15" customHeight="1" x14ac:dyDescent="0.3">
      <c r="A3608" t="s">
        <v>179</v>
      </c>
      <c r="B3608" t="str">
        <f>"00076413"</f>
        <v>00076413</v>
      </c>
      <c r="C3608" t="s">
        <v>4438</v>
      </c>
      <c r="H3608" t="s">
        <v>170</v>
      </c>
      <c r="I3608">
        <v>11</v>
      </c>
      <c r="J3608">
        <v>0</v>
      </c>
      <c r="K3608">
        <v>0.5</v>
      </c>
      <c r="L3608">
        <v>60779</v>
      </c>
      <c r="M3608" t="str">
        <f t="shared" si="518"/>
        <v>13</v>
      </c>
      <c r="N3608" t="s">
        <v>3323</v>
      </c>
      <c r="O3608" t="str">
        <f t="shared" si="520"/>
        <v>61711</v>
      </c>
      <c r="P3608" t="str">
        <f>"2100L"</f>
        <v>2100L</v>
      </c>
      <c r="Q3608" t="str">
        <f t="shared" si="519"/>
        <v>0101</v>
      </c>
      <c r="R3608">
        <v>2100</v>
      </c>
      <c r="S3608" t="str">
        <f t="shared" si="521"/>
        <v>6170</v>
      </c>
      <c r="T3608" t="s">
        <v>3624</v>
      </c>
      <c r="U3608" t="s">
        <v>79</v>
      </c>
    </row>
    <row r="3609" spans="1:21" ht="15" customHeight="1" x14ac:dyDescent="0.3">
      <c r="A3609" t="s">
        <v>179</v>
      </c>
      <c r="B3609" t="str">
        <f>"00076414"</f>
        <v>00076414</v>
      </c>
      <c r="C3609" t="s">
        <v>200</v>
      </c>
      <c r="D3609" t="s">
        <v>3817</v>
      </c>
      <c r="E3609" t="str">
        <f>"00051129"</f>
        <v>00051129</v>
      </c>
      <c r="F3609">
        <v>0</v>
      </c>
      <c r="G3609" s="243">
        <v>32118</v>
      </c>
      <c r="H3609" t="s">
        <v>182</v>
      </c>
      <c r="I3609">
        <v>15</v>
      </c>
      <c r="J3609">
        <v>16</v>
      </c>
      <c r="K3609">
        <v>1</v>
      </c>
      <c r="L3609">
        <v>100839</v>
      </c>
      <c r="M3609" t="str">
        <f t="shared" si="518"/>
        <v>13</v>
      </c>
      <c r="N3609" t="s">
        <v>3370</v>
      </c>
      <c r="O3609" t="str">
        <f t="shared" si="520"/>
        <v>61711</v>
      </c>
      <c r="P3609" t="str">
        <f>"2100L"</f>
        <v>2100L</v>
      </c>
      <c r="Q3609" t="str">
        <f t="shared" si="519"/>
        <v>0101</v>
      </c>
      <c r="R3609">
        <v>2100</v>
      </c>
      <c r="S3609" t="str">
        <f t="shared" si="521"/>
        <v>6170</v>
      </c>
      <c r="T3609" t="s">
        <v>3624</v>
      </c>
      <c r="U3609" t="s">
        <v>79</v>
      </c>
    </row>
    <row r="3610" spans="1:21" ht="15" customHeight="1" x14ac:dyDescent="0.3">
      <c r="A3610" t="s">
        <v>179</v>
      </c>
      <c r="B3610" t="str">
        <f>"00076486"</f>
        <v>00076486</v>
      </c>
      <c r="C3610" t="s">
        <v>4288</v>
      </c>
      <c r="H3610" t="s">
        <v>170</v>
      </c>
      <c r="I3610">
        <v>4</v>
      </c>
      <c r="J3610">
        <v>0</v>
      </c>
      <c r="K3610">
        <v>0.71</v>
      </c>
      <c r="L3610">
        <v>25662</v>
      </c>
      <c r="M3610" t="str">
        <f t="shared" si="518"/>
        <v>13</v>
      </c>
      <c r="N3610" t="s">
        <v>3370</v>
      </c>
      <c r="O3610" t="str">
        <f t="shared" si="520"/>
        <v>61711</v>
      </c>
      <c r="P3610" t="str">
        <f>"2200L"</f>
        <v>2200L</v>
      </c>
      <c r="Q3610" t="str">
        <f t="shared" si="519"/>
        <v>0101</v>
      </c>
      <c r="R3610">
        <v>2200</v>
      </c>
      <c r="S3610" t="str">
        <f t="shared" si="521"/>
        <v>6170</v>
      </c>
      <c r="T3610" t="s">
        <v>3624</v>
      </c>
      <c r="U3610" t="s">
        <v>79</v>
      </c>
    </row>
    <row r="3611" spans="1:21" ht="15" customHeight="1" x14ac:dyDescent="0.3">
      <c r="A3611" t="s">
        <v>179</v>
      </c>
      <c r="B3611" t="str">
        <f>"00076487"</f>
        <v>00076487</v>
      </c>
      <c r="C3611" t="s">
        <v>4274</v>
      </c>
      <c r="D3611" t="s">
        <v>5402</v>
      </c>
      <c r="E3611" t="str">
        <f>"00045727"</f>
        <v>00045727</v>
      </c>
      <c r="F3611">
        <v>0</v>
      </c>
      <c r="G3611" s="243">
        <v>36768</v>
      </c>
      <c r="H3611" t="s">
        <v>182</v>
      </c>
      <c r="I3611">
        <v>4</v>
      </c>
      <c r="J3611">
        <v>8</v>
      </c>
      <c r="K3611">
        <v>0.71</v>
      </c>
      <c r="L3611">
        <v>27329.75</v>
      </c>
      <c r="M3611" t="str">
        <f t="shared" si="518"/>
        <v>13</v>
      </c>
      <c r="N3611" t="s">
        <v>3370</v>
      </c>
      <c r="O3611" t="str">
        <f t="shared" si="520"/>
        <v>61711</v>
      </c>
      <c r="P3611" t="str">
        <f>"2200L"</f>
        <v>2200L</v>
      </c>
      <c r="Q3611" t="str">
        <f t="shared" si="519"/>
        <v>0101</v>
      </c>
      <c r="R3611">
        <v>2200</v>
      </c>
      <c r="S3611" t="str">
        <f t="shared" si="521"/>
        <v>6170</v>
      </c>
      <c r="T3611" t="s">
        <v>3624</v>
      </c>
      <c r="U3611" t="s">
        <v>79</v>
      </c>
    </row>
    <row r="3612" spans="1:21" ht="15" customHeight="1" x14ac:dyDescent="0.3">
      <c r="A3612" t="s">
        <v>179</v>
      </c>
      <c r="B3612" t="str">
        <f>"00076779"</f>
        <v>00076779</v>
      </c>
      <c r="C3612" t="s">
        <v>4262</v>
      </c>
      <c r="H3612" t="s">
        <v>170</v>
      </c>
      <c r="I3612">
        <v>15</v>
      </c>
      <c r="J3612">
        <v>0</v>
      </c>
      <c r="K3612">
        <v>1</v>
      </c>
      <c r="L3612">
        <v>51539</v>
      </c>
      <c r="M3612" t="str">
        <f t="shared" si="518"/>
        <v>13</v>
      </c>
      <c r="N3612" t="s">
        <v>3370</v>
      </c>
      <c r="O3612" t="str">
        <f t="shared" si="520"/>
        <v>61711</v>
      </c>
      <c r="P3612" t="str">
        <f>"2100L"</f>
        <v>2100L</v>
      </c>
      <c r="Q3612" t="str">
        <f t="shared" si="519"/>
        <v>0101</v>
      </c>
      <c r="R3612">
        <v>2100</v>
      </c>
      <c r="S3612" t="str">
        <f t="shared" si="521"/>
        <v>6170</v>
      </c>
      <c r="T3612" t="s">
        <v>3624</v>
      </c>
      <c r="U3612" t="s">
        <v>79</v>
      </c>
    </row>
    <row r="3613" spans="1:21" ht="15" customHeight="1" x14ac:dyDescent="0.3">
      <c r="A3613" t="s">
        <v>179</v>
      </c>
      <c r="B3613" t="str">
        <f>"00076838"</f>
        <v>00076838</v>
      </c>
      <c r="C3613" t="s">
        <v>4274</v>
      </c>
      <c r="D3613" t="s">
        <v>5403</v>
      </c>
      <c r="E3613" t="str">
        <f>"00070535"</f>
        <v>00070535</v>
      </c>
      <c r="F3613">
        <v>0</v>
      </c>
      <c r="G3613" s="243">
        <v>41182</v>
      </c>
      <c r="H3613" t="s">
        <v>182</v>
      </c>
      <c r="I3613">
        <v>4</v>
      </c>
      <c r="J3613">
        <v>3</v>
      </c>
      <c r="K3613">
        <v>0.71</v>
      </c>
      <c r="L3613">
        <v>23848.12</v>
      </c>
      <c r="M3613" t="str">
        <f t="shared" si="518"/>
        <v>13</v>
      </c>
      <c r="N3613" t="s">
        <v>3323</v>
      </c>
      <c r="O3613" t="str">
        <f t="shared" si="520"/>
        <v>61711</v>
      </c>
      <c r="P3613" t="str">
        <f>"2200L"</f>
        <v>2200L</v>
      </c>
      <c r="Q3613" t="str">
        <f t="shared" si="519"/>
        <v>0101</v>
      </c>
      <c r="R3613">
        <v>2200</v>
      </c>
      <c r="S3613" t="str">
        <f t="shared" si="521"/>
        <v>6170</v>
      </c>
      <c r="T3613" t="s">
        <v>3624</v>
      </c>
      <c r="U3613" t="s">
        <v>79</v>
      </c>
    </row>
    <row r="3614" spans="1:21" ht="15" customHeight="1" x14ac:dyDescent="0.3">
      <c r="A3614" t="s">
        <v>179</v>
      </c>
      <c r="B3614" t="str">
        <f>"00051538"</f>
        <v>00051538</v>
      </c>
      <c r="C3614" t="s">
        <v>4262</v>
      </c>
      <c r="D3614" t="s">
        <v>2826</v>
      </c>
      <c r="E3614" t="str">
        <f>"00044754"</f>
        <v>00044754</v>
      </c>
      <c r="F3614">
        <v>0</v>
      </c>
      <c r="G3614" s="243">
        <v>33848</v>
      </c>
      <c r="H3614" t="s">
        <v>182</v>
      </c>
      <c r="I3614">
        <v>15</v>
      </c>
      <c r="J3614">
        <v>15</v>
      </c>
      <c r="K3614">
        <v>1</v>
      </c>
      <c r="L3614">
        <v>100792</v>
      </c>
      <c r="M3614" t="str">
        <f t="shared" si="518"/>
        <v>13</v>
      </c>
      <c r="N3614" t="s">
        <v>3323</v>
      </c>
      <c r="O3614" t="str">
        <f t="shared" ref="O3614:O3644" si="523">"61911"</f>
        <v>61911</v>
      </c>
      <c r="P3614" t="str">
        <f>"2100L"</f>
        <v>2100L</v>
      </c>
      <c r="Q3614" t="str">
        <f t="shared" si="519"/>
        <v>0101</v>
      </c>
      <c r="R3614">
        <v>2100</v>
      </c>
      <c r="S3614" t="str">
        <f t="shared" ref="S3614:S3644" si="524">"6190"</f>
        <v>6190</v>
      </c>
      <c r="T3614" t="s">
        <v>3820</v>
      </c>
      <c r="U3614" t="s">
        <v>2827</v>
      </c>
    </row>
    <row r="3615" spans="1:21" ht="15" customHeight="1" x14ac:dyDescent="0.3">
      <c r="A3615" t="s">
        <v>179</v>
      </c>
      <c r="B3615" t="str">
        <f>"00051664"</f>
        <v>00051664</v>
      </c>
      <c r="C3615" t="s">
        <v>4262</v>
      </c>
      <c r="H3615" t="s">
        <v>170</v>
      </c>
      <c r="I3615">
        <v>15</v>
      </c>
      <c r="J3615">
        <v>1</v>
      </c>
      <c r="K3615">
        <v>1</v>
      </c>
      <c r="L3615">
        <v>54975</v>
      </c>
      <c r="M3615" t="str">
        <f t="shared" si="518"/>
        <v>13</v>
      </c>
      <c r="N3615" t="s">
        <v>3370</v>
      </c>
      <c r="O3615" t="str">
        <f t="shared" si="523"/>
        <v>61911</v>
      </c>
      <c r="P3615" t="str">
        <f>"2100L"</f>
        <v>2100L</v>
      </c>
      <c r="Q3615" t="str">
        <f t="shared" si="519"/>
        <v>0101</v>
      </c>
      <c r="R3615">
        <v>2100</v>
      </c>
      <c r="S3615" t="str">
        <f t="shared" si="524"/>
        <v>6190</v>
      </c>
      <c r="T3615" t="s">
        <v>3820</v>
      </c>
      <c r="U3615" t="s">
        <v>2827</v>
      </c>
    </row>
    <row r="3616" spans="1:21" ht="15" customHeight="1" x14ac:dyDescent="0.3">
      <c r="A3616" t="s">
        <v>179</v>
      </c>
      <c r="B3616" t="str">
        <f>"00051869"</f>
        <v>00051869</v>
      </c>
      <c r="C3616" t="s">
        <v>4260</v>
      </c>
      <c r="D3616" t="s">
        <v>2828</v>
      </c>
      <c r="E3616" t="str">
        <f>"00046322"</f>
        <v>00046322</v>
      </c>
      <c r="F3616">
        <v>0</v>
      </c>
      <c r="G3616" s="243">
        <v>32050</v>
      </c>
      <c r="H3616" t="s">
        <v>182</v>
      </c>
      <c r="I3616">
        <v>15</v>
      </c>
      <c r="J3616">
        <v>16</v>
      </c>
      <c r="K3616">
        <v>1</v>
      </c>
      <c r="L3616">
        <v>100839</v>
      </c>
      <c r="M3616" t="str">
        <f t="shared" si="518"/>
        <v>13</v>
      </c>
      <c r="N3616" t="s">
        <v>3323</v>
      </c>
      <c r="O3616" t="str">
        <f t="shared" si="523"/>
        <v>61911</v>
      </c>
      <c r="P3616" t="str">
        <f>"3030L"</f>
        <v>3030L</v>
      </c>
      <c r="Q3616" t="str">
        <f t="shared" si="519"/>
        <v>0101</v>
      </c>
      <c r="R3616">
        <v>3030</v>
      </c>
      <c r="S3616" t="str">
        <f t="shared" si="524"/>
        <v>6190</v>
      </c>
      <c r="T3616" t="s">
        <v>3820</v>
      </c>
      <c r="U3616" t="s">
        <v>2827</v>
      </c>
    </row>
    <row r="3617" spans="1:21" ht="15" customHeight="1" x14ac:dyDescent="0.3">
      <c r="A3617" t="s">
        <v>179</v>
      </c>
      <c r="B3617" t="str">
        <f>"00052506"</f>
        <v>00052506</v>
      </c>
      <c r="C3617" t="s">
        <v>4272</v>
      </c>
      <c r="D3617" t="s">
        <v>2829</v>
      </c>
      <c r="E3617" t="str">
        <f>"00062734"</f>
        <v>00062734</v>
      </c>
      <c r="F3617">
        <v>0</v>
      </c>
      <c r="G3617" s="243">
        <v>40406</v>
      </c>
      <c r="H3617" t="s">
        <v>182</v>
      </c>
      <c r="I3617">
        <v>15</v>
      </c>
      <c r="J3617">
        <v>3</v>
      </c>
      <c r="K3617">
        <v>1</v>
      </c>
      <c r="L3617">
        <v>52777</v>
      </c>
      <c r="M3617" t="str">
        <f t="shared" si="518"/>
        <v>13</v>
      </c>
      <c r="N3617" t="s">
        <v>3323</v>
      </c>
      <c r="O3617" t="str">
        <f t="shared" si="523"/>
        <v>61911</v>
      </c>
      <c r="P3617" t="str">
        <f>"2100L"</f>
        <v>2100L</v>
      </c>
      <c r="Q3617" t="str">
        <f t="shared" si="519"/>
        <v>0101</v>
      </c>
      <c r="R3617">
        <v>2100</v>
      </c>
      <c r="S3617" t="str">
        <f t="shared" si="524"/>
        <v>6190</v>
      </c>
      <c r="T3617" t="s">
        <v>3820</v>
      </c>
      <c r="U3617" t="s">
        <v>2827</v>
      </c>
    </row>
    <row r="3618" spans="1:21" ht="15" customHeight="1" x14ac:dyDescent="0.3">
      <c r="A3618" t="s">
        <v>179</v>
      </c>
      <c r="B3618" t="str">
        <f>"00052569"</f>
        <v>00052569</v>
      </c>
      <c r="C3618" t="s">
        <v>4259</v>
      </c>
      <c r="D3618" t="s">
        <v>2830</v>
      </c>
      <c r="E3618" t="str">
        <f>"00048570"</f>
        <v>00048570</v>
      </c>
      <c r="F3618">
        <v>0</v>
      </c>
      <c r="G3618" s="243">
        <v>32050</v>
      </c>
      <c r="H3618" t="s">
        <v>182</v>
      </c>
      <c r="I3618">
        <v>15</v>
      </c>
      <c r="J3618">
        <v>16</v>
      </c>
      <c r="K3618">
        <v>1</v>
      </c>
      <c r="L3618">
        <v>103347</v>
      </c>
      <c r="M3618" t="str">
        <f t="shared" si="518"/>
        <v>13</v>
      </c>
      <c r="N3618" t="s">
        <v>3323</v>
      </c>
      <c r="O3618" t="str">
        <f t="shared" si="523"/>
        <v>61911</v>
      </c>
      <c r="P3618" t="str">
        <f>"2100L"</f>
        <v>2100L</v>
      </c>
      <c r="Q3618" t="str">
        <f t="shared" si="519"/>
        <v>0101</v>
      </c>
      <c r="R3618">
        <v>2100</v>
      </c>
      <c r="S3618" t="str">
        <f t="shared" si="524"/>
        <v>6190</v>
      </c>
      <c r="T3618" t="s">
        <v>3820</v>
      </c>
      <c r="U3618" t="s">
        <v>2827</v>
      </c>
    </row>
    <row r="3619" spans="1:21" ht="15" customHeight="1" x14ac:dyDescent="0.3">
      <c r="A3619" t="s">
        <v>179</v>
      </c>
      <c r="B3619" t="str">
        <f>"00052584"</f>
        <v>00052584</v>
      </c>
      <c r="C3619" t="s">
        <v>3798</v>
      </c>
      <c r="D3619" t="s">
        <v>2831</v>
      </c>
      <c r="E3619" t="str">
        <f>"00048607"</f>
        <v>00048607</v>
      </c>
      <c r="F3619">
        <v>0</v>
      </c>
      <c r="G3619" s="243">
        <v>32050</v>
      </c>
      <c r="H3619" t="s">
        <v>182</v>
      </c>
      <c r="I3619">
        <v>61</v>
      </c>
      <c r="J3619">
        <v>9</v>
      </c>
      <c r="K3619">
        <v>1</v>
      </c>
      <c r="L3619">
        <v>134000</v>
      </c>
      <c r="M3619" t="str">
        <f t="shared" si="518"/>
        <v>13</v>
      </c>
      <c r="N3619" t="s">
        <v>3323</v>
      </c>
      <c r="O3619" t="str">
        <f t="shared" si="523"/>
        <v>61911</v>
      </c>
      <c r="P3619" t="str">
        <f>"1501L"</f>
        <v>1501L</v>
      </c>
      <c r="Q3619" t="str">
        <f t="shared" si="519"/>
        <v>0101</v>
      </c>
      <c r="R3619">
        <v>1501</v>
      </c>
      <c r="S3619" t="str">
        <f t="shared" si="524"/>
        <v>6190</v>
      </c>
      <c r="T3619" t="s">
        <v>3820</v>
      </c>
      <c r="U3619" t="s">
        <v>2827</v>
      </c>
    </row>
    <row r="3620" spans="1:21" ht="15" customHeight="1" x14ac:dyDescent="0.3">
      <c r="A3620" t="s">
        <v>179</v>
      </c>
      <c r="B3620" t="str">
        <f>"00052656"</f>
        <v>00052656</v>
      </c>
      <c r="C3620" t="s">
        <v>4272</v>
      </c>
      <c r="D3620" t="s">
        <v>2832</v>
      </c>
      <c r="E3620" t="str">
        <f>"00048805"</f>
        <v>00048805</v>
      </c>
      <c r="F3620">
        <v>0</v>
      </c>
      <c r="G3620" s="243">
        <v>32050</v>
      </c>
      <c r="H3620" t="s">
        <v>182</v>
      </c>
      <c r="I3620">
        <v>15</v>
      </c>
      <c r="J3620">
        <v>15</v>
      </c>
      <c r="K3620">
        <v>1</v>
      </c>
      <c r="L3620">
        <v>98285</v>
      </c>
      <c r="M3620" t="str">
        <f t="shared" si="518"/>
        <v>13</v>
      </c>
      <c r="N3620" t="s">
        <v>3323</v>
      </c>
      <c r="O3620" t="str">
        <f t="shared" si="523"/>
        <v>61911</v>
      </c>
      <c r="P3620" t="str">
        <f>"2100L"</f>
        <v>2100L</v>
      </c>
      <c r="Q3620" t="str">
        <f t="shared" si="519"/>
        <v>0101</v>
      </c>
      <c r="R3620">
        <v>2100</v>
      </c>
      <c r="S3620" t="str">
        <f t="shared" si="524"/>
        <v>6190</v>
      </c>
      <c r="T3620" t="s">
        <v>3820</v>
      </c>
      <c r="U3620" t="s">
        <v>2827</v>
      </c>
    </row>
    <row r="3621" spans="1:21" ht="15" customHeight="1" x14ac:dyDescent="0.3">
      <c r="A3621" t="s">
        <v>179</v>
      </c>
      <c r="B3621" t="str">
        <f>"00052734"</f>
        <v>00052734</v>
      </c>
      <c r="C3621" t="s">
        <v>4257</v>
      </c>
      <c r="D3621" t="s">
        <v>3826</v>
      </c>
      <c r="E3621" t="str">
        <f>"00049197"</f>
        <v>00049197</v>
      </c>
      <c r="F3621">
        <v>0</v>
      </c>
      <c r="G3621" s="243">
        <v>33903</v>
      </c>
      <c r="H3621" t="s">
        <v>182</v>
      </c>
      <c r="I3621">
        <v>15</v>
      </c>
      <c r="J3621">
        <v>14</v>
      </c>
      <c r="K3621">
        <v>1</v>
      </c>
      <c r="L3621">
        <v>102160</v>
      </c>
      <c r="M3621" t="str">
        <f t="shared" si="518"/>
        <v>13</v>
      </c>
      <c r="N3621" t="s">
        <v>3323</v>
      </c>
      <c r="O3621" t="str">
        <f t="shared" si="523"/>
        <v>61911</v>
      </c>
      <c r="P3621" t="str">
        <f>"2100L"</f>
        <v>2100L</v>
      </c>
      <c r="Q3621" t="str">
        <f t="shared" si="519"/>
        <v>0101</v>
      </c>
      <c r="R3621">
        <v>2100</v>
      </c>
      <c r="S3621" t="str">
        <f t="shared" si="524"/>
        <v>6190</v>
      </c>
      <c r="T3621" t="s">
        <v>3820</v>
      </c>
      <c r="U3621" t="s">
        <v>2827</v>
      </c>
    </row>
    <row r="3622" spans="1:21" ht="15" customHeight="1" x14ac:dyDescent="0.3">
      <c r="A3622" t="s">
        <v>179</v>
      </c>
      <c r="B3622" t="str">
        <f>"00052918"</f>
        <v>00052918</v>
      </c>
      <c r="C3622" t="s">
        <v>4262</v>
      </c>
      <c r="D3622" t="s">
        <v>2833</v>
      </c>
      <c r="E3622" t="str">
        <f>"00050125"</f>
        <v>00050125</v>
      </c>
      <c r="F3622">
        <v>0</v>
      </c>
      <c r="G3622" s="243">
        <v>31866</v>
      </c>
      <c r="H3622" t="s">
        <v>182</v>
      </c>
      <c r="I3622">
        <v>15</v>
      </c>
      <c r="J3622">
        <v>16</v>
      </c>
      <c r="K3622">
        <v>1</v>
      </c>
      <c r="L3622">
        <v>100839</v>
      </c>
      <c r="M3622" t="str">
        <f t="shared" si="518"/>
        <v>13</v>
      </c>
      <c r="N3622" t="s">
        <v>3323</v>
      </c>
      <c r="O3622" t="str">
        <f t="shared" si="523"/>
        <v>61911</v>
      </c>
      <c r="P3622" t="str">
        <f>"2100L"</f>
        <v>2100L</v>
      </c>
      <c r="Q3622" t="str">
        <f t="shared" si="519"/>
        <v>0101</v>
      </c>
      <c r="R3622">
        <v>2100</v>
      </c>
      <c r="S3622" t="str">
        <f t="shared" si="524"/>
        <v>6190</v>
      </c>
      <c r="T3622" t="s">
        <v>3820</v>
      </c>
      <c r="U3622" t="s">
        <v>2827</v>
      </c>
    </row>
    <row r="3623" spans="1:21" ht="15" customHeight="1" x14ac:dyDescent="0.3">
      <c r="A3623" t="s">
        <v>179</v>
      </c>
      <c r="B3623" t="str">
        <f>"00053028"</f>
        <v>00053028</v>
      </c>
      <c r="C3623" t="s">
        <v>4290</v>
      </c>
      <c r="D3623" t="s">
        <v>5404</v>
      </c>
      <c r="E3623" t="str">
        <f>"00050821"</f>
        <v>00050821</v>
      </c>
      <c r="F3623">
        <v>0</v>
      </c>
      <c r="G3623" s="243">
        <v>26788</v>
      </c>
      <c r="H3623" t="s">
        <v>182</v>
      </c>
      <c r="I3623">
        <v>4</v>
      </c>
      <c r="J3623">
        <v>10</v>
      </c>
      <c r="K3623">
        <v>0.875</v>
      </c>
      <c r="L3623">
        <v>28721</v>
      </c>
      <c r="M3623" t="str">
        <f t="shared" si="518"/>
        <v>13</v>
      </c>
      <c r="N3623" t="s">
        <v>3323</v>
      </c>
      <c r="O3623" t="str">
        <f t="shared" si="523"/>
        <v>61911</v>
      </c>
      <c r="P3623" t="str">
        <f>"3030L"</f>
        <v>3030L</v>
      </c>
      <c r="Q3623" t="str">
        <f t="shared" si="519"/>
        <v>0101</v>
      </c>
      <c r="R3623">
        <v>3030</v>
      </c>
      <c r="S3623" t="str">
        <f t="shared" si="524"/>
        <v>6190</v>
      </c>
      <c r="T3623" t="s">
        <v>3820</v>
      </c>
      <c r="U3623" t="s">
        <v>2827</v>
      </c>
    </row>
    <row r="3624" spans="1:21" ht="15" customHeight="1" x14ac:dyDescent="0.3">
      <c r="A3624" t="s">
        <v>179</v>
      </c>
      <c r="B3624" t="str">
        <f>"00053272"</f>
        <v>00053272</v>
      </c>
      <c r="C3624" t="s">
        <v>4260</v>
      </c>
      <c r="D3624" t="s">
        <v>2834</v>
      </c>
      <c r="E3624" t="str">
        <f>"00051208"</f>
        <v>00051208</v>
      </c>
      <c r="F3624">
        <v>0</v>
      </c>
      <c r="G3624" s="243">
        <v>32112</v>
      </c>
      <c r="H3624" t="s">
        <v>182</v>
      </c>
      <c r="I3624">
        <v>15</v>
      </c>
      <c r="J3624">
        <v>16</v>
      </c>
      <c r="K3624">
        <v>1</v>
      </c>
      <c r="L3624">
        <v>100839</v>
      </c>
      <c r="M3624" t="str">
        <f t="shared" si="518"/>
        <v>13</v>
      </c>
      <c r="N3624" t="s">
        <v>3323</v>
      </c>
      <c r="O3624" t="str">
        <f t="shared" si="523"/>
        <v>61911</v>
      </c>
      <c r="P3624" t="str">
        <f>"2100L"</f>
        <v>2100L</v>
      </c>
      <c r="Q3624" t="str">
        <f t="shared" si="519"/>
        <v>0101</v>
      </c>
      <c r="R3624">
        <v>2100</v>
      </c>
      <c r="S3624" t="str">
        <f t="shared" si="524"/>
        <v>6190</v>
      </c>
      <c r="T3624" t="s">
        <v>3820</v>
      </c>
      <c r="U3624" t="s">
        <v>2827</v>
      </c>
    </row>
    <row r="3625" spans="1:21" ht="15" customHeight="1" x14ac:dyDescent="0.3">
      <c r="A3625" t="s">
        <v>179</v>
      </c>
      <c r="B3625" t="str">
        <f>"00053315"</f>
        <v>00053315</v>
      </c>
      <c r="C3625" t="s">
        <v>4272</v>
      </c>
      <c r="D3625" t="s">
        <v>2835</v>
      </c>
      <c r="E3625" t="str">
        <f>"00051286"</f>
        <v>00051286</v>
      </c>
      <c r="F3625">
        <v>0</v>
      </c>
      <c r="G3625" s="243">
        <v>32050</v>
      </c>
      <c r="H3625" t="s">
        <v>182</v>
      </c>
      <c r="I3625">
        <v>15</v>
      </c>
      <c r="J3625">
        <v>16</v>
      </c>
      <c r="K3625">
        <v>1</v>
      </c>
      <c r="L3625">
        <v>100839</v>
      </c>
      <c r="M3625" t="str">
        <f t="shared" si="518"/>
        <v>13</v>
      </c>
      <c r="N3625" t="s">
        <v>3323</v>
      </c>
      <c r="O3625" t="str">
        <f t="shared" si="523"/>
        <v>61911</v>
      </c>
      <c r="P3625" t="str">
        <f>"2200L"</f>
        <v>2200L</v>
      </c>
      <c r="Q3625" t="str">
        <f t="shared" si="519"/>
        <v>0101</v>
      </c>
      <c r="R3625">
        <v>2200</v>
      </c>
      <c r="S3625" t="str">
        <f t="shared" si="524"/>
        <v>6190</v>
      </c>
      <c r="T3625" t="s">
        <v>3820</v>
      </c>
      <c r="U3625" t="s">
        <v>2827</v>
      </c>
    </row>
    <row r="3626" spans="1:21" ht="15" customHeight="1" x14ac:dyDescent="0.3">
      <c r="A3626" t="s">
        <v>179</v>
      </c>
      <c r="B3626" t="str">
        <f>"00053336"</f>
        <v>00053336</v>
      </c>
      <c r="C3626" t="s">
        <v>4262</v>
      </c>
      <c r="D3626" t="s">
        <v>2836</v>
      </c>
      <c r="E3626" t="str">
        <f>"00044967"</f>
        <v>00044967</v>
      </c>
      <c r="F3626">
        <v>0</v>
      </c>
      <c r="G3626" s="243">
        <v>32021</v>
      </c>
      <c r="H3626" t="s">
        <v>182</v>
      </c>
      <c r="I3626">
        <v>15</v>
      </c>
      <c r="J3626">
        <v>16</v>
      </c>
      <c r="K3626">
        <v>1</v>
      </c>
      <c r="L3626">
        <v>100839</v>
      </c>
      <c r="M3626" t="str">
        <f t="shared" si="518"/>
        <v>13</v>
      </c>
      <c r="N3626" t="s">
        <v>3323</v>
      </c>
      <c r="O3626" t="str">
        <f t="shared" si="523"/>
        <v>61911</v>
      </c>
      <c r="P3626" t="str">
        <f>"2100L"</f>
        <v>2100L</v>
      </c>
      <c r="Q3626" t="str">
        <f t="shared" si="519"/>
        <v>0101</v>
      </c>
      <c r="R3626">
        <v>2100</v>
      </c>
      <c r="S3626" t="str">
        <f t="shared" si="524"/>
        <v>6190</v>
      </c>
      <c r="T3626" t="s">
        <v>3820</v>
      </c>
      <c r="U3626" t="s">
        <v>2827</v>
      </c>
    </row>
    <row r="3627" spans="1:21" ht="15" customHeight="1" x14ac:dyDescent="0.3">
      <c r="A3627" t="s">
        <v>179</v>
      </c>
      <c r="B3627" t="str">
        <f>"00053422"</f>
        <v>00053422</v>
      </c>
      <c r="C3627" t="s">
        <v>4274</v>
      </c>
      <c r="D3627" t="s">
        <v>5405</v>
      </c>
      <c r="E3627" t="str">
        <f>"00051456"</f>
        <v>00051456</v>
      </c>
      <c r="F3627">
        <v>0</v>
      </c>
      <c r="G3627" s="243">
        <v>34681</v>
      </c>
      <c r="H3627" t="s">
        <v>182</v>
      </c>
      <c r="I3627">
        <v>4</v>
      </c>
      <c r="J3627">
        <v>10</v>
      </c>
      <c r="K3627">
        <v>0.875</v>
      </c>
      <c r="L3627">
        <v>28721</v>
      </c>
      <c r="M3627" t="str">
        <f t="shared" si="518"/>
        <v>13</v>
      </c>
      <c r="N3627" t="s">
        <v>3323</v>
      </c>
      <c r="O3627" t="str">
        <f t="shared" si="523"/>
        <v>61911</v>
      </c>
      <c r="P3627" t="str">
        <f>"2100L"</f>
        <v>2100L</v>
      </c>
      <c r="Q3627" t="str">
        <f t="shared" si="519"/>
        <v>0101</v>
      </c>
      <c r="R3627">
        <v>2100</v>
      </c>
      <c r="S3627" t="str">
        <f t="shared" si="524"/>
        <v>6190</v>
      </c>
      <c r="T3627" t="s">
        <v>3820</v>
      </c>
      <c r="U3627" t="s">
        <v>2827</v>
      </c>
    </row>
    <row r="3628" spans="1:21" ht="15" customHeight="1" x14ac:dyDescent="0.3">
      <c r="A3628" t="s">
        <v>179</v>
      </c>
      <c r="B3628" t="str">
        <f>"00053489"</f>
        <v>00053489</v>
      </c>
      <c r="C3628" t="s">
        <v>4260</v>
      </c>
      <c r="D3628" t="s">
        <v>2837</v>
      </c>
      <c r="E3628" t="str">
        <f>"00051589"</f>
        <v>00051589</v>
      </c>
      <c r="F3628">
        <v>0</v>
      </c>
      <c r="G3628" s="243">
        <v>32050</v>
      </c>
      <c r="H3628" t="s">
        <v>182</v>
      </c>
      <c r="I3628">
        <v>15</v>
      </c>
      <c r="J3628">
        <v>16</v>
      </c>
      <c r="K3628">
        <v>1</v>
      </c>
      <c r="L3628">
        <v>103347</v>
      </c>
      <c r="M3628" t="str">
        <f t="shared" si="518"/>
        <v>13</v>
      </c>
      <c r="N3628" t="s">
        <v>3323</v>
      </c>
      <c r="O3628" t="str">
        <f t="shared" si="523"/>
        <v>61911</v>
      </c>
      <c r="P3628" t="str">
        <f>"3030L"</f>
        <v>3030L</v>
      </c>
      <c r="Q3628" t="str">
        <f t="shared" si="519"/>
        <v>0101</v>
      </c>
      <c r="R3628">
        <v>3030</v>
      </c>
      <c r="S3628" t="str">
        <f t="shared" si="524"/>
        <v>6190</v>
      </c>
      <c r="T3628" t="s">
        <v>3820</v>
      </c>
      <c r="U3628" t="s">
        <v>2827</v>
      </c>
    </row>
    <row r="3629" spans="1:21" ht="15" customHeight="1" x14ac:dyDescent="0.3">
      <c r="A3629" t="s">
        <v>179</v>
      </c>
      <c r="B3629" t="str">
        <f>"00053510"</f>
        <v>00053510</v>
      </c>
      <c r="C3629" t="s">
        <v>4262</v>
      </c>
      <c r="D3629" t="s">
        <v>3827</v>
      </c>
      <c r="E3629" t="str">
        <f>"00065939"</f>
        <v>00065939</v>
      </c>
      <c r="F3629">
        <v>0</v>
      </c>
      <c r="G3629" s="243">
        <v>40755</v>
      </c>
      <c r="H3629" t="s">
        <v>182</v>
      </c>
      <c r="I3629">
        <v>15</v>
      </c>
      <c r="J3629">
        <v>2</v>
      </c>
      <c r="K3629">
        <v>1</v>
      </c>
      <c r="L3629">
        <v>51716</v>
      </c>
      <c r="M3629" t="str">
        <f t="shared" si="518"/>
        <v>13</v>
      </c>
      <c r="N3629" t="s">
        <v>3323</v>
      </c>
      <c r="O3629" t="str">
        <f t="shared" si="523"/>
        <v>61911</v>
      </c>
      <c r="P3629" t="str">
        <f>"2100L"</f>
        <v>2100L</v>
      </c>
      <c r="Q3629" t="str">
        <f t="shared" si="519"/>
        <v>0101</v>
      </c>
      <c r="R3629">
        <v>2100</v>
      </c>
      <c r="S3629" t="str">
        <f t="shared" si="524"/>
        <v>6190</v>
      </c>
      <c r="T3629" t="s">
        <v>3820</v>
      </c>
      <c r="U3629" t="s">
        <v>2827</v>
      </c>
    </row>
    <row r="3630" spans="1:21" ht="15" customHeight="1" x14ac:dyDescent="0.3">
      <c r="A3630" t="s">
        <v>179</v>
      </c>
      <c r="B3630" t="str">
        <f>"00053539"</f>
        <v>00053539</v>
      </c>
      <c r="C3630" t="s">
        <v>4272</v>
      </c>
      <c r="D3630" t="s">
        <v>2838</v>
      </c>
      <c r="E3630" t="str">
        <f>"00058258"</f>
        <v>00058258</v>
      </c>
      <c r="F3630">
        <v>0</v>
      </c>
      <c r="G3630" s="243">
        <v>40057</v>
      </c>
      <c r="H3630" t="s">
        <v>182</v>
      </c>
      <c r="I3630">
        <v>15</v>
      </c>
      <c r="J3630">
        <v>5</v>
      </c>
      <c r="K3630">
        <v>1</v>
      </c>
      <c r="L3630">
        <v>63611</v>
      </c>
      <c r="M3630" t="str">
        <f t="shared" si="518"/>
        <v>13</v>
      </c>
      <c r="N3630" t="s">
        <v>3323</v>
      </c>
      <c r="O3630" t="str">
        <f t="shared" si="523"/>
        <v>61911</v>
      </c>
      <c r="P3630" t="str">
        <f>"2100L"</f>
        <v>2100L</v>
      </c>
      <c r="Q3630" t="str">
        <f t="shared" si="519"/>
        <v>0101</v>
      </c>
      <c r="R3630">
        <v>2100</v>
      </c>
      <c r="S3630" t="str">
        <f t="shared" si="524"/>
        <v>6190</v>
      </c>
      <c r="T3630" t="s">
        <v>3820</v>
      </c>
      <c r="U3630" t="s">
        <v>2827</v>
      </c>
    </row>
    <row r="3631" spans="1:21" ht="15" customHeight="1" x14ac:dyDescent="0.3">
      <c r="A3631" t="s">
        <v>179</v>
      </c>
      <c r="B3631" t="str">
        <f>"00053994"</f>
        <v>00053994</v>
      </c>
      <c r="C3631" t="s">
        <v>4272</v>
      </c>
      <c r="D3631" t="s">
        <v>2839</v>
      </c>
      <c r="E3631" t="str">
        <f>"00062762"</f>
        <v>00062762</v>
      </c>
      <c r="F3631">
        <v>0</v>
      </c>
      <c r="G3631" s="243">
        <v>40406</v>
      </c>
      <c r="H3631" t="s">
        <v>182</v>
      </c>
      <c r="I3631">
        <v>15</v>
      </c>
      <c r="J3631">
        <v>3</v>
      </c>
      <c r="K3631">
        <v>1</v>
      </c>
      <c r="L3631">
        <v>52777</v>
      </c>
      <c r="M3631" t="str">
        <f t="shared" si="518"/>
        <v>13</v>
      </c>
      <c r="N3631" t="s">
        <v>3323</v>
      </c>
      <c r="O3631" t="str">
        <f t="shared" si="523"/>
        <v>61911</v>
      </c>
      <c r="P3631" t="str">
        <f>"2200L"</f>
        <v>2200L</v>
      </c>
      <c r="Q3631" t="str">
        <f t="shared" si="519"/>
        <v>0101</v>
      </c>
      <c r="R3631">
        <v>2200</v>
      </c>
      <c r="S3631" t="str">
        <f t="shared" si="524"/>
        <v>6190</v>
      </c>
      <c r="T3631" t="s">
        <v>3820</v>
      </c>
      <c r="U3631" t="s">
        <v>2827</v>
      </c>
    </row>
    <row r="3632" spans="1:21" ht="15" customHeight="1" x14ac:dyDescent="0.3">
      <c r="A3632" t="s">
        <v>179</v>
      </c>
      <c r="B3632" t="str">
        <f>"00054034"</f>
        <v>00054034</v>
      </c>
      <c r="C3632" t="s">
        <v>4290</v>
      </c>
      <c r="D3632" t="s">
        <v>5406</v>
      </c>
      <c r="E3632" t="str">
        <f>"00052911"</f>
        <v>00052911</v>
      </c>
      <c r="F3632">
        <v>0</v>
      </c>
      <c r="G3632" s="243">
        <v>35758</v>
      </c>
      <c r="H3632" t="s">
        <v>182</v>
      </c>
      <c r="I3632">
        <v>4</v>
      </c>
      <c r="J3632">
        <v>9</v>
      </c>
      <c r="K3632">
        <v>0.875</v>
      </c>
      <c r="L3632">
        <v>28025.38</v>
      </c>
      <c r="M3632" t="str">
        <f t="shared" si="518"/>
        <v>13</v>
      </c>
      <c r="N3632" t="s">
        <v>3323</v>
      </c>
      <c r="O3632" t="str">
        <f t="shared" si="523"/>
        <v>61911</v>
      </c>
      <c r="P3632" t="str">
        <f>"3030L"</f>
        <v>3030L</v>
      </c>
      <c r="Q3632" t="str">
        <f t="shared" si="519"/>
        <v>0101</v>
      </c>
      <c r="R3632">
        <v>3030</v>
      </c>
      <c r="S3632" t="str">
        <f t="shared" si="524"/>
        <v>6190</v>
      </c>
      <c r="T3632" t="s">
        <v>3820</v>
      </c>
      <c r="U3632" t="s">
        <v>2827</v>
      </c>
    </row>
    <row r="3633" spans="1:21" ht="15" customHeight="1" x14ac:dyDescent="0.3">
      <c r="A3633" t="s">
        <v>179</v>
      </c>
      <c r="B3633" t="str">
        <f>"00054330"</f>
        <v>00054330</v>
      </c>
      <c r="C3633" t="s">
        <v>4262</v>
      </c>
      <c r="D3633" t="s">
        <v>2840</v>
      </c>
      <c r="E3633" t="str">
        <f>"00053639"</f>
        <v>00053639</v>
      </c>
      <c r="F3633">
        <v>0</v>
      </c>
      <c r="G3633" s="243">
        <v>35306</v>
      </c>
      <c r="H3633" t="s">
        <v>182</v>
      </c>
      <c r="I3633">
        <v>15</v>
      </c>
      <c r="J3633">
        <v>13</v>
      </c>
      <c r="K3633">
        <v>1</v>
      </c>
      <c r="L3633">
        <v>97873</v>
      </c>
      <c r="M3633" t="str">
        <f t="shared" ref="M3633:M3689" si="525">"13"</f>
        <v>13</v>
      </c>
      <c r="N3633" t="s">
        <v>3323</v>
      </c>
      <c r="O3633" t="str">
        <f t="shared" si="523"/>
        <v>61911</v>
      </c>
      <c r="P3633" t="str">
        <f>"2100L"</f>
        <v>2100L</v>
      </c>
      <c r="Q3633" t="str">
        <f t="shared" si="519"/>
        <v>0101</v>
      </c>
      <c r="R3633">
        <v>2100</v>
      </c>
      <c r="S3633" t="str">
        <f t="shared" si="524"/>
        <v>6190</v>
      </c>
      <c r="T3633" t="s">
        <v>3820</v>
      </c>
      <c r="U3633" t="s">
        <v>2827</v>
      </c>
    </row>
    <row r="3634" spans="1:21" ht="15" customHeight="1" x14ac:dyDescent="0.3">
      <c r="A3634" t="s">
        <v>179</v>
      </c>
      <c r="B3634" t="str">
        <f>"00054333"</f>
        <v>00054333</v>
      </c>
      <c r="C3634" t="s">
        <v>4263</v>
      </c>
      <c r="D3634" t="s">
        <v>2841</v>
      </c>
      <c r="E3634" t="str">
        <f>"00053655"</f>
        <v>00053655</v>
      </c>
      <c r="F3634">
        <v>0</v>
      </c>
      <c r="G3634" s="243">
        <v>32769</v>
      </c>
      <c r="H3634" t="s">
        <v>182</v>
      </c>
      <c r="I3634">
        <v>15</v>
      </c>
      <c r="J3634">
        <v>16</v>
      </c>
      <c r="K3634">
        <v>1</v>
      </c>
      <c r="L3634">
        <v>100839</v>
      </c>
      <c r="M3634" t="str">
        <f t="shared" si="525"/>
        <v>13</v>
      </c>
      <c r="N3634" t="s">
        <v>3323</v>
      </c>
      <c r="O3634" t="str">
        <f t="shared" si="523"/>
        <v>61911</v>
      </c>
      <c r="P3634" t="str">
        <f>"2100L"</f>
        <v>2100L</v>
      </c>
      <c r="Q3634" t="str">
        <f t="shared" si="519"/>
        <v>0101</v>
      </c>
      <c r="R3634">
        <v>2100</v>
      </c>
      <c r="S3634" t="str">
        <f t="shared" si="524"/>
        <v>6190</v>
      </c>
      <c r="T3634" t="s">
        <v>3820</v>
      </c>
      <c r="U3634" t="s">
        <v>2827</v>
      </c>
    </row>
    <row r="3635" spans="1:21" ht="15" customHeight="1" x14ac:dyDescent="0.3">
      <c r="A3635" t="s">
        <v>179</v>
      </c>
      <c r="B3635" t="str">
        <f>"00054578"</f>
        <v>00054578</v>
      </c>
      <c r="C3635" t="s">
        <v>4260</v>
      </c>
      <c r="D3635" t="s">
        <v>5407</v>
      </c>
      <c r="E3635" t="str">
        <f>"00069971"</f>
        <v>00069971</v>
      </c>
      <c r="F3635">
        <v>0</v>
      </c>
      <c r="G3635" s="243">
        <v>41133</v>
      </c>
      <c r="H3635" t="s">
        <v>182</v>
      </c>
      <c r="I3635">
        <v>15</v>
      </c>
      <c r="J3635">
        <v>1</v>
      </c>
      <c r="K3635">
        <v>1</v>
      </c>
      <c r="L3635">
        <v>51539</v>
      </c>
      <c r="M3635" t="str">
        <f t="shared" si="525"/>
        <v>13</v>
      </c>
      <c r="N3635" t="s">
        <v>3323</v>
      </c>
      <c r="O3635" t="str">
        <f t="shared" si="523"/>
        <v>61911</v>
      </c>
      <c r="P3635" t="str">
        <f>"3030L"</f>
        <v>3030L</v>
      </c>
      <c r="Q3635" t="str">
        <f t="shared" si="519"/>
        <v>0101</v>
      </c>
      <c r="R3635">
        <v>3030</v>
      </c>
      <c r="S3635" t="str">
        <f t="shared" si="524"/>
        <v>6190</v>
      </c>
      <c r="T3635" t="s">
        <v>3820</v>
      </c>
      <c r="U3635" t="s">
        <v>2827</v>
      </c>
    </row>
    <row r="3636" spans="1:21" ht="15" customHeight="1" x14ac:dyDescent="0.3">
      <c r="A3636" t="s">
        <v>179</v>
      </c>
      <c r="B3636" t="str">
        <f>"00054917"</f>
        <v>00054917</v>
      </c>
      <c r="C3636" t="s">
        <v>4262</v>
      </c>
      <c r="D3636" t="s">
        <v>2843</v>
      </c>
      <c r="E3636" t="str">
        <f>"00054989"</f>
        <v>00054989</v>
      </c>
      <c r="F3636">
        <v>0</v>
      </c>
      <c r="G3636" s="243">
        <v>32127</v>
      </c>
      <c r="H3636" t="s">
        <v>182</v>
      </c>
      <c r="I3636">
        <v>15</v>
      </c>
      <c r="J3636">
        <v>16</v>
      </c>
      <c r="K3636">
        <v>1</v>
      </c>
      <c r="L3636">
        <v>100839</v>
      </c>
      <c r="M3636" t="str">
        <f t="shared" si="525"/>
        <v>13</v>
      </c>
      <c r="N3636" t="s">
        <v>3323</v>
      </c>
      <c r="O3636" t="str">
        <f t="shared" si="523"/>
        <v>61911</v>
      </c>
      <c r="P3636" t="str">
        <f>"2100L"</f>
        <v>2100L</v>
      </c>
      <c r="Q3636" t="str">
        <f t="shared" si="519"/>
        <v>0101</v>
      </c>
      <c r="R3636">
        <v>2100</v>
      </c>
      <c r="S3636" t="str">
        <f t="shared" si="524"/>
        <v>6190</v>
      </c>
      <c r="T3636" t="s">
        <v>3820</v>
      </c>
      <c r="U3636" t="s">
        <v>2827</v>
      </c>
    </row>
    <row r="3637" spans="1:21" ht="15" customHeight="1" x14ac:dyDescent="0.3">
      <c r="A3637" t="s">
        <v>179</v>
      </c>
      <c r="B3637" t="str">
        <f>"00055038"</f>
        <v>00055038</v>
      </c>
      <c r="C3637" t="s">
        <v>4288</v>
      </c>
      <c r="D3637" t="s">
        <v>5408</v>
      </c>
      <c r="E3637" t="str">
        <f>"00054831"</f>
        <v>00054831</v>
      </c>
      <c r="F3637">
        <v>0</v>
      </c>
      <c r="G3637" s="243">
        <v>39679</v>
      </c>
      <c r="H3637" t="s">
        <v>182</v>
      </c>
      <c r="I3637">
        <v>4</v>
      </c>
      <c r="J3637">
        <v>7</v>
      </c>
      <c r="K3637">
        <v>0.875</v>
      </c>
      <c r="L3637">
        <v>26633.25</v>
      </c>
      <c r="M3637" t="str">
        <f t="shared" si="525"/>
        <v>13</v>
      </c>
      <c r="N3637" t="s">
        <v>3323</v>
      </c>
      <c r="O3637" t="str">
        <f t="shared" si="523"/>
        <v>61911</v>
      </c>
      <c r="P3637" t="str">
        <f>"2100L"</f>
        <v>2100L</v>
      </c>
      <c r="Q3637" t="str">
        <f t="shared" si="519"/>
        <v>0101</v>
      </c>
      <c r="R3637">
        <v>2100</v>
      </c>
      <c r="S3637" t="str">
        <f t="shared" si="524"/>
        <v>6190</v>
      </c>
      <c r="T3637" t="s">
        <v>3820</v>
      </c>
      <c r="U3637" t="s">
        <v>2827</v>
      </c>
    </row>
    <row r="3638" spans="1:21" ht="15" customHeight="1" x14ac:dyDescent="0.3">
      <c r="A3638" t="s">
        <v>179</v>
      </c>
      <c r="B3638" t="str">
        <f>"00055076"</f>
        <v>00055076</v>
      </c>
      <c r="C3638" t="s">
        <v>4254</v>
      </c>
      <c r="D3638" t="s">
        <v>3828</v>
      </c>
      <c r="E3638" t="str">
        <f>"00053654"</f>
        <v>00053654</v>
      </c>
      <c r="F3638">
        <v>0</v>
      </c>
      <c r="G3638" s="243">
        <v>36390</v>
      </c>
      <c r="H3638" t="s">
        <v>182</v>
      </c>
      <c r="I3638">
        <v>15</v>
      </c>
      <c r="J3638">
        <v>13</v>
      </c>
      <c r="K3638">
        <v>1</v>
      </c>
      <c r="L3638">
        <v>86613</v>
      </c>
      <c r="M3638" t="str">
        <f t="shared" si="525"/>
        <v>13</v>
      </c>
      <c r="N3638" t="s">
        <v>3323</v>
      </c>
      <c r="O3638" t="str">
        <f t="shared" si="523"/>
        <v>61911</v>
      </c>
      <c r="P3638" t="str">
        <f>"2100L"</f>
        <v>2100L</v>
      </c>
      <c r="Q3638" t="str">
        <f t="shared" si="519"/>
        <v>0101</v>
      </c>
      <c r="R3638">
        <v>2100</v>
      </c>
      <c r="S3638" t="str">
        <f t="shared" si="524"/>
        <v>6190</v>
      </c>
      <c r="T3638" t="s">
        <v>3820</v>
      </c>
      <c r="U3638" t="s">
        <v>2827</v>
      </c>
    </row>
    <row r="3639" spans="1:21" ht="15" customHeight="1" x14ac:dyDescent="0.3">
      <c r="A3639" t="s">
        <v>179</v>
      </c>
      <c r="B3639" t="str">
        <f>"00055191"</f>
        <v>00055191</v>
      </c>
      <c r="C3639" t="s">
        <v>4341</v>
      </c>
      <c r="D3639" t="s">
        <v>2844</v>
      </c>
      <c r="E3639" t="str">
        <f>"00060646"</f>
        <v>00060646</v>
      </c>
      <c r="F3639">
        <v>0</v>
      </c>
      <c r="G3639" s="243">
        <v>40280</v>
      </c>
      <c r="H3639" t="s">
        <v>182</v>
      </c>
      <c r="I3639">
        <v>10</v>
      </c>
      <c r="J3639">
        <v>6</v>
      </c>
      <c r="K3639">
        <v>1</v>
      </c>
      <c r="L3639">
        <v>75087</v>
      </c>
      <c r="M3639" t="str">
        <f t="shared" si="525"/>
        <v>13</v>
      </c>
      <c r="N3639" t="s">
        <v>3323</v>
      </c>
      <c r="O3639" t="str">
        <f t="shared" si="523"/>
        <v>61911</v>
      </c>
      <c r="P3639" t="str">
        <f>"3030L"</f>
        <v>3030L</v>
      </c>
      <c r="Q3639" t="str">
        <f t="shared" si="519"/>
        <v>0101</v>
      </c>
      <c r="R3639">
        <v>3030</v>
      </c>
      <c r="S3639" t="str">
        <f t="shared" si="524"/>
        <v>6190</v>
      </c>
      <c r="T3639" t="s">
        <v>3820</v>
      </c>
      <c r="U3639" t="s">
        <v>2827</v>
      </c>
    </row>
    <row r="3640" spans="1:21" ht="15" customHeight="1" x14ac:dyDescent="0.3">
      <c r="A3640" t="s">
        <v>179</v>
      </c>
      <c r="B3640" t="str">
        <f>"00057085"</f>
        <v>00057085</v>
      </c>
      <c r="C3640" t="s">
        <v>4274</v>
      </c>
      <c r="D3640" t="s">
        <v>5409</v>
      </c>
      <c r="E3640" t="str">
        <f>"00050430"</f>
        <v>00050430</v>
      </c>
      <c r="F3640">
        <v>0</v>
      </c>
      <c r="G3640" s="243">
        <v>36474</v>
      </c>
      <c r="H3640" t="s">
        <v>182</v>
      </c>
      <c r="I3640">
        <v>4</v>
      </c>
      <c r="J3640">
        <v>9</v>
      </c>
      <c r="K3640">
        <v>0.875</v>
      </c>
      <c r="L3640">
        <v>28025.38</v>
      </c>
      <c r="M3640" t="str">
        <f t="shared" si="525"/>
        <v>13</v>
      </c>
      <c r="N3640" t="s">
        <v>3323</v>
      </c>
      <c r="O3640" t="str">
        <f t="shared" si="523"/>
        <v>61911</v>
      </c>
      <c r="P3640" t="str">
        <f>"2200L"</f>
        <v>2200L</v>
      </c>
      <c r="Q3640" t="str">
        <f t="shared" si="519"/>
        <v>0101</v>
      </c>
      <c r="R3640">
        <v>2200</v>
      </c>
      <c r="S3640" t="str">
        <f t="shared" si="524"/>
        <v>6190</v>
      </c>
      <c r="T3640" t="s">
        <v>3820</v>
      </c>
      <c r="U3640" t="s">
        <v>2827</v>
      </c>
    </row>
    <row r="3641" spans="1:21" ht="15" customHeight="1" x14ac:dyDescent="0.3">
      <c r="A3641" t="s">
        <v>179</v>
      </c>
      <c r="B3641" t="str">
        <f>"00057087"</f>
        <v>00057087</v>
      </c>
      <c r="C3641" t="s">
        <v>4274</v>
      </c>
      <c r="D3641" t="s">
        <v>5410</v>
      </c>
      <c r="E3641" t="str">
        <f>"00047022"</f>
        <v>00047022</v>
      </c>
      <c r="F3641">
        <v>0</v>
      </c>
      <c r="G3641" s="243">
        <v>36500</v>
      </c>
      <c r="H3641" t="s">
        <v>182</v>
      </c>
      <c r="I3641">
        <v>4</v>
      </c>
      <c r="J3641">
        <v>8</v>
      </c>
      <c r="K3641">
        <v>0.75</v>
      </c>
      <c r="L3641">
        <v>23425.5</v>
      </c>
      <c r="M3641" t="str">
        <f t="shared" si="525"/>
        <v>13</v>
      </c>
      <c r="N3641" t="s">
        <v>3323</v>
      </c>
      <c r="O3641" t="str">
        <f t="shared" si="523"/>
        <v>61911</v>
      </c>
      <c r="P3641" t="str">
        <f>"2200L"</f>
        <v>2200L</v>
      </c>
      <c r="Q3641" t="str">
        <f t="shared" ref="Q3641:Q3697" si="526">"0101"</f>
        <v>0101</v>
      </c>
      <c r="R3641">
        <v>2200</v>
      </c>
      <c r="S3641" t="str">
        <f t="shared" si="524"/>
        <v>6190</v>
      </c>
      <c r="T3641" t="s">
        <v>3820</v>
      </c>
      <c r="U3641" t="s">
        <v>2827</v>
      </c>
    </row>
    <row r="3642" spans="1:21" ht="15" customHeight="1" x14ac:dyDescent="0.3">
      <c r="A3642" t="s">
        <v>179</v>
      </c>
      <c r="B3642" t="str">
        <f>"00057144"</f>
        <v>00057144</v>
      </c>
      <c r="C3642" t="s">
        <v>4299</v>
      </c>
      <c r="D3642" t="s">
        <v>5411</v>
      </c>
      <c r="E3642" t="str">
        <f>"00047545"</f>
        <v>00047545</v>
      </c>
      <c r="F3642">
        <v>0</v>
      </c>
      <c r="G3642" s="243">
        <v>31862</v>
      </c>
      <c r="H3642" t="s">
        <v>182</v>
      </c>
      <c r="I3642">
        <v>7</v>
      </c>
      <c r="J3642">
        <v>8</v>
      </c>
      <c r="K3642">
        <v>1</v>
      </c>
      <c r="L3642">
        <v>43727</v>
      </c>
      <c r="M3642" t="str">
        <f t="shared" si="525"/>
        <v>13</v>
      </c>
      <c r="N3642" t="s">
        <v>3323</v>
      </c>
      <c r="O3642" t="str">
        <f t="shared" si="523"/>
        <v>61911</v>
      </c>
      <c r="P3642" t="str">
        <f>"1502L"</f>
        <v>1502L</v>
      </c>
      <c r="Q3642" t="str">
        <f t="shared" si="526"/>
        <v>0101</v>
      </c>
      <c r="R3642">
        <v>1502</v>
      </c>
      <c r="S3642" t="str">
        <f t="shared" si="524"/>
        <v>6190</v>
      </c>
      <c r="T3642" t="s">
        <v>3820</v>
      </c>
      <c r="U3642" t="s">
        <v>2827</v>
      </c>
    </row>
    <row r="3643" spans="1:21" ht="15" customHeight="1" x14ac:dyDescent="0.3">
      <c r="A3643" t="s">
        <v>179</v>
      </c>
      <c r="B3643" t="str">
        <f>"00057198"</f>
        <v>00057198</v>
      </c>
      <c r="C3643" t="s">
        <v>4274</v>
      </c>
      <c r="D3643" t="s">
        <v>5412</v>
      </c>
      <c r="E3643" t="str">
        <f>"00051838"</f>
        <v>00051838</v>
      </c>
      <c r="F3643">
        <v>0</v>
      </c>
      <c r="G3643" s="243">
        <v>36643</v>
      </c>
      <c r="H3643" t="s">
        <v>182</v>
      </c>
      <c r="I3643">
        <v>4</v>
      </c>
      <c r="J3643">
        <v>8</v>
      </c>
      <c r="K3643">
        <v>0.875</v>
      </c>
      <c r="L3643">
        <v>27329.75</v>
      </c>
      <c r="M3643" t="str">
        <f t="shared" si="525"/>
        <v>13</v>
      </c>
      <c r="N3643" t="s">
        <v>3323</v>
      </c>
      <c r="O3643" t="str">
        <f t="shared" si="523"/>
        <v>61911</v>
      </c>
      <c r="P3643" t="str">
        <f>"2200L"</f>
        <v>2200L</v>
      </c>
      <c r="Q3643" t="str">
        <f t="shared" si="526"/>
        <v>0101</v>
      </c>
      <c r="R3643">
        <v>2200</v>
      </c>
      <c r="S3643" t="str">
        <f t="shared" si="524"/>
        <v>6190</v>
      </c>
      <c r="T3643" t="s">
        <v>3820</v>
      </c>
      <c r="U3643" t="s">
        <v>2827</v>
      </c>
    </row>
    <row r="3644" spans="1:21" ht="15" customHeight="1" x14ac:dyDescent="0.3">
      <c r="A3644" t="s">
        <v>179</v>
      </c>
      <c r="B3644" t="str">
        <f>"00057351"</f>
        <v>00057351</v>
      </c>
      <c r="C3644" t="s">
        <v>4256</v>
      </c>
      <c r="D3644" t="s">
        <v>5413</v>
      </c>
      <c r="E3644" t="str">
        <f>"00050508"</f>
        <v>00050508</v>
      </c>
      <c r="F3644">
        <v>0</v>
      </c>
      <c r="G3644" s="243">
        <v>36761</v>
      </c>
      <c r="H3644" t="s">
        <v>182</v>
      </c>
      <c r="I3644">
        <v>15</v>
      </c>
      <c r="J3644">
        <v>12</v>
      </c>
      <c r="K3644">
        <v>1</v>
      </c>
      <c r="L3644">
        <v>92613</v>
      </c>
      <c r="M3644" t="str">
        <f t="shared" si="525"/>
        <v>13</v>
      </c>
      <c r="N3644" t="s">
        <v>3323</v>
      </c>
      <c r="O3644" t="str">
        <f t="shared" si="523"/>
        <v>61911</v>
      </c>
      <c r="P3644" t="str">
        <f>"2100L"</f>
        <v>2100L</v>
      </c>
      <c r="Q3644" t="str">
        <f t="shared" si="526"/>
        <v>0101</v>
      </c>
      <c r="R3644">
        <v>2100</v>
      </c>
      <c r="S3644" t="str">
        <f t="shared" si="524"/>
        <v>6190</v>
      </c>
      <c r="T3644" t="s">
        <v>3820</v>
      </c>
      <c r="U3644" t="s">
        <v>2827</v>
      </c>
    </row>
    <row r="3645" spans="1:21" ht="15" customHeight="1" x14ac:dyDescent="0.3">
      <c r="A3645" t="s">
        <v>179</v>
      </c>
      <c r="B3645" t="str">
        <f>"00057455"</f>
        <v>00057455</v>
      </c>
      <c r="C3645" t="s">
        <v>4262</v>
      </c>
      <c r="D3645" t="s">
        <v>3829</v>
      </c>
      <c r="E3645" t="str">
        <f>"00053630"</f>
        <v>00053630</v>
      </c>
      <c r="F3645">
        <v>0</v>
      </c>
      <c r="G3645" s="243">
        <v>35864</v>
      </c>
      <c r="H3645" t="s">
        <v>182</v>
      </c>
      <c r="I3645">
        <v>15</v>
      </c>
      <c r="J3645">
        <v>12</v>
      </c>
      <c r="K3645">
        <v>1</v>
      </c>
      <c r="L3645">
        <v>87431</v>
      </c>
      <c r="M3645" t="str">
        <f t="shared" si="525"/>
        <v>13</v>
      </c>
      <c r="N3645" t="s">
        <v>3323</v>
      </c>
      <c r="O3645" t="str">
        <f t="shared" ref="O3645:O3674" si="527">"61911"</f>
        <v>61911</v>
      </c>
      <c r="P3645" t="str">
        <f>"2100L"</f>
        <v>2100L</v>
      </c>
      <c r="Q3645" t="str">
        <f t="shared" si="526"/>
        <v>0101</v>
      </c>
      <c r="R3645">
        <v>2100</v>
      </c>
      <c r="S3645" t="str">
        <f t="shared" ref="S3645:S3674" si="528">"6190"</f>
        <v>6190</v>
      </c>
      <c r="T3645" t="s">
        <v>3820</v>
      </c>
      <c r="U3645" t="s">
        <v>2827</v>
      </c>
    </row>
    <row r="3646" spans="1:21" ht="15" customHeight="1" x14ac:dyDescent="0.3">
      <c r="A3646" t="s">
        <v>179</v>
      </c>
      <c r="B3646" t="str">
        <f>"00057713"</f>
        <v>00057713</v>
      </c>
      <c r="C3646" t="s">
        <v>4262</v>
      </c>
      <c r="D3646" t="s">
        <v>3824</v>
      </c>
      <c r="E3646" t="str">
        <f>"00066381"</f>
        <v>00066381</v>
      </c>
      <c r="F3646">
        <v>0</v>
      </c>
      <c r="G3646" s="243">
        <v>40755</v>
      </c>
      <c r="H3646" t="s">
        <v>182</v>
      </c>
      <c r="I3646">
        <v>15</v>
      </c>
      <c r="J3646">
        <v>2</v>
      </c>
      <c r="K3646">
        <v>1</v>
      </c>
      <c r="L3646">
        <v>51716</v>
      </c>
      <c r="M3646" t="str">
        <f t="shared" si="525"/>
        <v>13</v>
      </c>
      <c r="N3646" t="s">
        <v>3323</v>
      </c>
      <c r="O3646" t="str">
        <f t="shared" si="527"/>
        <v>61911</v>
      </c>
      <c r="P3646" t="str">
        <f>"2100L"</f>
        <v>2100L</v>
      </c>
      <c r="Q3646" t="str">
        <f t="shared" si="526"/>
        <v>0101</v>
      </c>
      <c r="R3646">
        <v>2100</v>
      </c>
      <c r="S3646" t="str">
        <f t="shared" si="528"/>
        <v>6190</v>
      </c>
      <c r="T3646" t="s">
        <v>3820</v>
      </c>
      <c r="U3646" t="s">
        <v>2827</v>
      </c>
    </row>
    <row r="3647" spans="1:21" ht="15" customHeight="1" x14ac:dyDescent="0.3">
      <c r="A3647" t="s">
        <v>179</v>
      </c>
      <c r="B3647" t="str">
        <f>"00058733"</f>
        <v>00058733</v>
      </c>
      <c r="C3647" t="s">
        <v>4274</v>
      </c>
      <c r="D3647" t="s">
        <v>5414</v>
      </c>
      <c r="E3647" t="str">
        <f>"00053949"</f>
        <v>00053949</v>
      </c>
      <c r="F3647">
        <v>0</v>
      </c>
      <c r="G3647" s="243">
        <v>26820</v>
      </c>
      <c r="H3647" t="s">
        <v>182</v>
      </c>
      <c r="I3647">
        <v>4</v>
      </c>
      <c r="J3647">
        <v>10</v>
      </c>
      <c r="K3647">
        <v>0.875</v>
      </c>
      <c r="L3647">
        <v>28721</v>
      </c>
      <c r="M3647" t="str">
        <f t="shared" si="525"/>
        <v>13</v>
      </c>
      <c r="N3647" t="s">
        <v>3323</v>
      </c>
      <c r="O3647" t="str">
        <f t="shared" si="527"/>
        <v>61911</v>
      </c>
      <c r="P3647" t="str">
        <f>"3030L"</f>
        <v>3030L</v>
      </c>
      <c r="Q3647" t="str">
        <f t="shared" si="526"/>
        <v>0101</v>
      </c>
      <c r="R3647">
        <v>3030</v>
      </c>
      <c r="S3647" t="str">
        <f t="shared" si="528"/>
        <v>6190</v>
      </c>
      <c r="T3647" t="s">
        <v>3820</v>
      </c>
      <c r="U3647" t="s">
        <v>2827</v>
      </c>
    </row>
    <row r="3648" spans="1:21" ht="15" customHeight="1" x14ac:dyDescent="0.3">
      <c r="A3648" t="s">
        <v>179</v>
      </c>
      <c r="B3648" t="str">
        <f>"00059209"</f>
        <v>00059209</v>
      </c>
      <c r="C3648" t="s">
        <v>4262</v>
      </c>
      <c r="D3648" t="s">
        <v>2846</v>
      </c>
      <c r="E3648" t="str">
        <f>"00052015"</f>
        <v>00052015</v>
      </c>
      <c r="F3648">
        <v>0</v>
      </c>
      <c r="G3648" s="243">
        <v>38587</v>
      </c>
      <c r="H3648" t="s">
        <v>182</v>
      </c>
      <c r="I3648">
        <v>15</v>
      </c>
      <c r="J3648">
        <v>7</v>
      </c>
      <c r="K3648">
        <v>1</v>
      </c>
      <c r="L3648">
        <v>61068</v>
      </c>
      <c r="M3648" t="str">
        <f t="shared" si="525"/>
        <v>13</v>
      </c>
      <c r="N3648" t="s">
        <v>3323</v>
      </c>
      <c r="O3648" t="str">
        <f t="shared" si="527"/>
        <v>61911</v>
      </c>
      <c r="P3648" t="str">
        <f>"2100L"</f>
        <v>2100L</v>
      </c>
      <c r="Q3648" t="str">
        <f t="shared" si="526"/>
        <v>0101</v>
      </c>
      <c r="R3648">
        <v>2100</v>
      </c>
      <c r="S3648" t="str">
        <f t="shared" si="528"/>
        <v>6190</v>
      </c>
      <c r="T3648" t="s">
        <v>3820</v>
      </c>
      <c r="U3648" t="s">
        <v>2827</v>
      </c>
    </row>
    <row r="3649" spans="1:21" ht="15" customHeight="1" x14ac:dyDescent="0.3">
      <c r="A3649" t="s">
        <v>179</v>
      </c>
      <c r="B3649" t="str">
        <f>"00059272"</f>
        <v>00059272</v>
      </c>
      <c r="C3649" t="s">
        <v>4272</v>
      </c>
      <c r="D3649" t="s">
        <v>2847</v>
      </c>
      <c r="E3649" t="str">
        <f>"00046018"</f>
        <v>00046018</v>
      </c>
      <c r="F3649">
        <v>0</v>
      </c>
      <c r="G3649" s="243">
        <v>41105</v>
      </c>
      <c r="H3649" t="s">
        <v>182</v>
      </c>
      <c r="I3649">
        <v>15</v>
      </c>
      <c r="J3649">
        <v>7</v>
      </c>
      <c r="K3649">
        <v>1</v>
      </c>
      <c r="L3649">
        <v>69132</v>
      </c>
      <c r="M3649" t="str">
        <f t="shared" si="525"/>
        <v>13</v>
      </c>
      <c r="N3649" t="s">
        <v>3323</v>
      </c>
      <c r="O3649" t="str">
        <f t="shared" si="527"/>
        <v>61911</v>
      </c>
      <c r="P3649" t="str">
        <f>"2100L"</f>
        <v>2100L</v>
      </c>
      <c r="Q3649" t="str">
        <f t="shared" si="526"/>
        <v>0101</v>
      </c>
      <c r="R3649">
        <v>2100</v>
      </c>
      <c r="S3649" t="str">
        <f t="shared" si="528"/>
        <v>6190</v>
      </c>
      <c r="T3649" t="s">
        <v>3820</v>
      </c>
      <c r="U3649" t="s">
        <v>2827</v>
      </c>
    </row>
    <row r="3650" spans="1:21" ht="15" customHeight="1" x14ac:dyDescent="0.3">
      <c r="A3650" t="s">
        <v>179</v>
      </c>
      <c r="B3650" t="str">
        <f>"00059500"</f>
        <v>00059500</v>
      </c>
      <c r="C3650" t="s">
        <v>4381</v>
      </c>
      <c r="D3650" t="s">
        <v>2848</v>
      </c>
      <c r="E3650" t="str">
        <f>"00045223"</f>
        <v>00045223</v>
      </c>
      <c r="F3650">
        <v>0</v>
      </c>
      <c r="G3650" s="243">
        <v>37861</v>
      </c>
      <c r="H3650" t="s">
        <v>182</v>
      </c>
      <c r="I3650">
        <v>9</v>
      </c>
      <c r="J3650">
        <v>3</v>
      </c>
      <c r="K3650">
        <v>1</v>
      </c>
      <c r="L3650">
        <v>35289</v>
      </c>
      <c r="M3650" t="str">
        <f t="shared" si="525"/>
        <v>13</v>
      </c>
      <c r="N3650" t="s">
        <v>3323</v>
      </c>
      <c r="O3650" t="str">
        <f t="shared" si="527"/>
        <v>61911</v>
      </c>
      <c r="P3650" t="str">
        <f>"5920L"</f>
        <v>5920L</v>
      </c>
      <c r="Q3650" t="str">
        <f t="shared" si="526"/>
        <v>0101</v>
      </c>
      <c r="R3650">
        <v>5920</v>
      </c>
      <c r="S3650" t="str">
        <f t="shared" si="528"/>
        <v>6190</v>
      </c>
      <c r="T3650" t="s">
        <v>3820</v>
      </c>
      <c r="U3650" t="s">
        <v>2827</v>
      </c>
    </row>
    <row r="3651" spans="1:21" ht="15" customHeight="1" x14ac:dyDescent="0.3">
      <c r="A3651" t="s">
        <v>179</v>
      </c>
      <c r="B3651" t="str">
        <f>"00061934"</f>
        <v>00061934</v>
      </c>
      <c r="C3651" t="s">
        <v>4258</v>
      </c>
      <c r="D3651" t="s">
        <v>3822</v>
      </c>
      <c r="E3651" t="str">
        <f>"00045566"</f>
        <v>00045566</v>
      </c>
      <c r="F3651">
        <v>0</v>
      </c>
      <c r="G3651" s="243">
        <v>39679</v>
      </c>
      <c r="H3651" t="s">
        <v>182</v>
      </c>
      <c r="I3651">
        <v>15</v>
      </c>
      <c r="J3651">
        <v>5</v>
      </c>
      <c r="K3651">
        <v>1</v>
      </c>
      <c r="L3651">
        <v>66078</v>
      </c>
      <c r="M3651" t="str">
        <f t="shared" si="525"/>
        <v>13</v>
      </c>
      <c r="N3651" t="s">
        <v>3323</v>
      </c>
      <c r="O3651" t="str">
        <f t="shared" si="527"/>
        <v>61911</v>
      </c>
      <c r="P3651" t="str">
        <f>"2100L"</f>
        <v>2100L</v>
      </c>
      <c r="Q3651" t="str">
        <f t="shared" si="526"/>
        <v>0101</v>
      </c>
      <c r="R3651">
        <v>2100</v>
      </c>
      <c r="S3651" t="str">
        <f t="shared" si="528"/>
        <v>6190</v>
      </c>
      <c r="T3651" t="s">
        <v>3820</v>
      </c>
      <c r="U3651" t="s">
        <v>2827</v>
      </c>
    </row>
    <row r="3652" spans="1:21" ht="15" customHeight="1" x14ac:dyDescent="0.3">
      <c r="A3652" t="s">
        <v>179</v>
      </c>
      <c r="B3652" t="str">
        <f>"00062038"</f>
        <v>00062038</v>
      </c>
      <c r="C3652" t="s">
        <v>4260</v>
      </c>
      <c r="D3652" t="s">
        <v>3825</v>
      </c>
      <c r="E3652" t="str">
        <f>"00066322"</f>
        <v>00066322</v>
      </c>
      <c r="F3652">
        <v>0</v>
      </c>
      <c r="G3652" s="243">
        <v>40755</v>
      </c>
      <c r="H3652" t="s">
        <v>182</v>
      </c>
      <c r="I3652">
        <v>15</v>
      </c>
      <c r="J3652">
        <v>2</v>
      </c>
      <c r="K3652">
        <v>1</v>
      </c>
      <c r="L3652">
        <v>51716</v>
      </c>
      <c r="M3652" t="str">
        <f t="shared" si="525"/>
        <v>13</v>
      </c>
      <c r="N3652" t="s">
        <v>3323</v>
      </c>
      <c r="O3652" t="str">
        <f t="shared" si="527"/>
        <v>61911</v>
      </c>
      <c r="P3652" t="str">
        <f>"3030L"</f>
        <v>3030L</v>
      </c>
      <c r="Q3652" t="str">
        <f t="shared" si="526"/>
        <v>0101</v>
      </c>
      <c r="R3652">
        <v>3030</v>
      </c>
      <c r="S3652" t="str">
        <f t="shared" si="528"/>
        <v>6190</v>
      </c>
      <c r="T3652" t="s">
        <v>3820</v>
      </c>
      <c r="U3652" t="s">
        <v>2827</v>
      </c>
    </row>
    <row r="3653" spans="1:21" ht="15" customHeight="1" x14ac:dyDescent="0.3">
      <c r="A3653" t="s">
        <v>179</v>
      </c>
      <c r="B3653" t="str">
        <f>"00062060"</f>
        <v>00062060</v>
      </c>
      <c r="C3653" t="s">
        <v>4288</v>
      </c>
      <c r="D3653" t="s">
        <v>5415</v>
      </c>
      <c r="E3653" t="str">
        <f>"00062974"</f>
        <v>00062974</v>
      </c>
      <c r="F3653">
        <v>0</v>
      </c>
      <c r="G3653" s="243">
        <v>40416</v>
      </c>
      <c r="H3653" t="s">
        <v>182</v>
      </c>
      <c r="I3653">
        <v>4</v>
      </c>
      <c r="J3653">
        <v>7</v>
      </c>
      <c r="K3653">
        <v>0.875</v>
      </c>
      <c r="L3653">
        <v>26633.25</v>
      </c>
      <c r="M3653" t="str">
        <f t="shared" si="525"/>
        <v>13</v>
      </c>
      <c r="N3653" t="s">
        <v>3323</v>
      </c>
      <c r="O3653" t="str">
        <f t="shared" si="527"/>
        <v>61911</v>
      </c>
      <c r="P3653" t="str">
        <f>"2200L"</f>
        <v>2200L</v>
      </c>
      <c r="Q3653" t="str">
        <f t="shared" si="526"/>
        <v>0101</v>
      </c>
      <c r="R3653">
        <v>2200</v>
      </c>
      <c r="S3653" t="str">
        <f t="shared" si="528"/>
        <v>6190</v>
      </c>
      <c r="T3653" t="s">
        <v>3820</v>
      </c>
      <c r="U3653" t="s">
        <v>2827</v>
      </c>
    </row>
    <row r="3654" spans="1:21" ht="15" customHeight="1" x14ac:dyDescent="0.3">
      <c r="A3654" t="s">
        <v>179</v>
      </c>
      <c r="B3654" t="str">
        <f>"00062061"</f>
        <v>00062061</v>
      </c>
      <c r="C3654" t="s">
        <v>4290</v>
      </c>
      <c r="D3654" t="s">
        <v>5416</v>
      </c>
      <c r="E3654" t="str">
        <f>"00054484"</f>
        <v>00054484</v>
      </c>
      <c r="F3654">
        <v>0</v>
      </c>
      <c r="G3654" s="243">
        <v>39679</v>
      </c>
      <c r="H3654" t="s">
        <v>182</v>
      </c>
      <c r="I3654">
        <v>4</v>
      </c>
      <c r="J3654">
        <v>6</v>
      </c>
      <c r="K3654">
        <v>0.875</v>
      </c>
      <c r="L3654">
        <v>25935.88</v>
      </c>
      <c r="M3654" t="str">
        <f t="shared" si="525"/>
        <v>13</v>
      </c>
      <c r="N3654" t="s">
        <v>3323</v>
      </c>
      <c r="O3654" t="str">
        <f t="shared" si="527"/>
        <v>61911</v>
      </c>
      <c r="P3654" t="str">
        <f>"2200L"</f>
        <v>2200L</v>
      </c>
      <c r="Q3654" t="str">
        <f t="shared" si="526"/>
        <v>0101</v>
      </c>
      <c r="R3654">
        <v>2200</v>
      </c>
      <c r="S3654" t="str">
        <f t="shared" si="528"/>
        <v>6190</v>
      </c>
      <c r="T3654" t="s">
        <v>3820</v>
      </c>
      <c r="U3654" t="s">
        <v>2827</v>
      </c>
    </row>
    <row r="3655" spans="1:21" ht="15" customHeight="1" x14ac:dyDescent="0.3">
      <c r="A3655" t="s">
        <v>179</v>
      </c>
      <c r="B3655" t="str">
        <f>"00067256"</f>
        <v>00067256</v>
      </c>
      <c r="C3655" t="s">
        <v>4290</v>
      </c>
      <c r="D3655" t="s">
        <v>5417</v>
      </c>
      <c r="E3655" t="str">
        <f>"00057457"</f>
        <v>00057457</v>
      </c>
      <c r="F3655">
        <v>0</v>
      </c>
      <c r="G3655" s="243">
        <v>40042</v>
      </c>
      <c r="H3655" t="s">
        <v>182</v>
      </c>
      <c r="I3655">
        <v>4</v>
      </c>
      <c r="J3655">
        <v>4</v>
      </c>
      <c r="K3655">
        <v>1</v>
      </c>
      <c r="L3655">
        <v>24543.75</v>
      </c>
      <c r="M3655" t="str">
        <f t="shared" si="525"/>
        <v>13</v>
      </c>
      <c r="N3655" t="s">
        <v>3323</v>
      </c>
      <c r="O3655" t="str">
        <f t="shared" si="527"/>
        <v>61911</v>
      </c>
      <c r="P3655" t="str">
        <f>"3030L"</f>
        <v>3030L</v>
      </c>
      <c r="Q3655" t="str">
        <f t="shared" si="526"/>
        <v>0101</v>
      </c>
      <c r="R3655">
        <v>3030</v>
      </c>
      <c r="S3655" t="str">
        <f t="shared" si="528"/>
        <v>6190</v>
      </c>
      <c r="T3655" t="s">
        <v>3820</v>
      </c>
      <c r="U3655" t="s">
        <v>2827</v>
      </c>
    </row>
    <row r="3656" spans="1:21" ht="15" customHeight="1" x14ac:dyDescent="0.3">
      <c r="A3656" t="s">
        <v>179</v>
      </c>
      <c r="B3656" t="str">
        <f>"00067462"</f>
        <v>00067462</v>
      </c>
      <c r="C3656" t="s">
        <v>4260</v>
      </c>
      <c r="D3656" t="s">
        <v>3823</v>
      </c>
      <c r="E3656" t="str">
        <f>"00065812"</f>
        <v>00065812</v>
      </c>
      <c r="F3656">
        <v>0</v>
      </c>
      <c r="G3656" s="243">
        <v>40755</v>
      </c>
      <c r="H3656" t="s">
        <v>182</v>
      </c>
      <c r="I3656">
        <v>15</v>
      </c>
      <c r="J3656">
        <v>3</v>
      </c>
      <c r="K3656">
        <v>1</v>
      </c>
      <c r="L3656">
        <v>58699</v>
      </c>
      <c r="M3656" t="str">
        <f t="shared" si="525"/>
        <v>13</v>
      </c>
      <c r="N3656" t="s">
        <v>3323</v>
      </c>
      <c r="O3656" t="str">
        <f t="shared" si="527"/>
        <v>61911</v>
      </c>
      <c r="P3656" t="str">
        <f>"3030L"</f>
        <v>3030L</v>
      </c>
      <c r="Q3656" t="str">
        <f t="shared" si="526"/>
        <v>0101</v>
      </c>
      <c r="R3656">
        <v>3030</v>
      </c>
      <c r="S3656" t="str">
        <f t="shared" si="528"/>
        <v>6190</v>
      </c>
      <c r="T3656" t="s">
        <v>3820</v>
      </c>
      <c r="U3656" t="s">
        <v>2827</v>
      </c>
    </row>
    <row r="3657" spans="1:21" ht="15" customHeight="1" x14ac:dyDescent="0.3">
      <c r="A3657" t="s">
        <v>179</v>
      </c>
      <c r="B3657" t="str">
        <f>"00067644"</f>
        <v>00067644</v>
      </c>
      <c r="C3657" t="s">
        <v>4262</v>
      </c>
      <c r="D3657" t="s">
        <v>2845</v>
      </c>
      <c r="E3657" t="str">
        <f>"00047192"</f>
        <v>00047192</v>
      </c>
      <c r="F3657">
        <v>0</v>
      </c>
      <c r="G3657" s="243">
        <v>38587</v>
      </c>
      <c r="H3657" t="s">
        <v>182</v>
      </c>
      <c r="I3657">
        <v>15</v>
      </c>
      <c r="J3657">
        <v>7</v>
      </c>
      <c r="K3657">
        <v>1</v>
      </c>
      <c r="L3657">
        <v>69132</v>
      </c>
      <c r="M3657" t="str">
        <f t="shared" si="525"/>
        <v>13</v>
      </c>
      <c r="N3657" t="s">
        <v>3323</v>
      </c>
      <c r="O3657" t="str">
        <f t="shared" si="527"/>
        <v>61911</v>
      </c>
      <c r="P3657" t="str">
        <f>"2100L"</f>
        <v>2100L</v>
      </c>
      <c r="Q3657" t="str">
        <f t="shared" si="526"/>
        <v>0101</v>
      </c>
      <c r="R3657">
        <v>2100</v>
      </c>
      <c r="S3657" t="str">
        <f t="shared" si="528"/>
        <v>6190</v>
      </c>
      <c r="T3657" t="s">
        <v>3820</v>
      </c>
      <c r="U3657" t="s">
        <v>2827</v>
      </c>
    </row>
    <row r="3658" spans="1:21" ht="15" customHeight="1" x14ac:dyDescent="0.3">
      <c r="A3658" t="s">
        <v>179</v>
      </c>
      <c r="B3658" t="str">
        <f>"00072129"</f>
        <v>00072129</v>
      </c>
      <c r="C3658" t="s">
        <v>4288</v>
      </c>
      <c r="D3658" t="s">
        <v>5418</v>
      </c>
      <c r="E3658" t="str">
        <f>"00046596"</f>
        <v>00046596</v>
      </c>
      <c r="F3658">
        <v>0</v>
      </c>
      <c r="G3658" s="243">
        <v>31518</v>
      </c>
      <c r="H3658" t="s">
        <v>182</v>
      </c>
      <c r="I3658">
        <v>4</v>
      </c>
      <c r="J3658">
        <v>10</v>
      </c>
      <c r="K3658">
        <v>1</v>
      </c>
      <c r="L3658">
        <v>28721</v>
      </c>
      <c r="M3658" t="str">
        <f t="shared" si="525"/>
        <v>13</v>
      </c>
      <c r="N3658" t="s">
        <v>3323</v>
      </c>
      <c r="O3658" t="str">
        <f t="shared" si="527"/>
        <v>61911</v>
      </c>
      <c r="P3658" t="str">
        <f>"2200L"</f>
        <v>2200L</v>
      </c>
      <c r="Q3658" t="str">
        <f t="shared" si="526"/>
        <v>0101</v>
      </c>
      <c r="R3658">
        <v>2200</v>
      </c>
      <c r="S3658" t="str">
        <f t="shared" si="528"/>
        <v>6190</v>
      </c>
      <c r="T3658" t="s">
        <v>3820</v>
      </c>
      <c r="U3658" t="s">
        <v>2827</v>
      </c>
    </row>
    <row r="3659" spans="1:21" ht="15" customHeight="1" x14ac:dyDescent="0.3">
      <c r="A3659" t="s">
        <v>179</v>
      </c>
      <c r="B3659" t="str">
        <f>"00072247"</f>
        <v>00072247</v>
      </c>
      <c r="C3659" t="s">
        <v>4272</v>
      </c>
      <c r="D3659" t="s">
        <v>2849</v>
      </c>
      <c r="E3659" t="str">
        <f>"00062525"</f>
        <v>00062525</v>
      </c>
      <c r="F3659">
        <v>0</v>
      </c>
      <c r="G3659" s="243">
        <v>40406</v>
      </c>
      <c r="H3659" t="s">
        <v>182</v>
      </c>
      <c r="I3659">
        <v>15</v>
      </c>
      <c r="J3659">
        <v>3</v>
      </c>
      <c r="K3659">
        <v>1</v>
      </c>
      <c r="L3659">
        <v>52777</v>
      </c>
      <c r="M3659" t="str">
        <f t="shared" si="525"/>
        <v>13</v>
      </c>
      <c r="N3659" t="s">
        <v>3323</v>
      </c>
      <c r="O3659" t="str">
        <f t="shared" si="527"/>
        <v>61911</v>
      </c>
      <c r="P3659" t="str">
        <f>"2100L"</f>
        <v>2100L</v>
      </c>
      <c r="Q3659" t="str">
        <f t="shared" si="526"/>
        <v>0101</v>
      </c>
      <c r="R3659">
        <v>2100</v>
      </c>
      <c r="S3659" t="str">
        <f t="shared" si="528"/>
        <v>6190</v>
      </c>
      <c r="T3659" t="s">
        <v>3820</v>
      </c>
      <c r="U3659" t="s">
        <v>2827</v>
      </c>
    </row>
    <row r="3660" spans="1:21" ht="15" customHeight="1" x14ac:dyDescent="0.3">
      <c r="A3660" t="s">
        <v>179</v>
      </c>
      <c r="B3660" t="str">
        <f>"00072366"</f>
        <v>00072366</v>
      </c>
      <c r="C3660" t="s">
        <v>4262</v>
      </c>
      <c r="D3660" t="s">
        <v>2688</v>
      </c>
      <c r="E3660" t="str">
        <f>"00049537"</f>
        <v>00049537</v>
      </c>
      <c r="F3660">
        <v>0</v>
      </c>
      <c r="G3660" s="243">
        <v>38587</v>
      </c>
      <c r="H3660" t="s">
        <v>182</v>
      </c>
      <c r="I3660">
        <v>15</v>
      </c>
      <c r="J3660">
        <v>13</v>
      </c>
      <c r="K3660">
        <v>1</v>
      </c>
      <c r="L3660">
        <v>101066</v>
      </c>
      <c r="M3660" t="str">
        <f t="shared" si="525"/>
        <v>13</v>
      </c>
      <c r="N3660" t="s">
        <v>3370</v>
      </c>
      <c r="O3660" t="str">
        <f t="shared" si="527"/>
        <v>61911</v>
      </c>
      <c r="P3660" t="str">
        <f>"2100L"</f>
        <v>2100L</v>
      </c>
      <c r="Q3660" t="str">
        <f t="shared" si="526"/>
        <v>0101</v>
      </c>
      <c r="R3660">
        <v>2100</v>
      </c>
      <c r="S3660" t="str">
        <f t="shared" si="528"/>
        <v>6190</v>
      </c>
      <c r="T3660" t="s">
        <v>3820</v>
      </c>
      <c r="U3660" t="s">
        <v>2827</v>
      </c>
    </row>
    <row r="3661" spans="1:21" ht="15" customHeight="1" x14ac:dyDescent="0.3">
      <c r="A3661" t="s">
        <v>179</v>
      </c>
      <c r="B3661" t="str">
        <f>"00072508"</f>
        <v>00072508</v>
      </c>
      <c r="C3661" t="s">
        <v>4274</v>
      </c>
      <c r="D3661" t="s">
        <v>5419</v>
      </c>
      <c r="E3661" t="str">
        <f>"00062679"</f>
        <v>00062679</v>
      </c>
      <c r="F3661">
        <v>0</v>
      </c>
      <c r="G3661" s="243">
        <v>40406</v>
      </c>
      <c r="H3661" t="s">
        <v>182</v>
      </c>
      <c r="I3661">
        <v>4</v>
      </c>
      <c r="J3661">
        <v>5</v>
      </c>
      <c r="K3661">
        <v>0.71</v>
      </c>
      <c r="L3661">
        <v>25239.37</v>
      </c>
      <c r="M3661" t="str">
        <f t="shared" si="525"/>
        <v>13</v>
      </c>
      <c r="N3661" t="s">
        <v>3323</v>
      </c>
      <c r="O3661" t="str">
        <f t="shared" si="527"/>
        <v>61911</v>
      </c>
      <c r="P3661" t="str">
        <f>"2200L"</f>
        <v>2200L</v>
      </c>
      <c r="Q3661" t="str">
        <f t="shared" si="526"/>
        <v>0101</v>
      </c>
      <c r="R3661">
        <v>2200</v>
      </c>
      <c r="S3661" t="str">
        <f t="shared" si="528"/>
        <v>6190</v>
      </c>
      <c r="T3661" t="s">
        <v>3820</v>
      </c>
      <c r="U3661" t="s">
        <v>2827</v>
      </c>
    </row>
    <row r="3662" spans="1:21" ht="15" customHeight="1" x14ac:dyDescent="0.3">
      <c r="A3662" t="s">
        <v>179</v>
      </c>
      <c r="B3662" t="str">
        <f>"00072642"</f>
        <v>00072642</v>
      </c>
      <c r="C3662" t="s">
        <v>4292</v>
      </c>
      <c r="D3662" t="s">
        <v>5420</v>
      </c>
      <c r="E3662" t="str">
        <f>"00051807"</f>
        <v>00051807</v>
      </c>
      <c r="F3662">
        <v>0</v>
      </c>
      <c r="G3662" s="243">
        <v>37633</v>
      </c>
      <c r="H3662" t="s">
        <v>182</v>
      </c>
      <c r="I3662">
        <v>4</v>
      </c>
      <c r="J3662">
        <v>7</v>
      </c>
      <c r="K3662">
        <v>0.71</v>
      </c>
      <c r="L3662">
        <v>26633.25</v>
      </c>
      <c r="M3662" t="str">
        <f t="shared" si="525"/>
        <v>13</v>
      </c>
      <c r="N3662" t="s">
        <v>3323</v>
      </c>
      <c r="O3662" t="str">
        <f t="shared" si="527"/>
        <v>61911</v>
      </c>
      <c r="P3662" t="str">
        <f>"2200L"</f>
        <v>2200L</v>
      </c>
      <c r="Q3662" t="str">
        <f t="shared" si="526"/>
        <v>0101</v>
      </c>
      <c r="R3662">
        <v>2200</v>
      </c>
      <c r="S3662" t="str">
        <f t="shared" si="528"/>
        <v>6190</v>
      </c>
      <c r="T3662" t="s">
        <v>3820</v>
      </c>
      <c r="U3662" t="s">
        <v>2827</v>
      </c>
    </row>
    <row r="3663" spans="1:21" ht="15" customHeight="1" x14ac:dyDescent="0.3">
      <c r="A3663" t="s">
        <v>179</v>
      </c>
      <c r="B3663" t="str">
        <f>"00072834"</f>
        <v>00072834</v>
      </c>
      <c r="C3663" t="s">
        <v>4272</v>
      </c>
      <c r="D3663" t="s">
        <v>2850</v>
      </c>
      <c r="E3663" t="str">
        <f>"00053635"</f>
        <v>00053635</v>
      </c>
      <c r="F3663">
        <v>0</v>
      </c>
      <c r="G3663" s="243">
        <v>34967</v>
      </c>
      <c r="H3663" t="s">
        <v>182</v>
      </c>
      <c r="I3663">
        <v>15</v>
      </c>
      <c r="J3663">
        <v>14</v>
      </c>
      <c r="K3663">
        <v>1</v>
      </c>
      <c r="L3663">
        <v>96460</v>
      </c>
      <c r="M3663" t="str">
        <f t="shared" si="525"/>
        <v>13</v>
      </c>
      <c r="N3663" t="s">
        <v>3323</v>
      </c>
      <c r="O3663" t="str">
        <f t="shared" si="527"/>
        <v>61911</v>
      </c>
      <c r="P3663" t="str">
        <f>"2100L"</f>
        <v>2100L</v>
      </c>
      <c r="Q3663" t="str">
        <f t="shared" si="526"/>
        <v>0101</v>
      </c>
      <c r="R3663">
        <v>2100</v>
      </c>
      <c r="S3663" t="str">
        <f t="shared" si="528"/>
        <v>6190</v>
      </c>
      <c r="T3663" t="s">
        <v>3820</v>
      </c>
      <c r="U3663" t="s">
        <v>2827</v>
      </c>
    </row>
    <row r="3664" spans="1:21" ht="15" customHeight="1" x14ac:dyDescent="0.3">
      <c r="A3664" t="s">
        <v>179</v>
      </c>
      <c r="B3664" t="str">
        <f>"00073048"</f>
        <v>00073048</v>
      </c>
      <c r="C3664" t="s">
        <v>4272</v>
      </c>
      <c r="D3664" t="s">
        <v>2851</v>
      </c>
      <c r="E3664" t="str">
        <f>"00063019"</f>
        <v>00063019</v>
      </c>
      <c r="F3664">
        <v>0</v>
      </c>
      <c r="G3664" s="243">
        <v>40406</v>
      </c>
      <c r="H3664" t="s">
        <v>182</v>
      </c>
      <c r="I3664">
        <v>15</v>
      </c>
      <c r="J3664">
        <v>3</v>
      </c>
      <c r="K3664">
        <v>1</v>
      </c>
      <c r="L3664">
        <v>55210</v>
      </c>
      <c r="M3664" t="str">
        <f t="shared" si="525"/>
        <v>13</v>
      </c>
      <c r="N3664" t="s">
        <v>3323</v>
      </c>
      <c r="O3664" t="str">
        <f t="shared" si="527"/>
        <v>61911</v>
      </c>
      <c r="P3664" t="str">
        <f>"2200L"</f>
        <v>2200L</v>
      </c>
      <c r="Q3664" t="str">
        <f t="shared" si="526"/>
        <v>0101</v>
      </c>
      <c r="R3664">
        <v>2200</v>
      </c>
      <c r="S3664" t="str">
        <f t="shared" si="528"/>
        <v>6190</v>
      </c>
      <c r="T3664" t="s">
        <v>3820</v>
      </c>
      <c r="U3664" t="s">
        <v>2827</v>
      </c>
    </row>
    <row r="3665" spans="1:21" ht="15" customHeight="1" x14ac:dyDescent="0.3">
      <c r="A3665" t="s">
        <v>179</v>
      </c>
      <c r="B3665" t="str">
        <f>"00073057"</f>
        <v>00073057</v>
      </c>
      <c r="C3665" t="s">
        <v>4290</v>
      </c>
      <c r="D3665" t="s">
        <v>5421</v>
      </c>
      <c r="E3665" t="str">
        <f>"00045620"</f>
        <v>00045620</v>
      </c>
      <c r="F3665">
        <v>0</v>
      </c>
      <c r="G3665" s="243">
        <v>39855</v>
      </c>
      <c r="H3665" t="s">
        <v>182</v>
      </c>
      <c r="I3665">
        <v>4</v>
      </c>
      <c r="J3665">
        <v>7</v>
      </c>
      <c r="K3665">
        <v>1</v>
      </c>
      <c r="L3665">
        <v>26633.25</v>
      </c>
      <c r="M3665" t="str">
        <f t="shared" si="525"/>
        <v>13</v>
      </c>
      <c r="N3665" t="s">
        <v>3323</v>
      </c>
      <c r="O3665" t="str">
        <f t="shared" si="527"/>
        <v>61911</v>
      </c>
      <c r="P3665" t="str">
        <f>"2200L"</f>
        <v>2200L</v>
      </c>
      <c r="Q3665" t="str">
        <f t="shared" si="526"/>
        <v>0101</v>
      </c>
      <c r="R3665">
        <v>2200</v>
      </c>
      <c r="S3665" t="str">
        <f t="shared" si="528"/>
        <v>6190</v>
      </c>
      <c r="T3665" t="s">
        <v>3820</v>
      </c>
      <c r="U3665" t="s">
        <v>2827</v>
      </c>
    </row>
    <row r="3666" spans="1:21" ht="15" customHeight="1" x14ac:dyDescent="0.3">
      <c r="A3666" t="s">
        <v>179</v>
      </c>
      <c r="B3666" t="str">
        <f>"00073989"</f>
        <v>00073989</v>
      </c>
      <c r="C3666" t="s">
        <v>4410</v>
      </c>
      <c r="H3666" t="s">
        <v>170</v>
      </c>
      <c r="I3666">
        <v>5</v>
      </c>
      <c r="J3666">
        <v>1</v>
      </c>
      <c r="K3666">
        <v>1</v>
      </c>
      <c r="L3666">
        <v>29381</v>
      </c>
      <c r="M3666" t="str">
        <f t="shared" si="525"/>
        <v>13</v>
      </c>
      <c r="N3666" t="s">
        <v>3370</v>
      </c>
      <c r="O3666" t="str">
        <f t="shared" si="527"/>
        <v>61911</v>
      </c>
      <c r="P3666" t="str">
        <f>"2100L"</f>
        <v>2100L</v>
      </c>
      <c r="Q3666" t="str">
        <f t="shared" si="526"/>
        <v>0101</v>
      </c>
      <c r="R3666">
        <v>2100</v>
      </c>
      <c r="S3666" t="str">
        <f t="shared" si="528"/>
        <v>6190</v>
      </c>
      <c r="T3666" t="s">
        <v>3820</v>
      </c>
      <c r="U3666" t="s">
        <v>2827</v>
      </c>
    </row>
    <row r="3667" spans="1:21" ht="15" customHeight="1" x14ac:dyDescent="0.3">
      <c r="A3667" t="s">
        <v>179</v>
      </c>
      <c r="B3667" t="str">
        <f>"00074038"</f>
        <v>00074038</v>
      </c>
      <c r="C3667" t="s">
        <v>200</v>
      </c>
      <c r="D3667" t="s">
        <v>3821</v>
      </c>
      <c r="E3667" t="str">
        <f>"00054354"</f>
        <v>00054354</v>
      </c>
      <c r="F3667">
        <v>0</v>
      </c>
      <c r="G3667" s="243">
        <v>32050</v>
      </c>
      <c r="H3667" t="s">
        <v>182</v>
      </c>
      <c r="I3667">
        <v>15</v>
      </c>
      <c r="J3667">
        <v>16</v>
      </c>
      <c r="K3667">
        <v>1</v>
      </c>
      <c r="L3667">
        <v>103347</v>
      </c>
      <c r="M3667" t="str">
        <f t="shared" si="525"/>
        <v>13</v>
      </c>
      <c r="N3667" t="s">
        <v>3323</v>
      </c>
      <c r="O3667" t="str">
        <f t="shared" si="527"/>
        <v>61911</v>
      </c>
      <c r="P3667" t="str">
        <f>"2100L"</f>
        <v>2100L</v>
      </c>
      <c r="Q3667" t="str">
        <f t="shared" si="526"/>
        <v>0101</v>
      </c>
      <c r="R3667">
        <v>2100</v>
      </c>
      <c r="S3667" t="str">
        <f t="shared" si="528"/>
        <v>6190</v>
      </c>
      <c r="T3667" t="s">
        <v>3820</v>
      </c>
      <c r="U3667" t="s">
        <v>2827</v>
      </c>
    </row>
    <row r="3668" spans="1:21" ht="15" customHeight="1" x14ac:dyDescent="0.3">
      <c r="A3668" t="s">
        <v>179</v>
      </c>
      <c r="B3668" t="str">
        <f>"00074656"</f>
        <v>00074656</v>
      </c>
      <c r="C3668" t="s">
        <v>4262</v>
      </c>
      <c r="D3668" t="s">
        <v>1579</v>
      </c>
      <c r="E3668" t="str">
        <f>"00060538"</f>
        <v>00060538</v>
      </c>
      <c r="F3668">
        <v>0</v>
      </c>
      <c r="G3668" s="243">
        <v>40238</v>
      </c>
      <c r="H3668" t="s">
        <v>182</v>
      </c>
      <c r="I3668">
        <v>15</v>
      </c>
      <c r="J3668">
        <v>10</v>
      </c>
      <c r="K3668">
        <v>1</v>
      </c>
      <c r="L3668">
        <v>80729</v>
      </c>
      <c r="M3668" t="str">
        <f t="shared" si="525"/>
        <v>13</v>
      </c>
      <c r="N3668" t="s">
        <v>3323</v>
      </c>
      <c r="O3668" t="str">
        <f t="shared" si="527"/>
        <v>61911</v>
      </c>
      <c r="P3668" t="str">
        <f>"2100L"</f>
        <v>2100L</v>
      </c>
      <c r="Q3668" t="str">
        <f t="shared" si="526"/>
        <v>0101</v>
      </c>
      <c r="R3668">
        <v>2100</v>
      </c>
      <c r="S3668" t="str">
        <f t="shared" si="528"/>
        <v>6190</v>
      </c>
      <c r="T3668" t="s">
        <v>3820</v>
      </c>
      <c r="U3668" t="s">
        <v>2827</v>
      </c>
    </row>
    <row r="3669" spans="1:21" ht="15" customHeight="1" x14ac:dyDescent="0.3">
      <c r="A3669" t="s">
        <v>179</v>
      </c>
      <c r="B3669" t="str">
        <f>"00076092"</f>
        <v>00076092</v>
      </c>
      <c r="C3669" t="s">
        <v>4395</v>
      </c>
      <c r="H3669" t="s">
        <v>170</v>
      </c>
      <c r="I3669">
        <v>10</v>
      </c>
      <c r="J3669">
        <v>0</v>
      </c>
      <c r="K3669">
        <v>1</v>
      </c>
      <c r="L3669">
        <v>62794</v>
      </c>
      <c r="M3669" t="str">
        <f t="shared" si="525"/>
        <v>13</v>
      </c>
      <c r="N3669" t="s">
        <v>3323</v>
      </c>
      <c r="O3669" t="str">
        <f t="shared" si="527"/>
        <v>61911</v>
      </c>
      <c r="P3669" t="str">
        <f>"2100L"</f>
        <v>2100L</v>
      </c>
      <c r="Q3669" t="str">
        <f t="shared" si="526"/>
        <v>0101</v>
      </c>
      <c r="R3669">
        <v>2100</v>
      </c>
      <c r="S3669" t="str">
        <f t="shared" si="528"/>
        <v>6190</v>
      </c>
      <c r="T3669" t="s">
        <v>3820</v>
      </c>
      <c r="U3669" t="s">
        <v>2827</v>
      </c>
    </row>
    <row r="3670" spans="1:21" ht="15" customHeight="1" x14ac:dyDescent="0.3">
      <c r="A3670" t="s">
        <v>179</v>
      </c>
      <c r="B3670" t="str">
        <f>"00076093"</f>
        <v>00076093</v>
      </c>
      <c r="C3670" t="s">
        <v>4271</v>
      </c>
      <c r="H3670" t="s">
        <v>170</v>
      </c>
      <c r="I3670">
        <v>15</v>
      </c>
      <c r="J3670">
        <v>0</v>
      </c>
      <c r="K3670">
        <v>0.5</v>
      </c>
      <c r="L3670">
        <v>60128</v>
      </c>
      <c r="M3670" t="str">
        <f t="shared" si="525"/>
        <v>13</v>
      </c>
      <c r="N3670" t="s">
        <v>3323</v>
      </c>
      <c r="O3670" t="str">
        <f t="shared" si="527"/>
        <v>61911</v>
      </c>
      <c r="P3670" t="str">
        <f>"2100L"</f>
        <v>2100L</v>
      </c>
      <c r="Q3670" t="str">
        <f t="shared" si="526"/>
        <v>0101</v>
      </c>
      <c r="R3670">
        <v>2100</v>
      </c>
      <c r="S3670" t="str">
        <f t="shared" si="528"/>
        <v>6190</v>
      </c>
      <c r="T3670" t="s">
        <v>3820</v>
      </c>
      <c r="U3670" t="s">
        <v>2827</v>
      </c>
    </row>
    <row r="3671" spans="1:21" ht="15" customHeight="1" x14ac:dyDescent="0.3">
      <c r="A3671" t="s">
        <v>179</v>
      </c>
      <c r="B3671" t="str">
        <f>"00076518"</f>
        <v>00076518</v>
      </c>
      <c r="C3671" t="s">
        <v>4274</v>
      </c>
      <c r="D3671" t="s">
        <v>5422</v>
      </c>
      <c r="E3671" t="str">
        <f>"00066487"</f>
        <v>00066487</v>
      </c>
      <c r="F3671">
        <v>0</v>
      </c>
      <c r="G3671" s="243">
        <v>40770</v>
      </c>
      <c r="H3671" t="s">
        <v>182</v>
      </c>
      <c r="I3671">
        <v>4</v>
      </c>
      <c r="J3671">
        <v>4</v>
      </c>
      <c r="K3671">
        <v>0.71</v>
      </c>
      <c r="L3671">
        <v>24543.75</v>
      </c>
      <c r="M3671" t="str">
        <f t="shared" si="525"/>
        <v>13</v>
      </c>
      <c r="N3671" t="s">
        <v>3370</v>
      </c>
      <c r="O3671" t="str">
        <f t="shared" si="527"/>
        <v>61911</v>
      </c>
      <c r="P3671" t="str">
        <f>"3030L"</f>
        <v>3030L</v>
      </c>
      <c r="Q3671" t="str">
        <f t="shared" si="526"/>
        <v>0101</v>
      </c>
      <c r="R3671">
        <v>3030</v>
      </c>
      <c r="S3671" t="str">
        <f t="shared" si="528"/>
        <v>6190</v>
      </c>
      <c r="T3671" t="s">
        <v>3820</v>
      </c>
      <c r="U3671" t="s">
        <v>2827</v>
      </c>
    </row>
    <row r="3672" spans="1:21" ht="15" customHeight="1" x14ac:dyDescent="0.3">
      <c r="A3672" t="s">
        <v>179</v>
      </c>
      <c r="B3672" t="str">
        <f>"00076519"</f>
        <v>00076519</v>
      </c>
      <c r="C3672" t="s">
        <v>4274</v>
      </c>
      <c r="D3672" t="s">
        <v>5423</v>
      </c>
      <c r="E3672" t="str">
        <f>"00035027"</f>
        <v>00035027</v>
      </c>
      <c r="F3672">
        <v>0</v>
      </c>
      <c r="G3672" s="243">
        <v>40777</v>
      </c>
      <c r="H3672" t="s">
        <v>182</v>
      </c>
      <c r="J3672">
        <v>0</v>
      </c>
      <c r="K3672">
        <v>0.71</v>
      </c>
      <c r="L3672">
        <v>27329.75</v>
      </c>
      <c r="M3672" t="str">
        <f t="shared" si="525"/>
        <v>13</v>
      </c>
      <c r="N3672" t="s">
        <v>3323</v>
      </c>
      <c r="O3672" t="str">
        <f t="shared" si="527"/>
        <v>61911</v>
      </c>
      <c r="P3672" t="str">
        <f>"3030L"</f>
        <v>3030L</v>
      </c>
      <c r="Q3672" t="str">
        <f t="shared" si="526"/>
        <v>0101</v>
      </c>
      <c r="R3672">
        <v>3030</v>
      </c>
      <c r="S3672" t="str">
        <f t="shared" si="528"/>
        <v>6190</v>
      </c>
      <c r="T3672" t="s">
        <v>3820</v>
      </c>
      <c r="U3672" t="s">
        <v>2827</v>
      </c>
    </row>
    <row r="3673" spans="1:21" ht="15" customHeight="1" x14ac:dyDescent="0.3">
      <c r="A3673" t="s">
        <v>179</v>
      </c>
      <c r="B3673" t="str">
        <f>"00076776"</f>
        <v>00076776</v>
      </c>
      <c r="C3673" t="s">
        <v>4262</v>
      </c>
      <c r="H3673" t="s">
        <v>170</v>
      </c>
      <c r="I3673">
        <v>15</v>
      </c>
      <c r="J3673">
        <v>0</v>
      </c>
      <c r="K3673">
        <v>1</v>
      </c>
      <c r="L3673">
        <v>51539</v>
      </c>
      <c r="M3673" t="str">
        <f t="shared" si="525"/>
        <v>13</v>
      </c>
      <c r="N3673" t="s">
        <v>3370</v>
      </c>
      <c r="O3673" t="str">
        <f t="shared" si="527"/>
        <v>61911</v>
      </c>
      <c r="P3673" t="str">
        <f>"2100L"</f>
        <v>2100L</v>
      </c>
      <c r="Q3673" t="str">
        <f t="shared" si="526"/>
        <v>0101</v>
      </c>
      <c r="R3673">
        <v>2100</v>
      </c>
      <c r="S3673" t="str">
        <f t="shared" si="528"/>
        <v>6190</v>
      </c>
      <c r="T3673" t="s">
        <v>3820</v>
      </c>
      <c r="U3673" t="s">
        <v>2827</v>
      </c>
    </row>
    <row r="3674" spans="1:21" ht="15" customHeight="1" x14ac:dyDescent="0.3">
      <c r="A3674" t="s">
        <v>179</v>
      </c>
      <c r="B3674" t="str">
        <f>"00076804"</f>
        <v>00076804</v>
      </c>
      <c r="C3674" t="s">
        <v>4262</v>
      </c>
      <c r="D3674" t="s">
        <v>5424</v>
      </c>
      <c r="E3674" t="str">
        <f>"00070099"</f>
        <v>00070099</v>
      </c>
      <c r="F3674">
        <v>0</v>
      </c>
      <c r="G3674" s="243">
        <v>41133</v>
      </c>
      <c r="H3674" t="s">
        <v>182</v>
      </c>
      <c r="I3674">
        <v>15</v>
      </c>
      <c r="J3674">
        <v>1</v>
      </c>
      <c r="K3674">
        <v>1</v>
      </c>
      <c r="L3674">
        <v>51539</v>
      </c>
      <c r="M3674" t="str">
        <f t="shared" si="525"/>
        <v>13</v>
      </c>
      <c r="N3674" t="s">
        <v>3370</v>
      </c>
      <c r="O3674" t="str">
        <f t="shared" si="527"/>
        <v>61911</v>
      </c>
      <c r="P3674" t="str">
        <f>"2100L"</f>
        <v>2100L</v>
      </c>
      <c r="Q3674" t="str">
        <f t="shared" si="526"/>
        <v>0101</v>
      </c>
      <c r="R3674">
        <v>2100</v>
      </c>
      <c r="S3674" t="str">
        <f t="shared" si="528"/>
        <v>6190</v>
      </c>
      <c r="T3674" t="s">
        <v>3820</v>
      </c>
      <c r="U3674" t="s">
        <v>2827</v>
      </c>
    </row>
    <row r="3675" spans="1:21" ht="15" customHeight="1" x14ac:dyDescent="0.3">
      <c r="A3675" t="s">
        <v>179</v>
      </c>
      <c r="B3675" t="str">
        <f>"00051690"</f>
        <v>00051690</v>
      </c>
      <c r="C3675" t="s">
        <v>4254</v>
      </c>
      <c r="D3675" t="s">
        <v>2940</v>
      </c>
      <c r="E3675" t="str">
        <f>"00045507"</f>
        <v>00045507</v>
      </c>
      <c r="F3675">
        <v>0</v>
      </c>
      <c r="G3675" s="243">
        <v>32387</v>
      </c>
      <c r="H3675" t="s">
        <v>182</v>
      </c>
      <c r="I3675">
        <v>15</v>
      </c>
      <c r="J3675">
        <v>16</v>
      </c>
      <c r="K3675">
        <v>1</v>
      </c>
      <c r="L3675">
        <v>100839</v>
      </c>
      <c r="M3675" t="str">
        <f t="shared" si="525"/>
        <v>13</v>
      </c>
      <c r="N3675" t="s">
        <v>3323</v>
      </c>
      <c r="O3675" t="str">
        <f t="shared" ref="O3675:O3716" si="529">"62011"</f>
        <v>62011</v>
      </c>
      <c r="P3675" t="str">
        <f>"2100L"</f>
        <v>2100L</v>
      </c>
      <c r="Q3675" t="str">
        <f t="shared" si="526"/>
        <v>0101</v>
      </c>
      <c r="R3675">
        <v>2100</v>
      </c>
      <c r="S3675" t="str">
        <f t="shared" ref="S3675:S3716" si="530">"6200"</f>
        <v>6200</v>
      </c>
      <c r="T3675" t="s">
        <v>3830</v>
      </c>
      <c r="U3675" t="s">
        <v>2941</v>
      </c>
    </row>
    <row r="3676" spans="1:21" ht="15" customHeight="1" x14ac:dyDescent="0.3">
      <c r="A3676" t="s">
        <v>179</v>
      </c>
      <c r="B3676" t="str">
        <f>"00051979"</f>
        <v>00051979</v>
      </c>
      <c r="C3676" t="s">
        <v>4262</v>
      </c>
      <c r="D3676" t="s">
        <v>2942</v>
      </c>
      <c r="E3676" t="str">
        <f>"00046785"</f>
        <v>00046785</v>
      </c>
      <c r="F3676">
        <v>0</v>
      </c>
      <c r="G3676" s="243">
        <v>35305</v>
      </c>
      <c r="H3676" t="s">
        <v>182</v>
      </c>
      <c r="I3676">
        <v>15</v>
      </c>
      <c r="J3676">
        <v>15</v>
      </c>
      <c r="K3676">
        <v>1</v>
      </c>
      <c r="L3676">
        <v>103985</v>
      </c>
      <c r="M3676" t="str">
        <f t="shared" si="525"/>
        <v>13</v>
      </c>
      <c r="N3676" t="s">
        <v>3323</v>
      </c>
      <c r="O3676" t="str">
        <f t="shared" si="529"/>
        <v>62011</v>
      </c>
      <c r="P3676" t="str">
        <f t="shared" ref="P3676:P3684" si="531">"2100L"</f>
        <v>2100L</v>
      </c>
      <c r="Q3676" t="str">
        <f t="shared" si="526"/>
        <v>0101</v>
      </c>
      <c r="R3676">
        <v>2100</v>
      </c>
      <c r="S3676" t="str">
        <f t="shared" si="530"/>
        <v>6200</v>
      </c>
      <c r="T3676" t="s">
        <v>3830</v>
      </c>
      <c r="U3676" t="s">
        <v>2941</v>
      </c>
    </row>
    <row r="3677" spans="1:21" ht="15" customHeight="1" x14ac:dyDescent="0.3">
      <c r="A3677" t="s">
        <v>179</v>
      </c>
      <c r="B3677" t="str">
        <f>"00052237"</f>
        <v>00052237</v>
      </c>
      <c r="C3677" t="s">
        <v>4252</v>
      </c>
      <c r="H3677" t="s">
        <v>170</v>
      </c>
      <c r="I3677">
        <v>15</v>
      </c>
      <c r="J3677">
        <v>1</v>
      </c>
      <c r="K3677">
        <v>1</v>
      </c>
      <c r="L3677">
        <v>60128</v>
      </c>
      <c r="M3677" t="str">
        <f t="shared" si="525"/>
        <v>13</v>
      </c>
      <c r="N3677" t="s">
        <v>3323</v>
      </c>
      <c r="O3677" t="str">
        <f t="shared" si="529"/>
        <v>62011</v>
      </c>
      <c r="P3677" t="str">
        <f t="shared" si="531"/>
        <v>2100L</v>
      </c>
      <c r="Q3677" t="str">
        <f t="shared" si="526"/>
        <v>0101</v>
      </c>
      <c r="R3677">
        <v>2100</v>
      </c>
      <c r="S3677" t="str">
        <f t="shared" si="530"/>
        <v>6200</v>
      </c>
      <c r="T3677" t="s">
        <v>3830</v>
      </c>
      <c r="U3677" t="s">
        <v>2941</v>
      </c>
    </row>
    <row r="3678" spans="1:21" ht="15" customHeight="1" x14ac:dyDescent="0.3">
      <c r="A3678" t="s">
        <v>179</v>
      </c>
      <c r="B3678" t="str">
        <f>"00052286"</f>
        <v>00052286</v>
      </c>
      <c r="C3678" t="s">
        <v>4253</v>
      </c>
      <c r="D3678" t="s">
        <v>5425</v>
      </c>
      <c r="E3678" t="str">
        <f>"00069598"</f>
        <v>00069598</v>
      </c>
      <c r="F3678">
        <v>0</v>
      </c>
      <c r="G3678" s="243">
        <v>41133</v>
      </c>
      <c r="H3678" t="s">
        <v>182</v>
      </c>
      <c r="I3678">
        <v>15</v>
      </c>
      <c r="J3678">
        <v>1</v>
      </c>
      <c r="K3678">
        <v>1</v>
      </c>
      <c r="L3678">
        <v>51539</v>
      </c>
      <c r="M3678" t="str">
        <f t="shared" si="525"/>
        <v>13</v>
      </c>
      <c r="N3678" t="s">
        <v>3370</v>
      </c>
      <c r="O3678" t="str">
        <f t="shared" si="529"/>
        <v>62011</v>
      </c>
      <c r="P3678" t="str">
        <f t="shared" si="531"/>
        <v>2100L</v>
      </c>
      <c r="Q3678" t="str">
        <f t="shared" si="526"/>
        <v>0101</v>
      </c>
      <c r="R3678">
        <v>2100</v>
      </c>
      <c r="S3678" t="str">
        <f t="shared" si="530"/>
        <v>6200</v>
      </c>
      <c r="T3678" t="s">
        <v>3830</v>
      </c>
      <c r="U3678" t="s">
        <v>2941</v>
      </c>
    </row>
    <row r="3679" spans="1:21" ht="15" customHeight="1" x14ac:dyDescent="0.3">
      <c r="A3679" t="s">
        <v>179</v>
      </c>
      <c r="B3679" t="str">
        <f>"00052424"</f>
        <v>00052424</v>
      </c>
      <c r="C3679" t="s">
        <v>4253</v>
      </c>
      <c r="D3679" t="s">
        <v>5426</v>
      </c>
      <c r="E3679" t="str">
        <f>"00069804"</f>
        <v>00069804</v>
      </c>
      <c r="F3679">
        <v>0</v>
      </c>
      <c r="G3679" s="243">
        <v>41133</v>
      </c>
      <c r="H3679" t="s">
        <v>182</v>
      </c>
      <c r="I3679">
        <v>15</v>
      </c>
      <c r="J3679">
        <v>7</v>
      </c>
      <c r="K3679">
        <v>1</v>
      </c>
      <c r="L3679">
        <v>69132</v>
      </c>
      <c r="M3679" t="str">
        <f t="shared" si="525"/>
        <v>13</v>
      </c>
      <c r="N3679" t="s">
        <v>3370</v>
      </c>
      <c r="O3679" t="str">
        <f t="shared" si="529"/>
        <v>62011</v>
      </c>
      <c r="P3679" t="str">
        <f t="shared" si="531"/>
        <v>2100L</v>
      </c>
      <c r="Q3679" t="str">
        <f t="shared" si="526"/>
        <v>0101</v>
      </c>
      <c r="R3679">
        <v>2100</v>
      </c>
      <c r="S3679" t="str">
        <f t="shared" si="530"/>
        <v>6200</v>
      </c>
      <c r="T3679" t="s">
        <v>3830</v>
      </c>
      <c r="U3679" t="s">
        <v>2941</v>
      </c>
    </row>
    <row r="3680" spans="1:21" ht="15" customHeight="1" x14ac:dyDescent="0.3">
      <c r="A3680" t="s">
        <v>179</v>
      </c>
      <c r="B3680" t="str">
        <f>"00052504"</f>
        <v>00052504</v>
      </c>
      <c r="C3680" t="s">
        <v>4257</v>
      </c>
      <c r="H3680" t="s">
        <v>170</v>
      </c>
      <c r="I3680">
        <v>15</v>
      </c>
      <c r="J3680">
        <v>1</v>
      </c>
      <c r="K3680">
        <v>1</v>
      </c>
      <c r="L3680">
        <v>56693</v>
      </c>
      <c r="M3680" t="str">
        <f t="shared" si="525"/>
        <v>13</v>
      </c>
      <c r="N3680" t="s">
        <v>3323</v>
      </c>
      <c r="O3680" t="str">
        <f t="shared" si="529"/>
        <v>62011</v>
      </c>
      <c r="P3680" t="str">
        <f t="shared" si="531"/>
        <v>2100L</v>
      </c>
      <c r="Q3680" t="str">
        <f t="shared" si="526"/>
        <v>0101</v>
      </c>
      <c r="R3680">
        <v>2100</v>
      </c>
      <c r="S3680" t="str">
        <f t="shared" si="530"/>
        <v>6200</v>
      </c>
      <c r="T3680" t="s">
        <v>3830</v>
      </c>
      <c r="U3680" t="s">
        <v>2941</v>
      </c>
    </row>
    <row r="3681" spans="1:21" ht="15" customHeight="1" x14ac:dyDescent="0.3">
      <c r="A3681" t="s">
        <v>179</v>
      </c>
      <c r="B3681" t="str">
        <f>"00052554"</f>
        <v>00052554</v>
      </c>
      <c r="C3681" t="s">
        <v>4272</v>
      </c>
      <c r="D3681" t="s">
        <v>2944</v>
      </c>
      <c r="E3681" t="str">
        <f>"00048541"</f>
        <v>00048541</v>
      </c>
      <c r="F3681">
        <v>0</v>
      </c>
      <c r="G3681" s="243">
        <v>32050</v>
      </c>
      <c r="H3681" t="s">
        <v>182</v>
      </c>
      <c r="I3681">
        <v>15</v>
      </c>
      <c r="J3681">
        <v>13</v>
      </c>
      <c r="K3681">
        <v>1</v>
      </c>
      <c r="L3681">
        <v>95366</v>
      </c>
      <c r="M3681" t="str">
        <f t="shared" si="525"/>
        <v>13</v>
      </c>
      <c r="N3681" t="s">
        <v>3323</v>
      </c>
      <c r="O3681" t="str">
        <f t="shared" si="529"/>
        <v>62011</v>
      </c>
      <c r="P3681" t="str">
        <f t="shared" si="531"/>
        <v>2100L</v>
      </c>
      <c r="Q3681" t="str">
        <f t="shared" si="526"/>
        <v>0101</v>
      </c>
      <c r="R3681">
        <v>2100</v>
      </c>
      <c r="S3681" t="str">
        <f t="shared" si="530"/>
        <v>6200</v>
      </c>
      <c r="T3681" t="s">
        <v>3830</v>
      </c>
      <c r="U3681" t="s">
        <v>2941</v>
      </c>
    </row>
    <row r="3682" spans="1:21" ht="15" customHeight="1" x14ac:dyDescent="0.3">
      <c r="A3682" t="s">
        <v>179</v>
      </c>
      <c r="B3682" t="str">
        <f>"00052771"</f>
        <v>00052771</v>
      </c>
      <c r="C3682" t="s">
        <v>4260</v>
      </c>
      <c r="D3682" t="s">
        <v>2945</v>
      </c>
      <c r="E3682" t="str">
        <f>"00045482"</f>
        <v>00045482</v>
      </c>
      <c r="F3682">
        <v>0</v>
      </c>
      <c r="G3682" s="243">
        <v>38951</v>
      </c>
      <c r="H3682" t="s">
        <v>182</v>
      </c>
      <c r="I3682">
        <v>15</v>
      </c>
      <c r="J3682">
        <v>12</v>
      </c>
      <c r="K3682">
        <v>1</v>
      </c>
      <c r="L3682">
        <v>87431</v>
      </c>
      <c r="M3682" t="str">
        <f t="shared" si="525"/>
        <v>13</v>
      </c>
      <c r="N3682" t="s">
        <v>3323</v>
      </c>
      <c r="O3682" t="str">
        <f t="shared" si="529"/>
        <v>62011</v>
      </c>
      <c r="P3682" t="str">
        <f t="shared" si="531"/>
        <v>2100L</v>
      </c>
      <c r="Q3682" t="str">
        <f t="shared" si="526"/>
        <v>0101</v>
      </c>
      <c r="R3682">
        <v>2100</v>
      </c>
      <c r="S3682" t="str">
        <f t="shared" si="530"/>
        <v>6200</v>
      </c>
      <c r="T3682" t="s">
        <v>3830</v>
      </c>
      <c r="U3682" t="s">
        <v>2941</v>
      </c>
    </row>
    <row r="3683" spans="1:21" ht="15" customHeight="1" x14ac:dyDescent="0.3">
      <c r="A3683" t="s">
        <v>179</v>
      </c>
      <c r="B3683" t="str">
        <f>"00052948"</f>
        <v>00052948</v>
      </c>
      <c r="C3683" t="s">
        <v>4262</v>
      </c>
      <c r="D3683" t="s">
        <v>2946</v>
      </c>
      <c r="E3683" t="str">
        <f>"00050350"</f>
        <v>00050350</v>
      </c>
      <c r="F3683">
        <v>0</v>
      </c>
      <c r="G3683" s="243">
        <v>32756</v>
      </c>
      <c r="H3683" t="s">
        <v>182</v>
      </c>
      <c r="I3683">
        <v>15</v>
      </c>
      <c r="J3683">
        <v>16</v>
      </c>
      <c r="K3683">
        <v>1</v>
      </c>
      <c r="L3683">
        <v>106540</v>
      </c>
      <c r="M3683" t="str">
        <f t="shared" si="525"/>
        <v>13</v>
      </c>
      <c r="N3683" t="s">
        <v>3323</v>
      </c>
      <c r="O3683" t="str">
        <f t="shared" si="529"/>
        <v>62011</v>
      </c>
      <c r="P3683" t="str">
        <f t="shared" si="531"/>
        <v>2100L</v>
      </c>
      <c r="Q3683" t="str">
        <f t="shared" si="526"/>
        <v>0101</v>
      </c>
      <c r="R3683">
        <v>2100</v>
      </c>
      <c r="S3683" t="str">
        <f t="shared" si="530"/>
        <v>6200</v>
      </c>
      <c r="T3683" t="s">
        <v>3830</v>
      </c>
      <c r="U3683" t="s">
        <v>2941</v>
      </c>
    </row>
    <row r="3684" spans="1:21" ht="15" customHeight="1" x14ac:dyDescent="0.3">
      <c r="A3684" t="s">
        <v>179</v>
      </c>
      <c r="B3684" t="str">
        <f>"00053267"</f>
        <v>00053267</v>
      </c>
      <c r="C3684" t="s">
        <v>4262</v>
      </c>
      <c r="H3684" t="s">
        <v>170</v>
      </c>
      <c r="I3684">
        <v>15</v>
      </c>
      <c r="J3684">
        <v>1</v>
      </c>
      <c r="K3684">
        <v>1</v>
      </c>
      <c r="L3684">
        <v>56693</v>
      </c>
      <c r="M3684" t="str">
        <f t="shared" si="525"/>
        <v>13</v>
      </c>
      <c r="N3684" t="s">
        <v>3323</v>
      </c>
      <c r="O3684" t="str">
        <f t="shared" si="529"/>
        <v>62011</v>
      </c>
      <c r="P3684" t="str">
        <f t="shared" si="531"/>
        <v>2100L</v>
      </c>
      <c r="Q3684" t="str">
        <f t="shared" si="526"/>
        <v>0101</v>
      </c>
      <c r="R3684">
        <v>2100</v>
      </c>
      <c r="S3684" t="str">
        <f t="shared" si="530"/>
        <v>6200</v>
      </c>
      <c r="T3684" t="s">
        <v>3830</v>
      </c>
      <c r="U3684" t="s">
        <v>2941</v>
      </c>
    </row>
    <row r="3685" spans="1:21" ht="15" customHeight="1" x14ac:dyDescent="0.3">
      <c r="A3685" t="s">
        <v>179</v>
      </c>
      <c r="B3685" t="str">
        <f>"00053351"</f>
        <v>00053351</v>
      </c>
      <c r="C3685" t="s">
        <v>4272</v>
      </c>
      <c r="D3685" t="s">
        <v>2947</v>
      </c>
      <c r="E3685" t="str">
        <f>"00051348"</f>
        <v>00051348</v>
      </c>
      <c r="F3685">
        <v>0</v>
      </c>
      <c r="G3685" s="243">
        <v>29488</v>
      </c>
      <c r="H3685" t="s">
        <v>182</v>
      </c>
      <c r="I3685">
        <v>15</v>
      </c>
      <c r="J3685">
        <v>16</v>
      </c>
      <c r="K3685">
        <v>1</v>
      </c>
      <c r="L3685">
        <v>106540</v>
      </c>
      <c r="M3685" t="str">
        <f t="shared" si="525"/>
        <v>13</v>
      </c>
      <c r="N3685" t="s">
        <v>3323</v>
      </c>
      <c r="O3685" t="str">
        <f t="shared" si="529"/>
        <v>62011</v>
      </c>
      <c r="P3685" t="str">
        <f>"2200L"</f>
        <v>2200L</v>
      </c>
      <c r="Q3685" t="str">
        <f t="shared" si="526"/>
        <v>0101</v>
      </c>
      <c r="R3685">
        <v>2200</v>
      </c>
      <c r="S3685" t="str">
        <f t="shared" si="530"/>
        <v>6200</v>
      </c>
      <c r="T3685" t="s">
        <v>3830</v>
      </c>
      <c r="U3685" t="s">
        <v>2941</v>
      </c>
    </row>
    <row r="3686" spans="1:21" ht="15" customHeight="1" x14ac:dyDescent="0.3">
      <c r="A3686" t="s">
        <v>179</v>
      </c>
      <c r="B3686" t="str">
        <f>"00056842"</f>
        <v>00056842</v>
      </c>
      <c r="C3686" t="s">
        <v>193</v>
      </c>
      <c r="D3686" t="s">
        <v>5427</v>
      </c>
      <c r="E3686" t="str">
        <f>"00055084"</f>
        <v>00055084</v>
      </c>
      <c r="F3686">
        <v>0</v>
      </c>
      <c r="G3686" s="243">
        <v>41120</v>
      </c>
      <c r="H3686" t="s">
        <v>182</v>
      </c>
      <c r="I3686">
        <v>62</v>
      </c>
      <c r="J3686">
        <v>5</v>
      </c>
      <c r="K3686">
        <v>1</v>
      </c>
      <c r="L3686">
        <v>123000</v>
      </c>
      <c r="M3686" t="str">
        <f t="shared" si="525"/>
        <v>13</v>
      </c>
      <c r="N3686" t="s">
        <v>3323</v>
      </c>
      <c r="O3686" t="str">
        <f t="shared" si="529"/>
        <v>62011</v>
      </c>
      <c r="P3686" t="str">
        <f>"1501L"</f>
        <v>1501L</v>
      </c>
      <c r="Q3686" t="str">
        <f t="shared" si="526"/>
        <v>0101</v>
      </c>
      <c r="R3686">
        <v>1501</v>
      </c>
      <c r="S3686" t="str">
        <f t="shared" si="530"/>
        <v>6200</v>
      </c>
      <c r="T3686" t="s">
        <v>3830</v>
      </c>
      <c r="U3686" t="s">
        <v>2941</v>
      </c>
    </row>
    <row r="3687" spans="1:21" ht="15" customHeight="1" x14ac:dyDescent="0.3">
      <c r="A3687" t="s">
        <v>179</v>
      </c>
      <c r="B3687" t="str">
        <f>"00057735"</f>
        <v>00057735</v>
      </c>
      <c r="C3687" t="s">
        <v>4258</v>
      </c>
      <c r="H3687" t="s">
        <v>170</v>
      </c>
      <c r="I3687">
        <v>15</v>
      </c>
      <c r="J3687">
        <v>1</v>
      </c>
      <c r="K3687">
        <v>1</v>
      </c>
      <c r="L3687">
        <v>53256</v>
      </c>
      <c r="M3687" t="str">
        <f t="shared" si="525"/>
        <v>13</v>
      </c>
      <c r="N3687" t="s">
        <v>3370</v>
      </c>
      <c r="O3687" t="str">
        <f t="shared" si="529"/>
        <v>62011</v>
      </c>
      <c r="P3687" t="str">
        <f>"2100L"</f>
        <v>2100L</v>
      </c>
      <c r="Q3687" t="str">
        <f t="shared" si="526"/>
        <v>0101</v>
      </c>
      <c r="R3687">
        <v>2100</v>
      </c>
      <c r="S3687" t="str">
        <f t="shared" si="530"/>
        <v>6200</v>
      </c>
      <c r="T3687" t="s">
        <v>3830</v>
      </c>
      <c r="U3687" t="s">
        <v>2941</v>
      </c>
    </row>
    <row r="3688" spans="1:21" ht="15" customHeight="1" x14ac:dyDescent="0.3">
      <c r="A3688" t="s">
        <v>179</v>
      </c>
      <c r="B3688" t="str">
        <f>"00058082"</f>
        <v>00058082</v>
      </c>
      <c r="C3688" t="s">
        <v>4256</v>
      </c>
      <c r="H3688" t="s">
        <v>170</v>
      </c>
      <c r="I3688">
        <v>15</v>
      </c>
      <c r="J3688">
        <v>1</v>
      </c>
      <c r="K3688">
        <v>1</v>
      </c>
      <c r="L3688">
        <v>60128</v>
      </c>
      <c r="M3688" t="str">
        <f t="shared" si="525"/>
        <v>13</v>
      </c>
      <c r="N3688" t="s">
        <v>3323</v>
      </c>
      <c r="O3688" t="str">
        <f t="shared" si="529"/>
        <v>62011</v>
      </c>
      <c r="P3688" t="str">
        <f>"2100L"</f>
        <v>2100L</v>
      </c>
      <c r="Q3688" t="str">
        <f t="shared" si="526"/>
        <v>0101</v>
      </c>
      <c r="R3688">
        <v>2100</v>
      </c>
      <c r="S3688" t="str">
        <f t="shared" si="530"/>
        <v>6200</v>
      </c>
      <c r="T3688" t="s">
        <v>3830</v>
      </c>
      <c r="U3688" t="s">
        <v>2941</v>
      </c>
    </row>
    <row r="3689" spans="1:21" ht="15" customHeight="1" x14ac:dyDescent="0.3">
      <c r="A3689" t="s">
        <v>179</v>
      </c>
      <c r="B3689" t="str">
        <f>"00059805"</f>
        <v>00059805</v>
      </c>
      <c r="C3689" t="s">
        <v>4253</v>
      </c>
      <c r="D3689" t="s">
        <v>5428</v>
      </c>
      <c r="E3689" t="str">
        <f>"00069864"</f>
        <v>00069864</v>
      </c>
      <c r="F3689">
        <v>0</v>
      </c>
      <c r="G3689" s="243">
        <v>41133</v>
      </c>
      <c r="H3689" t="s">
        <v>182</v>
      </c>
      <c r="I3689">
        <v>15</v>
      </c>
      <c r="J3689">
        <v>1</v>
      </c>
      <c r="K3689">
        <v>1</v>
      </c>
      <c r="L3689">
        <v>54975</v>
      </c>
      <c r="M3689" t="str">
        <f t="shared" si="525"/>
        <v>13</v>
      </c>
      <c r="N3689" t="s">
        <v>3370</v>
      </c>
      <c r="O3689" t="str">
        <f t="shared" si="529"/>
        <v>62011</v>
      </c>
      <c r="P3689" t="str">
        <f>"2100L"</f>
        <v>2100L</v>
      </c>
      <c r="Q3689" t="str">
        <f t="shared" si="526"/>
        <v>0101</v>
      </c>
      <c r="R3689">
        <v>2100</v>
      </c>
      <c r="S3689" t="str">
        <f t="shared" si="530"/>
        <v>6200</v>
      </c>
      <c r="T3689" t="s">
        <v>3830</v>
      </c>
      <c r="U3689" t="s">
        <v>2941</v>
      </c>
    </row>
    <row r="3690" spans="1:21" ht="15" customHeight="1" x14ac:dyDescent="0.3">
      <c r="A3690" t="s">
        <v>179</v>
      </c>
      <c r="B3690" t="str">
        <f>"00061220"</f>
        <v>00061220</v>
      </c>
      <c r="C3690" t="s">
        <v>4260</v>
      </c>
      <c r="D3690" t="s">
        <v>2950</v>
      </c>
      <c r="E3690" t="str">
        <f>"00052020"</f>
        <v>00052020</v>
      </c>
      <c r="F3690">
        <v>0</v>
      </c>
      <c r="G3690" s="243">
        <v>39315</v>
      </c>
      <c r="H3690" t="s">
        <v>182</v>
      </c>
      <c r="I3690">
        <v>15</v>
      </c>
      <c r="J3690">
        <v>9</v>
      </c>
      <c r="K3690">
        <v>1</v>
      </c>
      <c r="L3690">
        <v>75232</v>
      </c>
      <c r="M3690" t="str">
        <f t="shared" ref="M3690:M3747" si="532">"13"</f>
        <v>13</v>
      </c>
      <c r="N3690" t="s">
        <v>3323</v>
      </c>
      <c r="O3690" t="str">
        <f t="shared" si="529"/>
        <v>62011</v>
      </c>
      <c r="P3690" t="str">
        <f>"3030L"</f>
        <v>3030L</v>
      </c>
      <c r="Q3690" t="str">
        <f t="shared" si="526"/>
        <v>0101</v>
      </c>
      <c r="R3690">
        <v>3030</v>
      </c>
      <c r="S3690" t="str">
        <f t="shared" si="530"/>
        <v>6200</v>
      </c>
      <c r="T3690" t="s">
        <v>3830</v>
      </c>
      <c r="U3690" t="s">
        <v>2941</v>
      </c>
    </row>
    <row r="3691" spans="1:21" ht="15" customHeight="1" x14ac:dyDescent="0.3">
      <c r="A3691" t="s">
        <v>179</v>
      </c>
      <c r="B3691" t="str">
        <f>"00061279"</f>
        <v>00061279</v>
      </c>
      <c r="C3691" t="s">
        <v>4253</v>
      </c>
      <c r="H3691" t="s">
        <v>170</v>
      </c>
      <c r="I3691">
        <v>15</v>
      </c>
      <c r="J3691">
        <v>1</v>
      </c>
      <c r="K3691">
        <v>1</v>
      </c>
      <c r="L3691">
        <v>56693</v>
      </c>
      <c r="M3691" t="str">
        <f t="shared" si="532"/>
        <v>13</v>
      </c>
      <c r="N3691" t="s">
        <v>3323</v>
      </c>
      <c r="O3691" t="str">
        <f t="shared" si="529"/>
        <v>62011</v>
      </c>
      <c r="P3691" t="str">
        <f>"2100L"</f>
        <v>2100L</v>
      </c>
      <c r="Q3691" t="str">
        <f t="shared" si="526"/>
        <v>0101</v>
      </c>
      <c r="R3691">
        <v>2100</v>
      </c>
      <c r="S3691" t="str">
        <f t="shared" si="530"/>
        <v>6200</v>
      </c>
      <c r="T3691" t="s">
        <v>3830</v>
      </c>
      <c r="U3691" t="s">
        <v>2941</v>
      </c>
    </row>
    <row r="3692" spans="1:21" ht="15" customHeight="1" x14ac:dyDescent="0.3">
      <c r="A3692" t="s">
        <v>179</v>
      </c>
      <c r="B3692" t="str">
        <f>"00062950"</f>
        <v>00062950</v>
      </c>
      <c r="C3692" t="s">
        <v>4274</v>
      </c>
      <c r="D3692" t="s">
        <v>5429</v>
      </c>
      <c r="E3692" t="str">
        <f>"00033518"</f>
        <v>00033518</v>
      </c>
      <c r="F3692">
        <v>0</v>
      </c>
      <c r="G3692" s="243">
        <v>41133</v>
      </c>
      <c r="H3692" t="s">
        <v>182</v>
      </c>
      <c r="I3692">
        <v>4</v>
      </c>
      <c r="J3692">
        <v>4</v>
      </c>
      <c r="K3692">
        <v>0.875</v>
      </c>
      <c r="L3692">
        <v>24543.75</v>
      </c>
      <c r="M3692" t="str">
        <f t="shared" si="532"/>
        <v>13</v>
      </c>
      <c r="N3692" t="s">
        <v>3323</v>
      </c>
      <c r="O3692" t="str">
        <f t="shared" si="529"/>
        <v>62011</v>
      </c>
      <c r="P3692" t="str">
        <f>"2200L"</f>
        <v>2200L</v>
      </c>
      <c r="Q3692" t="str">
        <f t="shared" si="526"/>
        <v>0101</v>
      </c>
      <c r="R3692">
        <v>2200</v>
      </c>
      <c r="S3692" t="str">
        <f t="shared" si="530"/>
        <v>6200</v>
      </c>
      <c r="T3692" t="s">
        <v>3830</v>
      </c>
      <c r="U3692" t="s">
        <v>2941</v>
      </c>
    </row>
    <row r="3693" spans="1:21" ht="15" customHeight="1" x14ac:dyDescent="0.3">
      <c r="A3693" t="s">
        <v>179</v>
      </c>
      <c r="B3693" t="str">
        <f>"00063015"</f>
        <v>00063015</v>
      </c>
      <c r="C3693" t="s">
        <v>4262</v>
      </c>
      <c r="D3693" t="s">
        <v>2951</v>
      </c>
      <c r="E3693" t="str">
        <f>"00046271"</f>
        <v>00046271</v>
      </c>
      <c r="F3693">
        <v>0</v>
      </c>
      <c r="G3693" s="243">
        <v>39679</v>
      </c>
      <c r="H3693" t="s">
        <v>182</v>
      </c>
      <c r="I3693">
        <v>15</v>
      </c>
      <c r="J3693">
        <v>3</v>
      </c>
      <c r="K3693">
        <v>1</v>
      </c>
      <c r="L3693">
        <v>58699</v>
      </c>
      <c r="M3693" t="str">
        <f t="shared" si="532"/>
        <v>13</v>
      </c>
      <c r="N3693" t="s">
        <v>3323</v>
      </c>
      <c r="O3693" t="str">
        <f t="shared" si="529"/>
        <v>62011</v>
      </c>
      <c r="P3693" t="str">
        <f>"2100L"</f>
        <v>2100L</v>
      </c>
      <c r="Q3693" t="str">
        <f t="shared" si="526"/>
        <v>0101</v>
      </c>
      <c r="R3693">
        <v>2100</v>
      </c>
      <c r="S3693" t="str">
        <f t="shared" si="530"/>
        <v>6200</v>
      </c>
      <c r="T3693" t="s">
        <v>3830</v>
      </c>
      <c r="U3693" t="s">
        <v>2941</v>
      </c>
    </row>
    <row r="3694" spans="1:21" ht="15" customHeight="1" x14ac:dyDescent="0.3">
      <c r="A3694" t="s">
        <v>179</v>
      </c>
      <c r="B3694" t="str">
        <f>"00065755"</f>
        <v>00065755</v>
      </c>
      <c r="C3694" t="s">
        <v>4253</v>
      </c>
      <c r="D3694" t="s">
        <v>2952</v>
      </c>
      <c r="E3694" t="str">
        <f>"00056981"</f>
        <v>00056981</v>
      </c>
      <c r="F3694">
        <v>0</v>
      </c>
      <c r="G3694" s="243">
        <v>40042</v>
      </c>
      <c r="H3694" t="s">
        <v>182</v>
      </c>
      <c r="I3694">
        <v>15</v>
      </c>
      <c r="J3694">
        <v>4</v>
      </c>
      <c r="K3694">
        <v>1</v>
      </c>
      <c r="L3694">
        <v>54725</v>
      </c>
      <c r="M3694" t="str">
        <f t="shared" si="532"/>
        <v>13</v>
      </c>
      <c r="N3694" t="s">
        <v>3370</v>
      </c>
      <c r="O3694" t="str">
        <f t="shared" si="529"/>
        <v>62011</v>
      </c>
      <c r="P3694" t="str">
        <f>"2100L"</f>
        <v>2100L</v>
      </c>
      <c r="Q3694" t="str">
        <f t="shared" si="526"/>
        <v>0101</v>
      </c>
      <c r="R3694">
        <v>2100</v>
      </c>
      <c r="S3694" t="str">
        <f t="shared" si="530"/>
        <v>6200</v>
      </c>
      <c r="T3694" t="s">
        <v>3830</v>
      </c>
      <c r="U3694" t="s">
        <v>2941</v>
      </c>
    </row>
    <row r="3695" spans="1:21" ht="15" customHeight="1" x14ac:dyDescent="0.3">
      <c r="A3695" t="s">
        <v>179</v>
      </c>
      <c r="B3695" t="str">
        <f>"00065757"</f>
        <v>00065757</v>
      </c>
      <c r="C3695" t="s">
        <v>4262</v>
      </c>
      <c r="D3695" t="s">
        <v>3833</v>
      </c>
      <c r="E3695" t="str">
        <f>"00065852"</f>
        <v>00065852</v>
      </c>
      <c r="F3695">
        <v>0</v>
      </c>
      <c r="G3695" s="243">
        <v>40755</v>
      </c>
      <c r="H3695" t="s">
        <v>182</v>
      </c>
      <c r="I3695">
        <v>15</v>
      </c>
      <c r="J3695">
        <v>1</v>
      </c>
      <c r="K3695">
        <v>1</v>
      </c>
      <c r="L3695">
        <v>54975</v>
      </c>
      <c r="M3695" t="str">
        <f t="shared" si="532"/>
        <v>13</v>
      </c>
      <c r="N3695" t="s">
        <v>3323</v>
      </c>
      <c r="O3695" t="str">
        <f t="shared" si="529"/>
        <v>62011</v>
      </c>
      <c r="P3695" t="str">
        <f>"2100L"</f>
        <v>2100L</v>
      </c>
      <c r="Q3695" t="str">
        <f t="shared" si="526"/>
        <v>0101</v>
      </c>
      <c r="R3695">
        <v>2100</v>
      </c>
      <c r="S3695" t="str">
        <f t="shared" si="530"/>
        <v>6200</v>
      </c>
      <c r="T3695" t="s">
        <v>3830</v>
      </c>
      <c r="U3695" t="s">
        <v>2941</v>
      </c>
    </row>
    <row r="3696" spans="1:21" ht="15" customHeight="1" x14ac:dyDescent="0.3">
      <c r="A3696" t="s">
        <v>179</v>
      </c>
      <c r="B3696" t="str">
        <f>"00065759"</f>
        <v>00065759</v>
      </c>
      <c r="C3696" t="s">
        <v>4260</v>
      </c>
      <c r="D3696" t="s">
        <v>5430</v>
      </c>
      <c r="E3696" t="str">
        <f>"00069755"</f>
        <v>00069755</v>
      </c>
      <c r="F3696">
        <v>0</v>
      </c>
      <c r="G3696" s="243">
        <v>41133</v>
      </c>
      <c r="H3696" t="s">
        <v>182</v>
      </c>
      <c r="I3696">
        <v>15</v>
      </c>
      <c r="J3696">
        <v>1</v>
      </c>
      <c r="K3696">
        <v>1</v>
      </c>
      <c r="L3696">
        <v>51539</v>
      </c>
      <c r="M3696" t="str">
        <f t="shared" si="532"/>
        <v>13</v>
      </c>
      <c r="N3696" t="s">
        <v>3370</v>
      </c>
      <c r="O3696" t="str">
        <f t="shared" si="529"/>
        <v>62011</v>
      </c>
      <c r="P3696" t="str">
        <f>"3030L"</f>
        <v>3030L</v>
      </c>
      <c r="Q3696" t="str">
        <f t="shared" si="526"/>
        <v>0101</v>
      </c>
      <c r="R3696">
        <v>3030</v>
      </c>
      <c r="S3696" t="str">
        <f t="shared" si="530"/>
        <v>6200</v>
      </c>
      <c r="T3696" t="s">
        <v>3830</v>
      </c>
      <c r="U3696" t="s">
        <v>2941</v>
      </c>
    </row>
    <row r="3697" spans="1:21" ht="15" customHeight="1" x14ac:dyDescent="0.3">
      <c r="A3697" t="s">
        <v>179</v>
      </c>
      <c r="B3697" t="str">
        <f>"00066044"</f>
        <v>00066044</v>
      </c>
      <c r="C3697" t="s">
        <v>4274</v>
      </c>
      <c r="H3697" t="s">
        <v>170</v>
      </c>
      <c r="I3697">
        <v>4</v>
      </c>
      <c r="J3697">
        <v>1</v>
      </c>
      <c r="K3697">
        <v>1</v>
      </c>
      <c r="L3697">
        <v>25662</v>
      </c>
      <c r="M3697" t="str">
        <f t="shared" si="532"/>
        <v>13</v>
      </c>
      <c r="N3697" t="s">
        <v>3323</v>
      </c>
      <c r="O3697" t="str">
        <f t="shared" si="529"/>
        <v>62011</v>
      </c>
      <c r="P3697" t="str">
        <f>"3030L"</f>
        <v>3030L</v>
      </c>
      <c r="Q3697" t="str">
        <f t="shared" si="526"/>
        <v>0101</v>
      </c>
      <c r="R3697">
        <v>3030</v>
      </c>
      <c r="S3697" t="str">
        <f t="shared" si="530"/>
        <v>6200</v>
      </c>
      <c r="T3697" t="s">
        <v>3830</v>
      </c>
      <c r="U3697" t="s">
        <v>2941</v>
      </c>
    </row>
    <row r="3698" spans="1:21" ht="15" customHeight="1" x14ac:dyDescent="0.3">
      <c r="A3698" t="s">
        <v>179</v>
      </c>
      <c r="B3698" t="str">
        <f>"00066867"</f>
        <v>00066867</v>
      </c>
      <c r="C3698" t="s">
        <v>4262</v>
      </c>
      <c r="D3698" t="s">
        <v>2953</v>
      </c>
      <c r="E3698" t="str">
        <f>"00057156"</f>
        <v>00057156</v>
      </c>
      <c r="F3698">
        <v>0</v>
      </c>
      <c r="G3698" s="243">
        <v>40042</v>
      </c>
      <c r="H3698" t="s">
        <v>182</v>
      </c>
      <c r="I3698">
        <v>15</v>
      </c>
      <c r="J3698">
        <v>12</v>
      </c>
      <c r="K3698">
        <v>1</v>
      </c>
      <c r="L3698">
        <v>78261</v>
      </c>
      <c r="M3698" t="str">
        <f t="shared" si="532"/>
        <v>13</v>
      </c>
      <c r="N3698" t="s">
        <v>3323</v>
      </c>
      <c r="O3698" t="str">
        <f t="shared" si="529"/>
        <v>62011</v>
      </c>
      <c r="P3698" t="str">
        <f>"2100L"</f>
        <v>2100L</v>
      </c>
      <c r="Q3698" t="str">
        <f t="shared" ref="Q3698:Q3754" si="533">"0101"</f>
        <v>0101</v>
      </c>
      <c r="R3698">
        <v>2100</v>
      </c>
      <c r="S3698" t="str">
        <f t="shared" si="530"/>
        <v>6200</v>
      </c>
      <c r="T3698" t="s">
        <v>3830</v>
      </c>
      <c r="U3698" t="s">
        <v>2941</v>
      </c>
    </row>
    <row r="3699" spans="1:21" ht="15" customHeight="1" x14ac:dyDescent="0.3">
      <c r="A3699" t="s">
        <v>179</v>
      </c>
      <c r="B3699" t="str">
        <f>"00066868"</f>
        <v>00066868</v>
      </c>
      <c r="C3699" t="s">
        <v>4262</v>
      </c>
      <c r="H3699" t="s">
        <v>170</v>
      </c>
      <c r="I3699">
        <v>15</v>
      </c>
      <c r="J3699">
        <v>1</v>
      </c>
      <c r="K3699">
        <v>1</v>
      </c>
      <c r="L3699">
        <v>54975</v>
      </c>
      <c r="M3699" t="str">
        <f t="shared" si="532"/>
        <v>13</v>
      </c>
      <c r="N3699" t="s">
        <v>3323</v>
      </c>
      <c r="O3699" t="str">
        <f t="shared" si="529"/>
        <v>62011</v>
      </c>
      <c r="P3699" t="str">
        <f>"2100L"</f>
        <v>2100L</v>
      </c>
      <c r="Q3699" t="str">
        <f t="shared" si="533"/>
        <v>0101</v>
      </c>
      <c r="R3699">
        <v>2100</v>
      </c>
      <c r="S3699" t="str">
        <f t="shared" si="530"/>
        <v>6200</v>
      </c>
      <c r="T3699" t="s">
        <v>3830</v>
      </c>
      <c r="U3699" t="s">
        <v>2941</v>
      </c>
    </row>
    <row r="3700" spans="1:21" ht="15" customHeight="1" x14ac:dyDescent="0.3">
      <c r="A3700" t="s">
        <v>179</v>
      </c>
      <c r="B3700" t="str">
        <f>"00067348"</f>
        <v>00067348</v>
      </c>
      <c r="C3700" t="s">
        <v>4290</v>
      </c>
      <c r="H3700" t="s">
        <v>170</v>
      </c>
      <c r="I3700">
        <v>4</v>
      </c>
      <c r="J3700">
        <v>1</v>
      </c>
      <c r="K3700">
        <v>1</v>
      </c>
      <c r="L3700">
        <v>25662</v>
      </c>
      <c r="M3700" t="str">
        <f t="shared" si="532"/>
        <v>13</v>
      </c>
      <c r="N3700" t="s">
        <v>3323</v>
      </c>
      <c r="O3700" t="str">
        <f t="shared" si="529"/>
        <v>62011</v>
      </c>
      <c r="P3700" t="str">
        <f>"3030L"</f>
        <v>3030L</v>
      </c>
      <c r="Q3700" t="str">
        <f t="shared" si="533"/>
        <v>0101</v>
      </c>
      <c r="R3700">
        <v>3030</v>
      </c>
      <c r="S3700" t="str">
        <f t="shared" si="530"/>
        <v>6200</v>
      </c>
      <c r="T3700" t="s">
        <v>3830</v>
      </c>
      <c r="U3700" t="s">
        <v>2941</v>
      </c>
    </row>
    <row r="3701" spans="1:21" ht="15" customHeight="1" x14ac:dyDescent="0.3">
      <c r="A3701" t="s">
        <v>179</v>
      </c>
      <c r="B3701" t="str">
        <f>"00067427"</f>
        <v>00067427</v>
      </c>
      <c r="C3701" t="s">
        <v>4614</v>
      </c>
      <c r="D3701" t="s">
        <v>3831</v>
      </c>
      <c r="E3701" t="str">
        <f>"00051516"</f>
        <v>00051516</v>
      </c>
      <c r="F3701">
        <v>0</v>
      </c>
      <c r="G3701" s="243">
        <v>35037</v>
      </c>
      <c r="H3701" t="s">
        <v>182</v>
      </c>
      <c r="I3701">
        <v>7</v>
      </c>
      <c r="J3701">
        <v>4</v>
      </c>
      <c r="K3701">
        <v>1</v>
      </c>
      <c r="L3701">
        <v>38191</v>
      </c>
      <c r="M3701" t="str">
        <f t="shared" si="532"/>
        <v>13</v>
      </c>
      <c r="N3701" t="s">
        <v>3323</v>
      </c>
      <c r="O3701" t="str">
        <f t="shared" si="529"/>
        <v>62011</v>
      </c>
      <c r="P3701" t="str">
        <f>"1502L"</f>
        <v>1502L</v>
      </c>
      <c r="Q3701" t="str">
        <f t="shared" si="533"/>
        <v>0101</v>
      </c>
      <c r="R3701">
        <v>1502</v>
      </c>
      <c r="S3701" t="str">
        <f t="shared" si="530"/>
        <v>6200</v>
      </c>
      <c r="T3701" t="s">
        <v>3830</v>
      </c>
      <c r="U3701" t="s">
        <v>2941</v>
      </c>
    </row>
    <row r="3702" spans="1:21" ht="15" customHeight="1" x14ac:dyDescent="0.3">
      <c r="A3702" t="s">
        <v>179</v>
      </c>
      <c r="B3702" t="str">
        <f>"00072152"</f>
        <v>00072152</v>
      </c>
      <c r="C3702" t="s">
        <v>3670</v>
      </c>
      <c r="D3702" t="s">
        <v>1827</v>
      </c>
      <c r="E3702" t="str">
        <f>"00045436"</f>
        <v>00045436</v>
      </c>
      <c r="F3702">
        <v>0</v>
      </c>
      <c r="G3702" s="243">
        <v>36390</v>
      </c>
      <c r="H3702" t="s">
        <v>182</v>
      </c>
      <c r="I3702">
        <v>8</v>
      </c>
      <c r="J3702">
        <v>3</v>
      </c>
      <c r="K3702">
        <v>1</v>
      </c>
      <c r="L3702">
        <v>87160</v>
      </c>
      <c r="M3702" t="str">
        <f t="shared" si="532"/>
        <v>13</v>
      </c>
      <c r="N3702" t="s">
        <v>3323</v>
      </c>
      <c r="O3702" t="str">
        <f t="shared" si="529"/>
        <v>62011</v>
      </c>
      <c r="P3702" t="str">
        <f>"1501L"</f>
        <v>1501L</v>
      </c>
      <c r="Q3702" t="str">
        <f t="shared" si="533"/>
        <v>0101</v>
      </c>
      <c r="R3702">
        <v>1501</v>
      </c>
      <c r="S3702" t="str">
        <f t="shared" si="530"/>
        <v>6200</v>
      </c>
      <c r="T3702" t="s">
        <v>3830</v>
      </c>
      <c r="U3702" t="s">
        <v>2941</v>
      </c>
    </row>
    <row r="3703" spans="1:21" ht="15" customHeight="1" x14ac:dyDescent="0.3">
      <c r="A3703" t="s">
        <v>179</v>
      </c>
      <c r="B3703" t="str">
        <f>"00072487"</f>
        <v>00072487</v>
      </c>
      <c r="C3703" t="s">
        <v>4274</v>
      </c>
      <c r="D3703" t="s">
        <v>5431</v>
      </c>
      <c r="E3703" t="str">
        <f>"00054799"</f>
        <v>00054799</v>
      </c>
      <c r="F3703">
        <v>0</v>
      </c>
      <c r="G3703" s="243">
        <v>37900</v>
      </c>
      <c r="H3703" t="s">
        <v>182</v>
      </c>
      <c r="I3703">
        <v>4</v>
      </c>
      <c r="J3703">
        <v>10</v>
      </c>
      <c r="K3703">
        <v>0.71</v>
      </c>
      <c r="L3703">
        <v>28721</v>
      </c>
      <c r="M3703" t="str">
        <f t="shared" si="532"/>
        <v>13</v>
      </c>
      <c r="N3703" t="s">
        <v>3323</v>
      </c>
      <c r="O3703" t="str">
        <f t="shared" si="529"/>
        <v>62011</v>
      </c>
      <c r="P3703" t="str">
        <f>"2200L"</f>
        <v>2200L</v>
      </c>
      <c r="Q3703" t="str">
        <f t="shared" si="533"/>
        <v>0101</v>
      </c>
      <c r="R3703">
        <v>2200</v>
      </c>
      <c r="S3703" t="str">
        <f t="shared" si="530"/>
        <v>6200</v>
      </c>
      <c r="T3703" t="s">
        <v>3830</v>
      </c>
      <c r="U3703" t="s">
        <v>2941</v>
      </c>
    </row>
    <row r="3704" spans="1:21" ht="15" customHeight="1" x14ac:dyDescent="0.3">
      <c r="A3704" t="s">
        <v>179</v>
      </c>
      <c r="B3704" t="str">
        <f>"00072913"</f>
        <v>00072913</v>
      </c>
      <c r="C3704" t="s">
        <v>4272</v>
      </c>
      <c r="D3704" t="s">
        <v>2954</v>
      </c>
      <c r="E3704" t="str">
        <f>"00032695"</f>
        <v>00032695</v>
      </c>
      <c r="F3704">
        <v>0</v>
      </c>
      <c r="G3704" s="243">
        <v>40415</v>
      </c>
      <c r="H3704" t="s">
        <v>182</v>
      </c>
      <c r="I3704">
        <v>15</v>
      </c>
      <c r="J3704">
        <v>1</v>
      </c>
      <c r="K3704">
        <v>1</v>
      </c>
      <c r="L3704">
        <v>51539</v>
      </c>
      <c r="M3704" t="str">
        <f t="shared" si="532"/>
        <v>13</v>
      </c>
      <c r="N3704" t="s">
        <v>3370</v>
      </c>
      <c r="O3704" t="str">
        <f t="shared" si="529"/>
        <v>62011</v>
      </c>
      <c r="P3704" t="str">
        <f>"2100L"</f>
        <v>2100L</v>
      </c>
      <c r="Q3704" t="str">
        <f t="shared" si="533"/>
        <v>0101</v>
      </c>
      <c r="R3704">
        <v>2100</v>
      </c>
      <c r="S3704" t="str">
        <f t="shared" si="530"/>
        <v>6200</v>
      </c>
      <c r="T3704" t="s">
        <v>3830</v>
      </c>
      <c r="U3704" t="s">
        <v>2941</v>
      </c>
    </row>
    <row r="3705" spans="1:21" ht="15" customHeight="1" x14ac:dyDescent="0.3">
      <c r="A3705" t="s">
        <v>179</v>
      </c>
      <c r="B3705" t="str">
        <f>"00074339"</f>
        <v>00074339</v>
      </c>
      <c r="C3705" t="s">
        <v>4306</v>
      </c>
      <c r="H3705" t="s">
        <v>170</v>
      </c>
      <c r="I3705">
        <v>9</v>
      </c>
      <c r="J3705">
        <v>1</v>
      </c>
      <c r="K3705">
        <v>1</v>
      </c>
      <c r="L3705">
        <v>33163</v>
      </c>
      <c r="M3705" t="str">
        <f t="shared" si="532"/>
        <v>13</v>
      </c>
      <c r="N3705" t="s">
        <v>3323</v>
      </c>
      <c r="O3705" t="str">
        <f t="shared" si="529"/>
        <v>62011</v>
      </c>
      <c r="P3705" t="str">
        <f>"1502L"</f>
        <v>1502L</v>
      </c>
      <c r="Q3705" t="str">
        <f t="shared" si="533"/>
        <v>0101</v>
      </c>
      <c r="R3705">
        <v>1502</v>
      </c>
      <c r="S3705" t="str">
        <f t="shared" si="530"/>
        <v>6200</v>
      </c>
      <c r="T3705" t="s">
        <v>3830</v>
      </c>
      <c r="U3705" t="s">
        <v>2941</v>
      </c>
    </row>
    <row r="3706" spans="1:21" ht="15" customHeight="1" x14ac:dyDescent="0.3">
      <c r="A3706" t="s">
        <v>179</v>
      </c>
      <c r="B3706" t="str">
        <f>"00074341"</f>
        <v>00074341</v>
      </c>
      <c r="C3706" t="s">
        <v>4265</v>
      </c>
      <c r="D3706" t="s">
        <v>3832</v>
      </c>
      <c r="E3706" t="str">
        <f>"00058269"</f>
        <v>00058269</v>
      </c>
      <c r="F3706">
        <v>0</v>
      </c>
      <c r="G3706" s="243">
        <v>40056</v>
      </c>
      <c r="H3706" t="s">
        <v>182</v>
      </c>
      <c r="I3706">
        <v>15</v>
      </c>
      <c r="J3706">
        <v>6</v>
      </c>
      <c r="K3706">
        <v>0.5</v>
      </c>
      <c r="L3706">
        <v>66078</v>
      </c>
      <c r="M3706" t="str">
        <f t="shared" si="532"/>
        <v>13</v>
      </c>
      <c r="N3706" t="s">
        <v>3323</v>
      </c>
      <c r="O3706" t="str">
        <f t="shared" si="529"/>
        <v>62011</v>
      </c>
      <c r="P3706" t="str">
        <f>"2100L"</f>
        <v>2100L</v>
      </c>
      <c r="Q3706" t="str">
        <f t="shared" si="533"/>
        <v>0101</v>
      </c>
      <c r="R3706">
        <v>2100</v>
      </c>
      <c r="S3706" t="str">
        <f t="shared" si="530"/>
        <v>6200</v>
      </c>
      <c r="T3706" t="s">
        <v>3830</v>
      </c>
      <c r="U3706" t="s">
        <v>2941</v>
      </c>
    </row>
    <row r="3707" spans="1:21" ht="15" customHeight="1" x14ac:dyDescent="0.3">
      <c r="A3707" t="s">
        <v>179</v>
      </c>
      <c r="B3707" t="str">
        <f>"00074342"</f>
        <v>00074342</v>
      </c>
      <c r="C3707" t="s">
        <v>4262</v>
      </c>
      <c r="D3707" t="s">
        <v>5432</v>
      </c>
      <c r="E3707" t="str">
        <f>"00069948"</f>
        <v>00069948</v>
      </c>
      <c r="F3707">
        <v>0</v>
      </c>
      <c r="G3707" s="243">
        <v>41133</v>
      </c>
      <c r="H3707" t="s">
        <v>182</v>
      </c>
      <c r="I3707">
        <v>15</v>
      </c>
      <c r="J3707">
        <v>1</v>
      </c>
      <c r="K3707">
        <v>1</v>
      </c>
      <c r="L3707">
        <v>51539</v>
      </c>
      <c r="M3707" t="str">
        <f t="shared" si="532"/>
        <v>13</v>
      </c>
      <c r="N3707" t="s">
        <v>3323</v>
      </c>
      <c r="O3707" t="str">
        <f t="shared" si="529"/>
        <v>62011</v>
      </c>
      <c r="P3707" t="str">
        <f>"2100L"</f>
        <v>2100L</v>
      </c>
      <c r="Q3707" t="str">
        <f t="shared" si="533"/>
        <v>0101</v>
      </c>
      <c r="R3707">
        <v>2100</v>
      </c>
      <c r="S3707" t="str">
        <f t="shared" si="530"/>
        <v>6200</v>
      </c>
      <c r="T3707" t="s">
        <v>3830</v>
      </c>
      <c r="U3707" t="s">
        <v>2941</v>
      </c>
    </row>
    <row r="3708" spans="1:21" ht="15" customHeight="1" x14ac:dyDescent="0.3">
      <c r="A3708" t="s">
        <v>179</v>
      </c>
      <c r="B3708" t="str">
        <f>"00075166"</f>
        <v>00075166</v>
      </c>
      <c r="C3708" t="s">
        <v>4260</v>
      </c>
      <c r="D3708" t="s">
        <v>5433</v>
      </c>
      <c r="E3708" t="str">
        <f>"00069592"</f>
        <v>00069592</v>
      </c>
      <c r="F3708">
        <v>0</v>
      </c>
      <c r="G3708" s="243">
        <v>41133</v>
      </c>
      <c r="H3708" t="s">
        <v>182</v>
      </c>
      <c r="I3708">
        <v>15</v>
      </c>
      <c r="J3708">
        <v>1</v>
      </c>
      <c r="K3708">
        <v>1</v>
      </c>
      <c r="L3708">
        <v>51539</v>
      </c>
      <c r="M3708" t="str">
        <f t="shared" si="532"/>
        <v>13</v>
      </c>
      <c r="N3708" t="s">
        <v>3370</v>
      </c>
      <c r="O3708" t="str">
        <f t="shared" si="529"/>
        <v>62011</v>
      </c>
      <c r="P3708" t="str">
        <f>"3030L"</f>
        <v>3030L</v>
      </c>
      <c r="Q3708" t="str">
        <f t="shared" si="533"/>
        <v>0101</v>
      </c>
      <c r="R3708">
        <v>3030</v>
      </c>
      <c r="S3708" t="str">
        <f t="shared" si="530"/>
        <v>6200</v>
      </c>
      <c r="T3708" t="s">
        <v>3830</v>
      </c>
      <c r="U3708" t="s">
        <v>2941</v>
      </c>
    </row>
    <row r="3709" spans="1:21" ht="15" customHeight="1" x14ac:dyDescent="0.3">
      <c r="A3709" t="s">
        <v>179</v>
      </c>
      <c r="B3709" t="str">
        <f>"00076424"</f>
        <v>00076424</v>
      </c>
      <c r="C3709" t="s">
        <v>4410</v>
      </c>
      <c r="H3709" t="s">
        <v>170</v>
      </c>
      <c r="I3709">
        <v>5</v>
      </c>
      <c r="J3709">
        <v>0</v>
      </c>
      <c r="K3709">
        <v>1</v>
      </c>
      <c r="L3709">
        <v>28486</v>
      </c>
      <c r="M3709" t="str">
        <f t="shared" si="532"/>
        <v>13</v>
      </c>
      <c r="N3709" t="s">
        <v>3370</v>
      </c>
      <c r="O3709" t="str">
        <f t="shared" si="529"/>
        <v>62011</v>
      </c>
      <c r="P3709" t="str">
        <f>"2100L"</f>
        <v>2100L</v>
      </c>
      <c r="Q3709" t="str">
        <f t="shared" si="533"/>
        <v>0101</v>
      </c>
      <c r="R3709">
        <v>2100</v>
      </c>
      <c r="S3709" t="str">
        <f t="shared" si="530"/>
        <v>6200</v>
      </c>
      <c r="T3709" t="s">
        <v>3830</v>
      </c>
      <c r="U3709" t="s">
        <v>2941</v>
      </c>
    </row>
    <row r="3710" spans="1:21" ht="15" customHeight="1" x14ac:dyDescent="0.3">
      <c r="A3710" t="s">
        <v>179</v>
      </c>
      <c r="B3710" t="str">
        <f>"00076425"</f>
        <v>00076425</v>
      </c>
      <c r="C3710" t="s">
        <v>5071</v>
      </c>
      <c r="D3710" t="s">
        <v>2948</v>
      </c>
      <c r="E3710" t="str">
        <f>"00053197"</f>
        <v>00053197</v>
      </c>
      <c r="F3710">
        <v>0</v>
      </c>
      <c r="G3710" s="243">
        <v>34663</v>
      </c>
      <c r="H3710" t="s">
        <v>182</v>
      </c>
      <c r="I3710">
        <v>6</v>
      </c>
      <c r="J3710">
        <v>6</v>
      </c>
      <c r="K3710">
        <v>1</v>
      </c>
      <c r="L3710">
        <v>36536</v>
      </c>
      <c r="M3710" t="str">
        <f t="shared" si="532"/>
        <v>13</v>
      </c>
      <c r="N3710" t="s">
        <v>3370</v>
      </c>
      <c r="O3710" t="str">
        <f t="shared" si="529"/>
        <v>62011</v>
      </c>
      <c r="P3710" t="str">
        <f>"2100L"</f>
        <v>2100L</v>
      </c>
      <c r="Q3710" t="str">
        <f t="shared" si="533"/>
        <v>0101</v>
      </c>
      <c r="R3710">
        <v>2100</v>
      </c>
      <c r="S3710" t="str">
        <f t="shared" si="530"/>
        <v>6200</v>
      </c>
      <c r="T3710" t="s">
        <v>3830</v>
      </c>
      <c r="U3710" t="s">
        <v>2941</v>
      </c>
    </row>
    <row r="3711" spans="1:21" ht="15" customHeight="1" x14ac:dyDescent="0.3">
      <c r="A3711" t="s">
        <v>179</v>
      </c>
      <c r="B3711" t="str">
        <f>"00076426"</f>
        <v>00076426</v>
      </c>
      <c r="C3711" t="s">
        <v>4296</v>
      </c>
      <c r="H3711" t="s">
        <v>170</v>
      </c>
      <c r="I3711">
        <v>15</v>
      </c>
      <c r="J3711">
        <v>0</v>
      </c>
      <c r="K3711">
        <v>1</v>
      </c>
      <c r="L3711">
        <v>60128</v>
      </c>
      <c r="M3711" t="str">
        <f t="shared" si="532"/>
        <v>13</v>
      </c>
      <c r="N3711" t="s">
        <v>3370</v>
      </c>
      <c r="O3711" t="str">
        <f t="shared" si="529"/>
        <v>62011</v>
      </c>
      <c r="P3711" t="str">
        <f>"2100L"</f>
        <v>2100L</v>
      </c>
      <c r="Q3711" t="str">
        <f t="shared" si="533"/>
        <v>0101</v>
      </c>
      <c r="R3711">
        <v>2100</v>
      </c>
      <c r="S3711" t="str">
        <f t="shared" si="530"/>
        <v>6200</v>
      </c>
      <c r="T3711" t="s">
        <v>3830</v>
      </c>
      <c r="U3711" t="s">
        <v>2941</v>
      </c>
    </row>
    <row r="3712" spans="1:21" ht="15" customHeight="1" x14ac:dyDescent="0.3">
      <c r="A3712" t="s">
        <v>179</v>
      </c>
      <c r="B3712" t="str">
        <f>"00076427"</f>
        <v>00076427</v>
      </c>
      <c r="C3712" t="s">
        <v>4271</v>
      </c>
      <c r="D3712" t="s">
        <v>5434</v>
      </c>
      <c r="E3712" t="str">
        <f>"00049037"</f>
        <v>00049037</v>
      </c>
      <c r="F3712">
        <v>0</v>
      </c>
      <c r="G3712" s="243">
        <v>35702</v>
      </c>
      <c r="H3712" t="s">
        <v>182</v>
      </c>
      <c r="I3712">
        <v>15</v>
      </c>
      <c r="J3712">
        <v>16</v>
      </c>
      <c r="K3712">
        <v>0.5</v>
      </c>
      <c r="L3712">
        <v>106540</v>
      </c>
      <c r="M3712" t="str">
        <f t="shared" si="532"/>
        <v>13</v>
      </c>
      <c r="N3712" t="s">
        <v>3370</v>
      </c>
      <c r="O3712" t="str">
        <f t="shared" si="529"/>
        <v>62011</v>
      </c>
      <c r="P3712" t="str">
        <f>"2100L"</f>
        <v>2100L</v>
      </c>
      <c r="Q3712" t="str">
        <f t="shared" si="533"/>
        <v>0101</v>
      </c>
      <c r="R3712">
        <v>2100</v>
      </c>
      <c r="S3712" t="str">
        <f t="shared" si="530"/>
        <v>6200</v>
      </c>
      <c r="T3712" t="s">
        <v>3830</v>
      </c>
      <c r="U3712" t="s">
        <v>2941</v>
      </c>
    </row>
    <row r="3713" spans="1:21" ht="15" customHeight="1" x14ac:dyDescent="0.3">
      <c r="A3713" t="s">
        <v>179</v>
      </c>
      <c r="B3713" t="str">
        <f>"00076429"</f>
        <v>00076429</v>
      </c>
      <c r="C3713" t="s">
        <v>4270</v>
      </c>
      <c r="D3713" t="s">
        <v>2943</v>
      </c>
      <c r="E3713" t="str">
        <f>"00063054"</f>
        <v>00063054</v>
      </c>
      <c r="F3713">
        <v>0</v>
      </c>
      <c r="G3713" s="243">
        <v>40406</v>
      </c>
      <c r="H3713" t="s">
        <v>182</v>
      </c>
      <c r="I3713">
        <v>15</v>
      </c>
      <c r="J3713">
        <v>10</v>
      </c>
      <c r="K3713">
        <v>0.5</v>
      </c>
      <c r="L3713">
        <v>40364.5</v>
      </c>
      <c r="M3713" t="str">
        <f t="shared" si="532"/>
        <v>13</v>
      </c>
      <c r="N3713" t="s">
        <v>3370</v>
      </c>
      <c r="O3713" t="str">
        <f t="shared" si="529"/>
        <v>62011</v>
      </c>
      <c r="P3713" t="str">
        <f>"2100L"</f>
        <v>2100L</v>
      </c>
      <c r="Q3713" t="str">
        <f t="shared" si="533"/>
        <v>0101</v>
      </c>
      <c r="R3713">
        <v>2100</v>
      </c>
      <c r="S3713" t="str">
        <f t="shared" si="530"/>
        <v>6200</v>
      </c>
      <c r="T3713" t="s">
        <v>3830</v>
      </c>
      <c r="U3713" t="s">
        <v>2941</v>
      </c>
    </row>
    <row r="3714" spans="1:21" ht="15" customHeight="1" x14ac:dyDescent="0.3">
      <c r="A3714" t="s">
        <v>179</v>
      </c>
      <c r="B3714" t="str">
        <f>"00076489"</f>
        <v>00076489</v>
      </c>
      <c r="C3714" t="s">
        <v>4274</v>
      </c>
      <c r="D3714" t="s">
        <v>5435</v>
      </c>
      <c r="E3714" t="str">
        <f>"00069981"</f>
        <v>00069981</v>
      </c>
      <c r="F3714">
        <v>0</v>
      </c>
      <c r="G3714" s="243">
        <v>41133</v>
      </c>
      <c r="H3714" t="s">
        <v>182</v>
      </c>
      <c r="I3714">
        <v>4</v>
      </c>
      <c r="J3714">
        <v>4</v>
      </c>
      <c r="K3714">
        <v>0.71</v>
      </c>
      <c r="L3714">
        <v>24543.75</v>
      </c>
      <c r="M3714" t="str">
        <f t="shared" si="532"/>
        <v>13</v>
      </c>
      <c r="N3714" t="s">
        <v>3370</v>
      </c>
      <c r="O3714" t="str">
        <f t="shared" si="529"/>
        <v>62011</v>
      </c>
      <c r="P3714" t="str">
        <f>"2200L"</f>
        <v>2200L</v>
      </c>
      <c r="Q3714" t="str">
        <f t="shared" si="533"/>
        <v>0101</v>
      </c>
      <c r="R3714">
        <v>2200</v>
      </c>
      <c r="S3714" t="str">
        <f t="shared" si="530"/>
        <v>6200</v>
      </c>
      <c r="T3714" t="s">
        <v>3830</v>
      </c>
      <c r="U3714" t="s">
        <v>2941</v>
      </c>
    </row>
    <row r="3715" spans="1:21" ht="15" customHeight="1" x14ac:dyDescent="0.3">
      <c r="A3715" t="s">
        <v>179</v>
      </c>
      <c r="B3715" t="str">
        <f>"00076569"</f>
        <v>00076569</v>
      </c>
      <c r="C3715" t="s">
        <v>4499</v>
      </c>
      <c r="D3715" t="s">
        <v>2949</v>
      </c>
      <c r="E3715" t="str">
        <f>"00052833"</f>
        <v>00052833</v>
      </c>
      <c r="F3715">
        <v>0</v>
      </c>
      <c r="G3715" s="243">
        <v>37493</v>
      </c>
      <c r="H3715" t="s">
        <v>182</v>
      </c>
      <c r="I3715">
        <v>10</v>
      </c>
      <c r="J3715">
        <v>9</v>
      </c>
      <c r="K3715">
        <v>0.5</v>
      </c>
      <c r="L3715">
        <v>42113</v>
      </c>
      <c r="M3715" t="str">
        <f t="shared" si="532"/>
        <v>13</v>
      </c>
      <c r="N3715" t="s">
        <v>3323</v>
      </c>
      <c r="O3715" t="str">
        <f t="shared" si="529"/>
        <v>62011</v>
      </c>
      <c r="P3715" t="str">
        <f>"3030L"</f>
        <v>3030L</v>
      </c>
      <c r="Q3715" t="str">
        <f t="shared" si="533"/>
        <v>0101</v>
      </c>
      <c r="R3715">
        <v>3030</v>
      </c>
      <c r="S3715" t="str">
        <f t="shared" si="530"/>
        <v>6200</v>
      </c>
      <c r="T3715" t="s">
        <v>3830</v>
      </c>
      <c r="U3715" t="s">
        <v>2941</v>
      </c>
    </row>
    <row r="3716" spans="1:21" ht="15" customHeight="1" x14ac:dyDescent="0.3">
      <c r="A3716" t="s">
        <v>179</v>
      </c>
      <c r="B3716" t="str">
        <f>"00076816"</f>
        <v>00076816</v>
      </c>
      <c r="C3716" t="s">
        <v>4294</v>
      </c>
      <c r="D3716" t="s">
        <v>5436</v>
      </c>
      <c r="E3716" t="str">
        <f>"00057687"</f>
        <v>00057687</v>
      </c>
      <c r="F3716">
        <v>0</v>
      </c>
      <c r="G3716" s="243">
        <v>40042</v>
      </c>
      <c r="H3716" t="s">
        <v>182</v>
      </c>
      <c r="I3716">
        <v>7</v>
      </c>
      <c r="J3716">
        <v>8</v>
      </c>
      <c r="K3716">
        <v>1</v>
      </c>
      <c r="L3716">
        <v>43727</v>
      </c>
      <c r="M3716" t="str">
        <f t="shared" si="532"/>
        <v>13</v>
      </c>
      <c r="N3716" t="s">
        <v>3370</v>
      </c>
      <c r="O3716" t="str">
        <f t="shared" si="529"/>
        <v>62011</v>
      </c>
      <c r="P3716" t="str">
        <f>"2200L"</f>
        <v>2200L</v>
      </c>
      <c r="Q3716" t="str">
        <f t="shared" si="533"/>
        <v>0101</v>
      </c>
      <c r="R3716">
        <v>2200</v>
      </c>
      <c r="S3716" t="str">
        <f t="shared" si="530"/>
        <v>6200</v>
      </c>
      <c r="T3716" t="s">
        <v>3830</v>
      </c>
      <c r="U3716" t="s">
        <v>2941</v>
      </c>
    </row>
    <row r="3717" spans="1:21" ht="15" customHeight="1" x14ac:dyDescent="0.3">
      <c r="A3717" t="s">
        <v>179</v>
      </c>
      <c r="B3717" t="str">
        <f>"00073788"</f>
        <v>00073788</v>
      </c>
      <c r="C3717" t="s">
        <v>4360</v>
      </c>
      <c r="D3717" t="s">
        <v>5437</v>
      </c>
      <c r="E3717" t="str">
        <f>"00051530"</f>
        <v>00051530</v>
      </c>
      <c r="F3717">
        <v>0</v>
      </c>
      <c r="G3717" s="243">
        <v>34213</v>
      </c>
      <c r="H3717" t="s">
        <v>182</v>
      </c>
      <c r="I3717">
        <v>7</v>
      </c>
      <c r="J3717">
        <v>7</v>
      </c>
      <c r="K3717">
        <v>1</v>
      </c>
      <c r="L3717">
        <v>41514</v>
      </c>
      <c r="M3717" t="str">
        <f t="shared" si="532"/>
        <v>13</v>
      </c>
      <c r="N3717" t="s">
        <v>3323</v>
      </c>
      <c r="O3717" t="str">
        <f t="shared" ref="O3717:O3745" si="534">"62911"</f>
        <v>62911</v>
      </c>
      <c r="P3717" t="str">
        <f>"1502L"</f>
        <v>1502L</v>
      </c>
      <c r="Q3717" t="str">
        <f t="shared" si="533"/>
        <v>0101</v>
      </c>
      <c r="R3717">
        <v>1502</v>
      </c>
      <c r="S3717" t="str">
        <f t="shared" ref="S3717:S3745" si="535">"6290"</f>
        <v>6290</v>
      </c>
      <c r="T3717" t="s">
        <v>3735</v>
      </c>
      <c r="U3717" t="s">
        <v>5438</v>
      </c>
    </row>
    <row r="3718" spans="1:21" ht="15" customHeight="1" x14ac:dyDescent="0.3">
      <c r="A3718" t="s">
        <v>179</v>
      </c>
      <c r="B3718" t="str">
        <f>"00073984"</f>
        <v>00073984</v>
      </c>
      <c r="C3718" t="s">
        <v>4260</v>
      </c>
      <c r="D3718" t="s">
        <v>2498</v>
      </c>
      <c r="E3718" t="str">
        <f>"00052111"</f>
        <v>00052111</v>
      </c>
      <c r="F3718">
        <v>0</v>
      </c>
      <c r="G3718" s="243">
        <v>32916</v>
      </c>
      <c r="H3718" t="s">
        <v>182</v>
      </c>
      <c r="I3718">
        <v>15</v>
      </c>
      <c r="J3718">
        <v>16</v>
      </c>
      <c r="K3718">
        <v>1</v>
      </c>
      <c r="L3718">
        <v>103347</v>
      </c>
      <c r="M3718" t="str">
        <f t="shared" si="532"/>
        <v>13</v>
      </c>
      <c r="N3718" t="s">
        <v>3323</v>
      </c>
      <c r="O3718" t="str">
        <f t="shared" si="534"/>
        <v>62911</v>
      </c>
      <c r="P3718" t="str">
        <f>"2100L"</f>
        <v>2100L</v>
      </c>
      <c r="Q3718" t="str">
        <f t="shared" si="533"/>
        <v>0101</v>
      </c>
      <c r="R3718">
        <v>2100</v>
      </c>
      <c r="S3718" t="str">
        <f t="shared" si="535"/>
        <v>6290</v>
      </c>
      <c r="T3718" t="s">
        <v>3735</v>
      </c>
      <c r="U3718" t="s">
        <v>5438</v>
      </c>
    </row>
    <row r="3719" spans="1:21" ht="15" customHeight="1" x14ac:dyDescent="0.3">
      <c r="A3719" t="s">
        <v>179</v>
      </c>
      <c r="B3719" t="str">
        <f>"00074086"</f>
        <v>00074086</v>
      </c>
      <c r="C3719" t="s">
        <v>4274</v>
      </c>
      <c r="D3719" t="s">
        <v>5439</v>
      </c>
      <c r="E3719" t="str">
        <f>"00047338"</f>
        <v>00047338</v>
      </c>
      <c r="F3719">
        <v>0</v>
      </c>
      <c r="G3719" s="243">
        <v>37144</v>
      </c>
      <c r="H3719" t="s">
        <v>182</v>
      </c>
      <c r="I3719">
        <v>4</v>
      </c>
      <c r="J3719">
        <v>7</v>
      </c>
      <c r="K3719">
        <v>0.71</v>
      </c>
      <c r="L3719">
        <v>26633.25</v>
      </c>
      <c r="M3719" t="str">
        <f t="shared" si="532"/>
        <v>13</v>
      </c>
      <c r="N3719" t="s">
        <v>3323</v>
      </c>
      <c r="O3719" t="str">
        <f t="shared" si="534"/>
        <v>62911</v>
      </c>
      <c r="P3719" t="str">
        <f>"2100L"</f>
        <v>2100L</v>
      </c>
      <c r="Q3719" t="str">
        <f t="shared" si="533"/>
        <v>0101</v>
      </c>
      <c r="R3719">
        <v>2100</v>
      </c>
      <c r="S3719" t="str">
        <f t="shared" si="535"/>
        <v>6290</v>
      </c>
      <c r="T3719" t="s">
        <v>3735</v>
      </c>
      <c r="U3719" t="s">
        <v>5438</v>
      </c>
    </row>
    <row r="3720" spans="1:21" ht="15" customHeight="1" x14ac:dyDescent="0.3">
      <c r="A3720" t="s">
        <v>179</v>
      </c>
      <c r="B3720" t="str">
        <f>"00074087"</f>
        <v>00074087</v>
      </c>
      <c r="C3720" t="s">
        <v>4288</v>
      </c>
      <c r="H3720" t="s">
        <v>170</v>
      </c>
      <c r="I3720">
        <v>4</v>
      </c>
      <c r="J3720">
        <v>1</v>
      </c>
      <c r="K3720">
        <v>0.71</v>
      </c>
      <c r="L3720">
        <v>25662</v>
      </c>
      <c r="M3720" t="str">
        <f t="shared" si="532"/>
        <v>13</v>
      </c>
      <c r="N3720" t="s">
        <v>3323</v>
      </c>
      <c r="O3720" t="str">
        <f t="shared" si="534"/>
        <v>62911</v>
      </c>
      <c r="P3720" t="str">
        <f>"2100L"</f>
        <v>2100L</v>
      </c>
      <c r="Q3720" t="str">
        <f t="shared" si="533"/>
        <v>0101</v>
      </c>
      <c r="R3720">
        <v>2100</v>
      </c>
      <c r="S3720" t="str">
        <f t="shared" si="535"/>
        <v>6290</v>
      </c>
      <c r="T3720" t="s">
        <v>3735</v>
      </c>
      <c r="U3720" t="s">
        <v>5438</v>
      </c>
    </row>
    <row r="3721" spans="1:21" ht="15" customHeight="1" x14ac:dyDescent="0.3">
      <c r="A3721" t="s">
        <v>179</v>
      </c>
      <c r="B3721" t="str">
        <f>"00074089"</f>
        <v>00074089</v>
      </c>
      <c r="C3721" t="s">
        <v>3798</v>
      </c>
      <c r="D3721" t="s">
        <v>1949</v>
      </c>
      <c r="E3721" t="str">
        <f>"00047787"</f>
        <v>00047787</v>
      </c>
      <c r="F3721">
        <v>0</v>
      </c>
      <c r="G3721" s="243">
        <v>34260</v>
      </c>
      <c r="H3721" t="s">
        <v>182</v>
      </c>
      <c r="I3721">
        <v>64</v>
      </c>
      <c r="J3721">
        <v>7</v>
      </c>
      <c r="K3721">
        <v>1</v>
      </c>
      <c r="L3721">
        <v>137000</v>
      </c>
      <c r="M3721" t="str">
        <f t="shared" si="532"/>
        <v>13</v>
      </c>
      <c r="N3721" t="s">
        <v>3323</v>
      </c>
      <c r="O3721" t="str">
        <f t="shared" si="534"/>
        <v>62911</v>
      </c>
      <c r="P3721" t="str">
        <f>"1501L"</f>
        <v>1501L</v>
      </c>
      <c r="Q3721" t="str">
        <f t="shared" si="533"/>
        <v>0101</v>
      </c>
      <c r="R3721">
        <v>1501</v>
      </c>
      <c r="S3721" t="str">
        <f t="shared" si="535"/>
        <v>6290</v>
      </c>
      <c r="T3721" t="s">
        <v>3735</v>
      </c>
      <c r="U3721" t="s">
        <v>5438</v>
      </c>
    </row>
    <row r="3722" spans="1:21" ht="15" customHeight="1" x14ac:dyDescent="0.3">
      <c r="A3722" t="s">
        <v>179</v>
      </c>
      <c r="B3722" t="str">
        <f>"00074100"</f>
        <v>00074100</v>
      </c>
      <c r="C3722" t="s">
        <v>4272</v>
      </c>
      <c r="D3722" t="s">
        <v>2756</v>
      </c>
      <c r="E3722" t="str">
        <f>"00049944"</f>
        <v>00049944</v>
      </c>
      <c r="F3722">
        <v>0</v>
      </c>
      <c r="G3722" s="243">
        <v>39689</v>
      </c>
      <c r="H3722" t="s">
        <v>182</v>
      </c>
      <c r="I3722">
        <v>15</v>
      </c>
      <c r="J3722">
        <v>10</v>
      </c>
      <c r="K3722">
        <v>1</v>
      </c>
      <c r="L3722">
        <v>78273</v>
      </c>
      <c r="M3722" t="str">
        <f t="shared" si="532"/>
        <v>13</v>
      </c>
      <c r="N3722" t="s">
        <v>3323</v>
      </c>
      <c r="O3722" t="str">
        <f t="shared" si="534"/>
        <v>62911</v>
      </c>
      <c r="P3722" t="str">
        <f t="shared" ref="P3722:P3731" si="536">"2100L"</f>
        <v>2100L</v>
      </c>
      <c r="Q3722" t="str">
        <f t="shared" si="533"/>
        <v>0101</v>
      </c>
      <c r="R3722">
        <v>2100</v>
      </c>
      <c r="S3722" t="str">
        <f t="shared" si="535"/>
        <v>6290</v>
      </c>
      <c r="T3722" t="s">
        <v>3735</v>
      </c>
      <c r="U3722" t="s">
        <v>5438</v>
      </c>
    </row>
    <row r="3723" spans="1:21" ht="15" customHeight="1" x14ac:dyDescent="0.3">
      <c r="A3723" t="s">
        <v>179</v>
      </c>
      <c r="B3723" t="str">
        <f>"00074101"</f>
        <v>00074101</v>
      </c>
      <c r="C3723" t="s">
        <v>4272</v>
      </c>
      <c r="D3723" t="s">
        <v>2738</v>
      </c>
      <c r="E3723" t="str">
        <f>"00051095"</f>
        <v>00051095</v>
      </c>
      <c r="F3723">
        <v>0</v>
      </c>
      <c r="G3723" s="243">
        <v>33121</v>
      </c>
      <c r="H3723" t="s">
        <v>182</v>
      </c>
      <c r="I3723">
        <v>15</v>
      </c>
      <c r="J3723">
        <v>15</v>
      </c>
      <c r="K3723">
        <v>1</v>
      </c>
      <c r="L3723">
        <v>98285</v>
      </c>
      <c r="M3723" t="str">
        <f t="shared" si="532"/>
        <v>13</v>
      </c>
      <c r="N3723" t="s">
        <v>3323</v>
      </c>
      <c r="O3723" t="str">
        <f t="shared" si="534"/>
        <v>62911</v>
      </c>
      <c r="P3723" t="str">
        <f t="shared" si="536"/>
        <v>2100L</v>
      </c>
      <c r="Q3723" t="str">
        <f t="shared" si="533"/>
        <v>0101</v>
      </c>
      <c r="R3723">
        <v>2100</v>
      </c>
      <c r="S3723" t="str">
        <f t="shared" si="535"/>
        <v>6290</v>
      </c>
      <c r="T3723" t="s">
        <v>3735</v>
      </c>
      <c r="U3723" t="s">
        <v>5438</v>
      </c>
    </row>
    <row r="3724" spans="1:21" ht="15" customHeight="1" x14ac:dyDescent="0.3">
      <c r="A3724" t="s">
        <v>179</v>
      </c>
      <c r="B3724" t="str">
        <f>"00074102"</f>
        <v>00074102</v>
      </c>
      <c r="C3724" t="s">
        <v>4272</v>
      </c>
      <c r="D3724" t="s">
        <v>2739</v>
      </c>
      <c r="E3724" t="str">
        <f>"00051866"</f>
        <v>00051866</v>
      </c>
      <c r="F3724">
        <v>0</v>
      </c>
      <c r="G3724" s="243">
        <v>32063</v>
      </c>
      <c r="H3724" t="s">
        <v>182</v>
      </c>
      <c r="I3724">
        <v>15</v>
      </c>
      <c r="J3724">
        <v>16</v>
      </c>
      <c r="K3724">
        <v>1</v>
      </c>
      <c r="L3724">
        <v>100839</v>
      </c>
      <c r="M3724" t="str">
        <f t="shared" si="532"/>
        <v>13</v>
      </c>
      <c r="N3724" t="s">
        <v>3323</v>
      </c>
      <c r="O3724" t="str">
        <f t="shared" si="534"/>
        <v>62911</v>
      </c>
      <c r="P3724" t="str">
        <f t="shared" si="536"/>
        <v>2100L</v>
      </c>
      <c r="Q3724" t="str">
        <f t="shared" si="533"/>
        <v>0101</v>
      </c>
      <c r="R3724">
        <v>2100</v>
      </c>
      <c r="S3724" t="str">
        <f t="shared" si="535"/>
        <v>6290</v>
      </c>
      <c r="T3724" t="s">
        <v>3735</v>
      </c>
      <c r="U3724" t="s">
        <v>5438</v>
      </c>
    </row>
    <row r="3725" spans="1:21" ht="15" customHeight="1" x14ac:dyDescent="0.3">
      <c r="A3725" t="s">
        <v>179</v>
      </c>
      <c r="B3725" t="str">
        <f>"00074103"</f>
        <v>00074103</v>
      </c>
      <c r="C3725" t="s">
        <v>4272</v>
      </c>
      <c r="D3725" t="s">
        <v>3863</v>
      </c>
      <c r="E3725" t="str">
        <f>"00050237"</f>
        <v>00050237</v>
      </c>
      <c r="F3725">
        <v>0</v>
      </c>
      <c r="G3725" s="243">
        <v>36761</v>
      </c>
      <c r="H3725" t="s">
        <v>182</v>
      </c>
      <c r="I3725">
        <v>15</v>
      </c>
      <c r="J3725">
        <v>14</v>
      </c>
      <c r="K3725">
        <v>1</v>
      </c>
      <c r="L3725">
        <v>96460</v>
      </c>
      <c r="M3725" t="str">
        <f t="shared" si="532"/>
        <v>13</v>
      </c>
      <c r="N3725" t="s">
        <v>3323</v>
      </c>
      <c r="O3725" t="str">
        <f t="shared" si="534"/>
        <v>62911</v>
      </c>
      <c r="P3725" t="str">
        <f t="shared" si="536"/>
        <v>2100L</v>
      </c>
      <c r="Q3725" t="str">
        <f t="shared" si="533"/>
        <v>0101</v>
      </c>
      <c r="R3725">
        <v>2100</v>
      </c>
      <c r="S3725" t="str">
        <f t="shared" si="535"/>
        <v>6290</v>
      </c>
      <c r="T3725" t="s">
        <v>3735</v>
      </c>
      <c r="U3725" t="s">
        <v>5438</v>
      </c>
    </row>
    <row r="3726" spans="1:21" ht="15" customHeight="1" x14ac:dyDescent="0.3">
      <c r="A3726" t="s">
        <v>179</v>
      </c>
      <c r="B3726" t="str">
        <f>"00074104"</f>
        <v>00074104</v>
      </c>
      <c r="C3726" t="s">
        <v>4272</v>
      </c>
      <c r="D3726" t="s">
        <v>2740</v>
      </c>
      <c r="E3726" t="str">
        <f>"00052821"</f>
        <v>00052821</v>
      </c>
      <c r="F3726">
        <v>0</v>
      </c>
      <c r="G3726" s="243">
        <v>32050</v>
      </c>
      <c r="H3726" t="s">
        <v>182</v>
      </c>
      <c r="I3726">
        <v>15</v>
      </c>
      <c r="J3726">
        <v>16</v>
      </c>
      <c r="K3726">
        <v>1</v>
      </c>
      <c r="L3726">
        <v>100839</v>
      </c>
      <c r="M3726" t="str">
        <f t="shared" si="532"/>
        <v>13</v>
      </c>
      <c r="N3726" t="s">
        <v>3323</v>
      </c>
      <c r="O3726" t="str">
        <f t="shared" si="534"/>
        <v>62911</v>
      </c>
      <c r="P3726" t="str">
        <f t="shared" si="536"/>
        <v>2100L</v>
      </c>
      <c r="Q3726" t="str">
        <f t="shared" si="533"/>
        <v>0101</v>
      </c>
      <c r="R3726">
        <v>2100</v>
      </c>
      <c r="S3726" t="str">
        <f t="shared" si="535"/>
        <v>6290</v>
      </c>
      <c r="T3726" t="s">
        <v>3735</v>
      </c>
      <c r="U3726" t="s">
        <v>5438</v>
      </c>
    </row>
    <row r="3727" spans="1:21" ht="15" customHeight="1" x14ac:dyDescent="0.3">
      <c r="A3727" t="s">
        <v>179</v>
      </c>
      <c r="B3727" t="str">
        <f>"00074106"</f>
        <v>00074106</v>
      </c>
      <c r="C3727" t="s">
        <v>4272</v>
      </c>
      <c r="D3727" t="s">
        <v>5440</v>
      </c>
      <c r="E3727" t="str">
        <f>"00069517"</f>
        <v>00069517</v>
      </c>
      <c r="F3727">
        <v>0</v>
      </c>
      <c r="G3727" s="243">
        <v>41133</v>
      </c>
      <c r="H3727" t="s">
        <v>182</v>
      </c>
      <c r="I3727">
        <v>15</v>
      </c>
      <c r="J3727">
        <v>1</v>
      </c>
      <c r="K3727">
        <v>1</v>
      </c>
      <c r="L3727">
        <v>54975</v>
      </c>
      <c r="M3727" t="str">
        <f t="shared" si="532"/>
        <v>13</v>
      </c>
      <c r="N3727" t="s">
        <v>3370</v>
      </c>
      <c r="O3727" t="str">
        <f t="shared" si="534"/>
        <v>62911</v>
      </c>
      <c r="P3727" t="str">
        <f t="shared" si="536"/>
        <v>2100L</v>
      </c>
      <c r="Q3727" t="str">
        <f t="shared" si="533"/>
        <v>0101</v>
      </c>
      <c r="R3727">
        <v>2100</v>
      </c>
      <c r="S3727" t="str">
        <f t="shared" si="535"/>
        <v>6290</v>
      </c>
      <c r="T3727" t="s">
        <v>3735</v>
      </c>
      <c r="U3727" t="s">
        <v>5438</v>
      </c>
    </row>
    <row r="3728" spans="1:21" ht="15" customHeight="1" x14ac:dyDescent="0.3">
      <c r="A3728" t="s">
        <v>179</v>
      </c>
      <c r="B3728" t="str">
        <f>"00074107"</f>
        <v>00074107</v>
      </c>
      <c r="C3728" t="s">
        <v>4272</v>
      </c>
      <c r="D3728" t="s">
        <v>5441</v>
      </c>
      <c r="E3728" t="str">
        <f>"00069707"</f>
        <v>00069707</v>
      </c>
      <c r="F3728">
        <v>0</v>
      </c>
      <c r="G3728" s="243">
        <v>41133</v>
      </c>
      <c r="H3728" t="s">
        <v>182</v>
      </c>
      <c r="I3728">
        <v>15</v>
      </c>
      <c r="J3728">
        <v>1</v>
      </c>
      <c r="K3728">
        <v>1</v>
      </c>
      <c r="L3728">
        <v>54975</v>
      </c>
      <c r="M3728" t="str">
        <f t="shared" si="532"/>
        <v>13</v>
      </c>
      <c r="N3728" t="s">
        <v>3323</v>
      </c>
      <c r="O3728" t="str">
        <f t="shared" si="534"/>
        <v>62911</v>
      </c>
      <c r="P3728" t="str">
        <f t="shared" si="536"/>
        <v>2100L</v>
      </c>
      <c r="Q3728" t="str">
        <f t="shared" si="533"/>
        <v>0101</v>
      </c>
      <c r="R3728">
        <v>2100</v>
      </c>
      <c r="S3728" t="str">
        <f t="shared" si="535"/>
        <v>6290</v>
      </c>
      <c r="T3728" t="s">
        <v>3735</v>
      </c>
      <c r="U3728" t="s">
        <v>5438</v>
      </c>
    </row>
    <row r="3729" spans="1:21" ht="15" customHeight="1" x14ac:dyDescent="0.3">
      <c r="A3729" t="s">
        <v>179</v>
      </c>
      <c r="B3729" t="str">
        <f>"00074108"</f>
        <v>00074108</v>
      </c>
      <c r="C3729" t="s">
        <v>4272</v>
      </c>
      <c r="D3729" t="s">
        <v>5442</v>
      </c>
      <c r="E3729" t="str">
        <f>"00066666"</f>
        <v>00066666</v>
      </c>
      <c r="F3729">
        <v>0</v>
      </c>
      <c r="G3729" s="243">
        <v>40805</v>
      </c>
      <c r="H3729" t="s">
        <v>182</v>
      </c>
      <c r="I3729">
        <v>15</v>
      </c>
      <c r="J3729">
        <v>2</v>
      </c>
      <c r="K3729">
        <v>1</v>
      </c>
      <c r="L3729">
        <v>58699</v>
      </c>
      <c r="M3729" t="str">
        <f t="shared" si="532"/>
        <v>13</v>
      </c>
      <c r="N3729" t="s">
        <v>3323</v>
      </c>
      <c r="O3729" t="str">
        <f t="shared" si="534"/>
        <v>62911</v>
      </c>
      <c r="P3729" t="str">
        <f t="shared" si="536"/>
        <v>2100L</v>
      </c>
      <c r="Q3729" t="str">
        <f t="shared" si="533"/>
        <v>0101</v>
      </c>
      <c r="R3729">
        <v>2100</v>
      </c>
      <c r="S3729" t="str">
        <f t="shared" si="535"/>
        <v>6290</v>
      </c>
      <c r="T3729" t="s">
        <v>3735</v>
      </c>
      <c r="U3729" t="s">
        <v>5438</v>
      </c>
    </row>
    <row r="3730" spans="1:21" ht="15" customHeight="1" x14ac:dyDescent="0.3">
      <c r="A3730" t="s">
        <v>179</v>
      </c>
      <c r="B3730" t="str">
        <f>"00074109"</f>
        <v>00074109</v>
      </c>
      <c r="C3730" t="s">
        <v>4272</v>
      </c>
      <c r="D3730" t="s">
        <v>3864</v>
      </c>
      <c r="E3730" t="str">
        <f>"00066224"</f>
        <v>00066224</v>
      </c>
      <c r="F3730">
        <v>0</v>
      </c>
      <c r="G3730" s="243">
        <v>40757</v>
      </c>
      <c r="H3730" t="s">
        <v>182</v>
      </c>
      <c r="I3730">
        <v>15</v>
      </c>
      <c r="J3730">
        <v>3</v>
      </c>
      <c r="K3730">
        <v>1</v>
      </c>
      <c r="L3730">
        <v>58699</v>
      </c>
      <c r="M3730" t="str">
        <f t="shared" si="532"/>
        <v>13</v>
      </c>
      <c r="N3730" t="s">
        <v>3323</v>
      </c>
      <c r="O3730" t="str">
        <f t="shared" si="534"/>
        <v>62911</v>
      </c>
      <c r="P3730" t="str">
        <f t="shared" si="536"/>
        <v>2100L</v>
      </c>
      <c r="Q3730" t="str">
        <f t="shared" si="533"/>
        <v>0101</v>
      </c>
      <c r="R3730">
        <v>2100</v>
      </c>
      <c r="S3730" t="str">
        <f t="shared" si="535"/>
        <v>6290</v>
      </c>
      <c r="T3730" t="s">
        <v>3735</v>
      </c>
      <c r="U3730" t="s">
        <v>5438</v>
      </c>
    </row>
    <row r="3731" spans="1:21" ht="15" customHeight="1" x14ac:dyDescent="0.3">
      <c r="A3731" t="s">
        <v>179</v>
      </c>
      <c r="B3731" t="str">
        <f>"00074110"</f>
        <v>00074110</v>
      </c>
      <c r="C3731" t="s">
        <v>4272</v>
      </c>
      <c r="D3731" t="s">
        <v>3865</v>
      </c>
      <c r="E3731" t="str">
        <f>"00066420"</f>
        <v>00066420</v>
      </c>
      <c r="F3731">
        <v>0</v>
      </c>
      <c r="G3731" s="243">
        <v>40756</v>
      </c>
      <c r="H3731" t="s">
        <v>182</v>
      </c>
      <c r="I3731">
        <v>15</v>
      </c>
      <c r="J3731">
        <v>4</v>
      </c>
      <c r="K3731">
        <v>1</v>
      </c>
      <c r="L3731">
        <v>61158</v>
      </c>
      <c r="M3731" t="str">
        <f t="shared" si="532"/>
        <v>13</v>
      </c>
      <c r="N3731" t="s">
        <v>3323</v>
      </c>
      <c r="O3731" t="str">
        <f t="shared" si="534"/>
        <v>62911</v>
      </c>
      <c r="P3731" t="str">
        <f t="shared" si="536"/>
        <v>2100L</v>
      </c>
      <c r="Q3731" t="str">
        <f t="shared" si="533"/>
        <v>0101</v>
      </c>
      <c r="R3731">
        <v>2100</v>
      </c>
      <c r="S3731" t="str">
        <f t="shared" si="535"/>
        <v>6290</v>
      </c>
      <c r="T3731" t="s">
        <v>3735</v>
      </c>
      <c r="U3731" t="s">
        <v>5438</v>
      </c>
    </row>
    <row r="3732" spans="1:21" ht="15" customHeight="1" x14ac:dyDescent="0.3">
      <c r="A3732" t="s">
        <v>179</v>
      </c>
      <c r="B3732" t="str">
        <f>"00074112"</f>
        <v>00074112</v>
      </c>
      <c r="C3732" t="s">
        <v>4274</v>
      </c>
      <c r="D3732" t="s">
        <v>5443</v>
      </c>
      <c r="E3732" t="str">
        <f>"00056124"</f>
        <v>00056124</v>
      </c>
      <c r="F3732">
        <v>0</v>
      </c>
      <c r="G3732" s="243">
        <v>40042</v>
      </c>
      <c r="H3732" t="s">
        <v>182</v>
      </c>
      <c r="I3732">
        <v>4</v>
      </c>
      <c r="J3732">
        <v>4</v>
      </c>
      <c r="K3732">
        <v>0.71</v>
      </c>
      <c r="L3732">
        <v>24543.75</v>
      </c>
      <c r="M3732" t="str">
        <f t="shared" si="532"/>
        <v>13</v>
      </c>
      <c r="N3732" t="s">
        <v>3370</v>
      </c>
      <c r="O3732" t="str">
        <f t="shared" si="534"/>
        <v>62911</v>
      </c>
      <c r="P3732" t="str">
        <f t="shared" ref="P3732:P3749" si="537">"2100L"</f>
        <v>2100L</v>
      </c>
      <c r="Q3732" t="str">
        <f t="shared" si="533"/>
        <v>0101</v>
      </c>
      <c r="R3732">
        <v>2100</v>
      </c>
      <c r="S3732" t="str">
        <f t="shared" si="535"/>
        <v>6290</v>
      </c>
      <c r="T3732" t="s">
        <v>3735</v>
      </c>
      <c r="U3732" t="s">
        <v>5438</v>
      </c>
    </row>
    <row r="3733" spans="1:21" ht="15" customHeight="1" x14ac:dyDescent="0.3">
      <c r="A3733" t="s">
        <v>179</v>
      </c>
      <c r="B3733" t="str">
        <f>"00074113"</f>
        <v>00074113</v>
      </c>
      <c r="C3733" t="s">
        <v>4274</v>
      </c>
      <c r="D3733" t="s">
        <v>5444</v>
      </c>
      <c r="E3733" t="str">
        <f>"00070031"</f>
        <v>00070031</v>
      </c>
      <c r="F3733">
        <v>0</v>
      </c>
      <c r="G3733" s="243">
        <v>41133</v>
      </c>
      <c r="H3733" t="s">
        <v>182</v>
      </c>
      <c r="I3733">
        <v>4</v>
      </c>
      <c r="J3733">
        <v>5</v>
      </c>
      <c r="K3733">
        <v>0.71</v>
      </c>
      <c r="L3733">
        <v>25239.37</v>
      </c>
      <c r="M3733" t="str">
        <f t="shared" si="532"/>
        <v>13</v>
      </c>
      <c r="N3733" t="s">
        <v>3370</v>
      </c>
      <c r="O3733" t="str">
        <f t="shared" si="534"/>
        <v>62911</v>
      </c>
      <c r="P3733" t="str">
        <f t="shared" si="537"/>
        <v>2100L</v>
      </c>
      <c r="Q3733" t="str">
        <f t="shared" si="533"/>
        <v>0101</v>
      </c>
      <c r="R3733">
        <v>2100</v>
      </c>
      <c r="S3733" t="str">
        <f t="shared" si="535"/>
        <v>6290</v>
      </c>
      <c r="T3733" t="s">
        <v>3735</v>
      </c>
      <c r="U3733" t="s">
        <v>5438</v>
      </c>
    </row>
    <row r="3734" spans="1:21" ht="15" customHeight="1" x14ac:dyDescent="0.3">
      <c r="A3734" t="s">
        <v>179</v>
      </c>
      <c r="B3734" t="str">
        <f>"00074114"</f>
        <v>00074114</v>
      </c>
      <c r="C3734" t="s">
        <v>4274</v>
      </c>
      <c r="D3734" t="s">
        <v>5445</v>
      </c>
      <c r="E3734" t="str">
        <f>"00050962"</f>
        <v>00050962</v>
      </c>
      <c r="F3734">
        <v>0</v>
      </c>
      <c r="G3734" s="243">
        <v>40084</v>
      </c>
      <c r="H3734" t="s">
        <v>182</v>
      </c>
      <c r="I3734">
        <v>4</v>
      </c>
      <c r="J3734">
        <v>8</v>
      </c>
      <c r="K3734">
        <v>0.71</v>
      </c>
      <c r="L3734">
        <v>27329.75</v>
      </c>
      <c r="M3734" t="str">
        <f t="shared" si="532"/>
        <v>13</v>
      </c>
      <c r="N3734" t="s">
        <v>3323</v>
      </c>
      <c r="O3734" t="str">
        <f t="shared" si="534"/>
        <v>62911</v>
      </c>
      <c r="P3734" t="str">
        <f t="shared" si="537"/>
        <v>2100L</v>
      </c>
      <c r="Q3734" t="str">
        <f t="shared" si="533"/>
        <v>0101</v>
      </c>
      <c r="R3734">
        <v>2100</v>
      </c>
      <c r="S3734" t="str">
        <f t="shared" si="535"/>
        <v>6290</v>
      </c>
      <c r="T3734" t="s">
        <v>3735</v>
      </c>
      <c r="U3734" t="s">
        <v>5438</v>
      </c>
    </row>
    <row r="3735" spans="1:21" ht="15" customHeight="1" x14ac:dyDescent="0.3">
      <c r="A3735" t="s">
        <v>179</v>
      </c>
      <c r="B3735" t="str">
        <f>"00074115"</f>
        <v>00074115</v>
      </c>
      <c r="C3735" t="s">
        <v>4290</v>
      </c>
      <c r="D3735" t="s">
        <v>5446</v>
      </c>
      <c r="E3735" t="str">
        <f>"00054358"</f>
        <v>00054358</v>
      </c>
      <c r="F3735">
        <v>0</v>
      </c>
      <c r="G3735" s="243">
        <v>36039</v>
      </c>
      <c r="H3735" t="s">
        <v>182</v>
      </c>
      <c r="I3735">
        <v>4</v>
      </c>
      <c r="J3735">
        <v>9</v>
      </c>
      <c r="K3735">
        <v>0.71</v>
      </c>
      <c r="L3735">
        <v>28025.38</v>
      </c>
      <c r="M3735" t="str">
        <f t="shared" si="532"/>
        <v>13</v>
      </c>
      <c r="N3735" t="s">
        <v>3323</v>
      </c>
      <c r="O3735" t="str">
        <f t="shared" si="534"/>
        <v>62911</v>
      </c>
      <c r="P3735" t="str">
        <f t="shared" si="537"/>
        <v>2100L</v>
      </c>
      <c r="Q3735" t="str">
        <f t="shared" si="533"/>
        <v>0101</v>
      </c>
      <c r="R3735">
        <v>2100</v>
      </c>
      <c r="S3735" t="str">
        <f t="shared" si="535"/>
        <v>6290</v>
      </c>
      <c r="T3735" t="s">
        <v>3735</v>
      </c>
      <c r="U3735" t="s">
        <v>5438</v>
      </c>
    </row>
    <row r="3736" spans="1:21" ht="15" customHeight="1" x14ac:dyDescent="0.3">
      <c r="A3736" t="s">
        <v>179</v>
      </c>
      <c r="B3736" t="str">
        <f>"00074117"</f>
        <v>00074117</v>
      </c>
      <c r="C3736" t="s">
        <v>4290</v>
      </c>
      <c r="H3736" t="s">
        <v>170</v>
      </c>
      <c r="I3736">
        <v>4</v>
      </c>
      <c r="J3736">
        <v>1</v>
      </c>
      <c r="K3736">
        <v>0.71</v>
      </c>
      <c r="L3736">
        <v>25662</v>
      </c>
      <c r="M3736" t="str">
        <f t="shared" si="532"/>
        <v>13</v>
      </c>
      <c r="N3736" t="s">
        <v>3370</v>
      </c>
      <c r="O3736" t="str">
        <f t="shared" si="534"/>
        <v>62911</v>
      </c>
      <c r="P3736" t="str">
        <f t="shared" si="537"/>
        <v>2100L</v>
      </c>
      <c r="Q3736" t="str">
        <f t="shared" si="533"/>
        <v>0101</v>
      </c>
      <c r="R3736">
        <v>2100</v>
      </c>
      <c r="S3736" t="str">
        <f t="shared" si="535"/>
        <v>6290</v>
      </c>
      <c r="T3736" t="s">
        <v>3735</v>
      </c>
      <c r="U3736" t="s">
        <v>5438</v>
      </c>
    </row>
    <row r="3737" spans="1:21" ht="15" customHeight="1" x14ac:dyDescent="0.3">
      <c r="A3737" t="s">
        <v>179</v>
      </c>
      <c r="B3737" t="str">
        <f>"00074119"</f>
        <v>00074119</v>
      </c>
      <c r="C3737" t="s">
        <v>4288</v>
      </c>
      <c r="D3737" t="s">
        <v>5447</v>
      </c>
      <c r="E3737" t="str">
        <f>"00050696"</f>
        <v>00050696</v>
      </c>
      <c r="F3737">
        <v>0</v>
      </c>
      <c r="G3737" s="243">
        <v>39315</v>
      </c>
      <c r="H3737" t="s">
        <v>182</v>
      </c>
      <c r="I3737">
        <v>4</v>
      </c>
      <c r="J3737">
        <v>5</v>
      </c>
      <c r="K3737">
        <v>0.71</v>
      </c>
      <c r="L3737">
        <v>25239.37</v>
      </c>
      <c r="M3737" t="str">
        <f t="shared" si="532"/>
        <v>13</v>
      </c>
      <c r="N3737" t="s">
        <v>3323</v>
      </c>
      <c r="O3737" t="str">
        <f t="shared" si="534"/>
        <v>62911</v>
      </c>
      <c r="P3737" t="str">
        <f t="shared" si="537"/>
        <v>2100L</v>
      </c>
      <c r="Q3737" t="str">
        <f t="shared" si="533"/>
        <v>0101</v>
      </c>
      <c r="R3737">
        <v>2100</v>
      </c>
      <c r="S3737" t="str">
        <f t="shared" si="535"/>
        <v>6290</v>
      </c>
      <c r="T3737" t="s">
        <v>3735</v>
      </c>
      <c r="U3737" t="s">
        <v>5438</v>
      </c>
    </row>
    <row r="3738" spans="1:21" ht="15" customHeight="1" x14ac:dyDescent="0.3">
      <c r="A3738" t="s">
        <v>179</v>
      </c>
      <c r="B3738" t="str">
        <f>"00074120"</f>
        <v>00074120</v>
      </c>
      <c r="C3738" t="s">
        <v>4288</v>
      </c>
      <c r="D3738" t="s">
        <v>5448</v>
      </c>
      <c r="E3738" t="str">
        <f>"00066472"</f>
        <v>00066472</v>
      </c>
      <c r="F3738">
        <v>0</v>
      </c>
      <c r="G3738" s="243">
        <v>40770</v>
      </c>
      <c r="H3738" t="s">
        <v>182</v>
      </c>
      <c r="I3738">
        <v>4</v>
      </c>
      <c r="J3738">
        <v>6</v>
      </c>
      <c r="K3738">
        <v>0.71</v>
      </c>
      <c r="L3738">
        <v>25935.88</v>
      </c>
      <c r="M3738" t="str">
        <f t="shared" si="532"/>
        <v>13</v>
      </c>
      <c r="N3738" t="s">
        <v>3323</v>
      </c>
      <c r="O3738" t="str">
        <f t="shared" si="534"/>
        <v>62911</v>
      </c>
      <c r="P3738" t="str">
        <f t="shared" si="537"/>
        <v>2100L</v>
      </c>
      <c r="Q3738" t="str">
        <f t="shared" si="533"/>
        <v>0101</v>
      </c>
      <c r="R3738">
        <v>2100</v>
      </c>
      <c r="S3738" t="str">
        <f t="shared" si="535"/>
        <v>6290</v>
      </c>
      <c r="T3738" t="s">
        <v>3735</v>
      </c>
      <c r="U3738" t="s">
        <v>5438</v>
      </c>
    </row>
    <row r="3739" spans="1:21" ht="15" customHeight="1" x14ac:dyDescent="0.3">
      <c r="A3739" t="s">
        <v>179</v>
      </c>
      <c r="B3739" t="str">
        <f>"00074338"</f>
        <v>00074338</v>
      </c>
      <c r="C3739" t="s">
        <v>4337</v>
      </c>
      <c r="H3739" t="s">
        <v>170</v>
      </c>
      <c r="I3739">
        <v>15</v>
      </c>
      <c r="J3739">
        <v>1</v>
      </c>
      <c r="K3739">
        <v>0.5</v>
      </c>
      <c r="L3739">
        <v>53256</v>
      </c>
      <c r="M3739" t="str">
        <f t="shared" si="532"/>
        <v>13</v>
      </c>
      <c r="N3739" t="s">
        <v>3323</v>
      </c>
      <c r="O3739" t="str">
        <f t="shared" si="534"/>
        <v>62911</v>
      </c>
      <c r="P3739" t="str">
        <f t="shared" si="537"/>
        <v>2100L</v>
      </c>
      <c r="Q3739" t="str">
        <f t="shared" si="533"/>
        <v>0101</v>
      </c>
      <c r="R3739">
        <v>2100</v>
      </c>
      <c r="S3739" t="str">
        <f t="shared" si="535"/>
        <v>6290</v>
      </c>
      <c r="T3739" t="s">
        <v>3653</v>
      </c>
      <c r="U3739" t="s">
        <v>1950</v>
      </c>
    </row>
    <row r="3740" spans="1:21" ht="15" customHeight="1" x14ac:dyDescent="0.3">
      <c r="A3740" t="s">
        <v>179</v>
      </c>
      <c r="B3740" t="str">
        <f>"00074482"</f>
        <v>00074482</v>
      </c>
      <c r="C3740" t="s">
        <v>4256</v>
      </c>
      <c r="D3740" t="s">
        <v>2754</v>
      </c>
      <c r="E3740" t="str">
        <f>"00012563"</f>
        <v>00012563</v>
      </c>
      <c r="F3740">
        <v>1</v>
      </c>
      <c r="G3740" s="243">
        <v>38601</v>
      </c>
      <c r="H3740" t="s">
        <v>182</v>
      </c>
      <c r="I3740">
        <v>15</v>
      </c>
      <c r="J3740">
        <v>12</v>
      </c>
      <c r="K3740">
        <v>1</v>
      </c>
      <c r="L3740">
        <v>87431</v>
      </c>
      <c r="M3740" t="str">
        <f t="shared" si="532"/>
        <v>13</v>
      </c>
      <c r="N3740" t="s">
        <v>3323</v>
      </c>
      <c r="O3740" t="str">
        <f t="shared" si="534"/>
        <v>62911</v>
      </c>
      <c r="P3740" t="str">
        <f t="shared" si="537"/>
        <v>2100L</v>
      </c>
      <c r="Q3740" t="str">
        <f t="shared" si="533"/>
        <v>0101</v>
      </c>
      <c r="R3740">
        <v>2100</v>
      </c>
      <c r="S3740" t="str">
        <f t="shared" si="535"/>
        <v>6290</v>
      </c>
      <c r="T3740" t="s">
        <v>3735</v>
      </c>
      <c r="U3740" t="s">
        <v>5438</v>
      </c>
    </row>
    <row r="3741" spans="1:21" ht="15" customHeight="1" x14ac:dyDescent="0.3">
      <c r="A3741" t="s">
        <v>179</v>
      </c>
      <c r="B3741" t="str">
        <f>"00074493"</f>
        <v>00074493</v>
      </c>
      <c r="C3741" t="s">
        <v>200</v>
      </c>
      <c r="D3741" t="s">
        <v>2760</v>
      </c>
      <c r="E3741" t="str">
        <f>"00057450"</f>
        <v>00057450</v>
      </c>
      <c r="F3741">
        <v>0</v>
      </c>
      <c r="G3741" s="243">
        <v>40042</v>
      </c>
      <c r="H3741" t="s">
        <v>182</v>
      </c>
      <c r="I3741">
        <v>15</v>
      </c>
      <c r="J3741">
        <v>13</v>
      </c>
      <c r="K3741">
        <v>1</v>
      </c>
      <c r="L3741">
        <v>95366</v>
      </c>
      <c r="M3741" t="str">
        <f t="shared" si="532"/>
        <v>13</v>
      </c>
      <c r="N3741" t="s">
        <v>3323</v>
      </c>
      <c r="O3741" t="str">
        <f t="shared" si="534"/>
        <v>62911</v>
      </c>
      <c r="P3741" t="str">
        <f t="shared" si="537"/>
        <v>2100L</v>
      </c>
      <c r="Q3741" t="str">
        <f t="shared" si="533"/>
        <v>0101</v>
      </c>
      <c r="R3741">
        <v>2100</v>
      </c>
      <c r="S3741" t="str">
        <f t="shared" si="535"/>
        <v>6290</v>
      </c>
      <c r="T3741" t="s">
        <v>3735</v>
      </c>
      <c r="U3741" t="s">
        <v>5438</v>
      </c>
    </row>
    <row r="3742" spans="1:21" ht="15" customHeight="1" x14ac:dyDescent="0.3">
      <c r="A3742" t="s">
        <v>179</v>
      </c>
      <c r="B3742" t="str">
        <f>"00074504"</f>
        <v>00074504</v>
      </c>
      <c r="C3742" t="s">
        <v>4259</v>
      </c>
      <c r="D3742" t="s">
        <v>2510</v>
      </c>
      <c r="E3742" t="str">
        <f>"00057577"</f>
        <v>00057577</v>
      </c>
      <c r="F3742">
        <v>0</v>
      </c>
      <c r="G3742" s="243">
        <v>40042</v>
      </c>
      <c r="H3742" t="s">
        <v>182</v>
      </c>
      <c r="I3742">
        <v>15</v>
      </c>
      <c r="J3742">
        <v>12</v>
      </c>
      <c r="K3742">
        <v>1</v>
      </c>
      <c r="L3742">
        <v>87431</v>
      </c>
      <c r="M3742" t="str">
        <f t="shared" si="532"/>
        <v>13</v>
      </c>
      <c r="N3742" t="s">
        <v>3323</v>
      </c>
      <c r="O3742" t="str">
        <f t="shared" si="534"/>
        <v>62911</v>
      </c>
      <c r="P3742" t="str">
        <f t="shared" si="537"/>
        <v>2100L</v>
      </c>
      <c r="Q3742" t="str">
        <f t="shared" si="533"/>
        <v>0101</v>
      </c>
      <c r="R3742">
        <v>2100</v>
      </c>
      <c r="S3742" t="str">
        <f t="shared" si="535"/>
        <v>6290</v>
      </c>
      <c r="T3742" t="s">
        <v>3735</v>
      </c>
      <c r="U3742" t="s">
        <v>5438</v>
      </c>
    </row>
    <row r="3743" spans="1:21" ht="15" customHeight="1" x14ac:dyDescent="0.3">
      <c r="A3743" t="s">
        <v>179</v>
      </c>
      <c r="B3743" t="str">
        <f>"00074516"</f>
        <v>00074516</v>
      </c>
      <c r="C3743" t="s">
        <v>4293</v>
      </c>
      <c r="H3743" t="s">
        <v>170</v>
      </c>
      <c r="I3743">
        <v>15</v>
      </c>
      <c r="J3743">
        <v>1</v>
      </c>
      <c r="K3743">
        <v>0.5</v>
      </c>
      <c r="L3743">
        <v>54975</v>
      </c>
      <c r="M3743" t="str">
        <f t="shared" si="532"/>
        <v>13</v>
      </c>
      <c r="N3743" t="s">
        <v>3323</v>
      </c>
      <c r="O3743" t="str">
        <f t="shared" si="534"/>
        <v>62911</v>
      </c>
      <c r="P3743" t="str">
        <f t="shared" si="537"/>
        <v>2100L</v>
      </c>
      <c r="Q3743" t="str">
        <f t="shared" si="533"/>
        <v>0101</v>
      </c>
      <c r="R3743">
        <v>2100</v>
      </c>
      <c r="S3743" t="str">
        <f t="shared" si="535"/>
        <v>6290</v>
      </c>
      <c r="T3743" t="s">
        <v>3735</v>
      </c>
      <c r="U3743" t="s">
        <v>5438</v>
      </c>
    </row>
    <row r="3744" spans="1:21" ht="15" customHeight="1" x14ac:dyDescent="0.3">
      <c r="A3744" t="s">
        <v>179</v>
      </c>
      <c r="B3744" t="str">
        <f>"00075981"</f>
        <v>00075981</v>
      </c>
      <c r="C3744" t="s">
        <v>4271</v>
      </c>
      <c r="H3744" t="s">
        <v>170</v>
      </c>
      <c r="I3744">
        <v>15</v>
      </c>
      <c r="J3744">
        <v>0</v>
      </c>
      <c r="K3744">
        <v>0.5</v>
      </c>
      <c r="L3744">
        <v>51539</v>
      </c>
      <c r="M3744" t="str">
        <f t="shared" si="532"/>
        <v>13</v>
      </c>
      <c r="N3744" t="s">
        <v>3370</v>
      </c>
      <c r="O3744" t="str">
        <f t="shared" si="534"/>
        <v>62911</v>
      </c>
      <c r="P3744" t="str">
        <f t="shared" si="537"/>
        <v>2100L</v>
      </c>
      <c r="Q3744" t="str">
        <f t="shared" si="533"/>
        <v>0101</v>
      </c>
      <c r="R3744">
        <v>2100</v>
      </c>
      <c r="S3744" t="str">
        <f t="shared" si="535"/>
        <v>6290</v>
      </c>
      <c r="T3744" t="s">
        <v>3735</v>
      </c>
      <c r="U3744" t="s">
        <v>5438</v>
      </c>
    </row>
    <row r="3745" spans="1:21" ht="15" customHeight="1" x14ac:dyDescent="0.3">
      <c r="A3745" t="s">
        <v>179</v>
      </c>
      <c r="B3745" t="str">
        <f>"00075982"</f>
        <v>00075982</v>
      </c>
      <c r="C3745" t="s">
        <v>4262</v>
      </c>
      <c r="D3745" t="s">
        <v>1964</v>
      </c>
      <c r="E3745" t="str">
        <f>"00057648"</f>
        <v>00057648</v>
      </c>
      <c r="F3745">
        <v>0</v>
      </c>
      <c r="G3745" s="243">
        <v>40042</v>
      </c>
      <c r="H3745" t="s">
        <v>182</v>
      </c>
      <c r="I3745">
        <v>15</v>
      </c>
      <c r="J3745">
        <v>2</v>
      </c>
      <c r="K3745">
        <v>1</v>
      </c>
      <c r="L3745">
        <v>56242</v>
      </c>
      <c r="M3745" t="str">
        <f t="shared" si="532"/>
        <v>13</v>
      </c>
      <c r="N3745" t="s">
        <v>3323</v>
      </c>
      <c r="O3745" t="str">
        <f t="shared" si="534"/>
        <v>62911</v>
      </c>
      <c r="P3745" t="str">
        <f t="shared" si="537"/>
        <v>2100L</v>
      </c>
      <c r="Q3745" t="str">
        <f t="shared" si="533"/>
        <v>0101</v>
      </c>
      <c r="R3745">
        <v>2100</v>
      </c>
      <c r="S3745" t="str">
        <f t="shared" si="535"/>
        <v>6290</v>
      </c>
      <c r="T3745" t="s">
        <v>3735</v>
      </c>
      <c r="U3745" t="s">
        <v>5438</v>
      </c>
    </row>
    <row r="3746" spans="1:21" ht="15" customHeight="1" x14ac:dyDescent="0.3">
      <c r="A3746" t="s">
        <v>179</v>
      </c>
      <c r="B3746" t="str">
        <f>"00051711"</f>
        <v>00051711</v>
      </c>
      <c r="C3746" t="s">
        <v>4262</v>
      </c>
      <c r="D3746" t="s">
        <v>548</v>
      </c>
      <c r="E3746" t="str">
        <f>"00063008"</f>
        <v>00063008</v>
      </c>
      <c r="F3746">
        <v>0</v>
      </c>
      <c r="G3746" s="243">
        <v>40406</v>
      </c>
      <c r="H3746" t="s">
        <v>182</v>
      </c>
      <c r="I3746">
        <v>15</v>
      </c>
      <c r="J3746">
        <v>12</v>
      </c>
      <c r="K3746">
        <v>1</v>
      </c>
      <c r="L3746">
        <v>89887</v>
      </c>
      <c r="M3746" t="str">
        <f t="shared" si="532"/>
        <v>13</v>
      </c>
      <c r="N3746" t="s">
        <v>3323</v>
      </c>
      <c r="O3746" t="str">
        <f t="shared" ref="O3746:O3771" si="538">"63211"</f>
        <v>63211</v>
      </c>
      <c r="P3746" t="str">
        <f t="shared" si="537"/>
        <v>2100L</v>
      </c>
      <c r="Q3746" t="str">
        <f t="shared" si="533"/>
        <v>0101</v>
      </c>
      <c r="R3746">
        <v>2100</v>
      </c>
      <c r="S3746" t="str">
        <f t="shared" ref="S3746:S3771" si="539">"6320"</f>
        <v>6320</v>
      </c>
      <c r="T3746" t="s">
        <v>3853</v>
      </c>
      <c r="U3746" t="s">
        <v>549</v>
      </c>
    </row>
    <row r="3747" spans="1:21" ht="15" customHeight="1" x14ac:dyDescent="0.3">
      <c r="A3747" t="s">
        <v>179</v>
      </c>
      <c r="B3747" t="str">
        <f>"00051766"</f>
        <v>00051766</v>
      </c>
      <c r="C3747" t="s">
        <v>4262</v>
      </c>
      <c r="D3747" t="s">
        <v>3866</v>
      </c>
      <c r="E3747" t="str">
        <f>"00066983"</f>
        <v>00066983</v>
      </c>
      <c r="F3747">
        <v>0</v>
      </c>
      <c r="G3747" s="243">
        <v>40840</v>
      </c>
      <c r="H3747" t="s">
        <v>182</v>
      </c>
      <c r="I3747">
        <v>15</v>
      </c>
      <c r="J3747">
        <v>11</v>
      </c>
      <c r="K3747">
        <v>1</v>
      </c>
      <c r="L3747">
        <v>81335</v>
      </c>
      <c r="M3747" t="str">
        <f t="shared" si="532"/>
        <v>13</v>
      </c>
      <c r="N3747" t="s">
        <v>3323</v>
      </c>
      <c r="O3747" t="str">
        <f t="shared" si="538"/>
        <v>63211</v>
      </c>
      <c r="P3747" t="str">
        <f t="shared" si="537"/>
        <v>2100L</v>
      </c>
      <c r="Q3747" t="str">
        <f t="shared" si="533"/>
        <v>0101</v>
      </c>
      <c r="R3747">
        <v>2100</v>
      </c>
      <c r="S3747" t="str">
        <f t="shared" si="539"/>
        <v>6320</v>
      </c>
      <c r="T3747" t="s">
        <v>3853</v>
      </c>
      <c r="U3747" t="s">
        <v>549</v>
      </c>
    </row>
    <row r="3748" spans="1:21" ht="15" customHeight="1" x14ac:dyDescent="0.3">
      <c r="A3748" t="s">
        <v>179</v>
      </c>
      <c r="B3748" t="str">
        <f>"00051971"</f>
        <v>00051971</v>
      </c>
      <c r="C3748" t="s">
        <v>4253</v>
      </c>
      <c r="D3748" t="s">
        <v>551</v>
      </c>
      <c r="E3748" t="str">
        <f>"00046740"</f>
        <v>00046740</v>
      </c>
      <c r="F3748">
        <v>0</v>
      </c>
      <c r="G3748" s="243">
        <v>32018</v>
      </c>
      <c r="H3748" t="s">
        <v>182</v>
      </c>
      <c r="I3748">
        <v>15</v>
      </c>
      <c r="J3748">
        <v>16</v>
      </c>
      <c r="K3748">
        <v>1</v>
      </c>
      <c r="L3748">
        <v>100839</v>
      </c>
      <c r="M3748" t="str">
        <f t="shared" ref="M3748:M3803" si="540">"13"</f>
        <v>13</v>
      </c>
      <c r="N3748" t="s">
        <v>3323</v>
      </c>
      <c r="O3748" t="str">
        <f t="shared" si="538"/>
        <v>63211</v>
      </c>
      <c r="P3748" t="str">
        <f t="shared" si="537"/>
        <v>2100L</v>
      </c>
      <c r="Q3748" t="str">
        <f t="shared" si="533"/>
        <v>0101</v>
      </c>
      <c r="R3748">
        <v>2100</v>
      </c>
      <c r="S3748" t="str">
        <f t="shared" si="539"/>
        <v>6320</v>
      </c>
      <c r="T3748" t="s">
        <v>3853</v>
      </c>
      <c r="U3748" t="s">
        <v>549</v>
      </c>
    </row>
    <row r="3749" spans="1:21" ht="15" customHeight="1" x14ac:dyDescent="0.3">
      <c r="A3749" t="s">
        <v>179</v>
      </c>
      <c r="B3749" t="str">
        <f>"00052081"</f>
        <v>00052081</v>
      </c>
      <c r="C3749" t="s">
        <v>4262</v>
      </c>
      <c r="D3749" t="s">
        <v>5449</v>
      </c>
      <c r="E3749" t="str">
        <f>"00056694"</f>
        <v>00056694</v>
      </c>
      <c r="F3749">
        <v>0</v>
      </c>
      <c r="G3749" s="243">
        <v>41009</v>
      </c>
      <c r="H3749" t="s">
        <v>182</v>
      </c>
      <c r="I3749">
        <v>15</v>
      </c>
      <c r="J3749">
        <v>1</v>
      </c>
      <c r="K3749">
        <v>1</v>
      </c>
      <c r="L3749">
        <v>51539</v>
      </c>
      <c r="M3749" t="str">
        <f t="shared" si="540"/>
        <v>13</v>
      </c>
      <c r="N3749" t="s">
        <v>3323</v>
      </c>
      <c r="O3749" t="str">
        <f t="shared" si="538"/>
        <v>63211</v>
      </c>
      <c r="P3749" t="str">
        <f t="shared" si="537"/>
        <v>2100L</v>
      </c>
      <c r="Q3749" t="str">
        <f t="shared" si="533"/>
        <v>0101</v>
      </c>
      <c r="R3749">
        <v>2100</v>
      </c>
      <c r="S3749" t="str">
        <f t="shared" si="539"/>
        <v>6320</v>
      </c>
      <c r="T3749" t="s">
        <v>3853</v>
      </c>
      <c r="U3749" t="s">
        <v>549</v>
      </c>
    </row>
    <row r="3750" spans="1:21" ht="15" customHeight="1" x14ac:dyDescent="0.3">
      <c r="A3750" t="s">
        <v>179</v>
      </c>
      <c r="B3750" t="str">
        <f>"00052517"</f>
        <v>00052517</v>
      </c>
      <c r="C3750" t="s">
        <v>4260</v>
      </c>
      <c r="D3750" t="s">
        <v>552</v>
      </c>
      <c r="E3750" t="str">
        <f>"00048462"</f>
        <v>00048462</v>
      </c>
      <c r="F3750">
        <v>0</v>
      </c>
      <c r="G3750" s="243">
        <v>32440</v>
      </c>
      <c r="H3750" t="s">
        <v>182</v>
      </c>
      <c r="I3750">
        <v>15</v>
      </c>
      <c r="J3750">
        <v>13</v>
      </c>
      <c r="K3750">
        <v>1</v>
      </c>
      <c r="L3750">
        <v>86613</v>
      </c>
      <c r="M3750" t="str">
        <f t="shared" si="540"/>
        <v>13</v>
      </c>
      <c r="N3750" t="s">
        <v>3323</v>
      </c>
      <c r="O3750" t="str">
        <f t="shared" si="538"/>
        <v>63211</v>
      </c>
      <c r="P3750" t="str">
        <f>"2100L"</f>
        <v>2100L</v>
      </c>
      <c r="Q3750" t="str">
        <f t="shared" si="533"/>
        <v>0101</v>
      </c>
      <c r="R3750">
        <v>2100</v>
      </c>
      <c r="S3750" t="str">
        <f t="shared" si="539"/>
        <v>6320</v>
      </c>
      <c r="T3750" t="s">
        <v>3853</v>
      </c>
      <c r="U3750" t="s">
        <v>549</v>
      </c>
    </row>
    <row r="3751" spans="1:21" ht="15" customHeight="1" x14ac:dyDescent="0.3">
      <c r="A3751" t="s">
        <v>179</v>
      </c>
      <c r="B3751" t="str">
        <f>"00052549"</f>
        <v>00052549</v>
      </c>
      <c r="C3751" t="s">
        <v>4272</v>
      </c>
      <c r="D3751" t="s">
        <v>553</v>
      </c>
      <c r="E3751" t="str">
        <f>"00048533"</f>
        <v>00048533</v>
      </c>
      <c r="F3751">
        <v>0</v>
      </c>
      <c r="G3751" s="243">
        <v>33420</v>
      </c>
      <c r="H3751" t="s">
        <v>182</v>
      </c>
      <c r="I3751">
        <v>15</v>
      </c>
      <c r="J3751">
        <v>16</v>
      </c>
      <c r="K3751">
        <v>1</v>
      </c>
      <c r="L3751">
        <v>100839</v>
      </c>
      <c r="M3751" t="str">
        <f t="shared" si="540"/>
        <v>13</v>
      </c>
      <c r="N3751" t="s">
        <v>3323</v>
      </c>
      <c r="O3751" t="str">
        <f t="shared" si="538"/>
        <v>63211</v>
      </c>
      <c r="P3751" t="str">
        <f>"2100L"</f>
        <v>2100L</v>
      </c>
      <c r="Q3751" t="str">
        <f t="shared" si="533"/>
        <v>0101</v>
      </c>
      <c r="R3751">
        <v>2100</v>
      </c>
      <c r="S3751" t="str">
        <f t="shared" si="539"/>
        <v>6320</v>
      </c>
      <c r="T3751" t="s">
        <v>3853</v>
      </c>
      <c r="U3751" t="s">
        <v>549</v>
      </c>
    </row>
    <row r="3752" spans="1:21" ht="15" customHeight="1" x14ac:dyDescent="0.3">
      <c r="A3752" t="s">
        <v>179</v>
      </c>
      <c r="B3752" t="str">
        <f>"00052635"</f>
        <v>00052635</v>
      </c>
      <c r="C3752" t="s">
        <v>4262</v>
      </c>
      <c r="D3752" t="s">
        <v>3867</v>
      </c>
      <c r="E3752" t="str">
        <f>"00066439"</f>
        <v>00066439</v>
      </c>
      <c r="F3752">
        <v>0</v>
      </c>
      <c r="G3752" s="243">
        <v>40755</v>
      </c>
      <c r="H3752" t="s">
        <v>182</v>
      </c>
      <c r="I3752">
        <v>15</v>
      </c>
      <c r="J3752">
        <v>7</v>
      </c>
      <c r="K3752">
        <v>1</v>
      </c>
      <c r="L3752">
        <v>69132</v>
      </c>
      <c r="M3752" t="str">
        <f t="shared" si="540"/>
        <v>13</v>
      </c>
      <c r="N3752" t="s">
        <v>3323</v>
      </c>
      <c r="O3752" t="str">
        <f t="shared" si="538"/>
        <v>63211</v>
      </c>
      <c r="P3752" t="str">
        <f>"2100L"</f>
        <v>2100L</v>
      </c>
      <c r="Q3752" t="str">
        <f t="shared" si="533"/>
        <v>0101</v>
      </c>
      <c r="R3752">
        <v>2100</v>
      </c>
      <c r="S3752" t="str">
        <f t="shared" si="539"/>
        <v>6320</v>
      </c>
      <c r="T3752" t="s">
        <v>3853</v>
      </c>
      <c r="U3752" t="s">
        <v>549</v>
      </c>
    </row>
    <row r="3753" spans="1:21" ht="15" customHeight="1" x14ac:dyDescent="0.3">
      <c r="A3753" t="s">
        <v>179</v>
      </c>
      <c r="B3753" t="str">
        <f>"00053255"</f>
        <v>00053255</v>
      </c>
      <c r="C3753" t="s">
        <v>4272</v>
      </c>
      <c r="D3753" t="s">
        <v>555</v>
      </c>
      <c r="E3753" t="str">
        <f>"00051182"</f>
        <v>00051182</v>
      </c>
      <c r="F3753">
        <v>0</v>
      </c>
      <c r="G3753" s="243">
        <v>32050</v>
      </c>
      <c r="H3753" t="s">
        <v>182</v>
      </c>
      <c r="I3753">
        <v>15</v>
      </c>
      <c r="J3753">
        <v>13</v>
      </c>
      <c r="K3753">
        <v>1</v>
      </c>
      <c r="L3753">
        <v>86613</v>
      </c>
      <c r="M3753" t="str">
        <f t="shared" si="540"/>
        <v>13</v>
      </c>
      <c r="N3753" t="s">
        <v>3323</v>
      </c>
      <c r="O3753" t="str">
        <f t="shared" si="538"/>
        <v>63211</v>
      </c>
      <c r="P3753" t="str">
        <f>"2100L"</f>
        <v>2100L</v>
      </c>
      <c r="Q3753" t="str">
        <f t="shared" si="533"/>
        <v>0101</v>
      </c>
      <c r="R3753">
        <v>2100</v>
      </c>
      <c r="S3753" t="str">
        <f t="shared" si="539"/>
        <v>6320</v>
      </c>
      <c r="T3753" t="s">
        <v>3853</v>
      </c>
      <c r="U3753" t="s">
        <v>549</v>
      </c>
    </row>
    <row r="3754" spans="1:21" ht="15" customHeight="1" x14ac:dyDescent="0.3">
      <c r="A3754" t="s">
        <v>179</v>
      </c>
      <c r="B3754" t="str">
        <f>"00053397"</f>
        <v>00053397</v>
      </c>
      <c r="C3754" t="s">
        <v>4262</v>
      </c>
      <c r="D3754" t="s">
        <v>556</v>
      </c>
      <c r="E3754" t="str">
        <f>"00051417"</f>
        <v>00051417</v>
      </c>
      <c r="F3754">
        <v>0</v>
      </c>
      <c r="G3754" s="243">
        <v>32050</v>
      </c>
      <c r="H3754" t="s">
        <v>182</v>
      </c>
      <c r="I3754">
        <v>15</v>
      </c>
      <c r="J3754">
        <v>16</v>
      </c>
      <c r="K3754">
        <v>1</v>
      </c>
      <c r="L3754">
        <v>100839</v>
      </c>
      <c r="M3754" t="str">
        <f t="shared" si="540"/>
        <v>13</v>
      </c>
      <c r="N3754" t="s">
        <v>3323</v>
      </c>
      <c r="O3754" t="str">
        <f t="shared" si="538"/>
        <v>63211</v>
      </c>
      <c r="P3754" t="str">
        <f>"2100L"</f>
        <v>2100L</v>
      </c>
      <c r="Q3754" t="str">
        <f t="shared" si="533"/>
        <v>0101</v>
      </c>
      <c r="R3754">
        <v>2100</v>
      </c>
      <c r="S3754" t="str">
        <f t="shared" si="539"/>
        <v>6320</v>
      </c>
      <c r="T3754" t="s">
        <v>3853</v>
      </c>
      <c r="U3754" t="s">
        <v>549</v>
      </c>
    </row>
    <row r="3755" spans="1:21" ht="15" customHeight="1" x14ac:dyDescent="0.3">
      <c r="A3755" t="s">
        <v>179</v>
      </c>
      <c r="B3755" t="str">
        <f>"00054230"</f>
        <v>00054230</v>
      </c>
      <c r="C3755" t="s">
        <v>4272</v>
      </c>
      <c r="D3755" t="s">
        <v>557</v>
      </c>
      <c r="E3755" t="str">
        <f>"00053312"</f>
        <v>00053312</v>
      </c>
      <c r="F3755">
        <v>0</v>
      </c>
      <c r="G3755" s="243">
        <v>32756</v>
      </c>
      <c r="H3755" t="s">
        <v>182</v>
      </c>
      <c r="I3755">
        <v>15</v>
      </c>
      <c r="J3755">
        <v>16</v>
      </c>
      <c r="K3755">
        <v>1</v>
      </c>
      <c r="L3755">
        <v>100839</v>
      </c>
      <c r="M3755" t="str">
        <f t="shared" si="540"/>
        <v>13</v>
      </c>
      <c r="N3755" t="s">
        <v>3323</v>
      </c>
      <c r="O3755" t="str">
        <f t="shared" si="538"/>
        <v>63211</v>
      </c>
      <c r="P3755" t="str">
        <f>"2200L"</f>
        <v>2200L</v>
      </c>
      <c r="Q3755" t="str">
        <f t="shared" ref="Q3755:Q3811" si="541">"0101"</f>
        <v>0101</v>
      </c>
      <c r="R3755">
        <v>2200</v>
      </c>
      <c r="S3755" t="str">
        <f t="shared" si="539"/>
        <v>6320</v>
      </c>
      <c r="T3755" t="s">
        <v>3853</v>
      </c>
      <c r="U3755" t="s">
        <v>549</v>
      </c>
    </row>
    <row r="3756" spans="1:21" ht="15" customHeight="1" x14ac:dyDescent="0.3">
      <c r="A3756" t="s">
        <v>179</v>
      </c>
      <c r="B3756" t="str">
        <f>"00054730"</f>
        <v>00054730</v>
      </c>
      <c r="C3756" t="s">
        <v>200</v>
      </c>
      <c r="D3756" t="s">
        <v>558</v>
      </c>
      <c r="E3756" t="str">
        <f>"00054495"</f>
        <v>00054495</v>
      </c>
      <c r="F3756">
        <v>0</v>
      </c>
      <c r="G3756" s="243">
        <v>31397</v>
      </c>
      <c r="H3756" t="s">
        <v>182</v>
      </c>
      <c r="I3756">
        <v>15</v>
      </c>
      <c r="J3756">
        <v>16</v>
      </c>
      <c r="K3756">
        <v>1</v>
      </c>
      <c r="L3756">
        <v>100839</v>
      </c>
      <c r="M3756" t="str">
        <f t="shared" si="540"/>
        <v>13</v>
      </c>
      <c r="N3756" t="s">
        <v>3323</v>
      </c>
      <c r="O3756" t="str">
        <f t="shared" si="538"/>
        <v>63211</v>
      </c>
      <c r="P3756" t="str">
        <f>"3030L"</f>
        <v>3030L</v>
      </c>
      <c r="Q3756" t="str">
        <f t="shared" si="541"/>
        <v>0101</v>
      </c>
      <c r="R3756">
        <v>3030</v>
      </c>
      <c r="S3756" t="str">
        <f t="shared" si="539"/>
        <v>6320</v>
      </c>
      <c r="T3756" t="s">
        <v>3853</v>
      </c>
      <c r="U3756" t="s">
        <v>549</v>
      </c>
    </row>
    <row r="3757" spans="1:21" ht="15" customHeight="1" x14ac:dyDescent="0.3">
      <c r="A3757" t="s">
        <v>179</v>
      </c>
      <c r="B3757" t="str">
        <f>"00054844"</f>
        <v>00054844</v>
      </c>
      <c r="C3757" t="s">
        <v>4290</v>
      </c>
      <c r="D3757" t="s">
        <v>5450</v>
      </c>
      <c r="E3757" t="str">
        <f>"00054759"</f>
        <v>00054759</v>
      </c>
      <c r="F3757">
        <v>0</v>
      </c>
      <c r="G3757" s="243">
        <v>35724</v>
      </c>
      <c r="H3757" t="s">
        <v>182</v>
      </c>
      <c r="I3757">
        <v>4</v>
      </c>
      <c r="J3757">
        <v>9</v>
      </c>
      <c r="K3757">
        <v>0.875</v>
      </c>
      <c r="L3757">
        <v>28025.38</v>
      </c>
      <c r="M3757" t="str">
        <f t="shared" si="540"/>
        <v>13</v>
      </c>
      <c r="N3757" t="s">
        <v>3323</v>
      </c>
      <c r="O3757" t="str">
        <f t="shared" si="538"/>
        <v>63211</v>
      </c>
      <c r="P3757" t="str">
        <f>"2200L"</f>
        <v>2200L</v>
      </c>
      <c r="Q3757" t="str">
        <f t="shared" si="541"/>
        <v>0101</v>
      </c>
      <c r="R3757">
        <v>2200</v>
      </c>
      <c r="S3757" t="str">
        <f t="shared" si="539"/>
        <v>6320</v>
      </c>
      <c r="T3757" t="s">
        <v>3853</v>
      </c>
      <c r="U3757" t="s">
        <v>549</v>
      </c>
    </row>
    <row r="3758" spans="1:21" ht="15" customHeight="1" x14ac:dyDescent="0.3">
      <c r="A3758" t="s">
        <v>179</v>
      </c>
      <c r="B3758" t="str">
        <f>"00054919"</f>
        <v>00054919</v>
      </c>
      <c r="C3758" t="s">
        <v>4262</v>
      </c>
      <c r="D3758" t="s">
        <v>5451</v>
      </c>
      <c r="E3758" t="str">
        <f>"00069954"</f>
        <v>00069954</v>
      </c>
      <c r="F3758">
        <v>0</v>
      </c>
      <c r="G3758" s="243">
        <v>41133</v>
      </c>
      <c r="H3758" t="s">
        <v>182</v>
      </c>
      <c r="I3758">
        <v>15</v>
      </c>
      <c r="J3758">
        <v>1</v>
      </c>
      <c r="K3758">
        <v>1</v>
      </c>
      <c r="L3758">
        <v>51539</v>
      </c>
      <c r="M3758" t="str">
        <f t="shared" si="540"/>
        <v>13</v>
      </c>
      <c r="N3758" t="s">
        <v>3323</v>
      </c>
      <c r="O3758" t="str">
        <f t="shared" si="538"/>
        <v>63211</v>
      </c>
      <c r="P3758" t="str">
        <f>"2100L"</f>
        <v>2100L</v>
      </c>
      <c r="Q3758" t="str">
        <f t="shared" si="541"/>
        <v>0101</v>
      </c>
      <c r="R3758">
        <v>2100</v>
      </c>
      <c r="S3758" t="str">
        <f t="shared" si="539"/>
        <v>6320</v>
      </c>
      <c r="T3758" t="s">
        <v>3853</v>
      </c>
      <c r="U3758" t="s">
        <v>549</v>
      </c>
    </row>
    <row r="3759" spans="1:21" ht="15" customHeight="1" x14ac:dyDescent="0.3">
      <c r="A3759" t="s">
        <v>179</v>
      </c>
      <c r="B3759" t="str">
        <f>"00055300"</f>
        <v>00055300</v>
      </c>
      <c r="C3759" t="s">
        <v>4262</v>
      </c>
      <c r="D3759" t="s">
        <v>560</v>
      </c>
      <c r="E3759" t="str">
        <f>"00048778"</f>
        <v>00048778</v>
      </c>
      <c r="F3759">
        <v>0</v>
      </c>
      <c r="G3759" s="243">
        <v>36390</v>
      </c>
      <c r="H3759" t="s">
        <v>182</v>
      </c>
      <c r="I3759">
        <v>15</v>
      </c>
      <c r="J3759">
        <v>12</v>
      </c>
      <c r="K3759">
        <v>1</v>
      </c>
      <c r="L3759">
        <v>87431</v>
      </c>
      <c r="M3759" t="str">
        <f t="shared" si="540"/>
        <v>13</v>
      </c>
      <c r="N3759" t="s">
        <v>3323</v>
      </c>
      <c r="O3759" t="str">
        <f t="shared" si="538"/>
        <v>63211</v>
      </c>
      <c r="P3759" t="str">
        <f>"2100L"</f>
        <v>2100L</v>
      </c>
      <c r="Q3759" t="str">
        <f t="shared" si="541"/>
        <v>0101</v>
      </c>
      <c r="R3759">
        <v>2100</v>
      </c>
      <c r="S3759" t="str">
        <f t="shared" si="539"/>
        <v>6320</v>
      </c>
      <c r="T3759" t="s">
        <v>3853</v>
      </c>
      <c r="U3759" t="s">
        <v>549</v>
      </c>
    </row>
    <row r="3760" spans="1:21" ht="15" customHeight="1" x14ac:dyDescent="0.3">
      <c r="A3760" t="s">
        <v>179</v>
      </c>
      <c r="B3760" t="str">
        <f>"00057114"</f>
        <v>00057114</v>
      </c>
      <c r="C3760" t="s">
        <v>4800</v>
      </c>
      <c r="H3760" t="s">
        <v>170</v>
      </c>
      <c r="I3760">
        <v>10</v>
      </c>
      <c r="J3760">
        <v>1</v>
      </c>
      <c r="K3760">
        <v>1</v>
      </c>
      <c r="L3760">
        <v>62794</v>
      </c>
      <c r="M3760" t="str">
        <f t="shared" si="540"/>
        <v>13</v>
      </c>
      <c r="N3760" t="s">
        <v>3323</v>
      </c>
      <c r="O3760" t="str">
        <f t="shared" si="538"/>
        <v>63211</v>
      </c>
      <c r="P3760" t="str">
        <f>"2100L"</f>
        <v>2100L</v>
      </c>
      <c r="Q3760" t="str">
        <f t="shared" si="541"/>
        <v>0101</v>
      </c>
      <c r="R3760">
        <v>2100</v>
      </c>
      <c r="S3760" t="str">
        <f t="shared" si="539"/>
        <v>6320</v>
      </c>
      <c r="T3760" t="s">
        <v>3853</v>
      </c>
      <c r="U3760" t="s">
        <v>549</v>
      </c>
    </row>
    <row r="3761" spans="1:21" ht="15" customHeight="1" x14ac:dyDescent="0.3">
      <c r="A3761" t="s">
        <v>179</v>
      </c>
      <c r="B3761" t="str">
        <f>"00057145"</f>
        <v>00057145</v>
      </c>
      <c r="C3761" t="s">
        <v>4274</v>
      </c>
      <c r="D3761" t="s">
        <v>5452</v>
      </c>
      <c r="E3761" t="str">
        <f>"00047200"</f>
        <v>00047200</v>
      </c>
      <c r="F3761">
        <v>0</v>
      </c>
      <c r="G3761" s="243">
        <v>36558</v>
      </c>
      <c r="H3761" t="s">
        <v>182</v>
      </c>
      <c r="I3761">
        <v>4</v>
      </c>
      <c r="J3761">
        <v>8</v>
      </c>
      <c r="K3761">
        <v>0.875</v>
      </c>
      <c r="L3761">
        <v>27329.75</v>
      </c>
      <c r="M3761" t="str">
        <f t="shared" si="540"/>
        <v>13</v>
      </c>
      <c r="N3761" t="s">
        <v>3323</v>
      </c>
      <c r="O3761" t="str">
        <f t="shared" si="538"/>
        <v>63211</v>
      </c>
      <c r="P3761" t="str">
        <f>"3030L"</f>
        <v>3030L</v>
      </c>
      <c r="Q3761" t="str">
        <f t="shared" si="541"/>
        <v>0101</v>
      </c>
      <c r="R3761">
        <v>3030</v>
      </c>
      <c r="S3761" t="str">
        <f t="shared" si="539"/>
        <v>6320</v>
      </c>
      <c r="T3761" t="s">
        <v>3853</v>
      </c>
      <c r="U3761" t="s">
        <v>549</v>
      </c>
    </row>
    <row r="3762" spans="1:21" ht="15" customHeight="1" x14ac:dyDescent="0.3">
      <c r="A3762" t="s">
        <v>179</v>
      </c>
      <c r="B3762" t="str">
        <f>"00057357"</f>
        <v>00057357</v>
      </c>
      <c r="C3762" t="s">
        <v>3798</v>
      </c>
      <c r="D3762" t="s">
        <v>568</v>
      </c>
      <c r="E3762" t="str">
        <f>"00048846"</f>
        <v>00048846</v>
      </c>
      <c r="F3762">
        <v>0</v>
      </c>
      <c r="G3762" s="243">
        <v>40028</v>
      </c>
      <c r="H3762" t="s">
        <v>182</v>
      </c>
      <c r="I3762">
        <v>62</v>
      </c>
      <c r="J3762">
        <v>1</v>
      </c>
      <c r="K3762">
        <v>1</v>
      </c>
      <c r="L3762">
        <v>103000</v>
      </c>
      <c r="M3762" t="str">
        <f t="shared" si="540"/>
        <v>13</v>
      </c>
      <c r="N3762" t="s">
        <v>3323</v>
      </c>
      <c r="O3762" t="str">
        <f t="shared" si="538"/>
        <v>63211</v>
      </c>
      <c r="P3762" t="str">
        <f>"1501L"</f>
        <v>1501L</v>
      </c>
      <c r="Q3762" t="str">
        <f t="shared" si="541"/>
        <v>0101</v>
      </c>
      <c r="R3762">
        <v>1501</v>
      </c>
      <c r="S3762" t="str">
        <f t="shared" si="539"/>
        <v>6320</v>
      </c>
      <c r="T3762" t="s">
        <v>3853</v>
      </c>
      <c r="U3762" t="s">
        <v>549</v>
      </c>
    </row>
    <row r="3763" spans="1:21" ht="15" customHeight="1" x14ac:dyDescent="0.3">
      <c r="A3763" t="s">
        <v>179</v>
      </c>
      <c r="B3763" t="str">
        <f>"00057594"</f>
        <v>00057594</v>
      </c>
      <c r="C3763" t="s">
        <v>4254</v>
      </c>
      <c r="D3763" t="s">
        <v>561</v>
      </c>
      <c r="E3763" t="str">
        <f>"00051760"</f>
        <v>00051760</v>
      </c>
      <c r="F3763">
        <v>0</v>
      </c>
      <c r="G3763" s="243">
        <v>38587</v>
      </c>
      <c r="H3763" t="s">
        <v>182</v>
      </c>
      <c r="I3763">
        <v>15</v>
      </c>
      <c r="J3763">
        <v>15</v>
      </c>
      <c r="K3763">
        <v>1</v>
      </c>
      <c r="L3763">
        <v>98285</v>
      </c>
      <c r="M3763" t="str">
        <f t="shared" si="540"/>
        <v>13</v>
      </c>
      <c r="N3763" t="s">
        <v>3323</v>
      </c>
      <c r="O3763" t="str">
        <f t="shared" si="538"/>
        <v>63211</v>
      </c>
      <c r="P3763" t="str">
        <f>"2100L"</f>
        <v>2100L</v>
      </c>
      <c r="Q3763" t="str">
        <f t="shared" si="541"/>
        <v>0101</v>
      </c>
      <c r="R3763">
        <v>2100</v>
      </c>
      <c r="S3763" t="str">
        <f t="shared" si="539"/>
        <v>6320</v>
      </c>
      <c r="T3763" t="s">
        <v>3853</v>
      </c>
      <c r="U3763" t="s">
        <v>549</v>
      </c>
    </row>
    <row r="3764" spans="1:21" ht="15" customHeight="1" x14ac:dyDescent="0.3">
      <c r="A3764" t="s">
        <v>179</v>
      </c>
      <c r="B3764" t="str">
        <f>"00057915"</f>
        <v>00057915</v>
      </c>
      <c r="C3764" t="s">
        <v>4253</v>
      </c>
      <c r="H3764" t="s">
        <v>170</v>
      </c>
      <c r="I3764">
        <v>15</v>
      </c>
      <c r="J3764">
        <v>1</v>
      </c>
      <c r="K3764">
        <v>1</v>
      </c>
      <c r="L3764">
        <v>56693</v>
      </c>
      <c r="M3764" t="str">
        <f t="shared" si="540"/>
        <v>13</v>
      </c>
      <c r="N3764" t="s">
        <v>3323</v>
      </c>
      <c r="O3764" t="str">
        <f t="shared" si="538"/>
        <v>63211</v>
      </c>
      <c r="P3764" t="str">
        <f>"2100L"</f>
        <v>2100L</v>
      </c>
      <c r="Q3764" t="str">
        <f t="shared" si="541"/>
        <v>0101</v>
      </c>
      <c r="R3764">
        <v>2100</v>
      </c>
      <c r="S3764" t="str">
        <f t="shared" si="539"/>
        <v>6320</v>
      </c>
      <c r="T3764" t="s">
        <v>3853</v>
      </c>
      <c r="U3764" t="s">
        <v>549</v>
      </c>
    </row>
    <row r="3765" spans="1:21" ht="15" customHeight="1" x14ac:dyDescent="0.3">
      <c r="A3765" t="s">
        <v>179</v>
      </c>
      <c r="B3765" t="str">
        <f>"00057970"</f>
        <v>00057970</v>
      </c>
      <c r="C3765" t="s">
        <v>4272</v>
      </c>
      <c r="D3765" t="s">
        <v>562</v>
      </c>
      <c r="E3765" t="str">
        <f>"00053527"</f>
        <v>00053527</v>
      </c>
      <c r="F3765">
        <v>0</v>
      </c>
      <c r="G3765" s="243">
        <v>37124</v>
      </c>
      <c r="H3765" t="s">
        <v>182</v>
      </c>
      <c r="I3765">
        <v>15</v>
      </c>
      <c r="J3765">
        <v>12</v>
      </c>
      <c r="K3765">
        <v>1</v>
      </c>
      <c r="L3765">
        <v>87431</v>
      </c>
      <c r="M3765" t="str">
        <f t="shared" si="540"/>
        <v>13</v>
      </c>
      <c r="N3765" t="s">
        <v>3323</v>
      </c>
      <c r="O3765" t="str">
        <f t="shared" si="538"/>
        <v>63211</v>
      </c>
      <c r="P3765" t="str">
        <f>"2200L"</f>
        <v>2200L</v>
      </c>
      <c r="Q3765" t="str">
        <f t="shared" si="541"/>
        <v>0101</v>
      </c>
      <c r="R3765">
        <v>2200</v>
      </c>
      <c r="S3765" t="str">
        <f t="shared" si="539"/>
        <v>6320</v>
      </c>
      <c r="T3765" t="s">
        <v>3853</v>
      </c>
      <c r="U3765" t="s">
        <v>549</v>
      </c>
    </row>
    <row r="3766" spans="1:21" ht="15" customHeight="1" x14ac:dyDescent="0.3">
      <c r="A3766" t="s">
        <v>179</v>
      </c>
      <c r="B3766" t="str">
        <f>"00058104"</f>
        <v>00058104</v>
      </c>
      <c r="C3766" t="s">
        <v>4262</v>
      </c>
      <c r="D3766" t="s">
        <v>5453</v>
      </c>
      <c r="E3766" t="str">
        <f>"00069505"</f>
        <v>00069505</v>
      </c>
      <c r="F3766">
        <v>0</v>
      </c>
      <c r="G3766" s="243">
        <v>41133</v>
      </c>
      <c r="H3766" t="s">
        <v>182</v>
      </c>
      <c r="I3766">
        <v>15</v>
      </c>
      <c r="J3766">
        <v>1</v>
      </c>
      <c r="K3766">
        <v>1</v>
      </c>
      <c r="L3766">
        <v>51539</v>
      </c>
      <c r="M3766" t="str">
        <f t="shared" si="540"/>
        <v>13</v>
      </c>
      <c r="N3766" t="s">
        <v>3370</v>
      </c>
      <c r="O3766" t="str">
        <f t="shared" si="538"/>
        <v>63211</v>
      </c>
      <c r="P3766" t="str">
        <f>"2100L"</f>
        <v>2100L</v>
      </c>
      <c r="Q3766" t="str">
        <f t="shared" si="541"/>
        <v>0101</v>
      </c>
      <c r="R3766">
        <v>2100</v>
      </c>
      <c r="S3766" t="str">
        <f t="shared" si="539"/>
        <v>6320</v>
      </c>
      <c r="T3766" t="s">
        <v>3853</v>
      </c>
      <c r="U3766" t="s">
        <v>549</v>
      </c>
    </row>
    <row r="3767" spans="1:21" ht="15" customHeight="1" x14ac:dyDescent="0.3">
      <c r="A3767" t="s">
        <v>179</v>
      </c>
      <c r="B3767" t="str">
        <f>"00059382"</f>
        <v>00059382</v>
      </c>
      <c r="C3767" t="s">
        <v>4272</v>
      </c>
      <c r="D3767" t="s">
        <v>550</v>
      </c>
      <c r="E3767" t="str">
        <f>"00045807"</f>
        <v>00045807</v>
      </c>
      <c r="F3767">
        <v>0</v>
      </c>
      <c r="G3767" s="243">
        <v>34606</v>
      </c>
      <c r="H3767" t="s">
        <v>182</v>
      </c>
      <c r="I3767">
        <v>15</v>
      </c>
      <c r="J3767">
        <v>15</v>
      </c>
      <c r="K3767">
        <v>1</v>
      </c>
      <c r="L3767">
        <v>98285</v>
      </c>
      <c r="M3767" t="str">
        <f t="shared" si="540"/>
        <v>13</v>
      </c>
      <c r="N3767" t="s">
        <v>3323</v>
      </c>
      <c r="O3767" t="str">
        <f t="shared" si="538"/>
        <v>63211</v>
      </c>
      <c r="P3767" t="str">
        <f>"2200L"</f>
        <v>2200L</v>
      </c>
      <c r="Q3767" t="str">
        <f t="shared" si="541"/>
        <v>0101</v>
      </c>
      <c r="R3767">
        <v>2200</v>
      </c>
      <c r="S3767" t="str">
        <f t="shared" si="539"/>
        <v>6320</v>
      </c>
      <c r="T3767" t="s">
        <v>3853</v>
      </c>
      <c r="U3767" t="s">
        <v>549</v>
      </c>
    </row>
    <row r="3768" spans="1:21" ht="15" customHeight="1" x14ac:dyDescent="0.3">
      <c r="A3768" t="s">
        <v>179</v>
      </c>
      <c r="B3768" t="str">
        <f>"00059560"</f>
        <v>00059560</v>
      </c>
      <c r="C3768" t="s">
        <v>4262</v>
      </c>
      <c r="D3768" t="s">
        <v>564</v>
      </c>
      <c r="E3768" t="str">
        <f>"00044989"</f>
        <v>00044989</v>
      </c>
      <c r="F3768">
        <v>0</v>
      </c>
      <c r="G3768" s="243">
        <v>37938</v>
      </c>
      <c r="H3768" t="s">
        <v>182</v>
      </c>
      <c r="I3768">
        <v>15</v>
      </c>
      <c r="J3768">
        <v>8</v>
      </c>
      <c r="K3768">
        <v>1</v>
      </c>
      <c r="L3768">
        <v>72171</v>
      </c>
      <c r="M3768" t="str">
        <f t="shared" si="540"/>
        <v>13</v>
      </c>
      <c r="N3768" t="s">
        <v>3323</v>
      </c>
      <c r="O3768" t="str">
        <f t="shared" si="538"/>
        <v>63211</v>
      </c>
      <c r="P3768" t="str">
        <f>"2100L"</f>
        <v>2100L</v>
      </c>
      <c r="Q3768" t="str">
        <f t="shared" si="541"/>
        <v>0101</v>
      </c>
      <c r="R3768">
        <v>2100</v>
      </c>
      <c r="S3768" t="str">
        <f t="shared" si="539"/>
        <v>6320</v>
      </c>
      <c r="T3768" t="s">
        <v>3853</v>
      </c>
      <c r="U3768" t="s">
        <v>549</v>
      </c>
    </row>
    <row r="3769" spans="1:21" ht="15" customHeight="1" x14ac:dyDescent="0.3">
      <c r="A3769" t="s">
        <v>179</v>
      </c>
      <c r="B3769" t="str">
        <f>"00060316"</f>
        <v>00060316</v>
      </c>
      <c r="C3769" t="s">
        <v>4262</v>
      </c>
      <c r="D3769" t="s">
        <v>565</v>
      </c>
      <c r="E3769" t="str">
        <f>"00053244"</f>
        <v>00053244</v>
      </c>
      <c r="F3769">
        <v>0</v>
      </c>
      <c r="G3769" s="243">
        <v>34941</v>
      </c>
      <c r="H3769" t="s">
        <v>182</v>
      </c>
      <c r="I3769">
        <v>15</v>
      </c>
      <c r="J3769">
        <v>16</v>
      </c>
      <c r="K3769">
        <v>1</v>
      </c>
      <c r="L3769">
        <v>100839</v>
      </c>
      <c r="M3769" t="str">
        <f t="shared" si="540"/>
        <v>13</v>
      </c>
      <c r="N3769" t="s">
        <v>3323</v>
      </c>
      <c r="O3769" t="str">
        <f t="shared" si="538"/>
        <v>63211</v>
      </c>
      <c r="P3769" t="str">
        <f>"2100L"</f>
        <v>2100L</v>
      </c>
      <c r="Q3769" t="str">
        <f t="shared" si="541"/>
        <v>0101</v>
      </c>
      <c r="R3769">
        <v>2100</v>
      </c>
      <c r="S3769" t="str">
        <f t="shared" si="539"/>
        <v>6320</v>
      </c>
      <c r="T3769" t="s">
        <v>3853</v>
      </c>
      <c r="U3769" t="s">
        <v>549</v>
      </c>
    </row>
    <row r="3770" spans="1:21" ht="15" customHeight="1" x14ac:dyDescent="0.3">
      <c r="A3770" t="s">
        <v>179</v>
      </c>
      <c r="B3770" t="str">
        <f>"00060677"</f>
        <v>00060677</v>
      </c>
      <c r="C3770" t="s">
        <v>4257</v>
      </c>
      <c r="D3770" t="s">
        <v>566</v>
      </c>
      <c r="E3770" t="str">
        <f>"00060292"</f>
        <v>00060292</v>
      </c>
      <c r="F3770">
        <v>0</v>
      </c>
      <c r="G3770" s="243">
        <v>40189</v>
      </c>
      <c r="H3770" t="s">
        <v>182</v>
      </c>
      <c r="I3770">
        <v>15</v>
      </c>
      <c r="J3770">
        <v>12</v>
      </c>
      <c r="K3770">
        <v>1</v>
      </c>
      <c r="L3770">
        <v>87431</v>
      </c>
      <c r="M3770" t="str">
        <f t="shared" si="540"/>
        <v>13</v>
      </c>
      <c r="N3770" t="s">
        <v>3323</v>
      </c>
      <c r="O3770" t="str">
        <f t="shared" si="538"/>
        <v>63211</v>
      </c>
      <c r="P3770" t="str">
        <f>"2100L"</f>
        <v>2100L</v>
      </c>
      <c r="Q3770" t="str">
        <f t="shared" si="541"/>
        <v>0101</v>
      </c>
      <c r="R3770">
        <v>2100</v>
      </c>
      <c r="S3770" t="str">
        <f t="shared" si="539"/>
        <v>6320</v>
      </c>
      <c r="T3770" t="s">
        <v>3853</v>
      </c>
      <c r="U3770" t="s">
        <v>549</v>
      </c>
    </row>
    <row r="3771" spans="1:21" ht="15" customHeight="1" x14ac:dyDescent="0.3">
      <c r="A3771" t="s">
        <v>179</v>
      </c>
      <c r="B3771" t="str">
        <f>"00060849"</f>
        <v>00060849</v>
      </c>
      <c r="C3771" t="s">
        <v>3670</v>
      </c>
      <c r="D3771" t="s">
        <v>4238</v>
      </c>
      <c r="E3771" t="str">
        <f>"00045200"</f>
        <v>00045200</v>
      </c>
      <c r="F3771">
        <v>0</v>
      </c>
      <c r="G3771" s="243">
        <v>39664</v>
      </c>
      <c r="H3771" t="s">
        <v>182</v>
      </c>
      <c r="I3771">
        <v>8</v>
      </c>
      <c r="J3771">
        <v>1</v>
      </c>
      <c r="K3771">
        <v>1</v>
      </c>
      <c r="L3771">
        <v>82397</v>
      </c>
      <c r="M3771" t="str">
        <f t="shared" si="540"/>
        <v>13</v>
      </c>
      <c r="N3771" t="s">
        <v>3323</v>
      </c>
      <c r="O3771" t="str">
        <f t="shared" si="538"/>
        <v>63211</v>
      </c>
      <c r="P3771" t="str">
        <f>"2100L"</f>
        <v>2100L</v>
      </c>
      <c r="Q3771" t="str">
        <f t="shared" si="541"/>
        <v>0101</v>
      </c>
      <c r="R3771">
        <v>2100</v>
      </c>
      <c r="S3771" t="str">
        <f t="shared" si="539"/>
        <v>6320</v>
      </c>
      <c r="T3771" t="s">
        <v>3853</v>
      </c>
      <c r="U3771" t="s">
        <v>549</v>
      </c>
    </row>
    <row r="3772" spans="1:21" ht="15" customHeight="1" x14ac:dyDescent="0.3">
      <c r="A3772" t="s">
        <v>179</v>
      </c>
      <c r="B3772" t="str">
        <f>"00061083"</f>
        <v>00061083</v>
      </c>
      <c r="C3772" t="s">
        <v>4262</v>
      </c>
      <c r="D3772" t="s">
        <v>567</v>
      </c>
      <c r="E3772" t="str">
        <f>"00049903"</f>
        <v>00049903</v>
      </c>
      <c r="F3772">
        <v>0</v>
      </c>
      <c r="G3772" s="243">
        <v>39314</v>
      </c>
      <c r="H3772" t="s">
        <v>182</v>
      </c>
      <c r="I3772">
        <v>15</v>
      </c>
      <c r="J3772">
        <v>11</v>
      </c>
      <c r="K3772">
        <v>1</v>
      </c>
      <c r="L3772">
        <v>81335</v>
      </c>
      <c r="M3772" t="str">
        <f t="shared" si="540"/>
        <v>13</v>
      </c>
      <c r="N3772" t="s">
        <v>3323</v>
      </c>
      <c r="O3772" t="str">
        <f t="shared" ref="O3772:O3795" si="542">"63211"</f>
        <v>63211</v>
      </c>
      <c r="P3772" t="str">
        <f>"2100L"</f>
        <v>2100L</v>
      </c>
      <c r="Q3772" t="str">
        <f t="shared" si="541"/>
        <v>0101</v>
      </c>
      <c r="R3772">
        <v>2100</v>
      </c>
      <c r="S3772" t="str">
        <f t="shared" ref="S3772:S3795" si="543">"6320"</f>
        <v>6320</v>
      </c>
      <c r="T3772" t="s">
        <v>3853</v>
      </c>
      <c r="U3772" t="s">
        <v>549</v>
      </c>
    </row>
    <row r="3773" spans="1:21" ht="15" customHeight="1" x14ac:dyDescent="0.3">
      <c r="A3773" t="s">
        <v>179</v>
      </c>
      <c r="B3773" t="str">
        <f>"00061835"</f>
        <v>00061835</v>
      </c>
      <c r="C3773" t="s">
        <v>3670</v>
      </c>
      <c r="H3773" t="s">
        <v>170</v>
      </c>
      <c r="I3773">
        <v>8</v>
      </c>
      <c r="J3773">
        <v>1</v>
      </c>
      <c r="K3773">
        <v>1</v>
      </c>
      <c r="L3773">
        <v>82397</v>
      </c>
      <c r="M3773" t="str">
        <f t="shared" si="540"/>
        <v>13</v>
      </c>
      <c r="N3773" t="s">
        <v>3323</v>
      </c>
      <c r="O3773" t="str">
        <f t="shared" si="542"/>
        <v>63211</v>
      </c>
      <c r="P3773" t="str">
        <f>"1501L"</f>
        <v>1501L</v>
      </c>
      <c r="Q3773" t="str">
        <f t="shared" si="541"/>
        <v>0101</v>
      </c>
      <c r="R3773">
        <v>1501</v>
      </c>
      <c r="S3773" t="str">
        <f t="shared" si="543"/>
        <v>6320</v>
      </c>
      <c r="T3773" t="s">
        <v>3853</v>
      </c>
      <c r="U3773" t="s">
        <v>549</v>
      </c>
    </row>
    <row r="3774" spans="1:21" ht="15" customHeight="1" x14ac:dyDescent="0.3">
      <c r="A3774" t="s">
        <v>179</v>
      </c>
      <c r="B3774" t="str">
        <f>"00062043"</f>
        <v>00062043</v>
      </c>
      <c r="C3774" t="s">
        <v>4253</v>
      </c>
      <c r="D3774" t="s">
        <v>5454</v>
      </c>
      <c r="E3774" t="str">
        <f>"00069604"</f>
        <v>00069604</v>
      </c>
      <c r="F3774">
        <v>0</v>
      </c>
      <c r="G3774" s="243">
        <v>41133</v>
      </c>
      <c r="H3774" t="s">
        <v>182</v>
      </c>
      <c r="I3774">
        <v>15</v>
      </c>
      <c r="J3774">
        <v>1</v>
      </c>
      <c r="K3774">
        <v>1</v>
      </c>
      <c r="L3774">
        <v>51539</v>
      </c>
      <c r="M3774" t="str">
        <f t="shared" si="540"/>
        <v>13</v>
      </c>
      <c r="N3774" t="s">
        <v>3370</v>
      </c>
      <c r="O3774" t="str">
        <f t="shared" si="542"/>
        <v>63211</v>
      </c>
      <c r="P3774" t="str">
        <f>"2100L"</f>
        <v>2100L</v>
      </c>
      <c r="Q3774" t="str">
        <f t="shared" si="541"/>
        <v>0101</v>
      </c>
      <c r="R3774">
        <v>2100</v>
      </c>
      <c r="S3774" t="str">
        <f t="shared" si="543"/>
        <v>6320</v>
      </c>
      <c r="T3774" t="s">
        <v>3853</v>
      </c>
      <c r="U3774" t="s">
        <v>549</v>
      </c>
    </row>
    <row r="3775" spans="1:21" ht="15" customHeight="1" x14ac:dyDescent="0.3">
      <c r="A3775" t="s">
        <v>179</v>
      </c>
      <c r="B3775" t="str">
        <f>"00062119"</f>
        <v>00062119</v>
      </c>
      <c r="C3775" t="s">
        <v>4258</v>
      </c>
      <c r="D3775" t="s">
        <v>569</v>
      </c>
      <c r="E3775" t="str">
        <f>"00049594"</f>
        <v>00049594</v>
      </c>
      <c r="F3775">
        <v>0</v>
      </c>
      <c r="G3775" s="243">
        <v>27748</v>
      </c>
      <c r="H3775" t="s">
        <v>182</v>
      </c>
      <c r="I3775">
        <v>15</v>
      </c>
      <c r="J3775">
        <v>16</v>
      </c>
      <c r="K3775">
        <v>1</v>
      </c>
      <c r="L3775">
        <v>100839</v>
      </c>
      <c r="M3775" t="str">
        <f t="shared" si="540"/>
        <v>13</v>
      </c>
      <c r="N3775" t="s">
        <v>3323</v>
      </c>
      <c r="O3775" t="str">
        <f t="shared" si="542"/>
        <v>63211</v>
      </c>
      <c r="P3775" t="str">
        <f>"2100L"</f>
        <v>2100L</v>
      </c>
      <c r="Q3775" t="str">
        <f t="shared" si="541"/>
        <v>0101</v>
      </c>
      <c r="R3775">
        <v>2100</v>
      </c>
      <c r="S3775" t="str">
        <f t="shared" si="543"/>
        <v>6320</v>
      </c>
      <c r="T3775" t="s">
        <v>3853</v>
      </c>
      <c r="U3775" t="s">
        <v>549</v>
      </c>
    </row>
    <row r="3776" spans="1:21" ht="15" customHeight="1" x14ac:dyDescent="0.3">
      <c r="A3776" t="s">
        <v>179</v>
      </c>
      <c r="B3776" t="str">
        <f>"00062197"</f>
        <v>00062197</v>
      </c>
      <c r="C3776" t="s">
        <v>4262</v>
      </c>
      <c r="D3776" t="s">
        <v>1112</v>
      </c>
      <c r="E3776" t="str">
        <f>"00050311"</f>
        <v>00050311</v>
      </c>
      <c r="F3776">
        <v>0</v>
      </c>
      <c r="G3776" s="243">
        <v>40406</v>
      </c>
      <c r="H3776" t="s">
        <v>182</v>
      </c>
      <c r="I3776">
        <v>15</v>
      </c>
      <c r="J3776">
        <v>11</v>
      </c>
      <c r="K3776">
        <v>1</v>
      </c>
      <c r="L3776">
        <v>81335</v>
      </c>
      <c r="M3776" t="str">
        <f t="shared" si="540"/>
        <v>13</v>
      </c>
      <c r="N3776" t="s">
        <v>3323</v>
      </c>
      <c r="O3776" t="str">
        <f t="shared" si="542"/>
        <v>63211</v>
      </c>
      <c r="P3776" t="str">
        <f>"2100L"</f>
        <v>2100L</v>
      </c>
      <c r="Q3776" t="str">
        <f t="shared" si="541"/>
        <v>0101</v>
      </c>
      <c r="R3776">
        <v>2100</v>
      </c>
      <c r="S3776" t="str">
        <f t="shared" si="543"/>
        <v>6320</v>
      </c>
      <c r="T3776" t="s">
        <v>3853</v>
      </c>
      <c r="U3776" t="s">
        <v>549</v>
      </c>
    </row>
    <row r="3777" spans="1:21" ht="15" customHeight="1" x14ac:dyDescent="0.3">
      <c r="A3777" t="s">
        <v>179</v>
      </c>
      <c r="B3777" t="str">
        <f>"00062680"</f>
        <v>00062680</v>
      </c>
      <c r="C3777" t="s">
        <v>4274</v>
      </c>
      <c r="D3777" t="s">
        <v>5455</v>
      </c>
      <c r="E3777" t="str">
        <f>"00046558"</f>
        <v>00046558</v>
      </c>
      <c r="F3777">
        <v>0</v>
      </c>
      <c r="G3777" s="243">
        <v>39713</v>
      </c>
      <c r="H3777" t="s">
        <v>182</v>
      </c>
      <c r="I3777">
        <v>4</v>
      </c>
      <c r="J3777">
        <v>6</v>
      </c>
      <c r="K3777">
        <v>0.875</v>
      </c>
      <c r="L3777">
        <v>25935.88</v>
      </c>
      <c r="M3777" t="str">
        <f t="shared" si="540"/>
        <v>13</v>
      </c>
      <c r="N3777" t="s">
        <v>3323</v>
      </c>
      <c r="O3777" t="str">
        <f t="shared" si="542"/>
        <v>63211</v>
      </c>
      <c r="P3777" t="str">
        <f>"2200L"</f>
        <v>2200L</v>
      </c>
      <c r="Q3777" t="str">
        <f t="shared" si="541"/>
        <v>0101</v>
      </c>
      <c r="R3777">
        <v>2200</v>
      </c>
      <c r="S3777" t="str">
        <f t="shared" si="543"/>
        <v>6320</v>
      </c>
      <c r="T3777" t="s">
        <v>3853</v>
      </c>
      <c r="U3777" t="s">
        <v>549</v>
      </c>
    </row>
    <row r="3778" spans="1:21" ht="15" customHeight="1" x14ac:dyDescent="0.3">
      <c r="A3778" t="s">
        <v>179</v>
      </c>
      <c r="B3778" t="str">
        <f>"00065909"</f>
        <v>00065909</v>
      </c>
      <c r="C3778" t="s">
        <v>4274</v>
      </c>
      <c r="D3778" t="s">
        <v>5456</v>
      </c>
      <c r="E3778" t="str">
        <f>"00056391"</f>
        <v>00056391</v>
      </c>
      <c r="F3778">
        <v>0</v>
      </c>
      <c r="G3778" s="243">
        <v>40042</v>
      </c>
      <c r="H3778" t="s">
        <v>182</v>
      </c>
      <c r="I3778">
        <v>4</v>
      </c>
      <c r="J3778">
        <v>8</v>
      </c>
      <c r="K3778">
        <v>1</v>
      </c>
      <c r="L3778">
        <v>27329.75</v>
      </c>
      <c r="M3778" t="str">
        <f t="shared" si="540"/>
        <v>13</v>
      </c>
      <c r="N3778" t="s">
        <v>3323</v>
      </c>
      <c r="O3778" t="str">
        <f t="shared" si="542"/>
        <v>63211</v>
      </c>
      <c r="P3778" t="str">
        <f>"2200L"</f>
        <v>2200L</v>
      </c>
      <c r="Q3778" t="str">
        <f t="shared" si="541"/>
        <v>0101</v>
      </c>
      <c r="R3778">
        <v>2200</v>
      </c>
      <c r="S3778" t="str">
        <f t="shared" si="543"/>
        <v>6320</v>
      </c>
      <c r="T3778" t="s">
        <v>3853</v>
      </c>
      <c r="U3778" t="s">
        <v>549</v>
      </c>
    </row>
    <row r="3779" spans="1:21" ht="15" customHeight="1" x14ac:dyDescent="0.3">
      <c r="A3779" t="s">
        <v>179</v>
      </c>
      <c r="B3779" t="str">
        <f>"00066374"</f>
        <v>00066374</v>
      </c>
      <c r="C3779" t="s">
        <v>4574</v>
      </c>
      <c r="D3779" t="s">
        <v>2204</v>
      </c>
      <c r="E3779" t="str">
        <f>"00050922"</f>
        <v>00050922</v>
      </c>
      <c r="F3779">
        <v>0</v>
      </c>
      <c r="G3779" s="243">
        <v>32050</v>
      </c>
      <c r="H3779" t="s">
        <v>182</v>
      </c>
      <c r="I3779">
        <v>15</v>
      </c>
      <c r="J3779">
        <v>16</v>
      </c>
      <c r="K3779">
        <v>0.5</v>
      </c>
      <c r="L3779">
        <v>103347</v>
      </c>
      <c r="M3779" t="str">
        <f t="shared" si="540"/>
        <v>13</v>
      </c>
      <c r="N3779" t="s">
        <v>3370</v>
      </c>
      <c r="O3779" t="str">
        <f t="shared" si="542"/>
        <v>63211</v>
      </c>
      <c r="P3779" t="str">
        <f>"2100L"</f>
        <v>2100L</v>
      </c>
      <c r="Q3779" t="str">
        <f t="shared" si="541"/>
        <v>0101</v>
      </c>
      <c r="R3779">
        <v>2100</v>
      </c>
      <c r="S3779" t="str">
        <f t="shared" si="543"/>
        <v>6320</v>
      </c>
      <c r="T3779" t="s">
        <v>3658</v>
      </c>
      <c r="U3779" t="s">
        <v>56</v>
      </c>
    </row>
    <row r="3780" spans="1:21" ht="15" customHeight="1" x14ac:dyDescent="0.3">
      <c r="A3780" t="s">
        <v>179</v>
      </c>
      <c r="B3780" t="str">
        <f>"00066655"</f>
        <v>00066655</v>
      </c>
      <c r="C3780" t="s">
        <v>4253</v>
      </c>
      <c r="D3780" t="s">
        <v>570</v>
      </c>
      <c r="E3780" t="str">
        <f>"00058792"</f>
        <v>00058792</v>
      </c>
      <c r="F3780">
        <v>0</v>
      </c>
      <c r="G3780" s="243">
        <v>40099</v>
      </c>
      <c r="H3780" t="s">
        <v>182</v>
      </c>
      <c r="I3780">
        <v>15</v>
      </c>
      <c r="J3780">
        <v>3</v>
      </c>
      <c r="K3780">
        <v>1</v>
      </c>
      <c r="L3780">
        <v>52777</v>
      </c>
      <c r="M3780" t="str">
        <f t="shared" si="540"/>
        <v>13</v>
      </c>
      <c r="N3780" t="s">
        <v>3323</v>
      </c>
      <c r="O3780" t="str">
        <f t="shared" si="542"/>
        <v>63211</v>
      </c>
      <c r="P3780" t="str">
        <f>"2100L"</f>
        <v>2100L</v>
      </c>
      <c r="Q3780" t="str">
        <f t="shared" si="541"/>
        <v>0101</v>
      </c>
      <c r="R3780">
        <v>2100</v>
      </c>
      <c r="S3780" t="str">
        <f t="shared" si="543"/>
        <v>6320</v>
      </c>
      <c r="T3780" t="s">
        <v>3853</v>
      </c>
      <c r="U3780" t="s">
        <v>549</v>
      </c>
    </row>
    <row r="3781" spans="1:21" ht="15" customHeight="1" x14ac:dyDescent="0.3">
      <c r="A3781" t="s">
        <v>179</v>
      </c>
      <c r="B3781" t="str">
        <f>"00066657"</f>
        <v>00066657</v>
      </c>
      <c r="C3781" t="s">
        <v>4260</v>
      </c>
      <c r="D3781" t="s">
        <v>571</v>
      </c>
      <c r="E3781" t="str">
        <f>"00057620"</f>
        <v>00057620</v>
      </c>
      <c r="F3781">
        <v>0</v>
      </c>
      <c r="G3781" s="243">
        <v>40042</v>
      </c>
      <c r="H3781" t="s">
        <v>182</v>
      </c>
      <c r="I3781">
        <v>15</v>
      </c>
      <c r="J3781">
        <v>9</v>
      </c>
      <c r="K3781">
        <v>1</v>
      </c>
      <c r="L3781">
        <v>75232</v>
      </c>
      <c r="M3781" t="str">
        <f t="shared" si="540"/>
        <v>13</v>
      </c>
      <c r="N3781" t="s">
        <v>3323</v>
      </c>
      <c r="O3781" t="str">
        <f t="shared" si="542"/>
        <v>63211</v>
      </c>
      <c r="P3781" t="str">
        <f>"3030L"</f>
        <v>3030L</v>
      </c>
      <c r="Q3781" t="str">
        <f t="shared" si="541"/>
        <v>0101</v>
      </c>
      <c r="R3781">
        <v>3030</v>
      </c>
      <c r="S3781" t="str">
        <f t="shared" si="543"/>
        <v>6320</v>
      </c>
      <c r="T3781" t="s">
        <v>3853</v>
      </c>
      <c r="U3781" t="s">
        <v>549</v>
      </c>
    </row>
    <row r="3782" spans="1:21" ht="15" customHeight="1" x14ac:dyDescent="0.3">
      <c r="A3782" t="s">
        <v>179</v>
      </c>
      <c r="B3782" t="str">
        <f>"00066658"</f>
        <v>00066658</v>
      </c>
      <c r="C3782" t="s">
        <v>4260</v>
      </c>
      <c r="D3782" t="s">
        <v>559</v>
      </c>
      <c r="E3782" t="str">
        <f>"00063047"</f>
        <v>00063047</v>
      </c>
      <c r="F3782">
        <v>0</v>
      </c>
      <c r="G3782" s="243">
        <v>40406</v>
      </c>
      <c r="H3782" t="s">
        <v>182</v>
      </c>
      <c r="I3782">
        <v>15</v>
      </c>
      <c r="J3782">
        <v>7</v>
      </c>
      <c r="K3782">
        <v>1</v>
      </c>
      <c r="L3782">
        <v>63496</v>
      </c>
      <c r="M3782" t="str">
        <f t="shared" si="540"/>
        <v>13</v>
      </c>
      <c r="N3782" t="s">
        <v>3323</v>
      </c>
      <c r="O3782" t="str">
        <f t="shared" si="542"/>
        <v>63211</v>
      </c>
      <c r="P3782" t="str">
        <f>"3030L"</f>
        <v>3030L</v>
      </c>
      <c r="Q3782" t="str">
        <f t="shared" si="541"/>
        <v>0101</v>
      </c>
      <c r="R3782">
        <v>3030</v>
      </c>
      <c r="S3782" t="str">
        <f t="shared" si="543"/>
        <v>6320</v>
      </c>
      <c r="T3782" t="s">
        <v>3853</v>
      </c>
      <c r="U3782" t="s">
        <v>549</v>
      </c>
    </row>
    <row r="3783" spans="1:21" ht="15" customHeight="1" x14ac:dyDescent="0.3">
      <c r="A3783" t="s">
        <v>179</v>
      </c>
      <c r="B3783" t="str">
        <f>"00067286"</f>
        <v>00067286</v>
      </c>
      <c r="C3783" t="s">
        <v>4290</v>
      </c>
      <c r="D3783" t="s">
        <v>5457</v>
      </c>
      <c r="E3783" t="str">
        <f>"00014899"</f>
        <v>00014899</v>
      </c>
      <c r="F3783">
        <v>0</v>
      </c>
      <c r="G3783" s="243">
        <v>40644</v>
      </c>
      <c r="H3783" t="s">
        <v>182</v>
      </c>
      <c r="I3783">
        <v>4</v>
      </c>
      <c r="J3783">
        <v>5</v>
      </c>
      <c r="K3783">
        <v>1</v>
      </c>
      <c r="L3783">
        <v>25239.37</v>
      </c>
      <c r="M3783" t="str">
        <f t="shared" si="540"/>
        <v>13</v>
      </c>
      <c r="N3783" t="s">
        <v>3323</v>
      </c>
      <c r="O3783" t="str">
        <f t="shared" si="542"/>
        <v>63211</v>
      </c>
      <c r="P3783" t="str">
        <f>"3030L"</f>
        <v>3030L</v>
      </c>
      <c r="Q3783" t="str">
        <f t="shared" si="541"/>
        <v>0101</v>
      </c>
      <c r="R3783">
        <v>3030</v>
      </c>
      <c r="S3783" t="str">
        <f t="shared" si="543"/>
        <v>6320</v>
      </c>
      <c r="T3783" t="s">
        <v>3853</v>
      </c>
      <c r="U3783" t="s">
        <v>549</v>
      </c>
    </row>
    <row r="3784" spans="1:21" ht="15" customHeight="1" x14ac:dyDescent="0.3">
      <c r="A3784" t="s">
        <v>179</v>
      </c>
      <c r="B3784" t="str">
        <f>"00067530"</f>
        <v>00067530</v>
      </c>
      <c r="C3784" t="s">
        <v>4260</v>
      </c>
      <c r="D3784" t="s">
        <v>5458</v>
      </c>
      <c r="E3784" t="str">
        <f>"00069999"</f>
        <v>00069999</v>
      </c>
      <c r="F3784">
        <v>0</v>
      </c>
      <c r="G3784" s="243">
        <v>41141</v>
      </c>
      <c r="H3784" t="s">
        <v>182</v>
      </c>
      <c r="I3784">
        <v>15</v>
      </c>
      <c r="J3784">
        <v>1</v>
      </c>
      <c r="K3784">
        <v>1</v>
      </c>
      <c r="L3784">
        <v>51539</v>
      </c>
      <c r="M3784" t="str">
        <f t="shared" si="540"/>
        <v>13</v>
      </c>
      <c r="N3784" t="s">
        <v>3323</v>
      </c>
      <c r="O3784" t="str">
        <f t="shared" si="542"/>
        <v>63211</v>
      </c>
      <c r="P3784" t="str">
        <f>"2100L"</f>
        <v>2100L</v>
      </c>
      <c r="Q3784" t="str">
        <f t="shared" si="541"/>
        <v>0101</v>
      </c>
      <c r="R3784">
        <v>2100</v>
      </c>
      <c r="S3784" t="str">
        <f t="shared" si="543"/>
        <v>6320</v>
      </c>
      <c r="T3784" t="s">
        <v>3853</v>
      </c>
      <c r="U3784" t="s">
        <v>549</v>
      </c>
    </row>
    <row r="3785" spans="1:21" ht="15" customHeight="1" x14ac:dyDescent="0.3">
      <c r="A3785" t="s">
        <v>179</v>
      </c>
      <c r="B3785" t="str">
        <f>"00067531"</f>
        <v>00067531</v>
      </c>
      <c r="C3785" t="s">
        <v>4253</v>
      </c>
      <c r="D3785" t="s">
        <v>572</v>
      </c>
      <c r="E3785" t="str">
        <f>"00062995"</f>
        <v>00062995</v>
      </c>
      <c r="F3785">
        <v>0</v>
      </c>
      <c r="G3785" s="243">
        <v>40406</v>
      </c>
      <c r="H3785" t="s">
        <v>182</v>
      </c>
      <c r="I3785">
        <v>15</v>
      </c>
      <c r="J3785">
        <v>13</v>
      </c>
      <c r="K3785">
        <v>1</v>
      </c>
      <c r="L3785">
        <v>97873</v>
      </c>
      <c r="M3785" t="str">
        <f t="shared" si="540"/>
        <v>13</v>
      </c>
      <c r="N3785" t="s">
        <v>3323</v>
      </c>
      <c r="O3785" t="str">
        <f t="shared" si="542"/>
        <v>63211</v>
      </c>
      <c r="P3785" t="str">
        <f>"2100L"</f>
        <v>2100L</v>
      </c>
      <c r="Q3785" t="str">
        <f t="shared" si="541"/>
        <v>0101</v>
      </c>
      <c r="R3785">
        <v>2100</v>
      </c>
      <c r="S3785" t="str">
        <f t="shared" si="543"/>
        <v>6320</v>
      </c>
      <c r="T3785" t="s">
        <v>3853</v>
      </c>
      <c r="U3785" t="s">
        <v>549</v>
      </c>
    </row>
    <row r="3786" spans="1:21" ht="15" customHeight="1" x14ac:dyDescent="0.3">
      <c r="A3786" t="s">
        <v>179</v>
      </c>
      <c r="B3786" t="str">
        <f>"00068253"</f>
        <v>00068253</v>
      </c>
      <c r="C3786" t="s">
        <v>4360</v>
      </c>
      <c r="D3786" t="s">
        <v>5459</v>
      </c>
      <c r="E3786" t="str">
        <f>"00057992"</f>
        <v>00057992</v>
      </c>
      <c r="F3786">
        <v>0</v>
      </c>
      <c r="G3786" s="243">
        <v>40042</v>
      </c>
      <c r="H3786" t="s">
        <v>182</v>
      </c>
      <c r="I3786">
        <v>7</v>
      </c>
      <c r="J3786">
        <v>10</v>
      </c>
      <c r="K3786">
        <v>1</v>
      </c>
      <c r="L3786">
        <v>44837</v>
      </c>
      <c r="M3786" t="str">
        <f t="shared" si="540"/>
        <v>13</v>
      </c>
      <c r="N3786" t="s">
        <v>3323</v>
      </c>
      <c r="O3786" t="str">
        <f t="shared" si="542"/>
        <v>63211</v>
      </c>
      <c r="P3786" t="str">
        <f>"1502L"</f>
        <v>1502L</v>
      </c>
      <c r="Q3786" t="str">
        <f t="shared" si="541"/>
        <v>0101</v>
      </c>
      <c r="R3786">
        <v>1502</v>
      </c>
      <c r="S3786" t="str">
        <f t="shared" si="543"/>
        <v>6320</v>
      </c>
      <c r="T3786" t="s">
        <v>3853</v>
      </c>
      <c r="U3786" t="s">
        <v>549</v>
      </c>
    </row>
    <row r="3787" spans="1:21" ht="15" customHeight="1" x14ac:dyDescent="0.3">
      <c r="A3787" t="s">
        <v>179</v>
      </c>
      <c r="B3787" t="str">
        <f>"00072120"</f>
        <v>00072120</v>
      </c>
      <c r="C3787" t="s">
        <v>4288</v>
      </c>
      <c r="D3787" t="s">
        <v>5460</v>
      </c>
      <c r="E3787" t="str">
        <f>"00058707"</f>
        <v>00058707</v>
      </c>
      <c r="F3787">
        <v>0</v>
      </c>
      <c r="G3787" s="243">
        <v>40084</v>
      </c>
      <c r="H3787" t="s">
        <v>182</v>
      </c>
      <c r="I3787">
        <v>4</v>
      </c>
      <c r="J3787">
        <v>5</v>
      </c>
      <c r="K3787">
        <v>1</v>
      </c>
      <c r="L3787">
        <v>25239.37</v>
      </c>
      <c r="M3787" t="str">
        <f t="shared" si="540"/>
        <v>13</v>
      </c>
      <c r="N3787" t="s">
        <v>3323</v>
      </c>
      <c r="O3787" t="str">
        <f t="shared" si="542"/>
        <v>63211</v>
      </c>
      <c r="P3787" t="str">
        <f>"2200L"</f>
        <v>2200L</v>
      </c>
      <c r="Q3787" t="str">
        <f t="shared" si="541"/>
        <v>0101</v>
      </c>
      <c r="R3787">
        <v>2200</v>
      </c>
      <c r="S3787" t="str">
        <f t="shared" si="543"/>
        <v>6320</v>
      </c>
      <c r="T3787" t="s">
        <v>3853</v>
      </c>
      <c r="U3787" t="s">
        <v>549</v>
      </c>
    </row>
    <row r="3788" spans="1:21" ht="15" customHeight="1" x14ac:dyDescent="0.3">
      <c r="A3788" t="s">
        <v>179</v>
      </c>
      <c r="B3788" t="str">
        <f>"00072639"</f>
        <v>00072639</v>
      </c>
      <c r="C3788" t="s">
        <v>4274</v>
      </c>
      <c r="H3788" t="s">
        <v>170</v>
      </c>
      <c r="I3788">
        <v>4</v>
      </c>
      <c r="J3788">
        <v>1</v>
      </c>
      <c r="K3788">
        <v>0.71</v>
      </c>
      <c r="L3788">
        <v>25662</v>
      </c>
      <c r="M3788" t="str">
        <f t="shared" si="540"/>
        <v>13</v>
      </c>
      <c r="N3788" t="s">
        <v>3323</v>
      </c>
      <c r="O3788" t="str">
        <f t="shared" si="542"/>
        <v>63211</v>
      </c>
      <c r="P3788" t="str">
        <f>"2200L"</f>
        <v>2200L</v>
      </c>
      <c r="Q3788" t="str">
        <f t="shared" si="541"/>
        <v>0101</v>
      </c>
      <c r="R3788">
        <v>2200</v>
      </c>
      <c r="S3788" t="str">
        <f t="shared" si="543"/>
        <v>6320</v>
      </c>
      <c r="T3788" t="s">
        <v>3853</v>
      </c>
      <c r="U3788" t="s">
        <v>549</v>
      </c>
    </row>
    <row r="3789" spans="1:21" ht="15" customHeight="1" x14ac:dyDescent="0.3">
      <c r="A3789" t="s">
        <v>179</v>
      </c>
      <c r="B3789" t="str">
        <f>"00073990"</f>
        <v>00073990</v>
      </c>
      <c r="C3789" t="s">
        <v>4574</v>
      </c>
      <c r="H3789" t="s">
        <v>170</v>
      </c>
      <c r="I3789">
        <v>15</v>
      </c>
      <c r="J3789">
        <v>1</v>
      </c>
      <c r="K3789">
        <v>0.5</v>
      </c>
      <c r="L3789">
        <v>56693</v>
      </c>
      <c r="M3789" t="str">
        <f t="shared" si="540"/>
        <v>13</v>
      </c>
      <c r="N3789" t="s">
        <v>3370</v>
      </c>
      <c r="O3789" t="str">
        <f t="shared" si="542"/>
        <v>63211</v>
      </c>
      <c r="P3789" t="str">
        <f>"2100L"</f>
        <v>2100L</v>
      </c>
      <c r="Q3789" t="str">
        <f t="shared" si="541"/>
        <v>0101</v>
      </c>
      <c r="R3789">
        <v>2100</v>
      </c>
      <c r="S3789" t="str">
        <f t="shared" si="543"/>
        <v>6320</v>
      </c>
      <c r="T3789" t="s">
        <v>3853</v>
      </c>
      <c r="U3789" t="s">
        <v>549</v>
      </c>
    </row>
    <row r="3790" spans="1:21" ht="15" customHeight="1" x14ac:dyDescent="0.3">
      <c r="A3790" t="s">
        <v>179</v>
      </c>
      <c r="B3790" t="str">
        <f>"00073991"</f>
        <v>00073991</v>
      </c>
      <c r="C3790" t="s">
        <v>4499</v>
      </c>
      <c r="H3790" t="s">
        <v>170</v>
      </c>
      <c r="I3790">
        <v>10</v>
      </c>
      <c r="J3790">
        <v>1</v>
      </c>
      <c r="K3790">
        <v>0.5</v>
      </c>
      <c r="L3790">
        <v>62794</v>
      </c>
      <c r="M3790" t="str">
        <f t="shared" si="540"/>
        <v>13</v>
      </c>
      <c r="N3790" t="s">
        <v>3370</v>
      </c>
      <c r="O3790" t="str">
        <f t="shared" si="542"/>
        <v>63211</v>
      </c>
      <c r="P3790" t="str">
        <f>"3030L"</f>
        <v>3030L</v>
      </c>
      <c r="Q3790" t="str">
        <f t="shared" si="541"/>
        <v>0101</v>
      </c>
      <c r="R3790">
        <v>3030</v>
      </c>
      <c r="S3790" t="str">
        <f t="shared" si="543"/>
        <v>6320</v>
      </c>
      <c r="T3790" t="s">
        <v>3853</v>
      </c>
      <c r="U3790" t="s">
        <v>549</v>
      </c>
    </row>
    <row r="3791" spans="1:21" ht="15" customHeight="1" x14ac:dyDescent="0.3">
      <c r="A3791" t="s">
        <v>179</v>
      </c>
      <c r="B3791" t="str">
        <f>"00073992"</f>
        <v>00073992</v>
      </c>
      <c r="C3791" t="s">
        <v>4437</v>
      </c>
      <c r="D3791" t="s">
        <v>2267</v>
      </c>
      <c r="E3791" t="str">
        <f>"00059802"</f>
        <v>00059802</v>
      </c>
      <c r="F3791">
        <v>0</v>
      </c>
      <c r="G3791" s="243">
        <v>40122</v>
      </c>
      <c r="H3791" t="s">
        <v>182</v>
      </c>
      <c r="I3791">
        <v>15</v>
      </c>
      <c r="J3791">
        <v>6</v>
      </c>
      <c r="K3791">
        <v>0.5</v>
      </c>
      <c r="L3791">
        <v>33039</v>
      </c>
      <c r="M3791" t="str">
        <f t="shared" si="540"/>
        <v>13</v>
      </c>
      <c r="N3791" t="s">
        <v>3323</v>
      </c>
      <c r="O3791" t="str">
        <f t="shared" si="542"/>
        <v>63211</v>
      </c>
      <c r="P3791" t="str">
        <f>"2100L"</f>
        <v>2100L</v>
      </c>
      <c r="Q3791" t="str">
        <f t="shared" si="541"/>
        <v>0101</v>
      </c>
      <c r="R3791">
        <v>2100</v>
      </c>
      <c r="S3791" t="str">
        <f t="shared" si="543"/>
        <v>6320</v>
      </c>
      <c r="T3791" t="s">
        <v>3853</v>
      </c>
      <c r="U3791" t="s">
        <v>549</v>
      </c>
    </row>
    <row r="3792" spans="1:21" ht="15" customHeight="1" x14ac:dyDescent="0.3">
      <c r="A3792" t="s">
        <v>179</v>
      </c>
      <c r="B3792" t="str">
        <f>"00073994"</f>
        <v>00073994</v>
      </c>
      <c r="C3792" t="s">
        <v>4260</v>
      </c>
      <c r="D3792" t="s">
        <v>3383</v>
      </c>
      <c r="E3792" t="str">
        <f>"00057268"</f>
        <v>00057268</v>
      </c>
      <c r="F3792">
        <v>0</v>
      </c>
      <c r="G3792" s="243">
        <v>40042</v>
      </c>
      <c r="H3792" t="s">
        <v>182</v>
      </c>
      <c r="I3792">
        <v>15</v>
      </c>
      <c r="J3792">
        <v>10</v>
      </c>
      <c r="K3792">
        <v>1</v>
      </c>
      <c r="L3792">
        <v>78273</v>
      </c>
      <c r="M3792" t="str">
        <f t="shared" si="540"/>
        <v>13</v>
      </c>
      <c r="N3792" t="s">
        <v>3370</v>
      </c>
      <c r="O3792" t="str">
        <f t="shared" si="542"/>
        <v>63211</v>
      </c>
      <c r="P3792" t="str">
        <f>"2100L"</f>
        <v>2100L</v>
      </c>
      <c r="Q3792" t="str">
        <f t="shared" si="541"/>
        <v>0101</v>
      </c>
      <c r="R3792">
        <v>2100</v>
      </c>
      <c r="S3792" t="str">
        <f t="shared" si="543"/>
        <v>6320</v>
      </c>
      <c r="T3792" t="s">
        <v>3853</v>
      </c>
      <c r="U3792" t="s">
        <v>549</v>
      </c>
    </row>
    <row r="3793" spans="1:21" ht="15" customHeight="1" x14ac:dyDescent="0.3">
      <c r="A3793" t="s">
        <v>179</v>
      </c>
      <c r="B3793" t="str">
        <f>"00074343"</f>
        <v>00074343</v>
      </c>
      <c r="C3793" t="s">
        <v>4337</v>
      </c>
      <c r="D3793" t="s">
        <v>5461</v>
      </c>
      <c r="E3793" t="str">
        <f>"00069958"</f>
        <v>00069958</v>
      </c>
      <c r="F3793">
        <v>0</v>
      </c>
      <c r="G3793" s="243">
        <v>41133</v>
      </c>
      <c r="H3793" t="s">
        <v>182</v>
      </c>
      <c r="I3793">
        <v>15</v>
      </c>
      <c r="J3793">
        <v>1</v>
      </c>
      <c r="K3793">
        <v>0.5</v>
      </c>
      <c r="L3793">
        <v>25769.5</v>
      </c>
      <c r="M3793" t="str">
        <f t="shared" si="540"/>
        <v>13</v>
      </c>
      <c r="N3793" t="s">
        <v>3323</v>
      </c>
      <c r="O3793" t="str">
        <f t="shared" si="542"/>
        <v>63211</v>
      </c>
      <c r="P3793" t="str">
        <f>"2100L"</f>
        <v>2100L</v>
      </c>
      <c r="Q3793" t="str">
        <f t="shared" si="541"/>
        <v>0101</v>
      </c>
      <c r="R3793">
        <v>2100</v>
      </c>
      <c r="S3793" t="str">
        <f t="shared" si="543"/>
        <v>6320</v>
      </c>
      <c r="T3793" t="s">
        <v>3853</v>
      </c>
      <c r="U3793" t="s">
        <v>549</v>
      </c>
    </row>
    <row r="3794" spans="1:21" ht="15" customHeight="1" x14ac:dyDescent="0.3">
      <c r="A3794" t="s">
        <v>179</v>
      </c>
      <c r="B3794" t="str">
        <f>"00075955"</f>
        <v>00075955</v>
      </c>
      <c r="C3794" t="s">
        <v>4438</v>
      </c>
      <c r="H3794" t="s">
        <v>170</v>
      </c>
      <c r="I3794">
        <v>11</v>
      </c>
      <c r="J3794">
        <v>0</v>
      </c>
      <c r="K3794">
        <v>1</v>
      </c>
      <c r="L3794">
        <v>60779</v>
      </c>
      <c r="M3794" t="str">
        <f t="shared" si="540"/>
        <v>13</v>
      </c>
      <c r="N3794" t="s">
        <v>3370</v>
      </c>
      <c r="O3794" t="str">
        <f t="shared" si="542"/>
        <v>63211</v>
      </c>
      <c r="P3794" t="str">
        <f>"2100L"</f>
        <v>2100L</v>
      </c>
      <c r="Q3794" t="str">
        <f t="shared" si="541"/>
        <v>0101</v>
      </c>
      <c r="R3794">
        <v>2100</v>
      </c>
      <c r="S3794" t="str">
        <f t="shared" si="543"/>
        <v>6320</v>
      </c>
      <c r="T3794" t="s">
        <v>3853</v>
      </c>
      <c r="U3794" t="s">
        <v>549</v>
      </c>
    </row>
    <row r="3795" spans="1:21" ht="15" customHeight="1" x14ac:dyDescent="0.3">
      <c r="A3795" t="s">
        <v>179</v>
      </c>
      <c r="B3795" t="str">
        <f>"00076503"</f>
        <v>00076503</v>
      </c>
      <c r="C3795" t="s">
        <v>4395</v>
      </c>
      <c r="D3795" t="s">
        <v>5462</v>
      </c>
      <c r="E3795" t="str">
        <f>"00056824"</f>
        <v>00056824</v>
      </c>
      <c r="F3795">
        <v>0</v>
      </c>
      <c r="G3795" s="243">
        <v>40028</v>
      </c>
      <c r="H3795" t="s">
        <v>182</v>
      </c>
      <c r="I3795">
        <v>10</v>
      </c>
      <c r="J3795">
        <v>5</v>
      </c>
      <c r="K3795">
        <v>1</v>
      </c>
      <c r="L3795">
        <v>72387</v>
      </c>
      <c r="M3795" t="str">
        <f t="shared" si="540"/>
        <v>13</v>
      </c>
      <c r="N3795" t="s">
        <v>3323</v>
      </c>
      <c r="O3795" t="str">
        <f t="shared" si="542"/>
        <v>63211</v>
      </c>
      <c r="P3795" t="str">
        <f>"3030L"</f>
        <v>3030L</v>
      </c>
      <c r="Q3795" t="str">
        <f t="shared" si="541"/>
        <v>0101</v>
      </c>
      <c r="R3795">
        <v>3030</v>
      </c>
      <c r="S3795" t="str">
        <f t="shared" si="543"/>
        <v>6320</v>
      </c>
      <c r="T3795" t="s">
        <v>3853</v>
      </c>
      <c r="U3795" t="s">
        <v>549</v>
      </c>
    </row>
    <row r="3796" spans="1:21" ht="15" customHeight="1" x14ac:dyDescent="0.3">
      <c r="A3796" t="s">
        <v>179</v>
      </c>
      <c r="B3796" t="str">
        <f>"00051604"</f>
        <v>00051604</v>
      </c>
      <c r="C3796" t="s">
        <v>3670</v>
      </c>
      <c r="D3796" t="s">
        <v>3868</v>
      </c>
      <c r="E3796" t="str">
        <f>"00056833"</f>
        <v>00056833</v>
      </c>
      <c r="F3796">
        <v>0</v>
      </c>
      <c r="G3796" s="243">
        <v>40028</v>
      </c>
      <c r="H3796" t="s">
        <v>182</v>
      </c>
      <c r="I3796">
        <v>8</v>
      </c>
      <c r="J3796">
        <v>2</v>
      </c>
      <c r="K3796">
        <v>1</v>
      </c>
      <c r="L3796">
        <v>84746</v>
      </c>
      <c r="M3796" t="str">
        <f t="shared" si="540"/>
        <v>13</v>
      </c>
      <c r="N3796" t="s">
        <v>3323</v>
      </c>
      <c r="O3796" t="str">
        <f t="shared" ref="O3796:O3822" si="544">"63311"</f>
        <v>63311</v>
      </c>
      <c r="P3796" t="str">
        <f>"1501L"</f>
        <v>1501L</v>
      </c>
      <c r="Q3796" t="str">
        <f t="shared" si="541"/>
        <v>0101</v>
      </c>
      <c r="R3796">
        <v>1501</v>
      </c>
      <c r="S3796" t="str">
        <f t="shared" ref="S3796:S3822" si="545">"6330"</f>
        <v>6330</v>
      </c>
      <c r="T3796" t="s">
        <v>3845</v>
      </c>
      <c r="U3796" t="s">
        <v>874</v>
      </c>
    </row>
    <row r="3797" spans="1:21" ht="15" customHeight="1" x14ac:dyDescent="0.3">
      <c r="A3797" t="s">
        <v>179</v>
      </c>
      <c r="B3797" t="str">
        <f>"00051611"</f>
        <v>00051611</v>
      </c>
      <c r="C3797" t="s">
        <v>5463</v>
      </c>
      <c r="D3797" t="s">
        <v>875</v>
      </c>
      <c r="E3797" t="str">
        <f>"00046139"</f>
        <v>00046139</v>
      </c>
      <c r="F3797">
        <v>0</v>
      </c>
      <c r="G3797" s="243">
        <v>40417</v>
      </c>
      <c r="H3797" t="s">
        <v>182</v>
      </c>
      <c r="I3797">
        <v>15</v>
      </c>
      <c r="J3797">
        <v>11</v>
      </c>
      <c r="K3797">
        <v>1</v>
      </c>
      <c r="L3797">
        <v>83774</v>
      </c>
      <c r="M3797" t="str">
        <f t="shared" si="540"/>
        <v>13</v>
      </c>
      <c r="N3797" t="s">
        <v>3323</v>
      </c>
      <c r="O3797" t="str">
        <f t="shared" si="544"/>
        <v>63311</v>
      </c>
      <c r="P3797" t="str">
        <f t="shared" ref="P3797:P3802" si="546">"2100L"</f>
        <v>2100L</v>
      </c>
      <c r="Q3797" t="str">
        <f t="shared" si="541"/>
        <v>0101</v>
      </c>
      <c r="R3797">
        <v>2100</v>
      </c>
      <c r="S3797" t="str">
        <f t="shared" si="545"/>
        <v>6330</v>
      </c>
      <c r="T3797" t="s">
        <v>3845</v>
      </c>
      <c r="U3797" t="s">
        <v>874</v>
      </c>
    </row>
    <row r="3798" spans="1:21" ht="15" customHeight="1" x14ac:dyDescent="0.3">
      <c r="A3798" t="s">
        <v>179</v>
      </c>
      <c r="B3798" t="str">
        <f>"00051670"</f>
        <v>00051670</v>
      </c>
      <c r="C3798" t="s">
        <v>4253</v>
      </c>
      <c r="D3798" t="s">
        <v>3881</v>
      </c>
      <c r="E3798" t="str">
        <f>"00066512"</f>
        <v>00066512</v>
      </c>
      <c r="F3798">
        <v>0</v>
      </c>
      <c r="G3798" s="243">
        <v>40755</v>
      </c>
      <c r="H3798" t="s">
        <v>182</v>
      </c>
      <c r="I3798">
        <v>15</v>
      </c>
      <c r="J3798">
        <v>7</v>
      </c>
      <c r="K3798">
        <v>1</v>
      </c>
      <c r="L3798">
        <v>74045</v>
      </c>
      <c r="M3798" t="str">
        <f t="shared" si="540"/>
        <v>13</v>
      </c>
      <c r="N3798" t="s">
        <v>3323</v>
      </c>
      <c r="O3798" t="str">
        <f t="shared" si="544"/>
        <v>63311</v>
      </c>
      <c r="P3798" t="str">
        <f t="shared" si="546"/>
        <v>2100L</v>
      </c>
      <c r="Q3798" t="str">
        <f t="shared" si="541"/>
        <v>0101</v>
      </c>
      <c r="R3798">
        <v>2100</v>
      </c>
      <c r="S3798" t="str">
        <f t="shared" si="545"/>
        <v>6330</v>
      </c>
      <c r="T3798" t="s">
        <v>3845</v>
      </c>
      <c r="U3798" t="s">
        <v>874</v>
      </c>
    </row>
    <row r="3799" spans="1:21" ht="15" customHeight="1" x14ac:dyDescent="0.3">
      <c r="A3799" t="s">
        <v>179</v>
      </c>
      <c r="B3799" t="str">
        <f>"00051696"</f>
        <v>00051696</v>
      </c>
      <c r="C3799" t="s">
        <v>4253</v>
      </c>
      <c r="D3799" t="s">
        <v>3882</v>
      </c>
      <c r="E3799" t="str">
        <f>"00045535"</f>
        <v>00045535</v>
      </c>
      <c r="F3799">
        <v>0</v>
      </c>
      <c r="G3799" s="243">
        <v>32050</v>
      </c>
      <c r="H3799" t="s">
        <v>182</v>
      </c>
      <c r="I3799">
        <v>15</v>
      </c>
      <c r="J3799">
        <v>13</v>
      </c>
      <c r="K3799">
        <v>1</v>
      </c>
      <c r="L3799">
        <v>86613</v>
      </c>
      <c r="M3799" t="str">
        <f t="shared" si="540"/>
        <v>13</v>
      </c>
      <c r="N3799" t="s">
        <v>3323</v>
      </c>
      <c r="O3799" t="str">
        <f t="shared" si="544"/>
        <v>63311</v>
      </c>
      <c r="P3799" t="str">
        <f t="shared" si="546"/>
        <v>2100L</v>
      </c>
      <c r="Q3799" t="str">
        <f t="shared" si="541"/>
        <v>0101</v>
      </c>
      <c r="R3799">
        <v>2100</v>
      </c>
      <c r="S3799" t="str">
        <f t="shared" si="545"/>
        <v>6330</v>
      </c>
      <c r="T3799" t="s">
        <v>3845</v>
      </c>
      <c r="U3799" t="s">
        <v>874</v>
      </c>
    </row>
    <row r="3800" spans="1:21" ht="15" customHeight="1" x14ac:dyDescent="0.3">
      <c r="A3800" t="s">
        <v>179</v>
      </c>
      <c r="B3800" t="str">
        <f>"00051923"</f>
        <v>00051923</v>
      </c>
      <c r="C3800" t="s">
        <v>4253</v>
      </c>
      <c r="D3800" t="s">
        <v>876</v>
      </c>
      <c r="E3800" t="str">
        <f>"00046582"</f>
        <v>00046582</v>
      </c>
      <c r="F3800">
        <v>0</v>
      </c>
      <c r="G3800" s="243">
        <v>31678</v>
      </c>
      <c r="H3800" t="s">
        <v>182</v>
      </c>
      <c r="I3800">
        <v>15</v>
      </c>
      <c r="J3800">
        <v>16</v>
      </c>
      <c r="K3800">
        <v>1</v>
      </c>
      <c r="L3800">
        <v>100839</v>
      </c>
      <c r="M3800" t="str">
        <f t="shared" si="540"/>
        <v>13</v>
      </c>
      <c r="N3800" t="s">
        <v>3323</v>
      </c>
      <c r="O3800" t="str">
        <f t="shared" si="544"/>
        <v>63311</v>
      </c>
      <c r="P3800" t="str">
        <f t="shared" si="546"/>
        <v>2100L</v>
      </c>
      <c r="Q3800" t="str">
        <f t="shared" si="541"/>
        <v>0101</v>
      </c>
      <c r="R3800">
        <v>2100</v>
      </c>
      <c r="S3800" t="str">
        <f t="shared" si="545"/>
        <v>6330</v>
      </c>
      <c r="T3800" t="s">
        <v>3845</v>
      </c>
      <c r="U3800" t="s">
        <v>874</v>
      </c>
    </row>
    <row r="3801" spans="1:21" ht="15" customHeight="1" x14ac:dyDescent="0.3">
      <c r="A3801" t="s">
        <v>179</v>
      </c>
      <c r="B3801" t="str">
        <f>"00052227"</f>
        <v>00052227</v>
      </c>
      <c r="C3801" t="s">
        <v>4253</v>
      </c>
      <c r="D3801" t="s">
        <v>877</v>
      </c>
      <c r="E3801" t="str">
        <f>"00047696"</f>
        <v>00047696</v>
      </c>
      <c r="F3801">
        <v>0</v>
      </c>
      <c r="G3801" s="243">
        <v>34928</v>
      </c>
      <c r="H3801" t="s">
        <v>182</v>
      </c>
      <c r="I3801">
        <v>15</v>
      </c>
      <c r="J3801">
        <v>14</v>
      </c>
      <c r="K3801">
        <v>1</v>
      </c>
      <c r="L3801">
        <v>98967</v>
      </c>
      <c r="M3801" t="str">
        <f t="shared" si="540"/>
        <v>13</v>
      </c>
      <c r="N3801" t="s">
        <v>3323</v>
      </c>
      <c r="O3801" t="str">
        <f t="shared" si="544"/>
        <v>63311</v>
      </c>
      <c r="P3801" t="str">
        <f t="shared" si="546"/>
        <v>2100L</v>
      </c>
      <c r="Q3801" t="str">
        <f t="shared" si="541"/>
        <v>0101</v>
      </c>
      <c r="R3801">
        <v>2100</v>
      </c>
      <c r="S3801" t="str">
        <f t="shared" si="545"/>
        <v>6330</v>
      </c>
      <c r="T3801" t="s">
        <v>3845</v>
      </c>
      <c r="U3801" t="s">
        <v>874</v>
      </c>
    </row>
    <row r="3802" spans="1:21" ht="15" customHeight="1" x14ac:dyDescent="0.3">
      <c r="A3802" t="s">
        <v>179</v>
      </c>
      <c r="B3802" t="str">
        <f>"00052575"</f>
        <v>00052575</v>
      </c>
      <c r="C3802" t="s">
        <v>4253</v>
      </c>
      <c r="D3802" t="s">
        <v>3883</v>
      </c>
      <c r="E3802" t="str">
        <f>"00065567"</f>
        <v>00065567</v>
      </c>
      <c r="F3802">
        <v>0</v>
      </c>
      <c r="G3802" s="243">
        <v>40755</v>
      </c>
      <c r="H3802" t="s">
        <v>182</v>
      </c>
      <c r="I3802">
        <v>15</v>
      </c>
      <c r="J3802">
        <v>4</v>
      </c>
      <c r="K3802">
        <v>1</v>
      </c>
      <c r="L3802">
        <v>61158</v>
      </c>
      <c r="M3802" t="str">
        <f t="shared" si="540"/>
        <v>13</v>
      </c>
      <c r="N3802" t="s">
        <v>3323</v>
      </c>
      <c r="O3802" t="str">
        <f t="shared" si="544"/>
        <v>63311</v>
      </c>
      <c r="P3802" t="str">
        <f t="shared" si="546"/>
        <v>2100L</v>
      </c>
      <c r="Q3802" t="str">
        <f t="shared" si="541"/>
        <v>0101</v>
      </c>
      <c r="R3802">
        <v>2100</v>
      </c>
      <c r="S3802" t="str">
        <f t="shared" si="545"/>
        <v>6330</v>
      </c>
      <c r="T3802" t="s">
        <v>3845</v>
      </c>
      <c r="U3802" t="s">
        <v>874</v>
      </c>
    </row>
    <row r="3803" spans="1:21" ht="15" customHeight="1" x14ac:dyDescent="0.3">
      <c r="A3803" t="s">
        <v>179</v>
      </c>
      <c r="B3803" t="str">
        <f>"00052641"</f>
        <v>00052641</v>
      </c>
      <c r="C3803" t="s">
        <v>4252</v>
      </c>
      <c r="D3803" t="s">
        <v>878</v>
      </c>
      <c r="E3803" t="str">
        <f>"00048761"</f>
        <v>00048761</v>
      </c>
      <c r="F3803">
        <v>0</v>
      </c>
      <c r="G3803" s="243">
        <v>31030</v>
      </c>
      <c r="H3803" t="s">
        <v>182</v>
      </c>
      <c r="I3803">
        <v>15</v>
      </c>
      <c r="J3803">
        <v>16</v>
      </c>
      <c r="K3803">
        <v>1</v>
      </c>
      <c r="L3803">
        <v>103347</v>
      </c>
      <c r="M3803" t="str">
        <f t="shared" si="540"/>
        <v>13</v>
      </c>
      <c r="N3803" t="s">
        <v>3323</v>
      </c>
      <c r="O3803" t="str">
        <f t="shared" si="544"/>
        <v>63311</v>
      </c>
      <c r="P3803" t="str">
        <f>"2300L"</f>
        <v>2300L</v>
      </c>
      <c r="Q3803" t="str">
        <f t="shared" si="541"/>
        <v>0101</v>
      </c>
      <c r="R3803">
        <v>2300</v>
      </c>
      <c r="S3803" t="str">
        <f t="shared" si="545"/>
        <v>6330</v>
      </c>
      <c r="T3803" t="s">
        <v>3845</v>
      </c>
      <c r="U3803" t="s">
        <v>874</v>
      </c>
    </row>
    <row r="3804" spans="1:21" ht="15" customHeight="1" x14ac:dyDescent="0.3">
      <c r="A3804" t="s">
        <v>179</v>
      </c>
      <c r="B3804" t="str">
        <f>"00052702"</f>
        <v>00052702</v>
      </c>
      <c r="C3804" t="s">
        <v>4253</v>
      </c>
      <c r="D3804" t="s">
        <v>879</v>
      </c>
      <c r="E3804" t="str">
        <f>"00049005"</f>
        <v>00049005</v>
      </c>
      <c r="F3804">
        <v>0</v>
      </c>
      <c r="G3804" s="243">
        <v>32050</v>
      </c>
      <c r="H3804" t="s">
        <v>182</v>
      </c>
      <c r="I3804">
        <v>15</v>
      </c>
      <c r="J3804">
        <v>16</v>
      </c>
      <c r="K3804">
        <v>1</v>
      </c>
      <c r="L3804">
        <v>100839</v>
      </c>
      <c r="M3804" t="str">
        <f t="shared" ref="M3804:M3862" si="547">"13"</f>
        <v>13</v>
      </c>
      <c r="N3804" t="s">
        <v>3323</v>
      </c>
      <c r="O3804" t="str">
        <f t="shared" si="544"/>
        <v>63311</v>
      </c>
      <c r="P3804" t="str">
        <f>"2100L"</f>
        <v>2100L</v>
      </c>
      <c r="Q3804" t="str">
        <f t="shared" si="541"/>
        <v>0101</v>
      </c>
      <c r="R3804">
        <v>2100</v>
      </c>
      <c r="S3804" t="str">
        <f t="shared" si="545"/>
        <v>6330</v>
      </c>
      <c r="T3804" t="s">
        <v>3845</v>
      </c>
      <c r="U3804" t="s">
        <v>874</v>
      </c>
    </row>
    <row r="3805" spans="1:21" ht="15" customHeight="1" x14ac:dyDescent="0.3">
      <c r="A3805" t="s">
        <v>179</v>
      </c>
      <c r="B3805" t="str">
        <f>"00052755"</f>
        <v>00052755</v>
      </c>
      <c r="C3805" t="s">
        <v>4266</v>
      </c>
      <c r="D3805" t="s">
        <v>880</v>
      </c>
      <c r="E3805" t="str">
        <f>"00049334"</f>
        <v>00049334</v>
      </c>
      <c r="F3805">
        <v>0</v>
      </c>
      <c r="G3805" s="243">
        <v>32387</v>
      </c>
      <c r="H3805" t="s">
        <v>182</v>
      </c>
      <c r="I3805">
        <v>15</v>
      </c>
      <c r="J3805">
        <v>16</v>
      </c>
      <c r="K3805">
        <v>1</v>
      </c>
      <c r="L3805">
        <v>103347</v>
      </c>
      <c r="M3805" t="str">
        <f t="shared" si="547"/>
        <v>13</v>
      </c>
      <c r="N3805" t="s">
        <v>3323</v>
      </c>
      <c r="O3805" t="str">
        <f t="shared" si="544"/>
        <v>63311</v>
      </c>
      <c r="P3805" t="str">
        <f>"2300L"</f>
        <v>2300L</v>
      </c>
      <c r="Q3805" t="str">
        <f t="shared" si="541"/>
        <v>0101</v>
      </c>
      <c r="R3805">
        <v>2300</v>
      </c>
      <c r="S3805" t="str">
        <f t="shared" si="545"/>
        <v>6330</v>
      </c>
      <c r="T3805" t="s">
        <v>3845</v>
      </c>
      <c r="U3805" t="s">
        <v>874</v>
      </c>
    </row>
    <row r="3806" spans="1:21" ht="15" customHeight="1" x14ac:dyDescent="0.3">
      <c r="A3806" t="s">
        <v>179</v>
      </c>
      <c r="B3806" t="str">
        <f>"00052859"</f>
        <v>00052859</v>
      </c>
      <c r="C3806" t="s">
        <v>4266</v>
      </c>
      <c r="D3806" t="s">
        <v>5464</v>
      </c>
      <c r="E3806" t="str">
        <f>"00049736"</f>
        <v>00049736</v>
      </c>
      <c r="F3806">
        <v>0</v>
      </c>
      <c r="G3806" s="243">
        <v>32050</v>
      </c>
      <c r="H3806" t="s">
        <v>182</v>
      </c>
      <c r="I3806">
        <v>15</v>
      </c>
      <c r="J3806">
        <v>16</v>
      </c>
      <c r="K3806">
        <v>1</v>
      </c>
      <c r="L3806">
        <v>100839</v>
      </c>
      <c r="M3806" t="str">
        <f t="shared" si="547"/>
        <v>13</v>
      </c>
      <c r="N3806" t="s">
        <v>3323</v>
      </c>
      <c r="O3806" t="str">
        <f t="shared" si="544"/>
        <v>63311</v>
      </c>
      <c r="P3806" t="str">
        <f>"2300L"</f>
        <v>2300L</v>
      </c>
      <c r="Q3806" t="str">
        <f t="shared" si="541"/>
        <v>0101</v>
      </c>
      <c r="R3806">
        <v>2300</v>
      </c>
      <c r="S3806" t="str">
        <f t="shared" si="545"/>
        <v>6330</v>
      </c>
      <c r="T3806" t="s">
        <v>3845</v>
      </c>
      <c r="U3806" t="s">
        <v>874</v>
      </c>
    </row>
    <row r="3807" spans="1:21" ht="15" customHeight="1" x14ac:dyDescent="0.3">
      <c r="A3807" t="s">
        <v>179</v>
      </c>
      <c r="B3807" t="str">
        <f>"00052873"</f>
        <v>00052873</v>
      </c>
      <c r="C3807" t="s">
        <v>4252</v>
      </c>
      <c r="D3807" t="s">
        <v>881</v>
      </c>
      <c r="E3807" t="str">
        <f>"00049803"</f>
        <v>00049803</v>
      </c>
      <c r="F3807">
        <v>0</v>
      </c>
      <c r="G3807" s="243">
        <v>32181</v>
      </c>
      <c r="H3807" t="s">
        <v>182</v>
      </c>
      <c r="I3807">
        <v>15</v>
      </c>
      <c r="J3807">
        <v>16</v>
      </c>
      <c r="K3807">
        <v>1</v>
      </c>
      <c r="L3807">
        <v>100839</v>
      </c>
      <c r="M3807" t="str">
        <f t="shared" si="547"/>
        <v>13</v>
      </c>
      <c r="N3807" t="s">
        <v>3323</v>
      </c>
      <c r="O3807" t="str">
        <f t="shared" si="544"/>
        <v>63311</v>
      </c>
      <c r="P3807" t="str">
        <f>"2100L"</f>
        <v>2100L</v>
      </c>
      <c r="Q3807" t="str">
        <f t="shared" si="541"/>
        <v>0101</v>
      </c>
      <c r="R3807">
        <v>2100</v>
      </c>
      <c r="S3807" t="str">
        <f t="shared" si="545"/>
        <v>6330</v>
      </c>
      <c r="T3807" t="s">
        <v>3845</v>
      </c>
      <c r="U3807" t="s">
        <v>874</v>
      </c>
    </row>
    <row r="3808" spans="1:21" ht="15" customHeight="1" x14ac:dyDescent="0.3">
      <c r="A3808" t="s">
        <v>179</v>
      </c>
      <c r="B3808" t="str">
        <f>"00053117"</f>
        <v>00053117</v>
      </c>
      <c r="C3808" t="s">
        <v>4254</v>
      </c>
      <c r="D3808" t="s">
        <v>882</v>
      </c>
      <c r="E3808" t="str">
        <f>"00050977"</f>
        <v>00050977</v>
      </c>
      <c r="F3808">
        <v>0</v>
      </c>
      <c r="G3808" s="243">
        <v>32050</v>
      </c>
      <c r="H3808" t="s">
        <v>182</v>
      </c>
      <c r="I3808">
        <v>15</v>
      </c>
      <c r="J3808">
        <v>16</v>
      </c>
      <c r="K3808">
        <v>1</v>
      </c>
      <c r="L3808">
        <v>100839</v>
      </c>
      <c r="M3808" t="str">
        <f t="shared" si="547"/>
        <v>13</v>
      </c>
      <c r="N3808" t="s">
        <v>3323</v>
      </c>
      <c r="O3808" t="str">
        <f t="shared" si="544"/>
        <v>63311</v>
      </c>
      <c r="P3808" t="str">
        <f>"2100L"</f>
        <v>2100L</v>
      </c>
      <c r="Q3808" t="str">
        <f t="shared" si="541"/>
        <v>0101</v>
      </c>
      <c r="R3808">
        <v>2100</v>
      </c>
      <c r="S3808" t="str">
        <f t="shared" si="545"/>
        <v>6330</v>
      </c>
      <c r="T3808" t="s">
        <v>3845</v>
      </c>
      <c r="U3808" t="s">
        <v>874</v>
      </c>
    </row>
    <row r="3809" spans="1:21" ht="15" customHeight="1" x14ac:dyDescent="0.3">
      <c r="A3809" t="s">
        <v>179</v>
      </c>
      <c r="B3809" t="str">
        <f>"00053218"</f>
        <v>00053218</v>
      </c>
      <c r="C3809" t="s">
        <v>4254</v>
      </c>
      <c r="D3809" t="s">
        <v>883</v>
      </c>
      <c r="E3809" t="str">
        <f>"00016212"</f>
        <v>00016212</v>
      </c>
      <c r="F3809">
        <v>1</v>
      </c>
      <c r="G3809" s="243">
        <v>32418</v>
      </c>
      <c r="H3809" t="s">
        <v>182</v>
      </c>
      <c r="I3809">
        <v>15</v>
      </c>
      <c r="J3809">
        <v>16</v>
      </c>
      <c r="K3809">
        <v>1</v>
      </c>
      <c r="L3809">
        <v>100839</v>
      </c>
      <c r="M3809" t="str">
        <f t="shared" si="547"/>
        <v>13</v>
      </c>
      <c r="N3809" t="s">
        <v>3323</v>
      </c>
      <c r="O3809" t="str">
        <f t="shared" si="544"/>
        <v>63311</v>
      </c>
      <c r="P3809" t="str">
        <f>"2100L"</f>
        <v>2100L</v>
      </c>
      <c r="Q3809" t="str">
        <f t="shared" si="541"/>
        <v>0101</v>
      </c>
      <c r="R3809">
        <v>2100</v>
      </c>
      <c r="S3809" t="str">
        <f t="shared" si="545"/>
        <v>6330</v>
      </c>
      <c r="T3809" t="s">
        <v>3845</v>
      </c>
      <c r="U3809" t="s">
        <v>874</v>
      </c>
    </row>
    <row r="3810" spans="1:21" ht="15" customHeight="1" x14ac:dyDescent="0.3">
      <c r="A3810" t="s">
        <v>179</v>
      </c>
      <c r="B3810" t="str">
        <f>"00053322"</f>
        <v>00053322</v>
      </c>
      <c r="C3810" t="s">
        <v>4253</v>
      </c>
      <c r="D3810" t="s">
        <v>5465</v>
      </c>
      <c r="E3810" t="str">
        <f>"00069806"</f>
        <v>00069806</v>
      </c>
      <c r="F3810">
        <v>0</v>
      </c>
      <c r="G3810" s="243">
        <v>41133</v>
      </c>
      <c r="H3810" t="s">
        <v>182</v>
      </c>
      <c r="I3810">
        <v>15</v>
      </c>
      <c r="J3810">
        <v>1</v>
      </c>
      <c r="K3810">
        <v>1</v>
      </c>
      <c r="L3810">
        <v>54975</v>
      </c>
      <c r="M3810" t="str">
        <f t="shared" si="547"/>
        <v>13</v>
      </c>
      <c r="N3810" t="s">
        <v>3370</v>
      </c>
      <c r="O3810" t="str">
        <f t="shared" si="544"/>
        <v>63311</v>
      </c>
      <c r="P3810" t="str">
        <f>"2100L"</f>
        <v>2100L</v>
      </c>
      <c r="Q3810" t="str">
        <f t="shared" si="541"/>
        <v>0101</v>
      </c>
      <c r="R3810">
        <v>2100</v>
      </c>
      <c r="S3810" t="str">
        <f t="shared" si="545"/>
        <v>6330</v>
      </c>
      <c r="T3810" t="s">
        <v>3845</v>
      </c>
      <c r="U3810" t="s">
        <v>874</v>
      </c>
    </row>
    <row r="3811" spans="1:21" ht="15" customHeight="1" x14ac:dyDescent="0.3">
      <c r="A3811" t="s">
        <v>179</v>
      </c>
      <c r="B3811" t="str">
        <f>"00053644"</f>
        <v>00053644</v>
      </c>
      <c r="C3811" t="s">
        <v>3670</v>
      </c>
      <c r="D3811" t="s">
        <v>884</v>
      </c>
      <c r="E3811" t="str">
        <f>"00052021"</f>
        <v>00052021</v>
      </c>
      <c r="F3811">
        <v>0</v>
      </c>
      <c r="G3811" s="243">
        <v>33185</v>
      </c>
      <c r="H3811" t="s">
        <v>182</v>
      </c>
      <c r="I3811">
        <v>8</v>
      </c>
      <c r="J3811">
        <v>6</v>
      </c>
      <c r="K3811">
        <v>1</v>
      </c>
      <c r="L3811">
        <v>94825</v>
      </c>
      <c r="M3811" t="str">
        <f t="shared" si="547"/>
        <v>13</v>
      </c>
      <c r="N3811" t="s">
        <v>3323</v>
      </c>
      <c r="O3811" t="str">
        <f t="shared" si="544"/>
        <v>63311</v>
      </c>
      <c r="P3811" t="str">
        <f>"1501L"</f>
        <v>1501L</v>
      </c>
      <c r="Q3811" t="str">
        <f t="shared" si="541"/>
        <v>0101</v>
      </c>
      <c r="R3811">
        <v>1501</v>
      </c>
      <c r="S3811" t="str">
        <f t="shared" si="545"/>
        <v>6330</v>
      </c>
      <c r="T3811" t="s">
        <v>3845</v>
      </c>
      <c r="U3811" t="s">
        <v>874</v>
      </c>
    </row>
    <row r="3812" spans="1:21" ht="15" customHeight="1" x14ac:dyDescent="0.3">
      <c r="A3812" t="s">
        <v>179</v>
      </c>
      <c r="B3812" t="str">
        <f>"00056934"</f>
        <v>00056934</v>
      </c>
      <c r="C3812" t="s">
        <v>4290</v>
      </c>
      <c r="D3812" t="s">
        <v>5466</v>
      </c>
      <c r="E3812" t="str">
        <f>"00047295"</f>
        <v>00047295</v>
      </c>
      <c r="F3812">
        <v>0</v>
      </c>
      <c r="G3812" s="243">
        <v>36367</v>
      </c>
      <c r="H3812" t="s">
        <v>182</v>
      </c>
      <c r="I3812">
        <v>4</v>
      </c>
      <c r="J3812">
        <v>9</v>
      </c>
      <c r="K3812">
        <v>0.875</v>
      </c>
      <c r="L3812">
        <v>28025.38</v>
      </c>
      <c r="M3812" t="str">
        <f t="shared" si="547"/>
        <v>13</v>
      </c>
      <c r="N3812" t="s">
        <v>3323</v>
      </c>
      <c r="O3812" t="str">
        <f t="shared" si="544"/>
        <v>63311</v>
      </c>
      <c r="P3812" t="str">
        <f>"2100L"</f>
        <v>2100L</v>
      </c>
      <c r="Q3812" t="str">
        <f t="shared" ref="Q3812:Q3869" si="548">"0101"</f>
        <v>0101</v>
      </c>
      <c r="R3812">
        <v>2100</v>
      </c>
      <c r="S3812" t="str">
        <f t="shared" si="545"/>
        <v>6330</v>
      </c>
      <c r="T3812" t="s">
        <v>3845</v>
      </c>
      <c r="U3812" t="s">
        <v>874</v>
      </c>
    </row>
    <row r="3813" spans="1:21" ht="15" customHeight="1" x14ac:dyDescent="0.3">
      <c r="A3813" t="s">
        <v>179</v>
      </c>
      <c r="B3813" t="str">
        <f>"00057184"</f>
        <v>00057184</v>
      </c>
      <c r="C3813" t="s">
        <v>4253</v>
      </c>
      <c r="D3813" t="s">
        <v>885</v>
      </c>
      <c r="E3813" t="str">
        <f>"00053808"</f>
        <v>00053808</v>
      </c>
      <c r="F3813">
        <v>0</v>
      </c>
      <c r="G3813" s="243">
        <v>36526</v>
      </c>
      <c r="H3813" t="s">
        <v>182</v>
      </c>
      <c r="I3813">
        <v>15</v>
      </c>
      <c r="J3813">
        <v>14</v>
      </c>
      <c r="K3813">
        <v>1</v>
      </c>
      <c r="L3813">
        <v>96460</v>
      </c>
      <c r="M3813" t="str">
        <f t="shared" si="547"/>
        <v>13</v>
      </c>
      <c r="N3813" t="s">
        <v>3323</v>
      </c>
      <c r="O3813" t="str">
        <f t="shared" si="544"/>
        <v>63311</v>
      </c>
      <c r="P3813" t="str">
        <f>"2100L"</f>
        <v>2100L</v>
      </c>
      <c r="Q3813" t="str">
        <f t="shared" si="548"/>
        <v>0101</v>
      </c>
      <c r="R3813">
        <v>2100</v>
      </c>
      <c r="S3813" t="str">
        <f t="shared" si="545"/>
        <v>6330</v>
      </c>
      <c r="T3813" t="s">
        <v>3845</v>
      </c>
      <c r="U3813" t="s">
        <v>874</v>
      </c>
    </row>
    <row r="3814" spans="1:21" ht="15" customHeight="1" x14ac:dyDescent="0.3">
      <c r="A3814" t="s">
        <v>179</v>
      </c>
      <c r="B3814" t="str">
        <f>"00057367"</f>
        <v>00057367</v>
      </c>
      <c r="C3814" t="s">
        <v>3670</v>
      </c>
      <c r="D3814" t="s">
        <v>3869</v>
      </c>
      <c r="E3814" t="str">
        <f>"00066173"</f>
        <v>00066173</v>
      </c>
      <c r="F3814">
        <v>0</v>
      </c>
      <c r="G3814" s="243">
        <v>40769</v>
      </c>
      <c r="H3814" t="s">
        <v>182</v>
      </c>
      <c r="I3814">
        <v>8</v>
      </c>
      <c r="J3814">
        <v>7</v>
      </c>
      <c r="K3814">
        <v>1</v>
      </c>
      <c r="L3814">
        <v>99578</v>
      </c>
      <c r="M3814" t="str">
        <f t="shared" si="547"/>
        <v>13</v>
      </c>
      <c r="N3814" t="s">
        <v>3323</v>
      </c>
      <c r="O3814" t="str">
        <f t="shared" si="544"/>
        <v>63311</v>
      </c>
      <c r="P3814" t="str">
        <f>"1501L"</f>
        <v>1501L</v>
      </c>
      <c r="Q3814" t="str">
        <f t="shared" si="548"/>
        <v>0101</v>
      </c>
      <c r="R3814">
        <v>1501</v>
      </c>
      <c r="S3814" t="str">
        <f t="shared" si="545"/>
        <v>6330</v>
      </c>
      <c r="T3814" t="s">
        <v>3845</v>
      </c>
      <c r="U3814" t="s">
        <v>874</v>
      </c>
    </row>
    <row r="3815" spans="1:21" ht="15" customHeight="1" x14ac:dyDescent="0.3">
      <c r="A3815" t="s">
        <v>179</v>
      </c>
      <c r="B3815" t="str">
        <f>"00057398"</f>
        <v>00057398</v>
      </c>
      <c r="C3815" t="s">
        <v>4263</v>
      </c>
      <c r="D3815" t="s">
        <v>887</v>
      </c>
      <c r="E3815" t="str">
        <f>"00046562"</f>
        <v>00046562</v>
      </c>
      <c r="F3815">
        <v>0</v>
      </c>
      <c r="G3815" s="243">
        <v>36761</v>
      </c>
      <c r="H3815" t="s">
        <v>182</v>
      </c>
      <c r="I3815">
        <v>15</v>
      </c>
      <c r="J3815">
        <v>16</v>
      </c>
      <c r="K3815">
        <v>1</v>
      </c>
      <c r="L3815">
        <v>103347</v>
      </c>
      <c r="M3815" t="str">
        <f t="shared" si="547"/>
        <v>13</v>
      </c>
      <c r="N3815" t="s">
        <v>3323</v>
      </c>
      <c r="O3815" t="str">
        <f t="shared" si="544"/>
        <v>63311</v>
      </c>
      <c r="P3815" t="str">
        <f>"2100L"</f>
        <v>2100L</v>
      </c>
      <c r="Q3815" t="str">
        <f t="shared" si="548"/>
        <v>0101</v>
      </c>
      <c r="R3815">
        <v>2100</v>
      </c>
      <c r="S3815" t="str">
        <f t="shared" si="545"/>
        <v>6330</v>
      </c>
      <c r="T3815" t="s">
        <v>3845</v>
      </c>
      <c r="U3815" t="s">
        <v>874</v>
      </c>
    </row>
    <row r="3816" spans="1:21" ht="15" customHeight="1" x14ac:dyDescent="0.3">
      <c r="A3816" t="s">
        <v>179</v>
      </c>
      <c r="B3816" t="str">
        <f>"00057408"</f>
        <v>00057408</v>
      </c>
      <c r="C3816" t="s">
        <v>4253</v>
      </c>
      <c r="D3816" t="s">
        <v>888</v>
      </c>
      <c r="E3816" t="str">
        <f>"00049340"</f>
        <v>00049340</v>
      </c>
      <c r="F3816">
        <v>0</v>
      </c>
      <c r="G3816" s="243">
        <v>36761</v>
      </c>
      <c r="H3816" t="s">
        <v>182</v>
      </c>
      <c r="I3816">
        <v>15</v>
      </c>
      <c r="J3816">
        <v>15</v>
      </c>
      <c r="K3816">
        <v>1</v>
      </c>
      <c r="L3816">
        <v>98285</v>
      </c>
      <c r="M3816" t="str">
        <f t="shared" si="547"/>
        <v>13</v>
      </c>
      <c r="N3816" t="s">
        <v>3323</v>
      </c>
      <c r="O3816" t="str">
        <f t="shared" si="544"/>
        <v>63311</v>
      </c>
      <c r="P3816" t="str">
        <f>"2100L"</f>
        <v>2100L</v>
      </c>
      <c r="Q3816" t="str">
        <f t="shared" si="548"/>
        <v>0101</v>
      </c>
      <c r="R3816">
        <v>2100</v>
      </c>
      <c r="S3816" t="str">
        <f t="shared" si="545"/>
        <v>6330</v>
      </c>
      <c r="T3816" t="s">
        <v>3845</v>
      </c>
      <c r="U3816" t="s">
        <v>874</v>
      </c>
    </row>
    <row r="3817" spans="1:21" ht="15" customHeight="1" x14ac:dyDescent="0.3">
      <c r="A3817" t="s">
        <v>179</v>
      </c>
      <c r="B3817" t="str">
        <f>"00057816"</f>
        <v>00057816</v>
      </c>
      <c r="C3817" t="s">
        <v>3798</v>
      </c>
      <c r="D3817" t="s">
        <v>920</v>
      </c>
      <c r="E3817" t="str">
        <f>"00050163"</f>
        <v>00050163</v>
      </c>
      <c r="F3817">
        <v>0</v>
      </c>
      <c r="G3817" s="243">
        <v>39679</v>
      </c>
      <c r="H3817" t="s">
        <v>182</v>
      </c>
      <c r="I3817">
        <v>64</v>
      </c>
      <c r="J3817">
        <v>1</v>
      </c>
      <c r="K3817">
        <v>1</v>
      </c>
      <c r="L3817">
        <v>109000</v>
      </c>
      <c r="M3817" t="str">
        <f t="shared" si="547"/>
        <v>13</v>
      </c>
      <c r="N3817" t="s">
        <v>3323</v>
      </c>
      <c r="O3817" t="str">
        <f t="shared" si="544"/>
        <v>63311</v>
      </c>
      <c r="P3817" t="str">
        <f>"1501L"</f>
        <v>1501L</v>
      </c>
      <c r="Q3817" t="str">
        <f t="shared" si="548"/>
        <v>0101</v>
      </c>
      <c r="R3817">
        <v>1501</v>
      </c>
      <c r="S3817" t="str">
        <f t="shared" si="545"/>
        <v>6330</v>
      </c>
      <c r="T3817" t="s">
        <v>3845</v>
      </c>
      <c r="U3817" t="s">
        <v>874</v>
      </c>
    </row>
    <row r="3818" spans="1:21" ht="15" customHeight="1" x14ac:dyDescent="0.3">
      <c r="A3818" t="s">
        <v>179</v>
      </c>
      <c r="B3818" t="str">
        <f>"00057868"</f>
        <v>00057868</v>
      </c>
      <c r="C3818" t="s">
        <v>4253</v>
      </c>
      <c r="D3818" t="s">
        <v>5467</v>
      </c>
      <c r="E3818" t="str">
        <f>"00069931"</f>
        <v>00069931</v>
      </c>
      <c r="F3818">
        <v>0</v>
      </c>
      <c r="G3818" s="243">
        <v>41133</v>
      </c>
      <c r="H3818" t="s">
        <v>182</v>
      </c>
      <c r="I3818">
        <v>15</v>
      </c>
      <c r="J3818">
        <v>1</v>
      </c>
      <c r="K3818">
        <v>1</v>
      </c>
      <c r="L3818">
        <v>51539</v>
      </c>
      <c r="M3818" t="str">
        <f t="shared" si="547"/>
        <v>13</v>
      </c>
      <c r="N3818" t="s">
        <v>3370</v>
      </c>
      <c r="O3818" t="str">
        <f t="shared" si="544"/>
        <v>63311</v>
      </c>
      <c r="P3818" t="str">
        <f>"2100L"</f>
        <v>2100L</v>
      </c>
      <c r="Q3818" t="str">
        <f t="shared" si="548"/>
        <v>0101</v>
      </c>
      <c r="R3818">
        <v>2100</v>
      </c>
      <c r="S3818" t="str">
        <f t="shared" si="545"/>
        <v>6330</v>
      </c>
      <c r="T3818" t="s">
        <v>3845</v>
      </c>
      <c r="U3818" t="s">
        <v>874</v>
      </c>
    </row>
    <row r="3819" spans="1:21" ht="15" customHeight="1" x14ac:dyDescent="0.3">
      <c r="A3819" t="s">
        <v>179</v>
      </c>
      <c r="B3819" t="str">
        <f>"00057928"</f>
        <v>00057928</v>
      </c>
      <c r="C3819" t="s">
        <v>4263</v>
      </c>
      <c r="D3819" t="s">
        <v>5468</v>
      </c>
      <c r="E3819" t="str">
        <f>"00069681"</f>
        <v>00069681</v>
      </c>
      <c r="F3819">
        <v>0</v>
      </c>
      <c r="G3819" s="243">
        <v>41133</v>
      </c>
      <c r="H3819" t="s">
        <v>182</v>
      </c>
      <c r="I3819">
        <v>15</v>
      </c>
      <c r="J3819">
        <v>7</v>
      </c>
      <c r="K3819">
        <v>1</v>
      </c>
      <c r="L3819">
        <v>69132</v>
      </c>
      <c r="M3819" t="str">
        <f t="shared" si="547"/>
        <v>13</v>
      </c>
      <c r="N3819" t="s">
        <v>3370</v>
      </c>
      <c r="O3819" t="str">
        <f t="shared" si="544"/>
        <v>63311</v>
      </c>
      <c r="P3819" t="str">
        <f>"2100L"</f>
        <v>2100L</v>
      </c>
      <c r="Q3819" t="str">
        <f t="shared" si="548"/>
        <v>0101</v>
      </c>
      <c r="R3819">
        <v>2100</v>
      </c>
      <c r="S3819" t="str">
        <f t="shared" si="545"/>
        <v>6330</v>
      </c>
      <c r="T3819" t="s">
        <v>3845</v>
      </c>
      <c r="U3819" t="s">
        <v>874</v>
      </c>
    </row>
    <row r="3820" spans="1:21" ht="15" customHeight="1" x14ac:dyDescent="0.3">
      <c r="A3820" t="s">
        <v>179</v>
      </c>
      <c r="B3820" t="str">
        <f>"00057929"</f>
        <v>00057929</v>
      </c>
      <c r="C3820" t="s">
        <v>4253</v>
      </c>
      <c r="D3820" t="s">
        <v>5469</v>
      </c>
      <c r="E3820" t="str">
        <f>"00069495"</f>
        <v>00069495</v>
      </c>
      <c r="F3820">
        <v>0</v>
      </c>
      <c r="G3820" s="243">
        <v>41133</v>
      </c>
      <c r="H3820" t="s">
        <v>182</v>
      </c>
      <c r="I3820">
        <v>15</v>
      </c>
      <c r="J3820">
        <v>3</v>
      </c>
      <c r="K3820">
        <v>1</v>
      </c>
      <c r="L3820">
        <v>58699</v>
      </c>
      <c r="M3820" t="str">
        <f t="shared" si="547"/>
        <v>13</v>
      </c>
      <c r="N3820" t="s">
        <v>3370</v>
      </c>
      <c r="O3820" t="str">
        <f t="shared" si="544"/>
        <v>63311</v>
      </c>
      <c r="P3820" t="str">
        <f>"2100L"</f>
        <v>2100L</v>
      </c>
      <c r="Q3820" t="str">
        <f t="shared" si="548"/>
        <v>0101</v>
      </c>
      <c r="R3820">
        <v>2100</v>
      </c>
      <c r="S3820" t="str">
        <f t="shared" si="545"/>
        <v>6330</v>
      </c>
      <c r="T3820" t="s">
        <v>3845</v>
      </c>
      <c r="U3820" t="s">
        <v>874</v>
      </c>
    </row>
    <row r="3821" spans="1:21" ht="15" customHeight="1" x14ac:dyDescent="0.3">
      <c r="A3821" t="s">
        <v>179</v>
      </c>
      <c r="B3821" t="str">
        <f>"00058109"</f>
        <v>00058109</v>
      </c>
      <c r="C3821" t="s">
        <v>4257</v>
      </c>
      <c r="D3821" t="s">
        <v>3871</v>
      </c>
      <c r="E3821" t="str">
        <f>"00066691"</f>
        <v>00066691</v>
      </c>
      <c r="F3821">
        <v>0</v>
      </c>
      <c r="G3821" s="243">
        <v>40770</v>
      </c>
      <c r="H3821" t="s">
        <v>182</v>
      </c>
      <c r="I3821">
        <v>15</v>
      </c>
      <c r="J3821">
        <v>2</v>
      </c>
      <c r="K3821">
        <v>1</v>
      </c>
      <c r="L3821">
        <v>51716</v>
      </c>
      <c r="M3821" t="str">
        <f t="shared" si="547"/>
        <v>13</v>
      </c>
      <c r="N3821" t="s">
        <v>3323</v>
      </c>
      <c r="O3821" t="str">
        <f t="shared" si="544"/>
        <v>63311</v>
      </c>
      <c r="P3821" t="str">
        <f>"2100L"</f>
        <v>2100L</v>
      </c>
      <c r="Q3821" t="str">
        <f t="shared" si="548"/>
        <v>0101</v>
      </c>
      <c r="R3821">
        <v>2100</v>
      </c>
      <c r="S3821" t="str">
        <f t="shared" si="545"/>
        <v>6330</v>
      </c>
      <c r="T3821" t="s">
        <v>3845</v>
      </c>
      <c r="U3821" t="s">
        <v>874</v>
      </c>
    </row>
    <row r="3822" spans="1:21" ht="15" customHeight="1" x14ac:dyDescent="0.3">
      <c r="A3822" t="s">
        <v>179</v>
      </c>
      <c r="B3822" t="str">
        <f>"00058447"</f>
        <v>00058447</v>
      </c>
      <c r="C3822" t="s">
        <v>4253</v>
      </c>
      <c r="D3822" t="s">
        <v>890</v>
      </c>
      <c r="E3822" t="str">
        <f>"00049345"</f>
        <v>00049345</v>
      </c>
      <c r="F3822">
        <v>0</v>
      </c>
      <c r="G3822" s="243">
        <v>31811</v>
      </c>
      <c r="H3822" t="s">
        <v>182</v>
      </c>
      <c r="I3822">
        <v>15</v>
      </c>
      <c r="J3822">
        <v>14</v>
      </c>
      <c r="K3822">
        <v>1</v>
      </c>
      <c r="L3822">
        <v>98967</v>
      </c>
      <c r="M3822" t="str">
        <f t="shared" si="547"/>
        <v>13</v>
      </c>
      <c r="N3822" t="s">
        <v>3323</v>
      </c>
      <c r="O3822" t="str">
        <f t="shared" si="544"/>
        <v>63311</v>
      </c>
      <c r="P3822" t="str">
        <f t="shared" ref="P3822:P3840" si="549">"2100L"</f>
        <v>2100L</v>
      </c>
      <c r="Q3822" t="str">
        <f t="shared" si="548"/>
        <v>0101</v>
      </c>
      <c r="R3822">
        <v>2100</v>
      </c>
      <c r="S3822" t="str">
        <f t="shared" si="545"/>
        <v>6330</v>
      </c>
      <c r="T3822" t="s">
        <v>3845</v>
      </c>
      <c r="U3822" t="s">
        <v>874</v>
      </c>
    </row>
    <row r="3823" spans="1:21" ht="15" customHeight="1" x14ac:dyDescent="0.3">
      <c r="A3823" t="s">
        <v>179</v>
      </c>
      <c r="B3823" t="str">
        <f>"00059148"</f>
        <v>00059148</v>
      </c>
      <c r="C3823" t="s">
        <v>4263</v>
      </c>
      <c r="D3823" t="s">
        <v>891</v>
      </c>
      <c r="E3823" t="str">
        <f>"00046695"</f>
        <v>00046695</v>
      </c>
      <c r="F3823">
        <v>0</v>
      </c>
      <c r="G3823" s="243">
        <v>37895</v>
      </c>
      <c r="H3823" t="s">
        <v>182</v>
      </c>
      <c r="I3823">
        <v>15</v>
      </c>
      <c r="J3823">
        <v>12</v>
      </c>
      <c r="K3823">
        <v>1</v>
      </c>
      <c r="L3823">
        <v>87431</v>
      </c>
      <c r="M3823" t="str">
        <f t="shared" si="547"/>
        <v>13</v>
      </c>
      <c r="N3823" t="s">
        <v>3323</v>
      </c>
      <c r="O3823" t="str">
        <f t="shared" ref="O3823:O3853" si="550">"63311"</f>
        <v>63311</v>
      </c>
      <c r="P3823" t="str">
        <f t="shared" si="549"/>
        <v>2100L</v>
      </c>
      <c r="Q3823" t="str">
        <f t="shared" si="548"/>
        <v>0101</v>
      </c>
      <c r="R3823">
        <v>2100</v>
      </c>
      <c r="S3823" t="str">
        <f t="shared" ref="S3823:S3853" si="551">"6330"</f>
        <v>6330</v>
      </c>
      <c r="T3823" t="s">
        <v>3845</v>
      </c>
      <c r="U3823" t="s">
        <v>874</v>
      </c>
    </row>
    <row r="3824" spans="1:21" ht="15" customHeight="1" x14ac:dyDescent="0.3">
      <c r="A3824" t="s">
        <v>179</v>
      </c>
      <c r="B3824" t="str">
        <f>"00059232"</f>
        <v>00059232</v>
      </c>
      <c r="C3824" t="s">
        <v>4253</v>
      </c>
      <c r="D3824" t="s">
        <v>916</v>
      </c>
      <c r="E3824" t="str">
        <f>"00046729"</f>
        <v>00046729</v>
      </c>
      <c r="F3824">
        <v>0</v>
      </c>
      <c r="G3824" s="243">
        <v>40406</v>
      </c>
      <c r="H3824" t="s">
        <v>182</v>
      </c>
      <c r="I3824">
        <v>15</v>
      </c>
      <c r="J3824">
        <v>11</v>
      </c>
      <c r="K3824">
        <v>1</v>
      </c>
      <c r="L3824">
        <v>81335</v>
      </c>
      <c r="M3824" t="str">
        <f t="shared" si="547"/>
        <v>13</v>
      </c>
      <c r="N3824" t="s">
        <v>3370</v>
      </c>
      <c r="O3824" t="str">
        <f t="shared" si="550"/>
        <v>63311</v>
      </c>
      <c r="P3824" t="str">
        <f t="shared" si="549"/>
        <v>2100L</v>
      </c>
      <c r="Q3824" t="str">
        <f t="shared" si="548"/>
        <v>0101</v>
      </c>
      <c r="R3824">
        <v>2100</v>
      </c>
      <c r="S3824" t="str">
        <f t="shared" si="551"/>
        <v>6330</v>
      </c>
      <c r="T3824" t="s">
        <v>3845</v>
      </c>
      <c r="U3824" t="s">
        <v>874</v>
      </c>
    </row>
    <row r="3825" spans="1:21" ht="15" customHeight="1" x14ac:dyDescent="0.3">
      <c r="A3825" t="s">
        <v>179</v>
      </c>
      <c r="B3825" t="str">
        <f>"00059378"</f>
        <v>00059378</v>
      </c>
      <c r="C3825" t="s">
        <v>4253</v>
      </c>
      <c r="D3825" t="s">
        <v>892</v>
      </c>
      <c r="E3825" t="str">
        <f>"00049420"</f>
        <v>00049420</v>
      </c>
      <c r="F3825">
        <v>0</v>
      </c>
      <c r="G3825" s="243">
        <v>37861</v>
      </c>
      <c r="H3825" t="s">
        <v>182</v>
      </c>
      <c r="I3825">
        <v>15</v>
      </c>
      <c r="J3825">
        <v>13</v>
      </c>
      <c r="K3825">
        <v>1</v>
      </c>
      <c r="L3825">
        <v>95366</v>
      </c>
      <c r="M3825" t="str">
        <f t="shared" si="547"/>
        <v>13</v>
      </c>
      <c r="N3825" t="s">
        <v>3323</v>
      </c>
      <c r="O3825" t="str">
        <f t="shared" si="550"/>
        <v>63311</v>
      </c>
      <c r="P3825" t="str">
        <f t="shared" si="549"/>
        <v>2100L</v>
      </c>
      <c r="Q3825" t="str">
        <f t="shared" si="548"/>
        <v>0101</v>
      </c>
      <c r="R3825">
        <v>2100</v>
      </c>
      <c r="S3825" t="str">
        <f t="shared" si="551"/>
        <v>6330</v>
      </c>
      <c r="T3825" t="s">
        <v>3845</v>
      </c>
      <c r="U3825" t="s">
        <v>874</v>
      </c>
    </row>
    <row r="3826" spans="1:21" ht="15" customHeight="1" x14ac:dyDescent="0.3">
      <c r="A3826" t="s">
        <v>179</v>
      </c>
      <c r="B3826" t="str">
        <f>"00059401"</f>
        <v>00059401</v>
      </c>
      <c r="C3826" t="s">
        <v>4257</v>
      </c>
      <c r="D3826" t="s">
        <v>3879</v>
      </c>
      <c r="E3826" t="str">
        <f>"00066461"</f>
        <v>00066461</v>
      </c>
      <c r="F3826">
        <v>0</v>
      </c>
      <c r="G3826" s="243">
        <v>40755</v>
      </c>
      <c r="H3826" t="s">
        <v>182</v>
      </c>
      <c r="I3826">
        <v>15</v>
      </c>
      <c r="J3826">
        <v>2</v>
      </c>
      <c r="K3826">
        <v>1</v>
      </c>
      <c r="L3826">
        <v>56242</v>
      </c>
      <c r="M3826" t="str">
        <f t="shared" si="547"/>
        <v>13</v>
      </c>
      <c r="N3826" t="s">
        <v>3323</v>
      </c>
      <c r="O3826" t="str">
        <f t="shared" si="550"/>
        <v>63311</v>
      </c>
      <c r="P3826" t="str">
        <f t="shared" si="549"/>
        <v>2100L</v>
      </c>
      <c r="Q3826" t="str">
        <f t="shared" si="548"/>
        <v>0101</v>
      </c>
      <c r="R3826">
        <v>2100</v>
      </c>
      <c r="S3826" t="str">
        <f t="shared" si="551"/>
        <v>6330</v>
      </c>
      <c r="T3826" t="s">
        <v>3845</v>
      </c>
      <c r="U3826" t="s">
        <v>874</v>
      </c>
    </row>
    <row r="3827" spans="1:21" ht="15" customHeight="1" x14ac:dyDescent="0.3">
      <c r="A3827" t="s">
        <v>179</v>
      </c>
      <c r="B3827" t="str">
        <f>"00059512"</f>
        <v>00059512</v>
      </c>
      <c r="C3827" t="s">
        <v>4253</v>
      </c>
      <c r="D3827" t="s">
        <v>3884</v>
      </c>
      <c r="E3827" t="str">
        <f>"00066055"</f>
        <v>00066055</v>
      </c>
      <c r="F3827">
        <v>0</v>
      </c>
      <c r="G3827" s="243">
        <v>40755</v>
      </c>
      <c r="H3827" t="s">
        <v>182</v>
      </c>
      <c r="I3827">
        <v>15</v>
      </c>
      <c r="J3827">
        <v>2</v>
      </c>
      <c r="K3827">
        <v>1</v>
      </c>
      <c r="L3827">
        <v>56242</v>
      </c>
      <c r="M3827" t="str">
        <f t="shared" si="547"/>
        <v>13</v>
      </c>
      <c r="N3827" t="s">
        <v>3323</v>
      </c>
      <c r="O3827" t="str">
        <f t="shared" si="550"/>
        <v>63311</v>
      </c>
      <c r="P3827" t="str">
        <f t="shared" si="549"/>
        <v>2100L</v>
      </c>
      <c r="Q3827" t="str">
        <f t="shared" si="548"/>
        <v>0101</v>
      </c>
      <c r="R3827">
        <v>2100</v>
      </c>
      <c r="S3827" t="str">
        <f t="shared" si="551"/>
        <v>6330</v>
      </c>
      <c r="T3827" t="s">
        <v>3845</v>
      </c>
      <c r="U3827" t="s">
        <v>874</v>
      </c>
    </row>
    <row r="3828" spans="1:21" ht="15" customHeight="1" x14ac:dyDescent="0.3">
      <c r="A3828" t="s">
        <v>179</v>
      </c>
      <c r="B3828" t="str">
        <f>"00060915"</f>
        <v>00060915</v>
      </c>
      <c r="C3828" t="s">
        <v>4254</v>
      </c>
      <c r="D3828" t="s">
        <v>894</v>
      </c>
      <c r="E3828" t="str">
        <f>"00048244"</f>
        <v>00048244</v>
      </c>
      <c r="F3828">
        <v>0</v>
      </c>
      <c r="G3828" s="243">
        <v>39314</v>
      </c>
      <c r="H3828" t="s">
        <v>182</v>
      </c>
      <c r="I3828">
        <v>15</v>
      </c>
      <c r="J3828">
        <v>8</v>
      </c>
      <c r="K3828">
        <v>0.5</v>
      </c>
      <c r="L3828">
        <v>31758.5</v>
      </c>
      <c r="M3828" t="str">
        <f t="shared" si="547"/>
        <v>13</v>
      </c>
      <c r="N3828" t="s">
        <v>3323</v>
      </c>
      <c r="O3828" t="str">
        <f t="shared" si="550"/>
        <v>63311</v>
      </c>
      <c r="P3828" t="str">
        <f t="shared" si="549"/>
        <v>2100L</v>
      </c>
      <c r="Q3828" t="str">
        <f t="shared" si="548"/>
        <v>0101</v>
      </c>
      <c r="R3828">
        <v>2100</v>
      </c>
      <c r="S3828" t="str">
        <f t="shared" si="551"/>
        <v>6330</v>
      </c>
      <c r="T3828" t="s">
        <v>3845</v>
      </c>
      <c r="U3828" t="s">
        <v>874</v>
      </c>
    </row>
    <row r="3829" spans="1:21" ht="15" customHeight="1" x14ac:dyDescent="0.3">
      <c r="A3829" t="s">
        <v>179</v>
      </c>
      <c r="B3829" t="str">
        <f>"00061051"</f>
        <v>00061051</v>
      </c>
      <c r="C3829" t="s">
        <v>4260</v>
      </c>
      <c r="D3829" t="s">
        <v>956</v>
      </c>
      <c r="E3829" t="str">
        <f>"00057340"</f>
        <v>00057340</v>
      </c>
      <c r="F3829">
        <v>0</v>
      </c>
      <c r="G3829" s="243">
        <v>40042</v>
      </c>
      <c r="H3829" t="s">
        <v>182</v>
      </c>
      <c r="I3829">
        <v>15</v>
      </c>
      <c r="J3829">
        <v>4</v>
      </c>
      <c r="K3829">
        <v>1</v>
      </c>
      <c r="L3829">
        <v>61158</v>
      </c>
      <c r="M3829" t="str">
        <f t="shared" si="547"/>
        <v>13</v>
      </c>
      <c r="N3829" t="s">
        <v>3323</v>
      </c>
      <c r="O3829" t="str">
        <f t="shared" si="550"/>
        <v>63311</v>
      </c>
      <c r="P3829" t="str">
        <f t="shared" si="549"/>
        <v>2100L</v>
      </c>
      <c r="Q3829" t="str">
        <f t="shared" si="548"/>
        <v>0101</v>
      </c>
      <c r="R3829">
        <v>2100</v>
      </c>
      <c r="S3829" t="str">
        <f t="shared" si="551"/>
        <v>6330</v>
      </c>
      <c r="T3829" t="s">
        <v>3845</v>
      </c>
      <c r="U3829" t="s">
        <v>874</v>
      </c>
    </row>
    <row r="3830" spans="1:21" ht="15" customHeight="1" x14ac:dyDescent="0.3">
      <c r="A3830" t="s">
        <v>179</v>
      </c>
      <c r="B3830" t="str">
        <f>"00061114"</f>
        <v>00061114</v>
      </c>
      <c r="C3830" t="s">
        <v>4253</v>
      </c>
      <c r="D3830" t="s">
        <v>3880</v>
      </c>
      <c r="E3830" t="str">
        <f>"00064407"</f>
        <v>00064407</v>
      </c>
      <c r="F3830">
        <v>0</v>
      </c>
      <c r="G3830" s="243">
        <v>40553</v>
      </c>
      <c r="H3830" t="s">
        <v>182</v>
      </c>
      <c r="I3830">
        <v>15</v>
      </c>
      <c r="J3830">
        <v>2</v>
      </c>
      <c r="K3830">
        <v>1</v>
      </c>
      <c r="L3830">
        <v>51716</v>
      </c>
      <c r="M3830" t="str">
        <f t="shared" si="547"/>
        <v>13</v>
      </c>
      <c r="N3830" t="s">
        <v>3323</v>
      </c>
      <c r="O3830" t="str">
        <f t="shared" si="550"/>
        <v>63311</v>
      </c>
      <c r="P3830" t="str">
        <f t="shared" si="549"/>
        <v>2100L</v>
      </c>
      <c r="Q3830" t="str">
        <f t="shared" si="548"/>
        <v>0101</v>
      </c>
      <c r="R3830">
        <v>2100</v>
      </c>
      <c r="S3830" t="str">
        <f t="shared" si="551"/>
        <v>6330</v>
      </c>
      <c r="T3830" t="s">
        <v>3845</v>
      </c>
      <c r="U3830" t="s">
        <v>874</v>
      </c>
    </row>
    <row r="3831" spans="1:21" ht="15" customHeight="1" x14ac:dyDescent="0.3">
      <c r="A3831" t="s">
        <v>179</v>
      </c>
      <c r="B3831" t="str">
        <f>"00061674"</f>
        <v>00061674</v>
      </c>
      <c r="C3831" t="s">
        <v>4253</v>
      </c>
      <c r="D3831" t="s">
        <v>3872</v>
      </c>
      <c r="E3831" t="str">
        <f>"00064410"</f>
        <v>00064410</v>
      </c>
      <c r="F3831">
        <v>0</v>
      </c>
      <c r="G3831" s="243">
        <v>40588</v>
      </c>
      <c r="H3831" t="s">
        <v>182</v>
      </c>
      <c r="I3831">
        <v>15</v>
      </c>
      <c r="J3831">
        <v>2</v>
      </c>
      <c r="K3831">
        <v>1</v>
      </c>
      <c r="L3831">
        <v>51716</v>
      </c>
      <c r="M3831" t="str">
        <f t="shared" si="547"/>
        <v>13</v>
      </c>
      <c r="N3831" t="s">
        <v>3323</v>
      </c>
      <c r="O3831" t="str">
        <f t="shared" si="550"/>
        <v>63311</v>
      </c>
      <c r="P3831" t="str">
        <f t="shared" si="549"/>
        <v>2100L</v>
      </c>
      <c r="Q3831" t="str">
        <f t="shared" si="548"/>
        <v>0101</v>
      </c>
      <c r="R3831">
        <v>2100</v>
      </c>
      <c r="S3831" t="str">
        <f t="shared" si="551"/>
        <v>6330</v>
      </c>
      <c r="T3831" t="s">
        <v>3845</v>
      </c>
      <c r="U3831" t="s">
        <v>874</v>
      </c>
    </row>
    <row r="3832" spans="1:21" ht="15" customHeight="1" x14ac:dyDescent="0.3">
      <c r="A3832" t="s">
        <v>179</v>
      </c>
      <c r="B3832" t="str">
        <f>"00061776"</f>
        <v>00061776</v>
      </c>
      <c r="C3832" t="s">
        <v>4292</v>
      </c>
      <c r="D3832" t="s">
        <v>5470</v>
      </c>
      <c r="E3832" t="str">
        <f>"00043453"</f>
        <v>00043453</v>
      </c>
      <c r="F3832">
        <v>0</v>
      </c>
      <c r="G3832" s="243">
        <v>40769</v>
      </c>
      <c r="H3832" t="s">
        <v>182</v>
      </c>
      <c r="I3832">
        <v>4</v>
      </c>
      <c r="J3832">
        <v>6</v>
      </c>
      <c r="K3832">
        <v>0.875</v>
      </c>
      <c r="L3832">
        <v>25935.88</v>
      </c>
      <c r="M3832" t="str">
        <f t="shared" si="547"/>
        <v>13</v>
      </c>
      <c r="N3832" t="s">
        <v>3323</v>
      </c>
      <c r="O3832" t="str">
        <f t="shared" si="550"/>
        <v>63311</v>
      </c>
      <c r="P3832" t="str">
        <f t="shared" si="549"/>
        <v>2100L</v>
      </c>
      <c r="Q3832" t="str">
        <f t="shared" si="548"/>
        <v>0101</v>
      </c>
      <c r="R3832">
        <v>2100</v>
      </c>
      <c r="S3832" t="str">
        <f t="shared" si="551"/>
        <v>6330</v>
      </c>
      <c r="T3832" t="s">
        <v>3845</v>
      </c>
      <c r="U3832" t="s">
        <v>874</v>
      </c>
    </row>
    <row r="3833" spans="1:21" ht="15" customHeight="1" x14ac:dyDescent="0.3">
      <c r="A3833" t="s">
        <v>179</v>
      </c>
      <c r="B3833" t="str">
        <f>"00062103"</f>
        <v>00062103</v>
      </c>
      <c r="C3833" t="s">
        <v>4253</v>
      </c>
      <c r="D3833" t="s">
        <v>771</v>
      </c>
      <c r="E3833" t="str">
        <f>"00044604"</f>
        <v>00044604</v>
      </c>
      <c r="F3833">
        <v>0</v>
      </c>
      <c r="G3833" s="243">
        <v>39315</v>
      </c>
      <c r="H3833" t="s">
        <v>182</v>
      </c>
      <c r="I3833">
        <v>15</v>
      </c>
      <c r="J3833">
        <v>6</v>
      </c>
      <c r="K3833">
        <v>1</v>
      </c>
      <c r="L3833">
        <v>68537</v>
      </c>
      <c r="M3833" t="str">
        <f t="shared" si="547"/>
        <v>13</v>
      </c>
      <c r="N3833" t="s">
        <v>3370</v>
      </c>
      <c r="O3833" t="str">
        <f t="shared" si="550"/>
        <v>63311</v>
      </c>
      <c r="P3833" t="str">
        <f t="shared" si="549"/>
        <v>2100L</v>
      </c>
      <c r="Q3833" t="str">
        <f t="shared" si="548"/>
        <v>0101</v>
      </c>
      <c r="R3833">
        <v>2100</v>
      </c>
      <c r="S3833" t="str">
        <f t="shared" si="551"/>
        <v>6330</v>
      </c>
      <c r="T3833" t="s">
        <v>3845</v>
      </c>
      <c r="U3833" t="s">
        <v>874</v>
      </c>
    </row>
    <row r="3834" spans="1:21" ht="15" customHeight="1" x14ac:dyDescent="0.3">
      <c r="A3834" t="s">
        <v>179</v>
      </c>
      <c r="B3834" t="str">
        <f>"00062165"</f>
        <v>00062165</v>
      </c>
      <c r="C3834" t="s">
        <v>4253</v>
      </c>
      <c r="D3834" t="s">
        <v>5471</v>
      </c>
      <c r="E3834" t="str">
        <f>"00069721"</f>
        <v>00069721</v>
      </c>
      <c r="F3834">
        <v>0</v>
      </c>
      <c r="G3834" s="243">
        <v>41133</v>
      </c>
      <c r="H3834" t="s">
        <v>182</v>
      </c>
      <c r="I3834">
        <v>15</v>
      </c>
      <c r="J3834">
        <v>1</v>
      </c>
      <c r="K3834">
        <v>1</v>
      </c>
      <c r="L3834">
        <v>51539</v>
      </c>
      <c r="M3834" t="str">
        <f t="shared" si="547"/>
        <v>13</v>
      </c>
      <c r="N3834" t="s">
        <v>3370</v>
      </c>
      <c r="O3834" t="str">
        <f t="shared" si="550"/>
        <v>63311</v>
      </c>
      <c r="P3834" t="str">
        <f t="shared" si="549"/>
        <v>2100L</v>
      </c>
      <c r="Q3834" t="str">
        <f t="shared" si="548"/>
        <v>0101</v>
      </c>
      <c r="R3834">
        <v>2100</v>
      </c>
      <c r="S3834" t="str">
        <f t="shared" si="551"/>
        <v>6330</v>
      </c>
      <c r="T3834" t="s">
        <v>3845</v>
      </c>
      <c r="U3834" t="s">
        <v>874</v>
      </c>
    </row>
    <row r="3835" spans="1:21" ht="15" customHeight="1" x14ac:dyDescent="0.3">
      <c r="A3835" t="s">
        <v>179</v>
      </c>
      <c r="B3835" t="str">
        <f>"00062166"</f>
        <v>00062166</v>
      </c>
      <c r="C3835" t="s">
        <v>4253</v>
      </c>
      <c r="D3835" t="s">
        <v>896</v>
      </c>
      <c r="E3835" t="str">
        <f>"00063001"</f>
        <v>00063001</v>
      </c>
      <c r="F3835">
        <v>0</v>
      </c>
      <c r="G3835" s="243">
        <v>40406</v>
      </c>
      <c r="H3835" t="s">
        <v>182</v>
      </c>
      <c r="I3835">
        <v>15</v>
      </c>
      <c r="J3835">
        <v>12</v>
      </c>
      <c r="K3835">
        <v>1</v>
      </c>
      <c r="L3835">
        <v>78261</v>
      </c>
      <c r="M3835" t="str">
        <f t="shared" si="547"/>
        <v>13</v>
      </c>
      <c r="N3835" t="s">
        <v>3323</v>
      </c>
      <c r="O3835" t="str">
        <f t="shared" si="550"/>
        <v>63311</v>
      </c>
      <c r="P3835" t="str">
        <f t="shared" si="549"/>
        <v>2100L</v>
      </c>
      <c r="Q3835" t="str">
        <f t="shared" si="548"/>
        <v>0101</v>
      </c>
      <c r="R3835">
        <v>2100</v>
      </c>
      <c r="S3835" t="str">
        <f t="shared" si="551"/>
        <v>6330</v>
      </c>
      <c r="T3835" t="s">
        <v>3845</v>
      </c>
      <c r="U3835" t="s">
        <v>874</v>
      </c>
    </row>
    <row r="3836" spans="1:21" ht="15" customHeight="1" x14ac:dyDescent="0.3">
      <c r="A3836" t="s">
        <v>179</v>
      </c>
      <c r="B3836" t="str">
        <f>"00062169"</f>
        <v>00062169</v>
      </c>
      <c r="C3836" t="s">
        <v>4253</v>
      </c>
      <c r="D3836" t="s">
        <v>897</v>
      </c>
      <c r="E3836" t="str">
        <f>"00048933"</f>
        <v>00048933</v>
      </c>
      <c r="F3836">
        <v>0</v>
      </c>
      <c r="G3836" s="243">
        <v>39679</v>
      </c>
      <c r="H3836" t="s">
        <v>182</v>
      </c>
      <c r="I3836">
        <v>15</v>
      </c>
      <c r="J3836">
        <v>7</v>
      </c>
      <c r="K3836">
        <v>1</v>
      </c>
      <c r="L3836">
        <v>69132</v>
      </c>
      <c r="M3836" t="str">
        <f t="shared" si="547"/>
        <v>13</v>
      </c>
      <c r="N3836" t="s">
        <v>3323</v>
      </c>
      <c r="O3836" t="str">
        <f t="shared" si="550"/>
        <v>63311</v>
      </c>
      <c r="P3836" t="str">
        <f t="shared" si="549"/>
        <v>2100L</v>
      </c>
      <c r="Q3836" t="str">
        <f t="shared" si="548"/>
        <v>0101</v>
      </c>
      <c r="R3836">
        <v>2100</v>
      </c>
      <c r="S3836" t="str">
        <f t="shared" si="551"/>
        <v>6330</v>
      </c>
      <c r="T3836" t="s">
        <v>3845</v>
      </c>
      <c r="U3836" t="s">
        <v>874</v>
      </c>
    </row>
    <row r="3837" spans="1:21" ht="15" customHeight="1" x14ac:dyDescent="0.3">
      <c r="A3837" t="s">
        <v>179</v>
      </c>
      <c r="B3837" t="str">
        <f>"00062171"</f>
        <v>00062171</v>
      </c>
      <c r="C3837" t="s">
        <v>4253</v>
      </c>
      <c r="D3837" t="s">
        <v>898</v>
      </c>
      <c r="E3837" t="str">
        <f>"00048904"</f>
        <v>00048904</v>
      </c>
      <c r="F3837">
        <v>0</v>
      </c>
      <c r="G3837" s="243">
        <v>39679</v>
      </c>
      <c r="H3837" t="s">
        <v>182</v>
      </c>
      <c r="I3837">
        <v>15</v>
      </c>
      <c r="J3837">
        <v>8</v>
      </c>
      <c r="K3837">
        <v>1</v>
      </c>
      <c r="L3837">
        <v>77101</v>
      </c>
      <c r="M3837" t="str">
        <f t="shared" si="547"/>
        <v>13</v>
      </c>
      <c r="N3837" t="s">
        <v>3323</v>
      </c>
      <c r="O3837" t="str">
        <f t="shared" si="550"/>
        <v>63311</v>
      </c>
      <c r="P3837" t="str">
        <f t="shared" si="549"/>
        <v>2100L</v>
      </c>
      <c r="Q3837" t="str">
        <f t="shared" si="548"/>
        <v>0101</v>
      </c>
      <c r="R3837">
        <v>2100</v>
      </c>
      <c r="S3837" t="str">
        <f t="shared" si="551"/>
        <v>6330</v>
      </c>
      <c r="T3837" t="s">
        <v>3845</v>
      </c>
      <c r="U3837" t="s">
        <v>874</v>
      </c>
    </row>
    <row r="3838" spans="1:21" ht="15" customHeight="1" x14ac:dyDescent="0.3">
      <c r="A3838" t="s">
        <v>179</v>
      </c>
      <c r="B3838" t="str">
        <f>"00062522"</f>
        <v>00062522</v>
      </c>
      <c r="C3838" t="s">
        <v>4253</v>
      </c>
      <c r="D3838" t="s">
        <v>899</v>
      </c>
      <c r="E3838" t="str">
        <f>"00045191"</f>
        <v>00045191</v>
      </c>
      <c r="F3838">
        <v>0</v>
      </c>
      <c r="G3838" s="243">
        <v>39679</v>
      </c>
      <c r="H3838" t="s">
        <v>182</v>
      </c>
      <c r="I3838">
        <v>15</v>
      </c>
      <c r="J3838">
        <v>5</v>
      </c>
      <c r="K3838">
        <v>1</v>
      </c>
      <c r="L3838">
        <v>63611</v>
      </c>
      <c r="M3838" t="str">
        <f t="shared" si="547"/>
        <v>13</v>
      </c>
      <c r="N3838" t="s">
        <v>3323</v>
      </c>
      <c r="O3838" t="str">
        <f t="shared" si="550"/>
        <v>63311</v>
      </c>
      <c r="P3838" t="str">
        <f t="shared" si="549"/>
        <v>2100L</v>
      </c>
      <c r="Q3838" t="str">
        <f t="shared" si="548"/>
        <v>0101</v>
      </c>
      <c r="R3838">
        <v>2100</v>
      </c>
      <c r="S3838" t="str">
        <f t="shared" si="551"/>
        <v>6330</v>
      </c>
      <c r="T3838" t="s">
        <v>3845</v>
      </c>
      <c r="U3838" t="s">
        <v>874</v>
      </c>
    </row>
    <row r="3839" spans="1:21" ht="15" customHeight="1" x14ac:dyDescent="0.3">
      <c r="A3839" t="s">
        <v>179</v>
      </c>
      <c r="B3839" t="str">
        <f>"00063051"</f>
        <v>00063051</v>
      </c>
      <c r="C3839" t="s">
        <v>4253</v>
      </c>
      <c r="D3839" t="s">
        <v>2343</v>
      </c>
      <c r="E3839" t="str">
        <f>"00057278"</f>
        <v>00057278</v>
      </c>
      <c r="F3839">
        <v>0</v>
      </c>
      <c r="G3839" s="243">
        <v>40042</v>
      </c>
      <c r="H3839" t="s">
        <v>182</v>
      </c>
      <c r="I3839">
        <v>15</v>
      </c>
      <c r="J3839">
        <v>9</v>
      </c>
      <c r="K3839">
        <v>1</v>
      </c>
      <c r="L3839">
        <v>75232</v>
      </c>
      <c r="M3839" t="str">
        <f t="shared" si="547"/>
        <v>13</v>
      </c>
      <c r="N3839" t="s">
        <v>3323</v>
      </c>
      <c r="O3839" t="str">
        <f t="shared" si="550"/>
        <v>63311</v>
      </c>
      <c r="P3839" t="str">
        <f t="shared" si="549"/>
        <v>2100L</v>
      </c>
      <c r="Q3839" t="str">
        <f t="shared" si="548"/>
        <v>0101</v>
      </c>
      <c r="R3839">
        <v>2100</v>
      </c>
      <c r="S3839" t="str">
        <f t="shared" si="551"/>
        <v>6330</v>
      </c>
      <c r="T3839" t="s">
        <v>3845</v>
      </c>
      <c r="U3839" t="s">
        <v>874</v>
      </c>
    </row>
    <row r="3840" spans="1:21" ht="15" customHeight="1" x14ac:dyDescent="0.3">
      <c r="A3840" t="s">
        <v>179</v>
      </c>
      <c r="B3840" t="str">
        <f>"00066054"</f>
        <v>00066054</v>
      </c>
      <c r="C3840" t="s">
        <v>4372</v>
      </c>
      <c r="D3840" t="s">
        <v>5472</v>
      </c>
      <c r="E3840" t="str">
        <f>"00057985"</f>
        <v>00057985</v>
      </c>
      <c r="F3840">
        <v>0</v>
      </c>
      <c r="G3840" s="243">
        <v>40042</v>
      </c>
      <c r="H3840" t="s">
        <v>182</v>
      </c>
      <c r="I3840">
        <v>4</v>
      </c>
      <c r="J3840">
        <v>8</v>
      </c>
      <c r="K3840">
        <v>1</v>
      </c>
      <c r="L3840">
        <v>31234</v>
      </c>
      <c r="M3840" t="str">
        <f t="shared" si="547"/>
        <v>13</v>
      </c>
      <c r="N3840" t="s">
        <v>3323</v>
      </c>
      <c r="O3840" t="str">
        <f t="shared" si="550"/>
        <v>63311</v>
      </c>
      <c r="P3840" t="str">
        <f t="shared" si="549"/>
        <v>2100L</v>
      </c>
      <c r="Q3840" t="str">
        <f t="shared" si="548"/>
        <v>0101</v>
      </c>
      <c r="R3840">
        <v>2100</v>
      </c>
      <c r="S3840" t="str">
        <f t="shared" si="551"/>
        <v>6330</v>
      </c>
      <c r="T3840" t="s">
        <v>3845</v>
      </c>
      <c r="U3840" t="s">
        <v>874</v>
      </c>
    </row>
    <row r="3841" spans="1:21" ht="15" customHeight="1" x14ac:dyDescent="0.3">
      <c r="A3841" t="s">
        <v>179</v>
      </c>
      <c r="B3841" t="str">
        <f>"00066312"</f>
        <v>00066312</v>
      </c>
      <c r="C3841" t="s">
        <v>4253</v>
      </c>
      <c r="D3841" t="s">
        <v>889</v>
      </c>
      <c r="E3841" t="str">
        <f>"00055100"</f>
        <v>00055100</v>
      </c>
      <c r="F3841">
        <v>0</v>
      </c>
      <c r="G3841" s="243">
        <v>38951</v>
      </c>
      <c r="H3841" t="s">
        <v>182</v>
      </c>
      <c r="I3841">
        <v>15</v>
      </c>
      <c r="J3841">
        <v>7</v>
      </c>
      <c r="K3841">
        <v>1</v>
      </c>
      <c r="L3841">
        <v>61068</v>
      </c>
      <c r="M3841" t="str">
        <f t="shared" si="547"/>
        <v>13</v>
      </c>
      <c r="N3841" t="s">
        <v>3370</v>
      </c>
      <c r="O3841" t="str">
        <f t="shared" si="550"/>
        <v>63311</v>
      </c>
      <c r="P3841" t="str">
        <f t="shared" ref="P3841:P3859" si="552">"2100L"</f>
        <v>2100L</v>
      </c>
      <c r="Q3841" t="str">
        <f t="shared" si="548"/>
        <v>0101</v>
      </c>
      <c r="R3841">
        <v>2100</v>
      </c>
      <c r="S3841" t="str">
        <f t="shared" si="551"/>
        <v>6330</v>
      </c>
      <c r="T3841" t="s">
        <v>3845</v>
      </c>
      <c r="U3841" t="s">
        <v>874</v>
      </c>
    </row>
    <row r="3842" spans="1:21" ht="15" customHeight="1" x14ac:dyDescent="0.3">
      <c r="A3842" t="s">
        <v>179</v>
      </c>
      <c r="B3842" t="str">
        <f>"00066689"</f>
        <v>00066689</v>
      </c>
      <c r="C3842" t="s">
        <v>4263</v>
      </c>
      <c r="D3842" t="s">
        <v>2143</v>
      </c>
      <c r="E3842" t="str">
        <f>"00048718"</f>
        <v>00048718</v>
      </c>
      <c r="F3842">
        <v>0</v>
      </c>
      <c r="G3842" s="243">
        <v>40406</v>
      </c>
      <c r="H3842" t="s">
        <v>182</v>
      </c>
      <c r="I3842">
        <v>15</v>
      </c>
      <c r="J3842">
        <v>11</v>
      </c>
      <c r="K3842">
        <v>1</v>
      </c>
      <c r="L3842">
        <v>86236</v>
      </c>
      <c r="M3842" t="str">
        <f t="shared" si="547"/>
        <v>13</v>
      </c>
      <c r="N3842" t="s">
        <v>3323</v>
      </c>
      <c r="O3842" t="str">
        <f t="shared" si="550"/>
        <v>63311</v>
      </c>
      <c r="P3842" t="str">
        <f t="shared" si="552"/>
        <v>2100L</v>
      </c>
      <c r="Q3842" t="str">
        <f t="shared" si="548"/>
        <v>0101</v>
      </c>
      <c r="R3842">
        <v>2100</v>
      </c>
      <c r="S3842" t="str">
        <f t="shared" si="551"/>
        <v>6330</v>
      </c>
      <c r="T3842" t="s">
        <v>3845</v>
      </c>
      <c r="U3842" t="s">
        <v>874</v>
      </c>
    </row>
    <row r="3843" spans="1:21" ht="15" customHeight="1" x14ac:dyDescent="0.3">
      <c r="A3843" t="s">
        <v>179</v>
      </c>
      <c r="B3843" t="str">
        <f>"00066690"</f>
        <v>00066690</v>
      </c>
      <c r="C3843" t="s">
        <v>4258</v>
      </c>
      <c r="D3843" t="s">
        <v>900</v>
      </c>
      <c r="E3843" t="str">
        <f>"00057341"</f>
        <v>00057341</v>
      </c>
      <c r="F3843">
        <v>0</v>
      </c>
      <c r="G3843" s="243">
        <v>40042</v>
      </c>
      <c r="H3843" t="s">
        <v>182</v>
      </c>
      <c r="I3843">
        <v>15</v>
      </c>
      <c r="J3843">
        <v>7</v>
      </c>
      <c r="K3843">
        <v>1</v>
      </c>
      <c r="L3843">
        <v>69132</v>
      </c>
      <c r="M3843" t="str">
        <f t="shared" si="547"/>
        <v>13</v>
      </c>
      <c r="N3843" t="s">
        <v>3323</v>
      </c>
      <c r="O3843" t="str">
        <f t="shared" si="550"/>
        <v>63311</v>
      </c>
      <c r="P3843" t="str">
        <f t="shared" si="552"/>
        <v>2100L</v>
      </c>
      <c r="Q3843" t="str">
        <f t="shared" si="548"/>
        <v>0101</v>
      </c>
      <c r="R3843">
        <v>2100</v>
      </c>
      <c r="S3843" t="str">
        <f t="shared" si="551"/>
        <v>6330</v>
      </c>
      <c r="T3843" t="s">
        <v>3845</v>
      </c>
      <c r="U3843" t="s">
        <v>874</v>
      </c>
    </row>
    <row r="3844" spans="1:21" ht="15" customHeight="1" x14ac:dyDescent="0.3">
      <c r="A3844" t="s">
        <v>179</v>
      </c>
      <c r="B3844" t="str">
        <f>"00066692"</f>
        <v>00066692</v>
      </c>
      <c r="C3844" t="s">
        <v>4253</v>
      </c>
      <c r="D3844" t="s">
        <v>901</v>
      </c>
      <c r="E3844" t="str">
        <f>"00057428"</f>
        <v>00057428</v>
      </c>
      <c r="F3844">
        <v>0</v>
      </c>
      <c r="G3844" s="243">
        <v>40042</v>
      </c>
      <c r="H3844" t="s">
        <v>182</v>
      </c>
      <c r="I3844">
        <v>15</v>
      </c>
      <c r="J3844">
        <v>4</v>
      </c>
      <c r="K3844">
        <v>1</v>
      </c>
      <c r="L3844">
        <v>61158</v>
      </c>
      <c r="M3844" t="str">
        <f t="shared" si="547"/>
        <v>13</v>
      </c>
      <c r="N3844" t="s">
        <v>3323</v>
      </c>
      <c r="O3844" t="str">
        <f t="shared" si="550"/>
        <v>63311</v>
      </c>
      <c r="P3844" t="str">
        <f t="shared" si="552"/>
        <v>2100L</v>
      </c>
      <c r="Q3844" t="str">
        <f t="shared" si="548"/>
        <v>0101</v>
      </c>
      <c r="R3844">
        <v>2100</v>
      </c>
      <c r="S3844" t="str">
        <f t="shared" si="551"/>
        <v>6330</v>
      </c>
      <c r="T3844" t="s">
        <v>3845</v>
      </c>
      <c r="U3844" t="s">
        <v>874</v>
      </c>
    </row>
    <row r="3845" spans="1:21" ht="15" customHeight="1" x14ac:dyDescent="0.3">
      <c r="A3845" t="s">
        <v>179</v>
      </c>
      <c r="B3845" t="str">
        <f>"00066693"</f>
        <v>00066693</v>
      </c>
      <c r="C3845" t="s">
        <v>4253</v>
      </c>
      <c r="D3845" t="s">
        <v>3873</v>
      </c>
      <c r="E3845" t="str">
        <f>"00055907"</f>
        <v>00055907</v>
      </c>
      <c r="F3845">
        <v>0</v>
      </c>
      <c r="G3845" s="243">
        <v>40755</v>
      </c>
      <c r="H3845" t="s">
        <v>182</v>
      </c>
      <c r="I3845">
        <v>15</v>
      </c>
      <c r="J3845">
        <v>7</v>
      </c>
      <c r="K3845">
        <v>1</v>
      </c>
      <c r="L3845">
        <v>61068</v>
      </c>
      <c r="M3845" t="str">
        <f t="shared" si="547"/>
        <v>13</v>
      </c>
      <c r="N3845" t="s">
        <v>3323</v>
      </c>
      <c r="O3845" t="str">
        <f t="shared" si="550"/>
        <v>63311</v>
      </c>
      <c r="P3845" t="str">
        <f t="shared" si="552"/>
        <v>2100L</v>
      </c>
      <c r="Q3845" t="str">
        <f t="shared" si="548"/>
        <v>0101</v>
      </c>
      <c r="R3845">
        <v>2100</v>
      </c>
      <c r="S3845" t="str">
        <f t="shared" si="551"/>
        <v>6330</v>
      </c>
      <c r="T3845" t="s">
        <v>3845</v>
      </c>
      <c r="U3845" t="s">
        <v>874</v>
      </c>
    </row>
    <row r="3846" spans="1:21" ht="15" customHeight="1" x14ac:dyDescent="0.3">
      <c r="A3846" t="s">
        <v>179</v>
      </c>
      <c r="B3846" t="str">
        <f>"00066694"</f>
        <v>00066694</v>
      </c>
      <c r="C3846" t="s">
        <v>4253</v>
      </c>
      <c r="D3846" t="s">
        <v>2135</v>
      </c>
      <c r="E3846" t="str">
        <f>"00062725"</f>
        <v>00062725</v>
      </c>
      <c r="F3846">
        <v>0</v>
      </c>
      <c r="G3846" s="243">
        <v>40406</v>
      </c>
      <c r="H3846" t="s">
        <v>182</v>
      </c>
      <c r="I3846">
        <v>15</v>
      </c>
      <c r="J3846">
        <v>2</v>
      </c>
      <c r="K3846">
        <v>1</v>
      </c>
      <c r="L3846">
        <v>56242</v>
      </c>
      <c r="M3846" t="str">
        <f t="shared" si="547"/>
        <v>13</v>
      </c>
      <c r="N3846" t="s">
        <v>3370</v>
      </c>
      <c r="O3846" t="str">
        <f t="shared" si="550"/>
        <v>63311</v>
      </c>
      <c r="P3846" t="str">
        <f t="shared" si="552"/>
        <v>2100L</v>
      </c>
      <c r="Q3846" t="str">
        <f t="shared" si="548"/>
        <v>0101</v>
      </c>
      <c r="R3846">
        <v>2100</v>
      </c>
      <c r="S3846" t="str">
        <f t="shared" si="551"/>
        <v>6330</v>
      </c>
      <c r="T3846" t="s">
        <v>3845</v>
      </c>
      <c r="U3846" t="s">
        <v>874</v>
      </c>
    </row>
    <row r="3847" spans="1:21" ht="15" customHeight="1" x14ac:dyDescent="0.3">
      <c r="A3847" t="s">
        <v>179</v>
      </c>
      <c r="B3847" t="str">
        <f>"00066695"</f>
        <v>00066695</v>
      </c>
      <c r="C3847" t="s">
        <v>4253</v>
      </c>
      <c r="D3847" t="s">
        <v>902</v>
      </c>
      <c r="E3847" t="str">
        <f>"00057612"</f>
        <v>00057612</v>
      </c>
      <c r="F3847">
        <v>0</v>
      </c>
      <c r="G3847" s="243">
        <v>40042</v>
      </c>
      <c r="H3847" t="s">
        <v>182</v>
      </c>
      <c r="I3847">
        <v>15</v>
      </c>
      <c r="J3847">
        <v>6</v>
      </c>
      <c r="K3847">
        <v>1</v>
      </c>
      <c r="L3847">
        <v>66078</v>
      </c>
      <c r="M3847" t="str">
        <f t="shared" si="547"/>
        <v>13</v>
      </c>
      <c r="N3847" t="s">
        <v>3323</v>
      </c>
      <c r="O3847" t="str">
        <f t="shared" si="550"/>
        <v>63311</v>
      </c>
      <c r="P3847" t="str">
        <f t="shared" si="552"/>
        <v>2100L</v>
      </c>
      <c r="Q3847" t="str">
        <f t="shared" si="548"/>
        <v>0101</v>
      </c>
      <c r="R3847">
        <v>2100</v>
      </c>
      <c r="S3847" t="str">
        <f t="shared" si="551"/>
        <v>6330</v>
      </c>
      <c r="T3847" t="s">
        <v>3845</v>
      </c>
      <c r="U3847" t="s">
        <v>874</v>
      </c>
    </row>
    <row r="3848" spans="1:21" ht="15" customHeight="1" x14ac:dyDescent="0.3">
      <c r="A3848" t="s">
        <v>179</v>
      </c>
      <c r="B3848" t="str">
        <f>"00066696"</f>
        <v>00066696</v>
      </c>
      <c r="C3848" t="s">
        <v>4271</v>
      </c>
      <c r="D3848" t="s">
        <v>903</v>
      </c>
      <c r="E3848" t="str">
        <f>"00063269"</f>
        <v>00063269</v>
      </c>
      <c r="F3848">
        <v>0</v>
      </c>
      <c r="G3848" s="243">
        <v>40406</v>
      </c>
      <c r="H3848" t="s">
        <v>182</v>
      </c>
      <c r="I3848">
        <v>15</v>
      </c>
      <c r="J3848">
        <v>6</v>
      </c>
      <c r="K3848">
        <v>1</v>
      </c>
      <c r="L3848">
        <v>68537</v>
      </c>
      <c r="M3848" t="str">
        <f t="shared" si="547"/>
        <v>13</v>
      </c>
      <c r="N3848" t="s">
        <v>3323</v>
      </c>
      <c r="O3848" t="str">
        <f t="shared" si="550"/>
        <v>63311</v>
      </c>
      <c r="P3848" t="str">
        <f t="shared" si="552"/>
        <v>2100L</v>
      </c>
      <c r="Q3848" t="str">
        <f t="shared" si="548"/>
        <v>0101</v>
      </c>
      <c r="R3848">
        <v>2100</v>
      </c>
      <c r="S3848" t="str">
        <f t="shared" si="551"/>
        <v>6330</v>
      </c>
      <c r="T3848" t="s">
        <v>3845</v>
      </c>
      <c r="U3848" t="s">
        <v>874</v>
      </c>
    </row>
    <row r="3849" spans="1:21" ht="15" customHeight="1" x14ac:dyDescent="0.3">
      <c r="A3849" t="s">
        <v>179</v>
      </c>
      <c r="B3849" t="str">
        <f>"00066697"</f>
        <v>00066697</v>
      </c>
      <c r="C3849" t="s">
        <v>4253</v>
      </c>
      <c r="D3849" t="s">
        <v>904</v>
      </c>
      <c r="E3849" t="str">
        <f>"00057279"</f>
        <v>00057279</v>
      </c>
      <c r="F3849">
        <v>0</v>
      </c>
      <c r="G3849" s="243">
        <v>40042</v>
      </c>
      <c r="H3849" t="s">
        <v>182</v>
      </c>
      <c r="I3849">
        <v>15</v>
      </c>
      <c r="J3849">
        <v>12</v>
      </c>
      <c r="K3849">
        <v>1</v>
      </c>
      <c r="L3849">
        <v>87431</v>
      </c>
      <c r="M3849" t="str">
        <f t="shared" si="547"/>
        <v>13</v>
      </c>
      <c r="N3849" t="s">
        <v>3323</v>
      </c>
      <c r="O3849" t="str">
        <f t="shared" si="550"/>
        <v>63311</v>
      </c>
      <c r="P3849" t="str">
        <f t="shared" si="552"/>
        <v>2100L</v>
      </c>
      <c r="Q3849" t="str">
        <f t="shared" si="548"/>
        <v>0101</v>
      </c>
      <c r="R3849">
        <v>2100</v>
      </c>
      <c r="S3849" t="str">
        <f t="shared" si="551"/>
        <v>6330</v>
      </c>
      <c r="T3849" t="s">
        <v>3845</v>
      </c>
      <c r="U3849" t="s">
        <v>874</v>
      </c>
    </row>
    <row r="3850" spans="1:21" ht="15" customHeight="1" x14ac:dyDescent="0.3">
      <c r="A3850" t="s">
        <v>179</v>
      </c>
      <c r="B3850" t="str">
        <f>"00066699"</f>
        <v>00066699</v>
      </c>
      <c r="C3850" t="s">
        <v>4253</v>
      </c>
      <c r="D3850" t="s">
        <v>905</v>
      </c>
      <c r="E3850" t="str">
        <f>"00057429"</f>
        <v>00057429</v>
      </c>
      <c r="F3850">
        <v>0</v>
      </c>
      <c r="G3850" s="243">
        <v>40042</v>
      </c>
      <c r="H3850" t="s">
        <v>182</v>
      </c>
      <c r="I3850">
        <v>15</v>
      </c>
      <c r="J3850">
        <v>6</v>
      </c>
      <c r="K3850">
        <v>1</v>
      </c>
      <c r="L3850">
        <v>70997</v>
      </c>
      <c r="M3850" t="str">
        <f t="shared" si="547"/>
        <v>13</v>
      </c>
      <c r="N3850" t="s">
        <v>3323</v>
      </c>
      <c r="O3850" t="str">
        <f t="shared" si="550"/>
        <v>63311</v>
      </c>
      <c r="P3850" t="str">
        <f t="shared" si="552"/>
        <v>2100L</v>
      </c>
      <c r="Q3850" t="str">
        <f t="shared" si="548"/>
        <v>0101</v>
      </c>
      <c r="R3850">
        <v>2100</v>
      </c>
      <c r="S3850" t="str">
        <f t="shared" si="551"/>
        <v>6330</v>
      </c>
      <c r="T3850" t="s">
        <v>3845</v>
      </c>
      <c r="U3850" t="s">
        <v>874</v>
      </c>
    </row>
    <row r="3851" spans="1:21" ht="15" customHeight="1" x14ac:dyDescent="0.3">
      <c r="A3851" t="s">
        <v>179</v>
      </c>
      <c r="B3851" t="str">
        <f>"00066700"</f>
        <v>00066700</v>
      </c>
      <c r="C3851" t="s">
        <v>4260</v>
      </c>
      <c r="D3851" t="s">
        <v>906</v>
      </c>
      <c r="E3851" t="str">
        <f>"00057331"</f>
        <v>00057331</v>
      </c>
      <c r="F3851">
        <v>0</v>
      </c>
      <c r="G3851" s="243">
        <v>40042</v>
      </c>
      <c r="H3851" t="s">
        <v>182</v>
      </c>
      <c r="I3851">
        <v>15</v>
      </c>
      <c r="J3851">
        <v>7</v>
      </c>
      <c r="K3851">
        <v>1</v>
      </c>
      <c r="L3851">
        <v>69132</v>
      </c>
      <c r="M3851" t="str">
        <f t="shared" si="547"/>
        <v>13</v>
      </c>
      <c r="N3851" t="s">
        <v>3323</v>
      </c>
      <c r="O3851" t="str">
        <f t="shared" si="550"/>
        <v>63311</v>
      </c>
      <c r="P3851" t="str">
        <f t="shared" si="552"/>
        <v>2100L</v>
      </c>
      <c r="Q3851" t="str">
        <f t="shared" si="548"/>
        <v>0101</v>
      </c>
      <c r="R3851">
        <v>2100</v>
      </c>
      <c r="S3851" t="str">
        <f t="shared" si="551"/>
        <v>6330</v>
      </c>
      <c r="T3851" t="s">
        <v>3845</v>
      </c>
      <c r="U3851" t="s">
        <v>874</v>
      </c>
    </row>
    <row r="3852" spans="1:21" ht="15" customHeight="1" x14ac:dyDescent="0.3">
      <c r="A3852" t="s">
        <v>179</v>
      </c>
      <c r="B3852" t="str">
        <f>"00066702"</f>
        <v>00066702</v>
      </c>
      <c r="C3852" t="s">
        <v>4253</v>
      </c>
      <c r="D3852" t="s">
        <v>907</v>
      </c>
      <c r="E3852" t="str">
        <f>"00057629"</f>
        <v>00057629</v>
      </c>
      <c r="F3852">
        <v>0</v>
      </c>
      <c r="G3852" s="243">
        <v>40042</v>
      </c>
      <c r="H3852" t="s">
        <v>182</v>
      </c>
      <c r="I3852">
        <v>15</v>
      </c>
      <c r="J3852">
        <v>4</v>
      </c>
      <c r="K3852">
        <v>1</v>
      </c>
      <c r="L3852">
        <v>61158</v>
      </c>
      <c r="M3852" t="str">
        <f t="shared" si="547"/>
        <v>13</v>
      </c>
      <c r="N3852" t="s">
        <v>3323</v>
      </c>
      <c r="O3852" t="str">
        <f t="shared" si="550"/>
        <v>63311</v>
      </c>
      <c r="P3852" t="str">
        <f t="shared" si="552"/>
        <v>2100L</v>
      </c>
      <c r="Q3852" t="str">
        <f t="shared" si="548"/>
        <v>0101</v>
      </c>
      <c r="R3852">
        <v>2100</v>
      </c>
      <c r="S3852" t="str">
        <f t="shared" si="551"/>
        <v>6330</v>
      </c>
      <c r="T3852" t="s">
        <v>3845</v>
      </c>
      <c r="U3852" t="s">
        <v>874</v>
      </c>
    </row>
    <row r="3853" spans="1:21" ht="15" customHeight="1" x14ac:dyDescent="0.3">
      <c r="A3853" t="s">
        <v>179</v>
      </c>
      <c r="B3853" t="str">
        <f>"00066704"</f>
        <v>00066704</v>
      </c>
      <c r="C3853" t="s">
        <v>4260</v>
      </c>
      <c r="D3853" t="s">
        <v>908</v>
      </c>
      <c r="E3853" t="str">
        <f>"00057333"</f>
        <v>00057333</v>
      </c>
      <c r="F3853">
        <v>0</v>
      </c>
      <c r="G3853" s="243">
        <v>40042</v>
      </c>
      <c r="H3853" t="s">
        <v>182</v>
      </c>
      <c r="I3853">
        <v>15</v>
      </c>
      <c r="J3853">
        <v>7</v>
      </c>
      <c r="K3853">
        <v>1</v>
      </c>
      <c r="L3853">
        <v>71581</v>
      </c>
      <c r="M3853" t="str">
        <f t="shared" si="547"/>
        <v>13</v>
      </c>
      <c r="N3853" t="s">
        <v>3323</v>
      </c>
      <c r="O3853" t="str">
        <f t="shared" si="550"/>
        <v>63311</v>
      </c>
      <c r="P3853" t="str">
        <f t="shared" si="552"/>
        <v>2100L</v>
      </c>
      <c r="Q3853" t="str">
        <f t="shared" si="548"/>
        <v>0101</v>
      </c>
      <c r="R3853">
        <v>2100</v>
      </c>
      <c r="S3853" t="str">
        <f t="shared" si="551"/>
        <v>6330</v>
      </c>
      <c r="T3853" t="s">
        <v>3845</v>
      </c>
      <c r="U3853" t="s">
        <v>874</v>
      </c>
    </row>
    <row r="3854" spans="1:21" ht="15" customHeight="1" x14ac:dyDescent="0.3">
      <c r="A3854" t="s">
        <v>179</v>
      </c>
      <c r="B3854" t="str">
        <f>"00066706"</f>
        <v>00066706</v>
      </c>
      <c r="C3854" t="s">
        <v>4260</v>
      </c>
      <c r="D3854" t="s">
        <v>909</v>
      </c>
      <c r="E3854" t="str">
        <f>"00063086"</f>
        <v>00063086</v>
      </c>
      <c r="F3854">
        <v>0</v>
      </c>
      <c r="G3854" s="243">
        <v>40413</v>
      </c>
      <c r="H3854" t="s">
        <v>182</v>
      </c>
      <c r="I3854">
        <v>15</v>
      </c>
      <c r="J3854">
        <v>2</v>
      </c>
      <c r="K3854">
        <v>1</v>
      </c>
      <c r="L3854">
        <v>58699</v>
      </c>
      <c r="M3854" t="str">
        <f t="shared" si="547"/>
        <v>13</v>
      </c>
      <c r="N3854" t="s">
        <v>3323</v>
      </c>
      <c r="O3854" t="str">
        <f t="shared" ref="O3854:O3884" si="553">"63311"</f>
        <v>63311</v>
      </c>
      <c r="P3854" t="str">
        <f t="shared" si="552"/>
        <v>2100L</v>
      </c>
      <c r="Q3854" t="str">
        <f t="shared" si="548"/>
        <v>0101</v>
      </c>
      <c r="R3854">
        <v>2100</v>
      </c>
      <c r="S3854" t="str">
        <f t="shared" ref="S3854:S3884" si="554">"6330"</f>
        <v>6330</v>
      </c>
      <c r="T3854" t="s">
        <v>3845</v>
      </c>
      <c r="U3854" t="s">
        <v>874</v>
      </c>
    </row>
    <row r="3855" spans="1:21" ht="15" customHeight="1" x14ac:dyDescent="0.3">
      <c r="A3855" t="s">
        <v>179</v>
      </c>
      <c r="B3855" t="str">
        <f>"00066707"</f>
        <v>00066707</v>
      </c>
      <c r="C3855" t="s">
        <v>4253</v>
      </c>
      <c r="D3855" t="s">
        <v>1560</v>
      </c>
      <c r="E3855" t="str">
        <f>"00058607"</f>
        <v>00058607</v>
      </c>
      <c r="F3855">
        <v>0</v>
      </c>
      <c r="G3855" s="243">
        <v>40092</v>
      </c>
      <c r="H3855" t="s">
        <v>182</v>
      </c>
      <c r="I3855">
        <v>15</v>
      </c>
      <c r="J3855">
        <v>8</v>
      </c>
      <c r="K3855">
        <v>1</v>
      </c>
      <c r="L3855">
        <v>72171</v>
      </c>
      <c r="M3855" t="str">
        <f t="shared" si="547"/>
        <v>13</v>
      </c>
      <c r="N3855" t="s">
        <v>3370</v>
      </c>
      <c r="O3855" t="str">
        <f t="shared" si="553"/>
        <v>63311</v>
      </c>
      <c r="P3855" t="str">
        <f t="shared" si="552"/>
        <v>2100L</v>
      </c>
      <c r="Q3855" t="str">
        <f t="shared" si="548"/>
        <v>0101</v>
      </c>
      <c r="R3855">
        <v>2100</v>
      </c>
      <c r="S3855" t="str">
        <f t="shared" si="554"/>
        <v>6330</v>
      </c>
      <c r="T3855" t="s">
        <v>3845</v>
      </c>
      <c r="U3855" t="s">
        <v>874</v>
      </c>
    </row>
    <row r="3856" spans="1:21" ht="15" customHeight="1" x14ac:dyDescent="0.3">
      <c r="A3856" t="s">
        <v>179</v>
      </c>
      <c r="B3856" t="str">
        <f>"00066708"</f>
        <v>00066708</v>
      </c>
      <c r="C3856" t="s">
        <v>4254</v>
      </c>
      <c r="D3856" t="s">
        <v>910</v>
      </c>
      <c r="E3856" t="str">
        <f>"00023852"</f>
        <v>00023852</v>
      </c>
      <c r="F3856">
        <v>0</v>
      </c>
      <c r="G3856" s="243">
        <v>40042</v>
      </c>
      <c r="H3856" t="s">
        <v>182</v>
      </c>
      <c r="I3856">
        <v>15</v>
      </c>
      <c r="J3856">
        <v>12</v>
      </c>
      <c r="K3856">
        <v>1</v>
      </c>
      <c r="L3856">
        <v>87431</v>
      </c>
      <c r="M3856" t="str">
        <f t="shared" si="547"/>
        <v>13</v>
      </c>
      <c r="N3856" t="s">
        <v>3323</v>
      </c>
      <c r="O3856" t="str">
        <f t="shared" si="553"/>
        <v>63311</v>
      </c>
      <c r="P3856" t="str">
        <f t="shared" si="552"/>
        <v>2100L</v>
      </c>
      <c r="Q3856" t="str">
        <f t="shared" si="548"/>
        <v>0101</v>
      </c>
      <c r="R3856">
        <v>2100</v>
      </c>
      <c r="S3856" t="str">
        <f t="shared" si="554"/>
        <v>6330</v>
      </c>
      <c r="T3856" t="s">
        <v>3845</v>
      </c>
      <c r="U3856" t="s">
        <v>874</v>
      </c>
    </row>
    <row r="3857" spans="1:21" ht="15" customHeight="1" x14ac:dyDescent="0.3">
      <c r="A3857" t="s">
        <v>179</v>
      </c>
      <c r="B3857" t="str">
        <f>"00066709"</f>
        <v>00066709</v>
      </c>
      <c r="C3857" t="s">
        <v>4253</v>
      </c>
      <c r="D3857" t="s">
        <v>5473</v>
      </c>
      <c r="E3857" t="str">
        <f>"00069777"</f>
        <v>00069777</v>
      </c>
      <c r="F3857">
        <v>0</v>
      </c>
      <c r="G3857" s="243">
        <v>41133</v>
      </c>
      <c r="H3857" t="s">
        <v>182</v>
      </c>
      <c r="I3857">
        <v>15</v>
      </c>
      <c r="J3857">
        <v>9</v>
      </c>
      <c r="K3857">
        <v>1</v>
      </c>
      <c r="L3857">
        <v>65985</v>
      </c>
      <c r="M3857" t="str">
        <f t="shared" si="547"/>
        <v>13</v>
      </c>
      <c r="N3857" t="s">
        <v>3370</v>
      </c>
      <c r="O3857" t="str">
        <f t="shared" si="553"/>
        <v>63311</v>
      </c>
      <c r="P3857" t="str">
        <f t="shared" si="552"/>
        <v>2100L</v>
      </c>
      <c r="Q3857" t="str">
        <f t="shared" si="548"/>
        <v>0101</v>
      </c>
      <c r="R3857">
        <v>2100</v>
      </c>
      <c r="S3857" t="str">
        <f t="shared" si="554"/>
        <v>6330</v>
      </c>
      <c r="T3857" t="s">
        <v>3845</v>
      </c>
      <c r="U3857" t="s">
        <v>874</v>
      </c>
    </row>
    <row r="3858" spans="1:21" ht="15" customHeight="1" x14ac:dyDescent="0.3">
      <c r="A3858" t="s">
        <v>179</v>
      </c>
      <c r="B3858" t="str">
        <f>"00066710"</f>
        <v>00066710</v>
      </c>
      <c r="C3858" t="s">
        <v>4253</v>
      </c>
      <c r="D3858" t="s">
        <v>3874</v>
      </c>
      <c r="E3858" t="str">
        <f>"00065901"</f>
        <v>00065901</v>
      </c>
      <c r="F3858">
        <v>0</v>
      </c>
      <c r="G3858" s="243">
        <v>40755</v>
      </c>
      <c r="H3858" t="s">
        <v>182</v>
      </c>
      <c r="I3858">
        <v>15</v>
      </c>
      <c r="J3858">
        <v>9</v>
      </c>
      <c r="K3858">
        <v>1</v>
      </c>
      <c r="L3858">
        <v>77687</v>
      </c>
      <c r="M3858" t="str">
        <f t="shared" si="547"/>
        <v>13</v>
      </c>
      <c r="N3858" t="s">
        <v>3323</v>
      </c>
      <c r="O3858" t="str">
        <f t="shared" si="553"/>
        <v>63311</v>
      </c>
      <c r="P3858" t="str">
        <f t="shared" si="552"/>
        <v>2100L</v>
      </c>
      <c r="Q3858" t="str">
        <f t="shared" si="548"/>
        <v>0101</v>
      </c>
      <c r="R3858">
        <v>2100</v>
      </c>
      <c r="S3858" t="str">
        <f t="shared" si="554"/>
        <v>6330</v>
      </c>
      <c r="T3858" t="s">
        <v>3845</v>
      </c>
      <c r="U3858" t="s">
        <v>874</v>
      </c>
    </row>
    <row r="3859" spans="1:21" ht="15" customHeight="1" x14ac:dyDescent="0.3">
      <c r="A3859" t="s">
        <v>179</v>
      </c>
      <c r="B3859" t="str">
        <f>"00066711"</f>
        <v>00066711</v>
      </c>
      <c r="C3859" t="s">
        <v>4253</v>
      </c>
      <c r="D3859" t="s">
        <v>911</v>
      </c>
      <c r="E3859" t="str">
        <f>"00057215"</f>
        <v>00057215</v>
      </c>
      <c r="F3859">
        <v>0</v>
      </c>
      <c r="G3859" s="243">
        <v>40042</v>
      </c>
      <c r="H3859" t="s">
        <v>182</v>
      </c>
      <c r="I3859">
        <v>15</v>
      </c>
      <c r="J3859">
        <v>7</v>
      </c>
      <c r="K3859">
        <v>1</v>
      </c>
      <c r="L3859">
        <v>69132</v>
      </c>
      <c r="M3859" t="str">
        <f t="shared" si="547"/>
        <v>13</v>
      </c>
      <c r="N3859" t="s">
        <v>3323</v>
      </c>
      <c r="O3859" t="str">
        <f t="shared" si="553"/>
        <v>63311</v>
      </c>
      <c r="P3859" t="str">
        <f t="shared" si="552"/>
        <v>2100L</v>
      </c>
      <c r="Q3859" t="str">
        <f t="shared" si="548"/>
        <v>0101</v>
      </c>
      <c r="R3859">
        <v>2100</v>
      </c>
      <c r="S3859" t="str">
        <f t="shared" si="554"/>
        <v>6330</v>
      </c>
      <c r="T3859" t="s">
        <v>3845</v>
      </c>
      <c r="U3859" t="s">
        <v>874</v>
      </c>
    </row>
    <row r="3860" spans="1:21" ht="15" customHeight="1" x14ac:dyDescent="0.3">
      <c r="A3860" t="s">
        <v>179</v>
      </c>
      <c r="B3860" t="str">
        <f>"00067282"</f>
        <v>00067282</v>
      </c>
      <c r="C3860" t="s">
        <v>4360</v>
      </c>
      <c r="D3860" t="s">
        <v>5474</v>
      </c>
      <c r="E3860" t="str">
        <f>"00067390"</f>
        <v>00067390</v>
      </c>
      <c r="F3860">
        <v>0</v>
      </c>
      <c r="G3860" s="243">
        <v>40896</v>
      </c>
      <c r="H3860" t="s">
        <v>182</v>
      </c>
      <c r="I3860">
        <v>7</v>
      </c>
      <c r="J3860">
        <v>3</v>
      </c>
      <c r="K3860">
        <v>1</v>
      </c>
      <c r="L3860">
        <v>37084</v>
      </c>
      <c r="M3860" t="str">
        <f t="shared" si="547"/>
        <v>13</v>
      </c>
      <c r="N3860" t="s">
        <v>3323</v>
      </c>
      <c r="O3860" t="str">
        <f t="shared" si="553"/>
        <v>63311</v>
      </c>
      <c r="P3860" t="str">
        <f>"1502L"</f>
        <v>1502L</v>
      </c>
      <c r="Q3860" t="str">
        <f t="shared" si="548"/>
        <v>0101</v>
      </c>
      <c r="R3860">
        <v>1502</v>
      </c>
      <c r="S3860" t="str">
        <f t="shared" si="554"/>
        <v>6330</v>
      </c>
      <c r="T3860" t="s">
        <v>3845</v>
      </c>
      <c r="U3860" t="s">
        <v>874</v>
      </c>
    </row>
    <row r="3861" spans="1:21" ht="15" customHeight="1" x14ac:dyDescent="0.3">
      <c r="A3861" t="s">
        <v>179</v>
      </c>
      <c r="B3861" t="str">
        <f>"00067410"</f>
        <v>00067410</v>
      </c>
      <c r="C3861" t="s">
        <v>4614</v>
      </c>
      <c r="D3861" t="s">
        <v>912</v>
      </c>
      <c r="E3861" t="str">
        <f>"00047547"</f>
        <v>00047547</v>
      </c>
      <c r="F3861">
        <v>0</v>
      </c>
      <c r="G3861" s="243">
        <v>39548</v>
      </c>
      <c r="H3861" t="s">
        <v>182</v>
      </c>
      <c r="I3861">
        <v>7</v>
      </c>
      <c r="J3861">
        <v>2</v>
      </c>
      <c r="K3861">
        <v>1</v>
      </c>
      <c r="L3861">
        <v>35977</v>
      </c>
      <c r="M3861" t="str">
        <f t="shared" si="547"/>
        <v>13</v>
      </c>
      <c r="N3861" t="s">
        <v>3323</v>
      </c>
      <c r="O3861" t="str">
        <f t="shared" si="553"/>
        <v>63311</v>
      </c>
      <c r="P3861" t="str">
        <f>"1502L"</f>
        <v>1502L</v>
      </c>
      <c r="Q3861" t="str">
        <f t="shared" si="548"/>
        <v>0101</v>
      </c>
      <c r="R3861">
        <v>1502</v>
      </c>
      <c r="S3861" t="str">
        <f t="shared" si="554"/>
        <v>6330</v>
      </c>
      <c r="T3861" t="s">
        <v>3845</v>
      </c>
      <c r="U3861" t="s">
        <v>874</v>
      </c>
    </row>
    <row r="3862" spans="1:21" ht="15" customHeight="1" x14ac:dyDescent="0.3">
      <c r="A3862" t="s">
        <v>179</v>
      </c>
      <c r="B3862" t="str">
        <f>"00067538"</f>
        <v>00067538</v>
      </c>
      <c r="C3862" t="s">
        <v>4258</v>
      </c>
      <c r="D3862" t="s">
        <v>913</v>
      </c>
      <c r="E3862" t="str">
        <f>"00057510"</f>
        <v>00057510</v>
      </c>
      <c r="F3862">
        <v>0</v>
      </c>
      <c r="G3862" s="243">
        <v>40042</v>
      </c>
      <c r="H3862" t="s">
        <v>182</v>
      </c>
      <c r="I3862">
        <v>15</v>
      </c>
      <c r="J3862">
        <v>10</v>
      </c>
      <c r="K3862">
        <v>1</v>
      </c>
      <c r="L3862">
        <v>78273</v>
      </c>
      <c r="M3862" t="str">
        <f t="shared" si="547"/>
        <v>13</v>
      </c>
      <c r="N3862" t="s">
        <v>3323</v>
      </c>
      <c r="O3862" t="str">
        <f t="shared" si="553"/>
        <v>63311</v>
      </c>
      <c r="P3862" t="str">
        <f t="shared" ref="P3862:P3868" si="555">"2100L"</f>
        <v>2100L</v>
      </c>
      <c r="Q3862" t="str">
        <f t="shared" si="548"/>
        <v>0101</v>
      </c>
      <c r="R3862">
        <v>2100</v>
      </c>
      <c r="S3862" t="str">
        <f t="shared" si="554"/>
        <v>6330</v>
      </c>
      <c r="T3862" t="s">
        <v>3845</v>
      </c>
      <c r="U3862" t="s">
        <v>874</v>
      </c>
    </row>
    <row r="3863" spans="1:21" ht="15" customHeight="1" x14ac:dyDescent="0.3">
      <c r="A3863" t="s">
        <v>179</v>
      </c>
      <c r="B3863" t="str">
        <f>"00067540"</f>
        <v>00067540</v>
      </c>
      <c r="C3863" t="s">
        <v>4253</v>
      </c>
      <c r="D3863" t="s">
        <v>2261</v>
      </c>
      <c r="E3863" t="str">
        <f>"00044475"</f>
        <v>00044475</v>
      </c>
      <c r="F3863">
        <v>0</v>
      </c>
      <c r="G3863" s="243">
        <v>41133</v>
      </c>
      <c r="H3863" t="s">
        <v>182</v>
      </c>
      <c r="I3863">
        <v>15</v>
      </c>
      <c r="J3863">
        <v>12</v>
      </c>
      <c r="K3863">
        <v>1</v>
      </c>
      <c r="L3863">
        <v>92613</v>
      </c>
      <c r="M3863" t="str">
        <f t="shared" ref="M3863:M3922" si="556">"13"</f>
        <v>13</v>
      </c>
      <c r="N3863" t="s">
        <v>3323</v>
      </c>
      <c r="O3863" t="str">
        <f t="shared" si="553"/>
        <v>63311</v>
      </c>
      <c r="P3863" t="str">
        <f t="shared" si="555"/>
        <v>2100L</v>
      </c>
      <c r="Q3863" t="str">
        <f t="shared" si="548"/>
        <v>0101</v>
      </c>
      <c r="R3863">
        <v>2100</v>
      </c>
      <c r="S3863" t="str">
        <f t="shared" si="554"/>
        <v>6330</v>
      </c>
      <c r="T3863" t="s">
        <v>3845</v>
      </c>
      <c r="U3863" t="s">
        <v>874</v>
      </c>
    </row>
    <row r="3864" spans="1:21" ht="15" customHeight="1" x14ac:dyDescent="0.3">
      <c r="A3864" t="s">
        <v>179</v>
      </c>
      <c r="B3864" t="str">
        <f>"00067541"</f>
        <v>00067541</v>
      </c>
      <c r="C3864" t="s">
        <v>4263</v>
      </c>
      <c r="D3864" t="s">
        <v>914</v>
      </c>
      <c r="E3864" t="str">
        <f>"00058211"</f>
        <v>00058211</v>
      </c>
      <c r="F3864">
        <v>0</v>
      </c>
      <c r="G3864" s="243">
        <v>40042</v>
      </c>
      <c r="H3864" t="s">
        <v>182</v>
      </c>
      <c r="I3864">
        <v>15</v>
      </c>
      <c r="J3864">
        <v>6</v>
      </c>
      <c r="K3864">
        <v>1</v>
      </c>
      <c r="L3864">
        <v>66078</v>
      </c>
      <c r="M3864" t="str">
        <f t="shared" si="556"/>
        <v>13</v>
      </c>
      <c r="N3864" t="s">
        <v>3323</v>
      </c>
      <c r="O3864" t="str">
        <f t="shared" si="553"/>
        <v>63311</v>
      </c>
      <c r="P3864" t="str">
        <f t="shared" si="555"/>
        <v>2100L</v>
      </c>
      <c r="Q3864" t="str">
        <f t="shared" si="548"/>
        <v>0101</v>
      </c>
      <c r="R3864">
        <v>2100</v>
      </c>
      <c r="S3864" t="str">
        <f t="shared" si="554"/>
        <v>6330</v>
      </c>
      <c r="T3864" t="s">
        <v>3845</v>
      </c>
      <c r="U3864" t="s">
        <v>874</v>
      </c>
    </row>
    <row r="3865" spans="1:21" ht="15" customHeight="1" x14ac:dyDescent="0.3">
      <c r="A3865" t="s">
        <v>179</v>
      </c>
      <c r="B3865" t="str">
        <f>"00067542"</f>
        <v>00067542</v>
      </c>
      <c r="C3865" t="s">
        <v>4263</v>
      </c>
      <c r="D3865" t="s">
        <v>915</v>
      </c>
      <c r="E3865" t="str">
        <f>"00057447"</f>
        <v>00057447</v>
      </c>
      <c r="F3865">
        <v>0</v>
      </c>
      <c r="G3865" s="243">
        <v>40042</v>
      </c>
      <c r="H3865" t="s">
        <v>182</v>
      </c>
      <c r="I3865">
        <v>15</v>
      </c>
      <c r="J3865">
        <v>4</v>
      </c>
      <c r="K3865">
        <v>1</v>
      </c>
      <c r="L3865">
        <v>54725</v>
      </c>
      <c r="M3865" t="str">
        <f t="shared" si="556"/>
        <v>13</v>
      </c>
      <c r="N3865" t="s">
        <v>3323</v>
      </c>
      <c r="O3865" t="str">
        <f t="shared" si="553"/>
        <v>63311</v>
      </c>
      <c r="P3865" t="str">
        <f t="shared" si="555"/>
        <v>2100L</v>
      </c>
      <c r="Q3865" t="str">
        <f t="shared" si="548"/>
        <v>0101</v>
      </c>
      <c r="R3865">
        <v>2100</v>
      </c>
      <c r="S3865" t="str">
        <f t="shared" si="554"/>
        <v>6330</v>
      </c>
      <c r="T3865" t="s">
        <v>3845</v>
      </c>
      <c r="U3865" t="s">
        <v>874</v>
      </c>
    </row>
    <row r="3866" spans="1:21" ht="15" customHeight="1" x14ac:dyDescent="0.3">
      <c r="A3866" t="s">
        <v>179</v>
      </c>
      <c r="B3866" t="str">
        <f>"00067648"</f>
        <v>00067648</v>
      </c>
      <c r="C3866" t="s">
        <v>4260</v>
      </c>
      <c r="D3866" t="s">
        <v>2887</v>
      </c>
      <c r="E3866" t="str">
        <f>"00053289"</f>
        <v>00053289</v>
      </c>
      <c r="F3866">
        <v>0</v>
      </c>
      <c r="G3866" s="243">
        <v>38587</v>
      </c>
      <c r="H3866" t="s">
        <v>182</v>
      </c>
      <c r="I3866">
        <v>15</v>
      </c>
      <c r="J3866">
        <v>8</v>
      </c>
      <c r="K3866">
        <v>1</v>
      </c>
      <c r="L3866">
        <v>74640</v>
      </c>
      <c r="M3866" t="str">
        <f t="shared" si="556"/>
        <v>13</v>
      </c>
      <c r="N3866" t="s">
        <v>3323</v>
      </c>
      <c r="O3866" t="str">
        <f t="shared" si="553"/>
        <v>63311</v>
      </c>
      <c r="P3866" t="str">
        <f t="shared" si="555"/>
        <v>2100L</v>
      </c>
      <c r="Q3866" t="str">
        <f t="shared" si="548"/>
        <v>0101</v>
      </c>
      <c r="R3866">
        <v>2100</v>
      </c>
      <c r="S3866" t="str">
        <f t="shared" si="554"/>
        <v>6330</v>
      </c>
      <c r="T3866" t="s">
        <v>3845</v>
      </c>
      <c r="U3866" t="s">
        <v>874</v>
      </c>
    </row>
    <row r="3867" spans="1:21" ht="15" customHeight="1" x14ac:dyDescent="0.3">
      <c r="A3867" t="s">
        <v>179</v>
      </c>
      <c r="B3867" t="str">
        <f>"00067918"</f>
        <v>00067918</v>
      </c>
      <c r="C3867" t="s">
        <v>4260</v>
      </c>
      <c r="D3867" t="s">
        <v>917</v>
      </c>
      <c r="E3867" t="str">
        <f>"00057916"</f>
        <v>00057916</v>
      </c>
      <c r="F3867">
        <v>0</v>
      </c>
      <c r="G3867" s="243">
        <v>40042</v>
      </c>
      <c r="H3867" t="s">
        <v>182</v>
      </c>
      <c r="I3867">
        <v>15</v>
      </c>
      <c r="J3867">
        <v>4</v>
      </c>
      <c r="K3867">
        <v>1</v>
      </c>
      <c r="L3867">
        <v>61158</v>
      </c>
      <c r="M3867" t="str">
        <f t="shared" si="556"/>
        <v>13</v>
      </c>
      <c r="N3867" t="s">
        <v>3323</v>
      </c>
      <c r="O3867" t="str">
        <f t="shared" si="553"/>
        <v>63311</v>
      </c>
      <c r="P3867" t="str">
        <f t="shared" si="555"/>
        <v>2100L</v>
      </c>
      <c r="Q3867" t="str">
        <f t="shared" si="548"/>
        <v>0101</v>
      </c>
      <c r="R3867">
        <v>2100</v>
      </c>
      <c r="S3867" t="str">
        <f t="shared" si="554"/>
        <v>6330</v>
      </c>
      <c r="T3867" t="s">
        <v>3845</v>
      </c>
      <c r="U3867" t="s">
        <v>874</v>
      </c>
    </row>
    <row r="3868" spans="1:21" ht="15" customHeight="1" x14ac:dyDescent="0.3">
      <c r="A3868" t="s">
        <v>179</v>
      </c>
      <c r="B3868" t="str">
        <f>"00070255"</f>
        <v>00070255</v>
      </c>
      <c r="C3868" t="s">
        <v>4263</v>
      </c>
      <c r="D3868" t="s">
        <v>918</v>
      </c>
      <c r="E3868" t="str">
        <f>"00063088"</f>
        <v>00063088</v>
      </c>
      <c r="F3868">
        <v>0</v>
      </c>
      <c r="G3868" s="243">
        <v>40406</v>
      </c>
      <c r="H3868" t="s">
        <v>182</v>
      </c>
      <c r="I3868">
        <v>15</v>
      </c>
      <c r="J3868">
        <v>12</v>
      </c>
      <c r="K3868">
        <v>1</v>
      </c>
      <c r="L3868">
        <v>87431</v>
      </c>
      <c r="M3868" t="str">
        <f t="shared" si="556"/>
        <v>13</v>
      </c>
      <c r="N3868" t="s">
        <v>3323</v>
      </c>
      <c r="O3868" t="str">
        <f t="shared" si="553"/>
        <v>63311</v>
      </c>
      <c r="P3868" t="str">
        <f t="shared" si="555"/>
        <v>2100L</v>
      </c>
      <c r="Q3868" t="str">
        <f t="shared" si="548"/>
        <v>0101</v>
      </c>
      <c r="R3868">
        <v>2100</v>
      </c>
      <c r="S3868" t="str">
        <f t="shared" si="554"/>
        <v>6330</v>
      </c>
      <c r="T3868" t="s">
        <v>3845</v>
      </c>
      <c r="U3868" t="s">
        <v>874</v>
      </c>
    </row>
    <row r="3869" spans="1:21" ht="15" customHeight="1" x14ac:dyDescent="0.3">
      <c r="A3869" t="s">
        <v>179</v>
      </c>
      <c r="B3869" t="str">
        <f>"00071736"</f>
        <v>00071736</v>
      </c>
      <c r="C3869" t="s">
        <v>4333</v>
      </c>
      <c r="D3869" t="s">
        <v>5475</v>
      </c>
      <c r="E3869" t="str">
        <f>"00046924"</f>
        <v>00046924</v>
      </c>
      <c r="F3869">
        <v>0</v>
      </c>
      <c r="G3869" s="243">
        <v>31299</v>
      </c>
      <c r="H3869" t="s">
        <v>182</v>
      </c>
      <c r="I3869">
        <v>12</v>
      </c>
      <c r="J3869">
        <v>8</v>
      </c>
      <c r="K3869">
        <v>1</v>
      </c>
      <c r="L3869">
        <v>73357</v>
      </c>
      <c r="M3869" t="str">
        <f t="shared" si="556"/>
        <v>13</v>
      </c>
      <c r="N3869" t="s">
        <v>3323</v>
      </c>
      <c r="O3869" t="str">
        <f t="shared" si="553"/>
        <v>63311</v>
      </c>
      <c r="P3869" t="str">
        <f>"1502L"</f>
        <v>1502L</v>
      </c>
      <c r="Q3869" t="str">
        <f t="shared" si="548"/>
        <v>0101</v>
      </c>
      <c r="R3869">
        <v>1502</v>
      </c>
      <c r="S3869" t="str">
        <f t="shared" si="554"/>
        <v>6330</v>
      </c>
      <c r="T3869" t="s">
        <v>3845</v>
      </c>
      <c r="U3869" t="s">
        <v>874</v>
      </c>
    </row>
    <row r="3870" spans="1:21" ht="15" customHeight="1" x14ac:dyDescent="0.3">
      <c r="A3870" t="s">
        <v>179</v>
      </c>
      <c r="B3870" t="str">
        <f>"00071991"</f>
        <v>00071991</v>
      </c>
      <c r="C3870" t="s">
        <v>3670</v>
      </c>
      <c r="D3870" t="s">
        <v>1301</v>
      </c>
      <c r="E3870" t="str">
        <f>"00049523"</f>
        <v>00049523</v>
      </c>
      <c r="F3870">
        <v>0</v>
      </c>
      <c r="G3870" s="243">
        <v>36034</v>
      </c>
      <c r="H3870" t="s">
        <v>182</v>
      </c>
      <c r="I3870">
        <v>8</v>
      </c>
      <c r="J3870">
        <v>6</v>
      </c>
      <c r="K3870">
        <v>1</v>
      </c>
      <c r="L3870">
        <v>94825</v>
      </c>
      <c r="M3870" t="str">
        <f t="shared" si="556"/>
        <v>13</v>
      </c>
      <c r="N3870" t="s">
        <v>3323</v>
      </c>
      <c r="O3870" t="str">
        <f t="shared" si="553"/>
        <v>63311</v>
      </c>
      <c r="P3870" t="str">
        <f>"1501L"</f>
        <v>1501L</v>
      </c>
      <c r="Q3870" t="str">
        <f t="shared" ref="Q3870:Q3930" si="557">"0101"</f>
        <v>0101</v>
      </c>
      <c r="R3870">
        <v>1501</v>
      </c>
      <c r="S3870" t="str">
        <f t="shared" si="554"/>
        <v>6330</v>
      </c>
      <c r="T3870" t="s">
        <v>3845</v>
      </c>
      <c r="U3870" t="s">
        <v>874</v>
      </c>
    </row>
    <row r="3871" spans="1:21" ht="15" customHeight="1" x14ac:dyDescent="0.3">
      <c r="A3871" t="s">
        <v>179</v>
      </c>
      <c r="B3871" t="str">
        <f>"00072209"</f>
        <v>00072209</v>
      </c>
      <c r="C3871" t="s">
        <v>4263</v>
      </c>
      <c r="D3871" t="s">
        <v>5476</v>
      </c>
      <c r="E3871" t="str">
        <f>"00070100"</f>
        <v>00070100</v>
      </c>
      <c r="F3871">
        <v>0</v>
      </c>
      <c r="G3871" s="243">
        <v>41133</v>
      </c>
      <c r="H3871" t="s">
        <v>182</v>
      </c>
      <c r="I3871">
        <v>15</v>
      </c>
      <c r="J3871">
        <v>10</v>
      </c>
      <c r="K3871">
        <v>1</v>
      </c>
      <c r="L3871">
        <v>78273</v>
      </c>
      <c r="M3871" t="str">
        <f t="shared" si="556"/>
        <v>13</v>
      </c>
      <c r="N3871" t="s">
        <v>3370</v>
      </c>
      <c r="O3871" t="str">
        <f t="shared" si="553"/>
        <v>63311</v>
      </c>
      <c r="P3871" t="str">
        <f>"2100L"</f>
        <v>2100L</v>
      </c>
      <c r="Q3871" t="str">
        <f t="shared" si="557"/>
        <v>0101</v>
      </c>
      <c r="R3871">
        <v>2100</v>
      </c>
      <c r="S3871" t="str">
        <f t="shared" si="554"/>
        <v>6330</v>
      </c>
      <c r="T3871" t="s">
        <v>3845</v>
      </c>
      <c r="U3871" t="s">
        <v>874</v>
      </c>
    </row>
    <row r="3872" spans="1:21" ht="15" customHeight="1" x14ac:dyDescent="0.3">
      <c r="A3872" t="s">
        <v>179</v>
      </c>
      <c r="B3872" t="str">
        <f>"00072306"</f>
        <v>00072306</v>
      </c>
      <c r="C3872" t="s">
        <v>4256</v>
      </c>
      <c r="D3872" t="s">
        <v>919</v>
      </c>
      <c r="E3872" t="str">
        <f>"00062678"</f>
        <v>00062678</v>
      </c>
      <c r="F3872">
        <v>0</v>
      </c>
      <c r="G3872" s="243">
        <v>40406</v>
      </c>
      <c r="H3872" t="s">
        <v>182</v>
      </c>
      <c r="I3872">
        <v>15</v>
      </c>
      <c r="J3872">
        <v>7</v>
      </c>
      <c r="K3872">
        <v>1</v>
      </c>
      <c r="L3872">
        <v>69132</v>
      </c>
      <c r="M3872" t="str">
        <f t="shared" si="556"/>
        <v>13</v>
      </c>
      <c r="N3872" t="s">
        <v>3323</v>
      </c>
      <c r="O3872" t="str">
        <f t="shared" si="553"/>
        <v>63311</v>
      </c>
      <c r="P3872" t="str">
        <f>"2100L"</f>
        <v>2100L</v>
      </c>
      <c r="Q3872" t="str">
        <f t="shared" si="557"/>
        <v>0101</v>
      </c>
      <c r="R3872">
        <v>2100</v>
      </c>
      <c r="S3872" t="str">
        <f t="shared" si="554"/>
        <v>6330</v>
      </c>
      <c r="T3872" t="s">
        <v>3845</v>
      </c>
      <c r="U3872" t="s">
        <v>874</v>
      </c>
    </row>
    <row r="3873" spans="1:21" ht="15" customHeight="1" x14ac:dyDescent="0.3">
      <c r="A3873" t="s">
        <v>179</v>
      </c>
      <c r="B3873" t="str">
        <f>"00072376"</f>
        <v>00072376</v>
      </c>
      <c r="C3873" t="s">
        <v>4253</v>
      </c>
      <c r="D3873" t="s">
        <v>5477</v>
      </c>
      <c r="E3873" t="str">
        <f>"00069595"</f>
        <v>00069595</v>
      </c>
      <c r="F3873">
        <v>0</v>
      </c>
      <c r="G3873" s="243">
        <v>41133</v>
      </c>
      <c r="H3873" t="s">
        <v>182</v>
      </c>
      <c r="I3873">
        <v>15</v>
      </c>
      <c r="J3873">
        <v>1</v>
      </c>
      <c r="K3873">
        <v>1</v>
      </c>
      <c r="L3873">
        <v>51539</v>
      </c>
      <c r="M3873" t="str">
        <f t="shared" si="556"/>
        <v>13</v>
      </c>
      <c r="N3873" t="s">
        <v>3370</v>
      </c>
      <c r="O3873" t="str">
        <f t="shared" si="553"/>
        <v>63311</v>
      </c>
      <c r="P3873" t="str">
        <f>"2100L"</f>
        <v>2100L</v>
      </c>
      <c r="Q3873" t="str">
        <f t="shared" si="557"/>
        <v>0101</v>
      </c>
      <c r="R3873">
        <v>2100</v>
      </c>
      <c r="S3873" t="str">
        <f t="shared" si="554"/>
        <v>6330</v>
      </c>
      <c r="T3873" t="s">
        <v>3845</v>
      </c>
      <c r="U3873" t="s">
        <v>874</v>
      </c>
    </row>
    <row r="3874" spans="1:21" ht="15" customHeight="1" x14ac:dyDescent="0.3">
      <c r="A3874" t="s">
        <v>179</v>
      </c>
      <c r="B3874" t="str">
        <f>"00074344"</f>
        <v>00074344</v>
      </c>
      <c r="C3874" t="s">
        <v>4253</v>
      </c>
      <c r="H3874" t="s">
        <v>170</v>
      </c>
      <c r="I3874">
        <v>15</v>
      </c>
      <c r="J3874">
        <v>1</v>
      </c>
      <c r="K3874">
        <v>1</v>
      </c>
      <c r="L3874">
        <v>56693</v>
      </c>
      <c r="M3874" t="str">
        <f t="shared" si="556"/>
        <v>13</v>
      </c>
      <c r="N3874" t="s">
        <v>3323</v>
      </c>
      <c r="O3874" t="str">
        <f t="shared" si="553"/>
        <v>63311</v>
      </c>
      <c r="P3874" t="str">
        <f>"2100L"</f>
        <v>2100L</v>
      </c>
      <c r="Q3874" t="str">
        <f t="shared" si="557"/>
        <v>0101</v>
      </c>
      <c r="R3874">
        <v>2100</v>
      </c>
      <c r="S3874" t="str">
        <f t="shared" si="554"/>
        <v>6330</v>
      </c>
      <c r="T3874" t="s">
        <v>3845</v>
      </c>
      <c r="U3874" t="s">
        <v>874</v>
      </c>
    </row>
    <row r="3875" spans="1:21" ht="15" customHeight="1" x14ac:dyDescent="0.3">
      <c r="A3875" t="s">
        <v>179</v>
      </c>
      <c r="B3875" t="str">
        <f>"00074345"</f>
        <v>00074345</v>
      </c>
      <c r="C3875" t="s">
        <v>4367</v>
      </c>
      <c r="D3875" t="s">
        <v>5478</v>
      </c>
      <c r="E3875" t="str">
        <f>"00057277"</f>
        <v>00057277</v>
      </c>
      <c r="F3875">
        <v>0</v>
      </c>
      <c r="G3875" s="243">
        <v>40042</v>
      </c>
      <c r="H3875" t="s">
        <v>182</v>
      </c>
      <c r="I3875">
        <v>9</v>
      </c>
      <c r="J3875">
        <v>3</v>
      </c>
      <c r="K3875">
        <v>1</v>
      </c>
      <c r="L3875">
        <v>39125</v>
      </c>
      <c r="M3875" t="str">
        <f t="shared" si="556"/>
        <v>13</v>
      </c>
      <c r="N3875" t="s">
        <v>3323</v>
      </c>
      <c r="O3875" t="str">
        <f t="shared" si="553"/>
        <v>63311</v>
      </c>
      <c r="P3875" t="str">
        <f>"1502L"</f>
        <v>1502L</v>
      </c>
      <c r="Q3875" t="str">
        <f t="shared" si="557"/>
        <v>0101</v>
      </c>
      <c r="R3875">
        <v>1502</v>
      </c>
      <c r="S3875" t="str">
        <f t="shared" si="554"/>
        <v>6330</v>
      </c>
      <c r="T3875" t="s">
        <v>3845</v>
      </c>
      <c r="U3875" t="s">
        <v>874</v>
      </c>
    </row>
    <row r="3876" spans="1:21" ht="15" customHeight="1" x14ac:dyDescent="0.3">
      <c r="A3876" t="s">
        <v>179</v>
      </c>
      <c r="B3876" t="str">
        <f>"00074346"</f>
        <v>00074346</v>
      </c>
      <c r="C3876" t="s">
        <v>200</v>
      </c>
      <c r="D3876" t="s">
        <v>3870</v>
      </c>
      <c r="E3876" t="str">
        <f>"00062466"</f>
        <v>00062466</v>
      </c>
      <c r="F3876">
        <v>0</v>
      </c>
      <c r="G3876" s="243">
        <v>40399</v>
      </c>
      <c r="H3876" t="s">
        <v>182</v>
      </c>
      <c r="I3876">
        <v>15</v>
      </c>
      <c r="J3876">
        <v>6</v>
      </c>
      <c r="K3876">
        <v>1</v>
      </c>
      <c r="L3876">
        <v>66078</v>
      </c>
      <c r="M3876" t="str">
        <f t="shared" si="556"/>
        <v>13</v>
      </c>
      <c r="N3876" t="s">
        <v>3323</v>
      </c>
      <c r="O3876" t="str">
        <f t="shared" si="553"/>
        <v>63311</v>
      </c>
      <c r="P3876" t="str">
        <f t="shared" ref="P3876:P3898" si="558">"2100L"</f>
        <v>2100L</v>
      </c>
      <c r="Q3876" t="str">
        <f t="shared" si="557"/>
        <v>0101</v>
      </c>
      <c r="R3876">
        <v>2100</v>
      </c>
      <c r="S3876" t="str">
        <f t="shared" si="554"/>
        <v>6330</v>
      </c>
      <c r="T3876" t="s">
        <v>3845</v>
      </c>
      <c r="U3876" t="s">
        <v>874</v>
      </c>
    </row>
    <row r="3877" spans="1:21" ht="15" customHeight="1" x14ac:dyDescent="0.3">
      <c r="A3877" t="s">
        <v>179</v>
      </c>
      <c r="B3877" t="str">
        <f>"00074347"</f>
        <v>00074347</v>
      </c>
      <c r="C3877" t="s">
        <v>4290</v>
      </c>
      <c r="H3877" t="s">
        <v>170</v>
      </c>
      <c r="I3877">
        <v>4</v>
      </c>
      <c r="J3877">
        <v>1</v>
      </c>
      <c r="K3877">
        <v>0.71</v>
      </c>
      <c r="L3877">
        <v>25662</v>
      </c>
      <c r="M3877" t="str">
        <f t="shared" si="556"/>
        <v>13</v>
      </c>
      <c r="N3877" t="s">
        <v>3323</v>
      </c>
      <c r="O3877" t="str">
        <f t="shared" si="553"/>
        <v>63311</v>
      </c>
      <c r="P3877" t="str">
        <f t="shared" si="558"/>
        <v>2100L</v>
      </c>
      <c r="Q3877" t="str">
        <f t="shared" si="557"/>
        <v>0101</v>
      </c>
      <c r="R3877">
        <v>2100</v>
      </c>
      <c r="S3877" t="str">
        <f t="shared" si="554"/>
        <v>6330</v>
      </c>
      <c r="T3877" t="s">
        <v>3845</v>
      </c>
      <c r="U3877" t="s">
        <v>874</v>
      </c>
    </row>
    <row r="3878" spans="1:21" ht="15" customHeight="1" x14ac:dyDescent="0.3">
      <c r="A3878" t="s">
        <v>179</v>
      </c>
      <c r="B3878" t="str">
        <f>"00074638"</f>
        <v>00074638</v>
      </c>
      <c r="C3878" t="s">
        <v>4728</v>
      </c>
      <c r="H3878" t="s">
        <v>170</v>
      </c>
      <c r="I3878">
        <v>9</v>
      </c>
      <c r="J3878">
        <v>1</v>
      </c>
      <c r="K3878">
        <v>1</v>
      </c>
      <c r="L3878">
        <v>33163</v>
      </c>
      <c r="M3878" t="str">
        <f t="shared" si="556"/>
        <v>13</v>
      </c>
      <c r="N3878" t="s">
        <v>3323</v>
      </c>
      <c r="O3878" t="str">
        <f t="shared" si="553"/>
        <v>63311</v>
      </c>
      <c r="P3878" t="str">
        <f t="shared" si="558"/>
        <v>2100L</v>
      </c>
      <c r="Q3878" t="str">
        <f t="shared" si="557"/>
        <v>0101</v>
      </c>
      <c r="R3878">
        <v>2100</v>
      </c>
      <c r="S3878" t="str">
        <f t="shared" si="554"/>
        <v>6330</v>
      </c>
      <c r="T3878" t="s">
        <v>3845</v>
      </c>
      <c r="U3878" t="s">
        <v>874</v>
      </c>
    </row>
    <row r="3879" spans="1:21" ht="15" customHeight="1" x14ac:dyDescent="0.3">
      <c r="A3879" t="s">
        <v>179</v>
      </c>
      <c r="B3879" t="str">
        <f>"00074828"</f>
        <v>00074828</v>
      </c>
      <c r="C3879" t="s">
        <v>4257</v>
      </c>
      <c r="D3879" t="s">
        <v>3875</v>
      </c>
      <c r="E3879" t="str">
        <f>"00066499"</f>
        <v>00066499</v>
      </c>
      <c r="F3879">
        <v>0</v>
      </c>
      <c r="G3879" s="243">
        <v>40770</v>
      </c>
      <c r="H3879" t="s">
        <v>182</v>
      </c>
      <c r="I3879">
        <v>15</v>
      </c>
      <c r="J3879">
        <v>1</v>
      </c>
      <c r="K3879">
        <v>1</v>
      </c>
      <c r="L3879">
        <v>51539</v>
      </c>
      <c r="M3879" t="str">
        <f t="shared" si="556"/>
        <v>13</v>
      </c>
      <c r="N3879" t="s">
        <v>3370</v>
      </c>
      <c r="O3879" t="str">
        <f t="shared" si="553"/>
        <v>63311</v>
      </c>
      <c r="P3879" t="str">
        <f t="shared" si="558"/>
        <v>2100L</v>
      </c>
      <c r="Q3879" t="str">
        <f t="shared" si="557"/>
        <v>0101</v>
      </c>
      <c r="R3879">
        <v>2100</v>
      </c>
      <c r="S3879" t="str">
        <f t="shared" si="554"/>
        <v>6330</v>
      </c>
      <c r="T3879" t="s">
        <v>3845</v>
      </c>
      <c r="U3879" t="s">
        <v>874</v>
      </c>
    </row>
    <row r="3880" spans="1:21" ht="15" customHeight="1" x14ac:dyDescent="0.3">
      <c r="A3880" t="s">
        <v>179</v>
      </c>
      <c r="B3880" t="str">
        <f>"00074829"</f>
        <v>00074829</v>
      </c>
      <c r="C3880" t="s">
        <v>4263</v>
      </c>
      <c r="D3880" t="s">
        <v>3876</v>
      </c>
      <c r="E3880" t="str">
        <f>"00066690"</f>
        <v>00066690</v>
      </c>
      <c r="F3880">
        <v>0</v>
      </c>
      <c r="G3880" s="243">
        <v>40770</v>
      </c>
      <c r="H3880" t="s">
        <v>182</v>
      </c>
      <c r="I3880">
        <v>15</v>
      </c>
      <c r="J3880">
        <v>2</v>
      </c>
      <c r="K3880">
        <v>1</v>
      </c>
      <c r="L3880">
        <v>56242</v>
      </c>
      <c r="M3880" t="str">
        <f t="shared" si="556"/>
        <v>13</v>
      </c>
      <c r="N3880" t="s">
        <v>3323</v>
      </c>
      <c r="O3880" t="str">
        <f t="shared" si="553"/>
        <v>63311</v>
      </c>
      <c r="P3880" t="str">
        <f t="shared" si="558"/>
        <v>2100L</v>
      </c>
      <c r="Q3880" t="str">
        <f t="shared" si="557"/>
        <v>0101</v>
      </c>
      <c r="R3880">
        <v>2100</v>
      </c>
      <c r="S3880" t="str">
        <f t="shared" si="554"/>
        <v>6330</v>
      </c>
      <c r="T3880" t="s">
        <v>3845</v>
      </c>
      <c r="U3880" t="s">
        <v>874</v>
      </c>
    </row>
    <row r="3881" spans="1:21" ht="15" customHeight="1" x14ac:dyDescent="0.3">
      <c r="A3881" t="s">
        <v>179</v>
      </c>
      <c r="B3881" t="str">
        <f>"00074830"</f>
        <v>00074830</v>
      </c>
      <c r="C3881" t="s">
        <v>4260</v>
      </c>
      <c r="D3881" t="s">
        <v>3877</v>
      </c>
      <c r="E3881" t="str">
        <f>"00066366"</f>
        <v>00066366</v>
      </c>
      <c r="F3881">
        <v>0</v>
      </c>
      <c r="G3881" s="243">
        <v>40755</v>
      </c>
      <c r="H3881" t="s">
        <v>182</v>
      </c>
      <c r="I3881">
        <v>15</v>
      </c>
      <c r="J3881">
        <v>2</v>
      </c>
      <c r="K3881">
        <v>1</v>
      </c>
      <c r="L3881">
        <v>51716</v>
      </c>
      <c r="M3881" t="str">
        <f t="shared" si="556"/>
        <v>13</v>
      </c>
      <c r="N3881" t="s">
        <v>3323</v>
      </c>
      <c r="O3881" t="str">
        <f t="shared" si="553"/>
        <v>63311</v>
      </c>
      <c r="P3881" t="str">
        <f t="shared" si="558"/>
        <v>2100L</v>
      </c>
      <c r="Q3881" t="str">
        <f t="shared" si="557"/>
        <v>0101</v>
      </c>
      <c r="R3881">
        <v>2100</v>
      </c>
      <c r="S3881" t="str">
        <f t="shared" si="554"/>
        <v>6330</v>
      </c>
      <c r="T3881" t="s">
        <v>3845</v>
      </c>
      <c r="U3881" t="s">
        <v>874</v>
      </c>
    </row>
    <row r="3882" spans="1:21" ht="15" customHeight="1" x14ac:dyDescent="0.3">
      <c r="A3882" t="s">
        <v>179</v>
      </c>
      <c r="B3882" t="str">
        <f>"00074831"</f>
        <v>00074831</v>
      </c>
      <c r="C3882" t="s">
        <v>4260</v>
      </c>
      <c r="D3882" t="s">
        <v>3878</v>
      </c>
      <c r="E3882" t="str">
        <f>"00066511"</f>
        <v>00066511</v>
      </c>
      <c r="F3882">
        <v>0</v>
      </c>
      <c r="G3882" s="243">
        <v>40755</v>
      </c>
      <c r="H3882" t="s">
        <v>182</v>
      </c>
      <c r="I3882">
        <v>15</v>
      </c>
      <c r="J3882">
        <v>2</v>
      </c>
      <c r="K3882">
        <v>1</v>
      </c>
      <c r="L3882">
        <v>51716</v>
      </c>
      <c r="M3882" t="str">
        <f t="shared" si="556"/>
        <v>13</v>
      </c>
      <c r="N3882" t="s">
        <v>3323</v>
      </c>
      <c r="O3882" t="str">
        <f t="shared" si="553"/>
        <v>63311</v>
      </c>
      <c r="P3882" t="str">
        <f t="shared" si="558"/>
        <v>2100L</v>
      </c>
      <c r="Q3882" t="str">
        <f t="shared" si="557"/>
        <v>0101</v>
      </c>
      <c r="R3882">
        <v>2100</v>
      </c>
      <c r="S3882" t="str">
        <f t="shared" si="554"/>
        <v>6330</v>
      </c>
      <c r="T3882" t="s">
        <v>3845</v>
      </c>
      <c r="U3882" t="s">
        <v>874</v>
      </c>
    </row>
    <row r="3883" spans="1:21" ht="15" customHeight="1" x14ac:dyDescent="0.3">
      <c r="A3883" t="s">
        <v>179</v>
      </c>
      <c r="B3883" t="str">
        <f>"00075996"</f>
        <v>00075996</v>
      </c>
      <c r="C3883" t="s">
        <v>4253</v>
      </c>
      <c r="D3883" t="s">
        <v>5479</v>
      </c>
      <c r="E3883" t="str">
        <f>"00069594"</f>
        <v>00069594</v>
      </c>
      <c r="F3883">
        <v>0</v>
      </c>
      <c r="G3883" s="243">
        <v>41133</v>
      </c>
      <c r="H3883" t="s">
        <v>182</v>
      </c>
      <c r="I3883">
        <v>15</v>
      </c>
      <c r="J3883">
        <v>1</v>
      </c>
      <c r="K3883">
        <v>1</v>
      </c>
      <c r="L3883">
        <v>51539</v>
      </c>
      <c r="M3883" t="str">
        <f t="shared" si="556"/>
        <v>13</v>
      </c>
      <c r="N3883" t="s">
        <v>3370</v>
      </c>
      <c r="O3883" t="str">
        <f t="shared" si="553"/>
        <v>63311</v>
      </c>
      <c r="P3883" t="str">
        <f t="shared" si="558"/>
        <v>2100L</v>
      </c>
      <c r="Q3883" t="str">
        <f t="shared" si="557"/>
        <v>0101</v>
      </c>
      <c r="R3883">
        <v>2100</v>
      </c>
      <c r="S3883" t="str">
        <f t="shared" si="554"/>
        <v>6330</v>
      </c>
      <c r="T3883" t="s">
        <v>3845</v>
      </c>
      <c r="U3883" t="s">
        <v>874</v>
      </c>
    </row>
    <row r="3884" spans="1:21" ht="15" customHeight="1" x14ac:dyDescent="0.3">
      <c r="A3884" t="s">
        <v>179</v>
      </c>
      <c r="B3884" t="str">
        <f>"00075997"</f>
        <v>00075997</v>
      </c>
      <c r="C3884" t="s">
        <v>4292</v>
      </c>
      <c r="H3884" t="s">
        <v>170</v>
      </c>
      <c r="I3884">
        <v>4</v>
      </c>
      <c r="J3884">
        <v>0</v>
      </c>
      <c r="K3884">
        <v>0.71</v>
      </c>
      <c r="L3884">
        <v>25662</v>
      </c>
      <c r="M3884" t="str">
        <f t="shared" si="556"/>
        <v>13</v>
      </c>
      <c r="N3884" t="s">
        <v>3370</v>
      </c>
      <c r="O3884" t="str">
        <f t="shared" si="553"/>
        <v>63311</v>
      </c>
      <c r="P3884" t="str">
        <f t="shared" si="558"/>
        <v>2100L</v>
      </c>
      <c r="Q3884" t="str">
        <f t="shared" si="557"/>
        <v>0101</v>
      </c>
      <c r="R3884">
        <v>2100</v>
      </c>
      <c r="S3884" t="str">
        <f t="shared" si="554"/>
        <v>6330</v>
      </c>
      <c r="T3884" t="s">
        <v>3845</v>
      </c>
      <c r="U3884" t="s">
        <v>874</v>
      </c>
    </row>
    <row r="3885" spans="1:21" ht="15" customHeight="1" x14ac:dyDescent="0.3">
      <c r="A3885" t="s">
        <v>179</v>
      </c>
      <c r="B3885" t="str">
        <f>"00075998"</f>
        <v>00075998</v>
      </c>
      <c r="C3885" t="s">
        <v>4253</v>
      </c>
      <c r="D3885" t="s">
        <v>5480</v>
      </c>
      <c r="E3885" t="str">
        <f>"00069829"</f>
        <v>00069829</v>
      </c>
      <c r="F3885">
        <v>0</v>
      </c>
      <c r="G3885" s="243">
        <v>41133</v>
      </c>
      <c r="H3885" t="s">
        <v>182</v>
      </c>
      <c r="I3885">
        <v>15</v>
      </c>
      <c r="J3885">
        <v>1</v>
      </c>
      <c r="K3885">
        <v>1</v>
      </c>
      <c r="L3885">
        <v>54975</v>
      </c>
      <c r="M3885" t="str">
        <f t="shared" si="556"/>
        <v>13</v>
      </c>
      <c r="N3885" t="s">
        <v>3370</v>
      </c>
      <c r="O3885" t="str">
        <f t="shared" ref="O3885:O3898" si="559">"63311"</f>
        <v>63311</v>
      </c>
      <c r="P3885" t="str">
        <f t="shared" si="558"/>
        <v>2100L</v>
      </c>
      <c r="Q3885" t="str">
        <f t="shared" si="557"/>
        <v>0101</v>
      </c>
      <c r="R3885">
        <v>2100</v>
      </c>
      <c r="S3885" t="str">
        <f t="shared" ref="S3885:S3898" si="560">"6330"</f>
        <v>6330</v>
      </c>
      <c r="T3885" t="s">
        <v>3845</v>
      </c>
      <c r="U3885" t="s">
        <v>874</v>
      </c>
    </row>
    <row r="3886" spans="1:21" ht="15" customHeight="1" x14ac:dyDescent="0.3">
      <c r="A3886" t="s">
        <v>179</v>
      </c>
      <c r="B3886" t="str">
        <f>"00075999"</f>
        <v>00075999</v>
      </c>
      <c r="C3886" t="s">
        <v>4253</v>
      </c>
      <c r="D3886" t="s">
        <v>5481</v>
      </c>
      <c r="E3886" t="str">
        <f>"00069869"</f>
        <v>00069869</v>
      </c>
      <c r="F3886">
        <v>0</v>
      </c>
      <c r="G3886" s="243">
        <v>41133</v>
      </c>
      <c r="H3886" t="s">
        <v>182</v>
      </c>
      <c r="I3886">
        <v>15</v>
      </c>
      <c r="J3886">
        <v>4</v>
      </c>
      <c r="K3886">
        <v>1</v>
      </c>
      <c r="L3886">
        <v>61158</v>
      </c>
      <c r="M3886" t="str">
        <f t="shared" si="556"/>
        <v>13</v>
      </c>
      <c r="N3886" t="s">
        <v>3370</v>
      </c>
      <c r="O3886" t="str">
        <f t="shared" si="559"/>
        <v>63311</v>
      </c>
      <c r="P3886" t="str">
        <f t="shared" si="558"/>
        <v>2100L</v>
      </c>
      <c r="Q3886" t="str">
        <f t="shared" si="557"/>
        <v>0101</v>
      </c>
      <c r="R3886">
        <v>2100</v>
      </c>
      <c r="S3886" t="str">
        <f t="shared" si="560"/>
        <v>6330</v>
      </c>
      <c r="T3886" t="s">
        <v>3845</v>
      </c>
      <c r="U3886" t="s">
        <v>874</v>
      </c>
    </row>
    <row r="3887" spans="1:21" ht="15" customHeight="1" x14ac:dyDescent="0.3">
      <c r="A3887" t="s">
        <v>179</v>
      </c>
      <c r="B3887" t="str">
        <f>"00076001"</f>
        <v>00076001</v>
      </c>
      <c r="C3887" t="s">
        <v>4253</v>
      </c>
      <c r="D3887" t="s">
        <v>5482</v>
      </c>
      <c r="E3887" t="str">
        <f>"00069867"</f>
        <v>00069867</v>
      </c>
      <c r="F3887">
        <v>0</v>
      </c>
      <c r="G3887" s="243">
        <v>41133</v>
      </c>
      <c r="H3887" t="s">
        <v>182</v>
      </c>
      <c r="I3887">
        <v>15</v>
      </c>
      <c r="J3887">
        <v>5</v>
      </c>
      <c r="K3887">
        <v>1</v>
      </c>
      <c r="L3887">
        <v>63611</v>
      </c>
      <c r="M3887" t="str">
        <f t="shared" si="556"/>
        <v>13</v>
      </c>
      <c r="N3887" t="s">
        <v>3370</v>
      </c>
      <c r="O3887" t="str">
        <f t="shared" si="559"/>
        <v>63311</v>
      </c>
      <c r="P3887" t="str">
        <f t="shared" si="558"/>
        <v>2100L</v>
      </c>
      <c r="Q3887" t="str">
        <f t="shared" si="557"/>
        <v>0101</v>
      </c>
      <c r="R3887">
        <v>2100</v>
      </c>
      <c r="S3887" t="str">
        <f t="shared" si="560"/>
        <v>6330</v>
      </c>
      <c r="T3887" t="s">
        <v>3845</v>
      </c>
      <c r="U3887" t="s">
        <v>874</v>
      </c>
    </row>
    <row r="3888" spans="1:21" ht="15" customHeight="1" x14ac:dyDescent="0.3">
      <c r="A3888" t="s">
        <v>179</v>
      </c>
      <c r="B3888" t="str">
        <f>"00076002"</f>
        <v>00076002</v>
      </c>
      <c r="C3888" t="s">
        <v>4253</v>
      </c>
      <c r="D3888" t="s">
        <v>5483</v>
      </c>
      <c r="E3888" t="str">
        <f>"00069809"</f>
        <v>00069809</v>
      </c>
      <c r="F3888">
        <v>0</v>
      </c>
      <c r="G3888" s="243">
        <v>41133</v>
      </c>
      <c r="H3888" t="s">
        <v>182</v>
      </c>
      <c r="I3888">
        <v>15</v>
      </c>
      <c r="J3888">
        <v>1</v>
      </c>
      <c r="K3888">
        <v>1</v>
      </c>
      <c r="L3888">
        <v>54975</v>
      </c>
      <c r="M3888" t="str">
        <f t="shared" si="556"/>
        <v>13</v>
      </c>
      <c r="N3888" t="s">
        <v>3370</v>
      </c>
      <c r="O3888" t="str">
        <f t="shared" si="559"/>
        <v>63311</v>
      </c>
      <c r="P3888" t="str">
        <f t="shared" si="558"/>
        <v>2100L</v>
      </c>
      <c r="Q3888" t="str">
        <f t="shared" si="557"/>
        <v>0101</v>
      </c>
      <c r="R3888">
        <v>2100</v>
      </c>
      <c r="S3888" t="str">
        <f t="shared" si="560"/>
        <v>6330</v>
      </c>
      <c r="T3888" t="s">
        <v>3845</v>
      </c>
      <c r="U3888" t="s">
        <v>874</v>
      </c>
    </row>
    <row r="3889" spans="1:21" ht="15" customHeight="1" x14ac:dyDescent="0.3">
      <c r="A3889" t="s">
        <v>179</v>
      </c>
      <c r="B3889" t="str">
        <f>"00076003"</f>
        <v>00076003</v>
      </c>
      <c r="C3889" t="s">
        <v>4253</v>
      </c>
      <c r="H3889" t="s">
        <v>170</v>
      </c>
      <c r="I3889">
        <v>15</v>
      </c>
      <c r="J3889">
        <v>0</v>
      </c>
      <c r="K3889">
        <v>1</v>
      </c>
      <c r="L3889">
        <v>56693</v>
      </c>
      <c r="M3889" t="str">
        <f t="shared" si="556"/>
        <v>13</v>
      </c>
      <c r="N3889" t="s">
        <v>3370</v>
      </c>
      <c r="O3889" t="str">
        <f t="shared" si="559"/>
        <v>63311</v>
      </c>
      <c r="P3889" t="str">
        <f t="shared" si="558"/>
        <v>2100L</v>
      </c>
      <c r="Q3889" t="str">
        <f t="shared" si="557"/>
        <v>0101</v>
      </c>
      <c r="R3889">
        <v>2100</v>
      </c>
      <c r="S3889" t="str">
        <f t="shared" si="560"/>
        <v>6330</v>
      </c>
      <c r="T3889" t="s">
        <v>3845</v>
      </c>
      <c r="U3889" t="s">
        <v>874</v>
      </c>
    </row>
    <row r="3890" spans="1:21" ht="15" customHeight="1" x14ac:dyDescent="0.3">
      <c r="A3890" t="s">
        <v>179</v>
      </c>
      <c r="B3890" t="str">
        <f>"00076004"</f>
        <v>00076004</v>
      </c>
      <c r="C3890" t="s">
        <v>4253</v>
      </c>
      <c r="D3890" t="s">
        <v>5484</v>
      </c>
      <c r="E3890" t="str">
        <f>"00069857"</f>
        <v>00069857</v>
      </c>
      <c r="F3890">
        <v>0</v>
      </c>
      <c r="G3890" s="243">
        <v>41133</v>
      </c>
      <c r="H3890" t="s">
        <v>182</v>
      </c>
      <c r="I3890">
        <v>15</v>
      </c>
      <c r="J3890">
        <v>3</v>
      </c>
      <c r="K3890">
        <v>1</v>
      </c>
      <c r="L3890">
        <v>58699</v>
      </c>
      <c r="M3890" t="str">
        <f t="shared" si="556"/>
        <v>13</v>
      </c>
      <c r="N3890" t="s">
        <v>3370</v>
      </c>
      <c r="O3890" t="str">
        <f t="shared" si="559"/>
        <v>63311</v>
      </c>
      <c r="P3890" t="str">
        <f t="shared" si="558"/>
        <v>2100L</v>
      </c>
      <c r="Q3890" t="str">
        <f t="shared" si="557"/>
        <v>0101</v>
      </c>
      <c r="R3890">
        <v>2100</v>
      </c>
      <c r="S3890" t="str">
        <f t="shared" si="560"/>
        <v>6330</v>
      </c>
      <c r="T3890" t="s">
        <v>3845</v>
      </c>
      <c r="U3890" t="s">
        <v>874</v>
      </c>
    </row>
    <row r="3891" spans="1:21" ht="15" customHeight="1" x14ac:dyDescent="0.3">
      <c r="A3891" t="s">
        <v>179</v>
      </c>
      <c r="B3891" t="str">
        <f>"00076005"</f>
        <v>00076005</v>
      </c>
      <c r="C3891" t="s">
        <v>4253</v>
      </c>
      <c r="D3891" t="s">
        <v>4135</v>
      </c>
      <c r="E3891" t="str">
        <f>"00065942"</f>
        <v>00065942</v>
      </c>
      <c r="F3891">
        <v>0</v>
      </c>
      <c r="G3891" s="243">
        <v>40755</v>
      </c>
      <c r="H3891" t="s">
        <v>182</v>
      </c>
      <c r="I3891">
        <v>15</v>
      </c>
      <c r="J3891">
        <v>5</v>
      </c>
      <c r="K3891">
        <v>1</v>
      </c>
      <c r="L3891">
        <v>56655</v>
      </c>
      <c r="M3891" t="str">
        <f t="shared" si="556"/>
        <v>13</v>
      </c>
      <c r="N3891" t="s">
        <v>3370</v>
      </c>
      <c r="O3891" t="str">
        <f t="shared" si="559"/>
        <v>63311</v>
      </c>
      <c r="P3891" t="str">
        <f t="shared" si="558"/>
        <v>2100L</v>
      </c>
      <c r="Q3891" t="str">
        <f t="shared" si="557"/>
        <v>0101</v>
      </c>
      <c r="R3891">
        <v>2100</v>
      </c>
      <c r="S3891" t="str">
        <f t="shared" si="560"/>
        <v>6330</v>
      </c>
      <c r="T3891" t="s">
        <v>3845</v>
      </c>
      <c r="U3891" t="s">
        <v>874</v>
      </c>
    </row>
    <row r="3892" spans="1:21" ht="15" customHeight="1" x14ac:dyDescent="0.3">
      <c r="A3892" t="s">
        <v>179</v>
      </c>
      <c r="B3892" t="str">
        <f>"00076006"</f>
        <v>00076006</v>
      </c>
      <c r="C3892" t="s">
        <v>4438</v>
      </c>
      <c r="D3892" t="s">
        <v>5485</v>
      </c>
      <c r="E3892" t="str">
        <f>"00063254"</f>
        <v>00063254</v>
      </c>
      <c r="F3892">
        <v>0</v>
      </c>
      <c r="G3892" s="243">
        <v>40428</v>
      </c>
      <c r="H3892" t="s">
        <v>182</v>
      </c>
      <c r="I3892">
        <v>11</v>
      </c>
      <c r="J3892">
        <v>4</v>
      </c>
      <c r="K3892">
        <v>1</v>
      </c>
      <c r="L3892">
        <v>66864</v>
      </c>
      <c r="M3892" t="str">
        <f t="shared" si="556"/>
        <v>13</v>
      </c>
      <c r="N3892" t="s">
        <v>3370</v>
      </c>
      <c r="O3892" t="str">
        <f t="shared" si="559"/>
        <v>63311</v>
      </c>
      <c r="P3892" t="str">
        <f t="shared" si="558"/>
        <v>2100L</v>
      </c>
      <c r="Q3892" t="str">
        <f t="shared" si="557"/>
        <v>0101</v>
      </c>
      <c r="R3892">
        <v>2100</v>
      </c>
      <c r="S3892" t="str">
        <f t="shared" si="560"/>
        <v>6330</v>
      </c>
      <c r="T3892" t="s">
        <v>3845</v>
      </c>
      <c r="U3892" t="s">
        <v>874</v>
      </c>
    </row>
    <row r="3893" spans="1:21" ht="15" customHeight="1" x14ac:dyDescent="0.3">
      <c r="A3893" t="s">
        <v>179</v>
      </c>
      <c r="B3893" t="str">
        <f>"00076007"</f>
        <v>00076007</v>
      </c>
      <c r="C3893" t="s">
        <v>4395</v>
      </c>
      <c r="D3893" t="s">
        <v>5486</v>
      </c>
      <c r="E3893" t="str">
        <f>"00069977"</f>
        <v>00069977</v>
      </c>
      <c r="F3893">
        <v>0</v>
      </c>
      <c r="G3893" s="243">
        <v>41133</v>
      </c>
      <c r="H3893" t="s">
        <v>182</v>
      </c>
      <c r="I3893">
        <v>10</v>
      </c>
      <c r="J3893">
        <v>5</v>
      </c>
      <c r="K3893">
        <v>1</v>
      </c>
      <c r="L3893">
        <v>72387</v>
      </c>
      <c r="M3893" t="str">
        <f t="shared" si="556"/>
        <v>13</v>
      </c>
      <c r="N3893" t="s">
        <v>3370</v>
      </c>
      <c r="O3893" t="str">
        <f t="shared" si="559"/>
        <v>63311</v>
      </c>
      <c r="P3893" t="str">
        <f t="shared" si="558"/>
        <v>2100L</v>
      </c>
      <c r="Q3893" t="str">
        <f t="shared" si="557"/>
        <v>0101</v>
      </c>
      <c r="R3893">
        <v>2100</v>
      </c>
      <c r="S3893" t="str">
        <f t="shared" si="560"/>
        <v>6330</v>
      </c>
      <c r="T3893" t="s">
        <v>3845</v>
      </c>
      <c r="U3893" t="s">
        <v>874</v>
      </c>
    </row>
    <row r="3894" spans="1:21" ht="15" customHeight="1" x14ac:dyDescent="0.3">
      <c r="A3894" t="s">
        <v>179</v>
      </c>
      <c r="B3894" t="str">
        <f>"00076008"</f>
        <v>00076008</v>
      </c>
      <c r="C3894" t="s">
        <v>4253</v>
      </c>
      <c r="D3894" t="s">
        <v>2503</v>
      </c>
      <c r="E3894" t="str">
        <f>"00049284"</f>
        <v>00049284</v>
      </c>
      <c r="F3894">
        <v>0</v>
      </c>
      <c r="G3894" s="243">
        <v>36390</v>
      </c>
      <c r="H3894" t="s">
        <v>182</v>
      </c>
      <c r="I3894">
        <v>15</v>
      </c>
      <c r="J3894">
        <v>12</v>
      </c>
      <c r="K3894">
        <v>1</v>
      </c>
      <c r="L3894">
        <v>87431</v>
      </c>
      <c r="M3894" t="str">
        <f t="shared" si="556"/>
        <v>13</v>
      </c>
      <c r="N3894" t="s">
        <v>3370</v>
      </c>
      <c r="O3894" t="str">
        <f t="shared" si="559"/>
        <v>63311</v>
      </c>
      <c r="P3894" t="str">
        <f t="shared" si="558"/>
        <v>2100L</v>
      </c>
      <c r="Q3894" t="str">
        <f t="shared" si="557"/>
        <v>0101</v>
      </c>
      <c r="R3894">
        <v>2100</v>
      </c>
      <c r="S3894" t="str">
        <f t="shared" si="560"/>
        <v>6330</v>
      </c>
      <c r="T3894" t="s">
        <v>3845</v>
      </c>
      <c r="U3894" t="s">
        <v>874</v>
      </c>
    </row>
    <row r="3895" spans="1:21" ht="15" customHeight="1" x14ac:dyDescent="0.3">
      <c r="A3895" t="s">
        <v>179</v>
      </c>
      <c r="B3895" t="str">
        <f>"00076009"</f>
        <v>00076009</v>
      </c>
      <c r="C3895" t="s">
        <v>4259</v>
      </c>
      <c r="D3895" t="s">
        <v>5487</v>
      </c>
      <c r="E3895" t="str">
        <f>"00069599"</f>
        <v>00069599</v>
      </c>
      <c r="F3895">
        <v>0</v>
      </c>
      <c r="G3895" s="243">
        <v>41133</v>
      </c>
      <c r="H3895" t="s">
        <v>182</v>
      </c>
      <c r="I3895">
        <v>15</v>
      </c>
      <c r="J3895">
        <v>10</v>
      </c>
      <c r="K3895">
        <v>1</v>
      </c>
      <c r="L3895">
        <v>78273</v>
      </c>
      <c r="M3895" t="str">
        <f t="shared" si="556"/>
        <v>13</v>
      </c>
      <c r="N3895" t="s">
        <v>3370</v>
      </c>
      <c r="O3895" t="str">
        <f t="shared" si="559"/>
        <v>63311</v>
      </c>
      <c r="P3895" t="str">
        <f t="shared" si="558"/>
        <v>2100L</v>
      </c>
      <c r="Q3895" t="str">
        <f t="shared" si="557"/>
        <v>0101</v>
      </c>
      <c r="R3895">
        <v>2100</v>
      </c>
      <c r="S3895" t="str">
        <f t="shared" si="560"/>
        <v>6330</v>
      </c>
      <c r="T3895" t="s">
        <v>3845</v>
      </c>
      <c r="U3895" t="s">
        <v>874</v>
      </c>
    </row>
    <row r="3896" spans="1:21" ht="15" customHeight="1" x14ac:dyDescent="0.3">
      <c r="A3896" t="s">
        <v>179</v>
      </c>
      <c r="B3896" t="str">
        <f>"00076010"</f>
        <v>00076010</v>
      </c>
      <c r="C3896" t="s">
        <v>4253</v>
      </c>
      <c r="D3896" t="s">
        <v>5488</v>
      </c>
      <c r="E3896" t="str">
        <f>"00069579"</f>
        <v>00069579</v>
      </c>
      <c r="F3896">
        <v>0</v>
      </c>
      <c r="G3896" s="243">
        <v>41133</v>
      </c>
      <c r="H3896" t="s">
        <v>182</v>
      </c>
      <c r="I3896">
        <v>15</v>
      </c>
      <c r="J3896">
        <v>2</v>
      </c>
      <c r="K3896">
        <v>1</v>
      </c>
      <c r="L3896">
        <v>56242</v>
      </c>
      <c r="M3896" t="str">
        <f t="shared" si="556"/>
        <v>13</v>
      </c>
      <c r="N3896" t="s">
        <v>3370</v>
      </c>
      <c r="O3896" t="str">
        <f t="shared" si="559"/>
        <v>63311</v>
      </c>
      <c r="P3896" t="str">
        <f t="shared" si="558"/>
        <v>2100L</v>
      </c>
      <c r="Q3896" t="str">
        <f t="shared" si="557"/>
        <v>0101</v>
      </c>
      <c r="R3896">
        <v>2100</v>
      </c>
      <c r="S3896" t="str">
        <f t="shared" si="560"/>
        <v>6330</v>
      </c>
      <c r="T3896" t="s">
        <v>3845</v>
      </c>
      <c r="U3896" t="s">
        <v>874</v>
      </c>
    </row>
    <row r="3897" spans="1:21" ht="15" customHeight="1" x14ac:dyDescent="0.3">
      <c r="A3897" t="s">
        <v>179</v>
      </c>
      <c r="B3897" t="str">
        <f>"00076853"</f>
        <v>00076853</v>
      </c>
      <c r="C3897" t="s">
        <v>4293</v>
      </c>
      <c r="H3897" t="s">
        <v>170</v>
      </c>
      <c r="I3897">
        <v>15</v>
      </c>
      <c r="J3897">
        <v>0</v>
      </c>
      <c r="K3897">
        <v>0.5</v>
      </c>
      <c r="L3897">
        <v>60128</v>
      </c>
      <c r="M3897" t="str">
        <f t="shared" si="556"/>
        <v>13</v>
      </c>
      <c r="N3897" t="s">
        <v>3370</v>
      </c>
      <c r="O3897" t="str">
        <f t="shared" si="559"/>
        <v>63311</v>
      </c>
      <c r="P3897" t="str">
        <f t="shared" si="558"/>
        <v>2100L</v>
      </c>
      <c r="Q3897" t="str">
        <f t="shared" si="557"/>
        <v>0101</v>
      </c>
      <c r="R3897">
        <v>2100</v>
      </c>
      <c r="S3897" t="str">
        <f t="shared" si="560"/>
        <v>6330</v>
      </c>
      <c r="T3897" t="s">
        <v>3845</v>
      </c>
      <c r="U3897" t="s">
        <v>874</v>
      </c>
    </row>
    <row r="3898" spans="1:21" ht="15" customHeight="1" x14ac:dyDescent="0.3">
      <c r="A3898" t="s">
        <v>179</v>
      </c>
      <c r="B3898" t="str">
        <f>"00077081"</f>
        <v>00077081</v>
      </c>
      <c r="C3898" t="s">
        <v>212</v>
      </c>
      <c r="D3898" t="s">
        <v>5489</v>
      </c>
      <c r="E3898" t="str">
        <f>"00070528"</f>
        <v>00070528</v>
      </c>
      <c r="F3898">
        <v>0</v>
      </c>
      <c r="G3898" s="243">
        <v>41183</v>
      </c>
      <c r="H3898" t="s">
        <v>182</v>
      </c>
      <c r="I3898">
        <v>15</v>
      </c>
      <c r="J3898">
        <v>10</v>
      </c>
      <c r="K3898">
        <v>1</v>
      </c>
      <c r="L3898">
        <v>68431</v>
      </c>
      <c r="M3898" t="str">
        <f t="shared" si="556"/>
        <v>13</v>
      </c>
      <c r="N3898" t="s">
        <v>3370</v>
      </c>
      <c r="O3898" t="str">
        <f t="shared" si="559"/>
        <v>63311</v>
      </c>
      <c r="P3898" t="str">
        <f t="shared" si="558"/>
        <v>2100L</v>
      </c>
      <c r="Q3898" t="str">
        <f t="shared" si="557"/>
        <v>0101</v>
      </c>
      <c r="R3898">
        <v>2100</v>
      </c>
      <c r="S3898" t="str">
        <f t="shared" si="560"/>
        <v>6330</v>
      </c>
      <c r="T3898" t="s">
        <v>3845</v>
      </c>
      <c r="U3898" t="s">
        <v>874</v>
      </c>
    </row>
    <row r="3899" spans="1:21" ht="15" customHeight="1" x14ac:dyDescent="0.3">
      <c r="A3899" t="s">
        <v>179</v>
      </c>
      <c r="B3899" t="str">
        <f>"00051679"</f>
        <v>00051679</v>
      </c>
      <c r="C3899" t="s">
        <v>4260</v>
      </c>
      <c r="D3899" t="s">
        <v>3893</v>
      </c>
      <c r="E3899" t="str">
        <f>"00065294"</f>
        <v>00065294</v>
      </c>
      <c r="F3899">
        <v>0</v>
      </c>
      <c r="G3899" s="243">
        <v>40705</v>
      </c>
      <c r="H3899" t="s">
        <v>182</v>
      </c>
      <c r="I3899">
        <v>15</v>
      </c>
      <c r="J3899">
        <v>11</v>
      </c>
      <c r="K3899">
        <v>1</v>
      </c>
      <c r="L3899">
        <v>81335</v>
      </c>
      <c r="M3899" t="str">
        <f t="shared" si="556"/>
        <v>13</v>
      </c>
      <c r="N3899" t="s">
        <v>3323</v>
      </c>
      <c r="O3899" t="str">
        <f t="shared" ref="O3899:O3927" si="561">"63411"</f>
        <v>63411</v>
      </c>
      <c r="P3899" t="str">
        <f>"3030L"</f>
        <v>3030L</v>
      </c>
      <c r="Q3899" t="str">
        <f t="shared" si="557"/>
        <v>0101</v>
      </c>
      <c r="R3899">
        <v>3030</v>
      </c>
      <c r="S3899" t="str">
        <f t="shared" ref="S3899:S3927" si="562">"6340"</f>
        <v>6340</v>
      </c>
      <c r="T3899" t="s">
        <v>3857</v>
      </c>
      <c r="U3899" t="s">
        <v>998</v>
      </c>
    </row>
    <row r="3900" spans="1:21" ht="15" customHeight="1" x14ac:dyDescent="0.3">
      <c r="A3900" t="s">
        <v>179</v>
      </c>
      <c r="B3900" t="str">
        <f>"00051900"</f>
        <v>00051900</v>
      </c>
      <c r="C3900" t="s">
        <v>3670</v>
      </c>
      <c r="D3900" t="s">
        <v>1013</v>
      </c>
      <c r="E3900" t="str">
        <f>"00049710"</f>
        <v>00049710</v>
      </c>
      <c r="F3900">
        <v>0</v>
      </c>
      <c r="G3900" s="243">
        <v>39679</v>
      </c>
      <c r="H3900" t="s">
        <v>182</v>
      </c>
      <c r="I3900">
        <v>8</v>
      </c>
      <c r="J3900">
        <v>5</v>
      </c>
      <c r="K3900">
        <v>1</v>
      </c>
      <c r="L3900">
        <v>92198</v>
      </c>
      <c r="M3900" t="str">
        <f t="shared" si="556"/>
        <v>13</v>
      </c>
      <c r="N3900" t="s">
        <v>3323</v>
      </c>
      <c r="O3900" t="str">
        <f t="shared" si="561"/>
        <v>63411</v>
      </c>
      <c r="P3900" t="str">
        <f>"1501L"</f>
        <v>1501L</v>
      </c>
      <c r="Q3900" t="str">
        <f t="shared" si="557"/>
        <v>0101</v>
      </c>
      <c r="R3900">
        <v>1501</v>
      </c>
      <c r="S3900" t="str">
        <f t="shared" si="562"/>
        <v>6340</v>
      </c>
      <c r="T3900" t="s">
        <v>3857</v>
      </c>
      <c r="U3900" t="s">
        <v>998</v>
      </c>
    </row>
    <row r="3901" spans="1:21" ht="15" customHeight="1" x14ac:dyDescent="0.3">
      <c r="A3901" t="s">
        <v>179</v>
      </c>
      <c r="B3901" t="str">
        <f>"00052284"</f>
        <v>00052284</v>
      </c>
      <c r="C3901" t="s">
        <v>4260</v>
      </c>
      <c r="D3901" t="s">
        <v>999</v>
      </c>
      <c r="E3901" t="str">
        <f>"00047919"</f>
        <v>00047919</v>
      </c>
      <c r="F3901">
        <v>0</v>
      </c>
      <c r="G3901" s="243">
        <v>31876</v>
      </c>
      <c r="H3901" t="s">
        <v>182</v>
      </c>
      <c r="I3901">
        <v>15</v>
      </c>
      <c r="J3901">
        <v>16</v>
      </c>
      <c r="K3901">
        <v>1</v>
      </c>
      <c r="L3901">
        <v>100839</v>
      </c>
      <c r="M3901" t="str">
        <f t="shared" si="556"/>
        <v>13</v>
      </c>
      <c r="N3901" t="s">
        <v>3323</v>
      </c>
      <c r="O3901" t="str">
        <f t="shared" si="561"/>
        <v>63411</v>
      </c>
      <c r="P3901" t="str">
        <f>"2100L"</f>
        <v>2100L</v>
      </c>
      <c r="Q3901" t="str">
        <f t="shared" si="557"/>
        <v>0101</v>
      </c>
      <c r="R3901">
        <v>2100</v>
      </c>
      <c r="S3901" t="str">
        <f t="shared" si="562"/>
        <v>6340</v>
      </c>
      <c r="T3901" t="s">
        <v>3857</v>
      </c>
      <c r="U3901" t="s">
        <v>998</v>
      </c>
    </row>
    <row r="3902" spans="1:21" ht="15" customHeight="1" x14ac:dyDescent="0.3">
      <c r="A3902" t="s">
        <v>179</v>
      </c>
      <c r="B3902" t="str">
        <f>"00052423"</f>
        <v>00052423</v>
      </c>
      <c r="C3902" t="s">
        <v>4260</v>
      </c>
      <c r="D3902" t="s">
        <v>1000</v>
      </c>
      <c r="E3902" t="str">
        <f>"00048220"</f>
        <v>00048220</v>
      </c>
      <c r="F3902">
        <v>0</v>
      </c>
      <c r="G3902" s="243">
        <v>32021</v>
      </c>
      <c r="H3902" t="s">
        <v>182</v>
      </c>
      <c r="I3902">
        <v>15</v>
      </c>
      <c r="J3902">
        <v>16</v>
      </c>
      <c r="K3902">
        <v>1</v>
      </c>
      <c r="L3902">
        <v>103347</v>
      </c>
      <c r="M3902" t="str">
        <f t="shared" si="556"/>
        <v>13</v>
      </c>
      <c r="N3902" t="s">
        <v>3323</v>
      </c>
      <c r="O3902" t="str">
        <f t="shared" si="561"/>
        <v>63411</v>
      </c>
      <c r="P3902" t="str">
        <f>"2100L"</f>
        <v>2100L</v>
      </c>
      <c r="Q3902" t="str">
        <f t="shared" si="557"/>
        <v>0101</v>
      </c>
      <c r="R3902">
        <v>2100</v>
      </c>
      <c r="S3902" t="str">
        <f t="shared" si="562"/>
        <v>6340</v>
      </c>
      <c r="T3902" t="s">
        <v>3857</v>
      </c>
      <c r="U3902" t="s">
        <v>998</v>
      </c>
    </row>
    <row r="3903" spans="1:21" ht="15" customHeight="1" x14ac:dyDescent="0.3">
      <c r="A3903" t="s">
        <v>179</v>
      </c>
      <c r="B3903" t="str">
        <f>"00052645"</f>
        <v>00052645</v>
      </c>
      <c r="C3903" t="s">
        <v>4253</v>
      </c>
      <c r="D3903" t="s">
        <v>1001</v>
      </c>
      <c r="E3903" t="str">
        <f>"00048771"</f>
        <v>00048771</v>
      </c>
      <c r="F3903">
        <v>0</v>
      </c>
      <c r="G3903" s="243">
        <v>32050</v>
      </c>
      <c r="H3903" t="s">
        <v>182</v>
      </c>
      <c r="I3903">
        <v>15</v>
      </c>
      <c r="J3903">
        <v>16</v>
      </c>
      <c r="K3903">
        <v>1</v>
      </c>
      <c r="L3903">
        <v>103347</v>
      </c>
      <c r="M3903" t="str">
        <f t="shared" si="556"/>
        <v>13</v>
      </c>
      <c r="N3903" t="s">
        <v>3323</v>
      </c>
      <c r="O3903" t="str">
        <f t="shared" si="561"/>
        <v>63411</v>
      </c>
      <c r="P3903" t="str">
        <f>"2100L"</f>
        <v>2100L</v>
      </c>
      <c r="Q3903" t="str">
        <f t="shared" si="557"/>
        <v>0101</v>
      </c>
      <c r="R3903">
        <v>2100</v>
      </c>
      <c r="S3903" t="str">
        <f t="shared" si="562"/>
        <v>6340</v>
      </c>
      <c r="T3903" t="s">
        <v>3857</v>
      </c>
      <c r="U3903" t="s">
        <v>998</v>
      </c>
    </row>
    <row r="3904" spans="1:21" ht="15" customHeight="1" x14ac:dyDescent="0.3">
      <c r="A3904" t="s">
        <v>179</v>
      </c>
      <c r="B3904" t="str">
        <f>"00052808"</f>
        <v>00052808</v>
      </c>
      <c r="C3904" t="s">
        <v>4260</v>
      </c>
      <c r="D3904" t="s">
        <v>3894</v>
      </c>
      <c r="E3904" t="str">
        <f>"00064203"</f>
        <v>00064203</v>
      </c>
      <c r="F3904">
        <v>0</v>
      </c>
      <c r="G3904" s="243">
        <v>40490</v>
      </c>
      <c r="H3904" t="s">
        <v>182</v>
      </c>
      <c r="I3904">
        <v>15</v>
      </c>
      <c r="J3904">
        <v>7</v>
      </c>
      <c r="K3904">
        <v>1</v>
      </c>
      <c r="L3904">
        <v>69132</v>
      </c>
      <c r="M3904" t="str">
        <f t="shared" si="556"/>
        <v>13</v>
      </c>
      <c r="N3904" t="s">
        <v>3323</v>
      </c>
      <c r="O3904" t="str">
        <f t="shared" si="561"/>
        <v>63411</v>
      </c>
      <c r="P3904" t="str">
        <f>"3030L"</f>
        <v>3030L</v>
      </c>
      <c r="Q3904" t="str">
        <f t="shared" si="557"/>
        <v>0101</v>
      </c>
      <c r="R3904">
        <v>3030</v>
      </c>
      <c r="S3904" t="str">
        <f t="shared" si="562"/>
        <v>6340</v>
      </c>
      <c r="T3904" t="s">
        <v>3857</v>
      </c>
      <c r="U3904" t="s">
        <v>998</v>
      </c>
    </row>
    <row r="3905" spans="1:21" ht="15" customHeight="1" x14ac:dyDescent="0.3">
      <c r="A3905" t="s">
        <v>179</v>
      </c>
      <c r="B3905" t="str">
        <f>"00054241"</f>
        <v>00054241</v>
      </c>
      <c r="C3905" t="s">
        <v>3798</v>
      </c>
      <c r="D3905" t="s">
        <v>813</v>
      </c>
      <c r="E3905" t="str">
        <f>"00050437"</f>
        <v>00050437</v>
      </c>
      <c r="F3905">
        <v>0</v>
      </c>
      <c r="G3905" s="243">
        <v>40043</v>
      </c>
      <c r="H3905" t="s">
        <v>182</v>
      </c>
      <c r="I3905">
        <v>63</v>
      </c>
      <c r="J3905">
        <v>2</v>
      </c>
      <c r="K3905">
        <v>1</v>
      </c>
      <c r="L3905">
        <v>111000</v>
      </c>
      <c r="M3905" t="str">
        <f t="shared" si="556"/>
        <v>13</v>
      </c>
      <c r="N3905" t="s">
        <v>3323</v>
      </c>
      <c r="O3905" t="str">
        <f t="shared" si="561"/>
        <v>63411</v>
      </c>
      <c r="P3905" t="str">
        <f>"1501L"</f>
        <v>1501L</v>
      </c>
      <c r="Q3905" t="str">
        <f t="shared" si="557"/>
        <v>0101</v>
      </c>
      <c r="R3905">
        <v>1501</v>
      </c>
      <c r="S3905" t="str">
        <f t="shared" si="562"/>
        <v>6340</v>
      </c>
      <c r="T3905" t="s">
        <v>3857</v>
      </c>
      <c r="U3905" t="s">
        <v>998</v>
      </c>
    </row>
    <row r="3906" spans="1:21" ht="15" customHeight="1" x14ac:dyDescent="0.3">
      <c r="A3906" t="s">
        <v>179</v>
      </c>
      <c r="B3906" t="str">
        <f>"00055295"</f>
        <v>00055295</v>
      </c>
      <c r="C3906" t="s">
        <v>4260</v>
      </c>
      <c r="D3906" t="s">
        <v>3892</v>
      </c>
      <c r="E3906" t="str">
        <f>"00066422"</f>
        <v>00066422</v>
      </c>
      <c r="F3906">
        <v>0</v>
      </c>
      <c r="G3906" s="243">
        <v>40755</v>
      </c>
      <c r="H3906" t="s">
        <v>182</v>
      </c>
      <c r="I3906">
        <v>15</v>
      </c>
      <c r="J3906">
        <v>2</v>
      </c>
      <c r="K3906">
        <v>1</v>
      </c>
      <c r="L3906">
        <v>51716</v>
      </c>
      <c r="M3906" t="str">
        <f t="shared" si="556"/>
        <v>13</v>
      </c>
      <c r="N3906" t="s">
        <v>3323</v>
      </c>
      <c r="O3906" t="str">
        <f t="shared" si="561"/>
        <v>63411</v>
      </c>
      <c r="P3906" t="str">
        <f>"3030L"</f>
        <v>3030L</v>
      </c>
      <c r="Q3906" t="str">
        <f t="shared" si="557"/>
        <v>0101</v>
      </c>
      <c r="R3906">
        <v>3030</v>
      </c>
      <c r="S3906" t="str">
        <f t="shared" si="562"/>
        <v>6340</v>
      </c>
      <c r="T3906" t="s">
        <v>3857</v>
      </c>
      <c r="U3906" t="s">
        <v>998</v>
      </c>
    </row>
    <row r="3907" spans="1:21" ht="15" customHeight="1" x14ac:dyDescent="0.3">
      <c r="A3907" t="s">
        <v>179</v>
      </c>
      <c r="B3907" t="str">
        <f>"00057414"</f>
        <v>00057414</v>
      </c>
      <c r="C3907" t="s">
        <v>4253</v>
      </c>
      <c r="D3907" t="s">
        <v>3896</v>
      </c>
      <c r="E3907" t="str">
        <f>"00065864"</f>
        <v>00065864</v>
      </c>
      <c r="F3907">
        <v>0</v>
      </c>
      <c r="G3907" s="243">
        <v>40755</v>
      </c>
      <c r="H3907" t="s">
        <v>182</v>
      </c>
      <c r="I3907">
        <v>15</v>
      </c>
      <c r="J3907">
        <v>1</v>
      </c>
      <c r="K3907">
        <v>1</v>
      </c>
      <c r="L3907">
        <v>54975</v>
      </c>
      <c r="M3907" t="str">
        <f t="shared" si="556"/>
        <v>13</v>
      </c>
      <c r="N3907" t="s">
        <v>3323</v>
      </c>
      <c r="O3907" t="str">
        <f t="shared" si="561"/>
        <v>63411</v>
      </c>
      <c r="P3907" t="str">
        <f>"2100L"</f>
        <v>2100L</v>
      </c>
      <c r="Q3907" t="str">
        <f t="shared" si="557"/>
        <v>0101</v>
      </c>
      <c r="R3907">
        <v>2100</v>
      </c>
      <c r="S3907" t="str">
        <f t="shared" si="562"/>
        <v>6340</v>
      </c>
      <c r="T3907" t="s">
        <v>3857</v>
      </c>
      <c r="U3907" t="s">
        <v>998</v>
      </c>
    </row>
    <row r="3908" spans="1:21" ht="15" customHeight="1" x14ac:dyDescent="0.3">
      <c r="A3908" t="s">
        <v>179</v>
      </c>
      <c r="B3908" t="str">
        <f>"00058006"</f>
        <v>00058006</v>
      </c>
      <c r="C3908" t="s">
        <v>4262</v>
      </c>
      <c r="D3908" t="s">
        <v>1002</v>
      </c>
      <c r="E3908" t="str">
        <f>"00063045"</f>
        <v>00063045</v>
      </c>
      <c r="F3908">
        <v>0</v>
      </c>
      <c r="G3908" s="243">
        <v>40406</v>
      </c>
      <c r="H3908" t="s">
        <v>182</v>
      </c>
      <c r="I3908">
        <v>15</v>
      </c>
      <c r="J3908">
        <v>7</v>
      </c>
      <c r="K3908">
        <v>1</v>
      </c>
      <c r="L3908">
        <v>69132</v>
      </c>
      <c r="M3908" t="str">
        <f t="shared" si="556"/>
        <v>13</v>
      </c>
      <c r="N3908" t="s">
        <v>3323</v>
      </c>
      <c r="O3908" t="str">
        <f t="shared" si="561"/>
        <v>63411</v>
      </c>
      <c r="P3908" t="str">
        <f>"2100L"</f>
        <v>2100L</v>
      </c>
      <c r="Q3908" t="str">
        <f t="shared" si="557"/>
        <v>0101</v>
      </c>
      <c r="R3908">
        <v>2100</v>
      </c>
      <c r="S3908" t="str">
        <f t="shared" si="562"/>
        <v>6340</v>
      </c>
      <c r="T3908" t="s">
        <v>3857</v>
      </c>
      <c r="U3908" t="s">
        <v>998</v>
      </c>
    </row>
    <row r="3909" spans="1:21" ht="15" customHeight="1" x14ac:dyDescent="0.3">
      <c r="A3909" t="s">
        <v>179</v>
      </c>
      <c r="B3909" t="str">
        <f>"00058419"</f>
        <v>00058419</v>
      </c>
      <c r="C3909" t="s">
        <v>4614</v>
      </c>
      <c r="D3909" t="s">
        <v>1004</v>
      </c>
      <c r="E3909" t="str">
        <f>"00051702"</f>
        <v>00051702</v>
      </c>
      <c r="F3909">
        <v>0</v>
      </c>
      <c r="G3909" s="243">
        <v>38951</v>
      </c>
      <c r="H3909" t="s">
        <v>182</v>
      </c>
      <c r="I3909">
        <v>7</v>
      </c>
      <c r="J3909">
        <v>7</v>
      </c>
      <c r="K3909">
        <v>1</v>
      </c>
      <c r="L3909">
        <v>41514</v>
      </c>
      <c r="M3909" t="str">
        <f t="shared" si="556"/>
        <v>13</v>
      </c>
      <c r="N3909" t="s">
        <v>3323</v>
      </c>
      <c r="O3909" t="str">
        <f t="shared" si="561"/>
        <v>63411</v>
      </c>
      <c r="P3909" t="str">
        <f>"1502L"</f>
        <v>1502L</v>
      </c>
      <c r="Q3909" t="str">
        <f t="shared" si="557"/>
        <v>0101</v>
      </c>
      <c r="R3909">
        <v>1502</v>
      </c>
      <c r="S3909" t="str">
        <f t="shared" si="562"/>
        <v>6340</v>
      </c>
      <c r="T3909" t="s">
        <v>3857</v>
      </c>
      <c r="U3909" t="s">
        <v>998</v>
      </c>
    </row>
    <row r="3910" spans="1:21" ht="15" customHeight="1" x14ac:dyDescent="0.3">
      <c r="A3910" t="s">
        <v>179</v>
      </c>
      <c r="B3910" t="str">
        <f>"00058454"</f>
        <v>00058454</v>
      </c>
      <c r="C3910" t="s">
        <v>4262</v>
      </c>
      <c r="D3910" t="s">
        <v>1005</v>
      </c>
      <c r="E3910" t="str">
        <f>"00062843"</f>
        <v>00062843</v>
      </c>
      <c r="F3910">
        <v>0</v>
      </c>
      <c r="G3910" s="243">
        <v>40406</v>
      </c>
      <c r="H3910" t="s">
        <v>182</v>
      </c>
      <c r="I3910">
        <v>15</v>
      </c>
      <c r="J3910">
        <v>2</v>
      </c>
      <c r="K3910">
        <v>1</v>
      </c>
      <c r="L3910">
        <v>51716</v>
      </c>
      <c r="M3910" t="str">
        <f t="shared" si="556"/>
        <v>13</v>
      </c>
      <c r="N3910" t="s">
        <v>3323</v>
      </c>
      <c r="O3910" t="str">
        <f t="shared" si="561"/>
        <v>63411</v>
      </c>
      <c r="P3910" t="str">
        <f>"2100L"</f>
        <v>2100L</v>
      </c>
      <c r="Q3910" t="str">
        <f t="shared" si="557"/>
        <v>0101</v>
      </c>
      <c r="R3910">
        <v>2100</v>
      </c>
      <c r="S3910" t="str">
        <f t="shared" si="562"/>
        <v>6340</v>
      </c>
      <c r="T3910" t="s">
        <v>3857</v>
      </c>
      <c r="U3910" t="s">
        <v>998</v>
      </c>
    </row>
    <row r="3911" spans="1:21" ht="15" customHeight="1" x14ac:dyDescent="0.3">
      <c r="A3911" t="s">
        <v>179</v>
      </c>
      <c r="B3911" t="str">
        <f>"00061059"</f>
        <v>00061059</v>
      </c>
      <c r="C3911" t="s">
        <v>4260</v>
      </c>
      <c r="D3911" t="s">
        <v>5490</v>
      </c>
      <c r="E3911" t="str">
        <f>"00069756"</f>
        <v>00069756</v>
      </c>
      <c r="F3911">
        <v>0</v>
      </c>
      <c r="G3911" s="243">
        <v>41133</v>
      </c>
      <c r="H3911" t="s">
        <v>182</v>
      </c>
      <c r="I3911">
        <v>15</v>
      </c>
      <c r="J3911">
        <v>3</v>
      </c>
      <c r="K3911">
        <v>1</v>
      </c>
      <c r="L3911">
        <v>58699</v>
      </c>
      <c r="M3911" t="str">
        <f t="shared" si="556"/>
        <v>13</v>
      </c>
      <c r="N3911" t="s">
        <v>3370</v>
      </c>
      <c r="O3911" t="str">
        <f t="shared" si="561"/>
        <v>63411</v>
      </c>
      <c r="P3911" t="str">
        <f>"3030L"</f>
        <v>3030L</v>
      </c>
      <c r="Q3911" t="str">
        <f t="shared" si="557"/>
        <v>0101</v>
      </c>
      <c r="R3911">
        <v>3030</v>
      </c>
      <c r="S3911" t="str">
        <f t="shared" si="562"/>
        <v>6340</v>
      </c>
      <c r="T3911" t="s">
        <v>3857</v>
      </c>
      <c r="U3911" t="s">
        <v>998</v>
      </c>
    </row>
    <row r="3912" spans="1:21" ht="15" customHeight="1" x14ac:dyDescent="0.3">
      <c r="A3912" t="s">
        <v>179</v>
      </c>
      <c r="B3912" t="str">
        <f>"00061154"</f>
        <v>00061154</v>
      </c>
      <c r="C3912" t="s">
        <v>4290</v>
      </c>
      <c r="D3912" t="s">
        <v>5491</v>
      </c>
      <c r="E3912" t="str">
        <f>"00054254"</f>
        <v>00054254</v>
      </c>
      <c r="F3912">
        <v>0</v>
      </c>
      <c r="G3912" s="243">
        <v>38911</v>
      </c>
      <c r="H3912" t="s">
        <v>182</v>
      </c>
      <c r="I3912">
        <v>4</v>
      </c>
      <c r="J3912">
        <v>5</v>
      </c>
      <c r="K3912">
        <v>0.875</v>
      </c>
      <c r="L3912">
        <v>25239.37</v>
      </c>
      <c r="M3912" t="str">
        <f t="shared" si="556"/>
        <v>13</v>
      </c>
      <c r="N3912" t="s">
        <v>3323</v>
      </c>
      <c r="O3912" t="str">
        <f t="shared" si="561"/>
        <v>63411</v>
      </c>
      <c r="P3912" t="str">
        <f>"3030L"</f>
        <v>3030L</v>
      </c>
      <c r="Q3912" t="str">
        <f t="shared" si="557"/>
        <v>0101</v>
      </c>
      <c r="R3912">
        <v>3030</v>
      </c>
      <c r="S3912" t="str">
        <f t="shared" si="562"/>
        <v>6340</v>
      </c>
      <c r="T3912" t="s">
        <v>3857</v>
      </c>
      <c r="U3912" t="s">
        <v>998</v>
      </c>
    </row>
    <row r="3913" spans="1:21" ht="15" customHeight="1" x14ac:dyDescent="0.3">
      <c r="A3913" t="s">
        <v>179</v>
      </c>
      <c r="B3913" t="str">
        <f>"00061161"</f>
        <v>00061161</v>
      </c>
      <c r="C3913" t="s">
        <v>4255</v>
      </c>
      <c r="D3913" t="s">
        <v>1007</v>
      </c>
      <c r="E3913" t="str">
        <f>"00051861"</f>
        <v>00051861</v>
      </c>
      <c r="F3913">
        <v>0</v>
      </c>
      <c r="G3913" s="243">
        <v>39314</v>
      </c>
      <c r="H3913" t="s">
        <v>182</v>
      </c>
      <c r="I3913">
        <v>15</v>
      </c>
      <c r="J3913">
        <v>12</v>
      </c>
      <c r="K3913">
        <v>1</v>
      </c>
      <c r="L3913">
        <v>89887</v>
      </c>
      <c r="M3913" t="str">
        <f t="shared" si="556"/>
        <v>13</v>
      </c>
      <c r="N3913" t="s">
        <v>3323</v>
      </c>
      <c r="O3913" t="str">
        <f t="shared" si="561"/>
        <v>63411</v>
      </c>
      <c r="P3913" t="str">
        <f>"2100L"</f>
        <v>2100L</v>
      </c>
      <c r="Q3913" t="str">
        <f t="shared" si="557"/>
        <v>0101</v>
      </c>
      <c r="R3913">
        <v>2100</v>
      </c>
      <c r="S3913" t="str">
        <f t="shared" si="562"/>
        <v>6340</v>
      </c>
      <c r="T3913" t="s">
        <v>3857</v>
      </c>
      <c r="U3913" t="s">
        <v>998</v>
      </c>
    </row>
    <row r="3914" spans="1:21" ht="15" customHeight="1" x14ac:dyDescent="0.3">
      <c r="A3914" t="s">
        <v>179</v>
      </c>
      <c r="B3914" t="str">
        <f>"00061768"</f>
        <v>00061768</v>
      </c>
      <c r="C3914" t="s">
        <v>4306</v>
      </c>
      <c r="H3914" t="s">
        <v>170</v>
      </c>
      <c r="I3914">
        <v>9</v>
      </c>
      <c r="J3914">
        <v>1</v>
      </c>
      <c r="K3914">
        <v>1</v>
      </c>
      <c r="L3914">
        <v>33163</v>
      </c>
      <c r="M3914" t="str">
        <f t="shared" si="556"/>
        <v>13</v>
      </c>
      <c r="N3914" t="s">
        <v>3370</v>
      </c>
      <c r="O3914" t="str">
        <f t="shared" si="561"/>
        <v>63411</v>
      </c>
      <c r="P3914" t="str">
        <f>"1502L"</f>
        <v>1502L</v>
      </c>
      <c r="Q3914" t="str">
        <f t="shared" si="557"/>
        <v>0101</v>
      </c>
      <c r="R3914">
        <v>1502</v>
      </c>
      <c r="S3914" t="str">
        <f t="shared" si="562"/>
        <v>6340</v>
      </c>
      <c r="T3914" t="s">
        <v>3857</v>
      </c>
      <c r="U3914" t="s">
        <v>998</v>
      </c>
    </row>
    <row r="3915" spans="1:21" ht="15" customHeight="1" x14ac:dyDescent="0.3">
      <c r="A3915" t="s">
        <v>179</v>
      </c>
      <c r="B3915" t="str">
        <f>"00061988"</f>
        <v>00061988</v>
      </c>
      <c r="C3915" t="s">
        <v>4254</v>
      </c>
      <c r="D3915" t="s">
        <v>3891</v>
      </c>
      <c r="E3915" t="str">
        <f>"00066085"</f>
        <v>00066085</v>
      </c>
      <c r="F3915">
        <v>0</v>
      </c>
      <c r="G3915" s="243">
        <v>40755</v>
      </c>
      <c r="H3915" t="s">
        <v>182</v>
      </c>
      <c r="I3915">
        <v>15</v>
      </c>
      <c r="J3915">
        <v>9</v>
      </c>
      <c r="K3915">
        <v>1</v>
      </c>
      <c r="L3915">
        <v>65985</v>
      </c>
      <c r="M3915" t="str">
        <f t="shared" si="556"/>
        <v>13</v>
      </c>
      <c r="N3915" t="s">
        <v>3323</v>
      </c>
      <c r="O3915" t="str">
        <f t="shared" si="561"/>
        <v>63411</v>
      </c>
      <c r="P3915" t="str">
        <f>"2100L"</f>
        <v>2100L</v>
      </c>
      <c r="Q3915" t="str">
        <f t="shared" si="557"/>
        <v>0101</v>
      </c>
      <c r="R3915">
        <v>2100</v>
      </c>
      <c r="S3915" t="str">
        <f t="shared" si="562"/>
        <v>6340</v>
      </c>
      <c r="T3915" t="s">
        <v>3857</v>
      </c>
      <c r="U3915" t="s">
        <v>998</v>
      </c>
    </row>
    <row r="3916" spans="1:21" ht="15" customHeight="1" x14ac:dyDescent="0.3">
      <c r="A3916" t="s">
        <v>179</v>
      </c>
      <c r="B3916" t="str">
        <f>"00062126"</f>
        <v>00062126</v>
      </c>
      <c r="C3916" t="s">
        <v>4253</v>
      </c>
      <c r="D3916" t="s">
        <v>3895</v>
      </c>
      <c r="E3916" t="str">
        <f>"00066411"</f>
        <v>00066411</v>
      </c>
      <c r="F3916">
        <v>0</v>
      </c>
      <c r="G3916" s="243">
        <v>40755</v>
      </c>
      <c r="H3916" t="s">
        <v>182</v>
      </c>
      <c r="I3916">
        <v>15</v>
      </c>
      <c r="J3916">
        <v>2</v>
      </c>
      <c r="K3916">
        <v>1</v>
      </c>
      <c r="L3916">
        <v>51716</v>
      </c>
      <c r="M3916" t="str">
        <f t="shared" si="556"/>
        <v>13</v>
      </c>
      <c r="N3916" t="s">
        <v>3323</v>
      </c>
      <c r="O3916" t="str">
        <f t="shared" si="561"/>
        <v>63411</v>
      </c>
      <c r="P3916" t="str">
        <f>"2100L"</f>
        <v>2100L</v>
      </c>
      <c r="Q3916" t="str">
        <f t="shared" si="557"/>
        <v>0101</v>
      </c>
      <c r="R3916">
        <v>2100</v>
      </c>
      <c r="S3916" t="str">
        <f t="shared" si="562"/>
        <v>6340</v>
      </c>
      <c r="T3916" t="s">
        <v>3857</v>
      </c>
      <c r="U3916" t="s">
        <v>998</v>
      </c>
    </row>
    <row r="3917" spans="1:21" ht="15" customHeight="1" x14ac:dyDescent="0.3">
      <c r="A3917" t="s">
        <v>179</v>
      </c>
      <c r="B3917" t="str">
        <f>"00062128"</f>
        <v>00062128</v>
      </c>
      <c r="C3917" t="s">
        <v>4260</v>
      </c>
      <c r="D3917" t="s">
        <v>5492</v>
      </c>
      <c r="E3917" t="str">
        <f>"00057847"</f>
        <v>00057847</v>
      </c>
      <c r="F3917">
        <v>0</v>
      </c>
      <c r="G3917" s="243">
        <v>40042</v>
      </c>
      <c r="H3917" t="s">
        <v>182</v>
      </c>
      <c r="I3917">
        <v>15</v>
      </c>
      <c r="J3917">
        <v>1</v>
      </c>
      <c r="K3917">
        <v>1</v>
      </c>
      <c r="L3917">
        <v>54975</v>
      </c>
      <c r="M3917" t="str">
        <f t="shared" si="556"/>
        <v>13</v>
      </c>
      <c r="N3917" t="s">
        <v>3370</v>
      </c>
      <c r="O3917" t="str">
        <f t="shared" si="561"/>
        <v>63411</v>
      </c>
      <c r="P3917" t="str">
        <f>"2100L"</f>
        <v>2100L</v>
      </c>
      <c r="Q3917" t="str">
        <f t="shared" si="557"/>
        <v>0101</v>
      </c>
      <c r="R3917">
        <v>2100</v>
      </c>
      <c r="S3917" t="str">
        <f t="shared" si="562"/>
        <v>6340</v>
      </c>
      <c r="T3917" t="s">
        <v>3857</v>
      </c>
      <c r="U3917" t="s">
        <v>998</v>
      </c>
    </row>
    <row r="3918" spans="1:21" ht="15" customHeight="1" x14ac:dyDescent="0.3">
      <c r="A3918" t="s">
        <v>179</v>
      </c>
      <c r="B3918" t="str">
        <f>"00062129"</f>
        <v>00062129</v>
      </c>
      <c r="C3918" t="s">
        <v>4253</v>
      </c>
      <c r="D3918" t="s">
        <v>5493</v>
      </c>
      <c r="E3918" t="str">
        <f>"00059935"</f>
        <v>00059935</v>
      </c>
      <c r="F3918">
        <v>0</v>
      </c>
      <c r="G3918" s="243">
        <v>40931</v>
      </c>
      <c r="H3918" t="s">
        <v>182</v>
      </c>
      <c r="I3918">
        <v>15</v>
      </c>
      <c r="J3918">
        <v>7</v>
      </c>
      <c r="K3918">
        <v>1</v>
      </c>
      <c r="L3918">
        <v>69132</v>
      </c>
      <c r="M3918" t="str">
        <f t="shared" si="556"/>
        <v>13</v>
      </c>
      <c r="N3918" t="s">
        <v>3323</v>
      </c>
      <c r="O3918" t="str">
        <f t="shared" si="561"/>
        <v>63411</v>
      </c>
      <c r="P3918" t="str">
        <f>"2100L"</f>
        <v>2100L</v>
      </c>
      <c r="Q3918" t="str">
        <f t="shared" si="557"/>
        <v>0101</v>
      </c>
      <c r="R3918">
        <v>2100</v>
      </c>
      <c r="S3918" t="str">
        <f t="shared" si="562"/>
        <v>6340</v>
      </c>
      <c r="T3918" t="s">
        <v>3857</v>
      </c>
      <c r="U3918" t="s">
        <v>998</v>
      </c>
    </row>
    <row r="3919" spans="1:21" ht="15" customHeight="1" x14ac:dyDescent="0.3">
      <c r="A3919" t="s">
        <v>179</v>
      </c>
      <c r="B3919" t="str">
        <f>"00062130"</f>
        <v>00062130</v>
      </c>
      <c r="C3919" t="s">
        <v>4271</v>
      </c>
      <c r="D3919" t="s">
        <v>1010</v>
      </c>
      <c r="E3919" t="str">
        <f>"00046261"</f>
        <v>00046261</v>
      </c>
      <c r="F3919">
        <v>0</v>
      </c>
      <c r="G3919" s="243">
        <v>39679</v>
      </c>
      <c r="H3919" t="s">
        <v>182</v>
      </c>
      <c r="I3919">
        <v>15</v>
      </c>
      <c r="J3919">
        <v>12</v>
      </c>
      <c r="K3919">
        <v>1</v>
      </c>
      <c r="L3919">
        <v>87431</v>
      </c>
      <c r="M3919" t="str">
        <f t="shared" si="556"/>
        <v>13</v>
      </c>
      <c r="N3919" t="s">
        <v>3323</v>
      </c>
      <c r="O3919" t="str">
        <f t="shared" si="561"/>
        <v>63411</v>
      </c>
      <c r="P3919" t="str">
        <f>"3030L"</f>
        <v>3030L</v>
      </c>
      <c r="Q3919" t="str">
        <f t="shared" si="557"/>
        <v>0101</v>
      </c>
      <c r="R3919">
        <v>3030</v>
      </c>
      <c r="S3919" t="str">
        <f t="shared" si="562"/>
        <v>6340</v>
      </c>
      <c r="T3919" t="s">
        <v>3857</v>
      </c>
      <c r="U3919" t="s">
        <v>998</v>
      </c>
    </row>
    <row r="3920" spans="1:21" ht="15" customHeight="1" x14ac:dyDescent="0.3">
      <c r="A3920" t="s">
        <v>179</v>
      </c>
      <c r="B3920" t="str">
        <f>"00062358"</f>
        <v>00062358</v>
      </c>
      <c r="C3920" t="s">
        <v>200</v>
      </c>
      <c r="D3920" t="s">
        <v>1011</v>
      </c>
      <c r="E3920" t="str">
        <f>"00046123"</f>
        <v>00046123</v>
      </c>
      <c r="F3920">
        <v>0</v>
      </c>
      <c r="G3920" s="243">
        <v>39679</v>
      </c>
      <c r="H3920" t="s">
        <v>182</v>
      </c>
      <c r="I3920">
        <v>15</v>
      </c>
      <c r="J3920">
        <v>12</v>
      </c>
      <c r="K3920">
        <v>1</v>
      </c>
      <c r="L3920">
        <v>89887</v>
      </c>
      <c r="M3920" t="str">
        <f t="shared" si="556"/>
        <v>13</v>
      </c>
      <c r="N3920" t="s">
        <v>3323</v>
      </c>
      <c r="O3920" t="str">
        <f t="shared" si="561"/>
        <v>63411</v>
      </c>
      <c r="P3920" t="str">
        <f>"3030L"</f>
        <v>3030L</v>
      </c>
      <c r="Q3920" t="str">
        <f t="shared" si="557"/>
        <v>0101</v>
      </c>
      <c r="R3920">
        <v>3030</v>
      </c>
      <c r="S3920" t="str">
        <f t="shared" si="562"/>
        <v>6340</v>
      </c>
      <c r="T3920" t="s">
        <v>3857</v>
      </c>
      <c r="U3920" t="s">
        <v>998</v>
      </c>
    </row>
    <row r="3921" spans="1:21" ht="15" customHeight="1" x14ac:dyDescent="0.3">
      <c r="A3921" t="s">
        <v>179</v>
      </c>
      <c r="B3921" t="str">
        <f>"00062360"</f>
        <v>00062360</v>
      </c>
      <c r="C3921" t="s">
        <v>4257</v>
      </c>
      <c r="D3921" t="s">
        <v>1012</v>
      </c>
      <c r="E3921" t="str">
        <f>"00049106"</f>
        <v>00049106</v>
      </c>
      <c r="F3921">
        <v>0</v>
      </c>
      <c r="G3921" s="243">
        <v>39679</v>
      </c>
      <c r="H3921" t="s">
        <v>182</v>
      </c>
      <c r="I3921">
        <v>15</v>
      </c>
      <c r="J3921">
        <v>5</v>
      </c>
      <c r="K3921">
        <v>1</v>
      </c>
      <c r="L3921">
        <v>56655</v>
      </c>
      <c r="M3921" t="str">
        <f t="shared" si="556"/>
        <v>13</v>
      </c>
      <c r="N3921" t="s">
        <v>3323</v>
      </c>
      <c r="O3921" t="str">
        <f t="shared" si="561"/>
        <v>63411</v>
      </c>
      <c r="P3921" t="str">
        <f>"2100L"</f>
        <v>2100L</v>
      </c>
      <c r="Q3921" t="str">
        <f t="shared" si="557"/>
        <v>0101</v>
      </c>
      <c r="R3921">
        <v>2100</v>
      </c>
      <c r="S3921" t="str">
        <f t="shared" si="562"/>
        <v>6340</v>
      </c>
      <c r="T3921" t="s">
        <v>3857</v>
      </c>
      <c r="U3921" t="s">
        <v>998</v>
      </c>
    </row>
    <row r="3922" spans="1:21" ht="15" customHeight="1" x14ac:dyDescent="0.3">
      <c r="A3922" t="s">
        <v>179</v>
      </c>
      <c r="B3922" t="str">
        <f>"00062517"</f>
        <v>00062517</v>
      </c>
      <c r="C3922" t="s">
        <v>4253</v>
      </c>
      <c r="D3922" t="s">
        <v>5494</v>
      </c>
      <c r="E3922" t="str">
        <f>"00070085"</f>
        <v>00070085</v>
      </c>
      <c r="F3922">
        <v>0</v>
      </c>
      <c r="G3922" s="243">
        <v>41148</v>
      </c>
      <c r="H3922" t="s">
        <v>182</v>
      </c>
      <c r="I3922">
        <v>15</v>
      </c>
      <c r="J3922">
        <v>1</v>
      </c>
      <c r="K3922">
        <v>1</v>
      </c>
      <c r="L3922">
        <v>56693</v>
      </c>
      <c r="M3922" t="str">
        <f t="shared" si="556"/>
        <v>13</v>
      </c>
      <c r="N3922" t="s">
        <v>3370</v>
      </c>
      <c r="O3922" t="str">
        <f t="shared" si="561"/>
        <v>63411</v>
      </c>
      <c r="P3922" t="str">
        <f>"2100L"</f>
        <v>2100L</v>
      </c>
      <c r="Q3922" t="str">
        <f t="shared" si="557"/>
        <v>0101</v>
      </c>
      <c r="R3922">
        <v>2100</v>
      </c>
      <c r="S3922" t="str">
        <f t="shared" si="562"/>
        <v>6340</v>
      </c>
      <c r="T3922" t="s">
        <v>3857</v>
      </c>
      <c r="U3922" t="s">
        <v>998</v>
      </c>
    </row>
    <row r="3923" spans="1:21" ht="15" customHeight="1" x14ac:dyDescent="0.3">
      <c r="A3923" t="s">
        <v>179</v>
      </c>
      <c r="B3923" t="str">
        <f>"00062604"</f>
        <v>00062604</v>
      </c>
      <c r="C3923" t="s">
        <v>4262</v>
      </c>
      <c r="D3923" t="s">
        <v>3885</v>
      </c>
      <c r="E3923" t="str">
        <f>"00044665"</f>
        <v>00044665</v>
      </c>
      <c r="F3923">
        <v>0</v>
      </c>
      <c r="G3923" s="243">
        <v>40394</v>
      </c>
      <c r="H3923" t="s">
        <v>182</v>
      </c>
      <c r="I3923">
        <v>15</v>
      </c>
      <c r="J3923">
        <v>10</v>
      </c>
      <c r="K3923">
        <v>1</v>
      </c>
      <c r="L3923">
        <v>80729</v>
      </c>
      <c r="M3923" t="str">
        <f t="shared" ref="M3923:M3979" si="563">"13"</f>
        <v>13</v>
      </c>
      <c r="N3923" t="s">
        <v>3323</v>
      </c>
      <c r="O3923" t="str">
        <f t="shared" si="561"/>
        <v>63411</v>
      </c>
      <c r="P3923" t="str">
        <f>"2100L"</f>
        <v>2100L</v>
      </c>
      <c r="Q3923" t="str">
        <f t="shared" si="557"/>
        <v>0101</v>
      </c>
      <c r="R3923">
        <v>2100</v>
      </c>
      <c r="S3923" t="str">
        <f t="shared" si="562"/>
        <v>6340</v>
      </c>
      <c r="T3923" t="s">
        <v>3857</v>
      </c>
      <c r="U3923" t="s">
        <v>998</v>
      </c>
    </row>
    <row r="3924" spans="1:21" ht="15" customHeight="1" x14ac:dyDescent="0.3">
      <c r="A3924" t="s">
        <v>179</v>
      </c>
      <c r="B3924" t="str">
        <f>"00065256"</f>
        <v>00065256</v>
      </c>
      <c r="C3924" t="s">
        <v>5495</v>
      </c>
      <c r="D3924" t="s">
        <v>3887</v>
      </c>
      <c r="E3924" t="str">
        <f>"00057344"</f>
        <v>00057344</v>
      </c>
      <c r="F3924">
        <v>0</v>
      </c>
      <c r="G3924" s="243">
        <v>40042</v>
      </c>
      <c r="H3924" t="s">
        <v>182</v>
      </c>
      <c r="I3924">
        <v>8</v>
      </c>
      <c r="J3924">
        <v>6</v>
      </c>
      <c r="K3924">
        <v>1</v>
      </c>
      <c r="L3924">
        <v>94825</v>
      </c>
      <c r="M3924" t="str">
        <f t="shared" si="563"/>
        <v>13</v>
      </c>
      <c r="N3924" t="s">
        <v>3323</v>
      </c>
      <c r="O3924" t="str">
        <f t="shared" si="561"/>
        <v>63411</v>
      </c>
      <c r="P3924" t="str">
        <f>"1501L"</f>
        <v>1501L</v>
      </c>
      <c r="Q3924" t="str">
        <f t="shared" si="557"/>
        <v>0101</v>
      </c>
      <c r="R3924">
        <v>1501</v>
      </c>
      <c r="S3924" t="str">
        <f t="shared" si="562"/>
        <v>6340</v>
      </c>
      <c r="T3924" t="s">
        <v>3857</v>
      </c>
      <c r="U3924" t="s">
        <v>998</v>
      </c>
    </row>
    <row r="3925" spans="1:21" ht="15" customHeight="1" x14ac:dyDescent="0.3">
      <c r="A3925" t="s">
        <v>179</v>
      </c>
      <c r="B3925" t="str">
        <f>"00066521"</f>
        <v>00066521</v>
      </c>
      <c r="C3925" t="s">
        <v>4253</v>
      </c>
      <c r="D3925" t="s">
        <v>3886</v>
      </c>
      <c r="E3925" t="str">
        <f>"00052293"</f>
        <v>00052293</v>
      </c>
      <c r="F3925">
        <v>0</v>
      </c>
      <c r="G3925" s="243">
        <v>40806</v>
      </c>
      <c r="H3925" t="s">
        <v>182</v>
      </c>
      <c r="I3925">
        <v>15</v>
      </c>
      <c r="J3925">
        <v>5</v>
      </c>
      <c r="K3925">
        <v>1</v>
      </c>
      <c r="L3925">
        <v>63611</v>
      </c>
      <c r="M3925" t="str">
        <f t="shared" si="563"/>
        <v>13</v>
      </c>
      <c r="N3925" t="s">
        <v>3323</v>
      </c>
      <c r="O3925" t="str">
        <f t="shared" si="561"/>
        <v>63411</v>
      </c>
      <c r="P3925" t="str">
        <f>"2100L"</f>
        <v>2100L</v>
      </c>
      <c r="Q3925" t="str">
        <f t="shared" si="557"/>
        <v>0101</v>
      </c>
      <c r="R3925">
        <v>2100</v>
      </c>
      <c r="S3925" t="str">
        <f t="shared" si="562"/>
        <v>6340</v>
      </c>
      <c r="T3925" t="s">
        <v>3857</v>
      </c>
      <c r="U3925" t="s">
        <v>998</v>
      </c>
    </row>
    <row r="3926" spans="1:21" ht="15" customHeight="1" x14ac:dyDescent="0.3">
      <c r="A3926" t="s">
        <v>179</v>
      </c>
      <c r="B3926" t="str">
        <f>"00066522"</f>
        <v>00066522</v>
      </c>
      <c r="C3926" t="s">
        <v>4262</v>
      </c>
      <c r="D3926" t="s">
        <v>3461</v>
      </c>
      <c r="E3926" t="str">
        <f>"00067146"</f>
        <v>00067146</v>
      </c>
      <c r="F3926">
        <v>0</v>
      </c>
      <c r="G3926" s="243">
        <v>40840</v>
      </c>
      <c r="H3926" t="s">
        <v>182</v>
      </c>
      <c r="I3926">
        <v>15</v>
      </c>
      <c r="J3926">
        <v>8</v>
      </c>
      <c r="K3926">
        <v>1</v>
      </c>
      <c r="L3926">
        <v>72171</v>
      </c>
      <c r="M3926" t="str">
        <f t="shared" si="563"/>
        <v>13</v>
      </c>
      <c r="N3926" t="s">
        <v>3370</v>
      </c>
      <c r="O3926" t="str">
        <f t="shared" si="561"/>
        <v>63411</v>
      </c>
      <c r="P3926" t="str">
        <f>"2100L"</f>
        <v>2100L</v>
      </c>
      <c r="Q3926" t="str">
        <f t="shared" si="557"/>
        <v>0101</v>
      </c>
      <c r="R3926">
        <v>2100</v>
      </c>
      <c r="S3926" t="str">
        <f t="shared" si="562"/>
        <v>6340</v>
      </c>
      <c r="T3926" t="s">
        <v>3857</v>
      </c>
      <c r="U3926" t="s">
        <v>998</v>
      </c>
    </row>
    <row r="3927" spans="1:21" ht="15" customHeight="1" x14ac:dyDescent="0.3">
      <c r="A3927" t="s">
        <v>179</v>
      </c>
      <c r="B3927" t="str">
        <f>"00067267"</f>
        <v>00067267</v>
      </c>
      <c r="C3927" t="s">
        <v>4290</v>
      </c>
      <c r="D3927" t="s">
        <v>5496</v>
      </c>
      <c r="E3927" t="str">
        <f>"00052929"</f>
        <v>00052929</v>
      </c>
      <c r="F3927">
        <v>0</v>
      </c>
      <c r="G3927" s="243">
        <v>38698</v>
      </c>
      <c r="H3927" t="s">
        <v>182</v>
      </c>
      <c r="I3927">
        <v>4</v>
      </c>
      <c r="J3927">
        <v>6</v>
      </c>
      <c r="K3927">
        <v>1</v>
      </c>
      <c r="L3927">
        <v>25935.88</v>
      </c>
      <c r="M3927" t="str">
        <f t="shared" si="563"/>
        <v>13</v>
      </c>
      <c r="N3927" t="s">
        <v>3370</v>
      </c>
      <c r="O3927" t="str">
        <f t="shared" si="561"/>
        <v>63411</v>
      </c>
      <c r="P3927" t="str">
        <f>"3030L"</f>
        <v>3030L</v>
      </c>
      <c r="Q3927" t="str">
        <f t="shared" si="557"/>
        <v>0101</v>
      </c>
      <c r="R3927">
        <v>3030</v>
      </c>
      <c r="S3927" t="str">
        <f t="shared" si="562"/>
        <v>6340</v>
      </c>
      <c r="T3927" t="s">
        <v>3857</v>
      </c>
      <c r="U3927" t="s">
        <v>998</v>
      </c>
    </row>
    <row r="3928" spans="1:21" ht="15" customHeight="1" x14ac:dyDescent="0.3">
      <c r="A3928" t="s">
        <v>179</v>
      </c>
      <c r="B3928" t="str">
        <f>"00067268"</f>
        <v>00067268</v>
      </c>
      <c r="C3928" t="s">
        <v>4290</v>
      </c>
      <c r="D3928" t="s">
        <v>5497</v>
      </c>
      <c r="E3928" t="str">
        <f>"00062704"</f>
        <v>00062704</v>
      </c>
      <c r="F3928">
        <v>0</v>
      </c>
      <c r="G3928" s="243">
        <v>40409</v>
      </c>
      <c r="H3928" t="s">
        <v>182</v>
      </c>
      <c r="I3928">
        <v>4</v>
      </c>
      <c r="J3928">
        <v>5</v>
      </c>
      <c r="K3928">
        <v>1</v>
      </c>
      <c r="L3928">
        <v>25239.37</v>
      </c>
      <c r="M3928" t="str">
        <f t="shared" si="563"/>
        <v>13</v>
      </c>
      <c r="N3928" t="s">
        <v>3323</v>
      </c>
      <c r="O3928" t="str">
        <f t="shared" ref="O3928:O3946" si="564">"63411"</f>
        <v>63411</v>
      </c>
      <c r="P3928" t="str">
        <f>"3030L"</f>
        <v>3030L</v>
      </c>
      <c r="Q3928" t="str">
        <f t="shared" si="557"/>
        <v>0101</v>
      </c>
      <c r="R3928">
        <v>3030</v>
      </c>
      <c r="S3928" t="str">
        <f t="shared" ref="S3928:S3946" si="565">"6340"</f>
        <v>6340</v>
      </c>
      <c r="T3928" t="s">
        <v>3857</v>
      </c>
      <c r="U3928" t="s">
        <v>998</v>
      </c>
    </row>
    <row r="3929" spans="1:21" ht="15" customHeight="1" x14ac:dyDescent="0.3">
      <c r="A3929" t="s">
        <v>179</v>
      </c>
      <c r="B3929" t="str">
        <f>"00067269"</f>
        <v>00067269</v>
      </c>
      <c r="C3929" t="s">
        <v>4290</v>
      </c>
      <c r="D3929" t="s">
        <v>5498</v>
      </c>
      <c r="E3929" t="str">
        <f>"00047121"</f>
        <v>00047121</v>
      </c>
      <c r="F3929">
        <v>0</v>
      </c>
      <c r="G3929" s="243">
        <v>40116</v>
      </c>
      <c r="H3929" t="s">
        <v>182</v>
      </c>
      <c r="I3929">
        <v>4</v>
      </c>
      <c r="J3929">
        <v>10</v>
      </c>
      <c r="K3929">
        <v>1</v>
      </c>
      <c r="L3929">
        <v>28721</v>
      </c>
      <c r="M3929" t="str">
        <f t="shared" si="563"/>
        <v>13</v>
      </c>
      <c r="N3929" t="s">
        <v>3323</v>
      </c>
      <c r="O3929" t="str">
        <f t="shared" si="564"/>
        <v>63411</v>
      </c>
      <c r="P3929" t="str">
        <f>"3030L"</f>
        <v>3030L</v>
      </c>
      <c r="Q3929" t="str">
        <f t="shared" si="557"/>
        <v>0101</v>
      </c>
      <c r="R3929">
        <v>3030</v>
      </c>
      <c r="S3929" t="str">
        <f t="shared" si="565"/>
        <v>6340</v>
      </c>
      <c r="T3929" t="s">
        <v>3857</v>
      </c>
      <c r="U3929" t="s">
        <v>998</v>
      </c>
    </row>
    <row r="3930" spans="1:21" ht="15" customHeight="1" x14ac:dyDescent="0.3">
      <c r="A3930" t="s">
        <v>179</v>
      </c>
      <c r="B3930" t="str">
        <f>"00067270"</f>
        <v>00067270</v>
      </c>
      <c r="C3930" t="s">
        <v>4290</v>
      </c>
      <c r="D3930" t="s">
        <v>5499</v>
      </c>
      <c r="E3930" t="str">
        <f>"00057520"</f>
        <v>00057520</v>
      </c>
      <c r="F3930">
        <v>0</v>
      </c>
      <c r="G3930" s="243">
        <v>40042</v>
      </c>
      <c r="H3930" t="s">
        <v>182</v>
      </c>
      <c r="I3930">
        <v>4</v>
      </c>
      <c r="J3930">
        <v>6</v>
      </c>
      <c r="K3930">
        <v>1</v>
      </c>
      <c r="L3930">
        <v>25935.88</v>
      </c>
      <c r="M3930" t="str">
        <f t="shared" si="563"/>
        <v>13</v>
      </c>
      <c r="N3930" t="s">
        <v>3323</v>
      </c>
      <c r="O3930" t="str">
        <f t="shared" si="564"/>
        <v>63411</v>
      </c>
      <c r="P3930" t="str">
        <f>"3030L"</f>
        <v>3030L</v>
      </c>
      <c r="Q3930" t="str">
        <f t="shared" si="557"/>
        <v>0101</v>
      </c>
      <c r="R3930">
        <v>3030</v>
      </c>
      <c r="S3930" t="str">
        <f t="shared" si="565"/>
        <v>6340</v>
      </c>
      <c r="T3930" t="s">
        <v>3857</v>
      </c>
      <c r="U3930" t="s">
        <v>998</v>
      </c>
    </row>
    <row r="3931" spans="1:21" ht="15" customHeight="1" x14ac:dyDescent="0.3">
      <c r="A3931" t="s">
        <v>179</v>
      </c>
      <c r="B3931" t="str">
        <f>"00070993"</f>
        <v>00070993</v>
      </c>
      <c r="C3931" t="s">
        <v>4253</v>
      </c>
      <c r="D3931" t="s">
        <v>5500</v>
      </c>
      <c r="E3931" t="str">
        <f>"00069859"</f>
        <v>00069859</v>
      </c>
      <c r="F3931">
        <v>0</v>
      </c>
      <c r="G3931" s="243">
        <v>41133</v>
      </c>
      <c r="H3931" t="s">
        <v>182</v>
      </c>
      <c r="I3931">
        <v>15</v>
      </c>
      <c r="J3931">
        <v>10</v>
      </c>
      <c r="K3931">
        <v>1</v>
      </c>
      <c r="L3931">
        <v>78273</v>
      </c>
      <c r="M3931" t="str">
        <f t="shared" si="563"/>
        <v>13</v>
      </c>
      <c r="N3931" t="s">
        <v>3370</v>
      </c>
      <c r="O3931" t="str">
        <f t="shared" si="564"/>
        <v>63411</v>
      </c>
      <c r="P3931" t="str">
        <f>"3030L"</f>
        <v>3030L</v>
      </c>
      <c r="Q3931" t="str">
        <f t="shared" ref="Q3931:Q3987" si="566">"0101"</f>
        <v>0101</v>
      </c>
      <c r="R3931">
        <v>3030</v>
      </c>
      <c r="S3931" t="str">
        <f t="shared" si="565"/>
        <v>6340</v>
      </c>
      <c r="T3931" t="s">
        <v>3857</v>
      </c>
      <c r="U3931" t="s">
        <v>998</v>
      </c>
    </row>
    <row r="3932" spans="1:21" ht="15" customHeight="1" x14ac:dyDescent="0.3">
      <c r="A3932" t="s">
        <v>179</v>
      </c>
      <c r="B3932" t="str">
        <f>"00072308"</f>
        <v>00072308</v>
      </c>
      <c r="C3932" t="s">
        <v>4263</v>
      </c>
      <c r="D3932" t="s">
        <v>3888</v>
      </c>
      <c r="E3932" t="str">
        <f>"00064362"</f>
        <v>00064362</v>
      </c>
      <c r="F3932">
        <v>0</v>
      </c>
      <c r="G3932" s="243">
        <v>40518</v>
      </c>
      <c r="H3932" t="s">
        <v>182</v>
      </c>
      <c r="I3932">
        <v>15</v>
      </c>
      <c r="J3932">
        <v>11</v>
      </c>
      <c r="K3932">
        <v>1</v>
      </c>
      <c r="L3932">
        <v>86236</v>
      </c>
      <c r="M3932" t="str">
        <f t="shared" si="563"/>
        <v>13</v>
      </c>
      <c r="N3932" t="s">
        <v>3323</v>
      </c>
      <c r="O3932" t="str">
        <f t="shared" si="564"/>
        <v>63411</v>
      </c>
      <c r="P3932" t="str">
        <f>"2100L"</f>
        <v>2100L</v>
      </c>
      <c r="Q3932" t="str">
        <f t="shared" si="566"/>
        <v>0101</v>
      </c>
      <c r="R3932">
        <v>2100</v>
      </c>
      <c r="S3932" t="str">
        <f t="shared" si="565"/>
        <v>6340</v>
      </c>
      <c r="T3932" t="s">
        <v>3857</v>
      </c>
      <c r="U3932" t="s">
        <v>998</v>
      </c>
    </row>
    <row r="3933" spans="1:21" ht="15" customHeight="1" x14ac:dyDescent="0.3">
      <c r="A3933" t="s">
        <v>179</v>
      </c>
      <c r="B3933" t="str">
        <f>"00072599"</f>
        <v>00072599</v>
      </c>
      <c r="C3933" t="s">
        <v>4290</v>
      </c>
      <c r="D3933" t="s">
        <v>5501</v>
      </c>
      <c r="E3933" t="str">
        <f>"00052483"</f>
        <v>00052483</v>
      </c>
      <c r="F3933">
        <v>0</v>
      </c>
      <c r="G3933" s="243">
        <v>35732</v>
      </c>
      <c r="H3933" t="s">
        <v>182</v>
      </c>
      <c r="I3933">
        <v>4</v>
      </c>
      <c r="J3933">
        <v>10</v>
      </c>
      <c r="K3933">
        <v>0.71</v>
      </c>
      <c r="L3933">
        <v>28721</v>
      </c>
      <c r="M3933" t="str">
        <f t="shared" si="563"/>
        <v>13</v>
      </c>
      <c r="N3933" t="s">
        <v>3323</v>
      </c>
      <c r="O3933" t="str">
        <f t="shared" si="564"/>
        <v>63411</v>
      </c>
      <c r="P3933" t="str">
        <f>"2100L"</f>
        <v>2100L</v>
      </c>
      <c r="Q3933" t="str">
        <f t="shared" si="566"/>
        <v>0101</v>
      </c>
      <c r="R3933">
        <v>2100</v>
      </c>
      <c r="S3933" t="str">
        <f t="shared" si="565"/>
        <v>6340</v>
      </c>
      <c r="T3933" t="s">
        <v>3857</v>
      </c>
      <c r="U3933" t="s">
        <v>998</v>
      </c>
    </row>
    <row r="3934" spans="1:21" ht="15" customHeight="1" x14ac:dyDescent="0.3">
      <c r="A3934" t="s">
        <v>179</v>
      </c>
      <c r="B3934" t="str">
        <f>"00072696"</f>
        <v>00072696</v>
      </c>
      <c r="C3934" t="s">
        <v>4260</v>
      </c>
      <c r="D3934" t="s">
        <v>5502</v>
      </c>
      <c r="E3934" t="str">
        <f>"00069712"</f>
        <v>00069712</v>
      </c>
      <c r="F3934">
        <v>0</v>
      </c>
      <c r="G3934" s="243">
        <v>41133</v>
      </c>
      <c r="H3934" t="s">
        <v>182</v>
      </c>
      <c r="I3934">
        <v>15</v>
      </c>
      <c r="J3934">
        <v>1</v>
      </c>
      <c r="K3934">
        <v>1</v>
      </c>
      <c r="L3934">
        <v>51539</v>
      </c>
      <c r="M3934" t="str">
        <f t="shared" si="563"/>
        <v>13</v>
      </c>
      <c r="N3934" t="s">
        <v>3370</v>
      </c>
      <c r="O3934" t="str">
        <f t="shared" si="564"/>
        <v>63411</v>
      </c>
      <c r="P3934" t="str">
        <f>"2100L"</f>
        <v>2100L</v>
      </c>
      <c r="Q3934" t="str">
        <f t="shared" si="566"/>
        <v>0101</v>
      </c>
      <c r="R3934">
        <v>2100</v>
      </c>
      <c r="S3934" t="str">
        <f t="shared" si="565"/>
        <v>6340</v>
      </c>
      <c r="T3934" t="s">
        <v>3857</v>
      </c>
      <c r="U3934" t="s">
        <v>998</v>
      </c>
    </row>
    <row r="3935" spans="1:21" ht="15" customHeight="1" x14ac:dyDescent="0.3">
      <c r="A3935" t="s">
        <v>179</v>
      </c>
      <c r="B3935" t="str">
        <f>"00073997"</f>
        <v>00073997</v>
      </c>
      <c r="C3935" t="s">
        <v>4367</v>
      </c>
      <c r="D3935" t="s">
        <v>5503</v>
      </c>
      <c r="E3935" t="str">
        <f>"00053394"</f>
        <v>00053394</v>
      </c>
      <c r="F3935">
        <v>0</v>
      </c>
      <c r="G3935" s="243">
        <v>34974</v>
      </c>
      <c r="H3935" t="s">
        <v>182</v>
      </c>
      <c r="I3935">
        <v>9</v>
      </c>
      <c r="J3935">
        <v>1</v>
      </c>
      <c r="K3935">
        <v>1</v>
      </c>
      <c r="L3935">
        <v>36775</v>
      </c>
      <c r="M3935" t="str">
        <f t="shared" si="563"/>
        <v>13</v>
      </c>
      <c r="N3935" t="s">
        <v>3323</v>
      </c>
      <c r="O3935" t="str">
        <f t="shared" si="564"/>
        <v>63411</v>
      </c>
      <c r="P3935" t="str">
        <f>"1502L"</f>
        <v>1502L</v>
      </c>
      <c r="Q3935" t="str">
        <f t="shared" si="566"/>
        <v>0101</v>
      </c>
      <c r="R3935">
        <v>1502</v>
      </c>
      <c r="S3935" t="str">
        <f t="shared" si="565"/>
        <v>6340</v>
      </c>
      <c r="T3935" t="s">
        <v>3857</v>
      </c>
      <c r="U3935" t="s">
        <v>998</v>
      </c>
    </row>
    <row r="3936" spans="1:21" ht="15" customHeight="1" x14ac:dyDescent="0.3">
      <c r="A3936" t="s">
        <v>179</v>
      </c>
      <c r="B3936" t="str">
        <f>"00073998"</f>
        <v>00073998</v>
      </c>
      <c r="C3936" t="s">
        <v>4518</v>
      </c>
      <c r="D3936" t="s">
        <v>1003</v>
      </c>
      <c r="E3936" t="str">
        <f>"00047234"</f>
        <v>00047234</v>
      </c>
      <c r="F3936">
        <v>0</v>
      </c>
      <c r="G3936" s="243">
        <v>37154</v>
      </c>
      <c r="H3936" t="s">
        <v>182</v>
      </c>
      <c r="I3936">
        <v>10</v>
      </c>
      <c r="J3936">
        <v>8</v>
      </c>
      <c r="K3936">
        <v>1</v>
      </c>
      <c r="L3936">
        <v>80981</v>
      </c>
      <c r="M3936" t="str">
        <f t="shared" si="563"/>
        <v>13</v>
      </c>
      <c r="N3936" t="s">
        <v>3323</v>
      </c>
      <c r="O3936" t="str">
        <f t="shared" si="564"/>
        <v>63411</v>
      </c>
      <c r="P3936" t="str">
        <f>"2100L"</f>
        <v>2100L</v>
      </c>
      <c r="Q3936" t="str">
        <f t="shared" si="566"/>
        <v>0101</v>
      </c>
      <c r="R3936">
        <v>2100</v>
      </c>
      <c r="S3936" t="str">
        <f t="shared" si="565"/>
        <v>6340</v>
      </c>
      <c r="T3936" t="s">
        <v>3857</v>
      </c>
      <c r="U3936" t="s">
        <v>998</v>
      </c>
    </row>
    <row r="3937" spans="1:21" ht="15" customHeight="1" x14ac:dyDescent="0.3">
      <c r="A3937" t="s">
        <v>179</v>
      </c>
      <c r="B3937" t="str">
        <f>"00074348"</f>
        <v>00074348</v>
      </c>
      <c r="C3937" t="s">
        <v>4306</v>
      </c>
      <c r="D3937" t="s">
        <v>5504</v>
      </c>
      <c r="E3937" t="str">
        <f>"00067178"</f>
        <v>00067178</v>
      </c>
      <c r="F3937">
        <v>0</v>
      </c>
      <c r="G3937" s="243">
        <v>40847</v>
      </c>
      <c r="H3937" t="s">
        <v>182</v>
      </c>
      <c r="I3937">
        <v>9</v>
      </c>
      <c r="J3937">
        <v>1</v>
      </c>
      <c r="K3937">
        <v>0.5</v>
      </c>
      <c r="L3937">
        <v>16581.5</v>
      </c>
      <c r="M3937" t="str">
        <f t="shared" si="563"/>
        <v>13</v>
      </c>
      <c r="N3937" t="s">
        <v>3323</v>
      </c>
      <c r="O3937" t="str">
        <f t="shared" si="564"/>
        <v>63411</v>
      </c>
      <c r="P3937" t="str">
        <f>"1502L"</f>
        <v>1502L</v>
      </c>
      <c r="Q3937" t="str">
        <f t="shared" si="566"/>
        <v>0101</v>
      </c>
      <c r="R3937">
        <v>1502</v>
      </c>
      <c r="S3937" t="str">
        <f t="shared" si="565"/>
        <v>6340</v>
      </c>
      <c r="T3937" t="s">
        <v>3857</v>
      </c>
      <c r="U3937" t="s">
        <v>998</v>
      </c>
    </row>
    <row r="3938" spans="1:21" ht="15" customHeight="1" x14ac:dyDescent="0.3">
      <c r="A3938" t="s">
        <v>179</v>
      </c>
      <c r="B3938" t="str">
        <f>"00074350"</f>
        <v>00074350</v>
      </c>
      <c r="C3938" t="s">
        <v>4290</v>
      </c>
      <c r="D3938" t="s">
        <v>5505</v>
      </c>
      <c r="E3938" t="str">
        <f>"00058078"</f>
        <v>00058078</v>
      </c>
      <c r="F3938">
        <v>0</v>
      </c>
      <c r="G3938" s="243">
        <v>40056</v>
      </c>
      <c r="H3938" t="s">
        <v>182</v>
      </c>
      <c r="I3938">
        <v>4</v>
      </c>
      <c r="J3938">
        <v>4</v>
      </c>
      <c r="K3938">
        <v>0.71</v>
      </c>
      <c r="L3938">
        <v>24543.75</v>
      </c>
      <c r="M3938" t="str">
        <f t="shared" si="563"/>
        <v>13</v>
      </c>
      <c r="N3938" t="s">
        <v>3323</v>
      </c>
      <c r="O3938" t="str">
        <f t="shared" si="564"/>
        <v>63411</v>
      </c>
      <c r="P3938" t="str">
        <f>"3030L"</f>
        <v>3030L</v>
      </c>
      <c r="Q3938" t="str">
        <f t="shared" si="566"/>
        <v>0101</v>
      </c>
      <c r="R3938">
        <v>3030</v>
      </c>
      <c r="S3938" t="str">
        <f t="shared" si="565"/>
        <v>6340</v>
      </c>
      <c r="T3938" t="s">
        <v>3857</v>
      </c>
      <c r="U3938" t="s">
        <v>998</v>
      </c>
    </row>
    <row r="3939" spans="1:21" ht="15" customHeight="1" x14ac:dyDescent="0.3">
      <c r="A3939" t="s">
        <v>179</v>
      </c>
      <c r="B3939" t="str">
        <f>"00074390"</f>
        <v>00074390</v>
      </c>
      <c r="C3939" t="s">
        <v>4256</v>
      </c>
      <c r="H3939" t="s">
        <v>170</v>
      </c>
      <c r="I3939">
        <v>15</v>
      </c>
      <c r="J3939">
        <v>1</v>
      </c>
      <c r="K3939">
        <v>0.5</v>
      </c>
      <c r="L3939">
        <v>56693</v>
      </c>
      <c r="M3939" t="str">
        <f t="shared" si="563"/>
        <v>13</v>
      </c>
      <c r="N3939" t="s">
        <v>3323</v>
      </c>
      <c r="O3939" t="str">
        <f t="shared" si="564"/>
        <v>63411</v>
      </c>
      <c r="P3939" t="str">
        <f t="shared" ref="P3939:P3949" si="567">"2100L"</f>
        <v>2100L</v>
      </c>
      <c r="Q3939" t="str">
        <f t="shared" si="566"/>
        <v>0101</v>
      </c>
      <c r="R3939">
        <v>2100</v>
      </c>
      <c r="S3939" t="str">
        <f t="shared" si="565"/>
        <v>6340</v>
      </c>
      <c r="T3939" t="s">
        <v>3847</v>
      </c>
      <c r="U3939" t="s">
        <v>149</v>
      </c>
    </row>
    <row r="3940" spans="1:21" ht="15" customHeight="1" x14ac:dyDescent="0.3">
      <c r="A3940" t="s">
        <v>179</v>
      </c>
      <c r="B3940" t="str">
        <f>"00074393"</f>
        <v>00074393</v>
      </c>
      <c r="C3940" t="s">
        <v>4293</v>
      </c>
      <c r="D3940" t="s">
        <v>3889</v>
      </c>
      <c r="E3940" t="str">
        <f>"00062653"</f>
        <v>00062653</v>
      </c>
      <c r="F3940">
        <v>0</v>
      </c>
      <c r="G3940" s="243">
        <v>40406</v>
      </c>
      <c r="H3940" t="s">
        <v>182</v>
      </c>
      <c r="I3940">
        <v>15</v>
      </c>
      <c r="J3940">
        <v>3</v>
      </c>
      <c r="K3940">
        <v>0.5</v>
      </c>
      <c r="L3940">
        <v>26388.5</v>
      </c>
      <c r="M3940" t="str">
        <f t="shared" si="563"/>
        <v>13</v>
      </c>
      <c r="N3940" t="s">
        <v>3323</v>
      </c>
      <c r="O3940" t="str">
        <f t="shared" si="564"/>
        <v>63411</v>
      </c>
      <c r="P3940" t="str">
        <f t="shared" si="567"/>
        <v>2100L</v>
      </c>
      <c r="Q3940" t="str">
        <f t="shared" si="566"/>
        <v>0101</v>
      </c>
      <c r="R3940">
        <v>2100</v>
      </c>
      <c r="S3940" t="str">
        <f t="shared" si="565"/>
        <v>6340</v>
      </c>
      <c r="T3940" t="s">
        <v>3857</v>
      </c>
      <c r="U3940" t="s">
        <v>998</v>
      </c>
    </row>
    <row r="3941" spans="1:21" ht="15" customHeight="1" x14ac:dyDescent="0.3">
      <c r="A3941" t="s">
        <v>179</v>
      </c>
      <c r="B3941" t="str">
        <f>"00075175"</f>
        <v>00075175</v>
      </c>
      <c r="C3941" t="s">
        <v>4253</v>
      </c>
      <c r="D3941" t="s">
        <v>5506</v>
      </c>
      <c r="E3941" t="str">
        <f>"00069601"</f>
        <v>00069601</v>
      </c>
      <c r="F3941">
        <v>0</v>
      </c>
      <c r="G3941" s="243">
        <v>41133</v>
      </c>
      <c r="H3941" t="s">
        <v>182</v>
      </c>
      <c r="I3941">
        <v>15</v>
      </c>
      <c r="J3941">
        <v>1</v>
      </c>
      <c r="K3941">
        <v>1</v>
      </c>
      <c r="L3941">
        <v>51539</v>
      </c>
      <c r="M3941" t="str">
        <f t="shared" si="563"/>
        <v>13</v>
      </c>
      <c r="N3941" t="s">
        <v>3323</v>
      </c>
      <c r="O3941" t="str">
        <f t="shared" si="564"/>
        <v>63411</v>
      </c>
      <c r="P3941" t="str">
        <f t="shared" si="567"/>
        <v>2100L</v>
      </c>
      <c r="Q3941" t="str">
        <f t="shared" si="566"/>
        <v>0101</v>
      </c>
      <c r="R3941">
        <v>2100</v>
      </c>
      <c r="S3941" t="str">
        <f t="shared" si="565"/>
        <v>6340</v>
      </c>
      <c r="T3941" t="s">
        <v>3857</v>
      </c>
      <c r="U3941" t="s">
        <v>998</v>
      </c>
    </row>
    <row r="3942" spans="1:21" ht="15" customHeight="1" x14ac:dyDescent="0.3">
      <c r="A3942" t="s">
        <v>179</v>
      </c>
      <c r="B3942" t="str">
        <f>"00075176"</f>
        <v>00075176</v>
      </c>
      <c r="C3942" t="s">
        <v>4253</v>
      </c>
      <c r="D3942" t="s">
        <v>3890</v>
      </c>
      <c r="E3942" t="str">
        <f>"00067065"</f>
        <v>00067065</v>
      </c>
      <c r="F3942">
        <v>0</v>
      </c>
      <c r="G3942" s="243">
        <v>40819</v>
      </c>
      <c r="H3942" t="s">
        <v>182</v>
      </c>
      <c r="I3942">
        <v>15</v>
      </c>
      <c r="J3942">
        <v>1</v>
      </c>
      <c r="K3942">
        <v>1</v>
      </c>
      <c r="L3942">
        <v>51539</v>
      </c>
      <c r="M3942" t="str">
        <f t="shared" si="563"/>
        <v>13</v>
      </c>
      <c r="N3942" t="s">
        <v>3323</v>
      </c>
      <c r="O3942" t="str">
        <f t="shared" si="564"/>
        <v>63411</v>
      </c>
      <c r="P3942" t="str">
        <f t="shared" si="567"/>
        <v>2100L</v>
      </c>
      <c r="Q3942" t="str">
        <f t="shared" si="566"/>
        <v>0101</v>
      </c>
      <c r="R3942">
        <v>2100</v>
      </c>
      <c r="S3942" t="str">
        <f t="shared" si="565"/>
        <v>6340</v>
      </c>
      <c r="T3942" t="s">
        <v>3857</v>
      </c>
      <c r="U3942" t="s">
        <v>998</v>
      </c>
    </row>
    <row r="3943" spans="1:21" ht="15" customHeight="1" x14ac:dyDescent="0.3">
      <c r="A3943" t="s">
        <v>179</v>
      </c>
      <c r="B3943" t="str">
        <f>"00076042"</f>
        <v>00076042</v>
      </c>
      <c r="C3943" t="s">
        <v>4372</v>
      </c>
      <c r="D3943" t="s">
        <v>5507</v>
      </c>
      <c r="E3943" t="str">
        <f>"00070094"</f>
        <v>00070094</v>
      </c>
      <c r="F3943">
        <v>0</v>
      </c>
      <c r="G3943" s="243">
        <v>41148</v>
      </c>
      <c r="H3943" t="s">
        <v>182</v>
      </c>
      <c r="I3943">
        <v>4</v>
      </c>
      <c r="J3943">
        <v>8</v>
      </c>
      <c r="K3943">
        <v>1</v>
      </c>
      <c r="L3943">
        <v>31234</v>
      </c>
      <c r="M3943" t="str">
        <f t="shared" si="563"/>
        <v>13</v>
      </c>
      <c r="N3943" t="s">
        <v>3370</v>
      </c>
      <c r="O3943" t="str">
        <f t="shared" si="564"/>
        <v>63411</v>
      </c>
      <c r="P3943" t="str">
        <f t="shared" si="567"/>
        <v>2100L</v>
      </c>
      <c r="Q3943" t="str">
        <f t="shared" si="566"/>
        <v>0101</v>
      </c>
      <c r="R3943">
        <v>2100</v>
      </c>
      <c r="S3943" t="str">
        <f t="shared" si="565"/>
        <v>6340</v>
      </c>
      <c r="T3943" t="s">
        <v>3857</v>
      </c>
      <c r="U3943" t="s">
        <v>998</v>
      </c>
    </row>
    <row r="3944" spans="1:21" ht="15" customHeight="1" x14ac:dyDescent="0.3">
      <c r="A3944" t="s">
        <v>179</v>
      </c>
      <c r="B3944" t="str">
        <f>"00076043"</f>
        <v>00076043</v>
      </c>
      <c r="C3944" t="s">
        <v>4395</v>
      </c>
      <c r="D3944" t="s">
        <v>5508</v>
      </c>
      <c r="E3944" t="str">
        <f>"00070209"</f>
        <v>00070209</v>
      </c>
      <c r="F3944">
        <v>0</v>
      </c>
      <c r="G3944" s="243">
        <v>41148</v>
      </c>
      <c r="H3944" t="s">
        <v>182</v>
      </c>
      <c r="I3944">
        <v>10</v>
      </c>
      <c r="J3944">
        <v>8</v>
      </c>
      <c r="K3944">
        <v>1</v>
      </c>
      <c r="L3944">
        <v>80981</v>
      </c>
      <c r="M3944" t="str">
        <f t="shared" si="563"/>
        <v>13</v>
      </c>
      <c r="N3944" t="s">
        <v>3323</v>
      </c>
      <c r="O3944" t="str">
        <f t="shared" si="564"/>
        <v>63411</v>
      </c>
      <c r="P3944" t="str">
        <f t="shared" si="567"/>
        <v>2100L</v>
      </c>
      <c r="Q3944" t="str">
        <f t="shared" si="566"/>
        <v>0101</v>
      </c>
      <c r="R3944">
        <v>2100</v>
      </c>
      <c r="S3944" t="str">
        <f t="shared" si="565"/>
        <v>6340</v>
      </c>
      <c r="T3944" t="s">
        <v>3857</v>
      </c>
      <c r="U3944" t="s">
        <v>998</v>
      </c>
    </row>
    <row r="3945" spans="1:21" ht="15" customHeight="1" x14ac:dyDescent="0.3">
      <c r="A3945" t="s">
        <v>179</v>
      </c>
      <c r="B3945" t="str">
        <f>"00076044"</f>
        <v>00076044</v>
      </c>
      <c r="C3945" t="s">
        <v>4253</v>
      </c>
      <c r="D3945" t="s">
        <v>2032</v>
      </c>
      <c r="E3945" t="str">
        <f>"00054265"</f>
        <v>00054265</v>
      </c>
      <c r="F3945">
        <v>0</v>
      </c>
      <c r="G3945" s="243">
        <v>32050</v>
      </c>
      <c r="H3945" t="s">
        <v>182</v>
      </c>
      <c r="I3945">
        <v>15</v>
      </c>
      <c r="J3945">
        <v>16</v>
      </c>
      <c r="K3945">
        <v>1</v>
      </c>
      <c r="L3945">
        <v>100839</v>
      </c>
      <c r="M3945" t="str">
        <f t="shared" si="563"/>
        <v>13</v>
      </c>
      <c r="N3945" t="s">
        <v>3370</v>
      </c>
      <c r="O3945" t="str">
        <f t="shared" si="564"/>
        <v>63411</v>
      </c>
      <c r="P3945" t="str">
        <f t="shared" si="567"/>
        <v>2100L</v>
      </c>
      <c r="Q3945" t="str">
        <f t="shared" si="566"/>
        <v>0101</v>
      </c>
      <c r="R3945">
        <v>2100</v>
      </c>
      <c r="S3945" t="str">
        <f t="shared" si="565"/>
        <v>6340</v>
      </c>
      <c r="T3945" t="s">
        <v>3857</v>
      </c>
      <c r="U3945" t="s">
        <v>998</v>
      </c>
    </row>
    <row r="3946" spans="1:21" ht="15" customHeight="1" x14ac:dyDescent="0.3">
      <c r="A3946" t="s">
        <v>179</v>
      </c>
      <c r="B3946" t="str">
        <f>"00076046"</f>
        <v>00076046</v>
      </c>
      <c r="C3946" t="s">
        <v>4271</v>
      </c>
      <c r="H3946" t="s">
        <v>170</v>
      </c>
      <c r="I3946">
        <v>15</v>
      </c>
      <c r="J3946">
        <v>0</v>
      </c>
      <c r="K3946">
        <v>0.5</v>
      </c>
      <c r="L3946">
        <v>60128</v>
      </c>
      <c r="M3946" t="str">
        <f t="shared" si="563"/>
        <v>13</v>
      </c>
      <c r="N3946" t="s">
        <v>3370</v>
      </c>
      <c r="O3946" t="str">
        <f t="shared" si="564"/>
        <v>63411</v>
      </c>
      <c r="P3946" t="str">
        <f t="shared" si="567"/>
        <v>2100L</v>
      </c>
      <c r="Q3946" t="str">
        <f t="shared" si="566"/>
        <v>0101</v>
      </c>
      <c r="R3946">
        <v>2100</v>
      </c>
      <c r="S3946" t="str">
        <f t="shared" si="565"/>
        <v>6340</v>
      </c>
      <c r="T3946" t="s">
        <v>3857</v>
      </c>
      <c r="U3946" t="s">
        <v>998</v>
      </c>
    </row>
    <row r="3947" spans="1:21" ht="15" customHeight="1" x14ac:dyDescent="0.3">
      <c r="A3947" t="s">
        <v>206</v>
      </c>
      <c r="B3947" t="str">
        <f>"00051535"</f>
        <v>00051535</v>
      </c>
      <c r="C3947" t="s">
        <v>4256</v>
      </c>
      <c r="H3947" t="s">
        <v>170</v>
      </c>
      <c r="I3947">
        <v>15</v>
      </c>
      <c r="J3947">
        <v>1</v>
      </c>
      <c r="K3947">
        <v>1</v>
      </c>
      <c r="L3947">
        <v>56693</v>
      </c>
      <c r="M3947" t="str">
        <f t="shared" si="563"/>
        <v>13</v>
      </c>
      <c r="N3947" t="s">
        <v>3323</v>
      </c>
      <c r="O3947" t="str">
        <f t="shared" ref="O3947:O3979" si="568">"63611"</f>
        <v>63611</v>
      </c>
      <c r="P3947" t="str">
        <f t="shared" si="567"/>
        <v>2100L</v>
      </c>
      <c r="Q3947" t="str">
        <f t="shared" si="566"/>
        <v>0101</v>
      </c>
      <c r="R3947">
        <v>2100</v>
      </c>
      <c r="S3947" t="str">
        <f t="shared" ref="S3947:S3979" si="569">"6360"</f>
        <v>6360</v>
      </c>
      <c r="T3947" t="s">
        <v>3696</v>
      </c>
      <c r="U3947" t="s">
        <v>2201</v>
      </c>
    </row>
    <row r="3948" spans="1:21" ht="15" customHeight="1" x14ac:dyDescent="0.3">
      <c r="A3948" t="s">
        <v>179</v>
      </c>
      <c r="B3948" t="str">
        <f>"00052556"</f>
        <v>00052556</v>
      </c>
      <c r="C3948" t="s">
        <v>4291</v>
      </c>
      <c r="D3948" t="s">
        <v>983</v>
      </c>
      <c r="E3948" t="str">
        <f>"00048544"</f>
        <v>00048544</v>
      </c>
      <c r="F3948">
        <v>0</v>
      </c>
      <c r="G3948" s="243">
        <v>33619</v>
      </c>
      <c r="H3948" t="s">
        <v>182</v>
      </c>
      <c r="I3948">
        <v>15</v>
      </c>
      <c r="J3948">
        <v>16</v>
      </c>
      <c r="K3948">
        <v>0.5</v>
      </c>
      <c r="L3948">
        <v>100839</v>
      </c>
      <c r="M3948" t="str">
        <f t="shared" si="563"/>
        <v>13</v>
      </c>
      <c r="N3948" t="s">
        <v>3323</v>
      </c>
      <c r="O3948" t="str">
        <f t="shared" si="568"/>
        <v>63611</v>
      </c>
      <c r="P3948" t="str">
        <f t="shared" si="567"/>
        <v>2100L</v>
      </c>
      <c r="Q3948" t="str">
        <f t="shared" si="566"/>
        <v>0101</v>
      </c>
      <c r="R3948">
        <v>2100</v>
      </c>
      <c r="S3948" t="str">
        <f t="shared" si="569"/>
        <v>6360</v>
      </c>
      <c r="T3948" t="s">
        <v>3447</v>
      </c>
      <c r="U3948" t="s">
        <v>118</v>
      </c>
    </row>
    <row r="3949" spans="1:21" ht="15" customHeight="1" x14ac:dyDescent="0.3">
      <c r="A3949" t="s">
        <v>179</v>
      </c>
      <c r="B3949" t="str">
        <f>"00052688"</f>
        <v>00052688</v>
      </c>
      <c r="C3949" t="s">
        <v>4262</v>
      </c>
      <c r="H3949" t="s">
        <v>170</v>
      </c>
      <c r="I3949">
        <v>15</v>
      </c>
      <c r="J3949">
        <v>1</v>
      </c>
      <c r="K3949">
        <v>1</v>
      </c>
      <c r="L3949">
        <v>54975</v>
      </c>
      <c r="M3949" t="str">
        <f t="shared" si="563"/>
        <v>13</v>
      </c>
      <c r="N3949" t="s">
        <v>3323</v>
      </c>
      <c r="O3949" t="str">
        <f t="shared" si="568"/>
        <v>63611</v>
      </c>
      <c r="P3949" t="str">
        <f t="shared" si="567"/>
        <v>2100L</v>
      </c>
      <c r="Q3949" t="str">
        <f t="shared" si="566"/>
        <v>0101</v>
      </c>
      <c r="R3949">
        <v>2100</v>
      </c>
      <c r="S3949" t="str">
        <f t="shared" si="569"/>
        <v>6360</v>
      </c>
      <c r="T3949" t="s">
        <v>3858</v>
      </c>
      <c r="U3949" t="s">
        <v>1058</v>
      </c>
    </row>
    <row r="3950" spans="1:21" ht="15" customHeight="1" x14ac:dyDescent="0.3">
      <c r="A3950" t="s">
        <v>179</v>
      </c>
      <c r="B3950" t="str">
        <f>"00052728"</f>
        <v>00052728</v>
      </c>
      <c r="C3950" t="s">
        <v>3670</v>
      </c>
      <c r="D3950" t="s">
        <v>1060</v>
      </c>
      <c r="E3950" t="str">
        <f>"00049157"</f>
        <v>00049157</v>
      </c>
      <c r="F3950">
        <v>0</v>
      </c>
      <c r="G3950" s="243">
        <v>33554</v>
      </c>
      <c r="H3950" t="s">
        <v>182</v>
      </c>
      <c r="I3950">
        <v>8</v>
      </c>
      <c r="J3950">
        <v>8</v>
      </c>
      <c r="K3950">
        <v>1</v>
      </c>
      <c r="L3950">
        <v>101078</v>
      </c>
      <c r="M3950" t="str">
        <f t="shared" si="563"/>
        <v>13</v>
      </c>
      <c r="N3950" t="s">
        <v>3323</v>
      </c>
      <c r="O3950" t="str">
        <f t="shared" si="568"/>
        <v>63611</v>
      </c>
      <c r="P3950" t="str">
        <f>"1501L"</f>
        <v>1501L</v>
      </c>
      <c r="Q3950" t="str">
        <f t="shared" si="566"/>
        <v>0101</v>
      </c>
      <c r="R3950">
        <v>1501</v>
      </c>
      <c r="S3950" t="str">
        <f t="shared" si="569"/>
        <v>6360</v>
      </c>
      <c r="T3950" t="s">
        <v>3858</v>
      </c>
      <c r="U3950" t="s">
        <v>1058</v>
      </c>
    </row>
    <row r="3951" spans="1:21" ht="15" customHeight="1" x14ac:dyDescent="0.3">
      <c r="A3951" t="s">
        <v>179</v>
      </c>
      <c r="B3951" t="str">
        <f>"00053143"</f>
        <v>00053143</v>
      </c>
      <c r="C3951" t="s">
        <v>4272</v>
      </c>
      <c r="D3951" t="s">
        <v>1061</v>
      </c>
      <c r="E3951" t="str">
        <f>"00051017"</f>
        <v>00051017</v>
      </c>
      <c r="F3951">
        <v>0</v>
      </c>
      <c r="G3951" s="243">
        <v>33521</v>
      </c>
      <c r="H3951" t="s">
        <v>182</v>
      </c>
      <c r="I3951">
        <v>15</v>
      </c>
      <c r="J3951">
        <v>16</v>
      </c>
      <c r="K3951">
        <v>1</v>
      </c>
      <c r="L3951">
        <v>106540</v>
      </c>
      <c r="M3951" t="str">
        <f t="shared" si="563"/>
        <v>13</v>
      </c>
      <c r="N3951" t="s">
        <v>3323</v>
      </c>
      <c r="O3951" t="str">
        <f t="shared" si="568"/>
        <v>63611</v>
      </c>
      <c r="P3951" t="str">
        <f>"2200L"</f>
        <v>2200L</v>
      </c>
      <c r="Q3951" t="str">
        <f t="shared" si="566"/>
        <v>0101</v>
      </c>
      <c r="R3951">
        <v>2200</v>
      </c>
      <c r="S3951" t="str">
        <f t="shared" si="569"/>
        <v>6360</v>
      </c>
      <c r="T3951" t="s">
        <v>3858</v>
      </c>
      <c r="U3951" t="s">
        <v>1058</v>
      </c>
    </row>
    <row r="3952" spans="1:21" ht="15" customHeight="1" x14ac:dyDescent="0.3">
      <c r="A3952" t="s">
        <v>179</v>
      </c>
      <c r="B3952" t="str">
        <f>"00053182"</f>
        <v>00053182</v>
      </c>
      <c r="C3952" t="s">
        <v>4262</v>
      </c>
      <c r="D3952" t="s">
        <v>1062</v>
      </c>
      <c r="E3952" t="str">
        <f>"00051076"</f>
        <v>00051076</v>
      </c>
      <c r="F3952">
        <v>0</v>
      </c>
      <c r="G3952" s="243">
        <v>32050</v>
      </c>
      <c r="H3952" t="s">
        <v>182</v>
      </c>
      <c r="I3952">
        <v>15</v>
      </c>
      <c r="J3952">
        <v>13</v>
      </c>
      <c r="K3952">
        <v>1</v>
      </c>
      <c r="L3952">
        <v>86613</v>
      </c>
      <c r="M3952" t="str">
        <f t="shared" si="563"/>
        <v>13</v>
      </c>
      <c r="N3952" t="s">
        <v>3323</v>
      </c>
      <c r="O3952" t="str">
        <f t="shared" si="568"/>
        <v>63611</v>
      </c>
      <c r="P3952" t="str">
        <f>"2100L"</f>
        <v>2100L</v>
      </c>
      <c r="Q3952" t="str">
        <f t="shared" si="566"/>
        <v>0101</v>
      </c>
      <c r="R3952">
        <v>2100</v>
      </c>
      <c r="S3952" t="str">
        <f t="shared" si="569"/>
        <v>6360</v>
      </c>
      <c r="T3952" t="s">
        <v>3858</v>
      </c>
      <c r="U3952" t="s">
        <v>1058</v>
      </c>
    </row>
    <row r="3953" spans="1:21" ht="15" customHeight="1" x14ac:dyDescent="0.3">
      <c r="A3953" t="s">
        <v>179</v>
      </c>
      <c r="B3953" t="str">
        <f>"00053556"</f>
        <v>00053556</v>
      </c>
      <c r="C3953" t="s">
        <v>4253</v>
      </c>
      <c r="D3953" t="s">
        <v>1063</v>
      </c>
      <c r="E3953" t="str">
        <f>"00051735"</f>
        <v>00051735</v>
      </c>
      <c r="F3953">
        <v>0</v>
      </c>
      <c r="G3953" s="243">
        <v>32050</v>
      </c>
      <c r="H3953" t="s">
        <v>182</v>
      </c>
      <c r="I3953">
        <v>15</v>
      </c>
      <c r="J3953">
        <v>16</v>
      </c>
      <c r="K3953">
        <v>1</v>
      </c>
      <c r="L3953">
        <v>100839</v>
      </c>
      <c r="M3953" t="str">
        <f t="shared" si="563"/>
        <v>13</v>
      </c>
      <c r="N3953" t="s">
        <v>3323</v>
      </c>
      <c r="O3953" t="str">
        <f t="shared" si="568"/>
        <v>63611</v>
      </c>
      <c r="P3953" t="str">
        <f>"2100L"</f>
        <v>2100L</v>
      </c>
      <c r="Q3953" t="str">
        <f t="shared" si="566"/>
        <v>0101</v>
      </c>
      <c r="R3953">
        <v>2100</v>
      </c>
      <c r="S3953" t="str">
        <f t="shared" si="569"/>
        <v>6360</v>
      </c>
      <c r="T3953" t="s">
        <v>3858</v>
      </c>
      <c r="U3953" t="s">
        <v>1058</v>
      </c>
    </row>
    <row r="3954" spans="1:21" ht="15" customHeight="1" x14ac:dyDescent="0.3">
      <c r="A3954" t="s">
        <v>179</v>
      </c>
      <c r="B3954" t="str">
        <f>"00053929"</f>
        <v>00053929</v>
      </c>
      <c r="C3954" t="s">
        <v>4272</v>
      </c>
      <c r="D3954" t="s">
        <v>1064</v>
      </c>
      <c r="E3954" t="str">
        <f>"00052758"</f>
        <v>00052758</v>
      </c>
      <c r="F3954">
        <v>0</v>
      </c>
      <c r="G3954" s="243">
        <v>32050</v>
      </c>
      <c r="H3954" t="s">
        <v>182</v>
      </c>
      <c r="I3954">
        <v>15</v>
      </c>
      <c r="J3954">
        <v>16</v>
      </c>
      <c r="K3954">
        <v>1</v>
      </c>
      <c r="L3954">
        <v>100839</v>
      </c>
      <c r="M3954" t="str">
        <f t="shared" si="563"/>
        <v>13</v>
      </c>
      <c r="N3954" t="s">
        <v>3323</v>
      </c>
      <c r="O3954" t="str">
        <f t="shared" si="568"/>
        <v>63611</v>
      </c>
      <c r="P3954" t="str">
        <f>"2100L"</f>
        <v>2100L</v>
      </c>
      <c r="Q3954" t="str">
        <f t="shared" si="566"/>
        <v>0101</v>
      </c>
      <c r="R3954">
        <v>2100</v>
      </c>
      <c r="S3954" t="str">
        <f t="shared" si="569"/>
        <v>6360</v>
      </c>
      <c r="T3954" t="s">
        <v>3858</v>
      </c>
      <c r="U3954" t="s">
        <v>1058</v>
      </c>
    </row>
    <row r="3955" spans="1:21" ht="15" customHeight="1" x14ac:dyDescent="0.3">
      <c r="A3955" t="s">
        <v>179</v>
      </c>
      <c r="B3955" t="str">
        <f>"00053983"</f>
        <v>00053983</v>
      </c>
      <c r="C3955" t="s">
        <v>4262</v>
      </c>
      <c r="H3955" t="s">
        <v>170</v>
      </c>
      <c r="I3955">
        <v>15</v>
      </c>
      <c r="J3955">
        <v>1</v>
      </c>
      <c r="K3955">
        <v>1</v>
      </c>
      <c r="L3955">
        <v>60128</v>
      </c>
      <c r="M3955" t="str">
        <f t="shared" si="563"/>
        <v>13</v>
      </c>
      <c r="N3955" t="s">
        <v>3323</v>
      </c>
      <c r="O3955" t="str">
        <f t="shared" si="568"/>
        <v>63611</v>
      </c>
      <c r="P3955" t="str">
        <f>"2100L"</f>
        <v>2100L</v>
      </c>
      <c r="Q3955" t="str">
        <f t="shared" si="566"/>
        <v>0101</v>
      </c>
      <c r="R3955">
        <v>2100</v>
      </c>
      <c r="S3955" t="str">
        <f t="shared" si="569"/>
        <v>6360</v>
      </c>
      <c r="T3955" t="s">
        <v>3858</v>
      </c>
      <c r="U3955" t="s">
        <v>1058</v>
      </c>
    </row>
    <row r="3956" spans="1:21" ht="15" customHeight="1" x14ac:dyDescent="0.3">
      <c r="A3956" t="s">
        <v>179</v>
      </c>
      <c r="B3956" t="str">
        <f>"00056868"</f>
        <v>00056868</v>
      </c>
      <c r="C3956" t="s">
        <v>4260</v>
      </c>
      <c r="H3956" t="s">
        <v>170</v>
      </c>
      <c r="I3956">
        <v>15</v>
      </c>
      <c r="J3956">
        <v>1</v>
      </c>
      <c r="K3956">
        <v>1</v>
      </c>
      <c r="L3956">
        <v>54975</v>
      </c>
      <c r="M3956" t="str">
        <f t="shared" si="563"/>
        <v>13</v>
      </c>
      <c r="N3956" t="s">
        <v>3323</v>
      </c>
      <c r="O3956" t="str">
        <f t="shared" si="568"/>
        <v>63611</v>
      </c>
      <c r="P3956" t="str">
        <f>"3030L"</f>
        <v>3030L</v>
      </c>
      <c r="Q3956" t="str">
        <f t="shared" si="566"/>
        <v>0101</v>
      </c>
      <c r="R3956">
        <v>3030</v>
      </c>
      <c r="S3956" t="str">
        <f t="shared" si="569"/>
        <v>6360</v>
      </c>
      <c r="T3956" t="s">
        <v>3858</v>
      </c>
      <c r="U3956" t="s">
        <v>1058</v>
      </c>
    </row>
    <row r="3957" spans="1:21" ht="15" customHeight="1" x14ac:dyDescent="0.3">
      <c r="A3957" t="s">
        <v>179</v>
      </c>
      <c r="B3957" t="str">
        <f>"00057846"</f>
        <v>00057846</v>
      </c>
      <c r="C3957" t="s">
        <v>4274</v>
      </c>
      <c r="D3957" t="s">
        <v>5509</v>
      </c>
      <c r="E3957" t="str">
        <f>"00052654"</f>
        <v>00052654</v>
      </c>
      <c r="F3957">
        <v>0</v>
      </c>
      <c r="G3957" s="243">
        <v>37134</v>
      </c>
      <c r="H3957" t="s">
        <v>182</v>
      </c>
      <c r="I3957">
        <v>4</v>
      </c>
      <c r="J3957">
        <v>8</v>
      </c>
      <c r="K3957">
        <v>0.875</v>
      </c>
      <c r="L3957">
        <v>27329.75</v>
      </c>
      <c r="M3957" t="str">
        <f t="shared" si="563"/>
        <v>13</v>
      </c>
      <c r="N3957" t="s">
        <v>3323</v>
      </c>
      <c r="O3957" t="str">
        <f t="shared" si="568"/>
        <v>63611</v>
      </c>
      <c r="P3957" t="str">
        <f>"2200L"</f>
        <v>2200L</v>
      </c>
      <c r="Q3957" t="str">
        <f t="shared" si="566"/>
        <v>0101</v>
      </c>
      <c r="R3957">
        <v>2200</v>
      </c>
      <c r="S3957" t="str">
        <f t="shared" si="569"/>
        <v>6360</v>
      </c>
      <c r="T3957" t="s">
        <v>3858</v>
      </c>
      <c r="U3957" t="s">
        <v>1058</v>
      </c>
    </row>
    <row r="3958" spans="1:21" ht="15" customHeight="1" x14ac:dyDescent="0.3">
      <c r="A3958" t="s">
        <v>179</v>
      </c>
      <c r="B3958" t="str">
        <f>"00058173"</f>
        <v>00058173</v>
      </c>
      <c r="C3958" t="s">
        <v>3798</v>
      </c>
      <c r="D3958" t="s">
        <v>1065</v>
      </c>
      <c r="E3958" t="str">
        <f>"00048891"</f>
        <v>00048891</v>
      </c>
      <c r="F3958">
        <v>0</v>
      </c>
      <c r="G3958" s="243">
        <v>37124</v>
      </c>
      <c r="H3958" t="s">
        <v>182</v>
      </c>
      <c r="I3958">
        <v>62</v>
      </c>
      <c r="J3958">
        <v>4</v>
      </c>
      <c r="K3958">
        <v>1</v>
      </c>
      <c r="L3958">
        <v>118000</v>
      </c>
      <c r="M3958" t="str">
        <f t="shared" si="563"/>
        <v>13</v>
      </c>
      <c r="N3958" t="s">
        <v>3323</v>
      </c>
      <c r="O3958" t="str">
        <f t="shared" si="568"/>
        <v>63611</v>
      </c>
      <c r="P3958" t="str">
        <f>"1501L"</f>
        <v>1501L</v>
      </c>
      <c r="Q3958" t="str">
        <f t="shared" si="566"/>
        <v>0101</v>
      </c>
      <c r="R3958">
        <v>1501</v>
      </c>
      <c r="S3958" t="str">
        <f t="shared" si="569"/>
        <v>6360</v>
      </c>
      <c r="T3958" t="s">
        <v>3858</v>
      </c>
      <c r="U3958" t="s">
        <v>1058</v>
      </c>
    </row>
    <row r="3959" spans="1:21" ht="15" customHeight="1" x14ac:dyDescent="0.3">
      <c r="A3959" t="s">
        <v>179</v>
      </c>
      <c r="B3959" t="str">
        <f>"00059173"</f>
        <v>00059173</v>
      </c>
      <c r="C3959" t="s">
        <v>4253</v>
      </c>
      <c r="D3959" t="s">
        <v>1066</v>
      </c>
      <c r="E3959" t="str">
        <f>"00055263"</f>
        <v>00055263</v>
      </c>
      <c r="F3959">
        <v>0</v>
      </c>
      <c r="G3959" s="243">
        <v>38587</v>
      </c>
      <c r="H3959" t="s">
        <v>182</v>
      </c>
      <c r="I3959">
        <v>15</v>
      </c>
      <c r="J3959">
        <v>15</v>
      </c>
      <c r="K3959">
        <v>1</v>
      </c>
      <c r="L3959">
        <v>98285</v>
      </c>
      <c r="M3959" t="str">
        <f t="shared" si="563"/>
        <v>13</v>
      </c>
      <c r="N3959" t="s">
        <v>3323</v>
      </c>
      <c r="O3959" t="str">
        <f t="shared" si="568"/>
        <v>63611</v>
      </c>
      <c r="P3959" t="str">
        <f t="shared" ref="P3959:P3970" si="570">"2100L"</f>
        <v>2100L</v>
      </c>
      <c r="Q3959" t="str">
        <f t="shared" si="566"/>
        <v>0101</v>
      </c>
      <c r="R3959">
        <v>2100</v>
      </c>
      <c r="S3959" t="str">
        <f t="shared" si="569"/>
        <v>6360</v>
      </c>
      <c r="T3959" t="s">
        <v>3858</v>
      </c>
      <c r="U3959" t="s">
        <v>1058</v>
      </c>
    </row>
    <row r="3960" spans="1:21" ht="15" customHeight="1" x14ac:dyDescent="0.3">
      <c r="A3960" t="s">
        <v>179</v>
      </c>
      <c r="B3960" t="str">
        <f>"00059338"</f>
        <v>00059338</v>
      </c>
      <c r="C3960" t="s">
        <v>4262</v>
      </c>
      <c r="D3960" t="s">
        <v>5510</v>
      </c>
      <c r="E3960" t="str">
        <f>"00069961"</f>
        <v>00069961</v>
      </c>
      <c r="F3960">
        <v>0</v>
      </c>
      <c r="G3960" s="243">
        <v>41133</v>
      </c>
      <c r="H3960" t="s">
        <v>182</v>
      </c>
      <c r="I3960">
        <v>15</v>
      </c>
      <c r="J3960">
        <v>1</v>
      </c>
      <c r="K3960">
        <v>1</v>
      </c>
      <c r="L3960">
        <v>51539</v>
      </c>
      <c r="M3960" t="str">
        <f t="shared" si="563"/>
        <v>13</v>
      </c>
      <c r="N3960" t="s">
        <v>3370</v>
      </c>
      <c r="O3960" t="str">
        <f t="shared" si="568"/>
        <v>63611</v>
      </c>
      <c r="P3960" t="str">
        <f t="shared" si="570"/>
        <v>2100L</v>
      </c>
      <c r="Q3960" t="str">
        <f t="shared" si="566"/>
        <v>0101</v>
      </c>
      <c r="R3960">
        <v>2100</v>
      </c>
      <c r="S3960" t="str">
        <f t="shared" si="569"/>
        <v>6360</v>
      </c>
      <c r="T3960" t="s">
        <v>3858</v>
      </c>
      <c r="U3960" t="s">
        <v>1058</v>
      </c>
    </row>
    <row r="3961" spans="1:21" ht="15" customHeight="1" x14ac:dyDescent="0.3">
      <c r="A3961" t="s">
        <v>179</v>
      </c>
      <c r="B3961" t="str">
        <f>"00060375"</f>
        <v>00060375</v>
      </c>
      <c r="C3961" t="s">
        <v>4262</v>
      </c>
      <c r="D3961" t="s">
        <v>1067</v>
      </c>
      <c r="E3961" t="str">
        <f>"00049840"</f>
        <v>00049840</v>
      </c>
      <c r="F3961">
        <v>0</v>
      </c>
      <c r="G3961" s="243">
        <v>38593</v>
      </c>
      <c r="H3961" t="s">
        <v>182</v>
      </c>
      <c r="I3961">
        <v>15</v>
      </c>
      <c r="J3961">
        <v>11</v>
      </c>
      <c r="K3961">
        <v>1</v>
      </c>
      <c r="L3961">
        <v>81335</v>
      </c>
      <c r="M3961" t="str">
        <f t="shared" si="563"/>
        <v>13</v>
      </c>
      <c r="N3961" t="s">
        <v>3323</v>
      </c>
      <c r="O3961" t="str">
        <f t="shared" si="568"/>
        <v>63611</v>
      </c>
      <c r="P3961" t="str">
        <f t="shared" si="570"/>
        <v>2100L</v>
      </c>
      <c r="Q3961" t="str">
        <f t="shared" si="566"/>
        <v>0101</v>
      </c>
      <c r="R3961">
        <v>2100</v>
      </c>
      <c r="S3961" t="str">
        <f t="shared" si="569"/>
        <v>6360</v>
      </c>
      <c r="T3961" t="s">
        <v>3858</v>
      </c>
      <c r="U3961" t="s">
        <v>1058</v>
      </c>
    </row>
    <row r="3962" spans="1:21" ht="15" customHeight="1" x14ac:dyDescent="0.3">
      <c r="A3962" t="s">
        <v>179</v>
      </c>
      <c r="B3962" t="str">
        <f>"00060589"</f>
        <v>00060589</v>
      </c>
      <c r="C3962" t="s">
        <v>4263</v>
      </c>
      <c r="D3962" t="s">
        <v>1068</v>
      </c>
      <c r="E3962" t="str">
        <f>"00053802"</f>
        <v>00053802</v>
      </c>
      <c r="F3962">
        <v>0</v>
      </c>
      <c r="G3962" s="243">
        <v>38971</v>
      </c>
      <c r="H3962" t="s">
        <v>182</v>
      </c>
      <c r="I3962">
        <v>15</v>
      </c>
      <c r="J3962">
        <v>13</v>
      </c>
      <c r="K3962">
        <v>1</v>
      </c>
      <c r="L3962">
        <v>81724</v>
      </c>
      <c r="M3962" t="str">
        <f t="shared" si="563"/>
        <v>13</v>
      </c>
      <c r="N3962" t="s">
        <v>3323</v>
      </c>
      <c r="O3962" t="str">
        <f t="shared" si="568"/>
        <v>63611</v>
      </c>
      <c r="P3962" t="str">
        <f t="shared" si="570"/>
        <v>2100L</v>
      </c>
      <c r="Q3962" t="str">
        <f t="shared" si="566"/>
        <v>0101</v>
      </c>
      <c r="R3962">
        <v>2100</v>
      </c>
      <c r="S3962" t="str">
        <f t="shared" si="569"/>
        <v>6360</v>
      </c>
      <c r="T3962" t="s">
        <v>3858</v>
      </c>
      <c r="U3962" t="s">
        <v>1058</v>
      </c>
    </row>
    <row r="3963" spans="1:21" ht="15" customHeight="1" x14ac:dyDescent="0.3">
      <c r="A3963" t="s">
        <v>179</v>
      </c>
      <c r="B3963" t="str">
        <f>"00062112"</f>
        <v>00062112</v>
      </c>
      <c r="C3963" t="s">
        <v>4260</v>
      </c>
      <c r="D3963" t="s">
        <v>1069</v>
      </c>
      <c r="E3963" t="str">
        <f>"00052875"</f>
        <v>00052875</v>
      </c>
      <c r="F3963">
        <v>0</v>
      </c>
      <c r="G3963" s="243">
        <v>33420</v>
      </c>
      <c r="H3963" t="s">
        <v>182</v>
      </c>
      <c r="I3963">
        <v>15</v>
      </c>
      <c r="J3963">
        <v>16</v>
      </c>
      <c r="K3963">
        <v>1</v>
      </c>
      <c r="L3963">
        <v>103347</v>
      </c>
      <c r="M3963" t="str">
        <f t="shared" si="563"/>
        <v>13</v>
      </c>
      <c r="N3963" t="s">
        <v>3323</v>
      </c>
      <c r="O3963" t="str">
        <f t="shared" si="568"/>
        <v>63611</v>
      </c>
      <c r="P3963" t="str">
        <f t="shared" si="570"/>
        <v>2100L</v>
      </c>
      <c r="Q3963" t="str">
        <f t="shared" si="566"/>
        <v>0101</v>
      </c>
      <c r="R3963">
        <v>2100</v>
      </c>
      <c r="S3963" t="str">
        <f t="shared" si="569"/>
        <v>6360</v>
      </c>
      <c r="T3963" t="s">
        <v>3858</v>
      </c>
      <c r="U3963" t="s">
        <v>1058</v>
      </c>
    </row>
    <row r="3964" spans="1:21" ht="15" customHeight="1" x14ac:dyDescent="0.3">
      <c r="A3964" t="s">
        <v>179</v>
      </c>
      <c r="B3964" t="str">
        <f>"00065775"</f>
        <v>00065775</v>
      </c>
      <c r="C3964" t="s">
        <v>4262</v>
      </c>
      <c r="D3964" t="s">
        <v>1070</v>
      </c>
      <c r="E3964" t="str">
        <f>"00057327"</f>
        <v>00057327</v>
      </c>
      <c r="F3964">
        <v>0</v>
      </c>
      <c r="G3964" s="243">
        <v>40042</v>
      </c>
      <c r="H3964" t="s">
        <v>182</v>
      </c>
      <c r="I3964">
        <v>15</v>
      </c>
      <c r="J3964">
        <v>7</v>
      </c>
      <c r="K3964">
        <v>1</v>
      </c>
      <c r="L3964">
        <v>69132</v>
      </c>
      <c r="M3964" t="str">
        <f t="shared" si="563"/>
        <v>13</v>
      </c>
      <c r="N3964" t="s">
        <v>3323</v>
      </c>
      <c r="O3964" t="str">
        <f t="shared" si="568"/>
        <v>63611</v>
      </c>
      <c r="P3964" t="str">
        <f t="shared" si="570"/>
        <v>2100L</v>
      </c>
      <c r="Q3964" t="str">
        <f t="shared" si="566"/>
        <v>0101</v>
      </c>
      <c r="R3964">
        <v>2100</v>
      </c>
      <c r="S3964" t="str">
        <f t="shared" si="569"/>
        <v>6360</v>
      </c>
      <c r="T3964" t="s">
        <v>3858</v>
      </c>
      <c r="U3964" t="s">
        <v>1058</v>
      </c>
    </row>
    <row r="3965" spans="1:21" ht="15" customHeight="1" x14ac:dyDescent="0.3">
      <c r="A3965" t="s">
        <v>179</v>
      </c>
      <c r="B3965" t="str">
        <f>"00065776"</f>
        <v>00065776</v>
      </c>
      <c r="C3965" t="s">
        <v>4253</v>
      </c>
      <c r="D3965" t="s">
        <v>5511</v>
      </c>
      <c r="E3965" t="str">
        <f>"00069542"</f>
        <v>00069542</v>
      </c>
      <c r="F3965">
        <v>0</v>
      </c>
      <c r="G3965" s="243">
        <v>41133</v>
      </c>
      <c r="H3965" t="s">
        <v>182</v>
      </c>
      <c r="I3965">
        <v>15</v>
      </c>
      <c r="J3965">
        <v>1</v>
      </c>
      <c r="K3965">
        <v>1</v>
      </c>
      <c r="L3965">
        <v>51539</v>
      </c>
      <c r="M3965" t="str">
        <f t="shared" si="563"/>
        <v>13</v>
      </c>
      <c r="N3965" t="s">
        <v>3370</v>
      </c>
      <c r="O3965" t="str">
        <f t="shared" si="568"/>
        <v>63611</v>
      </c>
      <c r="P3965" t="str">
        <f t="shared" si="570"/>
        <v>2100L</v>
      </c>
      <c r="Q3965" t="str">
        <f t="shared" si="566"/>
        <v>0101</v>
      </c>
      <c r="R3965">
        <v>2100</v>
      </c>
      <c r="S3965" t="str">
        <f t="shared" si="569"/>
        <v>6360</v>
      </c>
      <c r="T3965" t="s">
        <v>3858</v>
      </c>
      <c r="U3965" t="s">
        <v>1058</v>
      </c>
    </row>
    <row r="3966" spans="1:21" ht="15" customHeight="1" x14ac:dyDescent="0.3">
      <c r="A3966" t="s">
        <v>179</v>
      </c>
      <c r="B3966" t="str">
        <f>"00065779"</f>
        <v>00065779</v>
      </c>
      <c r="C3966" t="s">
        <v>4253</v>
      </c>
      <c r="D3966" t="s">
        <v>1071</v>
      </c>
      <c r="E3966" t="str">
        <f>"00046890"</f>
        <v>00046890</v>
      </c>
      <c r="F3966">
        <v>0</v>
      </c>
      <c r="G3966" s="243">
        <v>38587</v>
      </c>
      <c r="H3966" t="s">
        <v>182</v>
      </c>
      <c r="I3966">
        <v>15</v>
      </c>
      <c r="J3966">
        <v>13</v>
      </c>
      <c r="K3966">
        <v>1</v>
      </c>
      <c r="L3966">
        <v>86613</v>
      </c>
      <c r="M3966" t="str">
        <f t="shared" si="563"/>
        <v>13</v>
      </c>
      <c r="N3966" t="s">
        <v>3323</v>
      </c>
      <c r="O3966" t="str">
        <f t="shared" si="568"/>
        <v>63611</v>
      </c>
      <c r="P3966" t="str">
        <f t="shared" si="570"/>
        <v>2100L</v>
      </c>
      <c r="Q3966" t="str">
        <f t="shared" si="566"/>
        <v>0101</v>
      </c>
      <c r="R3966">
        <v>2100</v>
      </c>
      <c r="S3966" t="str">
        <f t="shared" si="569"/>
        <v>6360</v>
      </c>
      <c r="T3966" t="s">
        <v>3858</v>
      </c>
      <c r="U3966" t="s">
        <v>1058</v>
      </c>
    </row>
    <row r="3967" spans="1:21" ht="15" customHeight="1" x14ac:dyDescent="0.3">
      <c r="A3967" t="s">
        <v>179</v>
      </c>
      <c r="B3967" t="str">
        <f>"00066398"</f>
        <v>00066398</v>
      </c>
      <c r="C3967" t="s">
        <v>4293</v>
      </c>
      <c r="D3967" t="s">
        <v>1072</v>
      </c>
      <c r="E3967" t="str">
        <f>"00057347"</f>
        <v>00057347</v>
      </c>
      <c r="F3967">
        <v>0</v>
      </c>
      <c r="G3967" s="243">
        <v>40042</v>
      </c>
      <c r="H3967" t="s">
        <v>182</v>
      </c>
      <c r="I3967">
        <v>15</v>
      </c>
      <c r="J3967">
        <v>5</v>
      </c>
      <c r="K3967">
        <v>0.5</v>
      </c>
      <c r="L3967">
        <v>33039</v>
      </c>
      <c r="M3967" t="str">
        <f t="shared" si="563"/>
        <v>13</v>
      </c>
      <c r="N3967" t="s">
        <v>3323</v>
      </c>
      <c r="O3967" t="str">
        <f t="shared" si="568"/>
        <v>63611</v>
      </c>
      <c r="P3967" t="str">
        <f t="shared" si="570"/>
        <v>2100L</v>
      </c>
      <c r="Q3967" t="str">
        <f t="shared" si="566"/>
        <v>0101</v>
      </c>
      <c r="R3967">
        <v>2100</v>
      </c>
      <c r="S3967" t="str">
        <f t="shared" si="569"/>
        <v>6360</v>
      </c>
      <c r="T3967" t="s">
        <v>3858</v>
      </c>
      <c r="U3967" t="s">
        <v>1058</v>
      </c>
    </row>
    <row r="3968" spans="1:21" ht="15" customHeight="1" x14ac:dyDescent="0.3">
      <c r="A3968" t="s">
        <v>179</v>
      </c>
      <c r="B3968" t="str">
        <f>"00072309"</f>
        <v>00072309</v>
      </c>
      <c r="C3968" t="s">
        <v>4272</v>
      </c>
      <c r="D3968" t="s">
        <v>3897</v>
      </c>
      <c r="E3968" t="str">
        <f>"00060317"</f>
        <v>00060317</v>
      </c>
      <c r="F3968">
        <v>0</v>
      </c>
      <c r="G3968" s="243">
        <v>40755</v>
      </c>
      <c r="H3968" t="s">
        <v>182</v>
      </c>
      <c r="I3968">
        <v>15</v>
      </c>
      <c r="J3968">
        <v>2</v>
      </c>
      <c r="K3968">
        <v>1</v>
      </c>
      <c r="L3968">
        <v>56242</v>
      </c>
      <c r="M3968" t="str">
        <f t="shared" si="563"/>
        <v>13</v>
      </c>
      <c r="N3968" t="s">
        <v>3323</v>
      </c>
      <c r="O3968" t="str">
        <f t="shared" si="568"/>
        <v>63611</v>
      </c>
      <c r="P3968" t="str">
        <f t="shared" si="570"/>
        <v>2100L</v>
      </c>
      <c r="Q3968" t="str">
        <f t="shared" si="566"/>
        <v>0101</v>
      </c>
      <c r="R3968">
        <v>2100</v>
      </c>
      <c r="S3968" t="str">
        <f t="shared" si="569"/>
        <v>6360</v>
      </c>
      <c r="T3968" t="s">
        <v>3858</v>
      </c>
      <c r="U3968" t="s">
        <v>1058</v>
      </c>
    </row>
    <row r="3969" spans="1:21" ht="15" customHeight="1" x14ac:dyDescent="0.3">
      <c r="A3969" t="s">
        <v>179</v>
      </c>
      <c r="B3969" t="str">
        <f>"00072310"</f>
        <v>00072310</v>
      </c>
      <c r="C3969" t="s">
        <v>4254</v>
      </c>
      <c r="D3969" t="s">
        <v>1074</v>
      </c>
      <c r="E3969" t="str">
        <f>"00057276"</f>
        <v>00057276</v>
      </c>
      <c r="F3969">
        <v>0</v>
      </c>
      <c r="G3969" s="243">
        <v>40042</v>
      </c>
      <c r="H3969" t="s">
        <v>182</v>
      </c>
      <c r="I3969">
        <v>15</v>
      </c>
      <c r="J3969">
        <v>7</v>
      </c>
      <c r="K3969">
        <v>1</v>
      </c>
      <c r="L3969">
        <v>69132</v>
      </c>
      <c r="M3969" t="str">
        <f t="shared" si="563"/>
        <v>13</v>
      </c>
      <c r="N3969" t="s">
        <v>3323</v>
      </c>
      <c r="O3969" t="str">
        <f t="shared" si="568"/>
        <v>63611</v>
      </c>
      <c r="P3969" t="str">
        <f t="shared" si="570"/>
        <v>2100L</v>
      </c>
      <c r="Q3969" t="str">
        <f t="shared" si="566"/>
        <v>0101</v>
      </c>
      <c r="R3969">
        <v>2100</v>
      </c>
      <c r="S3969" t="str">
        <f t="shared" si="569"/>
        <v>6360</v>
      </c>
      <c r="T3969" t="s">
        <v>3858</v>
      </c>
      <c r="U3969" t="s">
        <v>1058</v>
      </c>
    </row>
    <row r="3970" spans="1:21" ht="15" customHeight="1" x14ac:dyDescent="0.3">
      <c r="A3970" t="s">
        <v>179</v>
      </c>
      <c r="B3970" t="str">
        <f>"00072495"</f>
        <v>00072495</v>
      </c>
      <c r="C3970" t="s">
        <v>4288</v>
      </c>
      <c r="D3970" t="s">
        <v>5512</v>
      </c>
      <c r="E3970" t="str">
        <f>"00070075"</f>
        <v>00070075</v>
      </c>
      <c r="F3970">
        <v>0</v>
      </c>
      <c r="G3970" s="243">
        <v>41133</v>
      </c>
      <c r="H3970" t="s">
        <v>182</v>
      </c>
      <c r="I3970">
        <v>4</v>
      </c>
      <c r="J3970">
        <v>7</v>
      </c>
      <c r="K3970">
        <v>0.71</v>
      </c>
      <c r="L3970">
        <v>26633.25</v>
      </c>
      <c r="M3970" t="str">
        <f t="shared" si="563"/>
        <v>13</v>
      </c>
      <c r="N3970" t="s">
        <v>3370</v>
      </c>
      <c r="O3970" t="str">
        <f t="shared" si="568"/>
        <v>63611</v>
      </c>
      <c r="P3970" t="str">
        <f t="shared" si="570"/>
        <v>2100L</v>
      </c>
      <c r="Q3970" t="str">
        <f t="shared" si="566"/>
        <v>0101</v>
      </c>
      <c r="R3970">
        <v>2100</v>
      </c>
      <c r="S3970" t="str">
        <f t="shared" si="569"/>
        <v>6360</v>
      </c>
      <c r="T3970" t="s">
        <v>3858</v>
      </c>
      <c r="U3970" t="s">
        <v>1058</v>
      </c>
    </row>
    <row r="3971" spans="1:21" ht="15" customHeight="1" x14ac:dyDescent="0.3">
      <c r="A3971" t="s">
        <v>179</v>
      </c>
      <c r="B3971" t="str">
        <f>"00072908"</f>
        <v>00072908</v>
      </c>
      <c r="C3971" t="s">
        <v>4272</v>
      </c>
      <c r="D3971" t="s">
        <v>1075</v>
      </c>
      <c r="E3971" t="str">
        <f>"00049401"</f>
        <v>00049401</v>
      </c>
      <c r="F3971">
        <v>0</v>
      </c>
      <c r="G3971" s="243">
        <v>38587</v>
      </c>
      <c r="H3971" t="s">
        <v>182</v>
      </c>
      <c r="I3971">
        <v>15</v>
      </c>
      <c r="J3971">
        <v>11</v>
      </c>
      <c r="K3971">
        <v>1</v>
      </c>
      <c r="L3971">
        <v>81335</v>
      </c>
      <c r="M3971" t="str">
        <f t="shared" si="563"/>
        <v>13</v>
      </c>
      <c r="N3971" t="s">
        <v>3323</v>
      </c>
      <c r="O3971" t="str">
        <f t="shared" si="568"/>
        <v>63611</v>
      </c>
      <c r="P3971" t="str">
        <f>"2100L"</f>
        <v>2100L</v>
      </c>
      <c r="Q3971" t="str">
        <f t="shared" si="566"/>
        <v>0101</v>
      </c>
      <c r="R3971">
        <v>2100</v>
      </c>
      <c r="S3971" t="str">
        <f t="shared" si="569"/>
        <v>6360</v>
      </c>
      <c r="T3971" t="s">
        <v>3858</v>
      </c>
      <c r="U3971" t="s">
        <v>1058</v>
      </c>
    </row>
    <row r="3972" spans="1:21" ht="15" customHeight="1" x14ac:dyDescent="0.3">
      <c r="A3972" t="s">
        <v>179</v>
      </c>
      <c r="B3972" t="str">
        <f>"00073829"</f>
        <v>00073829</v>
      </c>
      <c r="C3972" t="s">
        <v>4266</v>
      </c>
      <c r="D3972" t="s">
        <v>1059</v>
      </c>
      <c r="E3972" t="str">
        <f>"00046365"</f>
        <v>00046365</v>
      </c>
      <c r="F3972">
        <v>0</v>
      </c>
      <c r="G3972" s="243">
        <v>35675</v>
      </c>
      <c r="H3972" t="s">
        <v>182</v>
      </c>
      <c r="I3972">
        <v>15</v>
      </c>
      <c r="J3972">
        <v>15</v>
      </c>
      <c r="K3972">
        <v>1</v>
      </c>
      <c r="L3972">
        <v>98285</v>
      </c>
      <c r="M3972" t="str">
        <f t="shared" si="563"/>
        <v>13</v>
      </c>
      <c r="N3972" t="s">
        <v>3323</v>
      </c>
      <c r="O3972" t="str">
        <f t="shared" si="568"/>
        <v>63611</v>
      </c>
      <c r="P3972" t="str">
        <f>"2100L"</f>
        <v>2100L</v>
      </c>
      <c r="Q3972" t="str">
        <f t="shared" si="566"/>
        <v>0101</v>
      </c>
      <c r="R3972">
        <v>2100</v>
      </c>
      <c r="S3972" t="str">
        <f t="shared" si="569"/>
        <v>6360</v>
      </c>
      <c r="T3972" t="s">
        <v>3858</v>
      </c>
      <c r="U3972" t="s">
        <v>1058</v>
      </c>
    </row>
    <row r="3973" spans="1:21" ht="15" customHeight="1" x14ac:dyDescent="0.3">
      <c r="A3973" t="s">
        <v>179</v>
      </c>
      <c r="B3973" t="str">
        <f>"00074001"</f>
        <v>00074001</v>
      </c>
      <c r="C3973" t="s">
        <v>4360</v>
      </c>
      <c r="D3973" t="s">
        <v>5513</v>
      </c>
      <c r="E3973" t="str">
        <f>"00053336"</f>
        <v>00053336</v>
      </c>
      <c r="F3973">
        <v>0</v>
      </c>
      <c r="G3973" s="243">
        <v>36073</v>
      </c>
      <c r="H3973" t="s">
        <v>182</v>
      </c>
      <c r="I3973">
        <v>7</v>
      </c>
      <c r="J3973">
        <v>9</v>
      </c>
      <c r="K3973">
        <v>1</v>
      </c>
      <c r="L3973">
        <v>43728</v>
      </c>
      <c r="M3973" t="str">
        <f t="shared" si="563"/>
        <v>13</v>
      </c>
      <c r="N3973" t="s">
        <v>3323</v>
      </c>
      <c r="O3973" t="str">
        <f t="shared" si="568"/>
        <v>63611</v>
      </c>
      <c r="P3973" t="str">
        <f>"1502L"</f>
        <v>1502L</v>
      </c>
      <c r="Q3973" t="str">
        <f t="shared" si="566"/>
        <v>0101</v>
      </c>
      <c r="R3973">
        <v>1502</v>
      </c>
      <c r="S3973" t="str">
        <f t="shared" si="569"/>
        <v>6360</v>
      </c>
      <c r="T3973" t="s">
        <v>3858</v>
      </c>
      <c r="U3973" t="s">
        <v>1058</v>
      </c>
    </row>
    <row r="3974" spans="1:21" ht="15" customHeight="1" x14ac:dyDescent="0.3">
      <c r="A3974" t="s">
        <v>179</v>
      </c>
      <c r="B3974" t="str">
        <f>"00074351"</f>
        <v>00074351</v>
      </c>
      <c r="C3974" t="s">
        <v>4272</v>
      </c>
      <c r="H3974" t="s">
        <v>170</v>
      </c>
      <c r="I3974">
        <v>15</v>
      </c>
      <c r="J3974">
        <v>1</v>
      </c>
      <c r="K3974">
        <v>1</v>
      </c>
      <c r="L3974">
        <v>54975</v>
      </c>
      <c r="M3974" t="str">
        <f t="shared" si="563"/>
        <v>13</v>
      </c>
      <c r="N3974" t="s">
        <v>3323</v>
      </c>
      <c r="O3974" t="str">
        <f t="shared" si="568"/>
        <v>63611</v>
      </c>
      <c r="P3974" t="str">
        <f>"2100L"</f>
        <v>2100L</v>
      </c>
      <c r="Q3974" t="str">
        <f t="shared" si="566"/>
        <v>0101</v>
      </c>
      <c r="R3974">
        <v>2100</v>
      </c>
      <c r="S3974" t="str">
        <f t="shared" si="569"/>
        <v>6360</v>
      </c>
      <c r="T3974" t="s">
        <v>3858</v>
      </c>
      <c r="U3974" t="s">
        <v>1058</v>
      </c>
    </row>
    <row r="3975" spans="1:21" ht="15" customHeight="1" x14ac:dyDescent="0.3">
      <c r="A3975" t="s">
        <v>179</v>
      </c>
      <c r="B3975" t="str">
        <f>"00074352"</f>
        <v>00074352</v>
      </c>
      <c r="C3975" t="s">
        <v>4326</v>
      </c>
      <c r="D3975" t="s">
        <v>5514</v>
      </c>
      <c r="E3975" t="str">
        <f>"00065744"</f>
        <v>00065744</v>
      </c>
      <c r="F3975">
        <v>0</v>
      </c>
      <c r="G3975" s="243">
        <v>40770</v>
      </c>
      <c r="H3975" t="s">
        <v>182</v>
      </c>
      <c r="I3975">
        <v>4</v>
      </c>
      <c r="J3975">
        <v>5</v>
      </c>
      <c r="K3975">
        <v>0.71</v>
      </c>
      <c r="L3975">
        <v>25239.37</v>
      </c>
      <c r="M3975" t="str">
        <f t="shared" si="563"/>
        <v>13</v>
      </c>
      <c r="N3975" t="s">
        <v>3323</v>
      </c>
      <c r="O3975" t="str">
        <f t="shared" si="568"/>
        <v>63611</v>
      </c>
      <c r="P3975" t="str">
        <f>"2100L"</f>
        <v>2100L</v>
      </c>
      <c r="Q3975" t="str">
        <f t="shared" si="566"/>
        <v>0101</v>
      </c>
      <c r="R3975">
        <v>2100</v>
      </c>
      <c r="S3975" t="str">
        <f t="shared" si="569"/>
        <v>6360</v>
      </c>
      <c r="T3975" t="s">
        <v>3858</v>
      </c>
      <c r="U3975" t="s">
        <v>1058</v>
      </c>
    </row>
    <row r="3976" spans="1:21" ht="15" customHeight="1" x14ac:dyDescent="0.3">
      <c r="A3976" t="s">
        <v>179</v>
      </c>
      <c r="B3976" t="str">
        <f>"00074353"</f>
        <v>00074353</v>
      </c>
      <c r="C3976" t="s">
        <v>4265</v>
      </c>
      <c r="D3976" t="s">
        <v>3901</v>
      </c>
      <c r="E3976" t="str">
        <f>"00054098"</f>
        <v>00054098</v>
      </c>
      <c r="F3976">
        <v>0</v>
      </c>
      <c r="G3976" s="243">
        <v>34038</v>
      </c>
      <c r="H3976" t="s">
        <v>182</v>
      </c>
      <c r="I3976">
        <v>15</v>
      </c>
      <c r="J3976">
        <v>11</v>
      </c>
      <c r="K3976">
        <v>0.5</v>
      </c>
      <c r="L3976">
        <v>40667.5</v>
      </c>
      <c r="M3976" t="str">
        <f t="shared" si="563"/>
        <v>13</v>
      </c>
      <c r="N3976" t="s">
        <v>3323</v>
      </c>
      <c r="O3976" t="str">
        <f t="shared" si="568"/>
        <v>63611</v>
      </c>
      <c r="P3976" t="str">
        <f>"2100L"</f>
        <v>2100L</v>
      </c>
      <c r="Q3976" t="str">
        <f t="shared" si="566"/>
        <v>0101</v>
      </c>
      <c r="R3976">
        <v>2100</v>
      </c>
      <c r="S3976" t="str">
        <f t="shared" si="569"/>
        <v>6360</v>
      </c>
      <c r="T3976" t="s">
        <v>3858</v>
      </c>
      <c r="U3976" t="s">
        <v>1058</v>
      </c>
    </row>
    <row r="3977" spans="1:21" ht="15" customHeight="1" x14ac:dyDescent="0.3">
      <c r="A3977" t="s">
        <v>179</v>
      </c>
      <c r="B3977" t="str">
        <f>"00074354"</f>
        <v>00074354</v>
      </c>
      <c r="C3977" t="s">
        <v>4288</v>
      </c>
      <c r="D3977" t="s">
        <v>5515</v>
      </c>
      <c r="E3977" t="str">
        <f>"00070308"</f>
        <v>00070308</v>
      </c>
      <c r="F3977">
        <v>0</v>
      </c>
      <c r="G3977" s="243">
        <v>41148</v>
      </c>
      <c r="H3977" t="s">
        <v>182</v>
      </c>
      <c r="I3977">
        <v>4</v>
      </c>
      <c r="J3977">
        <v>4</v>
      </c>
      <c r="K3977">
        <v>0.71</v>
      </c>
      <c r="L3977">
        <v>24543.75</v>
      </c>
      <c r="M3977" t="str">
        <f t="shared" si="563"/>
        <v>13</v>
      </c>
      <c r="N3977" t="s">
        <v>3370</v>
      </c>
      <c r="O3977" t="str">
        <f t="shared" si="568"/>
        <v>63611</v>
      </c>
      <c r="P3977" t="str">
        <f>"2100L"</f>
        <v>2100L</v>
      </c>
      <c r="Q3977" t="str">
        <f t="shared" si="566"/>
        <v>0101</v>
      </c>
      <c r="R3977">
        <v>2100</v>
      </c>
      <c r="S3977" t="str">
        <f t="shared" si="569"/>
        <v>6360</v>
      </c>
      <c r="T3977" t="s">
        <v>3858</v>
      </c>
      <c r="U3977" t="s">
        <v>1058</v>
      </c>
    </row>
    <row r="3978" spans="1:21" ht="15" customHeight="1" x14ac:dyDescent="0.3">
      <c r="A3978" t="s">
        <v>179</v>
      </c>
      <c r="B3978" t="str">
        <f>"00076051"</f>
        <v>00076051</v>
      </c>
      <c r="C3978" t="s">
        <v>4271</v>
      </c>
      <c r="D3978" t="s">
        <v>5516</v>
      </c>
      <c r="E3978" t="str">
        <f>"00049239"</f>
        <v>00049239</v>
      </c>
      <c r="F3978">
        <v>0</v>
      </c>
      <c r="G3978" s="243">
        <v>33879</v>
      </c>
      <c r="H3978" t="s">
        <v>182</v>
      </c>
      <c r="I3978">
        <v>15</v>
      </c>
      <c r="J3978">
        <v>15</v>
      </c>
      <c r="K3978">
        <v>0.5</v>
      </c>
      <c r="L3978">
        <v>103985</v>
      </c>
      <c r="M3978" t="str">
        <f t="shared" si="563"/>
        <v>13</v>
      </c>
      <c r="N3978" t="s">
        <v>3323</v>
      </c>
      <c r="O3978" t="str">
        <f t="shared" si="568"/>
        <v>63611</v>
      </c>
      <c r="P3978" t="str">
        <f t="shared" ref="P3978:P3984" si="571">"2100L"</f>
        <v>2100L</v>
      </c>
      <c r="Q3978" t="str">
        <f t="shared" si="566"/>
        <v>0101</v>
      </c>
      <c r="R3978">
        <v>2100</v>
      </c>
      <c r="S3978" t="str">
        <f t="shared" si="569"/>
        <v>6360</v>
      </c>
      <c r="T3978" t="s">
        <v>3858</v>
      </c>
      <c r="U3978" t="s">
        <v>1058</v>
      </c>
    </row>
    <row r="3979" spans="1:21" ht="15" customHeight="1" x14ac:dyDescent="0.3">
      <c r="A3979" t="s">
        <v>179</v>
      </c>
      <c r="B3979" t="str">
        <f>"00076052"</f>
        <v>00076052</v>
      </c>
      <c r="C3979" t="s">
        <v>4614</v>
      </c>
      <c r="D3979" t="s">
        <v>573</v>
      </c>
      <c r="E3979" t="str">
        <f>"00062928"</f>
        <v>00062928</v>
      </c>
      <c r="F3979">
        <v>0</v>
      </c>
      <c r="G3979" s="243">
        <v>40406</v>
      </c>
      <c r="H3979" t="s">
        <v>182</v>
      </c>
      <c r="I3979">
        <v>7</v>
      </c>
      <c r="J3979">
        <v>6</v>
      </c>
      <c r="K3979">
        <v>1</v>
      </c>
      <c r="L3979">
        <v>40407</v>
      </c>
      <c r="M3979" t="str">
        <f t="shared" si="563"/>
        <v>13</v>
      </c>
      <c r="N3979" t="s">
        <v>3370</v>
      </c>
      <c r="O3979" t="str">
        <f t="shared" si="568"/>
        <v>63611</v>
      </c>
      <c r="P3979" t="str">
        <f t="shared" si="571"/>
        <v>2100L</v>
      </c>
      <c r="Q3979" t="str">
        <f t="shared" si="566"/>
        <v>0101</v>
      </c>
      <c r="R3979">
        <v>2100</v>
      </c>
      <c r="S3979" t="str">
        <f t="shared" si="569"/>
        <v>6360</v>
      </c>
      <c r="T3979" t="s">
        <v>3858</v>
      </c>
      <c r="U3979" t="s">
        <v>1058</v>
      </c>
    </row>
    <row r="3980" spans="1:21" ht="15" customHeight="1" x14ac:dyDescent="0.3">
      <c r="A3980" t="s">
        <v>179</v>
      </c>
      <c r="B3980" t="str">
        <f>"00051662"</f>
        <v>00051662</v>
      </c>
      <c r="C3980" t="s">
        <v>4253</v>
      </c>
      <c r="D3980" t="s">
        <v>5517</v>
      </c>
      <c r="E3980" t="str">
        <f>"00069885"</f>
        <v>00069885</v>
      </c>
      <c r="F3980">
        <v>0</v>
      </c>
      <c r="G3980" s="243">
        <v>41133</v>
      </c>
      <c r="H3980" t="s">
        <v>182</v>
      </c>
      <c r="I3980">
        <v>15</v>
      </c>
      <c r="J3980">
        <v>5</v>
      </c>
      <c r="K3980">
        <v>1</v>
      </c>
      <c r="L3980">
        <v>56655</v>
      </c>
      <c r="M3980" t="str">
        <f t="shared" ref="M3980:M4033" si="572">"13"</f>
        <v>13</v>
      </c>
      <c r="N3980" t="s">
        <v>3370</v>
      </c>
      <c r="O3980" t="str">
        <f t="shared" ref="O3980:O4008" si="573">"63811"</f>
        <v>63811</v>
      </c>
      <c r="P3980" t="str">
        <f t="shared" si="571"/>
        <v>2100L</v>
      </c>
      <c r="Q3980" t="str">
        <f t="shared" si="566"/>
        <v>0101</v>
      </c>
      <c r="R3980">
        <v>2100</v>
      </c>
      <c r="S3980" t="str">
        <f t="shared" ref="S3980:S4008" si="574">"6380"</f>
        <v>6380</v>
      </c>
      <c r="T3980" t="s">
        <v>3846</v>
      </c>
      <c r="U3980" t="s">
        <v>1119</v>
      </c>
    </row>
    <row r="3981" spans="1:21" ht="15" customHeight="1" x14ac:dyDescent="0.3">
      <c r="A3981" t="s">
        <v>179</v>
      </c>
      <c r="B3981" t="str">
        <f>"00051770"</f>
        <v>00051770</v>
      </c>
      <c r="C3981" t="s">
        <v>4263</v>
      </c>
      <c r="D3981" t="s">
        <v>1121</v>
      </c>
      <c r="E3981" t="str">
        <f>"00045824"</f>
        <v>00045824</v>
      </c>
      <c r="F3981">
        <v>0</v>
      </c>
      <c r="G3981" s="243">
        <v>31538</v>
      </c>
      <c r="H3981" t="s">
        <v>182</v>
      </c>
      <c r="I3981">
        <v>15</v>
      </c>
      <c r="J3981">
        <v>16</v>
      </c>
      <c r="K3981">
        <v>1</v>
      </c>
      <c r="L3981">
        <v>103347</v>
      </c>
      <c r="M3981" t="str">
        <f t="shared" si="572"/>
        <v>13</v>
      </c>
      <c r="N3981" t="s">
        <v>3323</v>
      </c>
      <c r="O3981" t="str">
        <f t="shared" si="573"/>
        <v>63811</v>
      </c>
      <c r="P3981" t="str">
        <f t="shared" si="571"/>
        <v>2100L</v>
      </c>
      <c r="Q3981" t="str">
        <f t="shared" si="566"/>
        <v>0101</v>
      </c>
      <c r="R3981">
        <v>2100</v>
      </c>
      <c r="S3981" t="str">
        <f t="shared" si="574"/>
        <v>6380</v>
      </c>
      <c r="T3981" t="s">
        <v>3846</v>
      </c>
      <c r="U3981" t="s">
        <v>1119</v>
      </c>
    </row>
    <row r="3982" spans="1:21" ht="15" customHeight="1" x14ac:dyDescent="0.3">
      <c r="A3982" t="s">
        <v>179</v>
      </c>
      <c r="B3982" t="str">
        <f>"00051992"</f>
        <v>00051992</v>
      </c>
      <c r="C3982" t="s">
        <v>4255</v>
      </c>
      <c r="D3982" t="s">
        <v>1122</v>
      </c>
      <c r="E3982" t="str">
        <f>"00046851"</f>
        <v>00046851</v>
      </c>
      <c r="F3982">
        <v>0</v>
      </c>
      <c r="G3982" s="243">
        <v>30302</v>
      </c>
      <c r="H3982" t="s">
        <v>182</v>
      </c>
      <c r="I3982">
        <v>15</v>
      </c>
      <c r="J3982">
        <v>14</v>
      </c>
      <c r="K3982">
        <v>1</v>
      </c>
      <c r="L3982">
        <v>98967</v>
      </c>
      <c r="M3982" t="str">
        <f t="shared" si="572"/>
        <v>13</v>
      </c>
      <c r="N3982" t="s">
        <v>3323</v>
      </c>
      <c r="O3982" t="str">
        <f t="shared" si="573"/>
        <v>63811</v>
      </c>
      <c r="P3982" t="str">
        <f t="shared" si="571"/>
        <v>2100L</v>
      </c>
      <c r="Q3982" t="str">
        <f t="shared" si="566"/>
        <v>0101</v>
      </c>
      <c r="R3982">
        <v>2100</v>
      </c>
      <c r="S3982" t="str">
        <f t="shared" si="574"/>
        <v>6380</v>
      </c>
      <c r="T3982" t="s">
        <v>3846</v>
      </c>
      <c r="U3982" t="s">
        <v>1119</v>
      </c>
    </row>
    <row r="3983" spans="1:21" ht="15" customHeight="1" x14ac:dyDescent="0.3">
      <c r="A3983" t="s">
        <v>179</v>
      </c>
      <c r="B3983" t="str">
        <f>"00052500"</f>
        <v>00052500</v>
      </c>
      <c r="C3983" t="s">
        <v>4253</v>
      </c>
      <c r="D3983" t="s">
        <v>1123</v>
      </c>
      <c r="E3983" t="str">
        <f>"00048415"</f>
        <v>00048415</v>
      </c>
      <c r="F3983">
        <v>0</v>
      </c>
      <c r="G3983" s="243">
        <v>34578</v>
      </c>
      <c r="H3983" t="s">
        <v>182</v>
      </c>
      <c r="I3983">
        <v>15</v>
      </c>
      <c r="J3983">
        <v>15</v>
      </c>
      <c r="K3983">
        <v>1</v>
      </c>
      <c r="L3983">
        <v>103985</v>
      </c>
      <c r="M3983" t="str">
        <f t="shared" si="572"/>
        <v>13</v>
      </c>
      <c r="N3983" t="s">
        <v>3323</v>
      </c>
      <c r="O3983" t="str">
        <f t="shared" si="573"/>
        <v>63811</v>
      </c>
      <c r="P3983" t="str">
        <f t="shared" si="571"/>
        <v>2100L</v>
      </c>
      <c r="Q3983" t="str">
        <f t="shared" si="566"/>
        <v>0101</v>
      </c>
      <c r="R3983">
        <v>2100</v>
      </c>
      <c r="S3983" t="str">
        <f t="shared" si="574"/>
        <v>6380</v>
      </c>
      <c r="T3983" t="s">
        <v>3846</v>
      </c>
      <c r="U3983" t="s">
        <v>1119</v>
      </c>
    </row>
    <row r="3984" spans="1:21" ht="15" customHeight="1" x14ac:dyDescent="0.3">
      <c r="A3984" t="s">
        <v>179</v>
      </c>
      <c r="B3984" t="str">
        <f>"00052561"</f>
        <v>00052561</v>
      </c>
      <c r="C3984" t="s">
        <v>4252</v>
      </c>
      <c r="D3984" t="s">
        <v>1124</v>
      </c>
      <c r="E3984" t="str">
        <f>"00010791"</f>
        <v>00010791</v>
      </c>
      <c r="F3984">
        <v>2</v>
      </c>
      <c r="G3984" s="243">
        <v>32050</v>
      </c>
      <c r="H3984" t="s">
        <v>182</v>
      </c>
      <c r="I3984">
        <v>15</v>
      </c>
      <c r="J3984">
        <v>16</v>
      </c>
      <c r="K3984">
        <v>1</v>
      </c>
      <c r="L3984">
        <v>106540</v>
      </c>
      <c r="M3984" t="str">
        <f t="shared" si="572"/>
        <v>13</v>
      </c>
      <c r="N3984" t="s">
        <v>3323</v>
      </c>
      <c r="O3984" t="str">
        <f t="shared" si="573"/>
        <v>63811</v>
      </c>
      <c r="P3984" t="str">
        <f t="shared" si="571"/>
        <v>2100L</v>
      </c>
      <c r="Q3984" t="str">
        <f t="shared" si="566"/>
        <v>0101</v>
      </c>
      <c r="R3984">
        <v>2100</v>
      </c>
      <c r="S3984" t="str">
        <f t="shared" si="574"/>
        <v>6380</v>
      </c>
      <c r="T3984" t="s">
        <v>3846</v>
      </c>
      <c r="U3984" t="s">
        <v>1119</v>
      </c>
    </row>
    <row r="3985" spans="1:21" ht="15" customHeight="1" x14ac:dyDescent="0.3">
      <c r="A3985" t="s">
        <v>179</v>
      </c>
      <c r="B3985" t="str">
        <f>"00052608"</f>
        <v>00052608</v>
      </c>
      <c r="C3985" t="s">
        <v>4260</v>
      </c>
      <c r="D3985" t="s">
        <v>1017</v>
      </c>
      <c r="E3985" t="str">
        <f>"00062820"</f>
        <v>00062820</v>
      </c>
      <c r="F3985">
        <v>0</v>
      </c>
      <c r="G3985" s="243">
        <v>40406</v>
      </c>
      <c r="H3985" t="s">
        <v>182</v>
      </c>
      <c r="I3985">
        <v>15</v>
      </c>
      <c r="J3985">
        <v>3</v>
      </c>
      <c r="K3985">
        <v>1</v>
      </c>
      <c r="L3985">
        <v>52777</v>
      </c>
      <c r="M3985" t="str">
        <f t="shared" si="572"/>
        <v>13</v>
      </c>
      <c r="N3985" t="s">
        <v>3370</v>
      </c>
      <c r="O3985" t="str">
        <f t="shared" si="573"/>
        <v>63811</v>
      </c>
      <c r="P3985" t="str">
        <f>"3030L"</f>
        <v>3030L</v>
      </c>
      <c r="Q3985" t="str">
        <f t="shared" si="566"/>
        <v>0101</v>
      </c>
      <c r="R3985">
        <v>3030</v>
      </c>
      <c r="S3985" t="str">
        <f t="shared" si="574"/>
        <v>6380</v>
      </c>
      <c r="T3985" t="s">
        <v>3846</v>
      </c>
      <c r="U3985" t="s">
        <v>1119</v>
      </c>
    </row>
    <row r="3986" spans="1:21" ht="15" customHeight="1" x14ac:dyDescent="0.3">
      <c r="A3986" t="s">
        <v>179</v>
      </c>
      <c r="B3986" t="str">
        <f>"00052877"</f>
        <v>00052877</v>
      </c>
      <c r="C3986" t="s">
        <v>3798</v>
      </c>
      <c r="D3986" t="s">
        <v>3900</v>
      </c>
      <c r="E3986" t="str">
        <f>"00065434"</f>
        <v>00065434</v>
      </c>
      <c r="F3986">
        <v>0</v>
      </c>
      <c r="G3986" s="243">
        <v>40728</v>
      </c>
      <c r="H3986" t="s">
        <v>182</v>
      </c>
      <c r="I3986">
        <v>63</v>
      </c>
      <c r="J3986">
        <v>7</v>
      </c>
      <c r="K3986">
        <v>1</v>
      </c>
      <c r="L3986">
        <v>134000</v>
      </c>
      <c r="M3986" t="str">
        <f t="shared" si="572"/>
        <v>13</v>
      </c>
      <c r="N3986" t="s">
        <v>3323</v>
      </c>
      <c r="O3986" t="str">
        <f t="shared" si="573"/>
        <v>63811</v>
      </c>
      <c r="P3986" t="str">
        <f>"1501L"</f>
        <v>1501L</v>
      </c>
      <c r="Q3986" t="str">
        <f t="shared" si="566"/>
        <v>0101</v>
      </c>
      <c r="R3986">
        <v>1501</v>
      </c>
      <c r="S3986" t="str">
        <f t="shared" si="574"/>
        <v>6380</v>
      </c>
      <c r="T3986" t="s">
        <v>3846</v>
      </c>
      <c r="U3986" t="s">
        <v>1119</v>
      </c>
    </row>
    <row r="3987" spans="1:21" ht="15" customHeight="1" x14ac:dyDescent="0.3">
      <c r="A3987" t="s">
        <v>179</v>
      </c>
      <c r="B3987" t="str">
        <f>"00053977"</f>
        <v>00053977</v>
      </c>
      <c r="C3987" t="s">
        <v>4253</v>
      </c>
      <c r="D3987" t="s">
        <v>3902</v>
      </c>
      <c r="E3987" t="str">
        <f>"00065914"</f>
        <v>00065914</v>
      </c>
      <c r="F3987">
        <v>0</v>
      </c>
      <c r="G3987" s="243">
        <v>40755</v>
      </c>
      <c r="H3987" t="s">
        <v>182</v>
      </c>
      <c r="I3987">
        <v>15</v>
      </c>
      <c r="J3987">
        <v>2</v>
      </c>
      <c r="K3987">
        <v>1</v>
      </c>
      <c r="L3987">
        <v>56242</v>
      </c>
      <c r="M3987" t="str">
        <f t="shared" si="572"/>
        <v>13</v>
      </c>
      <c r="N3987" t="s">
        <v>3323</v>
      </c>
      <c r="O3987" t="str">
        <f t="shared" si="573"/>
        <v>63811</v>
      </c>
      <c r="P3987" t="str">
        <f t="shared" ref="P3987:P3992" si="575">"2100L"</f>
        <v>2100L</v>
      </c>
      <c r="Q3987" t="str">
        <f t="shared" si="566"/>
        <v>0101</v>
      </c>
      <c r="R3987">
        <v>2100</v>
      </c>
      <c r="S3987" t="str">
        <f t="shared" si="574"/>
        <v>6380</v>
      </c>
      <c r="T3987" t="s">
        <v>3846</v>
      </c>
      <c r="U3987" t="s">
        <v>1119</v>
      </c>
    </row>
    <row r="3988" spans="1:21" ht="15" customHeight="1" x14ac:dyDescent="0.3">
      <c r="A3988" t="s">
        <v>179</v>
      </c>
      <c r="B3988" t="str">
        <f>"00054101"</f>
        <v>00054101</v>
      </c>
      <c r="C3988" t="s">
        <v>4255</v>
      </c>
      <c r="D3988" t="s">
        <v>1127</v>
      </c>
      <c r="E3988" t="str">
        <f>"00053022"</f>
        <v>00053022</v>
      </c>
      <c r="F3988">
        <v>0</v>
      </c>
      <c r="G3988" s="243">
        <v>34584</v>
      </c>
      <c r="H3988" t="s">
        <v>182</v>
      </c>
      <c r="I3988">
        <v>15</v>
      </c>
      <c r="J3988">
        <v>14</v>
      </c>
      <c r="K3988">
        <v>1</v>
      </c>
      <c r="L3988">
        <v>96460</v>
      </c>
      <c r="M3988" t="str">
        <f t="shared" si="572"/>
        <v>13</v>
      </c>
      <c r="N3988" t="s">
        <v>3323</v>
      </c>
      <c r="O3988" t="str">
        <f t="shared" si="573"/>
        <v>63811</v>
      </c>
      <c r="P3988" t="str">
        <f t="shared" si="575"/>
        <v>2100L</v>
      </c>
      <c r="Q3988" t="str">
        <f t="shared" ref="Q3988:Q4041" si="576">"0101"</f>
        <v>0101</v>
      </c>
      <c r="R3988">
        <v>2100</v>
      </c>
      <c r="S3988" t="str">
        <f t="shared" si="574"/>
        <v>6380</v>
      </c>
      <c r="T3988" t="s">
        <v>3846</v>
      </c>
      <c r="U3988" t="s">
        <v>1119</v>
      </c>
    </row>
    <row r="3989" spans="1:21" ht="15" customHeight="1" x14ac:dyDescent="0.3">
      <c r="A3989" t="s">
        <v>179</v>
      </c>
      <c r="B3989" t="str">
        <f>"00054157"</f>
        <v>00054157</v>
      </c>
      <c r="C3989" t="s">
        <v>4260</v>
      </c>
      <c r="D3989" t="s">
        <v>1128</v>
      </c>
      <c r="E3989" t="str">
        <f>"00053139"</f>
        <v>00053139</v>
      </c>
      <c r="F3989">
        <v>0</v>
      </c>
      <c r="G3989" s="243">
        <v>32052</v>
      </c>
      <c r="H3989" t="s">
        <v>182</v>
      </c>
      <c r="I3989">
        <v>15</v>
      </c>
      <c r="J3989">
        <v>16</v>
      </c>
      <c r="K3989">
        <v>1</v>
      </c>
      <c r="L3989">
        <v>103347</v>
      </c>
      <c r="M3989" t="str">
        <f t="shared" si="572"/>
        <v>13</v>
      </c>
      <c r="N3989" t="s">
        <v>3323</v>
      </c>
      <c r="O3989" t="str">
        <f t="shared" si="573"/>
        <v>63811</v>
      </c>
      <c r="P3989" t="str">
        <f t="shared" si="575"/>
        <v>2100L</v>
      </c>
      <c r="Q3989" t="str">
        <f t="shared" si="576"/>
        <v>0101</v>
      </c>
      <c r="R3989">
        <v>2100</v>
      </c>
      <c r="S3989" t="str">
        <f t="shared" si="574"/>
        <v>6380</v>
      </c>
      <c r="T3989" t="s">
        <v>3846</v>
      </c>
      <c r="U3989" t="s">
        <v>1119</v>
      </c>
    </row>
    <row r="3990" spans="1:21" ht="15" customHeight="1" x14ac:dyDescent="0.3">
      <c r="A3990" t="s">
        <v>179</v>
      </c>
      <c r="B3990" t="str">
        <f>"00054169"</f>
        <v>00054169</v>
      </c>
      <c r="C3990" t="s">
        <v>4257</v>
      </c>
      <c r="D3990" t="s">
        <v>1129</v>
      </c>
      <c r="E3990" t="str">
        <f>"00053160"</f>
        <v>00053160</v>
      </c>
      <c r="F3990">
        <v>0</v>
      </c>
      <c r="G3990" s="243">
        <v>32813</v>
      </c>
      <c r="H3990" t="s">
        <v>182</v>
      </c>
      <c r="I3990">
        <v>15</v>
      </c>
      <c r="J3990">
        <v>13</v>
      </c>
      <c r="K3990">
        <v>1</v>
      </c>
      <c r="L3990">
        <v>81724</v>
      </c>
      <c r="M3990" t="str">
        <f t="shared" si="572"/>
        <v>13</v>
      </c>
      <c r="N3990" t="s">
        <v>3323</v>
      </c>
      <c r="O3990" t="str">
        <f t="shared" si="573"/>
        <v>63811</v>
      </c>
      <c r="P3990" t="str">
        <f t="shared" si="575"/>
        <v>2100L</v>
      </c>
      <c r="Q3990" t="str">
        <f t="shared" si="576"/>
        <v>0101</v>
      </c>
      <c r="R3990">
        <v>2100</v>
      </c>
      <c r="S3990" t="str">
        <f t="shared" si="574"/>
        <v>6380</v>
      </c>
      <c r="T3990" t="s">
        <v>3846</v>
      </c>
      <c r="U3990" t="s">
        <v>1119</v>
      </c>
    </row>
    <row r="3991" spans="1:21" ht="15" customHeight="1" x14ac:dyDescent="0.3">
      <c r="A3991" t="s">
        <v>179</v>
      </c>
      <c r="B3991" t="str">
        <f>"00054354"</f>
        <v>00054354</v>
      </c>
      <c r="C3991" t="s">
        <v>4254</v>
      </c>
      <c r="D3991" t="s">
        <v>1130</v>
      </c>
      <c r="E3991" t="str">
        <f>"00053858"</f>
        <v>00053858</v>
      </c>
      <c r="F3991">
        <v>0</v>
      </c>
      <c r="G3991" s="243">
        <v>20432</v>
      </c>
      <c r="H3991" t="s">
        <v>182</v>
      </c>
      <c r="I3991">
        <v>15</v>
      </c>
      <c r="J3991">
        <v>16</v>
      </c>
      <c r="K3991">
        <v>1</v>
      </c>
      <c r="L3991">
        <v>103347</v>
      </c>
      <c r="M3991" t="str">
        <f t="shared" si="572"/>
        <v>13</v>
      </c>
      <c r="N3991" t="s">
        <v>3323</v>
      </c>
      <c r="O3991" t="str">
        <f t="shared" si="573"/>
        <v>63811</v>
      </c>
      <c r="P3991" t="str">
        <f t="shared" si="575"/>
        <v>2100L</v>
      </c>
      <c r="Q3991" t="str">
        <f t="shared" si="576"/>
        <v>0101</v>
      </c>
      <c r="R3991">
        <v>2100</v>
      </c>
      <c r="S3991" t="str">
        <f t="shared" si="574"/>
        <v>6380</v>
      </c>
      <c r="T3991" t="s">
        <v>3846</v>
      </c>
      <c r="U3991" t="s">
        <v>1119</v>
      </c>
    </row>
    <row r="3992" spans="1:21" ht="15" customHeight="1" x14ac:dyDescent="0.3">
      <c r="A3992" t="s">
        <v>179</v>
      </c>
      <c r="B3992" t="str">
        <f>"00054643"</f>
        <v>00054643</v>
      </c>
      <c r="C3992" t="s">
        <v>4262</v>
      </c>
      <c r="D3992" t="s">
        <v>5518</v>
      </c>
      <c r="E3992" t="str">
        <f>"00069554"</f>
        <v>00069554</v>
      </c>
      <c r="F3992">
        <v>0</v>
      </c>
      <c r="G3992" s="243">
        <v>41133</v>
      </c>
      <c r="H3992" t="s">
        <v>182</v>
      </c>
      <c r="I3992">
        <v>15</v>
      </c>
      <c r="J3992">
        <v>5</v>
      </c>
      <c r="K3992">
        <v>1</v>
      </c>
      <c r="L3992">
        <v>63611</v>
      </c>
      <c r="M3992" t="str">
        <f t="shared" si="572"/>
        <v>13</v>
      </c>
      <c r="N3992" t="s">
        <v>3370</v>
      </c>
      <c r="O3992" t="str">
        <f t="shared" si="573"/>
        <v>63811</v>
      </c>
      <c r="P3992" t="str">
        <f t="shared" si="575"/>
        <v>2100L</v>
      </c>
      <c r="Q3992" t="str">
        <f t="shared" si="576"/>
        <v>0101</v>
      </c>
      <c r="R3992">
        <v>2100</v>
      </c>
      <c r="S3992" t="str">
        <f t="shared" si="574"/>
        <v>6380</v>
      </c>
      <c r="T3992" t="s">
        <v>3846</v>
      </c>
      <c r="U3992" t="s">
        <v>1119</v>
      </c>
    </row>
    <row r="3993" spans="1:21" ht="15" customHeight="1" x14ac:dyDescent="0.3">
      <c r="A3993" t="s">
        <v>179</v>
      </c>
      <c r="B3993" t="str">
        <f>"00054709"</f>
        <v>00054709</v>
      </c>
      <c r="C3993" t="s">
        <v>4341</v>
      </c>
      <c r="D3993" t="s">
        <v>1131</v>
      </c>
      <c r="E3993" t="str">
        <f>"00054446"</f>
        <v>00054446</v>
      </c>
      <c r="F3993">
        <v>0</v>
      </c>
      <c r="G3993" s="243">
        <v>34941</v>
      </c>
      <c r="H3993" t="s">
        <v>182</v>
      </c>
      <c r="I3993">
        <v>10</v>
      </c>
      <c r="J3993">
        <v>9</v>
      </c>
      <c r="K3993">
        <v>1</v>
      </c>
      <c r="L3993">
        <v>86183</v>
      </c>
      <c r="M3993" t="str">
        <f t="shared" si="572"/>
        <v>13</v>
      </c>
      <c r="N3993" t="s">
        <v>3323</v>
      </c>
      <c r="O3993" t="str">
        <f t="shared" si="573"/>
        <v>63811</v>
      </c>
      <c r="P3993" t="str">
        <f>"3030L"</f>
        <v>3030L</v>
      </c>
      <c r="Q3993" t="str">
        <f t="shared" si="576"/>
        <v>0101</v>
      </c>
      <c r="R3993">
        <v>3030</v>
      </c>
      <c r="S3993" t="str">
        <f t="shared" si="574"/>
        <v>6380</v>
      </c>
      <c r="T3993" t="s">
        <v>3846</v>
      </c>
      <c r="U3993" t="s">
        <v>1119</v>
      </c>
    </row>
    <row r="3994" spans="1:21" ht="15" customHeight="1" x14ac:dyDescent="0.3">
      <c r="A3994" t="s">
        <v>179</v>
      </c>
      <c r="B3994" t="str">
        <f>"00054788"</f>
        <v>00054788</v>
      </c>
      <c r="C3994" t="s">
        <v>4254</v>
      </c>
      <c r="D3994" t="s">
        <v>1132</v>
      </c>
      <c r="E3994" t="str">
        <f>"00050683"</f>
        <v>00050683</v>
      </c>
      <c r="F3994">
        <v>0</v>
      </c>
      <c r="G3994" s="243">
        <v>39679</v>
      </c>
      <c r="H3994" t="s">
        <v>182</v>
      </c>
      <c r="I3994">
        <v>15</v>
      </c>
      <c r="J3994">
        <v>6</v>
      </c>
      <c r="K3994">
        <v>1</v>
      </c>
      <c r="L3994">
        <v>66078</v>
      </c>
      <c r="M3994" t="str">
        <f t="shared" si="572"/>
        <v>13</v>
      </c>
      <c r="N3994" t="s">
        <v>3323</v>
      </c>
      <c r="O3994" t="str">
        <f t="shared" si="573"/>
        <v>63811</v>
      </c>
      <c r="P3994" t="str">
        <f>"2100L"</f>
        <v>2100L</v>
      </c>
      <c r="Q3994" t="str">
        <f t="shared" si="576"/>
        <v>0101</v>
      </c>
      <c r="R3994">
        <v>2100</v>
      </c>
      <c r="S3994" t="str">
        <f t="shared" si="574"/>
        <v>6380</v>
      </c>
      <c r="T3994" t="s">
        <v>3846</v>
      </c>
      <c r="U3994" t="s">
        <v>1119</v>
      </c>
    </row>
    <row r="3995" spans="1:21" ht="15" customHeight="1" x14ac:dyDescent="0.3">
      <c r="A3995" t="s">
        <v>179</v>
      </c>
      <c r="B3995" t="str">
        <f>"00054888"</f>
        <v>00054888</v>
      </c>
      <c r="C3995" t="s">
        <v>4290</v>
      </c>
      <c r="D3995" t="s">
        <v>5519</v>
      </c>
      <c r="E3995" t="str">
        <f>"00054875"</f>
        <v>00054875</v>
      </c>
      <c r="F3995">
        <v>0</v>
      </c>
      <c r="G3995" s="243">
        <v>34381</v>
      </c>
      <c r="H3995" t="s">
        <v>182</v>
      </c>
      <c r="I3995">
        <v>4</v>
      </c>
      <c r="J3995">
        <v>10</v>
      </c>
      <c r="K3995">
        <v>0.875</v>
      </c>
      <c r="L3995">
        <v>28721</v>
      </c>
      <c r="M3995" t="str">
        <f t="shared" si="572"/>
        <v>13</v>
      </c>
      <c r="N3995" t="s">
        <v>3323</v>
      </c>
      <c r="O3995" t="str">
        <f t="shared" si="573"/>
        <v>63811</v>
      </c>
      <c r="P3995" t="str">
        <f>"3030L"</f>
        <v>3030L</v>
      </c>
      <c r="Q3995" t="str">
        <f t="shared" si="576"/>
        <v>0101</v>
      </c>
      <c r="R3995">
        <v>3030</v>
      </c>
      <c r="S3995" t="str">
        <f t="shared" si="574"/>
        <v>6380</v>
      </c>
      <c r="T3995" t="s">
        <v>3846</v>
      </c>
      <c r="U3995" t="s">
        <v>1119</v>
      </c>
    </row>
    <row r="3996" spans="1:21" ht="15" customHeight="1" x14ac:dyDescent="0.3">
      <c r="A3996" t="s">
        <v>179</v>
      </c>
      <c r="B3996" t="str">
        <f>"00057037"</f>
        <v>00057037</v>
      </c>
      <c r="C3996" t="s">
        <v>4253</v>
      </c>
      <c r="D3996" t="s">
        <v>1133</v>
      </c>
      <c r="E3996" t="str">
        <f>"00009980"</f>
        <v>00009980</v>
      </c>
      <c r="F3996">
        <v>1</v>
      </c>
      <c r="G3996" s="243">
        <v>36434</v>
      </c>
      <c r="H3996" t="s">
        <v>182</v>
      </c>
      <c r="I3996">
        <v>15</v>
      </c>
      <c r="J3996">
        <v>16</v>
      </c>
      <c r="K3996">
        <v>1</v>
      </c>
      <c r="L3996">
        <v>103347</v>
      </c>
      <c r="M3996" t="str">
        <f t="shared" si="572"/>
        <v>13</v>
      </c>
      <c r="N3996" t="s">
        <v>3323</v>
      </c>
      <c r="O3996" t="str">
        <f t="shared" si="573"/>
        <v>63811</v>
      </c>
      <c r="P3996" t="str">
        <f t="shared" ref="P3996:P4001" si="577">"2100L"</f>
        <v>2100L</v>
      </c>
      <c r="Q3996" t="str">
        <f t="shared" si="576"/>
        <v>0101</v>
      </c>
      <c r="R3996">
        <v>2100</v>
      </c>
      <c r="S3996" t="str">
        <f t="shared" si="574"/>
        <v>6380</v>
      </c>
      <c r="T3996" t="s">
        <v>3846</v>
      </c>
      <c r="U3996" t="s">
        <v>1119</v>
      </c>
    </row>
    <row r="3997" spans="1:21" ht="15" customHeight="1" x14ac:dyDescent="0.3">
      <c r="A3997" t="s">
        <v>179</v>
      </c>
      <c r="B3997" t="str">
        <f>"00057043"</f>
        <v>00057043</v>
      </c>
      <c r="C3997" t="s">
        <v>4253</v>
      </c>
      <c r="D3997" t="s">
        <v>1134</v>
      </c>
      <c r="E3997" t="str">
        <f>"00053054"</f>
        <v>00053054</v>
      </c>
      <c r="F3997">
        <v>0</v>
      </c>
      <c r="G3997" s="243">
        <v>36390</v>
      </c>
      <c r="H3997" t="s">
        <v>182</v>
      </c>
      <c r="I3997">
        <v>15</v>
      </c>
      <c r="J3997">
        <v>13</v>
      </c>
      <c r="K3997">
        <v>1</v>
      </c>
      <c r="L3997">
        <v>81724</v>
      </c>
      <c r="M3997" t="str">
        <f t="shared" si="572"/>
        <v>13</v>
      </c>
      <c r="N3997" t="s">
        <v>3323</v>
      </c>
      <c r="O3997" t="str">
        <f t="shared" si="573"/>
        <v>63811</v>
      </c>
      <c r="P3997" t="str">
        <f t="shared" si="577"/>
        <v>2100L</v>
      </c>
      <c r="Q3997" t="str">
        <f t="shared" si="576"/>
        <v>0101</v>
      </c>
      <c r="R3997">
        <v>2100</v>
      </c>
      <c r="S3997" t="str">
        <f t="shared" si="574"/>
        <v>6380</v>
      </c>
      <c r="T3997" t="s">
        <v>3846</v>
      </c>
      <c r="U3997" t="s">
        <v>1119</v>
      </c>
    </row>
    <row r="3998" spans="1:21" ht="15" customHeight="1" x14ac:dyDescent="0.3">
      <c r="A3998" t="s">
        <v>179</v>
      </c>
      <c r="B3998" t="str">
        <f>"00057597"</f>
        <v>00057597</v>
      </c>
      <c r="C3998" t="s">
        <v>4258</v>
      </c>
      <c r="D3998" t="s">
        <v>1135</v>
      </c>
      <c r="E3998" t="str">
        <f>"00052597"</f>
        <v>00052597</v>
      </c>
      <c r="F3998">
        <v>0</v>
      </c>
      <c r="G3998" s="243">
        <v>32050</v>
      </c>
      <c r="H3998" t="s">
        <v>182</v>
      </c>
      <c r="I3998">
        <v>15</v>
      </c>
      <c r="J3998">
        <v>16</v>
      </c>
      <c r="K3998">
        <v>1</v>
      </c>
      <c r="L3998">
        <v>106540</v>
      </c>
      <c r="M3998" t="str">
        <f t="shared" si="572"/>
        <v>13</v>
      </c>
      <c r="N3998" t="s">
        <v>3323</v>
      </c>
      <c r="O3998" t="str">
        <f t="shared" si="573"/>
        <v>63811</v>
      </c>
      <c r="P3998" t="str">
        <f t="shared" si="577"/>
        <v>2100L</v>
      </c>
      <c r="Q3998" t="str">
        <f t="shared" si="576"/>
        <v>0101</v>
      </c>
      <c r="R3998">
        <v>2100</v>
      </c>
      <c r="S3998" t="str">
        <f t="shared" si="574"/>
        <v>6380</v>
      </c>
      <c r="T3998" t="s">
        <v>3846</v>
      </c>
      <c r="U3998" t="s">
        <v>1119</v>
      </c>
    </row>
    <row r="3999" spans="1:21" ht="15" customHeight="1" x14ac:dyDescent="0.3">
      <c r="A3999" t="s">
        <v>179</v>
      </c>
      <c r="B3999" t="str">
        <f>"00058094"</f>
        <v>00058094</v>
      </c>
      <c r="C3999" t="s">
        <v>4253</v>
      </c>
      <c r="D3999" t="s">
        <v>3903</v>
      </c>
      <c r="E3999" t="str">
        <f>"00066172"</f>
        <v>00066172</v>
      </c>
      <c r="F3999">
        <v>0</v>
      </c>
      <c r="G3999" s="243">
        <v>40755</v>
      </c>
      <c r="H3999" t="s">
        <v>182</v>
      </c>
      <c r="I3999">
        <v>15</v>
      </c>
      <c r="J3999">
        <v>2</v>
      </c>
      <c r="K3999">
        <v>1</v>
      </c>
      <c r="L3999">
        <v>56242</v>
      </c>
      <c r="M3999" t="str">
        <f t="shared" si="572"/>
        <v>13</v>
      </c>
      <c r="N3999" t="s">
        <v>3323</v>
      </c>
      <c r="O3999" t="str">
        <f t="shared" si="573"/>
        <v>63811</v>
      </c>
      <c r="P3999" t="str">
        <f t="shared" si="577"/>
        <v>2100L</v>
      </c>
      <c r="Q3999" t="str">
        <f t="shared" si="576"/>
        <v>0101</v>
      </c>
      <c r="R3999">
        <v>2100</v>
      </c>
      <c r="S3999" t="str">
        <f t="shared" si="574"/>
        <v>6380</v>
      </c>
      <c r="T3999" t="s">
        <v>3846</v>
      </c>
      <c r="U3999" t="s">
        <v>1119</v>
      </c>
    </row>
    <row r="4000" spans="1:21" ht="15" customHeight="1" x14ac:dyDescent="0.3">
      <c r="A4000" t="s">
        <v>179</v>
      </c>
      <c r="B4000" t="str">
        <f>"00058480"</f>
        <v>00058480</v>
      </c>
      <c r="C4000" t="s">
        <v>4262</v>
      </c>
      <c r="D4000" t="s">
        <v>1136</v>
      </c>
      <c r="E4000" t="str">
        <f>"00044804"</f>
        <v>00044804</v>
      </c>
      <c r="F4000">
        <v>0</v>
      </c>
      <c r="G4000" s="243">
        <v>38951</v>
      </c>
      <c r="H4000" t="s">
        <v>182</v>
      </c>
      <c r="I4000">
        <v>15</v>
      </c>
      <c r="J4000">
        <v>15</v>
      </c>
      <c r="K4000">
        <v>1</v>
      </c>
      <c r="L4000">
        <v>98285</v>
      </c>
      <c r="M4000" t="str">
        <f t="shared" si="572"/>
        <v>13</v>
      </c>
      <c r="N4000" t="s">
        <v>3323</v>
      </c>
      <c r="O4000" t="str">
        <f t="shared" si="573"/>
        <v>63811</v>
      </c>
      <c r="P4000" t="str">
        <f t="shared" si="577"/>
        <v>2100L</v>
      </c>
      <c r="Q4000" t="str">
        <f t="shared" si="576"/>
        <v>0101</v>
      </c>
      <c r="R4000">
        <v>2100</v>
      </c>
      <c r="S4000" t="str">
        <f t="shared" si="574"/>
        <v>6380</v>
      </c>
      <c r="T4000" t="s">
        <v>3846</v>
      </c>
      <c r="U4000" t="s">
        <v>1119</v>
      </c>
    </row>
    <row r="4001" spans="1:21" ht="15" customHeight="1" x14ac:dyDescent="0.3">
      <c r="A4001" t="s">
        <v>179</v>
      </c>
      <c r="B4001" t="str">
        <f>"00059180"</f>
        <v>00059180</v>
      </c>
      <c r="C4001" t="s">
        <v>4253</v>
      </c>
      <c r="D4001" t="s">
        <v>1137</v>
      </c>
      <c r="E4001" t="str">
        <f>"00055207"</f>
        <v>00055207</v>
      </c>
      <c r="F4001">
        <v>0</v>
      </c>
      <c r="G4001" s="243">
        <v>38587</v>
      </c>
      <c r="H4001" t="s">
        <v>182</v>
      </c>
      <c r="I4001">
        <v>15</v>
      </c>
      <c r="J4001">
        <v>8</v>
      </c>
      <c r="K4001">
        <v>1</v>
      </c>
      <c r="L4001">
        <v>72171</v>
      </c>
      <c r="M4001" t="str">
        <f t="shared" si="572"/>
        <v>13</v>
      </c>
      <c r="N4001" t="s">
        <v>3323</v>
      </c>
      <c r="O4001" t="str">
        <f t="shared" si="573"/>
        <v>63811</v>
      </c>
      <c r="P4001" t="str">
        <f t="shared" si="577"/>
        <v>2100L</v>
      </c>
      <c r="Q4001" t="str">
        <f t="shared" si="576"/>
        <v>0101</v>
      </c>
      <c r="R4001">
        <v>2100</v>
      </c>
      <c r="S4001" t="str">
        <f t="shared" si="574"/>
        <v>6380</v>
      </c>
      <c r="T4001" t="s">
        <v>3846</v>
      </c>
      <c r="U4001" t="s">
        <v>1119</v>
      </c>
    </row>
    <row r="4002" spans="1:21" ht="15" customHeight="1" x14ac:dyDescent="0.3">
      <c r="A4002" t="s">
        <v>179</v>
      </c>
      <c r="B4002" t="str">
        <f>"00060655"</f>
        <v>00060655</v>
      </c>
      <c r="C4002" t="s">
        <v>4258</v>
      </c>
      <c r="D4002" t="s">
        <v>1138</v>
      </c>
      <c r="E4002" t="str">
        <f>"00044521"</f>
        <v>00044521</v>
      </c>
      <c r="F4002">
        <v>0</v>
      </c>
      <c r="G4002" s="243">
        <v>38968</v>
      </c>
      <c r="H4002" t="s">
        <v>182</v>
      </c>
      <c r="I4002">
        <v>15</v>
      </c>
      <c r="J4002">
        <v>12</v>
      </c>
      <c r="K4002">
        <v>1</v>
      </c>
      <c r="L4002">
        <v>75816</v>
      </c>
      <c r="M4002" t="str">
        <f t="shared" si="572"/>
        <v>13</v>
      </c>
      <c r="N4002" t="s">
        <v>3323</v>
      </c>
      <c r="O4002" t="str">
        <f t="shared" si="573"/>
        <v>63811</v>
      </c>
      <c r="P4002" t="str">
        <f t="shared" ref="P4002:P4007" si="578">"2100L"</f>
        <v>2100L</v>
      </c>
      <c r="Q4002" t="str">
        <f t="shared" si="576"/>
        <v>0101</v>
      </c>
      <c r="R4002">
        <v>2100</v>
      </c>
      <c r="S4002" t="str">
        <f t="shared" si="574"/>
        <v>6380</v>
      </c>
      <c r="T4002" t="s">
        <v>3846</v>
      </c>
      <c r="U4002" t="s">
        <v>1119</v>
      </c>
    </row>
    <row r="4003" spans="1:21" ht="15" customHeight="1" x14ac:dyDescent="0.3">
      <c r="A4003" t="s">
        <v>179</v>
      </c>
      <c r="B4003" t="str">
        <f>"00060976"</f>
        <v>00060976</v>
      </c>
      <c r="C4003" t="s">
        <v>4253</v>
      </c>
      <c r="D4003" t="s">
        <v>5520</v>
      </c>
      <c r="E4003" t="str">
        <f>"00054815"</f>
        <v>00054815</v>
      </c>
      <c r="F4003">
        <v>0</v>
      </c>
      <c r="G4003" s="243">
        <v>39314</v>
      </c>
      <c r="H4003" t="s">
        <v>182</v>
      </c>
      <c r="I4003">
        <v>15</v>
      </c>
      <c r="J4003">
        <v>6</v>
      </c>
      <c r="K4003">
        <v>1</v>
      </c>
      <c r="L4003">
        <v>66078</v>
      </c>
      <c r="M4003" t="str">
        <f t="shared" si="572"/>
        <v>13</v>
      </c>
      <c r="N4003" t="s">
        <v>3323</v>
      </c>
      <c r="O4003" t="str">
        <f t="shared" si="573"/>
        <v>63811</v>
      </c>
      <c r="P4003" t="str">
        <f t="shared" si="578"/>
        <v>2100L</v>
      </c>
      <c r="Q4003" t="str">
        <f t="shared" si="576"/>
        <v>0101</v>
      </c>
      <c r="R4003">
        <v>2100</v>
      </c>
      <c r="S4003" t="str">
        <f t="shared" si="574"/>
        <v>6380</v>
      </c>
      <c r="T4003" t="s">
        <v>3846</v>
      </c>
      <c r="U4003" t="s">
        <v>1119</v>
      </c>
    </row>
    <row r="4004" spans="1:21" ht="15" customHeight="1" x14ac:dyDescent="0.3">
      <c r="A4004" t="s">
        <v>179</v>
      </c>
      <c r="B4004" t="str">
        <f>"00062568"</f>
        <v>00062568</v>
      </c>
      <c r="C4004" t="s">
        <v>4254</v>
      </c>
      <c r="D4004" t="s">
        <v>5521</v>
      </c>
      <c r="E4004" t="str">
        <f>"00069496"</f>
        <v>00069496</v>
      </c>
      <c r="F4004">
        <v>0</v>
      </c>
      <c r="G4004" s="243">
        <v>41133</v>
      </c>
      <c r="H4004" t="s">
        <v>182</v>
      </c>
      <c r="I4004">
        <v>15</v>
      </c>
      <c r="J4004">
        <v>1</v>
      </c>
      <c r="K4004">
        <v>1</v>
      </c>
      <c r="L4004">
        <v>51539</v>
      </c>
      <c r="M4004" t="str">
        <f t="shared" si="572"/>
        <v>13</v>
      </c>
      <c r="N4004" t="s">
        <v>3370</v>
      </c>
      <c r="O4004" t="str">
        <f t="shared" si="573"/>
        <v>63811</v>
      </c>
      <c r="P4004" t="str">
        <f t="shared" si="578"/>
        <v>2100L</v>
      </c>
      <c r="Q4004" t="str">
        <f t="shared" si="576"/>
        <v>0101</v>
      </c>
      <c r="R4004">
        <v>2100</v>
      </c>
      <c r="S4004" t="str">
        <f t="shared" si="574"/>
        <v>6380</v>
      </c>
      <c r="T4004" t="s">
        <v>3846</v>
      </c>
      <c r="U4004" t="s">
        <v>1119</v>
      </c>
    </row>
    <row r="4005" spans="1:21" ht="15" customHeight="1" x14ac:dyDescent="0.3">
      <c r="A4005" t="s">
        <v>179</v>
      </c>
      <c r="B4005" t="str">
        <f>"00066369"</f>
        <v>00066369</v>
      </c>
      <c r="C4005" t="s">
        <v>4266</v>
      </c>
      <c r="D4005" t="s">
        <v>1139</v>
      </c>
      <c r="E4005" t="str">
        <f>"00057682"</f>
        <v>00057682</v>
      </c>
      <c r="F4005">
        <v>0</v>
      </c>
      <c r="G4005" s="243">
        <v>40042</v>
      </c>
      <c r="H4005" t="s">
        <v>182</v>
      </c>
      <c r="I4005">
        <v>15</v>
      </c>
      <c r="J4005">
        <v>13</v>
      </c>
      <c r="K4005">
        <v>1</v>
      </c>
      <c r="L4005">
        <v>86613</v>
      </c>
      <c r="M4005" t="str">
        <f t="shared" si="572"/>
        <v>13</v>
      </c>
      <c r="N4005" t="s">
        <v>3323</v>
      </c>
      <c r="O4005" t="str">
        <f t="shared" si="573"/>
        <v>63811</v>
      </c>
      <c r="P4005" t="str">
        <f t="shared" si="578"/>
        <v>2100L</v>
      </c>
      <c r="Q4005" t="str">
        <f t="shared" si="576"/>
        <v>0101</v>
      </c>
      <c r="R4005">
        <v>2100</v>
      </c>
      <c r="S4005" t="str">
        <f t="shared" si="574"/>
        <v>6380</v>
      </c>
      <c r="T4005" t="s">
        <v>3846</v>
      </c>
      <c r="U4005" t="s">
        <v>1119</v>
      </c>
    </row>
    <row r="4006" spans="1:21" ht="15" customHeight="1" x14ac:dyDescent="0.3">
      <c r="A4006" t="s">
        <v>179</v>
      </c>
      <c r="B4006" t="str">
        <f>"00066466"</f>
        <v>00066466</v>
      </c>
      <c r="C4006" t="s">
        <v>4262</v>
      </c>
      <c r="D4006" t="s">
        <v>1140</v>
      </c>
      <c r="E4006" t="str">
        <f>"00057310"</f>
        <v>00057310</v>
      </c>
      <c r="F4006">
        <v>0</v>
      </c>
      <c r="G4006" s="243">
        <v>40042</v>
      </c>
      <c r="H4006" t="s">
        <v>182</v>
      </c>
      <c r="I4006">
        <v>15</v>
      </c>
      <c r="J4006">
        <v>4</v>
      </c>
      <c r="K4006">
        <v>1</v>
      </c>
      <c r="L4006">
        <v>54725</v>
      </c>
      <c r="M4006" t="str">
        <f t="shared" si="572"/>
        <v>13</v>
      </c>
      <c r="N4006" t="s">
        <v>3323</v>
      </c>
      <c r="O4006" t="str">
        <f t="shared" si="573"/>
        <v>63811</v>
      </c>
      <c r="P4006" t="str">
        <f t="shared" si="578"/>
        <v>2100L</v>
      </c>
      <c r="Q4006" t="str">
        <f t="shared" si="576"/>
        <v>0101</v>
      </c>
      <c r="R4006">
        <v>2100</v>
      </c>
      <c r="S4006" t="str">
        <f t="shared" si="574"/>
        <v>6380</v>
      </c>
      <c r="T4006" t="s">
        <v>3846</v>
      </c>
      <c r="U4006" t="s">
        <v>1119</v>
      </c>
    </row>
    <row r="4007" spans="1:21" ht="15" customHeight="1" x14ac:dyDescent="0.3">
      <c r="A4007" t="s">
        <v>179</v>
      </c>
      <c r="B4007" t="str">
        <f>"00066467"</f>
        <v>00066467</v>
      </c>
      <c r="C4007" t="s">
        <v>4253</v>
      </c>
      <c r="D4007" t="s">
        <v>1987</v>
      </c>
      <c r="E4007" t="str">
        <f>"00050960"</f>
        <v>00050960</v>
      </c>
      <c r="F4007">
        <v>0</v>
      </c>
      <c r="G4007" s="243">
        <v>32387</v>
      </c>
      <c r="H4007" t="s">
        <v>182</v>
      </c>
      <c r="I4007">
        <v>15</v>
      </c>
      <c r="J4007">
        <v>16</v>
      </c>
      <c r="K4007">
        <v>1</v>
      </c>
      <c r="L4007">
        <v>103347</v>
      </c>
      <c r="M4007" t="str">
        <f t="shared" si="572"/>
        <v>13</v>
      </c>
      <c r="N4007" t="s">
        <v>3323</v>
      </c>
      <c r="O4007" t="str">
        <f t="shared" si="573"/>
        <v>63811</v>
      </c>
      <c r="P4007" t="str">
        <f t="shared" si="578"/>
        <v>2100L</v>
      </c>
      <c r="Q4007" t="str">
        <f t="shared" si="576"/>
        <v>0101</v>
      </c>
      <c r="R4007">
        <v>2100</v>
      </c>
      <c r="S4007" t="str">
        <f t="shared" si="574"/>
        <v>6380</v>
      </c>
      <c r="T4007" t="s">
        <v>3846</v>
      </c>
      <c r="U4007" t="s">
        <v>1119</v>
      </c>
    </row>
    <row r="4008" spans="1:21" ht="15" customHeight="1" x14ac:dyDescent="0.3">
      <c r="A4008" t="s">
        <v>179</v>
      </c>
      <c r="B4008" t="str">
        <f>"00066468"</f>
        <v>00066468</v>
      </c>
      <c r="C4008" t="s">
        <v>4260</v>
      </c>
      <c r="D4008" t="s">
        <v>1141</v>
      </c>
      <c r="E4008" t="str">
        <f>"00057226"</f>
        <v>00057226</v>
      </c>
      <c r="F4008">
        <v>0</v>
      </c>
      <c r="G4008" s="243">
        <v>40042</v>
      </c>
      <c r="H4008" t="s">
        <v>182</v>
      </c>
      <c r="I4008">
        <v>15</v>
      </c>
      <c r="J4008">
        <v>5</v>
      </c>
      <c r="K4008">
        <v>1</v>
      </c>
      <c r="L4008">
        <v>59087</v>
      </c>
      <c r="M4008" t="str">
        <f t="shared" si="572"/>
        <v>13</v>
      </c>
      <c r="N4008" t="s">
        <v>3323</v>
      </c>
      <c r="O4008" t="str">
        <f t="shared" si="573"/>
        <v>63811</v>
      </c>
      <c r="P4008" t="str">
        <f>"3030L"</f>
        <v>3030L</v>
      </c>
      <c r="Q4008" t="str">
        <f t="shared" si="576"/>
        <v>0101</v>
      </c>
      <c r="R4008">
        <v>3030</v>
      </c>
      <c r="S4008" t="str">
        <f t="shared" si="574"/>
        <v>6380</v>
      </c>
      <c r="T4008" t="s">
        <v>3846</v>
      </c>
      <c r="U4008" t="s">
        <v>1119</v>
      </c>
    </row>
    <row r="4009" spans="1:21" ht="15" customHeight="1" x14ac:dyDescent="0.3">
      <c r="A4009" t="s">
        <v>179</v>
      </c>
      <c r="B4009" t="str">
        <f>"00067271"</f>
        <v>00067271</v>
      </c>
      <c r="C4009" t="s">
        <v>4360</v>
      </c>
      <c r="D4009" t="s">
        <v>5522</v>
      </c>
      <c r="E4009" t="str">
        <f>"00047290"</f>
        <v>00047290</v>
      </c>
      <c r="F4009">
        <v>0</v>
      </c>
      <c r="G4009" s="243">
        <v>34243</v>
      </c>
      <c r="H4009" t="s">
        <v>182</v>
      </c>
      <c r="I4009">
        <v>7</v>
      </c>
      <c r="J4009">
        <v>5</v>
      </c>
      <c r="K4009">
        <v>1</v>
      </c>
      <c r="L4009">
        <v>39300</v>
      </c>
      <c r="M4009" t="str">
        <f t="shared" si="572"/>
        <v>13</v>
      </c>
      <c r="N4009" t="s">
        <v>3323</v>
      </c>
      <c r="O4009" t="str">
        <f t="shared" ref="O4009:O4025" si="579">"63811"</f>
        <v>63811</v>
      </c>
      <c r="P4009" t="str">
        <f>"1502L"</f>
        <v>1502L</v>
      </c>
      <c r="Q4009" t="str">
        <f t="shared" si="576"/>
        <v>0101</v>
      </c>
      <c r="R4009">
        <v>1502</v>
      </c>
      <c r="S4009" t="str">
        <f t="shared" ref="S4009:S4025" si="580">"6380"</f>
        <v>6380</v>
      </c>
      <c r="T4009" t="s">
        <v>3846</v>
      </c>
      <c r="U4009" t="s">
        <v>1119</v>
      </c>
    </row>
    <row r="4010" spans="1:21" ht="15" customHeight="1" x14ac:dyDescent="0.3">
      <c r="A4010" t="s">
        <v>179</v>
      </c>
      <c r="B4010" t="str">
        <f>"00067464"</f>
        <v>00067464</v>
      </c>
      <c r="C4010" t="s">
        <v>5463</v>
      </c>
      <c r="D4010" t="s">
        <v>1143</v>
      </c>
      <c r="E4010" t="str">
        <f>"00058115"</f>
        <v>00058115</v>
      </c>
      <c r="F4010">
        <v>0</v>
      </c>
      <c r="G4010" s="243">
        <v>40042</v>
      </c>
      <c r="H4010" t="s">
        <v>182</v>
      </c>
      <c r="I4010">
        <v>15</v>
      </c>
      <c r="J4010">
        <v>12</v>
      </c>
      <c r="K4010">
        <v>1</v>
      </c>
      <c r="L4010">
        <v>92613</v>
      </c>
      <c r="M4010" t="str">
        <f t="shared" si="572"/>
        <v>13</v>
      </c>
      <c r="N4010" t="s">
        <v>3323</v>
      </c>
      <c r="O4010" t="str">
        <f t="shared" si="579"/>
        <v>63811</v>
      </c>
      <c r="P4010" t="str">
        <f>"2100L"</f>
        <v>2100L</v>
      </c>
      <c r="Q4010" t="str">
        <f t="shared" si="576"/>
        <v>0101</v>
      </c>
      <c r="R4010">
        <v>2100</v>
      </c>
      <c r="S4010" t="str">
        <f t="shared" si="580"/>
        <v>6380</v>
      </c>
      <c r="T4010" t="s">
        <v>3846</v>
      </c>
      <c r="U4010" t="s">
        <v>1119</v>
      </c>
    </row>
    <row r="4011" spans="1:21" ht="15" customHeight="1" x14ac:dyDescent="0.3">
      <c r="A4011" t="s">
        <v>179</v>
      </c>
      <c r="B4011" t="str">
        <f>"00070809"</f>
        <v>00070809</v>
      </c>
      <c r="C4011" t="s">
        <v>3670</v>
      </c>
      <c r="D4011" t="s">
        <v>3899</v>
      </c>
      <c r="E4011" t="str">
        <f>"00045209"</f>
        <v>00045209</v>
      </c>
      <c r="F4011">
        <v>0</v>
      </c>
      <c r="G4011" s="243">
        <v>40364</v>
      </c>
      <c r="H4011" t="s">
        <v>182</v>
      </c>
      <c r="I4011">
        <v>8</v>
      </c>
      <c r="J4011">
        <v>5</v>
      </c>
      <c r="K4011">
        <v>1</v>
      </c>
      <c r="L4011">
        <v>92198</v>
      </c>
      <c r="M4011" t="str">
        <f t="shared" si="572"/>
        <v>13</v>
      </c>
      <c r="N4011" t="s">
        <v>3323</v>
      </c>
      <c r="O4011" t="str">
        <f t="shared" si="579"/>
        <v>63811</v>
      </c>
      <c r="P4011" t="str">
        <f>"1501L"</f>
        <v>1501L</v>
      </c>
      <c r="Q4011" t="str">
        <f t="shared" si="576"/>
        <v>0101</v>
      </c>
      <c r="R4011">
        <v>1501</v>
      </c>
      <c r="S4011" t="str">
        <f t="shared" si="580"/>
        <v>6380</v>
      </c>
      <c r="T4011" t="s">
        <v>3846</v>
      </c>
      <c r="U4011" t="s">
        <v>1119</v>
      </c>
    </row>
    <row r="4012" spans="1:21" ht="15" customHeight="1" x14ac:dyDescent="0.3">
      <c r="A4012" t="s">
        <v>179</v>
      </c>
      <c r="B4012" t="str">
        <f>"00071987"</f>
        <v>00071987</v>
      </c>
      <c r="C4012" t="s">
        <v>3670</v>
      </c>
      <c r="D4012" t="s">
        <v>1144</v>
      </c>
      <c r="E4012" t="str">
        <f>"00062145"</f>
        <v>00062145</v>
      </c>
      <c r="F4012">
        <v>0</v>
      </c>
      <c r="G4012" s="243">
        <v>40364</v>
      </c>
      <c r="H4012" t="s">
        <v>182</v>
      </c>
      <c r="I4012">
        <v>8</v>
      </c>
      <c r="J4012">
        <v>2</v>
      </c>
      <c r="K4012">
        <v>1</v>
      </c>
      <c r="L4012">
        <v>84746</v>
      </c>
      <c r="M4012" t="str">
        <f t="shared" si="572"/>
        <v>13</v>
      </c>
      <c r="N4012" t="s">
        <v>3323</v>
      </c>
      <c r="O4012" t="str">
        <f t="shared" si="579"/>
        <v>63811</v>
      </c>
      <c r="P4012" t="str">
        <f>"1501L"</f>
        <v>1501L</v>
      </c>
      <c r="Q4012" t="str">
        <f t="shared" si="576"/>
        <v>0101</v>
      </c>
      <c r="R4012">
        <v>1501</v>
      </c>
      <c r="S4012" t="str">
        <f t="shared" si="580"/>
        <v>6380</v>
      </c>
      <c r="T4012" t="s">
        <v>3846</v>
      </c>
      <c r="U4012" t="s">
        <v>1119</v>
      </c>
    </row>
    <row r="4013" spans="1:21" ht="15" customHeight="1" x14ac:dyDescent="0.3">
      <c r="A4013" t="s">
        <v>179</v>
      </c>
      <c r="B4013" t="str">
        <f>"00072216"</f>
        <v>00072216</v>
      </c>
      <c r="C4013" t="s">
        <v>4253</v>
      </c>
      <c r="D4013" t="s">
        <v>1146</v>
      </c>
      <c r="E4013" t="str">
        <f>"00062976"</f>
        <v>00062976</v>
      </c>
      <c r="F4013">
        <v>0</v>
      </c>
      <c r="G4013" s="243">
        <v>40406</v>
      </c>
      <c r="H4013" t="s">
        <v>182</v>
      </c>
      <c r="I4013">
        <v>15</v>
      </c>
      <c r="J4013">
        <v>3</v>
      </c>
      <c r="K4013">
        <v>1</v>
      </c>
      <c r="L4013">
        <v>52777</v>
      </c>
      <c r="M4013" t="str">
        <f t="shared" si="572"/>
        <v>13</v>
      </c>
      <c r="N4013" t="s">
        <v>3323</v>
      </c>
      <c r="O4013" t="str">
        <f t="shared" si="579"/>
        <v>63811</v>
      </c>
      <c r="P4013" t="str">
        <f t="shared" ref="P4013:P4018" si="581">"2100L"</f>
        <v>2100L</v>
      </c>
      <c r="Q4013" t="str">
        <f t="shared" si="576"/>
        <v>0101</v>
      </c>
      <c r="R4013">
        <v>2100</v>
      </c>
      <c r="S4013" t="str">
        <f t="shared" si="580"/>
        <v>6380</v>
      </c>
      <c r="T4013" t="s">
        <v>3846</v>
      </c>
      <c r="U4013" t="s">
        <v>1119</v>
      </c>
    </row>
    <row r="4014" spans="1:21" ht="15" customHeight="1" x14ac:dyDescent="0.3">
      <c r="A4014" t="s">
        <v>179</v>
      </c>
      <c r="B4014" t="str">
        <f>"00072271"</f>
        <v>00072271</v>
      </c>
      <c r="C4014" t="s">
        <v>4262</v>
      </c>
      <c r="D4014" t="s">
        <v>1147</v>
      </c>
      <c r="E4014" t="str">
        <f>"00062781"</f>
        <v>00062781</v>
      </c>
      <c r="F4014">
        <v>0</v>
      </c>
      <c r="G4014" s="243">
        <v>40406</v>
      </c>
      <c r="H4014" t="s">
        <v>182</v>
      </c>
      <c r="I4014">
        <v>15</v>
      </c>
      <c r="J4014">
        <v>5</v>
      </c>
      <c r="K4014">
        <v>1</v>
      </c>
      <c r="L4014">
        <v>59087</v>
      </c>
      <c r="M4014" t="str">
        <f t="shared" si="572"/>
        <v>13</v>
      </c>
      <c r="N4014" t="s">
        <v>3323</v>
      </c>
      <c r="O4014" t="str">
        <f t="shared" si="579"/>
        <v>63811</v>
      </c>
      <c r="P4014" t="str">
        <f t="shared" si="581"/>
        <v>2100L</v>
      </c>
      <c r="Q4014" t="str">
        <f t="shared" si="576"/>
        <v>0101</v>
      </c>
      <c r="R4014">
        <v>2100</v>
      </c>
      <c r="S4014" t="str">
        <f t="shared" si="580"/>
        <v>6380</v>
      </c>
      <c r="T4014" t="s">
        <v>3846</v>
      </c>
      <c r="U4014" t="s">
        <v>1119</v>
      </c>
    </row>
    <row r="4015" spans="1:21" ht="15" customHeight="1" x14ac:dyDescent="0.3">
      <c r="A4015" t="s">
        <v>179</v>
      </c>
      <c r="B4015" t="str">
        <f>"00072320"</f>
        <v>00072320</v>
      </c>
      <c r="C4015" t="s">
        <v>4253</v>
      </c>
      <c r="D4015" t="s">
        <v>1148</v>
      </c>
      <c r="E4015" t="str">
        <f>"00062943"</f>
        <v>00062943</v>
      </c>
      <c r="F4015">
        <v>0</v>
      </c>
      <c r="G4015" s="243">
        <v>40406</v>
      </c>
      <c r="H4015" t="s">
        <v>182</v>
      </c>
      <c r="I4015">
        <v>15</v>
      </c>
      <c r="J4015">
        <v>3</v>
      </c>
      <c r="K4015">
        <v>1</v>
      </c>
      <c r="L4015">
        <v>58699</v>
      </c>
      <c r="M4015" t="str">
        <f t="shared" si="572"/>
        <v>13</v>
      </c>
      <c r="N4015" t="s">
        <v>3323</v>
      </c>
      <c r="O4015" t="str">
        <f t="shared" si="579"/>
        <v>63811</v>
      </c>
      <c r="P4015" t="str">
        <f t="shared" si="581"/>
        <v>2100L</v>
      </c>
      <c r="Q4015" t="str">
        <f t="shared" si="576"/>
        <v>0101</v>
      </c>
      <c r="R4015">
        <v>2100</v>
      </c>
      <c r="S4015" t="str">
        <f t="shared" si="580"/>
        <v>6380</v>
      </c>
      <c r="T4015" t="s">
        <v>3846</v>
      </c>
      <c r="U4015" t="s">
        <v>1119</v>
      </c>
    </row>
    <row r="4016" spans="1:21" ht="15" customHeight="1" x14ac:dyDescent="0.3">
      <c r="A4016" t="s">
        <v>179</v>
      </c>
      <c r="B4016" t="str">
        <f>"00072378"</f>
        <v>00072378</v>
      </c>
      <c r="C4016" t="s">
        <v>4253</v>
      </c>
      <c r="D4016" t="s">
        <v>1149</v>
      </c>
      <c r="E4016" t="str">
        <f>"00062739"</f>
        <v>00062739</v>
      </c>
      <c r="F4016">
        <v>0</v>
      </c>
      <c r="G4016" s="243">
        <v>40406</v>
      </c>
      <c r="H4016" t="s">
        <v>182</v>
      </c>
      <c r="I4016">
        <v>15</v>
      </c>
      <c r="J4016">
        <v>3</v>
      </c>
      <c r="K4016">
        <v>1</v>
      </c>
      <c r="L4016">
        <v>61159</v>
      </c>
      <c r="M4016" t="str">
        <f t="shared" si="572"/>
        <v>13</v>
      </c>
      <c r="N4016" t="s">
        <v>3323</v>
      </c>
      <c r="O4016" t="str">
        <f t="shared" si="579"/>
        <v>63811</v>
      </c>
      <c r="P4016" t="str">
        <f t="shared" si="581"/>
        <v>2100L</v>
      </c>
      <c r="Q4016" t="str">
        <f t="shared" si="576"/>
        <v>0101</v>
      </c>
      <c r="R4016">
        <v>2100</v>
      </c>
      <c r="S4016" t="str">
        <f t="shared" si="580"/>
        <v>6380</v>
      </c>
      <c r="T4016" t="s">
        <v>3846</v>
      </c>
      <c r="U4016" t="s">
        <v>1119</v>
      </c>
    </row>
    <row r="4017" spans="1:21" ht="15" customHeight="1" x14ac:dyDescent="0.3">
      <c r="A4017" t="s">
        <v>179</v>
      </c>
      <c r="B4017" t="str">
        <f>"00072395"</f>
        <v>00072395</v>
      </c>
      <c r="C4017" t="s">
        <v>4253</v>
      </c>
      <c r="D4017" t="s">
        <v>5523</v>
      </c>
      <c r="E4017" t="str">
        <f>"00069822"</f>
        <v>00069822</v>
      </c>
      <c r="F4017">
        <v>0</v>
      </c>
      <c r="G4017" s="243">
        <v>41133</v>
      </c>
      <c r="H4017" t="s">
        <v>182</v>
      </c>
      <c r="I4017">
        <v>15</v>
      </c>
      <c r="J4017">
        <v>10</v>
      </c>
      <c r="K4017">
        <v>1</v>
      </c>
      <c r="L4017">
        <v>78273</v>
      </c>
      <c r="M4017" t="str">
        <f t="shared" si="572"/>
        <v>13</v>
      </c>
      <c r="N4017" t="s">
        <v>3323</v>
      </c>
      <c r="O4017" t="str">
        <f t="shared" si="579"/>
        <v>63811</v>
      </c>
      <c r="P4017" t="str">
        <f t="shared" si="581"/>
        <v>2100L</v>
      </c>
      <c r="Q4017" t="str">
        <f t="shared" si="576"/>
        <v>0101</v>
      </c>
      <c r="R4017">
        <v>2100</v>
      </c>
      <c r="S4017" t="str">
        <f t="shared" si="580"/>
        <v>6380</v>
      </c>
      <c r="T4017" t="s">
        <v>3846</v>
      </c>
      <c r="U4017" t="s">
        <v>1119</v>
      </c>
    </row>
    <row r="4018" spans="1:21" ht="15" customHeight="1" x14ac:dyDescent="0.3">
      <c r="A4018" t="s">
        <v>179</v>
      </c>
      <c r="B4018" t="str">
        <f>"00072716"</f>
        <v>00072716</v>
      </c>
      <c r="C4018" t="s">
        <v>4257</v>
      </c>
      <c r="H4018" t="s">
        <v>170</v>
      </c>
      <c r="I4018">
        <v>15</v>
      </c>
      <c r="J4018">
        <v>1</v>
      </c>
      <c r="K4018">
        <v>1</v>
      </c>
      <c r="L4018">
        <v>51539</v>
      </c>
      <c r="M4018" t="str">
        <f t="shared" si="572"/>
        <v>13</v>
      </c>
      <c r="N4018" t="s">
        <v>3323</v>
      </c>
      <c r="O4018" t="str">
        <f t="shared" si="579"/>
        <v>63811</v>
      </c>
      <c r="P4018" t="str">
        <f t="shared" si="581"/>
        <v>2100L</v>
      </c>
      <c r="Q4018" t="str">
        <f t="shared" si="576"/>
        <v>0101</v>
      </c>
      <c r="R4018">
        <v>2100</v>
      </c>
      <c r="S4018" t="str">
        <f t="shared" si="580"/>
        <v>6380</v>
      </c>
      <c r="T4018" t="s">
        <v>3846</v>
      </c>
      <c r="U4018" t="s">
        <v>1119</v>
      </c>
    </row>
    <row r="4019" spans="1:21" ht="15" customHeight="1" x14ac:dyDescent="0.3">
      <c r="A4019" t="s">
        <v>179</v>
      </c>
      <c r="B4019" t="str">
        <f>"00074357"</f>
        <v>00074357</v>
      </c>
      <c r="C4019" t="s">
        <v>4259</v>
      </c>
      <c r="D4019" t="s">
        <v>1981</v>
      </c>
      <c r="E4019" t="str">
        <f>"00048772"</f>
        <v>00048772</v>
      </c>
      <c r="F4019">
        <v>0</v>
      </c>
      <c r="G4019" s="243">
        <v>39679</v>
      </c>
      <c r="H4019" t="s">
        <v>182</v>
      </c>
      <c r="I4019">
        <v>15</v>
      </c>
      <c r="J4019">
        <v>11</v>
      </c>
      <c r="K4019">
        <v>1</v>
      </c>
      <c r="L4019">
        <v>81335</v>
      </c>
      <c r="M4019" t="str">
        <f t="shared" si="572"/>
        <v>13</v>
      </c>
      <c r="N4019" t="s">
        <v>3323</v>
      </c>
      <c r="O4019" t="str">
        <f t="shared" si="579"/>
        <v>63811</v>
      </c>
      <c r="P4019" t="str">
        <f t="shared" ref="P4019:P4024" si="582">"2100L"</f>
        <v>2100L</v>
      </c>
      <c r="Q4019" t="str">
        <f t="shared" si="576"/>
        <v>0101</v>
      </c>
      <c r="R4019">
        <v>2100</v>
      </c>
      <c r="S4019" t="str">
        <f t="shared" si="580"/>
        <v>6380</v>
      </c>
      <c r="T4019" t="s">
        <v>3846</v>
      </c>
      <c r="U4019" t="s">
        <v>1119</v>
      </c>
    </row>
    <row r="4020" spans="1:21" ht="15" customHeight="1" x14ac:dyDescent="0.3">
      <c r="A4020" t="s">
        <v>179</v>
      </c>
      <c r="B4020" t="str">
        <f>"00076063"</f>
        <v>00076063</v>
      </c>
      <c r="C4020" t="s">
        <v>4438</v>
      </c>
      <c r="H4020" t="s">
        <v>170</v>
      </c>
      <c r="I4020">
        <v>11</v>
      </c>
      <c r="J4020">
        <v>0</v>
      </c>
      <c r="K4020">
        <v>1</v>
      </c>
      <c r="L4020">
        <v>60779</v>
      </c>
      <c r="M4020" t="str">
        <f t="shared" si="572"/>
        <v>13</v>
      </c>
      <c r="N4020" t="s">
        <v>3370</v>
      </c>
      <c r="O4020" t="str">
        <f t="shared" si="579"/>
        <v>63811</v>
      </c>
      <c r="P4020" t="str">
        <f t="shared" si="582"/>
        <v>2100L</v>
      </c>
      <c r="Q4020" t="str">
        <f t="shared" si="576"/>
        <v>0101</v>
      </c>
      <c r="R4020">
        <v>2100</v>
      </c>
      <c r="S4020" t="str">
        <f t="shared" si="580"/>
        <v>6380</v>
      </c>
      <c r="T4020" t="s">
        <v>3846</v>
      </c>
      <c r="U4020" t="s">
        <v>1119</v>
      </c>
    </row>
    <row r="4021" spans="1:21" ht="15" customHeight="1" x14ac:dyDescent="0.3">
      <c r="A4021" t="s">
        <v>179</v>
      </c>
      <c r="B4021" t="str">
        <f>"00076064"</f>
        <v>00076064</v>
      </c>
      <c r="C4021" t="s">
        <v>4998</v>
      </c>
      <c r="D4021" t="s">
        <v>5524</v>
      </c>
      <c r="E4021" t="str">
        <f>"00069830"</f>
        <v>00069830</v>
      </c>
      <c r="F4021">
        <v>0</v>
      </c>
      <c r="G4021" s="243">
        <v>41133</v>
      </c>
      <c r="H4021" t="s">
        <v>182</v>
      </c>
      <c r="I4021">
        <v>15</v>
      </c>
      <c r="J4021">
        <v>9</v>
      </c>
      <c r="K4021">
        <v>0.5</v>
      </c>
      <c r="L4021">
        <v>38843.5</v>
      </c>
      <c r="M4021" t="str">
        <f t="shared" si="572"/>
        <v>13</v>
      </c>
      <c r="N4021" t="s">
        <v>3370</v>
      </c>
      <c r="O4021" t="str">
        <f t="shared" si="579"/>
        <v>63811</v>
      </c>
      <c r="P4021" t="str">
        <f t="shared" si="582"/>
        <v>2100L</v>
      </c>
      <c r="Q4021" t="str">
        <f t="shared" si="576"/>
        <v>0101</v>
      </c>
      <c r="R4021">
        <v>2100</v>
      </c>
      <c r="S4021" t="str">
        <f t="shared" si="580"/>
        <v>6380</v>
      </c>
      <c r="T4021" t="s">
        <v>3846</v>
      </c>
      <c r="U4021" t="s">
        <v>1119</v>
      </c>
    </row>
    <row r="4022" spans="1:21" ht="15" customHeight="1" x14ac:dyDescent="0.3">
      <c r="A4022" t="s">
        <v>179</v>
      </c>
      <c r="B4022" t="str">
        <f>"00076065"</f>
        <v>00076065</v>
      </c>
      <c r="C4022" t="s">
        <v>4253</v>
      </c>
      <c r="D4022" t="s">
        <v>3736</v>
      </c>
      <c r="E4022" t="str">
        <f>"00066349"</f>
        <v>00066349</v>
      </c>
      <c r="F4022">
        <v>0</v>
      </c>
      <c r="G4022" s="243">
        <v>40755</v>
      </c>
      <c r="H4022" t="s">
        <v>182</v>
      </c>
      <c r="I4022">
        <v>15</v>
      </c>
      <c r="J4022">
        <v>9</v>
      </c>
      <c r="K4022">
        <v>1</v>
      </c>
      <c r="L4022">
        <v>75232</v>
      </c>
      <c r="M4022" t="str">
        <f t="shared" si="572"/>
        <v>13</v>
      </c>
      <c r="N4022" t="s">
        <v>3370</v>
      </c>
      <c r="O4022" t="str">
        <f t="shared" si="579"/>
        <v>63811</v>
      </c>
      <c r="P4022" t="str">
        <f t="shared" si="582"/>
        <v>2100L</v>
      </c>
      <c r="Q4022" t="str">
        <f t="shared" si="576"/>
        <v>0101</v>
      </c>
      <c r="R4022">
        <v>2100</v>
      </c>
      <c r="S4022" t="str">
        <f t="shared" si="580"/>
        <v>6380</v>
      </c>
      <c r="T4022" t="s">
        <v>3846</v>
      </c>
      <c r="U4022" t="s">
        <v>1119</v>
      </c>
    </row>
    <row r="4023" spans="1:21" ht="15" customHeight="1" x14ac:dyDescent="0.3">
      <c r="A4023" t="s">
        <v>179</v>
      </c>
      <c r="B4023" t="str">
        <f>"00076066"</f>
        <v>00076066</v>
      </c>
      <c r="C4023" t="s">
        <v>4998</v>
      </c>
      <c r="D4023" t="s">
        <v>648</v>
      </c>
      <c r="E4023" t="str">
        <f>"00039959"</f>
        <v>00039959</v>
      </c>
      <c r="F4023">
        <v>1</v>
      </c>
      <c r="G4023" s="243">
        <v>36069</v>
      </c>
      <c r="H4023" t="s">
        <v>182</v>
      </c>
      <c r="I4023">
        <v>15</v>
      </c>
      <c r="J4023">
        <v>12</v>
      </c>
      <c r="K4023">
        <v>0.5</v>
      </c>
      <c r="L4023">
        <v>43715.5</v>
      </c>
      <c r="M4023" t="str">
        <f t="shared" si="572"/>
        <v>13</v>
      </c>
      <c r="N4023" t="s">
        <v>3323</v>
      </c>
      <c r="O4023" t="str">
        <f t="shared" si="579"/>
        <v>63811</v>
      </c>
      <c r="P4023" t="str">
        <f t="shared" si="582"/>
        <v>2100L</v>
      </c>
      <c r="Q4023" t="str">
        <f t="shared" si="576"/>
        <v>0101</v>
      </c>
      <c r="R4023">
        <v>2100</v>
      </c>
      <c r="S4023" t="str">
        <f t="shared" si="580"/>
        <v>6380</v>
      </c>
      <c r="T4023" t="s">
        <v>3846</v>
      </c>
      <c r="U4023" t="s">
        <v>1119</v>
      </c>
    </row>
    <row r="4024" spans="1:21" ht="15" customHeight="1" x14ac:dyDescent="0.3">
      <c r="A4024" t="s">
        <v>179</v>
      </c>
      <c r="B4024" t="str">
        <f>"00076068"</f>
        <v>00076068</v>
      </c>
      <c r="C4024" t="s">
        <v>4253</v>
      </c>
      <c r="D4024" t="s">
        <v>5525</v>
      </c>
      <c r="E4024" t="str">
        <f>"00069571"</f>
        <v>00069571</v>
      </c>
      <c r="F4024">
        <v>0</v>
      </c>
      <c r="G4024" s="243">
        <v>41133</v>
      </c>
      <c r="H4024" t="s">
        <v>182</v>
      </c>
      <c r="I4024">
        <v>15</v>
      </c>
      <c r="J4024">
        <v>10</v>
      </c>
      <c r="K4024">
        <v>1</v>
      </c>
      <c r="L4024">
        <v>80729</v>
      </c>
      <c r="M4024" t="str">
        <f t="shared" si="572"/>
        <v>13</v>
      </c>
      <c r="N4024" t="s">
        <v>3370</v>
      </c>
      <c r="O4024" t="str">
        <f t="shared" si="579"/>
        <v>63811</v>
      </c>
      <c r="P4024" t="str">
        <f t="shared" si="582"/>
        <v>2100L</v>
      </c>
      <c r="Q4024" t="str">
        <f t="shared" si="576"/>
        <v>0101</v>
      </c>
      <c r="R4024">
        <v>2100</v>
      </c>
      <c r="S4024" t="str">
        <f t="shared" si="580"/>
        <v>6380</v>
      </c>
      <c r="T4024" t="s">
        <v>3846</v>
      </c>
      <c r="U4024" t="s">
        <v>1119</v>
      </c>
    </row>
    <row r="4025" spans="1:21" ht="15" customHeight="1" x14ac:dyDescent="0.3">
      <c r="A4025" t="s">
        <v>179</v>
      </c>
      <c r="B4025" t="str">
        <f>"00076820"</f>
        <v>00076820</v>
      </c>
      <c r="C4025" t="s">
        <v>4257</v>
      </c>
      <c r="D4025" t="s">
        <v>5526</v>
      </c>
      <c r="E4025" t="str">
        <f>"00050570"</f>
        <v>00050570</v>
      </c>
      <c r="F4025">
        <v>0</v>
      </c>
      <c r="G4025" s="243">
        <v>41133</v>
      </c>
      <c r="H4025" t="s">
        <v>182</v>
      </c>
      <c r="I4025">
        <v>15</v>
      </c>
      <c r="J4025">
        <v>1</v>
      </c>
      <c r="K4025">
        <v>0.4</v>
      </c>
      <c r="L4025">
        <v>25769.5</v>
      </c>
      <c r="M4025" t="str">
        <f t="shared" si="572"/>
        <v>13</v>
      </c>
      <c r="N4025" t="s">
        <v>3370</v>
      </c>
      <c r="O4025" t="str">
        <f t="shared" si="579"/>
        <v>63811</v>
      </c>
      <c r="P4025" t="str">
        <f>"3030L"</f>
        <v>3030L</v>
      </c>
      <c r="Q4025" t="str">
        <f t="shared" si="576"/>
        <v>0101</v>
      </c>
      <c r="R4025">
        <v>3030</v>
      </c>
      <c r="S4025" t="str">
        <f t="shared" si="580"/>
        <v>6380</v>
      </c>
      <c r="T4025" t="s">
        <v>3846</v>
      </c>
      <c r="U4025" t="s">
        <v>1119</v>
      </c>
    </row>
    <row r="4026" spans="1:21" ht="15" customHeight="1" x14ac:dyDescent="0.3">
      <c r="A4026" t="s">
        <v>179</v>
      </c>
      <c r="B4026" t="str">
        <f>"00052199"</f>
        <v>00052199</v>
      </c>
      <c r="C4026" t="s">
        <v>4257</v>
      </c>
      <c r="D4026" t="s">
        <v>1159</v>
      </c>
      <c r="E4026" t="str">
        <f>"00047612"</f>
        <v>00047612</v>
      </c>
      <c r="F4026">
        <v>0</v>
      </c>
      <c r="G4026" s="243">
        <v>32050</v>
      </c>
      <c r="H4026" t="s">
        <v>182</v>
      </c>
      <c r="I4026">
        <v>15</v>
      </c>
      <c r="J4026">
        <v>13</v>
      </c>
      <c r="K4026">
        <v>1</v>
      </c>
      <c r="L4026">
        <v>86613</v>
      </c>
      <c r="M4026" t="str">
        <f t="shared" si="572"/>
        <v>13</v>
      </c>
      <c r="N4026" t="s">
        <v>3323</v>
      </c>
      <c r="O4026" t="str">
        <f t="shared" ref="O4026:O4053" si="583">"63911"</f>
        <v>63911</v>
      </c>
      <c r="P4026" t="str">
        <f>"2100L"</f>
        <v>2100L</v>
      </c>
      <c r="Q4026" t="str">
        <f t="shared" si="576"/>
        <v>0101</v>
      </c>
      <c r="R4026">
        <v>2100</v>
      </c>
      <c r="S4026" t="str">
        <f t="shared" ref="S4026:S4053" si="584">"6390"</f>
        <v>6390</v>
      </c>
      <c r="T4026" t="s">
        <v>3861</v>
      </c>
      <c r="U4026" t="s">
        <v>85</v>
      </c>
    </row>
    <row r="4027" spans="1:21" ht="15" customHeight="1" x14ac:dyDescent="0.3">
      <c r="A4027" t="s">
        <v>179</v>
      </c>
      <c r="B4027" t="str">
        <f>"00052572"</f>
        <v>00052572</v>
      </c>
      <c r="C4027" t="s">
        <v>4253</v>
      </c>
      <c r="D4027" t="s">
        <v>3919</v>
      </c>
      <c r="E4027" t="str">
        <f>"00065874"</f>
        <v>00065874</v>
      </c>
      <c r="F4027">
        <v>0</v>
      </c>
      <c r="G4027" s="243">
        <v>40755</v>
      </c>
      <c r="H4027" t="s">
        <v>182</v>
      </c>
      <c r="I4027">
        <v>15</v>
      </c>
      <c r="J4027">
        <v>1</v>
      </c>
      <c r="K4027">
        <v>1</v>
      </c>
      <c r="L4027">
        <v>51539</v>
      </c>
      <c r="M4027" t="str">
        <f t="shared" si="572"/>
        <v>13</v>
      </c>
      <c r="N4027" t="s">
        <v>3323</v>
      </c>
      <c r="O4027" t="str">
        <f t="shared" si="583"/>
        <v>63911</v>
      </c>
      <c r="P4027" t="str">
        <f>"2100L"</f>
        <v>2100L</v>
      </c>
      <c r="Q4027" t="str">
        <f t="shared" si="576"/>
        <v>0101</v>
      </c>
      <c r="R4027">
        <v>2100</v>
      </c>
      <c r="S4027" t="str">
        <f t="shared" si="584"/>
        <v>6390</v>
      </c>
      <c r="T4027" t="s">
        <v>3861</v>
      </c>
      <c r="U4027" t="s">
        <v>85</v>
      </c>
    </row>
    <row r="4028" spans="1:21" ht="15" customHeight="1" x14ac:dyDescent="0.3">
      <c r="A4028" t="s">
        <v>179</v>
      </c>
      <c r="B4028" t="str">
        <f>"00052833"</f>
        <v>00052833</v>
      </c>
      <c r="C4028" t="s">
        <v>4260</v>
      </c>
      <c r="D4028" t="s">
        <v>3918</v>
      </c>
      <c r="E4028" t="str">
        <f>"00066364"</f>
        <v>00066364</v>
      </c>
      <c r="F4028">
        <v>0</v>
      </c>
      <c r="G4028" s="243">
        <v>40755</v>
      </c>
      <c r="H4028" t="s">
        <v>182</v>
      </c>
      <c r="I4028">
        <v>15</v>
      </c>
      <c r="J4028">
        <v>2</v>
      </c>
      <c r="K4028">
        <v>1</v>
      </c>
      <c r="L4028">
        <v>56242</v>
      </c>
      <c r="M4028" t="str">
        <f t="shared" si="572"/>
        <v>13</v>
      </c>
      <c r="N4028" t="s">
        <v>3323</v>
      </c>
      <c r="O4028" t="str">
        <f t="shared" si="583"/>
        <v>63911</v>
      </c>
      <c r="P4028" t="str">
        <f>"3030L"</f>
        <v>3030L</v>
      </c>
      <c r="Q4028" t="str">
        <f t="shared" si="576"/>
        <v>0101</v>
      </c>
      <c r="R4028">
        <v>3030</v>
      </c>
      <c r="S4028" t="str">
        <f t="shared" si="584"/>
        <v>6390</v>
      </c>
      <c r="T4028" t="s">
        <v>3861</v>
      </c>
      <c r="U4028" t="s">
        <v>85</v>
      </c>
    </row>
    <row r="4029" spans="1:21" ht="15" customHeight="1" x14ac:dyDescent="0.3">
      <c r="A4029" t="s">
        <v>179</v>
      </c>
      <c r="B4029" t="str">
        <f>"00052991"</f>
        <v>00052991</v>
      </c>
      <c r="C4029" t="s">
        <v>4253</v>
      </c>
      <c r="D4029" t="s">
        <v>1160</v>
      </c>
      <c r="E4029" t="str">
        <f>"00050596"</f>
        <v>00050596</v>
      </c>
      <c r="F4029">
        <v>0</v>
      </c>
      <c r="G4029" s="243">
        <v>33958</v>
      </c>
      <c r="H4029" t="s">
        <v>182</v>
      </c>
      <c r="I4029">
        <v>15</v>
      </c>
      <c r="J4029">
        <v>16</v>
      </c>
      <c r="K4029">
        <v>1</v>
      </c>
      <c r="L4029">
        <v>106540</v>
      </c>
      <c r="M4029" t="str">
        <f t="shared" si="572"/>
        <v>13</v>
      </c>
      <c r="N4029" t="s">
        <v>3323</v>
      </c>
      <c r="O4029" t="str">
        <f t="shared" si="583"/>
        <v>63911</v>
      </c>
      <c r="P4029" t="str">
        <f>"2100L"</f>
        <v>2100L</v>
      </c>
      <c r="Q4029" t="str">
        <f t="shared" si="576"/>
        <v>0101</v>
      </c>
      <c r="R4029">
        <v>2100</v>
      </c>
      <c r="S4029" t="str">
        <f t="shared" si="584"/>
        <v>6390</v>
      </c>
      <c r="T4029" t="s">
        <v>3861</v>
      </c>
      <c r="U4029" t="s">
        <v>85</v>
      </c>
    </row>
    <row r="4030" spans="1:21" ht="15" customHeight="1" x14ac:dyDescent="0.3">
      <c r="A4030" t="s">
        <v>179</v>
      </c>
      <c r="B4030" t="str">
        <f>"00053115"</f>
        <v>00053115</v>
      </c>
      <c r="C4030" t="s">
        <v>4262</v>
      </c>
      <c r="D4030" t="s">
        <v>1298</v>
      </c>
      <c r="E4030" t="str">
        <f>"00047174"</f>
        <v>00047174</v>
      </c>
      <c r="F4030">
        <v>0</v>
      </c>
      <c r="G4030" s="243">
        <v>37124</v>
      </c>
      <c r="H4030" t="s">
        <v>182</v>
      </c>
      <c r="I4030">
        <v>15</v>
      </c>
      <c r="J4030">
        <v>12</v>
      </c>
      <c r="K4030">
        <v>1</v>
      </c>
      <c r="L4030">
        <v>87431</v>
      </c>
      <c r="M4030" t="str">
        <f t="shared" si="572"/>
        <v>13</v>
      </c>
      <c r="N4030" t="s">
        <v>3323</v>
      </c>
      <c r="O4030" t="str">
        <f t="shared" si="583"/>
        <v>63911</v>
      </c>
      <c r="P4030" t="str">
        <f>"2100L"</f>
        <v>2100L</v>
      </c>
      <c r="Q4030" t="str">
        <f t="shared" si="576"/>
        <v>0101</v>
      </c>
      <c r="R4030">
        <v>2100</v>
      </c>
      <c r="S4030" t="str">
        <f t="shared" si="584"/>
        <v>6390</v>
      </c>
      <c r="T4030" t="s">
        <v>3861</v>
      </c>
      <c r="U4030" t="s">
        <v>85</v>
      </c>
    </row>
    <row r="4031" spans="1:21" ht="15" customHeight="1" x14ac:dyDescent="0.3">
      <c r="A4031" t="s">
        <v>179</v>
      </c>
      <c r="B4031" t="str">
        <f>"00053254"</f>
        <v>00053254</v>
      </c>
      <c r="C4031" t="s">
        <v>4367</v>
      </c>
      <c r="D4031" t="s">
        <v>5527</v>
      </c>
      <c r="E4031" t="str">
        <f>"00051177"</f>
        <v>00051177</v>
      </c>
      <c r="F4031">
        <v>0</v>
      </c>
      <c r="G4031" s="243">
        <v>34973</v>
      </c>
      <c r="H4031" t="s">
        <v>182</v>
      </c>
      <c r="I4031">
        <v>9</v>
      </c>
      <c r="J4031">
        <v>4</v>
      </c>
      <c r="K4031">
        <v>1</v>
      </c>
      <c r="L4031">
        <v>40299</v>
      </c>
      <c r="M4031" t="str">
        <f t="shared" si="572"/>
        <v>13</v>
      </c>
      <c r="N4031" t="s">
        <v>3323</v>
      </c>
      <c r="O4031" t="str">
        <f t="shared" si="583"/>
        <v>63911</v>
      </c>
      <c r="P4031" t="str">
        <f>"2100L"</f>
        <v>2100L</v>
      </c>
      <c r="Q4031" t="str">
        <f t="shared" si="576"/>
        <v>0101</v>
      </c>
      <c r="R4031">
        <v>2100</v>
      </c>
      <c r="S4031" t="str">
        <f t="shared" si="584"/>
        <v>6390</v>
      </c>
      <c r="T4031" t="s">
        <v>3861</v>
      </c>
      <c r="U4031" t="s">
        <v>85</v>
      </c>
    </row>
    <row r="4032" spans="1:21" ht="15" customHeight="1" x14ac:dyDescent="0.3">
      <c r="A4032" t="s">
        <v>179</v>
      </c>
      <c r="B4032" t="str">
        <f>"00053841"</f>
        <v>00053841</v>
      </c>
      <c r="C4032" t="s">
        <v>4253</v>
      </c>
      <c r="D4032" t="s">
        <v>1161</v>
      </c>
      <c r="E4032" t="str">
        <f>"00052616"</f>
        <v>00052616</v>
      </c>
      <c r="F4032">
        <v>0</v>
      </c>
      <c r="G4032" s="243">
        <v>32050</v>
      </c>
      <c r="H4032" t="s">
        <v>182</v>
      </c>
      <c r="I4032">
        <v>15</v>
      </c>
      <c r="J4032">
        <v>13</v>
      </c>
      <c r="K4032">
        <v>1</v>
      </c>
      <c r="L4032">
        <v>81724</v>
      </c>
      <c r="M4032" t="str">
        <f t="shared" si="572"/>
        <v>13</v>
      </c>
      <c r="N4032" t="s">
        <v>3323</v>
      </c>
      <c r="O4032" t="str">
        <f t="shared" si="583"/>
        <v>63911</v>
      </c>
      <c r="P4032" t="str">
        <f>"2100L"</f>
        <v>2100L</v>
      </c>
      <c r="Q4032" t="str">
        <f t="shared" si="576"/>
        <v>0101</v>
      </c>
      <c r="R4032">
        <v>2100</v>
      </c>
      <c r="S4032" t="str">
        <f t="shared" si="584"/>
        <v>6390</v>
      </c>
      <c r="T4032" t="s">
        <v>3861</v>
      </c>
      <c r="U4032" t="s">
        <v>85</v>
      </c>
    </row>
    <row r="4033" spans="1:21" ht="15" customHeight="1" x14ac:dyDescent="0.3">
      <c r="A4033" t="s">
        <v>179</v>
      </c>
      <c r="B4033" t="str">
        <f>"00054621"</f>
        <v>00054621</v>
      </c>
      <c r="C4033" t="s">
        <v>4253</v>
      </c>
      <c r="D4033" t="s">
        <v>1162</v>
      </c>
      <c r="E4033" t="str">
        <f>"00054303"</f>
        <v>00054303</v>
      </c>
      <c r="F4033">
        <v>0</v>
      </c>
      <c r="G4033" s="243">
        <v>32050</v>
      </c>
      <c r="H4033" t="s">
        <v>182</v>
      </c>
      <c r="I4033">
        <v>15</v>
      </c>
      <c r="J4033">
        <v>16</v>
      </c>
      <c r="K4033">
        <v>1</v>
      </c>
      <c r="L4033">
        <v>100839</v>
      </c>
      <c r="M4033" t="str">
        <f t="shared" si="572"/>
        <v>13</v>
      </c>
      <c r="N4033" t="s">
        <v>3323</v>
      </c>
      <c r="O4033" t="str">
        <f t="shared" si="583"/>
        <v>63911</v>
      </c>
      <c r="P4033" t="str">
        <f>"2100L"</f>
        <v>2100L</v>
      </c>
      <c r="Q4033" t="str">
        <f t="shared" si="576"/>
        <v>0101</v>
      </c>
      <c r="R4033">
        <v>2100</v>
      </c>
      <c r="S4033" t="str">
        <f t="shared" si="584"/>
        <v>6390</v>
      </c>
      <c r="T4033" t="s">
        <v>3861</v>
      </c>
      <c r="U4033" t="s">
        <v>85</v>
      </c>
    </row>
    <row r="4034" spans="1:21" ht="15" customHeight="1" x14ac:dyDescent="0.3">
      <c r="A4034" t="s">
        <v>179</v>
      </c>
      <c r="B4034" t="str">
        <f>"00055184"</f>
        <v>00055184</v>
      </c>
      <c r="C4034" t="s">
        <v>200</v>
      </c>
      <c r="D4034" t="s">
        <v>1163</v>
      </c>
      <c r="E4034" t="str">
        <f>"00044511"</f>
        <v>00044511</v>
      </c>
      <c r="F4034">
        <v>0</v>
      </c>
      <c r="G4034" s="243">
        <v>36390</v>
      </c>
      <c r="H4034" t="s">
        <v>182</v>
      </c>
      <c r="I4034">
        <v>15</v>
      </c>
      <c r="J4034">
        <v>16</v>
      </c>
      <c r="K4034">
        <v>1</v>
      </c>
      <c r="L4034">
        <v>100839</v>
      </c>
      <c r="M4034" t="str">
        <f t="shared" ref="M4034:M4093" si="585">"13"</f>
        <v>13</v>
      </c>
      <c r="N4034" t="s">
        <v>3323</v>
      </c>
      <c r="O4034" t="str">
        <f t="shared" si="583"/>
        <v>63911</v>
      </c>
      <c r="P4034" t="str">
        <f>"3030L"</f>
        <v>3030L</v>
      </c>
      <c r="Q4034" t="str">
        <f t="shared" si="576"/>
        <v>0101</v>
      </c>
      <c r="R4034">
        <v>3030</v>
      </c>
      <c r="S4034" t="str">
        <f t="shared" si="584"/>
        <v>6390</v>
      </c>
      <c r="T4034" t="s">
        <v>3861</v>
      </c>
      <c r="U4034" t="s">
        <v>85</v>
      </c>
    </row>
    <row r="4035" spans="1:21" ht="15" customHeight="1" x14ac:dyDescent="0.3">
      <c r="A4035" t="s">
        <v>179</v>
      </c>
      <c r="B4035" t="str">
        <f>"00057323"</f>
        <v>00057323</v>
      </c>
      <c r="C4035" t="s">
        <v>3670</v>
      </c>
      <c r="D4035" t="s">
        <v>1164</v>
      </c>
      <c r="E4035" t="str">
        <f>"00047779"</f>
        <v>00047779</v>
      </c>
      <c r="F4035">
        <v>0</v>
      </c>
      <c r="G4035" s="243">
        <v>36332</v>
      </c>
      <c r="H4035" t="s">
        <v>182</v>
      </c>
      <c r="I4035">
        <v>8</v>
      </c>
      <c r="J4035">
        <v>6</v>
      </c>
      <c r="K4035">
        <v>1</v>
      </c>
      <c r="L4035">
        <v>94825</v>
      </c>
      <c r="M4035" t="str">
        <f t="shared" si="585"/>
        <v>13</v>
      </c>
      <c r="N4035" t="s">
        <v>3323</v>
      </c>
      <c r="O4035" t="str">
        <f t="shared" si="583"/>
        <v>63911</v>
      </c>
      <c r="P4035" t="str">
        <f>"1501L"</f>
        <v>1501L</v>
      </c>
      <c r="Q4035" t="str">
        <f t="shared" si="576"/>
        <v>0101</v>
      </c>
      <c r="R4035">
        <v>1501</v>
      </c>
      <c r="S4035" t="str">
        <f t="shared" si="584"/>
        <v>6390</v>
      </c>
      <c r="T4035" t="s">
        <v>3861</v>
      </c>
      <c r="U4035" t="s">
        <v>85</v>
      </c>
    </row>
    <row r="4036" spans="1:21" ht="15" customHeight="1" x14ac:dyDescent="0.3">
      <c r="A4036" t="s">
        <v>179</v>
      </c>
      <c r="B4036" t="str">
        <f>"00057552"</f>
        <v>00057552</v>
      </c>
      <c r="C4036" t="s">
        <v>4360</v>
      </c>
      <c r="D4036" t="s">
        <v>5528</v>
      </c>
      <c r="E4036" t="str">
        <f>"00003602"</f>
        <v>00003602</v>
      </c>
      <c r="F4036">
        <v>1</v>
      </c>
      <c r="G4036" s="243">
        <v>37264</v>
      </c>
      <c r="H4036" t="s">
        <v>182</v>
      </c>
      <c r="I4036">
        <v>7</v>
      </c>
      <c r="J4036">
        <v>7</v>
      </c>
      <c r="K4036">
        <v>1</v>
      </c>
      <c r="L4036">
        <v>41514</v>
      </c>
      <c r="M4036" t="str">
        <f t="shared" si="585"/>
        <v>13</v>
      </c>
      <c r="N4036" t="s">
        <v>3323</v>
      </c>
      <c r="O4036" t="str">
        <f t="shared" si="583"/>
        <v>63911</v>
      </c>
      <c r="P4036" t="str">
        <f>"1502L"</f>
        <v>1502L</v>
      </c>
      <c r="Q4036" t="str">
        <f t="shared" si="576"/>
        <v>0101</v>
      </c>
      <c r="R4036">
        <v>1502</v>
      </c>
      <c r="S4036" t="str">
        <f t="shared" si="584"/>
        <v>6390</v>
      </c>
      <c r="T4036" t="s">
        <v>3861</v>
      </c>
      <c r="U4036" t="s">
        <v>85</v>
      </c>
    </row>
    <row r="4037" spans="1:21" ht="15" customHeight="1" x14ac:dyDescent="0.3">
      <c r="A4037" t="s">
        <v>179</v>
      </c>
      <c r="B4037" t="str">
        <f>"00059422"</f>
        <v>00059422</v>
      </c>
      <c r="C4037" t="s">
        <v>4260</v>
      </c>
      <c r="D4037" t="s">
        <v>1165</v>
      </c>
      <c r="E4037" t="str">
        <f>"00050593"</f>
        <v>00050593</v>
      </c>
      <c r="F4037">
        <v>0</v>
      </c>
      <c r="G4037" s="243">
        <v>40421</v>
      </c>
      <c r="H4037" t="s">
        <v>182</v>
      </c>
      <c r="I4037">
        <v>15</v>
      </c>
      <c r="J4037">
        <v>12</v>
      </c>
      <c r="K4037">
        <v>1</v>
      </c>
      <c r="L4037">
        <v>87431</v>
      </c>
      <c r="M4037" t="str">
        <f t="shared" si="585"/>
        <v>13</v>
      </c>
      <c r="N4037" t="s">
        <v>3323</v>
      </c>
      <c r="O4037" t="str">
        <f t="shared" si="583"/>
        <v>63911</v>
      </c>
      <c r="P4037" t="str">
        <f>"3030L"</f>
        <v>3030L</v>
      </c>
      <c r="Q4037" t="str">
        <f t="shared" si="576"/>
        <v>0101</v>
      </c>
      <c r="R4037">
        <v>3030</v>
      </c>
      <c r="S4037" t="str">
        <f t="shared" si="584"/>
        <v>6390</v>
      </c>
      <c r="T4037" t="s">
        <v>3861</v>
      </c>
      <c r="U4037" t="s">
        <v>85</v>
      </c>
    </row>
    <row r="4038" spans="1:21" ht="15" customHeight="1" x14ac:dyDescent="0.3">
      <c r="A4038" t="s">
        <v>179</v>
      </c>
      <c r="B4038" t="str">
        <f>"00060861"</f>
        <v>00060861</v>
      </c>
      <c r="C4038" t="s">
        <v>228</v>
      </c>
      <c r="D4038" t="s">
        <v>1166</v>
      </c>
      <c r="E4038" t="str">
        <f>"00046374"</f>
        <v>00046374</v>
      </c>
      <c r="F4038">
        <v>0</v>
      </c>
      <c r="G4038" s="243">
        <v>38198</v>
      </c>
      <c r="H4038" t="s">
        <v>182</v>
      </c>
      <c r="I4038">
        <v>3</v>
      </c>
      <c r="J4038">
        <v>9</v>
      </c>
      <c r="K4038">
        <v>1</v>
      </c>
      <c r="L4038">
        <v>126250</v>
      </c>
      <c r="M4038" t="str">
        <f t="shared" si="585"/>
        <v>13</v>
      </c>
      <c r="N4038" t="s">
        <v>3323</v>
      </c>
      <c r="O4038" t="str">
        <f t="shared" si="583"/>
        <v>63911</v>
      </c>
      <c r="P4038" t="str">
        <f>"3030L"</f>
        <v>3030L</v>
      </c>
      <c r="Q4038" t="str">
        <f t="shared" si="576"/>
        <v>0101</v>
      </c>
      <c r="R4038">
        <v>3030</v>
      </c>
      <c r="S4038" t="str">
        <f t="shared" si="584"/>
        <v>6390</v>
      </c>
      <c r="T4038" t="s">
        <v>3861</v>
      </c>
      <c r="U4038" t="s">
        <v>85</v>
      </c>
    </row>
    <row r="4039" spans="1:21" ht="15" customHeight="1" x14ac:dyDescent="0.3">
      <c r="A4039" t="s">
        <v>179</v>
      </c>
      <c r="B4039" t="str">
        <f>"00061971"</f>
        <v>00061971</v>
      </c>
      <c r="C4039" t="s">
        <v>4259</v>
      </c>
      <c r="D4039" t="s">
        <v>2333</v>
      </c>
      <c r="E4039" t="str">
        <f>"00062623"</f>
        <v>00062623</v>
      </c>
      <c r="F4039">
        <v>0</v>
      </c>
      <c r="G4039" s="243">
        <v>40406</v>
      </c>
      <c r="H4039" t="s">
        <v>182</v>
      </c>
      <c r="I4039">
        <v>15</v>
      </c>
      <c r="J4039">
        <v>14</v>
      </c>
      <c r="K4039">
        <v>1</v>
      </c>
      <c r="L4039">
        <v>96460</v>
      </c>
      <c r="M4039" t="str">
        <f t="shared" si="585"/>
        <v>13</v>
      </c>
      <c r="N4039" t="s">
        <v>3323</v>
      </c>
      <c r="O4039" t="str">
        <f t="shared" si="583"/>
        <v>63911</v>
      </c>
      <c r="P4039" t="str">
        <f>"2100L"</f>
        <v>2100L</v>
      </c>
      <c r="Q4039" t="str">
        <f t="shared" si="576"/>
        <v>0101</v>
      </c>
      <c r="R4039">
        <v>2100</v>
      </c>
      <c r="S4039" t="str">
        <f t="shared" si="584"/>
        <v>6390</v>
      </c>
      <c r="T4039" t="s">
        <v>3905</v>
      </c>
      <c r="U4039" t="s">
        <v>2328</v>
      </c>
    </row>
    <row r="4040" spans="1:21" ht="15" customHeight="1" x14ac:dyDescent="0.3">
      <c r="A4040" t="s">
        <v>179</v>
      </c>
      <c r="B4040" t="str">
        <f>"00062359"</f>
        <v>00062359</v>
      </c>
      <c r="C4040" t="s">
        <v>4254</v>
      </c>
      <c r="H4040" t="s">
        <v>170</v>
      </c>
      <c r="I4040">
        <v>15</v>
      </c>
      <c r="J4040">
        <v>1</v>
      </c>
      <c r="K4040">
        <v>1</v>
      </c>
      <c r="L4040">
        <v>51539</v>
      </c>
      <c r="M4040" t="str">
        <f t="shared" si="585"/>
        <v>13</v>
      </c>
      <c r="N4040" t="s">
        <v>3323</v>
      </c>
      <c r="O4040" t="str">
        <f t="shared" si="583"/>
        <v>63911</v>
      </c>
      <c r="P4040" t="str">
        <f>"2100L"</f>
        <v>2100L</v>
      </c>
      <c r="Q4040" t="str">
        <f t="shared" si="576"/>
        <v>0101</v>
      </c>
      <c r="R4040">
        <v>2100</v>
      </c>
      <c r="S4040" t="str">
        <f t="shared" si="584"/>
        <v>6390</v>
      </c>
      <c r="T4040" t="s">
        <v>3861</v>
      </c>
      <c r="U4040" t="s">
        <v>85</v>
      </c>
    </row>
    <row r="4041" spans="1:21" ht="15" customHeight="1" x14ac:dyDescent="0.3">
      <c r="A4041" t="s">
        <v>179</v>
      </c>
      <c r="B4041" t="str">
        <f>"00062735"</f>
        <v>00062735</v>
      </c>
      <c r="C4041" t="s">
        <v>4260</v>
      </c>
      <c r="D4041" t="s">
        <v>969</v>
      </c>
      <c r="E4041" t="str">
        <f>"00054315"</f>
        <v>00054315</v>
      </c>
      <c r="F4041">
        <v>0</v>
      </c>
      <c r="G4041" s="243">
        <v>32387</v>
      </c>
      <c r="H4041" t="s">
        <v>182</v>
      </c>
      <c r="I4041">
        <v>15</v>
      </c>
      <c r="J4041">
        <v>16</v>
      </c>
      <c r="K4041">
        <v>1</v>
      </c>
      <c r="L4041">
        <v>100839</v>
      </c>
      <c r="M4041" t="str">
        <f t="shared" si="585"/>
        <v>13</v>
      </c>
      <c r="N4041" t="s">
        <v>3323</v>
      </c>
      <c r="O4041" t="str">
        <f t="shared" si="583"/>
        <v>63911</v>
      </c>
      <c r="P4041" t="str">
        <f>"3030L"</f>
        <v>3030L</v>
      </c>
      <c r="Q4041" t="str">
        <f t="shared" si="576"/>
        <v>0101</v>
      </c>
      <c r="R4041">
        <v>3030</v>
      </c>
      <c r="S4041" t="str">
        <f t="shared" si="584"/>
        <v>6390</v>
      </c>
      <c r="T4041" t="s">
        <v>3861</v>
      </c>
      <c r="U4041" t="s">
        <v>85</v>
      </c>
    </row>
    <row r="4042" spans="1:21" ht="15" customHeight="1" x14ac:dyDescent="0.3">
      <c r="A4042" t="s">
        <v>179</v>
      </c>
      <c r="B4042" t="str">
        <f>"00062813"</f>
        <v>00062813</v>
      </c>
      <c r="C4042" t="s">
        <v>3670</v>
      </c>
      <c r="D4042" t="s">
        <v>1168</v>
      </c>
      <c r="E4042" t="str">
        <f>"00047922"</f>
        <v>00047922</v>
      </c>
      <c r="F4042">
        <v>0</v>
      </c>
      <c r="G4042" s="243">
        <v>39762</v>
      </c>
      <c r="H4042" t="s">
        <v>182</v>
      </c>
      <c r="I4042">
        <v>8</v>
      </c>
      <c r="J4042">
        <v>6</v>
      </c>
      <c r="K4042">
        <v>1</v>
      </c>
      <c r="L4042">
        <v>96453</v>
      </c>
      <c r="M4042" t="str">
        <f t="shared" si="585"/>
        <v>13</v>
      </c>
      <c r="N4042" t="s">
        <v>3323</v>
      </c>
      <c r="O4042" t="str">
        <f t="shared" si="583"/>
        <v>63911</v>
      </c>
      <c r="P4042" t="str">
        <f>"1501L"</f>
        <v>1501L</v>
      </c>
      <c r="Q4042" t="str">
        <f t="shared" ref="Q4042:Q4100" si="586">"0101"</f>
        <v>0101</v>
      </c>
      <c r="R4042">
        <v>1501</v>
      </c>
      <c r="S4042" t="str">
        <f t="shared" si="584"/>
        <v>6390</v>
      </c>
      <c r="T4042" t="s">
        <v>3861</v>
      </c>
      <c r="U4042" t="s">
        <v>85</v>
      </c>
    </row>
    <row r="4043" spans="1:21" ht="15" customHeight="1" x14ac:dyDescent="0.3">
      <c r="A4043" t="s">
        <v>179</v>
      </c>
      <c r="B4043" t="str">
        <f>"00062994"</f>
        <v>00062994</v>
      </c>
      <c r="C4043" t="s">
        <v>715</v>
      </c>
      <c r="D4043" t="s">
        <v>1169</v>
      </c>
      <c r="E4043" t="str">
        <f>"00053082"</f>
        <v>00053082</v>
      </c>
      <c r="F4043">
        <v>0</v>
      </c>
      <c r="G4043" s="243">
        <v>39453</v>
      </c>
      <c r="H4043" t="s">
        <v>182</v>
      </c>
      <c r="I4043">
        <v>12</v>
      </c>
      <c r="J4043">
        <v>10</v>
      </c>
      <c r="K4043">
        <v>1</v>
      </c>
      <c r="L4043">
        <v>61732</v>
      </c>
      <c r="M4043" t="str">
        <f t="shared" si="585"/>
        <v>13</v>
      </c>
      <c r="N4043" t="s">
        <v>3323</v>
      </c>
      <c r="O4043" t="str">
        <f t="shared" si="583"/>
        <v>63911</v>
      </c>
      <c r="P4043" t="str">
        <f>"2100L"</f>
        <v>2100L</v>
      </c>
      <c r="Q4043" t="str">
        <f t="shared" si="586"/>
        <v>0101</v>
      </c>
      <c r="R4043">
        <v>2100</v>
      </c>
      <c r="S4043" t="str">
        <f t="shared" si="584"/>
        <v>6390</v>
      </c>
      <c r="T4043" t="s">
        <v>3861</v>
      </c>
      <c r="U4043" t="s">
        <v>85</v>
      </c>
    </row>
    <row r="4044" spans="1:21" ht="15" customHeight="1" x14ac:dyDescent="0.3">
      <c r="A4044" t="s">
        <v>179</v>
      </c>
      <c r="B4044" t="str">
        <f>"00065356"</f>
        <v>00065356</v>
      </c>
      <c r="C4044" t="s">
        <v>5495</v>
      </c>
      <c r="D4044" t="s">
        <v>1170</v>
      </c>
      <c r="E4044" t="str">
        <f>"00046982"</f>
        <v>00046982</v>
      </c>
      <c r="F4044">
        <v>0</v>
      </c>
      <c r="G4044" s="243">
        <v>38339</v>
      </c>
      <c r="H4044" t="s">
        <v>182</v>
      </c>
      <c r="I4044">
        <v>8</v>
      </c>
      <c r="J4044">
        <v>6</v>
      </c>
      <c r="K4044">
        <v>1</v>
      </c>
      <c r="L4044">
        <v>98078</v>
      </c>
      <c r="M4044" t="str">
        <f t="shared" si="585"/>
        <v>13</v>
      </c>
      <c r="N4044" t="s">
        <v>3370</v>
      </c>
      <c r="O4044" t="str">
        <f t="shared" si="583"/>
        <v>63911</v>
      </c>
      <c r="P4044" t="str">
        <f>"2100L"</f>
        <v>2100L</v>
      </c>
      <c r="Q4044" t="str">
        <f t="shared" si="586"/>
        <v>0101</v>
      </c>
      <c r="R4044">
        <v>2100</v>
      </c>
      <c r="S4044" t="str">
        <f t="shared" si="584"/>
        <v>6390</v>
      </c>
      <c r="T4044" t="s">
        <v>3861</v>
      </c>
      <c r="U4044" t="s">
        <v>85</v>
      </c>
    </row>
    <row r="4045" spans="1:21" ht="15" customHeight="1" x14ac:dyDescent="0.3">
      <c r="A4045" t="s">
        <v>179</v>
      </c>
      <c r="B4045" t="str">
        <f>"00065659"</f>
        <v>00065659</v>
      </c>
      <c r="C4045" t="s">
        <v>4262</v>
      </c>
      <c r="H4045" t="s">
        <v>170</v>
      </c>
      <c r="I4045">
        <v>15</v>
      </c>
      <c r="J4045">
        <v>1</v>
      </c>
      <c r="K4045">
        <v>1</v>
      </c>
      <c r="L4045">
        <v>54975</v>
      </c>
      <c r="M4045" t="str">
        <f t="shared" si="585"/>
        <v>13</v>
      </c>
      <c r="N4045" t="s">
        <v>3323</v>
      </c>
      <c r="O4045" t="str">
        <f t="shared" si="583"/>
        <v>63911</v>
      </c>
      <c r="P4045" t="str">
        <f>"2100L"</f>
        <v>2100L</v>
      </c>
      <c r="Q4045" t="str">
        <f t="shared" si="586"/>
        <v>0101</v>
      </c>
      <c r="R4045">
        <v>2100</v>
      </c>
      <c r="S4045" t="str">
        <f t="shared" si="584"/>
        <v>6390</v>
      </c>
      <c r="T4045" t="s">
        <v>3861</v>
      </c>
      <c r="U4045" t="s">
        <v>85</v>
      </c>
    </row>
    <row r="4046" spans="1:21" ht="15" customHeight="1" x14ac:dyDescent="0.3">
      <c r="A4046" t="s">
        <v>179</v>
      </c>
      <c r="B4046" t="str">
        <f>"00065660"</f>
        <v>00065660</v>
      </c>
      <c r="C4046" t="s">
        <v>4253</v>
      </c>
      <c r="H4046" t="s">
        <v>170</v>
      </c>
      <c r="I4046">
        <v>15</v>
      </c>
      <c r="J4046">
        <v>1</v>
      </c>
      <c r="K4046">
        <v>1</v>
      </c>
      <c r="L4046">
        <v>54975</v>
      </c>
      <c r="M4046" t="str">
        <f t="shared" si="585"/>
        <v>13</v>
      </c>
      <c r="N4046" t="s">
        <v>3323</v>
      </c>
      <c r="O4046" t="str">
        <f t="shared" si="583"/>
        <v>63911</v>
      </c>
      <c r="P4046" t="str">
        <f>"2100L"</f>
        <v>2100L</v>
      </c>
      <c r="Q4046" t="str">
        <f t="shared" si="586"/>
        <v>0101</v>
      </c>
      <c r="R4046">
        <v>2100</v>
      </c>
      <c r="S4046" t="str">
        <f t="shared" si="584"/>
        <v>6390</v>
      </c>
      <c r="T4046" t="s">
        <v>3861</v>
      </c>
      <c r="U4046" t="s">
        <v>85</v>
      </c>
    </row>
    <row r="4047" spans="1:21" ht="15" customHeight="1" x14ac:dyDescent="0.3">
      <c r="A4047" t="s">
        <v>179</v>
      </c>
      <c r="B4047" t="str">
        <f>"00065662"</f>
        <v>00065662</v>
      </c>
      <c r="C4047" t="s">
        <v>4255</v>
      </c>
      <c r="D4047" t="s">
        <v>385</v>
      </c>
      <c r="E4047" t="str">
        <f>"00045929"</f>
        <v>00045929</v>
      </c>
      <c r="F4047">
        <v>0</v>
      </c>
      <c r="G4047" s="243">
        <v>33968</v>
      </c>
      <c r="H4047" t="s">
        <v>182</v>
      </c>
      <c r="I4047">
        <v>15</v>
      </c>
      <c r="J4047">
        <v>13</v>
      </c>
      <c r="K4047">
        <v>1</v>
      </c>
      <c r="L4047">
        <v>86613</v>
      </c>
      <c r="M4047" t="str">
        <f t="shared" si="585"/>
        <v>13</v>
      </c>
      <c r="N4047" t="s">
        <v>3323</v>
      </c>
      <c r="O4047" t="str">
        <f t="shared" si="583"/>
        <v>63911</v>
      </c>
      <c r="P4047" t="str">
        <f>"2100L"</f>
        <v>2100L</v>
      </c>
      <c r="Q4047" t="str">
        <f t="shared" si="586"/>
        <v>0101</v>
      </c>
      <c r="R4047">
        <v>2100</v>
      </c>
      <c r="S4047" t="str">
        <f t="shared" si="584"/>
        <v>6390</v>
      </c>
      <c r="T4047" t="s">
        <v>3861</v>
      </c>
      <c r="U4047" t="s">
        <v>85</v>
      </c>
    </row>
    <row r="4048" spans="1:21" ht="15" customHeight="1" x14ac:dyDescent="0.3">
      <c r="A4048" t="s">
        <v>179</v>
      </c>
      <c r="B4048" t="str">
        <f>"00065663"</f>
        <v>00065663</v>
      </c>
      <c r="C4048" t="s">
        <v>4260</v>
      </c>
      <c r="D4048" t="s">
        <v>1171</v>
      </c>
      <c r="E4048" t="str">
        <f>"00057425"</f>
        <v>00057425</v>
      </c>
      <c r="F4048">
        <v>0</v>
      </c>
      <c r="G4048" s="243">
        <v>40042</v>
      </c>
      <c r="H4048" t="s">
        <v>182</v>
      </c>
      <c r="I4048">
        <v>15</v>
      </c>
      <c r="J4048">
        <v>12</v>
      </c>
      <c r="K4048">
        <v>1</v>
      </c>
      <c r="L4048">
        <v>87431</v>
      </c>
      <c r="M4048" t="str">
        <f t="shared" si="585"/>
        <v>13</v>
      </c>
      <c r="N4048" t="s">
        <v>3323</v>
      </c>
      <c r="O4048" t="str">
        <f t="shared" si="583"/>
        <v>63911</v>
      </c>
      <c r="P4048" t="str">
        <f t="shared" ref="P4048:P4054" si="587">"3030L"</f>
        <v>3030L</v>
      </c>
      <c r="Q4048" t="str">
        <f t="shared" si="586"/>
        <v>0101</v>
      </c>
      <c r="R4048">
        <v>3030</v>
      </c>
      <c r="S4048" t="str">
        <f t="shared" si="584"/>
        <v>6390</v>
      </c>
      <c r="T4048" t="s">
        <v>3861</v>
      </c>
      <c r="U4048" t="s">
        <v>85</v>
      </c>
    </row>
    <row r="4049" spans="1:21" ht="15" customHeight="1" x14ac:dyDescent="0.3">
      <c r="A4049" t="s">
        <v>179</v>
      </c>
      <c r="B4049" t="str">
        <f>"00065664"</f>
        <v>00065664</v>
      </c>
      <c r="C4049" t="s">
        <v>4260</v>
      </c>
      <c r="D4049" t="s">
        <v>1172</v>
      </c>
      <c r="E4049" t="str">
        <f>"00062718"</f>
        <v>00062718</v>
      </c>
      <c r="F4049">
        <v>0</v>
      </c>
      <c r="G4049" s="243">
        <v>40406</v>
      </c>
      <c r="H4049" t="s">
        <v>182</v>
      </c>
      <c r="I4049">
        <v>15</v>
      </c>
      <c r="J4049">
        <v>3</v>
      </c>
      <c r="K4049">
        <v>1</v>
      </c>
      <c r="L4049">
        <v>58699</v>
      </c>
      <c r="M4049" t="str">
        <f t="shared" si="585"/>
        <v>13</v>
      </c>
      <c r="N4049" t="s">
        <v>3323</v>
      </c>
      <c r="O4049" t="str">
        <f t="shared" si="583"/>
        <v>63911</v>
      </c>
      <c r="P4049" t="str">
        <f t="shared" si="587"/>
        <v>3030L</v>
      </c>
      <c r="Q4049" t="str">
        <f t="shared" si="586"/>
        <v>0101</v>
      </c>
      <c r="R4049">
        <v>3030</v>
      </c>
      <c r="S4049" t="str">
        <f t="shared" si="584"/>
        <v>6390</v>
      </c>
      <c r="T4049" t="s">
        <v>3861</v>
      </c>
      <c r="U4049" t="s">
        <v>85</v>
      </c>
    </row>
    <row r="4050" spans="1:21" ht="15" customHeight="1" x14ac:dyDescent="0.3">
      <c r="A4050" t="s">
        <v>179</v>
      </c>
      <c r="B4050" t="str">
        <f>"00065665"</f>
        <v>00065665</v>
      </c>
      <c r="C4050" t="s">
        <v>4260</v>
      </c>
      <c r="D4050" t="s">
        <v>3908</v>
      </c>
      <c r="E4050" t="str">
        <f>"00066406"</f>
        <v>00066406</v>
      </c>
      <c r="F4050">
        <v>0</v>
      </c>
      <c r="G4050" s="243">
        <v>40755</v>
      </c>
      <c r="H4050" t="s">
        <v>182</v>
      </c>
      <c r="I4050">
        <v>15</v>
      </c>
      <c r="J4050">
        <v>2</v>
      </c>
      <c r="K4050">
        <v>1</v>
      </c>
      <c r="L4050">
        <v>56242</v>
      </c>
      <c r="M4050" t="str">
        <f t="shared" si="585"/>
        <v>13</v>
      </c>
      <c r="N4050" t="s">
        <v>3323</v>
      </c>
      <c r="O4050" t="str">
        <f t="shared" si="583"/>
        <v>63911</v>
      </c>
      <c r="P4050" t="str">
        <f t="shared" si="587"/>
        <v>3030L</v>
      </c>
      <c r="Q4050" t="str">
        <f t="shared" si="586"/>
        <v>0101</v>
      </c>
      <c r="R4050">
        <v>3030</v>
      </c>
      <c r="S4050" t="str">
        <f t="shared" si="584"/>
        <v>6390</v>
      </c>
      <c r="T4050" t="s">
        <v>3861</v>
      </c>
      <c r="U4050" t="s">
        <v>85</v>
      </c>
    </row>
    <row r="4051" spans="1:21" ht="15" customHeight="1" x14ac:dyDescent="0.3">
      <c r="A4051" t="s">
        <v>179</v>
      </c>
      <c r="B4051" t="str">
        <f>"00065667"</f>
        <v>00065667</v>
      </c>
      <c r="C4051" t="s">
        <v>4253</v>
      </c>
      <c r="D4051" t="s">
        <v>3909</v>
      </c>
      <c r="E4051" t="str">
        <f>"00064505"</f>
        <v>00064505</v>
      </c>
      <c r="F4051">
        <v>0</v>
      </c>
      <c r="G4051" s="243">
        <v>40563</v>
      </c>
      <c r="H4051" t="s">
        <v>182</v>
      </c>
      <c r="I4051">
        <v>15</v>
      </c>
      <c r="J4051">
        <v>2</v>
      </c>
      <c r="K4051">
        <v>1</v>
      </c>
      <c r="L4051">
        <v>51716</v>
      </c>
      <c r="M4051" t="str">
        <f t="shared" si="585"/>
        <v>13</v>
      </c>
      <c r="N4051" t="s">
        <v>3323</v>
      </c>
      <c r="O4051" t="str">
        <f t="shared" si="583"/>
        <v>63911</v>
      </c>
      <c r="P4051" t="str">
        <f t="shared" si="587"/>
        <v>3030L</v>
      </c>
      <c r="Q4051" t="str">
        <f t="shared" si="586"/>
        <v>0101</v>
      </c>
      <c r="R4051">
        <v>3030</v>
      </c>
      <c r="S4051" t="str">
        <f t="shared" si="584"/>
        <v>6390</v>
      </c>
      <c r="T4051" t="s">
        <v>3861</v>
      </c>
      <c r="U4051" t="s">
        <v>85</v>
      </c>
    </row>
    <row r="4052" spans="1:21" ht="15" customHeight="1" x14ac:dyDescent="0.3">
      <c r="A4052" t="s">
        <v>179</v>
      </c>
      <c r="B4052" t="str">
        <f>"00065668"</f>
        <v>00065668</v>
      </c>
      <c r="C4052" t="s">
        <v>4260</v>
      </c>
      <c r="D4052" t="s">
        <v>1173</v>
      </c>
      <c r="E4052" t="str">
        <f>"00057914"</f>
        <v>00057914</v>
      </c>
      <c r="F4052">
        <v>0</v>
      </c>
      <c r="G4052" s="243">
        <v>40769</v>
      </c>
      <c r="H4052" t="s">
        <v>182</v>
      </c>
      <c r="I4052">
        <v>15</v>
      </c>
      <c r="J4052">
        <v>4</v>
      </c>
      <c r="K4052">
        <v>1</v>
      </c>
      <c r="L4052">
        <v>61158</v>
      </c>
      <c r="M4052" t="str">
        <f t="shared" si="585"/>
        <v>13</v>
      </c>
      <c r="N4052" t="s">
        <v>3323</v>
      </c>
      <c r="O4052" t="str">
        <f t="shared" si="583"/>
        <v>63911</v>
      </c>
      <c r="P4052" t="str">
        <f t="shared" si="587"/>
        <v>3030L</v>
      </c>
      <c r="Q4052" t="str">
        <f t="shared" si="586"/>
        <v>0101</v>
      </c>
      <c r="R4052">
        <v>3030</v>
      </c>
      <c r="S4052" t="str">
        <f t="shared" si="584"/>
        <v>6390</v>
      </c>
      <c r="T4052" t="s">
        <v>3861</v>
      </c>
      <c r="U4052" t="s">
        <v>85</v>
      </c>
    </row>
    <row r="4053" spans="1:21" ht="15" customHeight="1" x14ac:dyDescent="0.3">
      <c r="A4053" t="s">
        <v>179</v>
      </c>
      <c r="B4053" t="str">
        <f>"00065978"</f>
        <v>00065978</v>
      </c>
      <c r="C4053" t="s">
        <v>4260</v>
      </c>
      <c r="D4053" t="s">
        <v>1174</v>
      </c>
      <c r="E4053" t="str">
        <f>"00057338"</f>
        <v>00057338</v>
      </c>
      <c r="F4053">
        <v>0</v>
      </c>
      <c r="G4053" s="243">
        <v>40042</v>
      </c>
      <c r="H4053" t="s">
        <v>182</v>
      </c>
      <c r="I4053">
        <v>15</v>
      </c>
      <c r="J4053">
        <v>12</v>
      </c>
      <c r="K4053">
        <v>1</v>
      </c>
      <c r="L4053">
        <v>87431</v>
      </c>
      <c r="M4053" t="str">
        <f t="shared" si="585"/>
        <v>13</v>
      </c>
      <c r="N4053" t="s">
        <v>3323</v>
      </c>
      <c r="O4053" t="str">
        <f t="shared" si="583"/>
        <v>63911</v>
      </c>
      <c r="P4053" t="str">
        <f t="shared" si="587"/>
        <v>3030L</v>
      </c>
      <c r="Q4053" t="str">
        <f t="shared" si="586"/>
        <v>0101</v>
      </c>
      <c r="R4053">
        <v>3030</v>
      </c>
      <c r="S4053" t="str">
        <f t="shared" si="584"/>
        <v>6390</v>
      </c>
      <c r="T4053" t="s">
        <v>3861</v>
      </c>
      <c r="U4053" t="s">
        <v>85</v>
      </c>
    </row>
    <row r="4054" spans="1:21" ht="15" customHeight="1" x14ac:dyDescent="0.3">
      <c r="A4054" t="s">
        <v>179</v>
      </c>
      <c r="B4054" t="str">
        <f>"00066185"</f>
        <v>00066185</v>
      </c>
      <c r="C4054" t="s">
        <v>4290</v>
      </c>
      <c r="D4054" t="s">
        <v>5529</v>
      </c>
      <c r="E4054" t="str">
        <f>"00070007"</f>
        <v>00070007</v>
      </c>
      <c r="F4054">
        <v>0</v>
      </c>
      <c r="G4054" s="243">
        <v>41133</v>
      </c>
      <c r="H4054" t="s">
        <v>182</v>
      </c>
      <c r="I4054">
        <v>4</v>
      </c>
      <c r="J4054">
        <v>8</v>
      </c>
      <c r="K4054">
        <v>1</v>
      </c>
      <c r="L4054">
        <v>27329.75</v>
      </c>
      <c r="M4054" t="str">
        <f t="shared" si="585"/>
        <v>13</v>
      </c>
      <c r="N4054" t="s">
        <v>3370</v>
      </c>
      <c r="O4054" t="str">
        <f t="shared" ref="O4054:O4083" si="588">"63911"</f>
        <v>63911</v>
      </c>
      <c r="P4054" t="str">
        <f t="shared" si="587"/>
        <v>3030L</v>
      </c>
      <c r="Q4054" t="str">
        <f t="shared" si="586"/>
        <v>0101</v>
      </c>
      <c r="R4054">
        <v>3030</v>
      </c>
      <c r="S4054" t="str">
        <f t="shared" ref="S4054:S4083" si="589">"6390"</f>
        <v>6390</v>
      </c>
      <c r="T4054" t="s">
        <v>3861</v>
      </c>
      <c r="U4054" t="s">
        <v>85</v>
      </c>
    </row>
    <row r="4055" spans="1:21" ht="15" customHeight="1" x14ac:dyDescent="0.3">
      <c r="A4055" t="s">
        <v>179</v>
      </c>
      <c r="B4055" t="str">
        <f>"00066348"</f>
        <v>00066348</v>
      </c>
      <c r="C4055" t="s">
        <v>4252</v>
      </c>
      <c r="D4055" t="s">
        <v>1176</v>
      </c>
      <c r="E4055" t="str">
        <f>"00057573"</f>
        <v>00057573</v>
      </c>
      <c r="F4055">
        <v>0</v>
      </c>
      <c r="G4055" s="243">
        <v>40042</v>
      </c>
      <c r="H4055" t="s">
        <v>182</v>
      </c>
      <c r="I4055">
        <v>15</v>
      </c>
      <c r="J4055">
        <v>7</v>
      </c>
      <c r="K4055">
        <v>1</v>
      </c>
      <c r="L4055">
        <v>69132</v>
      </c>
      <c r="M4055" t="str">
        <f t="shared" si="585"/>
        <v>13</v>
      </c>
      <c r="N4055" t="s">
        <v>3323</v>
      </c>
      <c r="O4055" t="str">
        <f t="shared" si="588"/>
        <v>63911</v>
      </c>
      <c r="P4055" t="str">
        <f t="shared" ref="P4055:P4061" si="590">"2100L"</f>
        <v>2100L</v>
      </c>
      <c r="Q4055" t="str">
        <f t="shared" si="586"/>
        <v>0101</v>
      </c>
      <c r="R4055">
        <v>2100</v>
      </c>
      <c r="S4055" t="str">
        <f t="shared" si="589"/>
        <v>6390</v>
      </c>
      <c r="T4055" t="s">
        <v>3861</v>
      </c>
      <c r="U4055" t="s">
        <v>85</v>
      </c>
    </row>
    <row r="4056" spans="1:21" ht="15" customHeight="1" x14ac:dyDescent="0.3">
      <c r="A4056" t="s">
        <v>179</v>
      </c>
      <c r="B4056" t="str">
        <f>"00066527"</f>
        <v>00066527</v>
      </c>
      <c r="C4056" t="s">
        <v>4290</v>
      </c>
      <c r="D4056" t="s">
        <v>5530</v>
      </c>
      <c r="E4056" t="str">
        <f>"00038321"</f>
        <v>00038321</v>
      </c>
      <c r="F4056">
        <v>1</v>
      </c>
      <c r="G4056" s="243">
        <v>40770</v>
      </c>
      <c r="H4056" t="s">
        <v>182</v>
      </c>
      <c r="I4056">
        <v>4</v>
      </c>
      <c r="J4056">
        <v>8</v>
      </c>
      <c r="K4056">
        <v>1</v>
      </c>
      <c r="L4056">
        <v>27329.75</v>
      </c>
      <c r="M4056" t="str">
        <f t="shared" si="585"/>
        <v>13</v>
      </c>
      <c r="N4056" t="s">
        <v>3323</v>
      </c>
      <c r="O4056" t="str">
        <f t="shared" si="588"/>
        <v>63911</v>
      </c>
      <c r="P4056" t="str">
        <f t="shared" si="590"/>
        <v>2100L</v>
      </c>
      <c r="Q4056" t="str">
        <f t="shared" si="586"/>
        <v>0101</v>
      </c>
      <c r="R4056">
        <v>2100</v>
      </c>
      <c r="S4056" t="str">
        <f t="shared" si="589"/>
        <v>6390</v>
      </c>
      <c r="T4056" t="s">
        <v>3861</v>
      </c>
      <c r="U4056" t="s">
        <v>85</v>
      </c>
    </row>
    <row r="4057" spans="1:21" ht="15" customHeight="1" x14ac:dyDescent="0.3">
      <c r="A4057" t="s">
        <v>179</v>
      </c>
      <c r="B4057" t="str">
        <f>"00066829"</f>
        <v>00066829</v>
      </c>
      <c r="C4057" t="s">
        <v>4262</v>
      </c>
      <c r="D4057" t="s">
        <v>5531</v>
      </c>
      <c r="E4057" t="str">
        <f>"00069553"</f>
        <v>00069553</v>
      </c>
      <c r="F4057">
        <v>0</v>
      </c>
      <c r="G4057" s="243">
        <v>41133</v>
      </c>
      <c r="H4057" t="s">
        <v>182</v>
      </c>
      <c r="I4057">
        <v>15</v>
      </c>
      <c r="J4057">
        <v>1</v>
      </c>
      <c r="K4057">
        <v>1</v>
      </c>
      <c r="L4057">
        <v>51539</v>
      </c>
      <c r="M4057" t="str">
        <f t="shared" si="585"/>
        <v>13</v>
      </c>
      <c r="N4057" t="s">
        <v>3370</v>
      </c>
      <c r="O4057" t="str">
        <f t="shared" si="588"/>
        <v>63911</v>
      </c>
      <c r="P4057" t="str">
        <f t="shared" si="590"/>
        <v>2100L</v>
      </c>
      <c r="Q4057" t="str">
        <f t="shared" si="586"/>
        <v>0101</v>
      </c>
      <c r="R4057">
        <v>2100</v>
      </c>
      <c r="S4057" t="str">
        <f t="shared" si="589"/>
        <v>6390</v>
      </c>
      <c r="T4057" t="s">
        <v>3861</v>
      </c>
      <c r="U4057" t="s">
        <v>85</v>
      </c>
    </row>
    <row r="4058" spans="1:21" ht="15" customHeight="1" x14ac:dyDescent="0.3">
      <c r="A4058" t="s">
        <v>179</v>
      </c>
      <c r="B4058" t="str">
        <f>"00066830"</f>
        <v>00066830</v>
      </c>
      <c r="C4058" t="s">
        <v>4253</v>
      </c>
      <c r="D4058" t="s">
        <v>1177</v>
      </c>
      <c r="E4058" t="str">
        <f>"00063353"</f>
        <v>00063353</v>
      </c>
      <c r="F4058">
        <v>0</v>
      </c>
      <c r="G4058" s="243">
        <v>40422</v>
      </c>
      <c r="H4058" t="s">
        <v>182</v>
      </c>
      <c r="I4058">
        <v>15</v>
      </c>
      <c r="J4058">
        <v>6</v>
      </c>
      <c r="K4058">
        <v>1</v>
      </c>
      <c r="L4058">
        <v>66078</v>
      </c>
      <c r="M4058" t="str">
        <f t="shared" si="585"/>
        <v>13</v>
      </c>
      <c r="N4058" t="s">
        <v>3323</v>
      </c>
      <c r="O4058" t="str">
        <f t="shared" si="588"/>
        <v>63911</v>
      </c>
      <c r="P4058" t="str">
        <f t="shared" si="590"/>
        <v>2100L</v>
      </c>
      <c r="Q4058" t="str">
        <f t="shared" si="586"/>
        <v>0101</v>
      </c>
      <c r="R4058">
        <v>2100</v>
      </c>
      <c r="S4058" t="str">
        <f t="shared" si="589"/>
        <v>6390</v>
      </c>
      <c r="T4058" t="s">
        <v>3861</v>
      </c>
      <c r="U4058" t="s">
        <v>85</v>
      </c>
    </row>
    <row r="4059" spans="1:21" ht="15" customHeight="1" x14ac:dyDescent="0.3">
      <c r="A4059" t="s">
        <v>179</v>
      </c>
      <c r="B4059" t="str">
        <f>"00066831"</f>
        <v>00066831</v>
      </c>
      <c r="C4059" t="s">
        <v>4262</v>
      </c>
      <c r="D4059" t="s">
        <v>1178</v>
      </c>
      <c r="E4059" t="str">
        <f>"00057319"</f>
        <v>00057319</v>
      </c>
      <c r="F4059">
        <v>0</v>
      </c>
      <c r="G4059" s="243">
        <v>40042</v>
      </c>
      <c r="H4059" t="s">
        <v>182</v>
      </c>
      <c r="I4059">
        <v>15</v>
      </c>
      <c r="J4059">
        <v>3</v>
      </c>
      <c r="K4059">
        <v>1</v>
      </c>
      <c r="L4059">
        <v>58699</v>
      </c>
      <c r="M4059" t="str">
        <f t="shared" si="585"/>
        <v>13</v>
      </c>
      <c r="N4059" t="s">
        <v>3323</v>
      </c>
      <c r="O4059" t="str">
        <f t="shared" si="588"/>
        <v>63911</v>
      </c>
      <c r="P4059" t="str">
        <f t="shared" si="590"/>
        <v>2100L</v>
      </c>
      <c r="Q4059" t="str">
        <f t="shared" si="586"/>
        <v>0101</v>
      </c>
      <c r="R4059">
        <v>2100</v>
      </c>
      <c r="S4059" t="str">
        <f t="shared" si="589"/>
        <v>6390</v>
      </c>
      <c r="T4059" t="s">
        <v>3861</v>
      </c>
      <c r="U4059" t="s">
        <v>85</v>
      </c>
    </row>
    <row r="4060" spans="1:21" ht="15" customHeight="1" x14ac:dyDescent="0.3">
      <c r="A4060" t="s">
        <v>179</v>
      </c>
      <c r="B4060" t="str">
        <f>"00066832"</f>
        <v>00066832</v>
      </c>
      <c r="C4060" t="s">
        <v>4253</v>
      </c>
      <c r="D4060" t="s">
        <v>1179</v>
      </c>
      <c r="E4060" t="str">
        <f>"00060207"</f>
        <v>00060207</v>
      </c>
      <c r="F4060">
        <v>0</v>
      </c>
      <c r="G4060" s="243">
        <v>40189</v>
      </c>
      <c r="H4060" t="s">
        <v>182</v>
      </c>
      <c r="I4060">
        <v>15</v>
      </c>
      <c r="J4060">
        <v>2</v>
      </c>
      <c r="K4060">
        <v>1</v>
      </c>
      <c r="L4060">
        <v>51716</v>
      </c>
      <c r="M4060" t="str">
        <f t="shared" si="585"/>
        <v>13</v>
      </c>
      <c r="N4060" t="s">
        <v>3323</v>
      </c>
      <c r="O4060" t="str">
        <f t="shared" si="588"/>
        <v>63911</v>
      </c>
      <c r="P4060" t="str">
        <f t="shared" si="590"/>
        <v>2100L</v>
      </c>
      <c r="Q4060" t="str">
        <f t="shared" si="586"/>
        <v>0101</v>
      </c>
      <c r="R4060">
        <v>2100</v>
      </c>
      <c r="S4060" t="str">
        <f t="shared" si="589"/>
        <v>6390</v>
      </c>
      <c r="T4060" t="s">
        <v>3861</v>
      </c>
      <c r="U4060" t="s">
        <v>85</v>
      </c>
    </row>
    <row r="4061" spans="1:21" ht="15" customHeight="1" x14ac:dyDescent="0.3">
      <c r="A4061" t="s">
        <v>179</v>
      </c>
      <c r="B4061" t="str">
        <f>"00066833"</f>
        <v>00066833</v>
      </c>
      <c r="C4061" t="s">
        <v>4253</v>
      </c>
      <c r="D4061" t="s">
        <v>3910</v>
      </c>
      <c r="E4061" t="str">
        <f>"00065842"</f>
        <v>00065842</v>
      </c>
      <c r="F4061">
        <v>0</v>
      </c>
      <c r="G4061" s="243">
        <v>40755</v>
      </c>
      <c r="H4061" t="s">
        <v>182</v>
      </c>
      <c r="I4061">
        <v>15</v>
      </c>
      <c r="J4061">
        <v>1</v>
      </c>
      <c r="K4061">
        <v>1</v>
      </c>
      <c r="L4061">
        <v>51539</v>
      </c>
      <c r="M4061" t="str">
        <f t="shared" si="585"/>
        <v>13</v>
      </c>
      <c r="N4061" t="s">
        <v>3323</v>
      </c>
      <c r="O4061" t="str">
        <f t="shared" si="588"/>
        <v>63911</v>
      </c>
      <c r="P4061" t="str">
        <f t="shared" si="590"/>
        <v>2100L</v>
      </c>
      <c r="Q4061" t="str">
        <f t="shared" si="586"/>
        <v>0101</v>
      </c>
      <c r="R4061">
        <v>2100</v>
      </c>
      <c r="S4061" t="str">
        <f t="shared" si="589"/>
        <v>6390</v>
      </c>
      <c r="T4061" t="s">
        <v>3861</v>
      </c>
      <c r="U4061" t="s">
        <v>85</v>
      </c>
    </row>
    <row r="4062" spans="1:21" ht="15" customHeight="1" x14ac:dyDescent="0.3">
      <c r="A4062" t="s">
        <v>179</v>
      </c>
      <c r="B4062" t="str">
        <f>"00066964"</f>
        <v>00066964</v>
      </c>
      <c r="C4062" t="s">
        <v>4271</v>
      </c>
      <c r="D4062" t="s">
        <v>1180</v>
      </c>
      <c r="E4062" t="str">
        <f>"00057289"</f>
        <v>00057289</v>
      </c>
      <c r="F4062">
        <v>0</v>
      </c>
      <c r="G4062" s="243">
        <v>40042</v>
      </c>
      <c r="H4062" t="s">
        <v>182</v>
      </c>
      <c r="I4062">
        <v>15</v>
      </c>
      <c r="J4062">
        <v>12</v>
      </c>
      <c r="K4062">
        <v>1</v>
      </c>
      <c r="L4062">
        <v>89887</v>
      </c>
      <c r="M4062" t="str">
        <f t="shared" si="585"/>
        <v>13</v>
      </c>
      <c r="N4062" t="s">
        <v>3323</v>
      </c>
      <c r="O4062" t="str">
        <f t="shared" si="588"/>
        <v>63911</v>
      </c>
      <c r="P4062" t="str">
        <f>"3030L"</f>
        <v>3030L</v>
      </c>
      <c r="Q4062" t="str">
        <f t="shared" si="586"/>
        <v>0101</v>
      </c>
      <c r="R4062">
        <v>3030</v>
      </c>
      <c r="S4062" t="str">
        <f t="shared" si="589"/>
        <v>6390</v>
      </c>
      <c r="T4062" t="s">
        <v>3861</v>
      </c>
      <c r="U4062" t="s">
        <v>85</v>
      </c>
    </row>
    <row r="4063" spans="1:21" ht="15" customHeight="1" x14ac:dyDescent="0.3">
      <c r="A4063" t="s">
        <v>179</v>
      </c>
      <c r="B4063" t="str">
        <f>"00067322"</f>
        <v>00067322</v>
      </c>
      <c r="C4063" t="s">
        <v>4290</v>
      </c>
      <c r="D4063" t="s">
        <v>5532</v>
      </c>
      <c r="E4063" t="str">
        <f>"00066374"</f>
        <v>00066374</v>
      </c>
      <c r="F4063">
        <v>0</v>
      </c>
      <c r="G4063" s="243">
        <v>40770</v>
      </c>
      <c r="H4063" t="s">
        <v>182</v>
      </c>
      <c r="I4063">
        <v>4</v>
      </c>
      <c r="J4063">
        <v>6</v>
      </c>
      <c r="K4063">
        <v>1</v>
      </c>
      <c r="L4063">
        <v>25935.88</v>
      </c>
      <c r="M4063" t="str">
        <f t="shared" si="585"/>
        <v>13</v>
      </c>
      <c r="N4063" t="s">
        <v>3323</v>
      </c>
      <c r="O4063" t="str">
        <f t="shared" si="588"/>
        <v>63911</v>
      </c>
      <c r="P4063" t="str">
        <f>"3030L"</f>
        <v>3030L</v>
      </c>
      <c r="Q4063" t="str">
        <f t="shared" si="586"/>
        <v>0101</v>
      </c>
      <c r="R4063">
        <v>3030</v>
      </c>
      <c r="S4063" t="str">
        <f t="shared" si="589"/>
        <v>6390</v>
      </c>
      <c r="T4063" t="s">
        <v>3861</v>
      </c>
      <c r="U4063" t="s">
        <v>85</v>
      </c>
    </row>
    <row r="4064" spans="1:21" ht="15" customHeight="1" x14ac:dyDescent="0.3">
      <c r="A4064" t="s">
        <v>179</v>
      </c>
      <c r="B4064" t="str">
        <f>"00067424"</f>
        <v>00067424</v>
      </c>
      <c r="C4064" t="s">
        <v>4252</v>
      </c>
      <c r="D4064" t="s">
        <v>1182</v>
      </c>
      <c r="E4064" t="str">
        <f>"00057224"</f>
        <v>00057224</v>
      </c>
      <c r="F4064">
        <v>0</v>
      </c>
      <c r="G4064" s="243">
        <v>40042</v>
      </c>
      <c r="H4064" t="s">
        <v>182</v>
      </c>
      <c r="I4064">
        <v>15</v>
      </c>
      <c r="J4064">
        <v>11</v>
      </c>
      <c r="K4064">
        <v>1</v>
      </c>
      <c r="L4064">
        <v>81335</v>
      </c>
      <c r="M4064" t="str">
        <f t="shared" si="585"/>
        <v>13</v>
      </c>
      <c r="N4064" t="s">
        <v>3323</v>
      </c>
      <c r="O4064" t="str">
        <f t="shared" si="588"/>
        <v>63911</v>
      </c>
      <c r="P4064" t="str">
        <f>"2100L"</f>
        <v>2100L</v>
      </c>
      <c r="Q4064" t="str">
        <f t="shared" si="586"/>
        <v>0101</v>
      </c>
      <c r="R4064">
        <v>2100</v>
      </c>
      <c r="S4064" t="str">
        <f t="shared" si="589"/>
        <v>6390</v>
      </c>
      <c r="T4064" t="s">
        <v>3861</v>
      </c>
      <c r="U4064" t="s">
        <v>85</v>
      </c>
    </row>
    <row r="4065" spans="1:21" ht="15" customHeight="1" x14ac:dyDescent="0.3">
      <c r="A4065" t="s">
        <v>179</v>
      </c>
      <c r="B4065" t="str">
        <f>"00068334"</f>
        <v>00068334</v>
      </c>
      <c r="C4065" t="s">
        <v>715</v>
      </c>
      <c r="D4065" t="s">
        <v>1183</v>
      </c>
      <c r="E4065" t="str">
        <f>"00058102"</f>
        <v>00058102</v>
      </c>
      <c r="F4065">
        <v>0</v>
      </c>
      <c r="G4065" s="243">
        <v>40035</v>
      </c>
      <c r="H4065" t="s">
        <v>182</v>
      </c>
      <c r="I4065">
        <v>12</v>
      </c>
      <c r="J4065">
        <v>6</v>
      </c>
      <c r="K4065">
        <v>1</v>
      </c>
      <c r="L4065">
        <v>55598</v>
      </c>
      <c r="M4065" t="str">
        <f t="shared" si="585"/>
        <v>13</v>
      </c>
      <c r="N4065" t="s">
        <v>3323</v>
      </c>
      <c r="O4065" t="str">
        <f t="shared" si="588"/>
        <v>63911</v>
      </c>
      <c r="P4065" t="str">
        <f>"2100L"</f>
        <v>2100L</v>
      </c>
      <c r="Q4065" t="str">
        <f t="shared" si="586"/>
        <v>0101</v>
      </c>
      <c r="R4065">
        <v>2100</v>
      </c>
      <c r="S4065" t="str">
        <f t="shared" si="589"/>
        <v>6390</v>
      </c>
      <c r="T4065" t="s">
        <v>3861</v>
      </c>
      <c r="U4065" t="s">
        <v>85</v>
      </c>
    </row>
    <row r="4066" spans="1:21" ht="15" customHeight="1" x14ac:dyDescent="0.3">
      <c r="A4066" t="s">
        <v>179</v>
      </c>
      <c r="B4066" t="str">
        <f>"00070278"</f>
        <v>00070278</v>
      </c>
      <c r="C4066" t="s">
        <v>4255</v>
      </c>
      <c r="H4066" t="s">
        <v>170</v>
      </c>
      <c r="I4066">
        <v>15</v>
      </c>
      <c r="J4066">
        <v>1</v>
      </c>
      <c r="K4066">
        <v>1</v>
      </c>
      <c r="L4066">
        <v>56693</v>
      </c>
      <c r="M4066" t="str">
        <f t="shared" si="585"/>
        <v>13</v>
      </c>
      <c r="N4066" t="s">
        <v>3323</v>
      </c>
      <c r="O4066" t="str">
        <f t="shared" si="588"/>
        <v>63911</v>
      </c>
      <c r="P4066" t="str">
        <f>"2100L"</f>
        <v>2100L</v>
      </c>
      <c r="Q4066" t="str">
        <f t="shared" si="586"/>
        <v>0101</v>
      </c>
      <c r="R4066">
        <v>2100</v>
      </c>
      <c r="S4066" t="str">
        <f t="shared" si="589"/>
        <v>6390</v>
      </c>
      <c r="T4066" t="s">
        <v>3861</v>
      </c>
      <c r="U4066" t="s">
        <v>85</v>
      </c>
    </row>
    <row r="4067" spans="1:21" ht="15" customHeight="1" x14ac:dyDescent="0.3">
      <c r="A4067" t="s">
        <v>179</v>
      </c>
      <c r="B4067" t="str">
        <f>"00072321"</f>
        <v>00072321</v>
      </c>
      <c r="C4067" t="s">
        <v>4260</v>
      </c>
      <c r="D4067" t="s">
        <v>1184</v>
      </c>
      <c r="E4067" t="str">
        <f>"00062710"</f>
        <v>00062710</v>
      </c>
      <c r="F4067">
        <v>0</v>
      </c>
      <c r="G4067" s="243">
        <v>40406</v>
      </c>
      <c r="H4067" t="s">
        <v>182</v>
      </c>
      <c r="I4067">
        <v>15</v>
      </c>
      <c r="J4067">
        <v>12</v>
      </c>
      <c r="K4067">
        <v>1</v>
      </c>
      <c r="L4067">
        <v>87431</v>
      </c>
      <c r="M4067" t="str">
        <f t="shared" si="585"/>
        <v>13</v>
      </c>
      <c r="N4067" t="s">
        <v>3323</v>
      </c>
      <c r="O4067" t="str">
        <f t="shared" si="588"/>
        <v>63911</v>
      </c>
      <c r="P4067" t="str">
        <f>"2100L"</f>
        <v>2100L</v>
      </c>
      <c r="Q4067" t="str">
        <f t="shared" si="586"/>
        <v>0101</v>
      </c>
      <c r="R4067">
        <v>2100</v>
      </c>
      <c r="S4067" t="str">
        <f t="shared" si="589"/>
        <v>6390</v>
      </c>
      <c r="T4067" t="s">
        <v>3861</v>
      </c>
      <c r="U4067" t="s">
        <v>85</v>
      </c>
    </row>
    <row r="4068" spans="1:21" ht="15" customHeight="1" x14ac:dyDescent="0.3">
      <c r="A4068" t="s">
        <v>179</v>
      </c>
      <c r="B4068" t="str">
        <f>"00072601"</f>
        <v>00072601</v>
      </c>
      <c r="C4068" t="s">
        <v>4290</v>
      </c>
      <c r="D4068" t="s">
        <v>5533</v>
      </c>
      <c r="E4068" t="str">
        <f>"00064444"</f>
        <v>00064444</v>
      </c>
      <c r="F4068">
        <v>0</v>
      </c>
      <c r="G4068" s="243">
        <v>40769</v>
      </c>
      <c r="H4068" t="s">
        <v>182</v>
      </c>
      <c r="I4068">
        <v>4</v>
      </c>
      <c r="J4068">
        <v>8</v>
      </c>
      <c r="K4068">
        <v>0.71</v>
      </c>
      <c r="L4068">
        <v>27329.75</v>
      </c>
      <c r="M4068" t="str">
        <f t="shared" si="585"/>
        <v>13</v>
      </c>
      <c r="N4068" t="s">
        <v>3323</v>
      </c>
      <c r="O4068" t="str">
        <f t="shared" si="588"/>
        <v>63911</v>
      </c>
      <c r="P4068" t="str">
        <f>"3030L"</f>
        <v>3030L</v>
      </c>
      <c r="Q4068" t="str">
        <f t="shared" si="586"/>
        <v>0101</v>
      </c>
      <c r="R4068">
        <v>3030</v>
      </c>
      <c r="S4068" t="str">
        <f t="shared" si="589"/>
        <v>6390</v>
      </c>
      <c r="T4068" t="s">
        <v>3861</v>
      </c>
      <c r="U4068" t="s">
        <v>85</v>
      </c>
    </row>
    <row r="4069" spans="1:21" ht="15" customHeight="1" x14ac:dyDescent="0.3">
      <c r="A4069" t="s">
        <v>179</v>
      </c>
      <c r="B4069" t="str">
        <f>"00072602"</f>
        <v>00072602</v>
      </c>
      <c r="C4069" t="s">
        <v>4290</v>
      </c>
      <c r="D4069" t="s">
        <v>5534</v>
      </c>
      <c r="E4069" t="str">
        <f>"00067126"</f>
        <v>00067126</v>
      </c>
      <c r="F4069">
        <v>0</v>
      </c>
      <c r="G4069" s="243">
        <v>40854</v>
      </c>
      <c r="H4069" t="s">
        <v>182</v>
      </c>
      <c r="I4069">
        <v>4</v>
      </c>
      <c r="J4069">
        <v>1</v>
      </c>
      <c r="K4069">
        <v>0.71</v>
      </c>
      <c r="L4069">
        <v>22454.25</v>
      </c>
      <c r="M4069" t="str">
        <f t="shared" si="585"/>
        <v>13</v>
      </c>
      <c r="N4069" t="s">
        <v>3323</v>
      </c>
      <c r="O4069" t="str">
        <f t="shared" si="588"/>
        <v>63911</v>
      </c>
      <c r="P4069" t="str">
        <f>"3030L"</f>
        <v>3030L</v>
      </c>
      <c r="Q4069" t="str">
        <f t="shared" si="586"/>
        <v>0101</v>
      </c>
      <c r="R4069">
        <v>3030</v>
      </c>
      <c r="S4069" t="str">
        <f t="shared" si="589"/>
        <v>6390</v>
      </c>
      <c r="T4069" t="s">
        <v>3861</v>
      </c>
      <c r="U4069" t="s">
        <v>85</v>
      </c>
    </row>
    <row r="4070" spans="1:21" ht="15" customHeight="1" x14ac:dyDescent="0.3">
      <c r="A4070" t="s">
        <v>179</v>
      </c>
      <c r="B4070" t="str">
        <f>"00073784"</f>
        <v>00073784</v>
      </c>
      <c r="C4070" t="s">
        <v>4256</v>
      </c>
      <c r="D4070" t="s">
        <v>1528</v>
      </c>
      <c r="E4070" t="str">
        <f>"00052144"</f>
        <v>00052144</v>
      </c>
      <c r="F4070">
        <v>0</v>
      </c>
      <c r="G4070" s="243">
        <v>39677</v>
      </c>
      <c r="H4070" t="s">
        <v>182</v>
      </c>
      <c r="I4070">
        <v>15</v>
      </c>
      <c r="J4070">
        <v>5</v>
      </c>
      <c r="K4070">
        <v>1</v>
      </c>
      <c r="L4070">
        <v>63611</v>
      </c>
      <c r="M4070" t="str">
        <f t="shared" si="585"/>
        <v>13</v>
      </c>
      <c r="N4070" t="s">
        <v>3323</v>
      </c>
      <c r="O4070" t="str">
        <f t="shared" si="588"/>
        <v>63911</v>
      </c>
      <c r="P4070" t="str">
        <f t="shared" ref="P4070:P4078" si="591">"2100L"</f>
        <v>2100L</v>
      </c>
      <c r="Q4070" t="str">
        <f t="shared" si="586"/>
        <v>0101</v>
      </c>
      <c r="R4070">
        <v>2100</v>
      </c>
      <c r="S4070" t="str">
        <f t="shared" si="589"/>
        <v>6390</v>
      </c>
      <c r="T4070" t="s">
        <v>3861</v>
      </c>
      <c r="U4070" t="s">
        <v>85</v>
      </c>
    </row>
    <row r="4071" spans="1:21" ht="15" customHeight="1" x14ac:dyDescent="0.3">
      <c r="A4071" t="s">
        <v>179</v>
      </c>
      <c r="B4071" t="str">
        <f>"00073840"</f>
        <v>00073840</v>
      </c>
      <c r="C4071" t="s">
        <v>200</v>
      </c>
      <c r="D4071" t="s">
        <v>3906</v>
      </c>
      <c r="E4071" t="str">
        <f>"00045152"</f>
        <v>00045152</v>
      </c>
      <c r="F4071">
        <v>0</v>
      </c>
      <c r="G4071" s="243">
        <v>36017</v>
      </c>
      <c r="H4071" t="s">
        <v>182</v>
      </c>
      <c r="I4071">
        <v>15</v>
      </c>
      <c r="J4071">
        <v>15</v>
      </c>
      <c r="K4071">
        <v>1</v>
      </c>
      <c r="L4071">
        <v>98285</v>
      </c>
      <c r="M4071" t="str">
        <f t="shared" si="585"/>
        <v>13</v>
      </c>
      <c r="N4071" t="s">
        <v>3323</v>
      </c>
      <c r="O4071" t="str">
        <f t="shared" si="588"/>
        <v>63911</v>
      </c>
      <c r="P4071" t="str">
        <f t="shared" si="591"/>
        <v>2100L</v>
      </c>
      <c r="Q4071" t="str">
        <f t="shared" si="586"/>
        <v>0101</v>
      </c>
      <c r="R4071">
        <v>2100</v>
      </c>
      <c r="S4071" t="str">
        <f t="shared" si="589"/>
        <v>6390</v>
      </c>
      <c r="T4071" t="s">
        <v>3861</v>
      </c>
      <c r="U4071" t="s">
        <v>85</v>
      </c>
    </row>
    <row r="4072" spans="1:21" ht="15" customHeight="1" x14ac:dyDescent="0.3">
      <c r="A4072" t="s">
        <v>179</v>
      </c>
      <c r="B4072" t="str">
        <f>"00074359"</f>
        <v>00074359</v>
      </c>
      <c r="C4072" t="s">
        <v>4263</v>
      </c>
      <c r="D4072" t="s">
        <v>3911</v>
      </c>
      <c r="E4072" t="str">
        <f>"00065858"</f>
        <v>00065858</v>
      </c>
      <c r="F4072">
        <v>0</v>
      </c>
      <c r="G4072" s="243">
        <v>40755</v>
      </c>
      <c r="H4072" t="s">
        <v>182</v>
      </c>
      <c r="I4072">
        <v>15</v>
      </c>
      <c r="J4072">
        <v>1</v>
      </c>
      <c r="K4072">
        <v>1</v>
      </c>
      <c r="L4072">
        <v>54975</v>
      </c>
      <c r="M4072" t="str">
        <f t="shared" si="585"/>
        <v>13</v>
      </c>
      <c r="N4072" t="s">
        <v>3323</v>
      </c>
      <c r="O4072" t="str">
        <f t="shared" si="588"/>
        <v>63911</v>
      </c>
      <c r="P4072" t="str">
        <f t="shared" si="591"/>
        <v>2100L</v>
      </c>
      <c r="Q4072" t="str">
        <f t="shared" si="586"/>
        <v>0101</v>
      </c>
      <c r="R4072">
        <v>2100</v>
      </c>
      <c r="S4072" t="str">
        <f t="shared" si="589"/>
        <v>6390</v>
      </c>
      <c r="T4072" t="s">
        <v>3861</v>
      </c>
      <c r="U4072" t="s">
        <v>85</v>
      </c>
    </row>
    <row r="4073" spans="1:21" ht="15" customHeight="1" x14ac:dyDescent="0.3">
      <c r="A4073" t="s">
        <v>179</v>
      </c>
      <c r="B4073" t="str">
        <f>"00074361"</f>
        <v>00074361</v>
      </c>
      <c r="C4073" t="s">
        <v>4253</v>
      </c>
      <c r="D4073" t="s">
        <v>5535</v>
      </c>
      <c r="E4073" t="str">
        <f>"00069564"</f>
        <v>00069564</v>
      </c>
      <c r="F4073">
        <v>0</v>
      </c>
      <c r="G4073" s="243">
        <v>41133</v>
      </c>
      <c r="H4073" t="s">
        <v>182</v>
      </c>
      <c r="I4073">
        <v>15</v>
      </c>
      <c r="J4073">
        <v>1</v>
      </c>
      <c r="K4073">
        <v>1</v>
      </c>
      <c r="L4073">
        <v>54975</v>
      </c>
      <c r="M4073" t="str">
        <f t="shared" si="585"/>
        <v>13</v>
      </c>
      <c r="N4073" t="s">
        <v>3370</v>
      </c>
      <c r="O4073" t="str">
        <f t="shared" si="588"/>
        <v>63911</v>
      </c>
      <c r="P4073" t="str">
        <f t="shared" si="591"/>
        <v>2100L</v>
      </c>
      <c r="Q4073" t="str">
        <f t="shared" si="586"/>
        <v>0101</v>
      </c>
      <c r="R4073">
        <v>2100</v>
      </c>
      <c r="S4073" t="str">
        <f t="shared" si="589"/>
        <v>6390</v>
      </c>
      <c r="T4073" t="s">
        <v>3861</v>
      </c>
      <c r="U4073" t="s">
        <v>85</v>
      </c>
    </row>
    <row r="4074" spans="1:21" ht="15" customHeight="1" x14ac:dyDescent="0.3">
      <c r="A4074" t="s">
        <v>179</v>
      </c>
      <c r="B4074" t="str">
        <f>"00074362"</f>
        <v>00074362</v>
      </c>
      <c r="C4074" t="s">
        <v>4253</v>
      </c>
      <c r="D4074" t="s">
        <v>3912</v>
      </c>
      <c r="E4074" t="str">
        <f>"00065823"</f>
        <v>00065823</v>
      </c>
      <c r="F4074">
        <v>0</v>
      </c>
      <c r="G4074" s="243">
        <v>40755</v>
      </c>
      <c r="H4074" t="s">
        <v>182</v>
      </c>
      <c r="I4074">
        <v>15</v>
      </c>
      <c r="J4074">
        <v>2</v>
      </c>
      <c r="K4074">
        <v>1</v>
      </c>
      <c r="L4074">
        <v>51716</v>
      </c>
      <c r="M4074" t="str">
        <f t="shared" si="585"/>
        <v>13</v>
      </c>
      <c r="N4074" t="s">
        <v>3323</v>
      </c>
      <c r="O4074" t="str">
        <f t="shared" si="588"/>
        <v>63911</v>
      </c>
      <c r="P4074" t="str">
        <f t="shared" si="591"/>
        <v>2100L</v>
      </c>
      <c r="Q4074" t="str">
        <f t="shared" si="586"/>
        <v>0101</v>
      </c>
      <c r="R4074">
        <v>2100</v>
      </c>
      <c r="S4074" t="str">
        <f t="shared" si="589"/>
        <v>6390</v>
      </c>
      <c r="T4074" t="s">
        <v>3861</v>
      </c>
      <c r="U4074" t="s">
        <v>85</v>
      </c>
    </row>
    <row r="4075" spans="1:21" ht="15" customHeight="1" x14ac:dyDescent="0.3">
      <c r="A4075" t="s">
        <v>179</v>
      </c>
      <c r="B4075" t="str">
        <f>"00074363"</f>
        <v>00074363</v>
      </c>
      <c r="C4075" t="s">
        <v>4253</v>
      </c>
      <c r="D4075" t="s">
        <v>2337</v>
      </c>
      <c r="E4075" t="str">
        <f>"00045575"</f>
        <v>00045575</v>
      </c>
      <c r="F4075">
        <v>0</v>
      </c>
      <c r="G4075" s="243">
        <v>39679</v>
      </c>
      <c r="H4075" t="s">
        <v>182</v>
      </c>
      <c r="I4075">
        <v>15</v>
      </c>
      <c r="J4075">
        <v>5</v>
      </c>
      <c r="K4075">
        <v>1</v>
      </c>
      <c r="L4075">
        <v>56655</v>
      </c>
      <c r="M4075" t="str">
        <f t="shared" si="585"/>
        <v>13</v>
      </c>
      <c r="N4075" t="s">
        <v>3323</v>
      </c>
      <c r="O4075" t="str">
        <f t="shared" si="588"/>
        <v>63911</v>
      </c>
      <c r="P4075" t="str">
        <f t="shared" si="591"/>
        <v>2100L</v>
      </c>
      <c r="Q4075" t="str">
        <f t="shared" si="586"/>
        <v>0101</v>
      </c>
      <c r="R4075">
        <v>2100</v>
      </c>
      <c r="S4075" t="str">
        <f t="shared" si="589"/>
        <v>6390</v>
      </c>
      <c r="T4075" t="s">
        <v>3861</v>
      </c>
      <c r="U4075" t="s">
        <v>85</v>
      </c>
    </row>
    <row r="4076" spans="1:21" ht="15" customHeight="1" x14ac:dyDescent="0.3">
      <c r="A4076" t="s">
        <v>179</v>
      </c>
      <c r="B4076" t="str">
        <f>"00074364"</f>
        <v>00074364</v>
      </c>
      <c r="C4076" t="s">
        <v>4262</v>
      </c>
      <c r="D4076" t="s">
        <v>3913</v>
      </c>
      <c r="E4076" t="str">
        <f>"00065769"</f>
        <v>00065769</v>
      </c>
      <c r="F4076">
        <v>0</v>
      </c>
      <c r="G4076" s="243">
        <v>40755</v>
      </c>
      <c r="H4076" t="s">
        <v>182</v>
      </c>
      <c r="I4076">
        <v>15</v>
      </c>
      <c r="J4076">
        <v>1</v>
      </c>
      <c r="K4076">
        <v>1</v>
      </c>
      <c r="L4076">
        <v>54975</v>
      </c>
      <c r="M4076" t="str">
        <f t="shared" si="585"/>
        <v>13</v>
      </c>
      <c r="N4076" t="s">
        <v>3323</v>
      </c>
      <c r="O4076" t="str">
        <f t="shared" si="588"/>
        <v>63911</v>
      </c>
      <c r="P4076" t="str">
        <f t="shared" si="591"/>
        <v>2100L</v>
      </c>
      <c r="Q4076" t="str">
        <f t="shared" si="586"/>
        <v>0101</v>
      </c>
      <c r="R4076">
        <v>2100</v>
      </c>
      <c r="S4076" t="str">
        <f t="shared" si="589"/>
        <v>6390</v>
      </c>
      <c r="T4076" t="s">
        <v>3861</v>
      </c>
      <c r="U4076" t="s">
        <v>85</v>
      </c>
    </row>
    <row r="4077" spans="1:21" ht="15" customHeight="1" x14ac:dyDescent="0.3">
      <c r="A4077" t="s">
        <v>179</v>
      </c>
      <c r="B4077" t="str">
        <f>"00074365"</f>
        <v>00074365</v>
      </c>
      <c r="C4077" t="s">
        <v>4253</v>
      </c>
      <c r="D4077" t="s">
        <v>1924</v>
      </c>
      <c r="E4077" t="str">
        <f>"00052848"</f>
        <v>00052848</v>
      </c>
      <c r="F4077">
        <v>0</v>
      </c>
      <c r="G4077" s="243">
        <v>32116</v>
      </c>
      <c r="H4077" t="s">
        <v>182</v>
      </c>
      <c r="I4077">
        <v>15</v>
      </c>
      <c r="J4077">
        <v>16</v>
      </c>
      <c r="K4077">
        <v>1</v>
      </c>
      <c r="L4077">
        <v>106540</v>
      </c>
      <c r="M4077" t="str">
        <f t="shared" si="585"/>
        <v>13</v>
      </c>
      <c r="N4077" t="s">
        <v>3323</v>
      </c>
      <c r="O4077" t="str">
        <f t="shared" si="588"/>
        <v>63911</v>
      </c>
      <c r="P4077" t="str">
        <f t="shared" si="591"/>
        <v>2100L</v>
      </c>
      <c r="Q4077" t="str">
        <f t="shared" si="586"/>
        <v>0101</v>
      </c>
      <c r="R4077">
        <v>2100</v>
      </c>
      <c r="S4077" t="str">
        <f t="shared" si="589"/>
        <v>6390</v>
      </c>
      <c r="T4077" t="s">
        <v>3861</v>
      </c>
      <c r="U4077" t="s">
        <v>85</v>
      </c>
    </row>
    <row r="4078" spans="1:21" ht="15" customHeight="1" x14ac:dyDescent="0.3">
      <c r="A4078" t="s">
        <v>179</v>
      </c>
      <c r="B4078" t="str">
        <f>"00074366"</f>
        <v>00074366</v>
      </c>
      <c r="C4078" t="s">
        <v>4253</v>
      </c>
      <c r="D4078" t="s">
        <v>5536</v>
      </c>
      <c r="E4078" t="str">
        <f>"00069608"</f>
        <v>00069608</v>
      </c>
      <c r="F4078">
        <v>0</v>
      </c>
      <c r="G4078" s="243">
        <v>41133</v>
      </c>
      <c r="H4078" t="s">
        <v>182</v>
      </c>
      <c r="I4078">
        <v>15</v>
      </c>
      <c r="J4078">
        <v>2</v>
      </c>
      <c r="K4078">
        <v>1</v>
      </c>
      <c r="L4078">
        <v>51716</v>
      </c>
      <c r="M4078" t="str">
        <f t="shared" si="585"/>
        <v>13</v>
      </c>
      <c r="N4078" t="s">
        <v>3370</v>
      </c>
      <c r="O4078" t="str">
        <f t="shared" si="588"/>
        <v>63911</v>
      </c>
      <c r="P4078" t="str">
        <f t="shared" si="591"/>
        <v>2100L</v>
      </c>
      <c r="Q4078" t="str">
        <f t="shared" si="586"/>
        <v>0101</v>
      </c>
      <c r="R4078">
        <v>2100</v>
      </c>
      <c r="S4078" t="str">
        <f t="shared" si="589"/>
        <v>6390</v>
      </c>
      <c r="T4078" t="s">
        <v>3861</v>
      </c>
      <c r="U4078" t="s">
        <v>85</v>
      </c>
    </row>
    <row r="4079" spans="1:21" ht="15" customHeight="1" x14ac:dyDescent="0.3">
      <c r="A4079" t="s">
        <v>179</v>
      </c>
      <c r="B4079" t="str">
        <f>"00074367"</f>
        <v>00074367</v>
      </c>
      <c r="C4079" t="s">
        <v>4260</v>
      </c>
      <c r="D4079" t="s">
        <v>1186</v>
      </c>
      <c r="E4079" t="str">
        <f>"00054854"</f>
        <v>00054854</v>
      </c>
      <c r="F4079">
        <v>0</v>
      </c>
      <c r="G4079" s="243">
        <v>40768</v>
      </c>
      <c r="H4079" t="s">
        <v>182</v>
      </c>
      <c r="I4079">
        <v>15</v>
      </c>
      <c r="J4079">
        <v>14</v>
      </c>
      <c r="K4079">
        <v>1</v>
      </c>
      <c r="L4079">
        <v>96460</v>
      </c>
      <c r="M4079" t="str">
        <f t="shared" si="585"/>
        <v>13</v>
      </c>
      <c r="N4079" t="s">
        <v>3323</v>
      </c>
      <c r="O4079" t="str">
        <f t="shared" si="588"/>
        <v>63911</v>
      </c>
      <c r="P4079" t="str">
        <f>"3030L"</f>
        <v>3030L</v>
      </c>
      <c r="Q4079" t="str">
        <f t="shared" si="586"/>
        <v>0101</v>
      </c>
      <c r="R4079">
        <v>3030</v>
      </c>
      <c r="S4079" t="str">
        <f t="shared" si="589"/>
        <v>6390</v>
      </c>
      <c r="T4079" t="s">
        <v>3861</v>
      </c>
      <c r="U4079" t="s">
        <v>85</v>
      </c>
    </row>
    <row r="4080" spans="1:21" ht="15" customHeight="1" x14ac:dyDescent="0.3">
      <c r="A4080" t="s">
        <v>179</v>
      </c>
      <c r="B4080" t="str">
        <f>"00074368"</f>
        <v>00074368</v>
      </c>
      <c r="C4080" t="s">
        <v>4260</v>
      </c>
      <c r="D4080" t="s">
        <v>3914</v>
      </c>
      <c r="E4080" t="str">
        <f>"00065866"</f>
        <v>00065866</v>
      </c>
      <c r="F4080">
        <v>0</v>
      </c>
      <c r="G4080" s="243">
        <v>40755</v>
      </c>
      <c r="H4080" t="s">
        <v>182</v>
      </c>
      <c r="I4080">
        <v>15</v>
      </c>
      <c r="J4080">
        <v>2</v>
      </c>
      <c r="K4080">
        <v>1</v>
      </c>
      <c r="L4080">
        <v>54099</v>
      </c>
      <c r="M4080" t="str">
        <f t="shared" si="585"/>
        <v>13</v>
      </c>
      <c r="N4080" t="s">
        <v>3323</v>
      </c>
      <c r="O4080" t="str">
        <f t="shared" si="588"/>
        <v>63911</v>
      </c>
      <c r="P4080" t="str">
        <f>"3030L"</f>
        <v>3030L</v>
      </c>
      <c r="Q4080" t="str">
        <f t="shared" si="586"/>
        <v>0101</v>
      </c>
      <c r="R4080">
        <v>3030</v>
      </c>
      <c r="S4080" t="str">
        <f t="shared" si="589"/>
        <v>6390</v>
      </c>
      <c r="T4080" t="s">
        <v>3861</v>
      </c>
      <c r="U4080" t="s">
        <v>85</v>
      </c>
    </row>
    <row r="4081" spans="1:21" ht="15" customHeight="1" x14ac:dyDescent="0.3">
      <c r="A4081" t="s">
        <v>179</v>
      </c>
      <c r="B4081" t="str">
        <f>"00074369"</f>
        <v>00074369</v>
      </c>
      <c r="C4081" t="s">
        <v>4260</v>
      </c>
      <c r="D4081" t="s">
        <v>3915</v>
      </c>
      <c r="E4081" t="str">
        <f>"00066456"</f>
        <v>00066456</v>
      </c>
      <c r="F4081">
        <v>0</v>
      </c>
      <c r="G4081" s="243">
        <v>40755</v>
      </c>
      <c r="H4081" t="s">
        <v>182</v>
      </c>
      <c r="I4081">
        <v>15</v>
      </c>
      <c r="J4081">
        <v>2</v>
      </c>
      <c r="K4081">
        <v>1</v>
      </c>
      <c r="L4081">
        <v>54099</v>
      </c>
      <c r="M4081" t="str">
        <f t="shared" si="585"/>
        <v>13</v>
      </c>
      <c r="N4081" t="s">
        <v>3323</v>
      </c>
      <c r="O4081" t="str">
        <f t="shared" si="588"/>
        <v>63911</v>
      </c>
      <c r="P4081" t="str">
        <f>"3030L"</f>
        <v>3030L</v>
      </c>
      <c r="Q4081" t="str">
        <f t="shared" si="586"/>
        <v>0101</v>
      </c>
      <c r="R4081">
        <v>3030</v>
      </c>
      <c r="S4081" t="str">
        <f t="shared" si="589"/>
        <v>6390</v>
      </c>
      <c r="T4081" t="s">
        <v>3861</v>
      </c>
      <c r="U4081" t="s">
        <v>85</v>
      </c>
    </row>
    <row r="4082" spans="1:21" ht="15" customHeight="1" x14ac:dyDescent="0.3">
      <c r="A4082" t="s">
        <v>179</v>
      </c>
      <c r="B4082" t="str">
        <f>"00074370"</f>
        <v>00074370</v>
      </c>
      <c r="C4082" t="s">
        <v>4253</v>
      </c>
      <c r="D4082" t="s">
        <v>3916</v>
      </c>
      <c r="E4082" t="str">
        <f>"00065819"</f>
        <v>00065819</v>
      </c>
      <c r="F4082">
        <v>0</v>
      </c>
      <c r="G4082" s="243">
        <v>40755</v>
      </c>
      <c r="H4082" t="s">
        <v>182</v>
      </c>
      <c r="I4082">
        <v>15</v>
      </c>
      <c r="J4082">
        <v>2</v>
      </c>
      <c r="K4082">
        <v>1</v>
      </c>
      <c r="L4082">
        <v>51716</v>
      </c>
      <c r="M4082" t="str">
        <f t="shared" si="585"/>
        <v>13</v>
      </c>
      <c r="N4082" t="s">
        <v>3323</v>
      </c>
      <c r="O4082" t="str">
        <f t="shared" si="588"/>
        <v>63911</v>
      </c>
      <c r="P4082" t="str">
        <f>"3030L"</f>
        <v>3030L</v>
      </c>
      <c r="Q4082" t="str">
        <f t="shared" si="586"/>
        <v>0101</v>
      </c>
      <c r="R4082">
        <v>3030</v>
      </c>
      <c r="S4082" t="str">
        <f t="shared" si="589"/>
        <v>6390</v>
      </c>
      <c r="T4082" t="s">
        <v>3861</v>
      </c>
      <c r="U4082" t="s">
        <v>85</v>
      </c>
    </row>
    <row r="4083" spans="1:21" ht="15" customHeight="1" x14ac:dyDescent="0.3">
      <c r="A4083" t="s">
        <v>179</v>
      </c>
      <c r="B4083" t="str">
        <f>"00074372"</f>
        <v>00074372</v>
      </c>
      <c r="C4083" t="s">
        <v>4260</v>
      </c>
      <c r="D4083" t="s">
        <v>3917</v>
      </c>
      <c r="E4083" t="str">
        <f>"00066494"</f>
        <v>00066494</v>
      </c>
      <c r="F4083">
        <v>0</v>
      </c>
      <c r="G4083" s="243">
        <v>40755</v>
      </c>
      <c r="H4083" t="s">
        <v>182</v>
      </c>
      <c r="I4083">
        <v>15</v>
      </c>
      <c r="J4083">
        <v>2</v>
      </c>
      <c r="K4083">
        <v>1</v>
      </c>
      <c r="L4083">
        <v>56242</v>
      </c>
      <c r="M4083" t="str">
        <f t="shared" si="585"/>
        <v>13</v>
      </c>
      <c r="N4083" t="s">
        <v>3323</v>
      </c>
      <c r="O4083" t="str">
        <f t="shared" si="588"/>
        <v>63911</v>
      </c>
      <c r="P4083" t="str">
        <f>"3030L"</f>
        <v>3030L</v>
      </c>
      <c r="Q4083" t="str">
        <f t="shared" si="586"/>
        <v>0101</v>
      </c>
      <c r="R4083">
        <v>3030</v>
      </c>
      <c r="S4083" t="str">
        <f t="shared" si="589"/>
        <v>6390</v>
      </c>
      <c r="T4083" t="s">
        <v>3861</v>
      </c>
      <c r="U4083" t="s">
        <v>85</v>
      </c>
    </row>
    <row r="4084" spans="1:21" ht="15" customHeight="1" x14ac:dyDescent="0.3">
      <c r="A4084" t="s">
        <v>179</v>
      </c>
      <c r="B4084" t="str">
        <f>"00074374"</f>
        <v>00074374</v>
      </c>
      <c r="C4084" t="s">
        <v>5537</v>
      </c>
      <c r="D4084" t="s">
        <v>3904</v>
      </c>
      <c r="E4084" t="str">
        <f>"00066399"</f>
        <v>00066399</v>
      </c>
      <c r="F4084">
        <v>0</v>
      </c>
      <c r="G4084" s="243">
        <v>40777</v>
      </c>
      <c r="H4084" t="s">
        <v>182</v>
      </c>
      <c r="I4084">
        <v>10</v>
      </c>
      <c r="J4084">
        <v>4</v>
      </c>
      <c r="K4084">
        <v>1</v>
      </c>
      <c r="L4084">
        <v>69119</v>
      </c>
      <c r="M4084" t="str">
        <f t="shared" si="585"/>
        <v>13</v>
      </c>
      <c r="N4084" t="s">
        <v>3323</v>
      </c>
      <c r="O4084" t="str">
        <f t="shared" ref="O4084:O4090" si="592">"63911"</f>
        <v>63911</v>
      </c>
      <c r="P4084" t="str">
        <f t="shared" ref="P4084:P4089" si="593">"2100L"</f>
        <v>2100L</v>
      </c>
      <c r="Q4084" t="str">
        <f t="shared" si="586"/>
        <v>0101</v>
      </c>
      <c r="R4084">
        <v>2100</v>
      </c>
      <c r="S4084" t="str">
        <f t="shared" ref="S4084:S4090" si="594">"6390"</f>
        <v>6390</v>
      </c>
      <c r="T4084" t="s">
        <v>3861</v>
      </c>
      <c r="U4084" t="s">
        <v>85</v>
      </c>
    </row>
    <row r="4085" spans="1:21" ht="15" customHeight="1" x14ac:dyDescent="0.3">
      <c r="A4085" t="s">
        <v>179</v>
      </c>
      <c r="B4085" t="str">
        <f>"00074375"</f>
        <v>00074375</v>
      </c>
      <c r="C4085" t="s">
        <v>4254</v>
      </c>
      <c r="D4085" t="s">
        <v>2335</v>
      </c>
      <c r="E4085" t="str">
        <f>"00047739"</f>
        <v>00047739</v>
      </c>
      <c r="F4085">
        <v>0</v>
      </c>
      <c r="G4085" s="243">
        <v>36390</v>
      </c>
      <c r="H4085" t="s">
        <v>182</v>
      </c>
      <c r="I4085">
        <v>15</v>
      </c>
      <c r="J4085">
        <v>13</v>
      </c>
      <c r="K4085">
        <v>1</v>
      </c>
      <c r="L4085">
        <v>81724</v>
      </c>
      <c r="M4085" t="str">
        <f t="shared" si="585"/>
        <v>13</v>
      </c>
      <c r="N4085" t="s">
        <v>3323</v>
      </c>
      <c r="O4085" t="str">
        <f t="shared" si="592"/>
        <v>63911</v>
      </c>
      <c r="P4085" t="str">
        <f t="shared" si="593"/>
        <v>2100L</v>
      </c>
      <c r="Q4085" t="str">
        <f t="shared" si="586"/>
        <v>0101</v>
      </c>
      <c r="R4085">
        <v>2100</v>
      </c>
      <c r="S4085" t="str">
        <f t="shared" si="594"/>
        <v>6390</v>
      </c>
      <c r="T4085" t="s">
        <v>3861</v>
      </c>
      <c r="U4085" t="s">
        <v>85</v>
      </c>
    </row>
    <row r="4086" spans="1:21" ht="15" customHeight="1" x14ac:dyDescent="0.3">
      <c r="A4086" t="s">
        <v>179</v>
      </c>
      <c r="B4086" t="str">
        <f>"00074584"</f>
        <v>00074584</v>
      </c>
      <c r="C4086" t="s">
        <v>4260</v>
      </c>
      <c r="D4086" t="s">
        <v>5538</v>
      </c>
      <c r="E4086" t="str">
        <f>"00069508"</f>
        <v>00069508</v>
      </c>
      <c r="F4086">
        <v>0</v>
      </c>
      <c r="G4086" s="243">
        <v>41133</v>
      </c>
      <c r="H4086" t="s">
        <v>182</v>
      </c>
      <c r="I4086">
        <v>15</v>
      </c>
      <c r="J4086">
        <v>10</v>
      </c>
      <c r="K4086">
        <v>1</v>
      </c>
      <c r="L4086">
        <v>78273</v>
      </c>
      <c r="M4086" t="str">
        <f t="shared" si="585"/>
        <v>13</v>
      </c>
      <c r="N4086" t="s">
        <v>3370</v>
      </c>
      <c r="O4086" t="str">
        <f t="shared" si="592"/>
        <v>63911</v>
      </c>
      <c r="P4086" t="str">
        <f t="shared" si="593"/>
        <v>2100L</v>
      </c>
      <c r="Q4086" t="str">
        <f t="shared" si="586"/>
        <v>0101</v>
      </c>
      <c r="R4086">
        <v>2100</v>
      </c>
      <c r="S4086" t="str">
        <f t="shared" si="594"/>
        <v>6390</v>
      </c>
      <c r="T4086" t="s">
        <v>3861</v>
      </c>
      <c r="U4086" t="s">
        <v>85</v>
      </c>
    </row>
    <row r="4087" spans="1:21" ht="15" customHeight="1" x14ac:dyDescent="0.3">
      <c r="A4087" t="s">
        <v>179</v>
      </c>
      <c r="B4087" t="str">
        <f>"00074585"</f>
        <v>00074585</v>
      </c>
      <c r="C4087" t="s">
        <v>4262</v>
      </c>
      <c r="D4087" t="s">
        <v>499</v>
      </c>
      <c r="E4087" t="str">
        <f>"00045477"</f>
        <v>00045477</v>
      </c>
      <c r="F4087">
        <v>0</v>
      </c>
      <c r="G4087" s="243">
        <v>32021</v>
      </c>
      <c r="H4087" t="s">
        <v>182</v>
      </c>
      <c r="I4087">
        <v>15</v>
      </c>
      <c r="J4087">
        <v>16</v>
      </c>
      <c r="K4087">
        <v>1</v>
      </c>
      <c r="L4087">
        <v>100839</v>
      </c>
      <c r="M4087" t="str">
        <f t="shared" si="585"/>
        <v>13</v>
      </c>
      <c r="N4087" t="s">
        <v>3370</v>
      </c>
      <c r="O4087" t="str">
        <f t="shared" si="592"/>
        <v>63911</v>
      </c>
      <c r="P4087" t="str">
        <f t="shared" si="593"/>
        <v>2100L</v>
      </c>
      <c r="Q4087" t="str">
        <f t="shared" si="586"/>
        <v>0101</v>
      </c>
      <c r="R4087">
        <v>2100</v>
      </c>
      <c r="S4087" t="str">
        <f t="shared" si="594"/>
        <v>6390</v>
      </c>
      <c r="T4087" t="s">
        <v>3861</v>
      </c>
      <c r="U4087" t="s">
        <v>85</v>
      </c>
    </row>
    <row r="4088" spans="1:21" ht="15" customHeight="1" x14ac:dyDescent="0.3">
      <c r="A4088" t="s">
        <v>179</v>
      </c>
      <c r="B4088" t="str">
        <f>"00074586"</f>
        <v>00074586</v>
      </c>
      <c r="C4088" t="s">
        <v>4267</v>
      </c>
      <c r="D4088" t="s">
        <v>1175</v>
      </c>
      <c r="E4088" t="str">
        <f>"00062998"</f>
        <v>00062998</v>
      </c>
      <c r="F4088">
        <v>0</v>
      </c>
      <c r="G4088" s="243">
        <v>40406</v>
      </c>
      <c r="H4088" t="s">
        <v>182</v>
      </c>
      <c r="I4088">
        <v>15</v>
      </c>
      <c r="J4088">
        <v>12</v>
      </c>
      <c r="K4088">
        <v>1</v>
      </c>
      <c r="L4088">
        <v>92613</v>
      </c>
      <c r="M4088" t="str">
        <f t="shared" si="585"/>
        <v>13</v>
      </c>
      <c r="N4088" t="s">
        <v>3323</v>
      </c>
      <c r="O4088" t="str">
        <f t="shared" si="592"/>
        <v>63911</v>
      </c>
      <c r="P4088" t="str">
        <f t="shared" si="593"/>
        <v>2100L</v>
      </c>
      <c r="Q4088" t="str">
        <f t="shared" si="586"/>
        <v>0101</v>
      </c>
      <c r="R4088">
        <v>2100</v>
      </c>
      <c r="S4088" t="str">
        <f t="shared" si="594"/>
        <v>6390</v>
      </c>
      <c r="T4088" t="s">
        <v>3861</v>
      </c>
      <c r="U4088" t="s">
        <v>85</v>
      </c>
    </row>
    <row r="4089" spans="1:21" ht="15" customHeight="1" x14ac:dyDescent="0.3">
      <c r="A4089" t="s">
        <v>179</v>
      </c>
      <c r="B4089" t="str">
        <f>"00074657"</f>
        <v>00074657</v>
      </c>
      <c r="C4089" t="s">
        <v>200</v>
      </c>
      <c r="D4089" t="s">
        <v>3907</v>
      </c>
      <c r="E4089" t="str">
        <f>"00046332"</f>
        <v>00046332</v>
      </c>
      <c r="F4089">
        <v>0</v>
      </c>
      <c r="G4089" s="243">
        <v>37130</v>
      </c>
      <c r="H4089" t="s">
        <v>182</v>
      </c>
      <c r="I4089">
        <v>15</v>
      </c>
      <c r="J4089">
        <v>11</v>
      </c>
      <c r="K4089">
        <v>1</v>
      </c>
      <c r="L4089">
        <v>81335</v>
      </c>
      <c r="M4089" t="str">
        <f t="shared" si="585"/>
        <v>13</v>
      </c>
      <c r="N4089" t="s">
        <v>3323</v>
      </c>
      <c r="O4089" t="str">
        <f t="shared" si="592"/>
        <v>63911</v>
      </c>
      <c r="P4089" t="str">
        <f t="shared" si="593"/>
        <v>2100L</v>
      </c>
      <c r="Q4089" t="str">
        <f t="shared" si="586"/>
        <v>0101</v>
      </c>
      <c r="R4089">
        <v>2100</v>
      </c>
      <c r="S4089" t="str">
        <f t="shared" si="594"/>
        <v>6390</v>
      </c>
      <c r="T4089" t="s">
        <v>3861</v>
      </c>
      <c r="U4089" t="s">
        <v>85</v>
      </c>
    </row>
    <row r="4090" spans="1:21" ht="15" customHeight="1" x14ac:dyDescent="0.3">
      <c r="A4090" t="s">
        <v>179</v>
      </c>
      <c r="B4090" t="str">
        <f>"00076516"</f>
        <v>00076516</v>
      </c>
      <c r="C4090" t="s">
        <v>4290</v>
      </c>
      <c r="D4090" t="s">
        <v>5539</v>
      </c>
      <c r="E4090" t="str">
        <f>"00069543"</f>
        <v>00069543</v>
      </c>
      <c r="F4090">
        <v>0</v>
      </c>
      <c r="G4090" s="243">
        <v>41133</v>
      </c>
      <c r="H4090" t="s">
        <v>182</v>
      </c>
      <c r="I4090">
        <v>4</v>
      </c>
      <c r="J4090">
        <v>4</v>
      </c>
      <c r="K4090">
        <v>0.71</v>
      </c>
      <c r="L4090">
        <v>24543.75</v>
      </c>
      <c r="M4090" t="str">
        <f t="shared" si="585"/>
        <v>13</v>
      </c>
      <c r="N4090" t="s">
        <v>3370</v>
      </c>
      <c r="O4090" t="str">
        <f t="shared" si="592"/>
        <v>63911</v>
      </c>
      <c r="P4090" t="str">
        <f>"3030L"</f>
        <v>3030L</v>
      </c>
      <c r="Q4090" t="str">
        <f t="shared" si="586"/>
        <v>0101</v>
      </c>
      <c r="R4090">
        <v>3030</v>
      </c>
      <c r="S4090" t="str">
        <f t="shared" si="594"/>
        <v>6390</v>
      </c>
      <c r="T4090" t="s">
        <v>3861</v>
      </c>
      <c r="U4090" t="s">
        <v>85</v>
      </c>
    </row>
    <row r="4091" spans="1:21" ht="15" customHeight="1" x14ac:dyDescent="0.3">
      <c r="A4091" t="s">
        <v>179</v>
      </c>
      <c r="B4091" t="str">
        <f>"00051665"</f>
        <v>00051665</v>
      </c>
      <c r="C4091" t="s">
        <v>4253</v>
      </c>
      <c r="D4091" t="s">
        <v>1288</v>
      </c>
      <c r="E4091" t="str">
        <f>"00002118"</f>
        <v>00002118</v>
      </c>
      <c r="F4091">
        <v>1</v>
      </c>
      <c r="G4091" s="243">
        <v>32050</v>
      </c>
      <c r="H4091" t="s">
        <v>182</v>
      </c>
      <c r="I4091">
        <v>15</v>
      </c>
      <c r="J4091">
        <v>16</v>
      </c>
      <c r="K4091">
        <v>1</v>
      </c>
      <c r="L4091">
        <v>106540</v>
      </c>
      <c r="M4091" t="str">
        <f t="shared" si="585"/>
        <v>13</v>
      </c>
      <c r="N4091" t="s">
        <v>3323</v>
      </c>
      <c r="O4091" t="str">
        <f t="shared" ref="O4091:O4131" si="595">"64111"</f>
        <v>64111</v>
      </c>
      <c r="P4091" t="str">
        <f>"2100L"</f>
        <v>2100L</v>
      </c>
      <c r="Q4091" t="str">
        <f t="shared" si="586"/>
        <v>0101</v>
      </c>
      <c r="R4091">
        <v>2100</v>
      </c>
      <c r="S4091" t="str">
        <f t="shared" ref="S4091:S4131" si="596">"6410"</f>
        <v>6410</v>
      </c>
      <c r="T4091" t="s">
        <v>3848</v>
      </c>
      <c r="U4091" t="s">
        <v>148</v>
      </c>
    </row>
    <row r="4092" spans="1:21" ht="15" customHeight="1" x14ac:dyDescent="0.3">
      <c r="A4092" t="s">
        <v>179</v>
      </c>
      <c r="B4092" t="str">
        <f>"00051945"</f>
        <v>00051945</v>
      </c>
      <c r="C4092" t="s">
        <v>4263</v>
      </c>
      <c r="H4092" t="s">
        <v>170</v>
      </c>
      <c r="I4092">
        <v>15</v>
      </c>
      <c r="J4092">
        <v>1</v>
      </c>
      <c r="K4092">
        <v>1</v>
      </c>
      <c r="L4092">
        <v>60128</v>
      </c>
      <c r="M4092" t="str">
        <f t="shared" si="585"/>
        <v>13</v>
      </c>
      <c r="N4092" t="s">
        <v>3323</v>
      </c>
      <c r="O4092" t="str">
        <f t="shared" si="595"/>
        <v>64111</v>
      </c>
      <c r="P4092" t="str">
        <f>"2100L"</f>
        <v>2100L</v>
      </c>
      <c r="Q4092" t="str">
        <f t="shared" si="586"/>
        <v>0101</v>
      </c>
      <c r="R4092">
        <v>2100</v>
      </c>
      <c r="S4092" t="str">
        <f t="shared" si="596"/>
        <v>6410</v>
      </c>
      <c r="T4092" t="s">
        <v>3848</v>
      </c>
      <c r="U4092" t="s">
        <v>148</v>
      </c>
    </row>
    <row r="4093" spans="1:21" ht="15" customHeight="1" x14ac:dyDescent="0.3">
      <c r="A4093" t="s">
        <v>179</v>
      </c>
      <c r="B4093" t="str">
        <f>"00052004"</f>
        <v>00052004</v>
      </c>
      <c r="C4093" t="s">
        <v>4266</v>
      </c>
      <c r="D4093" t="s">
        <v>5540</v>
      </c>
      <c r="E4093" t="str">
        <f>"00070049"</f>
        <v>00070049</v>
      </c>
      <c r="F4093">
        <v>0</v>
      </c>
      <c r="G4093" s="243">
        <v>41133</v>
      </c>
      <c r="H4093" t="s">
        <v>182</v>
      </c>
      <c r="I4093">
        <v>15</v>
      </c>
      <c r="J4093">
        <v>3</v>
      </c>
      <c r="K4093">
        <v>1</v>
      </c>
      <c r="L4093">
        <v>58699</v>
      </c>
      <c r="M4093" t="str">
        <f t="shared" si="585"/>
        <v>13</v>
      </c>
      <c r="N4093" t="s">
        <v>3323</v>
      </c>
      <c r="O4093" t="str">
        <f t="shared" si="595"/>
        <v>64111</v>
      </c>
      <c r="P4093" t="str">
        <f>"2300L"</f>
        <v>2300L</v>
      </c>
      <c r="Q4093" t="str">
        <f t="shared" si="586"/>
        <v>0101</v>
      </c>
      <c r="R4093">
        <v>2300</v>
      </c>
      <c r="S4093" t="str">
        <f t="shared" si="596"/>
        <v>6410</v>
      </c>
      <c r="T4093" t="s">
        <v>3848</v>
      </c>
      <c r="U4093" t="s">
        <v>148</v>
      </c>
    </row>
    <row r="4094" spans="1:21" ht="15" customHeight="1" x14ac:dyDescent="0.3">
      <c r="A4094" t="s">
        <v>179</v>
      </c>
      <c r="B4094" t="str">
        <f>"00053618"</f>
        <v>00053618</v>
      </c>
      <c r="C4094" t="s">
        <v>4367</v>
      </c>
      <c r="D4094" t="s">
        <v>1292</v>
      </c>
      <c r="E4094" t="str">
        <f>"00051922"</f>
        <v>00051922</v>
      </c>
      <c r="F4094">
        <v>0</v>
      </c>
      <c r="G4094" s="243">
        <v>32762</v>
      </c>
      <c r="H4094" t="s">
        <v>182</v>
      </c>
      <c r="I4094">
        <v>9</v>
      </c>
      <c r="J4094">
        <v>10</v>
      </c>
      <c r="K4094">
        <v>1</v>
      </c>
      <c r="L4094">
        <v>47347</v>
      </c>
      <c r="M4094" t="str">
        <f t="shared" ref="M4094:M4149" si="597">"13"</f>
        <v>13</v>
      </c>
      <c r="N4094" t="s">
        <v>3323</v>
      </c>
      <c r="O4094" t="str">
        <f t="shared" si="595"/>
        <v>64111</v>
      </c>
      <c r="P4094" t="str">
        <f>"2100L"</f>
        <v>2100L</v>
      </c>
      <c r="Q4094" t="str">
        <f t="shared" si="586"/>
        <v>0101</v>
      </c>
      <c r="R4094">
        <v>2100</v>
      </c>
      <c r="S4094" t="str">
        <f t="shared" si="596"/>
        <v>6410</v>
      </c>
      <c r="T4094" t="s">
        <v>3848</v>
      </c>
      <c r="U4094" t="s">
        <v>148</v>
      </c>
    </row>
    <row r="4095" spans="1:21" ht="15" customHeight="1" x14ac:dyDescent="0.3">
      <c r="A4095" t="s">
        <v>179</v>
      </c>
      <c r="B4095" t="str">
        <f>"00054601"</f>
        <v>00054601</v>
      </c>
      <c r="C4095" t="s">
        <v>4260</v>
      </c>
      <c r="D4095" t="s">
        <v>5541</v>
      </c>
      <c r="E4095" t="str">
        <f>"00069975"</f>
        <v>00069975</v>
      </c>
      <c r="F4095">
        <v>0</v>
      </c>
      <c r="G4095" s="243">
        <v>41133</v>
      </c>
      <c r="H4095" t="s">
        <v>182</v>
      </c>
      <c r="I4095">
        <v>15</v>
      </c>
      <c r="J4095">
        <v>1</v>
      </c>
      <c r="K4095">
        <v>1</v>
      </c>
      <c r="L4095">
        <v>51539</v>
      </c>
      <c r="M4095" t="str">
        <f t="shared" si="597"/>
        <v>13</v>
      </c>
      <c r="N4095" t="s">
        <v>3323</v>
      </c>
      <c r="O4095" t="str">
        <f t="shared" si="595"/>
        <v>64111</v>
      </c>
      <c r="P4095" t="str">
        <f>"2100L"</f>
        <v>2100L</v>
      </c>
      <c r="Q4095" t="str">
        <f t="shared" si="586"/>
        <v>0101</v>
      </c>
      <c r="R4095">
        <v>2100</v>
      </c>
      <c r="S4095" t="str">
        <f t="shared" si="596"/>
        <v>6410</v>
      </c>
      <c r="T4095" t="s">
        <v>3848</v>
      </c>
      <c r="U4095" t="s">
        <v>148</v>
      </c>
    </row>
    <row r="4096" spans="1:21" ht="15" customHeight="1" x14ac:dyDescent="0.3">
      <c r="A4096" t="s">
        <v>179</v>
      </c>
      <c r="B4096" t="str">
        <f>"00057356"</f>
        <v>00057356</v>
      </c>
      <c r="C4096" t="s">
        <v>4260</v>
      </c>
      <c r="H4096" t="s">
        <v>170</v>
      </c>
      <c r="I4096">
        <v>15</v>
      </c>
      <c r="J4096">
        <v>1</v>
      </c>
      <c r="K4096">
        <v>1</v>
      </c>
      <c r="L4096">
        <v>56693</v>
      </c>
      <c r="M4096" t="str">
        <f t="shared" si="597"/>
        <v>13</v>
      </c>
      <c r="N4096" t="s">
        <v>3323</v>
      </c>
      <c r="O4096" t="str">
        <f t="shared" si="595"/>
        <v>64111</v>
      </c>
      <c r="P4096" t="str">
        <f>"3030L"</f>
        <v>3030L</v>
      </c>
      <c r="Q4096" t="str">
        <f t="shared" si="586"/>
        <v>0101</v>
      </c>
      <c r="R4096">
        <v>3030</v>
      </c>
      <c r="S4096" t="str">
        <f t="shared" si="596"/>
        <v>6410</v>
      </c>
      <c r="T4096" t="s">
        <v>3848</v>
      </c>
      <c r="U4096" t="s">
        <v>148</v>
      </c>
    </row>
    <row r="4097" spans="1:21" ht="15" customHeight="1" x14ac:dyDescent="0.3">
      <c r="A4097" t="s">
        <v>179</v>
      </c>
      <c r="B4097" t="str">
        <f>"00058635"</f>
        <v>00058635</v>
      </c>
      <c r="C4097" t="s">
        <v>4260</v>
      </c>
      <c r="D4097" t="s">
        <v>1185</v>
      </c>
      <c r="E4097" t="str">
        <f>"00049410"</f>
        <v>00049410</v>
      </c>
      <c r="F4097">
        <v>0</v>
      </c>
      <c r="G4097" s="243">
        <v>38949</v>
      </c>
      <c r="H4097" t="s">
        <v>182</v>
      </c>
      <c r="I4097">
        <v>15</v>
      </c>
      <c r="J4097">
        <v>7</v>
      </c>
      <c r="K4097">
        <v>1</v>
      </c>
      <c r="L4097">
        <v>69132</v>
      </c>
      <c r="M4097" t="str">
        <f t="shared" si="597"/>
        <v>13</v>
      </c>
      <c r="N4097" t="s">
        <v>3323</v>
      </c>
      <c r="O4097" t="str">
        <f t="shared" si="595"/>
        <v>64111</v>
      </c>
      <c r="P4097" t="str">
        <f>"3030L"</f>
        <v>3030L</v>
      </c>
      <c r="Q4097" t="str">
        <f t="shared" si="586"/>
        <v>0101</v>
      </c>
      <c r="R4097">
        <v>3030</v>
      </c>
      <c r="S4097" t="str">
        <f t="shared" si="596"/>
        <v>6410</v>
      </c>
      <c r="T4097" t="s">
        <v>3848</v>
      </c>
      <c r="U4097" t="s">
        <v>148</v>
      </c>
    </row>
    <row r="4098" spans="1:21" ht="15" customHeight="1" x14ac:dyDescent="0.3">
      <c r="A4098" t="s">
        <v>179</v>
      </c>
      <c r="B4098" t="str">
        <f>"00058979"</f>
        <v>00058979</v>
      </c>
      <c r="C4098" t="s">
        <v>4253</v>
      </c>
      <c r="H4098" t="s">
        <v>170</v>
      </c>
      <c r="I4098">
        <v>15</v>
      </c>
      <c r="J4098">
        <v>1</v>
      </c>
      <c r="K4098">
        <v>1</v>
      </c>
      <c r="L4098">
        <v>54975</v>
      </c>
      <c r="M4098" t="str">
        <f t="shared" si="597"/>
        <v>13</v>
      </c>
      <c r="N4098" t="s">
        <v>3323</v>
      </c>
      <c r="O4098" t="str">
        <f t="shared" si="595"/>
        <v>64111</v>
      </c>
      <c r="P4098" t="str">
        <f>"2100L"</f>
        <v>2100L</v>
      </c>
      <c r="Q4098" t="str">
        <f t="shared" si="586"/>
        <v>0101</v>
      </c>
      <c r="R4098">
        <v>2100</v>
      </c>
      <c r="S4098" t="str">
        <f t="shared" si="596"/>
        <v>6410</v>
      </c>
      <c r="T4098" t="s">
        <v>3848</v>
      </c>
      <c r="U4098" t="s">
        <v>148</v>
      </c>
    </row>
    <row r="4099" spans="1:21" ht="15" customHeight="1" x14ac:dyDescent="0.3">
      <c r="A4099" t="s">
        <v>179</v>
      </c>
      <c r="B4099" t="str">
        <f>"00059312"</f>
        <v>00059312</v>
      </c>
      <c r="C4099" t="s">
        <v>4253</v>
      </c>
      <c r="H4099" t="s">
        <v>170</v>
      </c>
      <c r="I4099">
        <v>15</v>
      </c>
      <c r="J4099">
        <v>1</v>
      </c>
      <c r="K4099">
        <v>1</v>
      </c>
      <c r="L4099">
        <v>54975</v>
      </c>
      <c r="M4099" t="str">
        <f t="shared" si="597"/>
        <v>13</v>
      </c>
      <c r="N4099" t="s">
        <v>3323</v>
      </c>
      <c r="O4099" t="str">
        <f t="shared" si="595"/>
        <v>64111</v>
      </c>
      <c r="P4099" t="str">
        <f>"2100L"</f>
        <v>2100L</v>
      </c>
      <c r="Q4099" t="str">
        <f t="shared" si="586"/>
        <v>0101</v>
      </c>
      <c r="R4099">
        <v>2100</v>
      </c>
      <c r="S4099" t="str">
        <f t="shared" si="596"/>
        <v>6410</v>
      </c>
      <c r="T4099" t="s">
        <v>3848</v>
      </c>
      <c r="U4099" t="s">
        <v>148</v>
      </c>
    </row>
    <row r="4100" spans="1:21" ht="15" customHeight="1" x14ac:dyDescent="0.3">
      <c r="A4100" t="s">
        <v>179</v>
      </c>
      <c r="B4100" t="str">
        <f>"00059537"</f>
        <v>00059537</v>
      </c>
      <c r="C4100" t="s">
        <v>4260</v>
      </c>
      <c r="D4100" t="s">
        <v>1297</v>
      </c>
      <c r="E4100" t="str">
        <f>"00050755"</f>
        <v>00050755</v>
      </c>
      <c r="F4100">
        <v>0</v>
      </c>
      <c r="G4100" s="243">
        <v>37911</v>
      </c>
      <c r="H4100" t="s">
        <v>182</v>
      </c>
      <c r="I4100">
        <v>15</v>
      </c>
      <c r="J4100">
        <v>12</v>
      </c>
      <c r="K4100">
        <v>1</v>
      </c>
      <c r="L4100">
        <v>87431</v>
      </c>
      <c r="M4100" t="str">
        <f t="shared" si="597"/>
        <v>13</v>
      </c>
      <c r="N4100" t="s">
        <v>3323</v>
      </c>
      <c r="O4100" t="str">
        <f t="shared" si="595"/>
        <v>64111</v>
      </c>
      <c r="P4100" t="str">
        <f>"3030L"</f>
        <v>3030L</v>
      </c>
      <c r="Q4100" t="str">
        <f t="shared" si="586"/>
        <v>0101</v>
      </c>
      <c r="R4100">
        <v>3030</v>
      </c>
      <c r="S4100" t="str">
        <f t="shared" si="596"/>
        <v>6410</v>
      </c>
      <c r="T4100" t="s">
        <v>3848</v>
      </c>
      <c r="U4100" t="s">
        <v>148</v>
      </c>
    </row>
    <row r="4101" spans="1:21" ht="15" customHeight="1" x14ac:dyDescent="0.3">
      <c r="A4101" t="s">
        <v>179</v>
      </c>
      <c r="B4101" t="str">
        <f>"00061833"</f>
        <v>00061833</v>
      </c>
      <c r="C4101" t="s">
        <v>3670</v>
      </c>
      <c r="D4101" t="s">
        <v>3920</v>
      </c>
      <c r="E4101" t="str">
        <f>"00045495"</f>
        <v>00045495</v>
      </c>
      <c r="F4101">
        <v>0</v>
      </c>
      <c r="G4101" s="243">
        <v>39630</v>
      </c>
      <c r="H4101" t="s">
        <v>182</v>
      </c>
      <c r="I4101">
        <v>8</v>
      </c>
      <c r="J4101">
        <v>4</v>
      </c>
      <c r="K4101">
        <v>1</v>
      </c>
      <c r="L4101">
        <v>89645</v>
      </c>
      <c r="M4101" t="str">
        <f t="shared" si="597"/>
        <v>13</v>
      </c>
      <c r="N4101" t="s">
        <v>3323</v>
      </c>
      <c r="O4101" t="str">
        <f t="shared" si="595"/>
        <v>64111</v>
      </c>
      <c r="P4101" t="str">
        <f>"1501L"</f>
        <v>1501L</v>
      </c>
      <c r="Q4101" t="str">
        <f t="shared" ref="Q4101:Q4156" si="598">"0101"</f>
        <v>0101</v>
      </c>
      <c r="R4101">
        <v>1501</v>
      </c>
      <c r="S4101" t="str">
        <f t="shared" si="596"/>
        <v>6410</v>
      </c>
      <c r="T4101" t="s">
        <v>3848</v>
      </c>
      <c r="U4101" t="s">
        <v>148</v>
      </c>
    </row>
    <row r="4102" spans="1:21" ht="15" customHeight="1" x14ac:dyDescent="0.3">
      <c r="A4102" t="s">
        <v>179</v>
      </c>
      <c r="B4102" t="str">
        <f>"00061853"</f>
        <v>00061853</v>
      </c>
      <c r="C4102" t="s">
        <v>3798</v>
      </c>
      <c r="H4102" t="s">
        <v>170</v>
      </c>
      <c r="I4102">
        <v>63</v>
      </c>
      <c r="J4102">
        <v>1</v>
      </c>
      <c r="K4102">
        <v>1</v>
      </c>
      <c r="L4102">
        <v>106000</v>
      </c>
      <c r="M4102" t="str">
        <f t="shared" si="597"/>
        <v>13</v>
      </c>
      <c r="N4102" t="s">
        <v>3370</v>
      </c>
      <c r="O4102" t="str">
        <f t="shared" si="595"/>
        <v>64111</v>
      </c>
      <c r="P4102" t="str">
        <f>"1501L"</f>
        <v>1501L</v>
      </c>
      <c r="Q4102" t="str">
        <f t="shared" si="598"/>
        <v>0101</v>
      </c>
      <c r="R4102">
        <v>1501</v>
      </c>
      <c r="S4102" t="str">
        <f t="shared" si="596"/>
        <v>6410</v>
      </c>
      <c r="T4102" t="s">
        <v>3848</v>
      </c>
      <c r="U4102" t="s">
        <v>148</v>
      </c>
    </row>
    <row r="4103" spans="1:21" ht="15" customHeight="1" x14ac:dyDescent="0.3">
      <c r="A4103" t="s">
        <v>179</v>
      </c>
      <c r="B4103" t="str">
        <f>"00062387"</f>
        <v>00062387</v>
      </c>
      <c r="C4103" t="s">
        <v>4253</v>
      </c>
      <c r="D4103" t="s">
        <v>3925</v>
      </c>
      <c r="E4103" t="str">
        <f>"00066484"</f>
        <v>00066484</v>
      </c>
      <c r="F4103">
        <v>0</v>
      </c>
      <c r="G4103" s="243">
        <v>40769</v>
      </c>
      <c r="H4103" t="s">
        <v>182</v>
      </c>
      <c r="I4103">
        <v>15</v>
      </c>
      <c r="J4103">
        <v>11</v>
      </c>
      <c r="K4103">
        <v>1</v>
      </c>
      <c r="L4103">
        <v>81335</v>
      </c>
      <c r="M4103" t="str">
        <f t="shared" si="597"/>
        <v>13</v>
      </c>
      <c r="N4103" t="s">
        <v>3323</v>
      </c>
      <c r="O4103" t="str">
        <f t="shared" si="595"/>
        <v>64111</v>
      </c>
      <c r="P4103" t="str">
        <f>"2100L"</f>
        <v>2100L</v>
      </c>
      <c r="Q4103" t="str">
        <f t="shared" si="598"/>
        <v>0101</v>
      </c>
      <c r="R4103">
        <v>2100</v>
      </c>
      <c r="S4103" t="str">
        <f t="shared" si="596"/>
        <v>6410</v>
      </c>
      <c r="T4103" t="s">
        <v>3848</v>
      </c>
      <c r="U4103" t="s">
        <v>148</v>
      </c>
    </row>
    <row r="4104" spans="1:21" ht="15" customHeight="1" x14ac:dyDescent="0.3">
      <c r="A4104" t="s">
        <v>179</v>
      </c>
      <c r="B4104" t="str">
        <f>"00065347"</f>
        <v>00065347</v>
      </c>
      <c r="C4104" t="s">
        <v>5495</v>
      </c>
      <c r="D4104" t="s">
        <v>2775</v>
      </c>
      <c r="E4104" t="str">
        <f>"00049815"</f>
        <v>00049815</v>
      </c>
      <c r="F4104">
        <v>0</v>
      </c>
      <c r="G4104" s="243">
        <v>39314</v>
      </c>
      <c r="H4104" t="s">
        <v>182</v>
      </c>
      <c r="I4104">
        <v>8</v>
      </c>
      <c r="J4104">
        <v>1</v>
      </c>
      <c r="K4104">
        <v>1</v>
      </c>
      <c r="L4104">
        <v>82397</v>
      </c>
      <c r="M4104" t="str">
        <f t="shared" si="597"/>
        <v>13</v>
      </c>
      <c r="N4104" t="s">
        <v>3370</v>
      </c>
      <c r="O4104" t="str">
        <f t="shared" si="595"/>
        <v>64111</v>
      </c>
      <c r="P4104" t="str">
        <f>"1501L"</f>
        <v>1501L</v>
      </c>
      <c r="Q4104" t="str">
        <f t="shared" si="598"/>
        <v>0101</v>
      </c>
      <c r="R4104">
        <v>1501</v>
      </c>
      <c r="S4104" t="str">
        <f t="shared" si="596"/>
        <v>6410</v>
      </c>
      <c r="T4104" t="s">
        <v>3848</v>
      </c>
      <c r="U4104" t="s">
        <v>148</v>
      </c>
    </row>
    <row r="4105" spans="1:21" ht="15" customHeight="1" x14ac:dyDescent="0.3">
      <c r="A4105" t="s">
        <v>179</v>
      </c>
      <c r="B4105" t="str">
        <f>"00065451"</f>
        <v>00065451</v>
      </c>
      <c r="C4105" t="s">
        <v>3670</v>
      </c>
      <c r="H4105" t="s">
        <v>170</v>
      </c>
      <c r="I4105">
        <v>8</v>
      </c>
      <c r="J4105">
        <v>1</v>
      </c>
      <c r="K4105">
        <v>1</v>
      </c>
      <c r="L4105">
        <v>82397</v>
      </c>
      <c r="M4105" t="str">
        <f t="shared" si="597"/>
        <v>13</v>
      </c>
      <c r="N4105" t="s">
        <v>3370</v>
      </c>
      <c r="O4105" t="str">
        <f t="shared" si="595"/>
        <v>64111</v>
      </c>
      <c r="P4105" t="str">
        <f>"1501L"</f>
        <v>1501L</v>
      </c>
      <c r="Q4105" t="str">
        <f t="shared" si="598"/>
        <v>0101</v>
      </c>
      <c r="R4105">
        <v>1501</v>
      </c>
      <c r="S4105" t="str">
        <f t="shared" si="596"/>
        <v>6410</v>
      </c>
      <c r="T4105" t="s">
        <v>3848</v>
      </c>
      <c r="U4105" t="s">
        <v>148</v>
      </c>
    </row>
    <row r="4106" spans="1:21" ht="15" customHeight="1" x14ac:dyDescent="0.3">
      <c r="A4106" t="s">
        <v>179</v>
      </c>
      <c r="B4106" t="str">
        <f>"00067535"</f>
        <v>00067535</v>
      </c>
      <c r="C4106" t="s">
        <v>4253</v>
      </c>
      <c r="D4106" t="s">
        <v>3922</v>
      </c>
      <c r="E4106" t="str">
        <f>"00065620"</f>
        <v>00065620</v>
      </c>
      <c r="F4106">
        <v>0</v>
      </c>
      <c r="G4106" s="243">
        <v>40755</v>
      </c>
      <c r="H4106" t="s">
        <v>182</v>
      </c>
      <c r="I4106">
        <v>15</v>
      </c>
      <c r="J4106">
        <v>5</v>
      </c>
      <c r="K4106">
        <v>1</v>
      </c>
      <c r="L4106">
        <v>63611</v>
      </c>
      <c r="M4106" t="str">
        <f t="shared" si="597"/>
        <v>13</v>
      </c>
      <c r="N4106" t="s">
        <v>3323</v>
      </c>
      <c r="O4106" t="str">
        <f t="shared" si="595"/>
        <v>64111</v>
      </c>
      <c r="P4106" t="str">
        <f>"2100L"</f>
        <v>2100L</v>
      </c>
      <c r="Q4106" t="str">
        <f t="shared" si="598"/>
        <v>0101</v>
      </c>
      <c r="R4106">
        <v>2100</v>
      </c>
      <c r="S4106" t="str">
        <f t="shared" si="596"/>
        <v>6410</v>
      </c>
      <c r="T4106" t="s">
        <v>3848</v>
      </c>
      <c r="U4106" t="s">
        <v>148</v>
      </c>
    </row>
    <row r="4107" spans="1:21" ht="15" customHeight="1" x14ac:dyDescent="0.3">
      <c r="A4107" t="s">
        <v>179</v>
      </c>
      <c r="B4107" t="str">
        <f>"00067536"</f>
        <v>00067536</v>
      </c>
      <c r="C4107" t="s">
        <v>4253</v>
      </c>
      <c r="D4107" t="s">
        <v>3923</v>
      </c>
      <c r="E4107" t="str">
        <f>"00064469"</f>
        <v>00064469</v>
      </c>
      <c r="F4107">
        <v>0</v>
      </c>
      <c r="G4107" s="243">
        <v>40554</v>
      </c>
      <c r="H4107" t="s">
        <v>182</v>
      </c>
      <c r="I4107">
        <v>15</v>
      </c>
      <c r="J4107">
        <v>10</v>
      </c>
      <c r="K4107">
        <v>1</v>
      </c>
      <c r="L4107">
        <v>80729</v>
      </c>
      <c r="M4107" t="str">
        <f t="shared" si="597"/>
        <v>13</v>
      </c>
      <c r="N4107" t="s">
        <v>3323</v>
      </c>
      <c r="O4107" t="str">
        <f t="shared" si="595"/>
        <v>64111</v>
      </c>
      <c r="P4107" t="str">
        <f>"2100L"</f>
        <v>2100L</v>
      </c>
      <c r="Q4107" t="str">
        <f t="shared" si="598"/>
        <v>0101</v>
      </c>
      <c r="R4107">
        <v>2100</v>
      </c>
      <c r="S4107" t="str">
        <f t="shared" si="596"/>
        <v>6410</v>
      </c>
      <c r="T4107" t="s">
        <v>3848</v>
      </c>
      <c r="U4107" t="s">
        <v>148</v>
      </c>
    </row>
    <row r="4108" spans="1:21" ht="15" customHeight="1" x14ac:dyDescent="0.3">
      <c r="A4108" t="s">
        <v>179</v>
      </c>
      <c r="B4108" t="str">
        <f>"00072396"</f>
        <v>00072396</v>
      </c>
      <c r="C4108" t="s">
        <v>4256</v>
      </c>
      <c r="D4108" t="s">
        <v>5542</v>
      </c>
      <c r="E4108" t="str">
        <f>"00057243"</f>
        <v>00057243</v>
      </c>
      <c r="F4108">
        <v>0</v>
      </c>
      <c r="G4108" s="243">
        <v>40042</v>
      </c>
      <c r="H4108" t="s">
        <v>182</v>
      </c>
      <c r="I4108">
        <v>15</v>
      </c>
      <c r="J4108">
        <v>4</v>
      </c>
      <c r="K4108">
        <v>0.5</v>
      </c>
      <c r="L4108">
        <v>61158</v>
      </c>
      <c r="M4108" t="str">
        <f t="shared" si="597"/>
        <v>13</v>
      </c>
      <c r="N4108" t="s">
        <v>3323</v>
      </c>
      <c r="O4108" t="str">
        <f t="shared" si="595"/>
        <v>64111</v>
      </c>
      <c r="P4108" t="str">
        <f>"2100L"</f>
        <v>2100L</v>
      </c>
      <c r="Q4108" t="str">
        <f t="shared" si="598"/>
        <v>0101</v>
      </c>
      <c r="R4108">
        <v>2100</v>
      </c>
      <c r="S4108" t="str">
        <f t="shared" si="596"/>
        <v>6410</v>
      </c>
      <c r="T4108" t="s">
        <v>3848</v>
      </c>
      <c r="U4108" t="s">
        <v>148</v>
      </c>
    </row>
    <row r="4109" spans="1:21" ht="15" customHeight="1" x14ac:dyDescent="0.3">
      <c r="A4109" t="s">
        <v>179</v>
      </c>
      <c r="B4109" t="str">
        <f>"00072606"</f>
        <v>00072606</v>
      </c>
      <c r="C4109" t="s">
        <v>4290</v>
      </c>
      <c r="D4109" t="s">
        <v>5543</v>
      </c>
      <c r="E4109" t="str">
        <f>"00045110"</f>
        <v>00045110</v>
      </c>
      <c r="F4109">
        <v>0</v>
      </c>
      <c r="G4109" s="243">
        <v>40404</v>
      </c>
      <c r="H4109" t="s">
        <v>182</v>
      </c>
      <c r="I4109">
        <v>4</v>
      </c>
      <c r="J4109">
        <v>10</v>
      </c>
      <c r="K4109">
        <v>0.71</v>
      </c>
      <c r="L4109">
        <v>28721</v>
      </c>
      <c r="M4109" t="str">
        <f t="shared" si="597"/>
        <v>13</v>
      </c>
      <c r="N4109" t="s">
        <v>3323</v>
      </c>
      <c r="O4109" t="str">
        <f t="shared" si="595"/>
        <v>64111</v>
      </c>
      <c r="P4109" t="str">
        <f>"3030L"</f>
        <v>3030L</v>
      </c>
      <c r="Q4109" t="str">
        <f t="shared" si="598"/>
        <v>0101</v>
      </c>
      <c r="R4109">
        <v>3030</v>
      </c>
      <c r="S4109" t="str">
        <f t="shared" si="596"/>
        <v>6410</v>
      </c>
      <c r="T4109" t="s">
        <v>3848</v>
      </c>
      <c r="U4109" t="s">
        <v>148</v>
      </c>
    </row>
    <row r="4110" spans="1:21" ht="15" customHeight="1" x14ac:dyDescent="0.3">
      <c r="A4110" t="s">
        <v>179</v>
      </c>
      <c r="B4110" t="str">
        <f>"00073743"</f>
        <v>00073743</v>
      </c>
      <c r="C4110" t="s">
        <v>200</v>
      </c>
      <c r="D4110" t="s">
        <v>5544</v>
      </c>
      <c r="E4110" t="str">
        <f>"00001107"</f>
        <v>00001107</v>
      </c>
      <c r="F4110">
        <v>0</v>
      </c>
      <c r="G4110" s="243">
        <v>40259</v>
      </c>
      <c r="H4110" t="s">
        <v>182</v>
      </c>
      <c r="I4110">
        <v>15</v>
      </c>
      <c r="J4110">
        <v>11</v>
      </c>
      <c r="K4110">
        <v>1</v>
      </c>
      <c r="L4110">
        <v>81335</v>
      </c>
      <c r="M4110" t="str">
        <f t="shared" si="597"/>
        <v>13</v>
      </c>
      <c r="N4110" t="s">
        <v>3323</v>
      </c>
      <c r="O4110" t="str">
        <f t="shared" si="595"/>
        <v>64111</v>
      </c>
      <c r="P4110" t="str">
        <f>"2100L"</f>
        <v>2100L</v>
      </c>
      <c r="Q4110" t="str">
        <f t="shared" si="598"/>
        <v>0101</v>
      </c>
      <c r="R4110">
        <v>2100</v>
      </c>
      <c r="S4110" t="str">
        <f t="shared" si="596"/>
        <v>6410</v>
      </c>
      <c r="T4110" t="s">
        <v>3848</v>
      </c>
      <c r="U4110" t="s">
        <v>148</v>
      </c>
    </row>
    <row r="4111" spans="1:21" ht="15" customHeight="1" x14ac:dyDescent="0.3">
      <c r="A4111" t="s">
        <v>179</v>
      </c>
      <c r="B4111" t="str">
        <f>"00074003"</f>
        <v>00074003</v>
      </c>
      <c r="C4111" t="s">
        <v>4360</v>
      </c>
      <c r="D4111" t="s">
        <v>5545</v>
      </c>
      <c r="E4111" t="str">
        <f>"00050380"</f>
        <v>00050380</v>
      </c>
      <c r="F4111">
        <v>0</v>
      </c>
      <c r="G4111" s="243">
        <v>37655</v>
      </c>
      <c r="H4111" t="s">
        <v>182</v>
      </c>
      <c r="I4111">
        <v>7</v>
      </c>
      <c r="J4111">
        <v>2</v>
      </c>
      <c r="K4111">
        <v>1</v>
      </c>
      <c r="L4111">
        <v>35977</v>
      </c>
      <c r="M4111" t="str">
        <f t="shared" si="597"/>
        <v>13</v>
      </c>
      <c r="N4111" t="s">
        <v>3323</v>
      </c>
      <c r="O4111" t="str">
        <f t="shared" si="595"/>
        <v>64111</v>
      </c>
      <c r="P4111" t="str">
        <f>"1502L"</f>
        <v>1502L</v>
      </c>
      <c r="Q4111" t="str">
        <f t="shared" si="598"/>
        <v>0101</v>
      </c>
      <c r="R4111">
        <v>1502</v>
      </c>
      <c r="S4111" t="str">
        <f t="shared" si="596"/>
        <v>6410</v>
      </c>
      <c r="T4111" t="s">
        <v>3848</v>
      </c>
      <c r="U4111" t="s">
        <v>148</v>
      </c>
    </row>
    <row r="4112" spans="1:21" ht="15" customHeight="1" x14ac:dyDescent="0.3">
      <c r="A4112" t="s">
        <v>179</v>
      </c>
      <c r="B4112" t="str">
        <f>"00074376"</f>
        <v>00074376</v>
      </c>
      <c r="C4112" t="s">
        <v>4257</v>
      </c>
      <c r="D4112" t="s">
        <v>3924</v>
      </c>
      <c r="E4112" t="str">
        <f>"00066193"</f>
        <v>00066193</v>
      </c>
      <c r="F4112">
        <v>0</v>
      </c>
      <c r="G4112" s="243">
        <v>40755</v>
      </c>
      <c r="H4112" t="s">
        <v>182</v>
      </c>
      <c r="I4112">
        <v>15</v>
      </c>
      <c r="J4112">
        <v>3</v>
      </c>
      <c r="K4112">
        <v>1</v>
      </c>
      <c r="L4112">
        <v>52777</v>
      </c>
      <c r="M4112" t="str">
        <f t="shared" si="597"/>
        <v>13</v>
      </c>
      <c r="N4112" t="s">
        <v>3323</v>
      </c>
      <c r="O4112" t="str">
        <f t="shared" si="595"/>
        <v>64111</v>
      </c>
      <c r="P4112" t="str">
        <f>"2100L"</f>
        <v>2100L</v>
      </c>
      <c r="Q4112" t="str">
        <f t="shared" si="598"/>
        <v>0101</v>
      </c>
      <c r="R4112">
        <v>2100</v>
      </c>
      <c r="S4112" t="str">
        <f t="shared" si="596"/>
        <v>6410</v>
      </c>
      <c r="T4112" t="s">
        <v>3848</v>
      </c>
      <c r="U4112" t="s">
        <v>148</v>
      </c>
    </row>
    <row r="4113" spans="1:21" ht="15" customHeight="1" x14ac:dyDescent="0.3">
      <c r="A4113" t="s">
        <v>179</v>
      </c>
      <c r="B4113" t="str">
        <f>"00074379"</f>
        <v>00074379</v>
      </c>
      <c r="C4113" t="s">
        <v>5537</v>
      </c>
      <c r="D4113" t="s">
        <v>3921</v>
      </c>
      <c r="E4113" t="str">
        <f>"00066398"</f>
        <v>00066398</v>
      </c>
      <c r="F4113">
        <v>0</v>
      </c>
      <c r="G4113" s="243">
        <v>40770</v>
      </c>
      <c r="H4113" t="s">
        <v>182</v>
      </c>
      <c r="I4113">
        <v>10</v>
      </c>
      <c r="J4113">
        <v>2</v>
      </c>
      <c r="K4113">
        <v>1</v>
      </c>
      <c r="L4113">
        <v>64671</v>
      </c>
      <c r="M4113" t="str">
        <f t="shared" si="597"/>
        <v>13</v>
      </c>
      <c r="N4113" t="s">
        <v>3323</v>
      </c>
      <c r="O4113" t="str">
        <f t="shared" si="595"/>
        <v>64111</v>
      </c>
      <c r="P4113" t="str">
        <f t="shared" ref="P4113:P4127" si="599">"2100L"</f>
        <v>2100L</v>
      </c>
      <c r="Q4113" t="str">
        <f t="shared" si="598"/>
        <v>0101</v>
      </c>
      <c r="R4113">
        <v>2100</v>
      </c>
      <c r="S4113" t="str">
        <f t="shared" si="596"/>
        <v>6410</v>
      </c>
      <c r="T4113" t="s">
        <v>3848</v>
      </c>
      <c r="U4113" t="s">
        <v>148</v>
      </c>
    </row>
    <row r="4114" spans="1:21" ht="15" customHeight="1" x14ac:dyDescent="0.3">
      <c r="A4114" t="s">
        <v>179</v>
      </c>
      <c r="B4114" t="str">
        <f>"00076099"</f>
        <v>00076099</v>
      </c>
      <c r="C4114" t="s">
        <v>4253</v>
      </c>
      <c r="D4114" t="s">
        <v>5546</v>
      </c>
      <c r="E4114" t="str">
        <f>"00069596"</f>
        <v>00069596</v>
      </c>
      <c r="F4114">
        <v>0</v>
      </c>
      <c r="G4114" s="243">
        <v>41133</v>
      </c>
      <c r="H4114" t="s">
        <v>182</v>
      </c>
      <c r="I4114">
        <v>15</v>
      </c>
      <c r="J4114">
        <v>1</v>
      </c>
      <c r="K4114">
        <v>1</v>
      </c>
      <c r="L4114">
        <v>51539</v>
      </c>
      <c r="M4114" t="str">
        <f t="shared" si="597"/>
        <v>13</v>
      </c>
      <c r="N4114" t="s">
        <v>3370</v>
      </c>
      <c r="O4114" t="str">
        <f t="shared" si="595"/>
        <v>64111</v>
      </c>
      <c r="P4114" t="str">
        <f t="shared" si="599"/>
        <v>2100L</v>
      </c>
      <c r="Q4114" t="str">
        <f t="shared" si="598"/>
        <v>0101</v>
      </c>
      <c r="R4114">
        <v>2100</v>
      </c>
      <c r="S4114" t="str">
        <f t="shared" si="596"/>
        <v>6410</v>
      </c>
      <c r="T4114" t="s">
        <v>3972</v>
      </c>
      <c r="U4114" t="s">
        <v>148</v>
      </c>
    </row>
    <row r="4115" spans="1:21" ht="15" customHeight="1" x14ac:dyDescent="0.3">
      <c r="A4115" t="s">
        <v>179</v>
      </c>
      <c r="B4115" t="str">
        <f>"00076101"</f>
        <v>00076101</v>
      </c>
      <c r="C4115" t="s">
        <v>4253</v>
      </c>
      <c r="D4115" t="s">
        <v>5547</v>
      </c>
      <c r="E4115" t="str">
        <f>"00069555"</f>
        <v>00069555</v>
      </c>
      <c r="F4115">
        <v>0</v>
      </c>
      <c r="G4115" s="243">
        <v>41133</v>
      </c>
      <c r="H4115" t="s">
        <v>182</v>
      </c>
      <c r="I4115">
        <v>15</v>
      </c>
      <c r="J4115">
        <v>6</v>
      </c>
      <c r="K4115">
        <v>1</v>
      </c>
      <c r="L4115">
        <v>58599</v>
      </c>
      <c r="M4115" t="str">
        <f t="shared" si="597"/>
        <v>13</v>
      </c>
      <c r="N4115" t="s">
        <v>3370</v>
      </c>
      <c r="O4115" t="str">
        <f t="shared" si="595"/>
        <v>64111</v>
      </c>
      <c r="P4115" t="str">
        <f t="shared" si="599"/>
        <v>2100L</v>
      </c>
      <c r="Q4115" t="str">
        <f t="shared" si="598"/>
        <v>0101</v>
      </c>
      <c r="R4115">
        <v>2100</v>
      </c>
      <c r="S4115" t="str">
        <f t="shared" si="596"/>
        <v>6410</v>
      </c>
      <c r="T4115" t="s">
        <v>3972</v>
      </c>
      <c r="U4115" t="s">
        <v>148</v>
      </c>
    </row>
    <row r="4116" spans="1:21" ht="15" customHeight="1" x14ac:dyDescent="0.3">
      <c r="A4116" t="s">
        <v>179</v>
      </c>
      <c r="B4116" t="str">
        <f>"00076102"</f>
        <v>00076102</v>
      </c>
      <c r="C4116" t="s">
        <v>4367</v>
      </c>
      <c r="H4116" t="s">
        <v>170</v>
      </c>
      <c r="I4116">
        <v>9</v>
      </c>
      <c r="J4116">
        <v>0</v>
      </c>
      <c r="K4116">
        <v>1</v>
      </c>
      <c r="L4116">
        <v>36775</v>
      </c>
      <c r="M4116" t="str">
        <f t="shared" si="597"/>
        <v>13</v>
      </c>
      <c r="N4116" t="s">
        <v>3370</v>
      </c>
      <c r="O4116" t="str">
        <f t="shared" si="595"/>
        <v>64111</v>
      </c>
      <c r="P4116" t="str">
        <f t="shared" si="599"/>
        <v>2100L</v>
      </c>
      <c r="Q4116" t="str">
        <f t="shared" si="598"/>
        <v>0101</v>
      </c>
      <c r="R4116">
        <v>2100</v>
      </c>
      <c r="S4116" t="str">
        <f t="shared" si="596"/>
        <v>6410</v>
      </c>
      <c r="T4116" t="s">
        <v>3972</v>
      </c>
      <c r="U4116" t="s">
        <v>148</v>
      </c>
    </row>
    <row r="4117" spans="1:21" ht="15" customHeight="1" x14ac:dyDescent="0.3">
      <c r="A4117" t="s">
        <v>179</v>
      </c>
      <c r="B4117" t="str">
        <f>"00076103"</f>
        <v>00076103</v>
      </c>
      <c r="C4117" t="s">
        <v>4259</v>
      </c>
      <c r="D4117" t="s">
        <v>5548</v>
      </c>
      <c r="E4117" t="str">
        <f>"00069861"</f>
        <v>00069861</v>
      </c>
      <c r="F4117">
        <v>0</v>
      </c>
      <c r="G4117" s="243">
        <v>41133</v>
      </c>
      <c r="H4117" t="s">
        <v>182</v>
      </c>
      <c r="I4117">
        <v>15</v>
      </c>
      <c r="J4117">
        <v>7</v>
      </c>
      <c r="K4117">
        <v>1</v>
      </c>
      <c r="L4117">
        <v>69132</v>
      </c>
      <c r="M4117" t="str">
        <f t="shared" si="597"/>
        <v>13</v>
      </c>
      <c r="N4117" t="s">
        <v>3370</v>
      </c>
      <c r="O4117" t="str">
        <f t="shared" si="595"/>
        <v>64111</v>
      </c>
      <c r="P4117" t="str">
        <f t="shared" si="599"/>
        <v>2100L</v>
      </c>
      <c r="Q4117" t="str">
        <f t="shared" si="598"/>
        <v>0101</v>
      </c>
      <c r="R4117">
        <v>2100</v>
      </c>
      <c r="S4117" t="str">
        <f t="shared" si="596"/>
        <v>6410</v>
      </c>
      <c r="T4117" t="s">
        <v>3972</v>
      </c>
      <c r="U4117" t="s">
        <v>148</v>
      </c>
    </row>
    <row r="4118" spans="1:21" ht="15" customHeight="1" x14ac:dyDescent="0.3">
      <c r="A4118" t="s">
        <v>179</v>
      </c>
      <c r="B4118" t="str">
        <f>"00076104"</f>
        <v>00076104</v>
      </c>
      <c r="C4118" t="s">
        <v>4253</v>
      </c>
      <c r="D4118" t="s">
        <v>2336</v>
      </c>
      <c r="E4118" t="str">
        <f>"00049266"</f>
        <v>00049266</v>
      </c>
      <c r="F4118">
        <v>0</v>
      </c>
      <c r="G4118" s="243">
        <v>39679</v>
      </c>
      <c r="H4118" t="s">
        <v>182</v>
      </c>
      <c r="I4118">
        <v>15</v>
      </c>
      <c r="J4118">
        <v>4</v>
      </c>
      <c r="K4118">
        <v>1</v>
      </c>
      <c r="L4118">
        <v>54725</v>
      </c>
      <c r="M4118" t="str">
        <f t="shared" si="597"/>
        <v>13</v>
      </c>
      <c r="N4118" t="s">
        <v>3370</v>
      </c>
      <c r="O4118" t="str">
        <f t="shared" si="595"/>
        <v>64111</v>
      </c>
      <c r="P4118" t="str">
        <f t="shared" si="599"/>
        <v>2100L</v>
      </c>
      <c r="Q4118" t="str">
        <f t="shared" si="598"/>
        <v>0101</v>
      </c>
      <c r="R4118">
        <v>2100</v>
      </c>
      <c r="S4118" t="str">
        <f t="shared" si="596"/>
        <v>6410</v>
      </c>
      <c r="T4118" t="s">
        <v>3972</v>
      </c>
      <c r="U4118" t="s">
        <v>148</v>
      </c>
    </row>
    <row r="4119" spans="1:21" ht="15" customHeight="1" x14ac:dyDescent="0.3">
      <c r="A4119" t="s">
        <v>179</v>
      </c>
      <c r="B4119" t="str">
        <f>"00076105"</f>
        <v>00076105</v>
      </c>
      <c r="C4119" t="s">
        <v>4253</v>
      </c>
      <c r="D4119" t="s">
        <v>5549</v>
      </c>
      <c r="E4119" t="str">
        <f>"00069653"</f>
        <v>00069653</v>
      </c>
      <c r="F4119">
        <v>0</v>
      </c>
      <c r="G4119" s="243">
        <v>41133</v>
      </c>
      <c r="H4119" t="s">
        <v>182</v>
      </c>
      <c r="I4119">
        <v>15</v>
      </c>
      <c r="J4119">
        <v>3</v>
      </c>
      <c r="K4119">
        <v>1</v>
      </c>
      <c r="L4119">
        <v>52777</v>
      </c>
      <c r="M4119" t="str">
        <f t="shared" si="597"/>
        <v>13</v>
      </c>
      <c r="N4119" t="s">
        <v>3370</v>
      </c>
      <c r="O4119" t="str">
        <f t="shared" si="595"/>
        <v>64111</v>
      </c>
      <c r="P4119" t="str">
        <f t="shared" si="599"/>
        <v>2100L</v>
      </c>
      <c r="Q4119" t="str">
        <f t="shared" si="598"/>
        <v>0101</v>
      </c>
      <c r="R4119">
        <v>2100</v>
      </c>
      <c r="S4119" t="str">
        <f t="shared" si="596"/>
        <v>6410</v>
      </c>
      <c r="T4119" t="s">
        <v>3972</v>
      </c>
      <c r="U4119" t="s">
        <v>148</v>
      </c>
    </row>
    <row r="4120" spans="1:21" ht="15" customHeight="1" x14ac:dyDescent="0.3">
      <c r="A4120" t="s">
        <v>179</v>
      </c>
      <c r="B4120" t="str">
        <f>"00076106"</f>
        <v>00076106</v>
      </c>
      <c r="C4120" t="s">
        <v>4438</v>
      </c>
      <c r="D4120" t="s">
        <v>5550</v>
      </c>
      <c r="E4120" t="str">
        <f>"00069842"</f>
        <v>00069842</v>
      </c>
      <c r="F4120">
        <v>0</v>
      </c>
      <c r="G4120" s="243">
        <v>41133</v>
      </c>
      <c r="H4120" t="s">
        <v>182</v>
      </c>
      <c r="I4120">
        <v>11</v>
      </c>
      <c r="J4120">
        <v>9</v>
      </c>
      <c r="K4120">
        <v>0.5</v>
      </c>
      <c r="L4120">
        <v>83427</v>
      </c>
      <c r="M4120" t="str">
        <f t="shared" si="597"/>
        <v>13</v>
      </c>
      <c r="N4120" t="s">
        <v>3370</v>
      </c>
      <c r="O4120" t="str">
        <f t="shared" si="595"/>
        <v>64111</v>
      </c>
      <c r="P4120" t="str">
        <f t="shared" si="599"/>
        <v>2100L</v>
      </c>
      <c r="Q4120" t="str">
        <f t="shared" si="598"/>
        <v>0101</v>
      </c>
      <c r="R4120">
        <v>2100</v>
      </c>
      <c r="S4120" t="str">
        <f t="shared" si="596"/>
        <v>6410</v>
      </c>
      <c r="T4120" t="s">
        <v>3972</v>
      </c>
      <c r="U4120" t="s">
        <v>148</v>
      </c>
    </row>
    <row r="4121" spans="1:21" ht="15" customHeight="1" x14ac:dyDescent="0.3">
      <c r="A4121" t="s">
        <v>179</v>
      </c>
      <c r="B4121" t="str">
        <f>"00076107"</f>
        <v>00076107</v>
      </c>
      <c r="C4121" t="s">
        <v>4253</v>
      </c>
      <c r="D4121" t="s">
        <v>5551</v>
      </c>
      <c r="E4121" t="str">
        <f>"00069558"</f>
        <v>00069558</v>
      </c>
      <c r="F4121">
        <v>0</v>
      </c>
      <c r="G4121" s="243">
        <v>41133</v>
      </c>
      <c r="H4121" t="s">
        <v>182</v>
      </c>
      <c r="I4121">
        <v>15</v>
      </c>
      <c r="J4121">
        <v>3</v>
      </c>
      <c r="K4121">
        <v>1</v>
      </c>
      <c r="L4121">
        <v>58699</v>
      </c>
      <c r="M4121" t="str">
        <f t="shared" si="597"/>
        <v>13</v>
      </c>
      <c r="N4121" t="s">
        <v>3370</v>
      </c>
      <c r="O4121" t="str">
        <f t="shared" si="595"/>
        <v>64111</v>
      </c>
      <c r="P4121" t="str">
        <f t="shared" si="599"/>
        <v>2100L</v>
      </c>
      <c r="Q4121" t="str">
        <f t="shared" si="598"/>
        <v>0101</v>
      </c>
      <c r="R4121">
        <v>2100</v>
      </c>
      <c r="S4121" t="str">
        <f t="shared" si="596"/>
        <v>6410</v>
      </c>
      <c r="T4121" t="s">
        <v>3972</v>
      </c>
      <c r="U4121" t="s">
        <v>148</v>
      </c>
    </row>
    <row r="4122" spans="1:21" ht="15" customHeight="1" x14ac:dyDescent="0.3">
      <c r="A4122" t="s">
        <v>179</v>
      </c>
      <c r="B4122" t="str">
        <f>"00076108"</f>
        <v>00076108</v>
      </c>
      <c r="C4122" t="s">
        <v>4614</v>
      </c>
      <c r="D4122" t="s">
        <v>4228</v>
      </c>
      <c r="E4122" t="str">
        <f>"00062987"</f>
        <v>00062987</v>
      </c>
      <c r="F4122">
        <v>0</v>
      </c>
      <c r="G4122" s="243">
        <v>40406</v>
      </c>
      <c r="H4122" t="s">
        <v>182</v>
      </c>
      <c r="I4122">
        <v>7</v>
      </c>
      <c r="J4122">
        <v>10</v>
      </c>
      <c r="K4122">
        <v>1</v>
      </c>
      <c r="L4122">
        <v>44837</v>
      </c>
      <c r="M4122" t="str">
        <f t="shared" si="597"/>
        <v>13</v>
      </c>
      <c r="N4122" t="s">
        <v>3370</v>
      </c>
      <c r="O4122" t="str">
        <f t="shared" si="595"/>
        <v>64111</v>
      </c>
      <c r="P4122" t="str">
        <f t="shared" si="599"/>
        <v>2100L</v>
      </c>
      <c r="Q4122" t="str">
        <f t="shared" si="598"/>
        <v>0101</v>
      </c>
      <c r="R4122">
        <v>2100</v>
      </c>
      <c r="S4122" t="str">
        <f t="shared" si="596"/>
        <v>6410</v>
      </c>
      <c r="T4122" t="s">
        <v>3972</v>
      </c>
      <c r="U4122" t="s">
        <v>148</v>
      </c>
    </row>
    <row r="4123" spans="1:21" ht="15" customHeight="1" x14ac:dyDescent="0.3">
      <c r="A4123" t="s">
        <v>179</v>
      </c>
      <c r="B4123" t="str">
        <f>"00076109"</f>
        <v>00076109</v>
      </c>
      <c r="C4123" t="s">
        <v>4998</v>
      </c>
      <c r="H4123" t="s">
        <v>170</v>
      </c>
      <c r="I4123">
        <v>15</v>
      </c>
      <c r="J4123">
        <v>0</v>
      </c>
      <c r="K4123">
        <v>0.5</v>
      </c>
      <c r="L4123">
        <v>51539</v>
      </c>
      <c r="M4123" t="str">
        <f t="shared" si="597"/>
        <v>13</v>
      </c>
      <c r="N4123" t="s">
        <v>3370</v>
      </c>
      <c r="O4123" t="str">
        <f t="shared" si="595"/>
        <v>64111</v>
      </c>
      <c r="P4123" t="str">
        <f t="shared" si="599"/>
        <v>2100L</v>
      </c>
      <c r="Q4123" t="str">
        <f t="shared" si="598"/>
        <v>0101</v>
      </c>
      <c r="R4123">
        <v>2100</v>
      </c>
      <c r="S4123" t="str">
        <f t="shared" si="596"/>
        <v>6410</v>
      </c>
      <c r="T4123" t="s">
        <v>3848</v>
      </c>
      <c r="U4123" t="s">
        <v>148</v>
      </c>
    </row>
    <row r="4124" spans="1:21" ht="15" customHeight="1" x14ac:dyDescent="0.3">
      <c r="A4124" t="s">
        <v>179</v>
      </c>
      <c r="B4124" t="str">
        <f>"00076110"</f>
        <v>00076110</v>
      </c>
      <c r="C4124" t="s">
        <v>4998</v>
      </c>
      <c r="H4124" t="s">
        <v>170</v>
      </c>
      <c r="I4124">
        <v>15</v>
      </c>
      <c r="J4124">
        <v>0</v>
      </c>
      <c r="K4124">
        <v>0.5</v>
      </c>
      <c r="L4124">
        <v>51539</v>
      </c>
      <c r="M4124" t="str">
        <f t="shared" si="597"/>
        <v>13</v>
      </c>
      <c r="N4124" t="s">
        <v>3370</v>
      </c>
      <c r="O4124" t="str">
        <f t="shared" si="595"/>
        <v>64111</v>
      </c>
      <c r="P4124" t="str">
        <f t="shared" si="599"/>
        <v>2100L</v>
      </c>
      <c r="Q4124" t="str">
        <f t="shared" si="598"/>
        <v>0101</v>
      </c>
      <c r="R4124">
        <v>2100</v>
      </c>
      <c r="S4124" t="str">
        <f t="shared" si="596"/>
        <v>6410</v>
      </c>
      <c r="T4124" t="s">
        <v>3848</v>
      </c>
      <c r="U4124" t="s">
        <v>148</v>
      </c>
    </row>
    <row r="4125" spans="1:21" ht="15" customHeight="1" x14ac:dyDescent="0.3">
      <c r="A4125" t="s">
        <v>179</v>
      </c>
      <c r="B4125" t="str">
        <f>"00076112"</f>
        <v>00076112</v>
      </c>
      <c r="C4125" t="s">
        <v>4518</v>
      </c>
      <c r="H4125" t="s">
        <v>170</v>
      </c>
      <c r="I4125">
        <v>10</v>
      </c>
      <c r="J4125">
        <v>0</v>
      </c>
      <c r="K4125">
        <v>1</v>
      </c>
      <c r="L4125">
        <v>62794</v>
      </c>
      <c r="M4125" t="str">
        <f t="shared" si="597"/>
        <v>13</v>
      </c>
      <c r="N4125" t="s">
        <v>3370</v>
      </c>
      <c r="O4125" t="str">
        <f t="shared" si="595"/>
        <v>64111</v>
      </c>
      <c r="P4125" t="str">
        <f t="shared" si="599"/>
        <v>2100L</v>
      </c>
      <c r="Q4125" t="str">
        <f t="shared" si="598"/>
        <v>0101</v>
      </c>
      <c r="R4125">
        <v>2100</v>
      </c>
      <c r="S4125" t="str">
        <f t="shared" si="596"/>
        <v>6410</v>
      </c>
      <c r="T4125" t="s">
        <v>3848</v>
      </c>
      <c r="U4125" t="s">
        <v>148</v>
      </c>
    </row>
    <row r="4126" spans="1:21" ht="15" customHeight="1" x14ac:dyDescent="0.3">
      <c r="A4126" t="s">
        <v>179</v>
      </c>
      <c r="B4126" t="str">
        <f>"00076113"</f>
        <v>00076113</v>
      </c>
      <c r="C4126" t="s">
        <v>4253</v>
      </c>
      <c r="D4126" t="s">
        <v>5552</v>
      </c>
      <c r="E4126" t="str">
        <f>"00069582"</f>
        <v>00069582</v>
      </c>
      <c r="F4126">
        <v>0</v>
      </c>
      <c r="G4126" s="243">
        <v>41133</v>
      </c>
      <c r="H4126" t="s">
        <v>182</v>
      </c>
      <c r="I4126">
        <v>15</v>
      </c>
      <c r="J4126">
        <v>10</v>
      </c>
      <c r="K4126">
        <v>1</v>
      </c>
      <c r="L4126">
        <v>68431</v>
      </c>
      <c r="M4126" t="str">
        <f t="shared" si="597"/>
        <v>13</v>
      </c>
      <c r="N4126" t="s">
        <v>3370</v>
      </c>
      <c r="O4126" t="str">
        <f t="shared" si="595"/>
        <v>64111</v>
      </c>
      <c r="P4126" t="str">
        <f t="shared" si="599"/>
        <v>2100L</v>
      </c>
      <c r="Q4126" t="str">
        <f t="shared" si="598"/>
        <v>0101</v>
      </c>
      <c r="R4126">
        <v>2100</v>
      </c>
      <c r="S4126" t="str">
        <f t="shared" si="596"/>
        <v>6410</v>
      </c>
      <c r="T4126" t="s">
        <v>3848</v>
      </c>
      <c r="U4126" t="s">
        <v>148</v>
      </c>
    </row>
    <row r="4127" spans="1:21" ht="15" customHeight="1" x14ac:dyDescent="0.3">
      <c r="A4127" t="s">
        <v>179</v>
      </c>
      <c r="B4127" t="str">
        <f>"00076114"</f>
        <v>00076114</v>
      </c>
      <c r="C4127" t="s">
        <v>4253</v>
      </c>
      <c r="H4127" t="s">
        <v>170</v>
      </c>
      <c r="I4127">
        <v>15</v>
      </c>
      <c r="J4127">
        <v>0</v>
      </c>
      <c r="K4127">
        <v>1</v>
      </c>
      <c r="L4127">
        <v>51539</v>
      </c>
      <c r="M4127" t="str">
        <f t="shared" si="597"/>
        <v>13</v>
      </c>
      <c r="N4127" t="s">
        <v>3370</v>
      </c>
      <c r="O4127" t="str">
        <f t="shared" si="595"/>
        <v>64111</v>
      </c>
      <c r="P4127" t="str">
        <f t="shared" si="599"/>
        <v>2100L</v>
      </c>
      <c r="Q4127" t="str">
        <f t="shared" si="598"/>
        <v>0101</v>
      </c>
      <c r="R4127">
        <v>2100</v>
      </c>
      <c r="S4127" t="str">
        <f t="shared" si="596"/>
        <v>6410</v>
      </c>
      <c r="T4127" t="s">
        <v>3848</v>
      </c>
      <c r="U4127" t="s">
        <v>148</v>
      </c>
    </row>
    <row r="4128" spans="1:21" ht="15" customHeight="1" x14ac:dyDescent="0.3">
      <c r="A4128" t="s">
        <v>179</v>
      </c>
      <c r="B4128" t="str">
        <f>"00076521"</f>
        <v>00076521</v>
      </c>
      <c r="C4128" t="s">
        <v>4290</v>
      </c>
      <c r="D4128" t="s">
        <v>5553</v>
      </c>
      <c r="E4128" t="str">
        <f>"00069589"</f>
        <v>00069589</v>
      </c>
      <c r="F4128">
        <v>0</v>
      </c>
      <c r="G4128" s="243">
        <v>41133</v>
      </c>
      <c r="H4128" t="s">
        <v>182</v>
      </c>
      <c r="I4128">
        <v>4</v>
      </c>
      <c r="J4128">
        <v>8</v>
      </c>
      <c r="K4128">
        <v>0.71</v>
      </c>
      <c r="L4128">
        <v>27329.75</v>
      </c>
      <c r="M4128" t="str">
        <f t="shared" si="597"/>
        <v>13</v>
      </c>
      <c r="N4128" t="s">
        <v>3370</v>
      </c>
      <c r="O4128" t="str">
        <f t="shared" si="595"/>
        <v>64111</v>
      </c>
      <c r="P4128" t="str">
        <f>"3030L"</f>
        <v>3030L</v>
      </c>
      <c r="Q4128" t="str">
        <f t="shared" si="598"/>
        <v>0101</v>
      </c>
      <c r="R4128">
        <v>3030</v>
      </c>
      <c r="S4128" t="str">
        <f t="shared" si="596"/>
        <v>6410</v>
      </c>
      <c r="T4128" t="s">
        <v>3972</v>
      </c>
      <c r="U4128" t="s">
        <v>148</v>
      </c>
    </row>
    <row r="4129" spans="1:21" ht="15" customHeight="1" x14ac:dyDescent="0.3">
      <c r="A4129" t="s">
        <v>179</v>
      </c>
      <c r="B4129" t="str">
        <f>"00076522"</f>
        <v>00076522</v>
      </c>
      <c r="C4129" t="s">
        <v>4253</v>
      </c>
      <c r="H4129" t="s">
        <v>170</v>
      </c>
      <c r="I4129">
        <v>15</v>
      </c>
      <c r="J4129">
        <v>0</v>
      </c>
      <c r="K4129">
        <v>1</v>
      </c>
      <c r="L4129">
        <v>51539</v>
      </c>
      <c r="M4129" t="str">
        <f t="shared" si="597"/>
        <v>13</v>
      </c>
      <c r="N4129" t="s">
        <v>3370</v>
      </c>
      <c r="O4129" t="str">
        <f t="shared" si="595"/>
        <v>64111</v>
      </c>
      <c r="P4129" t="str">
        <f>"3030L"</f>
        <v>3030L</v>
      </c>
      <c r="Q4129" t="str">
        <f t="shared" si="598"/>
        <v>0101</v>
      </c>
      <c r="R4129">
        <v>3030</v>
      </c>
      <c r="S4129" t="str">
        <f t="shared" si="596"/>
        <v>6410</v>
      </c>
      <c r="T4129" t="s">
        <v>3848</v>
      </c>
      <c r="U4129" t="s">
        <v>148</v>
      </c>
    </row>
    <row r="4130" spans="1:21" ht="15" customHeight="1" x14ac:dyDescent="0.3">
      <c r="A4130" t="s">
        <v>179</v>
      </c>
      <c r="B4130" t="str">
        <f>"00076822"</f>
        <v>00076822</v>
      </c>
      <c r="C4130" t="s">
        <v>5554</v>
      </c>
      <c r="D4130" t="s">
        <v>5555</v>
      </c>
      <c r="E4130" t="str">
        <f>"00070103"</f>
        <v>00070103</v>
      </c>
      <c r="F4130">
        <v>0</v>
      </c>
      <c r="G4130" s="243">
        <v>41133</v>
      </c>
      <c r="H4130" t="s">
        <v>182</v>
      </c>
      <c r="I4130">
        <v>15</v>
      </c>
      <c r="J4130">
        <v>2</v>
      </c>
      <c r="K4130">
        <v>0.5</v>
      </c>
      <c r="L4130">
        <v>30933</v>
      </c>
      <c r="M4130" t="str">
        <f t="shared" si="597"/>
        <v>13</v>
      </c>
      <c r="N4130" t="s">
        <v>3370</v>
      </c>
      <c r="O4130" t="str">
        <f t="shared" si="595"/>
        <v>64111</v>
      </c>
      <c r="P4130" t="str">
        <f>"2100L"</f>
        <v>2100L</v>
      </c>
      <c r="Q4130" t="str">
        <f t="shared" si="598"/>
        <v>0101</v>
      </c>
      <c r="R4130">
        <v>2100</v>
      </c>
      <c r="S4130" t="str">
        <f t="shared" si="596"/>
        <v>6410</v>
      </c>
      <c r="T4130" t="s">
        <v>3848</v>
      </c>
      <c r="U4130" t="s">
        <v>148</v>
      </c>
    </row>
    <row r="4131" spans="1:21" ht="15" customHeight="1" x14ac:dyDescent="0.3">
      <c r="A4131" t="s">
        <v>179</v>
      </c>
      <c r="B4131" t="str">
        <f>"00076833"</f>
        <v>00076833</v>
      </c>
      <c r="C4131" t="s">
        <v>4253</v>
      </c>
      <c r="D4131" t="s">
        <v>5556</v>
      </c>
      <c r="E4131" t="str">
        <f>"00070092"</f>
        <v>00070092</v>
      </c>
      <c r="F4131">
        <v>0</v>
      </c>
      <c r="G4131" s="243">
        <v>41134</v>
      </c>
      <c r="H4131" t="s">
        <v>182</v>
      </c>
      <c r="I4131">
        <v>15</v>
      </c>
      <c r="J4131">
        <v>2</v>
      </c>
      <c r="K4131">
        <v>1</v>
      </c>
      <c r="L4131">
        <v>56242</v>
      </c>
      <c r="M4131" t="str">
        <f t="shared" si="597"/>
        <v>13</v>
      </c>
      <c r="N4131" t="s">
        <v>3370</v>
      </c>
      <c r="O4131" t="str">
        <f t="shared" si="595"/>
        <v>64111</v>
      </c>
      <c r="P4131" t="str">
        <f>"3030L"</f>
        <v>3030L</v>
      </c>
      <c r="Q4131" t="str">
        <f t="shared" si="598"/>
        <v>0101</v>
      </c>
      <c r="R4131">
        <v>3030</v>
      </c>
      <c r="S4131" t="str">
        <f t="shared" si="596"/>
        <v>6410</v>
      </c>
      <c r="T4131" t="s">
        <v>3848</v>
      </c>
      <c r="U4131" t="s">
        <v>148</v>
      </c>
    </row>
    <row r="4132" spans="1:21" ht="15" customHeight="1" x14ac:dyDescent="0.3">
      <c r="A4132" t="s">
        <v>179</v>
      </c>
      <c r="B4132" t="str">
        <f>"00051551"</f>
        <v>00051551</v>
      </c>
      <c r="C4132" t="s">
        <v>4253</v>
      </c>
      <c r="D4132" t="s">
        <v>5557</v>
      </c>
      <c r="E4132" t="str">
        <f>"00070120"</f>
        <v>00070120</v>
      </c>
      <c r="F4132">
        <v>0</v>
      </c>
      <c r="G4132" s="243">
        <v>41133</v>
      </c>
      <c r="H4132" t="s">
        <v>182</v>
      </c>
      <c r="I4132">
        <v>15</v>
      </c>
      <c r="J4132">
        <v>1</v>
      </c>
      <c r="K4132">
        <v>1</v>
      </c>
      <c r="L4132">
        <v>51539</v>
      </c>
      <c r="M4132" t="str">
        <f t="shared" si="597"/>
        <v>13</v>
      </c>
      <c r="N4132" t="s">
        <v>3370</v>
      </c>
      <c r="O4132" t="str">
        <f t="shared" ref="O4132:O4172" si="600">"64211"</f>
        <v>64211</v>
      </c>
      <c r="P4132" t="str">
        <f>"2100L"</f>
        <v>2100L</v>
      </c>
      <c r="Q4132" t="str">
        <f t="shared" si="598"/>
        <v>0101</v>
      </c>
      <c r="R4132">
        <v>2100</v>
      </c>
      <c r="S4132" t="str">
        <f t="shared" ref="S4132:S4172" si="601">"6420"</f>
        <v>6420</v>
      </c>
      <c r="T4132" t="s">
        <v>3847</v>
      </c>
      <c r="U4132" t="s">
        <v>149</v>
      </c>
    </row>
    <row r="4133" spans="1:21" ht="15" customHeight="1" x14ac:dyDescent="0.3">
      <c r="A4133" t="s">
        <v>179</v>
      </c>
      <c r="B4133" t="str">
        <f>"00051632"</f>
        <v>00051632</v>
      </c>
      <c r="C4133" t="s">
        <v>4253</v>
      </c>
      <c r="D4133" t="s">
        <v>5558</v>
      </c>
      <c r="E4133" t="str">
        <f>"00069537"</f>
        <v>00069537</v>
      </c>
      <c r="F4133">
        <v>0</v>
      </c>
      <c r="G4133" s="243">
        <v>41133</v>
      </c>
      <c r="H4133" t="s">
        <v>182</v>
      </c>
      <c r="I4133">
        <v>15</v>
      </c>
      <c r="J4133">
        <v>10</v>
      </c>
      <c r="K4133">
        <v>1</v>
      </c>
      <c r="L4133">
        <v>78273</v>
      </c>
      <c r="M4133" t="str">
        <f t="shared" si="597"/>
        <v>13</v>
      </c>
      <c r="N4133" t="s">
        <v>3323</v>
      </c>
      <c r="O4133" t="str">
        <f t="shared" si="600"/>
        <v>64211</v>
      </c>
      <c r="P4133" t="str">
        <f>"2100L"</f>
        <v>2100L</v>
      </c>
      <c r="Q4133" t="str">
        <f t="shared" si="598"/>
        <v>0101</v>
      </c>
      <c r="R4133">
        <v>2100</v>
      </c>
      <c r="S4133" t="str">
        <f t="shared" si="601"/>
        <v>6420</v>
      </c>
      <c r="T4133" t="s">
        <v>3847</v>
      </c>
      <c r="U4133" t="s">
        <v>149</v>
      </c>
    </row>
    <row r="4134" spans="1:21" ht="15" customHeight="1" x14ac:dyDescent="0.3">
      <c r="A4134" t="s">
        <v>179</v>
      </c>
      <c r="B4134" t="str">
        <f>"00052082"</f>
        <v>00052082</v>
      </c>
      <c r="C4134" t="s">
        <v>4367</v>
      </c>
      <c r="D4134" t="s">
        <v>5559</v>
      </c>
      <c r="E4134" t="str">
        <f>"00054870"</f>
        <v>00054870</v>
      </c>
      <c r="F4134">
        <v>0</v>
      </c>
      <c r="G4134" s="243">
        <v>36397</v>
      </c>
      <c r="H4134" t="s">
        <v>182</v>
      </c>
      <c r="I4134">
        <v>9</v>
      </c>
      <c r="J4134">
        <v>3</v>
      </c>
      <c r="K4134">
        <v>1</v>
      </c>
      <c r="L4134">
        <v>39125</v>
      </c>
      <c r="M4134" t="str">
        <f t="shared" si="597"/>
        <v>13</v>
      </c>
      <c r="N4134" t="s">
        <v>3323</v>
      </c>
      <c r="O4134" t="str">
        <f t="shared" si="600"/>
        <v>64211</v>
      </c>
      <c r="P4134" t="str">
        <f>"2100L"</f>
        <v>2100L</v>
      </c>
      <c r="Q4134" t="str">
        <f t="shared" si="598"/>
        <v>0101</v>
      </c>
      <c r="R4134">
        <v>2100</v>
      </c>
      <c r="S4134" t="str">
        <f t="shared" si="601"/>
        <v>6420</v>
      </c>
      <c r="T4134" t="s">
        <v>3847</v>
      </c>
      <c r="U4134" t="s">
        <v>149</v>
      </c>
    </row>
    <row r="4135" spans="1:21" ht="15" customHeight="1" x14ac:dyDescent="0.3">
      <c r="A4135" t="s">
        <v>179</v>
      </c>
      <c r="B4135" t="str">
        <f>"00052456"</f>
        <v>00052456</v>
      </c>
      <c r="C4135" t="s">
        <v>5463</v>
      </c>
      <c r="H4135" t="s">
        <v>170</v>
      </c>
      <c r="I4135">
        <v>15</v>
      </c>
      <c r="J4135">
        <v>1</v>
      </c>
      <c r="K4135">
        <v>1</v>
      </c>
      <c r="L4135">
        <v>54975</v>
      </c>
      <c r="M4135" t="str">
        <f t="shared" si="597"/>
        <v>13</v>
      </c>
      <c r="N4135" t="s">
        <v>3323</v>
      </c>
      <c r="O4135" t="str">
        <f t="shared" si="600"/>
        <v>64211</v>
      </c>
      <c r="P4135" t="str">
        <f>"2100L"</f>
        <v>2100L</v>
      </c>
      <c r="Q4135" t="str">
        <f t="shared" si="598"/>
        <v>0101</v>
      </c>
      <c r="R4135">
        <v>2100</v>
      </c>
      <c r="S4135" t="str">
        <f t="shared" si="601"/>
        <v>6420</v>
      </c>
      <c r="T4135" t="s">
        <v>3847</v>
      </c>
      <c r="U4135" t="s">
        <v>149</v>
      </c>
    </row>
    <row r="4136" spans="1:21" ht="15" customHeight="1" x14ac:dyDescent="0.3">
      <c r="A4136" t="s">
        <v>179</v>
      </c>
      <c r="B4136" t="str">
        <f>"00052815"</f>
        <v>00052815</v>
      </c>
      <c r="C4136" t="s">
        <v>3670</v>
      </c>
      <c r="D4136" t="s">
        <v>1303</v>
      </c>
      <c r="E4136" t="str">
        <f>"00054796"</f>
        <v>00054796</v>
      </c>
      <c r="F4136">
        <v>0</v>
      </c>
      <c r="G4136" s="243">
        <v>31535</v>
      </c>
      <c r="H4136" t="s">
        <v>182</v>
      </c>
      <c r="I4136">
        <v>8</v>
      </c>
      <c r="J4136">
        <v>4</v>
      </c>
      <c r="K4136">
        <v>1</v>
      </c>
      <c r="L4136">
        <v>89645</v>
      </c>
      <c r="M4136" t="str">
        <f t="shared" si="597"/>
        <v>13</v>
      </c>
      <c r="N4136" t="s">
        <v>3323</v>
      </c>
      <c r="O4136" t="str">
        <f t="shared" si="600"/>
        <v>64211</v>
      </c>
      <c r="P4136" t="str">
        <f>"1501L"</f>
        <v>1501L</v>
      </c>
      <c r="Q4136" t="str">
        <f t="shared" si="598"/>
        <v>0101</v>
      </c>
      <c r="R4136">
        <v>1501</v>
      </c>
      <c r="S4136" t="str">
        <f t="shared" si="601"/>
        <v>6420</v>
      </c>
      <c r="T4136" t="s">
        <v>3847</v>
      </c>
      <c r="U4136" t="s">
        <v>149</v>
      </c>
    </row>
    <row r="4137" spans="1:21" ht="15" customHeight="1" x14ac:dyDescent="0.3">
      <c r="A4137" t="s">
        <v>179</v>
      </c>
      <c r="B4137" t="str">
        <f>"00053466"</f>
        <v>00053466</v>
      </c>
      <c r="C4137" t="s">
        <v>3798</v>
      </c>
      <c r="D4137" t="s">
        <v>3928</v>
      </c>
      <c r="E4137" t="str">
        <f>"00065560"</f>
        <v>00065560</v>
      </c>
      <c r="F4137">
        <v>0</v>
      </c>
      <c r="G4137" s="243">
        <v>40749</v>
      </c>
      <c r="H4137" t="s">
        <v>182</v>
      </c>
      <c r="I4137">
        <v>63</v>
      </c>
      <c r="J4137">
        <v>3</v>
      </c>
      <c r="K4137">
        <v>1</v>
      </c>
      <c r="L4137">
        <v>116000</v>
      </c>
      <c r="M4137" t="str">
        <f t="shared" si="597"/>
        <v>13</v>
      </c>
      <c r="N4137" t="s">
        <v>3370</v>
      </c>
      <c r="O4137" t="str">
        <f t="shared" si="600"/>
        <v>64211</v>
      </c>
      <c r="P4137" t="str">
        <f>"1501L"</f>
        <v>1501L</v>
      </c>
      <c r="Q4137" t="str">
        <f t="shared" si="598"/>
        <v>0101</v>
      </c>
      <c r="R4137">
        <v>1501</v>
      </c>
      <c r="S4137" t="str">
        <f t="shared" si="601"/>
        <v>6420</v>
      </c>
      <c r="T4137" t="s">
        <v>3847</v>
      </c>
      <c r="U4137" t="s">
        <v>149</v>
      </c>
    </row>
    <row r="4138" spans="1:21" ht="15" customHeight="1" x14ac:dyDescent="0.3">
      <c r="A4138" t="s">
        <v>179</v>
      </c>
      <c r="B4138" t="str">
        <f>"00053971"</f>
        <v>00053971</v>
      </c>
      <c r="C4138" t="s">
        <v>4260</v>
      </c>
      <c r="D4138" t="s">
        <v>1304</v>
      </c>
      <c r="E4138" t="str">
        <f>"00052815"</f>
        <v>00052815</v>
      </c>
      <c r="F4138">
        <v>0</v>
      </c>
      <c r="G4138" s="243">
        <v>33679</v>
      </c>
      <c r="H4138" t="s">
        <v>182</v>
      </c>
      <c r="I4138">
        <v>15</v>
      </c>
      <c r="J4138">
        <v>16</v>
      </c>
      <c r="K4138">
        <v>1</v>
      </c>
      <c r="L4138">
        <v>103347</v>
      </c>
      <c r="M4138" t="str">
        <f t="shared" si="597"/>
        <v>13</v>
      </c>
      <c r="N4138" t="s">
        <v>3323</v>
      </c>
      <c r="O4138" t="str">
        <f t="shared" si="600"/>
        <v>64211</v>
      </c>
      <c r="P4138" t="str">
        <f>"2100L"</f>
        <v>2100L</v>
      </c>
      <c r="Q4138" t="str">
        <f t="shared" si="598"/>
        <v>0101</v>
      </c>
      <c r="R4138">
        <v>2100</v>
      </c>
      <c r="S4138" t="str">
        <f t="shared" si="601"/>
        <v>6420</v>
      </c>
      <c r="T4138" t="s">
        <v>3847</v>
      </c>
      <c r="U4138" t="s">
        <v>149</v>
      </c>
    </row>
    <row r="4139" spans="1:21" ht="15" customHeight="1" x14ac:dyDescent="0.3">
      <c r="A4139" t="s">
        <v>179</v>
      </c>
      <c r="B4139" t="str">
        <f>"00054128"</f>
        <v>00054128</v>
      </c>
      <c r="C4139" t="s">
        <v>4253</v>
      </c>
      <c r="D4139" t="s">
        <v>4243</v>
      </c>
      <c r="E4139" t="str">
        <f>"00048313"</f>
        <v>00048313</v>
      </c>
      <c r="F4139">
        <v>0</v>
      </c>
      <c r="G4139" s="243">
        <v>32050</v>
      </c>
      <c r="H4139" t="s">
        <v>182</v>
      </c>
      <c r="I4139">
        <v>15</v>
      </c>
      <c r="J4139">
        <v>16</v>
      </c>
      <c r="K4139">
        <v>1</v>
      </c>
      <c r="L4139">
        <v>100839</v>
      </c>
      <c r="M4139" t="str">
        <f t="shared" si="597"/>
        <v>13</v>
      </c>
      <c r="N4139" t="s">
        <v>3323</v>
      </c>
      <c r="O4139" t="str">
        <f t="shared" si="600"/>
        <v>64211</v>
      </c>
      <c r="P4139" t="str">
        <f>"2100L"</f>
        <v>2100L</v>
      </c>
      <c r="Q4139" t="str">
        <f t="shared" si="598"/>
        <v>0101</v>
      </c>
      <c r="R4139">
        <v>2100</v>
      </c>
      <c r="S4139" t="str">
        <f t="shared" si="601"/>
        <v>6420</v>
      </c>
      <c r="T4139" t="s">
        <v>3847</v>
      </c>
      <c r="U4139" t="s">
        <v>149</v>
      </c>
    </row>
    <row r="4140" spans="1:21" ht="15" customHeight="1" x14ac:dyDescent="0.3">
      <c r="A4140" t="s">
        <v>179</v>
      </c>
      <c r="B4140" t="str">
        <f>"00054496"</f>
        <v>00054496</v>
      </c>
      <c r="C4140" t="s">
        <v>4253</v>
      </c>
      <c r="D4140" t="s">
        <v>5560</v>
      </c>
      <c r="E4140" t="str">
        <f>"00047108"</f>
        <v>00047108</v>
      </c>
      <c r="F4140">
        <v>0</v>
      </c>
      <c r="G4140" s="243">
        <v>41133</v>
      </c>
      <c r="H4140" t="s">
        <v>182</v>
      </c>
      <c r="I4140">
        <v>15</v>
      </c>
      <c r="J4140">
        <v>5</v>
      </c>
      <c r="K4140">
        <v>1</v>
      </c>
      <c r="L4140">
        <v>56655</v>
      </c>
      <c r="M4140" t="str">
        <f t="shared" si="597"/>
        <v>13</v>
      </c>
      <c r="N4140" t="s">
        <v>3370</v>
      </c>
      <c r="O4140" t="str">
        <f t="shared" si="600"/>
        <v>64211</v>
      </c>
      <c r="P4140" t="str">
        <f>"2100L"</f>
        <v>2100L</v>
      </c>
      <c r="Q4140" t="str">
        <f t="shared" si="598"/>
        <v>0101</v>
      </c>
      <c r="R4140">
        <v>2100</v>
      </c>
      <c r="S4140" t="str">
        <f t="shared" si="601"/>
        <v>6420</v>
      </c>
      <c r="T4140" t="s">
        <v>3847</v>
      </c>
      <c r="U4140" t="s">
        <v>149</v>
      </c>
    </row>
    <row r="4141" spans="1:21" ht="15" customHeight="1" x14ac:dyDescent="0.3">
      <c r="A4141" t="s">
        <v>179</v>
      </c>
      <c r="B4141" t="str">
        <f>"00055056"</f>
        <v>00055056</v>
      </c>
      <c r="C4141" t="s">
        <v>4260</v>
      </c>
      <c r="D4141" t="s">
        <v>1305</v>
      </c>
      <c r="E4141" t="str">
        <f>"00054226"</f>
        <v>00054226</v>
      </c>
      <c r="F4141">
        <v>0</v>
      </c>
      <c r="G4141" s="243">
        <v>32050</v>
      </c>
      <c r="H4141" t="s">
        <v>182</v>
      </c>
      <c r="I4141">
        <v>15</v>
      </c>
      <c r="J4141">
        <v>16</v>
      </c>
      <c r="K4141">
        <v>1</v>
      </c>
      <c r="L4141">
        <v>100839</v>
      </c>
      <c r="M4141" t="str">
        <f t="shared" si="597"/>
        <v>13</v>
      </c>
      <c r="N4141" t="s">
        <v>3323</v>
      </c>
      <c r="O4141" t="str">
        <f t="shared" si="600"/>
        <v>64211</v>
      </c>
      <c r="P4141" t="str">
        <f>"3030L"</f>
        <v>3030L</v>
      </c>
      <c r="Q4141" t="str">
        <f t="shared" si="598"/>
        <v>0101</v>
      </c>
      <c r="R4141">
        <v>3030</v>
      </c>
      <c r="S4141" t="str">
        <f t="shared" si="601"/>
        <v>6420</v>
      </c>
      <c r="T4141" t="s">
        <v>3847</v>
      </c>
      <c r="U4141" t="s">
        <v>149</v>
      </c>
    </row>
    <row r="4142" spans="1:21" ht="15" customHeight="1" x14ac:dyDescent="0.3">
      <c r="A4142" t="s">
        <v>179</v>
      </c>
      <c r="B4142" t="str">
        <f>"00057693"</f>
        <v>00057693</v>
      </c>
      <c r="C4142" t="s">
        <v>4253</v>
      </c>
      <c r="D4142" t="s">
        <v>1584</v>
      </c>
      <c r="E4142" t="str">
        <f>"00049620"</f>
        <v>00049620</v>
      </c>
      <c r="F4142">
        <v>0</v>
      </c>
      <c r="G4142" s="243">
        <v>34213</v>
      </c>
      <c r="H4142" t="s">
        <v>182</v>
      </c>
      <c r="I4142">
        <v>15</v>
      </c>
      <c r="J4142">
        <v>15</v>
      </c>
      <c r="K4142">
        <v>1</v>
      </c>
      <c r="L4142">
        <v>100792</v>
      </c>
      <c r="M4142" t="str">
        <f t="shared" si="597"/>
        <v>13</v>
      </c>
      <c r="N4142" t="s">
        <v>3370</v>
      </c>
      <c r="O4142" t="str">
        <f t="shared" si="600"/>
        <v>64211</v>
      </c>
      <c r="P4142" t="str">
        <f>"2100L"</f>
        <v>2100L</v>
      </c>
      <c r="Q4142" t="str">
        <f t="shared" si="598"/>
        <v>0101</v>
      </c>
      <c r="R4142">
        <v>2100</v>
      </c>
      <c r="S4142" t="str">
        <f t="shared" si="601"/>
        <v>6420</v>
      </c>
      <c r="T4142" t="s">
        <v>3847</v>
      </c>
      <c r="U4142" t="s">
        <v>149</v>
      </c>
    </row>
    <row r="4143" spans="1:21" ht="15" customHeight="1" x14ac:dyDescent="0.3">
      <c r="A4143" t="s">
        <v>179</v>
      </c>
      <c r="B4143" t="str">
        <f>"00058069"</f>
        <v>00058069</v>
      </c>
      <c r="C4143" t="s">
        <v>4260</v>
      </c>
      <c r="D4143" t="s">
        <v>5561</v>
      </c>
      <c r="E4143" t="str">
        <f>"00070000"</f>
        <v>00070000</v>
      </c>
      <c r="F4143">
        <v>0</v>
      </c>
      <c r="G4143" s="243">
        <v>41133</v>
      </c>
      <c r="H4143" t="s">
        <v>182</v>
      </c>
      <c r="I4143">
        <v>15</v>
      </c>
      <c r="J4143">
        <v>1</v>
      </c>
      <c r="K4143">
        <v>1</v>
      </c>
      <c r="L4143">
        <v>51539</v>
      </c>
      <c r="M4143" t="str">
        <f t="shared" si="597"/>
        <v>13</v>
      </c>
      <c r="N4143" t="s">
        <v>3370</v>
      </c>
      <c r="O4143" t="str">
        <f t="shared" si="600"/>
        <v>64211</v>
      </c>
      <c r="P4143" t="str">
        <f>"2100L"</f>
        <v>2100L</v>
      </c>
      <c r="Q4143" t="str">
        <f t="shared" si="598"/>
        <v>0101</v>
      </c>
      <c r="R4143">
        <v>2100</v>
      </c>
      <c r="S4143" t="str">
        <f t="shared" si="601"/>
        <v>6420</v>
      </c>
      <c r="T4143" t="s">
        <v>3847</v>
      </c>
      <c r="U4143" t="s">
        <v>149</v>
      </c>
    </row>
    <row r="4144" spans="1:21" ht="15" customHeight="1" x14ac:dyDescent="0.3">
      <c r="A4144" t="s">
        <v>179</v>
      </c>
      <c r="B4144" t="str">
        <f>"00058168"</f>
        <v>00058168</v>
      </c>
      <c r="C4144" t="s">
        <v>4262</v>
      </c>
      <c r="D4144" t="s">
        <v>1308</v>
      </c>
      <c r="E4144" t="str">
        <f>"00051994"</f>
        <v>00051994</v>
      </c>
      <c r="F4144">
        <v>0</v>
      </c>
      <c r="G4144" s="243">
        <v>37124</v>
      </c>
      <c r="H4144" t="s">
        <v>182</v>
      </c>
      <c r="I4144">
        <v>15</v>
      </c>
      <c r="J4144">
        <v>10</v>
      </c>
      <c r="K4144">
        <v>1</v>
      </c>
      <c r="L4144">
        <v>78273</v>
      </c>
      <c r="M4144" t="str">
        <f t="shared" si="597"/>
        <v>13</v>
      </c>
      <c r="N4144" t="s">
        <v>3323</v>
      </c>
      <c r="O4144" t="str">
        <f t="shared" si="600"/>
        <v>64211</v>
      </c>
      <c r="P4144" t="str">
        <f>"2100L"</f>
        <v>2100L</v>
      </c>
      <c r="Q4144" t="str">
        <f t="shared" si="598"/>
        <v>0101</v>
      </c>
      <c r="R4144">
        <v>2100</v>
      </c>
      <c r="S4144" t="str">
        <f t="shared" si="601"/>
        <v>6420</v>
      </c>
      <c r="T4144" t="s">
        <v>3847</v>
      </c>
      <c r="U4144" t="s">
        <v>149</v>
      </c>
    </row>
    <row r="4145" spans="1:21" ht="15" customHeight="1" x14ac:dyDescent="0.3">
      <c r="A4145" t="s">
        <v>179</v>
      </c>
      <c r="B4145" t="str">
        <f>"00059075"</f>
        <v>00059075</v>
      </c>
      <c r="C4145" t="s">
        <v>4262</v>
      </c>
      <c r="D4145" t="s">
        <v>5562</v>
      </c>
      <c r="E4145" t="str">
        <f>"00069925"</f>
        <v>00069925</v>
      </c>
      <c r="F4145">
        <v>0</v>
      </c>
      <c r="G4145" s="243">
        <v>41133</v>
      </c>
      <c r="H4145" t="s">
        <v>182</v>
      </c>
      <c r="I4145">
        <v>15</v>
      </c>
      <c r="J4145">
        <v>6</v>
      </c>
      <c r="K4145">
        <v>1</v>
      </c>
      <c r="L4145">
        <v>66078</v>
      </c>
      <c r="M4145" t="str">
        <f t="shared" si="597"/>
        <v>13</v>
      </c>
      <c r="N4145" t="s">
        <v>3370</v>
      </c>
      <c r="O4145" t="str">
        <f t="shared" si="600"/>
        <v>64211</v>
      </c>
      <c r="P4145" t="str">
        <f>"2100L"</f>
        <v>2100L</v>
      </c>
      <c r="Q4145" t="str">
        <f t="shared" si="598"/>
        <v>0101</v>
      </c>
      <c r="R4145">
        <v>2100</v>
      </c>
      <c r="S4145" t="str">
        <f t="shared" si="601"/>
        <v>6420</v>
      </c>
      <c r="T4145" t="s">
        <v>3847</v>
      </c>
      <c r="U4145" t="s">
        <v>149</v>
      </c>
    </row>
    <row r="4146" spans="1:21" ht="15" customHeight="1" x14ac:dyDescent="0.3">
      <c r="A4146" t="s">
        <v>179</v>
      </c>
      <c r="B4146" t="str">
        <f>"00066183"</f>
        <v>00066183</v>
      </c>
      <c r="C4146" t="s">
        <v>4290</v>
      </c>
      <c r="H4146" t="s">
        <v>170</v>
      </c>
      <c r="I4146">
        <v>4</v>
      </c>
      <c r="J4146">
        <v>1</v>
      </c>
      <c r="K4146">
        <v>1</v>
      </c>
      <c r="L4146">
        <v>25662</v>
      </c>
      <c r="M4146" t="str">
        <f t="shared" si="597"/>
        <v>13</v>
      </c>
      <c r="N4146" t="s">
        <v>3323</v>
      </c>
      <c r="O4146" t="str">
        <f t="shared" si="600"/>
        <v>64211</v>
      </c>
      <c r="P4146" t="str">
        <f>"3030L"</f>
        <v>3030L</v>
      </c>
      <c r="Q4146" t="str">
        <f t="shared" si="598"/>
        <v>0101</v>
      </c>
      <c r="R4146">
        <v>3030</v>
      </c>
      <c r="S4146" t="str">
        <f t="shared" si="601"/>
        <v>6420</v>
      </c>
      <c r="T4146" t="s">
        <v>3847</v>
      </c>
      <c r="U4146" t="s">
        <v>149</v>
      </c>
    </row>
    <row r="4147" spans="1:21" ht="15" customHeight="1" x14ac:dyDescent="0.3">
      <c r="A4147" t="s">
        <v>179</v>
      </c>
      <c r="B4147" t="str">
        <f>"00066492"</f>
        <v>00066492</v>
      </c>
      <c r="C4147" t="s">
        <v>4253</v>
      </c>
      <c r="D4147" t="s">
        <v>3929</v>
      </c>
      <c r="E4147" t="str">
        <f>"00065903"</f>
        <v>00065903</v>
      </c>
      <c r="F4147">
        <v>0</v>
      </c>
      <c r="G4147" s="243">
        <v>40755</v>
      </c>
      <c r="H4147" t="s">
        <v>182</v>
      </c>
      <c r="I4147">
        <v>15</v>
      </c>
      <c r="J4147">
        <v>4</v>
      </c>
      <c r="K4147">
        <v>1</v>
      </c>
      <c r="L4147">
        <v>61158</v>
      </c>
      <c r="M4147" t="str">
        <f t="shared" si="597"/>
        <v>13</v>
      </c>
      <c r="N4147" t="s">
        <v>3323</v>
      </c>
      <c r="O4147" t="str">
        <f t="shared" si="600"/>
        <v>64211</v>
      </c>
      <c r="P4147" t="str">
        <f>"2100L"</f>
        <v>2100L</v>
      </c>
      <c r="Q4147" t="str">
        <f t="shared" si="598"/>
        <v>0101</v>
      </c>
      <c r="R4147">
        <v>2100</v>
      </c>
      <c r="S4147" t="str">
        <f t="shared" si="601"/>
        <v>6420</v>
      </c>
      <c r="T4147" t="s">
        <v>3847</v>
      </c>
      <c r="U4147" t="s">
        <v>149</v>
      </c>
    </row>
    <row r="4148" spans="1:21" ht="15" customHeight="1" x14ac:dyDescent="0.3">
      <c r="A4148" t="s">
        <v>179</v>
      </c>
      <c r="B4148" t="str">
        <f>"00066495"</f>
        <v>00066495</v>
      </c>
      <c r="C4148" t="s">
        <v>4255</v>
      </c>
      <c r="H4148" t="s">
        <v>170</v>
      </c>
      <c r="I4148">
        <v>15</v>
      </c>
      <c r="J4148">
        <v>1</v>
      </c>
      <c r="K4148">
        <v>1</v>
      </c>
      <c r="L4148">
        <v>60128</v>
      </c>
      <c r="M4148" t="str">
        <f t="shared" si="597"/>
        <v>13</v>
      </c>
      <c r="N4148" t="s">
        <v>3323</v>
      </c>
      <c r="O4148" t="str">
        <f t="shared" si="600"/>
        <v>64211</v>
      </c>
      <c r="P4148" t="str">
        <f>"2100L"</f>
        <v>2100L</v>
      </c>
      <c r="Q4148" t="str">
        <f t="shared" si="598"/>
        <v>0101</v>
      </c>
      <c r="R4148">
        <v>2100</v>
      </c>
      <c r="S4148" t="str">
        <f t="shared" si="601"/>
        <v>6420</v>
      </c>
      <c r="T4148" t="s">
        <v>3847</v>
      </c>
      <c r="U4148" t="s">
        <v>149</v>
      </c>
    </row>
    <row r="4149" spans="1:21" ht="15" customHeight="1" x14ac:dyDescent="0.3">
      <c r="A4149" t="s">
        <v>179</v>
      </c>
      <c r="B4149" t="str">
        <f>"00066496"</f>
        <v>00066496</v>
      </c>
      <c r="C4149" t="s">
        <v>4260</v>
      </c>
      <c r="D4149" t="s">
        <v>1414</v>
      </c>
      <c r="E4149" t="str">
        <f>"00053322"</f>
        <v>00053322</v>
      </c>
      <c r="F4149">
        <v>0</v>
      </c>
      <c r="G4149" s="243">
        <v>38406</v>
      </c>
      <c r="H4149" t="s">
        <v>182</v>
      </c>
      <c r="I4149">
        <v>15</v>
      </c>
      <c r="J4149">
        <v>7</v>
      </c>
      <c r="K4149">
        <v>1</v>
      </c>
      <c r="L4149">
        <v>69132</v>
      </c>
      <c r="M4149" t="str">
        <f t="shared" si="597"/>
        <v>13</v>
      </c>
      <c r="N4149" t="s">
        <v>3323</v>
      </c>
      <c r="O4149" t="str">
        <f t="shared" si="600"/>
        <v>64211</v>
      </c>
      <c r="P4149" t="str">
        <f>"3030L"</f>
        <v>3030L</v>
      </c>
      <c r="Q4149" t="str">
        <f t="shared" si="598"/>
        <v>0101</v>
      </c>
      <c r="R4149">
        <v>3030</v>
      </c>
      <c r="S4149" t="str">
        <f t="shared" si="601"/>
        <v>6420</v>
      </c>
      <c r="T4149" t="s">
        <v>3847</v>
      </c>
      <c r="U4149" t="s">
        <v>149</v>
      </c>
    </row>
    <row r="4150" spans="1:21" ht="15" customHeight="1" x14ac:dyDescent="0.3">
      <c r="A4150" t="s">
        <v>179</v>
      </c>
      <c r="B4150" t="str">
        <f>"00066498"</f>
        <v>00066498</v>
      </c>
      <c r="C4150" t="s">
        <v>4260</v>
      </c>
      <c r="D4150" t="s">
        <v>1312</v>
      </c>
      <c r="E4150" t="str">
        <f>"00057642"</f>
        <v>00057642</v>
      </c>
      <c r="F4150">
        <v>0</v>
      </c>
      <c r="G4150" s="243">
        <v>40042</v>
      </c>
      <c r="H4150" t="s">
        <v>182</v>
      </c>
      <c r="I4150">
        <v>15</v>
      </c>
      <c r="J4150">
        <v>12</v>
      </c>
      <c r="K4150">
        <v>1</v>
      </c>
      <c r="L4150">
        <v>87431</v>
      </c>
      <c r="M4150" t="str">
        <f t="shared" ref="M4150:M4207" si="602">"13"</f>
        <v>13</v>
      </c>
      <c r="N4150" t="s">
        <v>3323</v>
      </c>
      <c r="O4150" t="str">
        <f t="shared" si="600"/>
        <v>64211</v>
      </c>
      <c r="P4150" t="str">
        <f>"3030L"</f>
        <v>3030L</v>
      </c>
      <c r="Q4150" t="str">
        <f t="shared" si="598"/>
        <v>0101</v>
      </c>
      <c r="R4150">
        <v>3030</v>
      </c>
      <c r="S4150" t="str">
        <f t="shared" si="601"/>
        <v>6420</v>
      </c>
      <c r="T4150" t="s">
        <v>3847</v>
      </c>
      <c r="U4150" t="s">
        <v>149</v>
      </c>
    </row>
    <row r="4151" spans="1:21" ht="15" customHeight="1" x14ac:dyDescent="0.3">
      <c r="A4151" t="s">
        <v>179</v>
      </c>
      <c r="B4151" t="str">
        <f>"00067474"</f>
        <v>00067474</v>
      </c>
      <c r="C4151" t="s">
        <v>4253</v>
      </c>
      <c r="D4151" t="s">
        <v>5563</v>
      </c>
      <c r="E4151" t="str">
        <f>"00069585"</f>
        <v>00069585</v>
      </c>
      <c r="F4151">
        <v>0</v>
      </c>
      <c r="G4151" s="243">
        <v>41133</v>
      </c>
      <c r="H4151" t="s">
        <v>182</v>
      </c>
      <c r="I4151">
        <v>15</v>
      </c>
      <c r="J4151">
        <v>1</v>
      </c>
      <c r="K4151">
        <v>1</v>
      </c>
      <c r="L4151">
        <v>51539</v>
      </c>
      <c r="M4151" t="str">
        <f t="shared" si="602"/>
        <v>13</v>
      </c>
      <c r="N4151" t="s">
        <v>3370</v>
      </c>
      <c r="O4151" t="str">
        <f t="shared" si="600"/>
        <v>64211</v>
      </c>
      <c r="P4151" t="str">
        <f>"2100L"</f>
        <v>2100L</v>
      </c>
      <c r="Q4151" t="str">
        <f t="shared" si="598"/>
        <v>0101</v>
      </c>
      <c r="R4151">
        <v>2100</v>
      </c>
      <c r="S4151" t="str">
        <f t="shared" si="601"/>
        <v>6420</v>
      </c>
      <c r="T4151" t="s">
        <v>3847</v>
      </c>
      <c r="U4151" t="s">
        <v>149</v>
      </c>
    </row>
    <row r="4152" spans="1:21" ht="15" customHeight="1" x14ac:dyDescent="0.3">
      <c r="A4152" t="s">
        <v>179</v>
      </c>
      <c r="B4152" t="str">
        <f>"00072877"</f>
        <v>00072877</v>
      </c>
      <c r="C4152" t="s">
        <v>5495</v>
      </c>
      <c r="D4152" t="s">
        <v>1314</v>
      </c>
      <c r="E4152" t="str">
        <f>"00062450"</f>
        <v>00062450</v>
      </c>
      <c r="F4152">
        <v>0</v>
      </c>
      <c r="G4152" s="243">
        <v>40392</v>
      </c>
      <c r="H4152" t="s">
        <v>182</v>
      </c>
      <c r="I4152">
        <v>8</v>
      </c>
      <c r="J4152">
        <v>6</v>
      </c>
      <c r="K4152">
        <v>1</v>
      </c>
      <c r="L4152">
        <v>94825</v>
      </c>
      <c r="M4152" t="str">
        <f t="shared" si="602"/>
        <v>13</v>
      </c>
      <c r="N4152" t="s">
        <v>3323</v>
      </c>
      <c r="O4152" t="str">
        <f t="shared" si="600"/>
        <v>64211</v>
      </c>
      <c r="P4152" t="str">
        <f>"1501L"</f>
        <v>1501L</v>
      </c>
      <c r="Q4152" t="str">
        <f t="shared" si="598"/>
        <v>0101</v>
      </c>
      <c r="R4152">
        <v>1501</v>
      </c>
      <c r="S4152" t="str">
        <f t="shared" si="601"/>
        <v>6420</v>
      </c>
      <c r="T4152" t="s">
        <v>3847</v>
      </c>
      <c r="U4152" t="s">
        <v>149</v>
      </c>
    </row>
    <row r="4153" spans="1:21" ht="15" customHeight="1" x14ac:dyDescent="0.3">
      <c r="A4153" t="s">
        <v>179</v>
      </c>
      <c r="B4153" t="str">
        <f>"00073852"</f>
        <v>00073852</v>
      </c>
      <c r="C4153" t="s">
        <v>4254</v>
      </c>
      <c r="D4153" t="s">
        <v>1315</v>
      </c>
      <c r="E4153" t="str">
        <f>"00029699"</f>
        <v>00029699</v>
      </c>
      <c r="F4153">
        <v>1</v>
      </c>
      <c r="G4153" s="243">
        <v>32979</v>
      </c>
      <c r="H4153" t="s">
        <v>182</v>
      </c>
      <c r="I4153">
        <v>15</v>
      </c>
      <c r="J4153">
        <v>15</v>
      </c>
      <c r="K4153">
        <v>1</v>
      </c>
      <c r="L4153">
        <v>98285</v>
      </c>
      <c r="M4153" t="str">
        <f t="shared" si="602"/>
        <v>13</v>
      </c>
      <c r="N4153" t="s">
        <v>3323</v>
      </c>
      <c r="O4153" t="str">
        <f t="shared" si="600"/>
        <v>64211</v>
      </c>
      <c r="P4153" t="str">
        <f>"2100L"</f>
        <v>2100L</v>
      </c>
      <c r="Q4153" t="str">
        <f t="shared" si="598"/>
        <v>0101</v>
      </c>
      <c r="R4153">
        <v>2100</v>
      </c>
      <c r="S4153" t="str">
        <f t="shared" si="601"/>
        <v>6420</v>
      </c>
      <c r="T4153" t="s">
        <v>3847</v>
      </c>
      <c r="U4153" t="s">
        <v>149</v>
      </c>
    </row>
    <row r="4154" spans="1:21" ht="15" customHeight="1" x14ac:dyDescent="0.3">
      <c r="A4154" t="s">
        <v>179</v>
      </c>
      <c r="B4154" t="str">
        <f>"00073853"</f>
        <v>00073853</v>
      </c>
      <c r="C4154" t="s">
        <v>4499</v>
      </c>
      <c r="D4154" t="s">
        <v>1570</v>
      </c>
      <c r="E4154" t="str">
        <f>"00049850"</f>
        <v>00049850</v>
      </c>
      <c r="F4154">
        <v>0</v>
      </c>
      <c r="G4154" s="243">
        <v>38307</v>
      </c>
      <c r="H4154" t="s">
        <v>182</v>
      </c>
      <c r="I4154">
        <v>10</v>
      </c>
      <c r="J4154">
        <v>3</v>
      </c>
      <c r="K4154">
        <v>0.5</v>
      </c>
      <c r="L4154">
        <v>67198</v>
      </c>
      <c r="M4154" t="str">
        <f t="shared" si="602"/>
        <v>13</v>
      </c>
      <c r="N4154" t="s">
        <v>3370</v>
      </c>
      <c r="O4154" t="str">
        <f t="shared" si="600"/>
        <v>64211</v>
      </c>
      <c r="P4154" t="str">
        <f>"3030L"</f>
        <v>3030L</v>
      </c>
      <c r="Q4154" t="str">
        <f t="shared" si="598"/>
        <v>0101</v>
      </c>
      <c r="R4154">
        <v>3030</v>
      </c>
      <c r="S4154" t="str">
        <f t="shared" si="601"/>
        <v>6420</v>
      </c>
      <c r="T4154" t="s">
        <v>3466</v>
      </c>
      <c r="U4154" t="s">
        <v>32</v>
      </c>
    </row>
    <row r="4155" spans="1:21" ht="15" customHeight="1" x14ac:dyDescent="0.3">
      <c r="A4155" t="s">
        <v>179</v>
      </c>
      <c r="B4155" t="str">
        <f>"00074007"</f>
        <v>00074007</v>
      </c>
      <c r="C4155" t="s">
        <v>4410</v>
      </c>
      <c r="H4155" t="s">
        <v>170</v>
      </c>
      <c r="I4155">
        <v>5</v>
      </c>
      <c r="J4155">
        <v>1</v>
      </c>
      <c r="K4155">
        <v>1</v>
      </c>
      <c r="L4155">
        <v>28486</v>
      </c>
      <c r="M4155" t="str">
        <f t="shared" si="602"/>
        <v>13</v>
      </c>
      <c r="N4155" t="s">
        <v>3323</v>
      </c>
      <c r="O4155" t="str">
        <f t="shared" si="600"/>
        <v>64211</v>
      </c>
      <c r="P4155" t="str">
        <f>"2100L"</f>
        <v>2100L</v>
      </c>
      <c r="Q4155" t="str">
        <f t="shared" si="598"/>
        <v>0101</v>
      </c>
      <c r="R4155">
        <v>2100</v>
      </c>
      <c r="S4155" t="str">
        <f t="shared" si="601"/>
        <v>6420</v>
      </c>
      <c r="T4155" t="s">
        <v>3847</v>
      </c>
      <c r="U4155" t="s">
        <v>149</v>
      </c>
    </row>
    <row r="4156" spans="1:21" ht="15" customHeight="1" x14ac:dyDescent="0.3">
      <c r="A4156" t="s">
        <v>179</v>
      </c>
      <c r="B4156" t="str">
        <f>"00074009"</f>
        <v>00074009</v>
      </c>
      <c r="C4156" t="s">
        <v>4267</v>
      </c>
      <c r="D4156" t="s">
        <v>2145</v>
      </c>
      <c r="E4156" t="str">
        <f>"00057475"</f>
        <v>00057475</v>
      </c>
      <c r="F4156">
        <v>0</v>
      </c>
      <c r="G4156" s="243">
        <v>40042</v>
      </c>
      <c r="H4156" t="s">
        <v>182</v>
      </c>
      <c r="I4156">
        <v>15</v>
      </c>
      <c r="J4156">
        <v>12</v>
      </c>
      <c r="K4156">
        <v>1</v>
      </c>
      <c r="L4156">
        <v>87431</v>
      </c>
      <c r="M4156" t="str">
        <f t="shared" si="602"/>
        <v>13</v>
      </c>
      <c r="N4156" t="s">
        <v>3323</v>
      </c>
      <c r="O4156" t="str">
        <f t="shared" si="600"/>
        <v>64211</v>
      </c>
      <c r="P4156" t="str">
        <f>"2100L"</f>
        <v>2100L</v>
      </c>
      <c r="Q4156" t="str">
        <f t="shared" si="598"/>
        <v>0101</v>
      </c>
      <c r="R4156">
        <v>2100</v>
      </c>
      <c r="S4156" t="str">
        <f t="shared" si="601"/>
        <v>6420</v>
      </c>
      <c r="T4156" t="s">
        <v>3847</v>
      </c>
      <c r="U4156" t="s">
        <v>149</v>
      </c>
    </row>
    <row r="4157" spans="1:21" ht="15" customHeight="1" x14ac:dyDescent="0.3">
      <c r="A4157" t="s">
        <v>179</v>
      </c>
      <c r="B4157" t="str">
        <f>"00074049"</f>
        <v>00074049</v>
      </c>
      <c r="C4157" t="s">
        <v>4262</v>
      </c>
      <c r="D4157" t="s">
        <v>5564</v>
      </c>
      <c r="E4157" t="str">
        <f>"00069916"</f>
        <v>00069916</v>
      </c>
      <c r="F4157">
        <v>0</v>
      </c>
      <c r="G4157" s="243">
        <v>41133</v>
      </c>
      <c r="H4157" t="s">
        <v>182</v>
      </c>
      <c r="I4157">
        <v>15</v>
      </c>
      <c r="J4157">
        <v>10</v>
      </c>
      <c r="K4157">
        <v>1</v>
      </c>
      <c r="L4157">
        <v>78273</v>
      </c>
      <c r="M4157" t="str">
        <f t="shared" si="602"/>
        <v>13</v>
      </c>
      <c r="N4157" t="s">
        <v>3370</v>
      </c>
      <c r="O4157" t="str">
        <f t="shared" si="600"/>
        <v>64211</v>
      </c>
      <c r="P4157" t="str">
        <f>"2100L"</f>
        <v>2100L</v>
      </c>
      <c r="Q4157" t="str">
        <f t="shared" ref="Q4157:Q4213" si="603">"0101"</f>
        <v>0101</v>
      </c>
      <c r="R4157">
        <v>2100</v>
      </c>
      <c r="S4157" t="str">
        <f t="shared" si="601"/>
        <v>6420</v>
      </c>
      <c r="T4157" t="s">
        <v>3847</v>
      </c>
      <c r="U4157" t="s">
        <v>149</v>
      </c>
    </row>
    <row r="4158" spans="1:21" ht="15" customHeight="1" x14ac:dyDescent="0.3">
      <c r="A4158" t="s">
        <v>179</v>
      </c>
      <c r="B4158" t="str">
        <f>"00074380"</f>
        <v>00074380</v>
      </c>
      <c r="C4158" t="s">
        <v>5565</v>
      </c>
      <c r="D4158" t="s">
        <v>5566</v>
      </c>
      <c r="E4158" t="str">
        <f>"00044509"</f>
        <v>00044509</v>
      </c>
      <c r="F4158">
        <v>0</v>
      </c>
      <c r="G4158" s="243">
        <v>40769</v>
      </c>
      <c r="H4158" t="s">
        <v>182</v>
      </c>
      <c r="I4158">
        <v>7</v>
      </c>
      <c r="J4158">
        <v>8</v>
      </c>
      <c r="K4158">
        <v>1</v>
      </c>
      <c r="L4158">
        <v>42621</v>
      </c>
      <c r="M4158" t="str">
        <f t="shared" si="602"/>
        <v>13</v>
      </c>
      <c r="N4158" t="s">
        <v>3323</v>
      </c>
      <c r="O4158" t="str">
        <f t="shared" si="600"/>
        <v>64211</v>
      </c>
      <c r="P4158" t="str">
        <f>"1502L"</f>
        <v>1502L</v>
      </c>
      <c r="Q4158" t="str">
        <f t="shared" si="603"/>
        <v>0101</v>
      </c>
      <c r="R4158">
        <v>1502</v>
      </c>
      <c r="S4158" t="str">
        <f t="shared" si="601"/>
        <v>6420</v>
      </c>
      <c r="T4158" t="s">
        <v>3847</v>
      </c>
      <c r="U4158" t="s">
        <v>149</v>
      </c>
    </row>
    <row r="4159" spans="1:21" ht="15" customHeight="1" x14ac:dyDescent="0.3">
      <c r="A4159" t="s">
        <v>179</v>
      </c>
      <c r="B4159" t="str">
        <f>"00074381"</f>
        <v>00074381</v>
      </c>
      <c r="C4159" t="s">
        <v>4253</v>
      </c>
      <c r="D4159" t="s">
        <v>3930</v>
      </c>
      <c r="E4159" t="str">
        <f>"00066367"</f>
        <v>00066367</v>
      </c>
      <c r="F4159">
        <v>0</v>
      </c>
      <c r="G4159" s="243">
        <v>40755</v>
      </c>
      <c r="H4159" t="s">
        <v>182</v>
      </c>
      <c r="I4159">
        <v>15</v>
      </c>
      <c r="J4159">
        <v>2</v>
      </c>
      <c r="K4159">
        <v>1</v>
      </c>
      <c r="L4159">
        <v>51716</v>
      </c>
      <c r="M4159" t="str">
        <f t="shared" si="602"/>
        <v>13</v>
      </c>
      <c r="N4159" t="s">
        <v>3323</v>
      </c>
      <c r="O4159" t="str">
        <f t="shared" si="600"/>
        <v>64211</v>
      </c>
      <c r="P4159" t="str">
        <f t="shared" ref="P4159:P4164" si="604">"2100L"</f>
        <v>2100L</v>
      </c>
      <c r="Q4159" t="str">
        <f t="shared" si="603"/>
        <v>0101</v>
      </c>
      <c r="R4159">
        <v>2100</v>
      </c>
      <c r="S4159" t="str">
        <f t="shared" si="601"/>
        <v>6420</v>
      </c>
      <c r="T4159" t="s">
        <v>3847</v>
      </c>
      <c r="U4159" t="s">
        <v>149</v>
      </c>
    </row>
    <row r="4160" spans="1:21" ht="15" customHeight="1" x14ac:dyDescent="0.3">
      <c r="A4160" t="s">
        <v>179</v>
      </c>
      <c r="B4160" t="str">
        <f>"00074383"</f>
        <v>00074383</v>
      </c>
      <c r="C4160" t="s">
        <v>4253</v>
      </c>
      <c r="D4160" t="s">
        <v>3931</v>
      </c>
      <c r="E4160" t="str">
        <f>"00064134"</f>
        <v>00064134</v>
      </c>
      <c r="F4160">
        <v>0</v>
      </c>
      <c r="G4160" s="243">
        <v>41156</v>
      </c>
      <c r="H4160" t="s">
        <v>182</v>
      </c>
      <c r="I4160">
        <v>15</v>
      </c>
      <c r="J4160">
        <v>2</v>
      </c>
      <c r="K4160">
        <v>1</v>
      </c>
      <c r="L4160">
        <v>56242</v>
      </c>
      <c r="M4160" t="str">
        <f t="shared" si="602"/>
        <v>13</v>
      </c>
      <c r="N4160" t="s">
        <v>3323</v>
      </c>
      <c r="O4160" t="str">
        <f t="shared" si="600"/>
        <v>64211</v>
      </c>
      <c r="P4160" t="str">
        <f t="shared" si="604"/>
        <v>2100L</v>
      </c>
      <c r="Q4160" t="str">
        <f t="shared" si="603"/>
        <v>0101</v>
      </c>
      <c r="R4160">
        <v>2100</v>
      </c>
      <c r="S4160" t="str">
        <f t="shared" si="601"/>
        <v>6420</v>
      </c>
      <c r="T4160" t="s">
        <v>3847</v>
      </c>
      <c r="U4160" t="s">
        <v>149</v>
      </c>
    </row>
    <row r="4161" spans="1:21" ht="15" customHeight="1" x14ac:dyDescent="0.3">
      <c r="A4161" t="s">
        <v>179</v>
      </c>
      <c r="B4161" t="str">
        <f>"00074384"</f>
        <v>00074384</v>
      </c>
      <c r="C4161" t="s">
        <v>4253</v>
      </c>
      <c r="H4161" t="s">
        <v>170</v>
      </c>
      <c r="I4161">
        <v>15</v>
      </c>
      <c r="J4161">
        <v>1</v>
      </c>
      <c r="K4161">
        <v>1</v>
      </c>
      <c r="L4161">
        <v>51539</v>
      </c>
      <c r="M4161" t="str">
        <f t="shared" si="602"/>
        <v>13</v>
      </c>
      <c r="N4161" t="s">
        <v>3323</v>
      </c>
      <c r="O4161" t="str">
        <f t="shared" si="600"/>
        <v>64211</v>
      </c>
      <c r="P4161" t="str">
        <f t="shared" si="604"/>
        <v>2100L</v>
      </c>
      <c r="Q4161" t="str">
        <f t="shared" si="603"/>
        <v>0101</v>
      </c>
      <c r="R4161">
        <v>2100</v>
      </c>
      <c r="S4161" t="str">
        <f t="shared" si="601"/>
        <v>6420</v>
      </c>
      <c r="T4161" t="s">
        <v>3847</v>
      </c>
      <c r="U4161" t="s">
        <v>149</v>
      </c>
    </row>
    <row r="4162" spans="1:21" ht="15" customHeight="1" x14ac:dyDescent="0.3">
      <c r="A4162" t="s">
        <v>179</v>
      </c>
      <c r="B4162" t="str">
        <f>"00074385"</f>
        <v>00074385</v>
      </c>
      <c r="C4162" t="s">
        <v>4257</v>
      </c>
      <c r="D4162" t="s">
        <v>3933</v>
      </c>
      <c r="E4162" t="str">
        <f>"00065565"</f>
        <v>00065565</v>
      </c>
      <c r="F4162">
        <v>0</v>
      </c>
      <c r="G4162" s="243">
        <v>40755</v>
      </c>
      <c r="H4162" t="s">
        <v>182</v>
      </c>
      <c r="I4162">
        <v>15</v>
      </c>
      <c r="J4162">
        <v>6</v>
      </c>
      <c r="K4162">
        <v>1</v>
      </c>
      <c r="L4162">
        <v>61032</v>
      </c>
      <c r="M4162" t="str">
        <f t="shared" si="602"/>
        <v>13</v>
      </c>
      <c r="N4162" t="s">
        <v>3323</v>
      </c>
      <c r="O4162" t="str">
        <f t="shared" si="600"/>
        <v>64211</v>
      </c>
      <c r="P4162" t="str">
        <f t="shared" si="604"/>
        <v>2100L</v>
      </c>
      <c r="Q4162" t="str">
        <f t="shared" si="603"/>
        <v>0101</v>
      </c>
      <c r="R4162">
        <v>2100</v>
      </c>
      <c r="S4162" t="str">
        <f t="shared" si="601"/>
        <v>6420</v>
      </c>
      <c r="T4162" t="s">
        <v>3847</v>
      </c>
      <c r="U4162" t="s">
        <v>149</v>
      </c>
    </row>
    <row r="4163" spans="1:21" ht="15" customHeight="1" x14ac:dyDescent="0.3">
      <c r="A4163" t="s">
        <v>179</v>
      </c>
      <c r="B4163" t="str">
        <f>"00074386"</f>
        <v>00074386</v>
      </c>
      <c r="C4163" t="s">
        <v>4260</v>
      </c>
      <c r="D4163" t="s">
        <v>1813</v>
      </c>
      <c r="E4163" t="str">
        <f>"00051409"</f>
        <v>00051409</v>
      </c>
      <c r="F4163">
        <v>0</v>
      </c>
      <c r="G4163" s="243">
        <v>32050</v>
      </c>
      <c r="H4163" t="s">
        <v>182</v>
      </c>
      <c r="I4163">
        <v>15</v>
      </c>
      <c r="J4163">
        <v>16</v>
      </c>
      <c r="K4163">
        <v>1</v>
      </c>
      <c r="L4163">
        <v>100839</v>
      </c>
      <c r="M4163" t="str">
        <f t="shared" si="602"/>
        <v>13</v>
      </c>
      <c r="N4163" t="s">
        <v>3323</v>
      </c>
      <c r="O4163" t="str">
        <f t="shared" si="600"/>
        <v>64211</v>
      </c>
      <c r="P4163" t="str">
        <f t="shared" si="604"/>
        <v>2100L</v>
      </c>
      <c r="Q4163" t="str">
        <f t="shared" si="603"/>
        <v>0101</v>
      </c>
      <c r="R4163">
        <v>2100</v>
      </c>
      <c r="S4163" t="str">
        <f t="shared" si="601"/>
        <v>6420</v>
      </c>
      <c r="T4163" t="s">
        <v>3847</v>
      </c>
      <c r="U4163" t="s">
        <v>149</v>
      </c>
    </row>
    <row r="4164" spans="1:21" ht="15" customHeight="1" x14ac:dyDescent="0.3">
      <c r="A4164" t="s">
        <v>179</v>
      </c>
      <c r="B4164" t="str">
        <f>"00074387"</f>
        <v>00074387</v>
      </c>
      <c r="C4164" t="s">
        <v>200</v>
      </c>
      <c r="D4164" t="s">
        <v>2406</v>
      </c>
      <c r="E4164" t="str">
        <f>"00012774"</f>
        <v>00012774</v>
      </c>
      <c r="F4164">
        <v>1</v>
      </c>
      <c r="G4164" s="243">
        <v>39699</v>
      </c>
      <c r="H4164" t="s">
        <v>182</v>
      </c>
      <c r="I4164">
        <v>15</v>
      </c>
      <c r="J4164">
        <v>12</v>
      </c>
      <c r="K4164">
        <v>1</v>
      </c>
      <c r="L4164">
        <v>92613</v>
      </c>
      <c r="M4164" t="str">
        <f t="shared" si="602"/>
        <v>13</v>
      </c>
      <c r="N4164" t="s">
        <v>3323</v>
      </c>
      <c r="O4164" t="str">
        <f t="shared" si="600"/>
        <v>64211</v>
      </c>
      <c r="P4164" t="str">
        <f t="shared" si="604"/>
        <v>2100L</v>
      </c>
      <c r="Q4164" t="str">
        <f t="shared" si="603"/>
        <v>0101</v>
      </c>
      <c r="R4164">
        <v>2100</v>
      </c>
      <c r="S4164" t="str">
        <f t="shared" si="601"/>
        <v>6420</v>
      </c>
      <c r="T4164" t="s">
        <v>3847</v>
      </c>
      <c r="U4164" t="s">
        <v>149</v>
      </c>
    </row>
    <row r="4165" spans="1:21" ht="15" customHeight="1" x14ac:dyDescent="0.3">
      <c r="A4165" t="s">
        <v>179</v>
      </c>
      <c r="B4165" t="str">
        <f>"00074389"</f>
        <v>00074389</v>
      </c>
      <c r="C4165" t="s">
        <v>4290</v>
      </c>
      <c r="D4165" t="s">
        <v>5567</v>
      </c>
      <c r="E4165" t="str">
        <f>"00058367"</f>
        <v>00058367</v>
      </c>
      <c r="F4165">
        <v>0</v>
      </c>
      <c r="G4165" s="243">
        <v>40065</v>
      </c>
      <c r="H4165" t="s">
        <v>182</v>
      </c>
      <c r="I4165">
        <v>4</v>
      </c>
      <c r="J4165">
        <v>5</v>
      </c>
      <c r="K4165">
        <v>0.71</v>
      </c>
      <c r="L4165">
        <v>25239.37</v>
      </c>
      <c r="M4165" t="str">
        <f t="shared" si="602"/>
        <v>13</v>
      </c>
      <c r="N4165" t="s">
        <v>3323</v>
      </c>
      <c r="O4165" t="str">
        <f t="shared" si="600"/>
        <v>64211</v>
      </c>
      <c r="P4165" t="str">
        <f>"3030L"</f>
        <v>3030L</v>
      </c>
      <c r="Q4165" t="str">
        <f t="shared" si="603"/>
        <v>0101</v>
      </c>
      <c r="R4165">
        <v>3030</v>
      </c>
      <c r="S4165" t="str">
        <f t="shared" si="601"/>
        <v>6420</v>
      </c>
      <c r="T4165" t="s">
        <v>3847</v>
      </c>
      <c r="U4165" t="s">
        <v>149</v>
      </c>
    </row>
    <row r="4166" spans="1:21" ht="15" customHeight="1" x14ac:dyDescent="0.3">
      <c r="A4166" t="s">
        <v>179</v>
      </c>
      <c r="B4166" t="str">
        <f>"00074390"</f>
        <v>00074390</v>
      </c>
      <c r="C4166" t="s">
        <v>4256</v>
      </c>
      <c r="H4166" t="s">
        <v>170</v>
      </c>
      <c r="I4166">
        <v>15</v>
      </c>
      <c r="J4166">
        <v>1</v>
      </c>
      <c r="K4166">
        <v>0.5</v>
      </c>
      <c r="L4166">
        <v>56693</v>
      </c>
      <c r="M4166" t="str">
        <f t="shared" si="602"/>
        <v>13</v>
      </c>
      <c r="N4166" t="s">
        <v>3323</v>
      </c>
      <c r="O4166" t="str">
        <f t="shared" si="600"/>
        <v>64211</v>
      </c>
      <c r="P4166" t="str">
        <f t="shared" ref="P4166:P4172" si="605">"2100L"</f>
        <v>2100L</v>
      </c>
      <c r="Q4166" t="str">
        <f t="shared" si="603"/>
        <v>0101</v>
      </c>
      <c r="R4166">
        <v>2100</v>
      </c>
      <c r="S4166" t="str">
        <f t="shared" si="601"/>
        <v>6420</v>
      </c>
      <c r="T4166" t="s">
        <v>3847</v>
      </c>
      <c r="U4166" t="s">
        <v>149</v>
      </c>
    </row>
    <row r="4167" spans="1:21" ht="15" customHeight="1" x14ac:dyDescent="0.3">
      <c r="A4167" t="s">
        <v>179</v>
      </c>
      <c r="B4167" t="str">
        <f>"00074391"</f>
        <v>00074391</v>
      </c>
      <c r="C4167" t="s">
        <v>5537</v>
      </c>
      <c r="D4167" t="s">
        <v>5568</v>
      </c>
      <c r="E4167" t="str">
        <f>"00066242"</f>
        <v>00066242</v>
      </c>
      <c r="F4167">
        <v>0</v>
      </c>
      <c r="G4167" s="243">
        <v>41133</v>
      </c>
      <c r="H4167" t="s">
        <v>182</v>
      </c>
      <c r="I4167">
        <v>10</v>
      </c>
      <c r="J4167">
        <v>1</v>
      </c>
      <c r="K4167">
        <v>1</v>
      </c>
      <c r="L4167">
        <v>62794</v>
      </c>
      <c r="M4167" t="str">
        <f t="shared" si="602"/>
        <v>13</v>
      </c>
      <c r="N4167" t="s">
        <v>3370</v>
      </c>
      <c r="O4167" t="str">
        <f t="shared" si="600"/>
        <v>64211</v>
      </c>
      <c r="P4167" t="str">
        <f t="shared" si="605"/>
        <v>2100L</v>
      </c>
      <c r="Q4167" t="str">
        <f t="shared" si="603"/>
        <v>0101</v>
      </c>
      <c r="R4167">
        <v>2100</v>
      </c>
      <c r="S4167" t="str">
        <f t="shared" si="601"/>
        <v>6420</v>
      </c>
      <c r="T4167" t="s">
        <v>3847</v>
      </c>
      <c r="U4167" t="s">
        <v>149</v>
      </c>
    </row>
    <row r="4168" spans="1:21" ht="15" customHeight="1" x14ac:dyDescent="0.3">
      <c r="A4168" t="s">
        <v>179</v>
      </c>
      <c r="B4168" t="str">
        <f>"00076115"</f>
        <v>00076115</v>
      </c>
      <c r="C4168" t="s">
        <v>4262</v>
      </c>
      <c r="H4168" t="s">
        <v>170</v>
      </c>
      <c r="I4168">
        <v>15</v>
      </c>
      <c r="J4168">
        <v>0</v>
      </c>
      <c r="K4168">
        <v>0.5</v>
      </c>
      <c r="L4168">
        <v>51539</v>
      </c>
      <c r="M4168" t="str">
        <f t="shared" si="602"/>
        <v>13</v>
      </c>
      <c r="N4168" t="s">
        <v>3370</v>
      </c>
      <c r="O4168" t="str">
        <f t="shared" si="600"/>
        <v>64211</v>
      </c>
      <c r="P4168" t="str">
        <f t="shared" si="605"/>
        <v>2100L</v>
      </c>
      <c r="Q4168" t="str">
        <f t="shared" si="603"/>
        <v>0101</v>
      </c>
      <c r="R4168">
        <v>2100</v>
      </c>
      <c r="S4168" t="str">
        <f t="shared" si="601"/>
        <v>6420</v>
      </c>
      <c r="T4168" t="s">
        <v>3847</v>
      </c>
      <c r="U4168" t="s">
        <v>149</v>
      </c>
    </row>
    <row r="4169" spans="1:21" ht="15" customHeight="1" x14ac:dyDescent="0.3">
      <c r="A4169" t="s">
        <v>179</v>
      </c>
      <c r="B4169" t="str">
        <f>"00076116"</f>
        <v>00076116</v>
      </c>
      <c r="C4169" t="s">
        <v>4438</v>
      </c>
      <c r="H4169" t="s">
        <v>170</v>
      </c>
      <c r="I4169">
        <v>11</v>
      </c>
      <c r="J4169">
        <v>0</v>
      </c>
      <c r="K4169">
        <v>0.5</v>
      </c>
      <c r="L4169">
        <v>60779</v>
      </c>
      <c r="M4169" t="str">
        <f t="shared" si="602"/>
        <v>13</v>
      </c>
      <c r="N4169" t="s">
        <v>3370</v>
      </c>
      <c r="O4169" t="str">
        <f t="shared" si="600"/>
        <v>64211</v>
      </c>
      <c r="P4169" t="str">
        <f t="shared" si="605"/>
        <v>2100L</v>
      </c>
      <c r="Q4169" t="str">
        <f t="shared" si="603"/>
        <v>0101</v>
      </c>
      <c r="R4169">
        <v>2100</v>
      </c>
      <c r="S4169" t="str">
        <f t="shared" si="601"/>
        <v>6420</v>
      </c>
      <c r="T4169" t="s">
        <v>3847</v>
      </c>
      <c r="U4169" t="s">
        <v>149</v>
      </c>
    </row>
    <row r="4170" spans="1:21" ht="15" customHeight="1" x14ac:dyDescent="0.3">
      <c r="A4170" t="s">
        <v>179</v>
      </c>
      <c r="B4170" t="str">
        <f>"00076117"</f>
        <v>00076117</v>
      </c>
      <c r="C4170" t="s">
        <v>4261</v>
      </c>
      <c r="D4170" t="s">
        <v>3927</v>
      </c>
      <c r="E4170" t="str">
        <f>"00066780"</f>
        <v>00066780</v>
      </c>
      <c r="F4170">
        <v>0</v>
      </c>
      <c r="G4170" s="243">
        <v>40770</v>
      </c>
      <c r="H4170" t="s">
        <v>182</v>
      </c>
      <c r="I4170">
        <v>15</v>
      </c>
      <c r="J4170">
        <v>6</v>
      </c>
      <c r="K4170">
        <v>1</v>
      </c>
      <c r="L4170">
        <v>72685</v>
      </c>
      <c r="M4170" t="str">
        <f t="shared" si="602"/>
        <v>13</v>
      </c>
      <c r="N4170" t="s">
        <v>3370</v>
      </c>
      <c r="O4170" t="str">
        <f t="shared" si="600"/>
        <v>64211</v>
      </c>
      <c r="P4170" t="str">
        <f t="shared" si="605"/>
        <v>2100L</v>
      </c>
      <c r="Q4170" t="str">
        <f t="shared" si="603"/>
        <v>0101</v>
      </c>
      <c r="R4170">
        <v>2100</v>
      </c>
      <c r="S4170" t="str">
        <f t="shared" si="601"/>
        <v>6420</v>
      </c>
      <c r="T4170" t="s">
        <v>3847</v>
      </c>
      <c r="U4170" t="s">
        <v>149</v>
      </c>
    </row>
    <row r="4171" spans="1:21" ht="15" customHeight="1" x14ac:dyDescent="0.3">
      <c r="A4171" t="s">
        <v>179</v>
      </c>
      <c r="B4171" t="str">
        <f>"00076118"</f>
        <v>00076118</v>
      </c>
      <c r="C4171" t="s">
        <v>4728</v>
      </c>
      <c r="H4171" t="s">
        <v>170</v>
      </c>
      <c r="I4171">
        <v>9</v>
      </c>
      <c r="J4171">
        <v>0</v>
      </c>
      <c r="K4171">
        <v>0.5</v>
      </c>
      <c r="L4171">
        <v>33163</v>
      </c>
      <c r="M4171" t="str">
        <f t="shared" si="602"/>
        <v>13</v>
      </c>
      <c r="N4171" t="s">
        <v>3370</v>
      </c>
      <c r="O4171" t="str">
        <f t="shared" si="600"/>
        <v>64211</v>
      </c>
      <c r="P4171" t="str">
        <f t="shared" si="605"/>
        <v>2100L</v>
      </c>
      <c r="Q4171" t="str">
        <f t="shared" si="603"/>
        <v>0101</v>
      </c>
      <c r="R4171">
        <v>2100</v>
      </c>
      <c r="S4171" t="str">
        <f t="shared" si="601"/>
        <v>6420</v>
      </c>
      <c r="T4171" t="s">
        <v>3847</v>
      </c>
      <c r="U4171" t="s">
        <v>149</v>
      </c>
    </row>
    <row r="4172" spans="1:21" ht="15" customHeight="1" x14ac:dyDescent="0.3">
      <c r="A4172" t="s">
        <v>179</v>
      </c>
      <c r="B4172" t="str">
        <f>"00076855"</f>
        <v>00076855</v>
      </c>
      <c r="C4172" t="s">
        <v>4253</v>
      </c>
      <c r="H4172" t="s">
        <v>170</v>
      </c>
      <c r="I4172">
        <v>15</v>
      </c>
      <c r="J4172">
        <v>0</v>
      </c>
      <c r="K4172">
        <v>1</v>
      </c>
      <c r="L4172">
        <v>56693</v>
      </c>
      <c r="M4172" t="str">
        <f t="shared" si="602"/>
        <v>13</v>
      </c>
      <c r="N4172" t="s">
        <v>3370</v>
      </c>
      <c r="O4172" t="str">
        <f t="shared" si="600"/>
        <v>64211</v>
      </c>
      <c r="P4172" t="str">
        <f t="shared" si="605"/>
        <v>2100L</v>
      </c>
      <c r="Q4172" t="str">
        <f t="shared" si="603"/>
        <v>0101</v>
      </c>
      <c r="R4172">
        <v>2100</v>
      </c>
      <c r="S4172" t="str">
        <f t="shared" si="601"/>
        <v>6420</v>
      </c>
      <c r="T4172" t="s">
        <v>3847</v>
      </c>
      <c r="U4172" t="s">
        <v>149</v>
      </c>
    </row>
    <row r="4173" spans="1:21" ht="15" customHeight="1" x14ac:dyDescent="0.3">
      <c r="A4173" t="s">
        <v>179</v>
      </c>
      <c r="B4173" t="str">
        <f>"00052962"</f>
        <v>00052962</v>
      </c>
      <c r="C4173" t="s">
        <v>5495</v>
      </c>
      <c r="D4173" t="s">
        <v>1404</v>
      </c>
      <c r="E4173" t="str">
        <f>"00050421"</f>
        <v>00050421</v>
      </c>
      <c r="F4173">
        <v>0</v>
      </c>
      <c r="G4173" s="243">
        <v>37136</v>
      </c>
      <c r="H4173" t="s">
        <v>182</v>
      </c>
      <c r="I4173">
        <v>8</v>
      </c>
      <c r="J4173">
        <v>6</v>
      </c>
      <c r="K4173">
        <v>1</v>
      </c>
      <c r="L4173">
        <v>94825</v>
      </c>
      <c r="M4173" t="str">
        <f t="shared" si="602"/>
        <v>13</v>
      </c>
      <c r="N4173" t="s">
        <v>3323</v>
      </c>
      <c r="O4173" t="str">
        <f t="shared" ref="O4173:O4212" si="606">"64311"</f>
        <v>64311</v>
      </c>
      <c r="P4173" t="str">
        <f>"1501L"</f>
        <v>1501L</v>
      </c>
      <c r="Q4173" t="str">
        <f t="shared" si="603"/>
        <v>0101</v>
      </c>
      <c r="R4173">
        <v>1501</v>
      </c>
      <c r="S4173" t="str">
        <f t="shared" ref="S4173:S4212" si="607">"6430"</f>
        <v>6430</v>
      </c>
      <c r="T4173" t="s">
        <v>3934</v>
      </c>
      <c r="U4173" t="s">
        <v>89</v>
      </c>
    </row>
    <row r="4174" spans="1:21" ht="15" customHeight="1" x14ac:dyDescent="0.3">
      <c r="A4174" t="s">
        <v>179</v>
      </c>
      <c r="B4174" t="str">
        <f>"00057731"</f>
        <v>00057731</v>
      </c>
      <c r="C4174" t="s">
        <v>3798</v>
      </c>
      <c r="D4174" t="s">
        <v>1406</v>
      </c>
      <c r="E4174" t="str">
        <f>"00062449"</f>
        <v>00062449</v>
      </c>
      <c r="F4174">
        <v>0</v>
      </c>
      <c r="G4174" s="243">
        <v>40371</v>
      </c>
      <c r="H4174" t="s">
        <v>182</v>
      </c>
      <c r="I4174">
        <v>63</v>
      </c>
      <c r="J4174">
        <v>5</v>
      </c>
      <c r="K4174">
        <v>1</v>
      </c>
      <c r="L4174">
        <v>126000</v>
      </c>
      <c r="M4174" t="str">
        <f t="shared" si="602"/>
        <v>13</v>
      </c>
      <c r="N4174" t="s">
        <v>3323</v>
      </c>
      <c r="O4174" t="str">
        <f t="shared" si="606"/>
        <v>64311</v>
      </c>
      <c r="P4174" t="str">
        <f>"1501L"</f>
        <v>1501L</v>
      </c>
      <c r="Q4174" t="str">
        <f t="shared" si="603"/>
        <v>0101</v>
      </c>
      <c r="R4174">
        <v>1501</v>
      </c>
      <c r="S4174" t="str">
        <f t="shared" si="607"/>
        <v>6430</v>
      </c>
      <c r="T4174" t="s">
        <v>3934</v>
      </c>
      <c r="U4174" t="s">
        <v>89</v>
      </c>
    </row>
    <row r="4175" spans="1:21" ht="15" customHeight="1" x14ac:dyDescent="0.3">
      <c r="A4175" t="s">
        <v>179</v>
      </c>
      <c r="B4175" t="str">
        <f>"00059096"</f>
        <v>00059096</v>
      </c>
      <c r="C4175" t="s">
        <v>4260</v>
      </c>
      <c r="D4175" t="s">
        <v>1407</v>
      </c>
      <c r="E4175" t="str">
        <f>"00046079"</f>
        <v>00046079</v>
      </c>
      <c r="F4175">
        <v>0</v>
      </c>
      <c r="G4175" s="243">
        <v>37592</v>
      </c>
      <c r="H4175" t="s">
        <v>182</v>
      </c>
      <c r="I4175">
        <v>15</v>
      </c>
      <c r="J4175">
        <v>15</v>
      </c>
      <c r="K4175">
        <v>1</v>
      </c>
      <c r="L4175">
        <v>103985</v>
      </c>
      <c r="M4175" t="str">
        <f t="shared" si="602"/>
        <v>13</v>
      </c>
      <c r="N4175" t="s">
        <v>3323</v>
      </c>
      <c r="O4175" t="str">
        <f t="shared" si="606"/>
        <v>64311</v>
      </c>
      <c r="P4175" t="str">
        <f>"3030L"</f>
        <v>3030L</v>
      </c>
      <c r="Q4175" t="str">
        <f t="shared" si="603"/>
        <v>0101</v>
      </c>
      <c r="R4175">
        <v>3030</v>
      </c>
      <c r="S4175" t="str">
        <f t="shared" si="607"/>
        <v>6430</v>
      </c>
      <c r="T4175" t="s">
        <v>3934</v>
      </c>
      <c r="U4175" t="s">
        <v>89</v>
      </c>
    </row>
    <row r="4176" spans="1:21" ht="15" customHeight="1" x14ac:dyDescent="0.3">
      <c r="A4176" t="s">
        <v>179</v>
      </c>
      <c r="B4176" t="str">
        <f>"00059388"</f>
        <v>00059388</v>
      </c>
      <c r="C4176" t="s">
        <v>4260</v>
      </c>
      <c r="D4176" t="s">
        <v>5569</v>
      </c>
      <c r="E4176" t="str">
        <f>"00068014"</f>
        <v>00068014</v>
      </c>
      <c r="F4176">
        <v>0</v>
      </c>
      <c r="G4176" s="243">
        <v>40987</v>
      </c>
      <c r="H4176" t="s">
        <v>182</v>
      </c>
      <c r="I4176">
        <v>15</v>
      </c>
      <c r="J4176">
        <v>10</v>
      </c>
      <c r="K4176">
        <v>1</v>
      </c>
      <c r="L4176">
        <v>78273</v>
      </c>
      <c r="M4176" t="str">
        <f t="shared" si="602"/>
        <v>13</v>
      </c>
      <c r="N4176" t="s">
        <v>3323</v>
      </c>
      <c r="O4176" t="str">
        <f t="shared" si="606"/>
        <v>64311</v>
      </c>
      <c r="P4176" t="str">
        <f>"3030L"</f>
        <v>3030L</v>
      </c>
      <c r="Q4176" t="str">
        <f t="shared" si="603"/>
        <v>0101</v>
      </c>
      <c r="R4176">
        <v>3030</v>
      </c>
      <c r="S4176" t="str">
        <f t="shared" si="607"/>
        <v>6430</v>
      </c>
      <c r="T4176" t="s">
        <v>3934</v>
      </c>
      <c r="U4176" t="s">
        <v>89</v>
      </c>
    </row>
    <row r="4177" spans="1:21" ht="15" customHeight="1" x14ac:dyDescent="0.3">
      <c r="A4177" t="s">
        <v>179</v>
      </c>
      <c r="B4177" t="str">
        <f>"00060257"</f>
        <v>00060257</v>
      </c>
      <c r="C4177" t="s">
        <v>4253</v>
      </c>
      <c r="D4177" t="s">
        <v>1409</v>
      </c>
      <c r="E4177" t="str">
        <f>"00062690"</f>
        <v>00062690</v>
      </c>
      <c r="F4177">
        <v>0</v>
      </c>
      <c r="G4177" s="243">
        <v>40406</v>
      </c>
      <c r="H4177" t="s">
        <v>182</v>
      </c>
      <c r="I4177">
        <v>15</v>
      </c>
      <c r="J4177">
        <v>2</v>
      </c>
      <c r="K4177">
        <v>1</v>
      </c>
      <c r="L4177">
        <v>51716</v>
      </c>
      <c r="M4177" t="str">
        <f t="shared" si="602"/>
        <v>13</v>
      </c>
      <c r="N4177" t="s">
        <v>3323</v>
      </c>
      <c r="O4177" t="str">
        <f t="shared" si="606"/>
        <v>64311</v>
      </c>
      <c r="P4177" t="str">
        <f>"2100L"</f>
        <v>2100L</v>
      </c>
      <c r="Q4177" t="str">
        <f t="shared" si="603"/>
        <v>0101</v>
      </c>
      <c r="R4177">
        <v>2100</v>
      </c>
      <c r="S4177" t="str">
        <f t="shared" si="607"/>
        <v>6430</v>
      </c>
      <c r="T4177" t="s">
        <v>3934</v>
      </c>
      <c r="U4177" t="s">
        <v>89</v>
      </c>
    </row>
    <row r="4178" spans="1:21" ht="15" customHeight="1" x14ac:dyDescent="0.3">
      <c r="A4178" t="s">
        <v>179</v>
      </c>
      <c r="B4178" t="str">
        <f>"00061590"</f>
        <v>00061590</v>
      </c>
      <c r="C4178" t="s">
        <v>4290</v>
      </c>
      <c r="D4178" t="s">
        <v>5570</v>
      </c>
      <c r="E4178" t="str">
        <f>"00054591"</f>
        <v>00054591</v>
      </c>
      <c r="F4178">
        <v>0</v>
      </c>
      <c r="G4178" s="243">
        <v>39373</v>
      </c>
      <c r="H4178" t="s">
        <v>182</v>
      </c>
      <c r="I4178">
        <v>4</v>
      </c>
      <c r="J4178">
        <v>6</v>
      </c>
      <c r="K4178">
        <v>0.875</v>
      </c>
      <c r="L4178">
        <v>25935.88</v>
      </c>
      <c r="M4178" t="str">
        <f t="shared" si="602"/>
        <v>13</v>
      </c>
      <c r="N4178" t="s">
        <v>3323</v>
      </c>
      <c r="O4178" t="str">
        <f t="shared" si="606"/>
        <v>64311</v>
      </c>
      <c r="P4178" t="str">
        <f>"3030L"</f>
        <v>3030L</v>
      </c>
      <c r="Q4178" t="str">
        <f t="shared" si="603"/>
        <v>0101</v>
      </c>
      <c r="R4178">
        <v>3030</v>
      </c>
      <c r="S4178" t="str">
        <f t="shared" si="607"/>
        <v>6430</v>
      </c>
      <c r="T4178" t="s">
        <v>3934</v>
      </c>
      <c r="U4178" t="s">
        <v>89</v>
      </c>
    </row>
    <row r="4179" spans="1:21" ht="15" customHeight="1" x14ac:dyDescent="0.3">
      <c r="A4179" t="s">
        <v>179</v>
      </c>
      <c r="B4179" t="str">
        <f>"00062039"</f>
        <v>00062039</v>
      </c>
      <c r="C4179" t="s">
        <v>4260</v>
      </c>
      <c r="D4179" t="s">
        <v>1111</v>
      </c>
      <c r="E4179" t="str">
        <f>"00063053"</f>
        <v>00063053</v>
      </c>
      <c r="F4179">
        <v>0</v>
      </c>
      <c r="G4179" s="243">
        <v>40406</v>
      </c>
      <c r="H4179" t="s">
        <v>182</v>
      </c>
      <c r="I4179">
        <v>15</v>
      </c>
      <c r="J4179">
        <v>12</v>
      </c>
      <c r="K4179">
        <v>1</v>
      </c>
      <c r="L4179">
        <v>87431</v>
      </c>
      <c r="M4179" t="str">
        <f t="shared" si="602"/>
        <v>13</v>
      </c>
      <c r="N4179" t="s">
        <v>3323</v>
      </c>
      <c r="O4179" t="str">
        <f t="shared" si="606"/>
        <v>64311</v>
      </c>
      <c r="P4179" t="str">
        <f>"2100L"</f>
        <v>2100L</v>
      </c>
      <c r="Q4179" t="str">
        <f t="shared" si="603"/>
        <v>0101</v>
      </c>
      <c r="R4179">
        <v>2100</v>
      </c>
      <c r="S4179" t="str">
        <f t="shared" si="607"/>
        <v>6430</v>
      </c>
      <c r="T4179" t="s">
        <v>3934</v>
      </c>
      <c r="U4179" t="s">
        <v>89</v>
      </c>
    </row>
    <row r="4180" spans="1:21" ht="15" customHeight="1" x14ac:dyDescent="0.3">
      <c r="A4180" t="s">
        <v>179</v>
      </c>
      <c r="B4180" t="str">
        <f>"00062649"</f>
        <v>00062649</v>
      </c>
      <c r="C4180" t="s">
        <v>4260</v>
      </c>
      <c r="D4180" t="s">
        <v>1412</v>
      </c>
      <c r="E4180" t="str">
        <f>"00046423"</f>
        <v>00046423</v>
      </c>
      <c r="F4180">
        <v>0</v>
      </c>
      <c r="G4180" s="243">
        <v>39723</v>
      </c>
      <c r="H4180" t="s">
        <v>182</v>
      </c>
      <c r="I4180">
        <v>15</v>
      </c>
      <c r="J4180">
        <v>10</v>
      </c>
      <c r="K4180">
        <v>1</v>
      </c>
      <c r="L4180">
        <v>78273</v>
      </c>
      <c r="M4180" t="str">
        <f t="shared" si="602"/>
        <v>13</v>
      </c>
      <c r="N4180" t="s">
        <v>3323</v>
      </c>
      <c r="O4180" t="str">
        <f t="shared" si="606"/>
        <v>64311</v>
      </c>
      <c r="P4180" t="str">
        <f>"3030L"</f>
        <v>3030L</v>
      </c>
      <c r="Q4180" t="str">
        <f t="shared" si="603"/>
        <v>0101</v>
      </c>
      <c r="R4180">
        <v>3030</v>
      </c>
      <c r="S4180" t="str">
        <f t="shared" si="607"/>
        <v>6430</v>
      </c>
      <c r="T4180" t="s">
        <v>3934</v>
      </c>
      <c r="U4180" t="s">
        <v>89</v>
      </c>
    </row>
    <row r="4181" spans="1:21" ht="15" customHeight="1" x14ac:dyDescent="0.3">
      <c r="A4181" t="s">
        <v>179</v>
      </c>
      <c r="B4181" t="str">
        <f>"00062714"</f>
        <v>00062714</v>
      </c>
      <c r="C4181" t="s">
        <v>4290</v>
      </c>
      <c r="D4181" t="s">
        <v>5571</v>
      </c>
      <c r="E4181" t="str">
        <f>"00050854"</f>
        <v>00050854</v>
      </c>
      <c r="F4181">
        <v>0</v>
      </c>
      <c r="G4181" s="243">
        <v>39679</v>
      </c>
      <c r="H4181" t="s">
        <v>182</v>
      </c>
      <c r="I4181">
        <v>4</v>
      </c>
      <c r="J4181">
        <v>4</v>
      </c>
      <c r="K4181">
        <v>0.875</v>
      </c>
      <c r="L4181">
        <v>24543.75</v>
      </c>
      <c r="M4181" t="str">
        <f t="shared" si="602"/>
        <v>13</v>
      </c>
      <c r="N4181" t="s">
        <v>3323</v>
      </c>
      <c r="O4181" t="str">
        <f t="shared" si="606"/>
        <v>64311</v>
      </c>
      <c r="P4181" t="str">
        <f>"3030L"</f>
        <v>3030L</v>
      </c>
      <c r="Q4181" t="str">
        <f t="shared" si="603"/>
        <v>0101</v>
      </c>
      <c r="R4181">
        <v>3030</v>
      </c>
      <c r="S4181" t="str">
        <f t="shared" si="607"/>
        <v>6430</v>
      </c>
      <c r="T4181" t="s">
        <v>3934</v>
      </c>
      <c r="U4181" t="s">
        <v>89</v>
      </c>
    </row>
    <row r="4182" spans="1:21" ht="15" customHeight="1" x14ac:dyDescent="0.3">
      <c r="A4182" t="s">
        <v>179</v>
      </c>
      <c r="B4182" t="str">
        <f>"00062809"</f>
        <v>00062809</v>
      </c>
      <c r="C4182" t="s">
        <v>4260</v>
      </c>
      <c r="D4182" t="s">
        <v>1413</v>
      </c>
      <c r="E4182" t="str">
        <f>"00046639"</f>
        <v>00046639</v>
      </c>
      <c r="F4182">
        <v>0</v>
      </c>
      <c r="G4182" s="243">
        <v>38693</v>
      </c>
      <c r="H4182" t="s">
        <v>182</v>
      </c>
      <c r="I4182">
        <v>15</v>
      </c>
      <c r="J4182">
        <v>12</v>
      </c>
      <c r="K4182">
        <v>1</v>
      </c>
      <c r="L4182">
        <v>87431</v>
      </c>
      <c r="M4182" t="str">
        <f t="shared" si="602"/>
        <v>13</v>
      </c>
      <c r="N4182" t="s">
        <v>3323</v>
      </c>
      <c r="O4182" t="str">
        <f t="shared" si="606"/>
        <v>64311</v>
      </c>
      <c r="P4182" t="str">
        <f>"3030L"</f>
        <v>3030L</v>
      </c>
      <c r="Q4182" t="str">
        <f t="shared" si="603"/>
        <v>0101</v>
      </c>
      <c r="R4182">
        <v>3030</v>
      </c>
      <c r="S4182" t="str">
        <f t="shared" si="607"/>
        <v>6430</v>
      </c>
      <c r="T4182" t="s">
        <v>3934</v>
      </c>
      <c r="U4182" t="s">
        <v>89</v>
      </c>
    </row>
    <row r="4183" spans="1:21" ht="15" customHeight="1" x14ac:dyDescent="0.3">
      <c r="A4183" t="s">
        <v>179</v>
      </c>
      <c r="B4183" t="str">
        <f>"00065722"</f>
        <v>00065722</v>
      </c>
      <c r="C4183" t="s">
        <v>4253</v>
      </c>
      <c r="D4183" t="s">
        <v>5572</v>
      </c>
      <c r="E4183" t="str">
        <f>"00067142"</f>
        <v>00067142</v>
      </c>
      <c r="F4183">
        <v>0</v>
      </c>
      <c r="G4183" s="243">
        <v>40847</v>
      </c>
      <c r="H4183" t="s">
        <v>182</v>
      </c>
      <c r="I4183">
        <v>15</v>
      </c>
      <c r="J4183">
        <v>1</v>
      </c>
      <c r="K4183">
        <v>1</v>
      </c>
      <c r="L4183">
        <v>51539</v>
      </c>
      <c r="M4183" t="str">
        <f t="shared" si="602"/>
        <v>13</v>
      </c>
      <c r="N4183" t="s">
        <v>3323</v>
      </c>
      <c r="O4183" t="str">
        <f t="shared" si="606"/>
        <v>64311</v>
      </c>
      <c r="P4183" t="str">
        <f>"2100L"</f>
        <v>2100L</v>
      </c>
      <c r="Q4183" t="str">
        <f t="shared" si="603"/>
        <v>0101</v>
      </c>
      <c r="R4183">
        <v>2100</v>
      </c>
      <c r="S4183" t="str">
        <f t="shared" si="607"/>
        <v>6430</v>
      </c>
      <c r="T4183" t="s">
        <v>3934</v>
      </c>
      <c r="U4183" t="s">
        <v>89</v>
      </c>
    </row>
    <row r="4184" spans="1:21" ht="15" customHeight="1" x14ac:dyDescent="0.3">
      <c r="A4184" t="s">
        <v>179</v>
      </c>
      <c r="B4184" t="str">
        <f>"00065725"</f>
        <v>00065725</v>
      </c>
      <c r="C4184" t="s">
        <v>4255</v>
      </c>
      <c r="D4184" t="s">
        <v>1415</v>
      </c>
      <c r="E4184" t="str">
        <f>"00063141"</f>
        <v>00063141</v>
      </c>
      <c r="F4184">
        <v>0</v>
      </c>
      <c r="G4184" s="243">
        <v>40420</v>
      </c>
      <c r="H4184" t="s">
        <v>182</v>
      </c>
      <c r="I4184">
        <v>15</v>
      </c>
      <c r="J4184">
        <v>10</v>
      </c>
      <c r="K4184">
        <v>1</v>
      </c>
      <c r="L4184">
        <v>78273</v>
      </c>
      <c r="M4184" t="str">
        <f t="shared" si="602"/>
        <v>13</v>
      </c>
      <c r="N4184" t="s">
        <v>3323</v>
      </c>
      <c r="O4184" t="str">
        <f t="shared" si="606"/>
        <v>64311</v>
      </c>
      <c r="P4184" t="str">
        <f>"2100L"</f>
        <v>2100L</v>
      </c>
      <c r="Q4184" t="str">
        <f t="shared" si="603"/>
        <v>0101</v>
      </c>
      <c r="R4184">
        <v>2100</v>
      </c>
      <c r="S4184" t="str">
        <f t="shared" si="607"/>
        <v>6430</v>
      </c>
      <c r="T4184" t="s">
        <v>3934</v>
      </c>
      <c r="U4184" t="s">
        <v>89</v>
      </c>
    </row>
    <row r="4185" spans="1:21" ht="15" customHeight="1" x14ac:dyDescent="0.3">
      <c r="A4185" t="s">
        <v>179</v>
      </c>
      <c r="B4185" t="str">
        <f>"00074010"</f>
        <v>00074010</v>
      </c>
      <c r="C4185" t="s">
        <v>4341</v>
      </c>
      <c r="H4185" t="s">
        <v>170</v>
      </c>
      <c r="I4185">
        <v>10</v>
      </c>
      <c r="J4185">
        <v>1</v>
      </c>
      <c r="K4185">
        <v>1</v>
      </c>
      <c r="L4185">
        <v>64547</v>
      </c>
      <c r="M4185" t="str">
        <f t="shared" si="602"/>
        <v>13</v>
      </c>
      <c r="N4185" t="s">
        <v>3323</v>
      </c>
      <c r="O4185" t="str">
        <f t="shared" si="606"/>
        <v>64311</v>
      </c>
      <c r="P4185" t="str">
        <f>"3030L"</f>
        <v>3030L</v>
      </c>
      <c r="Q4185" t="str">
        <f t="shared" si="603"/>
        <v>0101</v>
      </c>
      <c r="R4185">
        <v>3030</v>
      </c>
      <c r="S4185" t="str">
        <f t="shared" si="607"/>
        <v>6430</v>
      </c>
      <c r="T4185" t="s">
        <v>3934</v>
      </c>
      <c r="U4185" t="s">
        <v>89</v>
      </c>
    </row>
    <row r="4186" spans="1:21" ht="15" customHeight="1" x14ac:dyDescent="0.3">
      <c r="A4186" t="s">
        <v>179</v>
      </c>
      <c r="B4186" t="str">
        <f>"00074060"</f>
        <v>00074060</v>
      </c>
      <c r="C4186" t="s">
        <v>200</v>
      </c>
      <c r="D4186" t="s">
        <v>3937</v>
      </c>
      <c r="E4186" t="str">
        <f>"00049274"</f>
        <v>00049274</v>
      </c>
      <c r="F4186">
        <v>0</v>
      </c>
      <c r="G4186" s="243">
        <v>36880</v>
      </c>
      <c r="H4186" t="s">
        <v>182</v>
      </c>
      <c r="I4186">
        <v>15</v>
      </c>
      <c r="J4186">
        <v>14</v>
      </c>
      <c r="K4186">
        <v>1</v>
      </c>
      <c r="L4186">
        <v>98967</v>
      </c>
      <c r="M4186" t="str">
        <f t="shared" si="602"/>
        <v>13</v>
      </c>
      <c r="N4186" t="s">
        <v>3323</v>
      </c>
      <c r="O4186" t="str">
        <f t="shared" si="606"/>
        <v>64311</v>
      </c>
      <c r="P4186" t="str">
        <f>"2100L"</f>
        <v>2100L</v>
      </c>
      <c r="Q4186" t="str">
        <f t="shared" si="603"/>
        <v>0101</v>
      </c>
      <c r="R4186">
        <v>2100</v>
      </c>
      <c r="S4186" t="str">
        <f t="shared" si="607"/>
        <v>6430</v>
      </c>
      <c r="T4186" t="s">
        <v>3934</v>
      </c>
      <c r="U4186" t="s">
        <v>89</v>
      </c>
    </row>
    <row r="4187" spans="1:21" ht="15" customHeight="1" x14ac:dyDescent="0.3">
      <c r="A4187" t="s">
        <v>179</v>
      </c>
      <c r="B4187" t="str">
        <f>"00074394"</f>
        <v>00074394</v>
      </c>
      <c r="C4187" t="s">
        <v>4333</v>
      </c>
      <c r="D4187" t="s">
        <v>5573</v>
      </c>
      <c r="E4187" t="str">
        <f>"00048510"</f>
        <v>00048510</v>
      </c>
      <c r="F4187">
        <v>0</v>
      </c>
      <c r="G4187" s="243">
        <v>40771</v>
      </c>
      <c r="H4187" t="s">
        <v>182</v>
      </c>
      <c r="I4187">
        <v>12</v>
      </c>
      <c r="J4187">
        <v>10</v>
      </c>
      <c r="K4187">
        <v>1</v>
      </c>
      <c r="L4187">
        <v>77322</v>
      </c>
      <c r="M4187" t="str">
        <f t="shared" si="602"/>
        <v>13</v>
      </c>
      <c r="N4187" t="s">
        <v>3323</v>
      </c>
      <c r="O4187" t="str">
        <f t="shared" si="606"/>
        <v>64311</v>
      </c>
      <c r="P4187" t="str">
        <f>"1502L"</f>
        <v>1502L</v>
      </c>
      <c r="Q4187" t="str">
        <f t="shared" si="603"/>
        <v>0101</v>
      </c>
      <c r="R4187">
        <v>1502</v>
      </c>
      <c r="S4187" t="str">
        <f t="shared" si="607"/>
        <v>6430</v>
      </c>
      <c r="T4187" t="s">
        <v>3934</v>
      </c>
      <c r="U4187" t="s">
        <v>89</v>
      </c>
    </row>
    <row r="4188" spans="1:21" ht="15" customHeight="1" x14ac:dyDescent="0.3">
      <c r="A4188" t="s">
        <v>179</v>
      </c>
      <c r="B4188" t="str">
        <f>"00074395"</f>
        <v>00074395</v>
      </c>
      <c r="C4188" t="s">
        <v>4253</v>
      </c>
      <c r="D4188" t="s">
        <v>5574</v>
      </c>
      <c r="E4188" t="str">
        <f>"00069921"</f>
        <v>00069921</v>
      </c>
      <c r="F4188">
        <v>0</v>
      </c>
      <c r="G4188" s="243">
        <v>41133</v>
      </c>
      <c r="H4188" t="s">
        <v>182</v>
      </c>
      <c r="I4188">
        <v>15</v>
      </c>
      <c r="J4188">
        <v>1</v>
      </c>
      <c r="K4188">
        <v>1</v>
      </c>
      <c r="L4188">
        <v>51539</v>
      </c>
      <c r="M4188" t="str">
        <f t="shared" si="602"/>
        <v>13</v>
      </c>
      <c r="N4188" t="s">
        <v>3323</v>
      </c>
      <c r="O4188" t="str">
        <f t="shared" si="606"/>
        <v>64311</v>
      </c>
      <c r="P4188" t="str">
        <f t="shared" ref="P4188:P4201" si="608">"2100L"</f>
        <v>2100L</v>
      </c>
      <c r="Q4188" t="str">
        <f t="shared" si="603"/>
        <v>0101</v>
      </c>
      <c r="R4188">
        <v>2100</v>
      </c>
      <c r="S4188" t="str">
        <f t="shared" si="607"/>
        <v>6430</v>
      </c>
      <c r="T4188" t="s">
        <v>3934</v>
      </c>
      <c r="U4188" t="s">
        <v>89</v>
      </c>
    </row>
    <row r="4189" spans="1:21" ht="15" customHeight="1" x14ac:dyDescent="0.3">
      <c r="A4189" t="s">
        <v>179</v>
      </c>
      <c r="B4189" t="str">
        <f>"00074397"</f>
        <v>00074397</v>
      </c>
      <c r="C4189" t="s">
        <v>4253</v>
      </c>
      <c r="D4189" t="s">
        <v>5575</v>
      </c>
      <c r="E4189" t="str">
        <f>"00069570"</f>
        <v>00069570</v>
      </c>
      <c r="F4189">
        <v>0</v>
      </c>
      <c r="G4189" s="243">
        <v>41133</v>
      </c>
      <c r="H4189" t="s">
        <v>182</v>
      </c>
      <c r="I4189">
        <v>15</v>
      </c>
      <c r="J4189">
        <v>10</v>
      </c>
      <c r="K4189">
        <v>1</v>
      </c>
      <c r="L4189">
        <v>80729</v>
      </c>
      <c r="M4189" t="str">
        <f t="shared" si="602"/>
        <v>13</v>
      </c>
      <c r="N4189" t="s">
        <v>3370</v>
      </c>
      <c r="O4189" t="str">
        <f t="shared" si="606"/>
        <v>64311</v>
      </c>
      <c r="P4189" t="str">
        <f t="shared" si="608"/>
        <v>2100L</v>
      </c>
      <c r="Q4189" t="str">
        <f t="shared" si="603"/>
        <v>0101</v>
      </c>
      <c r="R4189">
        <v>2100</v>
      </c>
      <c r="S4189" t="str">
        <f t="shared" si="607"/>
        <v>6430</v>
      </c>
      <c r="T4189" t="s">
        <v>3934</v>
      </c>
      <c r="U4189" t="s">
        <v>89</v>
      </c>
    </row>
    <row r="4190" spans="1:21" ht="15" customHeight="1" x14ac:dyDescent="0.3">
      <c r="A4190" t="s">
        <v>179</v>
      </c>
      <c r="B4190" t="str">
        <f>"00074398"</f>
        <v>00074398</v>
      </c>
      <c r="C4190" t="s">
        <v>4253</v>
      </c>
      <c r="D4190" t="s">
        <v>3938</v>
      </c>
      <c r="E4190" t="str">
        <f>"00063110"</f>
        <v>00063110</v>
      </c>
      <c r="F4190">
        <v>0</v>
      </c>
      <c r="G4190" s="243">
        <v>40755</v>
      </c>
      <c r="H4190" t="s">
        <v>182</v>
      </c>
      <c r="I4190">
        <v>15</v>
      </c>
      <c r="J4190">
        <v>2</v>
      </c>
      <c r="K4190">
        <v>1</v>
      </c>
      <c r="L4190">
        <v>51716</v>
      </c>
      <c r="M4190" t="str">
        <f t="shared" si="602"/>
        <v>13</v>
      </c>
      <c r="N4190" t="s">
        <v>3323</v>
      </c>
      <c r="O4190" t="str">
        <f t="shared" si="606"/>
        <v>64311</v>
      </c>
      <c r="P4190" t="str">
        <f t="shared" si="608"/>
        <v>2100L</v>
      </c>
      <c r="Q4190" t="str">
        <f t="shared" si="603"/>
        <v>0101</v>
      </c>
      <c r="R4190">
        <v>2100</v>
      </c>
      <c r="S4190" t="str">
        <f t="shared" si="607"/>
        <v>6430</v>
      </c>
      <c r="T4190" t="s">
        <v>3934</v>
      </c>
      <c r="U4190" t="s">
        <v>89</v>
      </c>
    </row>
    <row r="4191" spans="1:21" ht="15" customHeight="1" x14ac:dyDescent="0.3">
      <c r="A4191" t="s">
        <v>179</v>
      </c>
      <c r="B4191" t="str">
        <f>"00074399"</f>
        <v>00074399</v>
      </c>
      <c r="C4191" t="s">
        <v>4253</v>
      </c>
      <c r="D4191" t="s">
        <v>5576</v>
      </c>
      <c r="E4191" t="str">
        <f>"00066228"</f>
        <v>00066228</v>
      </c>
      <c r="F4191">
        <v>0</v>
      </c>
      <c r="G4191" s="243">
        <v>40755</v>
      </c>
      <c r="H4191" t="s">
        <v>182</v>
      </c>
      <c r="I4191">
        <v>15</v>
      </c>
      <c r="J4191">
        <v>8</v>
      </c>
      <c r="K4191">
        <v>1</v>
      </c>
      <c r="L4191">
        <v>72171</v>
      </c>
      <c r="M4191" t="str">
        <f t="shared" si="602"/>
        <v>13</v>
      </c>
      <c r="N4191" t="s">
        <v>3323</v>
      </c>
      <c r="O4191" t="str">
        <f t="shared" si="606"/>
        <v>64311</v>
      </c>
      <c r="P4191" t="str">
        <f t="shared" si="608"/>
        <v>2100L</v>
      </c>
      <c r="Q4191" t="str">
        <f t="shared" si="603"/>
        <v>0101</v>
      </c>
      <c r="R4191">
        <v>2100</v>
      </c>
      <c r="S4191" t="str">
        <f t="shared" si="607"/>
        <v>6430</v>
      </c>
      <c r="T4191" t="s">
        <v>3934</v>
      </c>
      <c r="U4191" t="s">
        <v>89</v>
      </c>
    </row>
    <row r="4192" spans="1:21" ht="15" customHeight="1" x14ac:dyDescent="0.3">
      <c r="A4192" t="s">
        <v>179</v>
      </c>
      <c r="B4192" t="str">
        <f>"00074400"</f>
        <v>00074400</v>
      </c>
      <c r="C4192" t="s">
        <v>4253</v>
      </c>
      <c r="D4192" t="s">
        <v>5577</v>
      </c>
      <c r="E4192" t="str">
        <f>"00070050"</f>
        <v>00070050</v>
      </c>
      <c r="F4192">
        <v>0</v>
      </c>
      <c r="G4192" s="243">
        <v>41148</v>
      </c>
      <c r="H4192" t="s">
        <v>182</v>
      </c>
      <c r="I4192">
        <v>15</v>
      </c>
      <c r="J4192">
        <v>3</v>
      </c>
      <c r="K4192">
        <v>1</v>
      </c>
      <c r="L4192">
        <v>61159</v>
      </c>
      <c r="M4192" t="str">
        <f t="shared" si="602"/>
        <v>13</v>
      </c>
      <c r="N4192" t="s">
        <v>3323</v>
      </c>
      <c r="O4192" t="str">
        <f t="shared" si="606"/>
        <v>64311</v>
      </c>
      <c r="P4192" t="str">
        <f t="shared" si="608"/>
        <v>2100L</v>
      </c>
      <c r="Q4192" t="str">
        <f t="shared" si="603"/>
        <v>0101</v>
      </c>
      <c r="R4192">
        <v>2100</v>
      </c>
      <c r="S4192" t="str">
        <f t="shared" si="607"/>
        <v>6430</v>
      </c>
      <c r="T4192" t="s">
        <v>3934</v>
      </c>
      <c r="U4192" t="s">
        <v>89</v>
      </c>
    </row>
    <row r="4193" spans="1:21" ht="15" customHeight="1" x14ac:dyDescent="0.3">
      <c r="A4193" t="s">
        <v>179</v>
      </c>
      <c r="B4193" t="str">
        <f>"00074401"</f>
        <v>00074401</v>
      </c>
      <c r="C4193" t="s">
        <v>4253</v>
      </c>
      <c r="D4193" t="s">
        <v>3939</v>
      </c>
      <c r="E4193" t="str">
        <f>"00065690"</f>
        <v>00065690</v>
      </c>
      <c r="F4193">
        <v>0</v>
      </c>
      <c r="G4193" s="243">
        <v>40755</v>
      </c>
      <c r="H4193" t="s">
        <v>182</v>
      </c>
      <c r="I4193">
        <v>15</v>
      </c>
      <c r="J4193">
        <v>10</v>
      </c>
      <c r="K4193">
        <v>1</v>
      </c>
      <c r="L4193">
        <v>83199</v>
      </c>
      <c r="M4193" t="str">
        <f t="shared" si="602"/>
        <v>13</v>
      </c>
      <c r="N4193" t="s">
        <v>3323</v>
      </c>
      <c r="O4193" t="str">
        <f t="shared" si="606"/>
        <v>64311</v>
      </c>
      <c r="P4193" t="str">
        <f t="shared" si="608"/>
        <v>2100L</v>
      </c>
      <c r="Q4193" t="str">
        <f t="shared" si="603"/>
        <v>0101</v>
      </c>
      <c r="R4193">
        <v>2100</v>
      </c>
      <c r="S4193" t="str">
        <f t="shared" si="607"/>
        <v>6430</v>
      </c>
      <c r="T4193" t="s">
        <v>3934</v>
      </c>
      <c r="U4193" t="s">
        <v>89</v>
      </c>
    </row>
    <row r="4194" spans="1:21" ht="15" customHeight="1" x14ac:dyDescent="0.3">
      <c r="A4194" t="s">
        <v>179</v>
      </c>
      <c r="B4194" t="str">
        <f>"00074402"</f>
        <v>00074402</v>
      </c>
      <c r="C4194" t="s">
        <v>4260</v>
      </c>
      <c r="D4194" t="s">
        <v>3940</v>
      </c>
      <c r="E4194" t="str">
        <f>"00057708"</f>
        <v>00057708</v>
      </c>
      <c r="F4194">
        <v>0</v>
      </c>
      <c r="G4194" s="243">
        <v>40755</v>
      </c>
      <c r="H4194" t="s">
        <v>182</v>
      </c>
      <c r="I4194">
        <v>15</v>
      </c>
      <c r="J4194">
        <v>2</v>
      </c>
      <c r="K4194">
        <v>1</v>
      </c>
      <c r="L4194">
        <v>56242</v>
      </c>
      <c r="M4194" t="str">
        <f t="shared" si="602"/>
        <v>13</v>
      </c>
      <c r="N4194" t="s">
        <v>3323</v>
      </c>
      <c r="O4194" t="str">
        <f t="shared" si="606"/>
        <v>64311</v>
      </c>
      <c r="P4194" t="str">
        <f t="shared" si="608"/>
        <v>2100L</v>
      </c>
      <c r="Q4194" t="str">
        <f t="shared" si="603"/>
        <v>0101</v>
      </c>
      <c r="R4194">
        <v>2100</v>
      </c>
      <c r="S4194" t="str">
        <f t="shared" si="607"/>
        <v>6430</v>
      </c>
      <c r="T4194" t="s">
        <v>3934</v>
      </c>
      <c r="U4194" t="s">
        <v>89</v>
      </c>
    </row>
    <row r="4195" spans="1:21" ht="15" customHeight="1" x14ac:dyDescent="0.3">
      <c r="A4195" t="s">
        <v>179</v>
      </c>
      <c r="B4195" t="str">
        <f>"00074403"</f>
        <v>00074403</v>
      </c>
      <c r="C4195" t="s">
        <v>4257</v>
      </c>
      <c r="H4195" t="s">
        <v>170</v>
      </c>
      <c r="I4195">
        <v>15</v>
      </c>
      <c r="J4195">
        <v>1</v>
      </c>
      <c r="K4195">
        <v>1</v>
      </c>
      <c r="L4195">
        <v>51539</v>
      </c>
      <c r="M4195" t="str">
        <f t="shared" si="602"/>
        <v>13</v>
      </c>
      <c r="N4195" t="s">
        <v>3323</v>
      </c>
      <c r="O4195" t="str">
        <f t="shared" si="606"/>
        <v>64311</v>
      </c>
      <c r="P4195" t="str">
        <f t="shared" si="608"/>
        <v>2100L</v>
      </c>
      <c r="Q4195" t="str">
        <f t="shared" si="603"/>
        <v>0101</v>
      </c>
      <c r="R4195">
        <v>2100</v>
      </c>
      <c r="S4195" t="str">
        <f t="shared" si="607"/>
        <v>6430</v>
      </c>
      <c r="T4195" t="s">
        <v>3934</v>
      </c>
      <c r="U4195" t="s">
        <v>89</v>
      </c>
    </row>
    <row r="4196" spans="1:21" ht="15" customHeight="1" x14ac:dyDescent="0.3">
      <c r="A4196" t="s">
        <v>179</v>
      </c>
      <c r="B4196" t="str">
        <f>"00074405"</f>
        <v>00074405</v>
      </c>
      <c r="C4196" t="s">
        <v>4256</v>
      </c>
      <c r="H4196" t="s">
        <v>170</v>
      </c>
      <c r="I4196">
        <v>15</v>
      </c>
      <c r="J4196">
        <v>1</v>
      </c>
      <c r="K4196">
        <v>1</v>
      </c>
      <c r="L4196">
        <v>51539</v>
      </c>
      <c r="M4196" t="str">
        <f t="shared" si="602"/>
        <v>13</v>
      </c>
      <c r="N4196" t="s">
        <v>3323</v>
      </c>
      <c r="O4196" t="str">
        <f t="shared" si="606"/>
        <v>64311</v>
      </c>
      <c r="P4196" t="str">
        <f t="shared" si="608"/>
        <v>2100L</v>
      </c>
      <c r="Q4196" t="str">
        <f t="shared" si="603"/>
        <v>0101</v>
      </c>
      <c r="R4196">
        <v>2100</v>
      </c>
      <c r="S4196" t="str">
        <f t="shared" si="607"/>
        <v>6430</v>
      </c>
      <c r="T4196" t="s">
        <v>3934</v>
      </c>
      <c r="U4196" t="s">
        <v>89</v>
      </c>
    </row>
    <row r="4197" spans="1:21" ht="15" customHeight="1" x14ac:dyDescent="0.3">
      <c r="A4197" t="s">
        <v>179</v>
      </c>
      <c r="B4197" t="str">
        <f>"00074406"</f>
        <v>00074406</v>
      </c>
      <c r="C4197" t="s">
        <v>4254</v>
      </c>
      <c r="H4197" t="s">
        <v>170</v>
      </c>
      <c r="I4197">
        <v>15</v>
      </c>
      <c r="J4197">
        <v>1</v>
      </c>
      <c r="K4197">
        <v>1</v>
      </c>
      <c r="L4197">
        <v>54975</v>
      </c>
      <c r="M4197" t="str">
        <f t="shared" si="602"/>
        <v>13</v>
      </c>
      <c r="N4197" t="s">
        <v>3323</v>
      </c>
      <c r="O4197" t="str">
        <f t="shared" si="606"/>
        <v>64311</v>
      </c>
      <c r="P4197" t="str">
        <f t="shared" si="608"/>
        <v>2100L</v>
      </c>
      <c r="Q4197" t="str">
        <f t="shared" si="603"/>
        <v>0101</v>
      </c>
      <c r="R4197">
        <v>2100</v>
      </c>
      <c r="S4197" t="str">
        <f t="shared" si="607"/>
        <v>6430</v>
      </c>
      <c r="T4197" t="s">
        <v>3934</v>
      </c>
      <c r="U4197" t="s">
        <v>89</v>
      </c>
    </row>
    <row r="4198" spans="1:21" ht="15" customHeight="1" x14ac:dyDescent="0.3">
      <c r="A4198" t="s">
        <v>179</v>
      </c>
      <c r="B4198" t="str">
        <f>"00074407"</f>
        <v>00074407</v>
      </c>
      <c r="C4198" t="s">
        <v>4267</v>
      </c>
      <c r="H4198" t="s">
        <v>170</v>
      </c>
      <c r="I4198">
        <v>15</v>
      </c>
      <c r="J4198">
        <v>1</v>
      </c>
      <c r="K4198">
        <v>1</v>
      </c>
      <c r="L4198">
        <v>54975</v>
      </c>
      <c r="M4198" t="str">
        <f t="shared" si="602"/>
        <v>13</v>
      </c>
      <c r="N4198" t="s">
        <v>3323</v>
      </c>
      <c r="O4198" t="str">
        <f t="shared" si="606"/>
        <v>64311</v>
      </c>
      <c r="P4198" t="str">
        <f t="shared" si="608"/>
        <v>2100L</v>
      </c>
      <c r="Q4198" t="str">
        <f t="shared" si="603"/>
        <v>0101</v>
      </c>
      <c r="R4198">
        <v>2100</v>
      </c>
      <c r="S4198" t="str">
        <f t="shared" si="607"/>
        <v>6430</v>
      </c>
      <c r="T4198" t="s">
        <v>3934</v>
      </c>
      <c r="U4198" t="s">
        <v>89</v>
      </c>
    </row>
    <row r="4199" spans="1:21" ht="15" customHeight="1" x14ac:dyDescent="0.3">
      <c r="A4199" t="s">
        <v>179</v>
      </c>
      <c r="B4199" t="str">
        <f>"00074408"</f>
        <v>00074408</v>
      </c>
      <c r="C4199" t="s">
        <v>5537</v>
      </c>
      <c r="D4199" t="s">
        <v>3935</v>
      </c>
      <c r="E4199" t="str">
        <f>"00035736"</f>
        <v>00035736</v>
      </c>
      <c r="F4199">
        <v>0</v>
      </c>
      <c r="G4199" s="243">
        <v>40770</v>
      </c>
      <c r="H4199" t="s">
        <v>182</v>
      </c>
      <c r="I4199">
        <v>10</v>
      </c>
      <c r="J4199">
        <v>3</v>
      </c>
      <c r="K4199">
        <v>1</v>
      </c>
      <c r="L4199">
        <v>67198</v>
      </c>
      <c r="M4199" t="str">
        <f t="shared" si="602"/>
        <v>13</v>
      </c>
      <c r="N4199" t="s">
        <v>3323</v>
      </c>
      <c r="O4199" t="str">
        <f t="shared" si="606"/>
        <v>64311</v>
      </c>
      <c r="P4199" t="str">
        <f t="shared" si="608"/>
        <v>2100L</v>
      </c>
      <c r="Q4199" t="str">
        <f t="shared" si="603"/>
        <v>0101</v>
      </c>
      <c r="R4199">
        <v>2100</v>
      </c>
      <c r="S4199" t="str">
        <f t="shared" si="607"/>
        <v>6430</v>
      </c>
      <c r="T4199" t="s">
        <v>3934</v>
      </c>
      <c r="U4199" t="s">
        <v>89</v>
      </c>
    </row>
    <row r="4200" spans="1:21" ht="15" customHeight="1" x14ac:dyDescent="0.3">
      <c r="A4200" t="s">
        <v>179</v>
      </c>
      <c r="B4200" t="str">
        <f>"00074409"</f>
        <v>00074409</v>
      </c>
      <c r="C4200" t="s">
        <v>4395</v>
      </c>
      <c r="D4200" t="s">
        <v>3936</v>
      </c>
      <c r="E4200" t="str">
        <f>"00066226"</f>
        <v>00066226</v>
      </c>
      <c r="F4200">
        <v>0</v>
      </c>
      <c r="G4200" s="243">
        <v>40770</v>
      </c>
      <c r="H4200" t="s">
        <v>182</v>
      </c>
      <c r="I4200">
        <v>10</v>
      </c>
      <c r="J4200">
        <v>7</v>
      </c>
      <c r="K4200">
        <v>1</v>
      </c>
      <c r="L4200">
        <v>77822</v>
      </c>
      <c r="M4200" t="str">
        <f t="shared" si="602"/>
        <v>13</v>
      </c>
      <c r="N4200" t="s">
        <v>3323</v>
      </c>
      <c r="O4200" t="str">
        <f t="shared" si="606"/>
        <v>64311</v>
      </c>
      <c r="P4200" t="str">
        <f t="shared" si="608"/>
        <v>2100L</v>
      </c>
      <c r="Q4200" t="str">
        <f t="shared" si="603"/>
        <v>0101</v>
      </c>
      <c r="R4200">
        <v>2100</v>
      </c>
      <c r="S4200" t="str">
        <f t="shared" si="607"/>
        <v>6430</v>
      </c>
      <c r="T4200" t="s">
        <v>3934</v>
      </c>
      <c r="U4200" t="s">
        <v>89</v>
      </c>
    </row>
    <row r="4201" spans="1:21" ht="15" customHeight="1" x14ac:dyDescent="0.3">
      <c r="A4201" t="s">
        <v>179</v>
      </c>
      <c r="B4201" t="str">
        <f>"00074587"</f>
        <v>00074587</v>
      </c>
      <c r="C4201" t="s">
        <v>4253</v>
      </c>
      <c r="D4201" t="s">
        <v>5578</v>
      </c>
      <c r="E4201" t="str">
        <f>"00069960"</f>
        <v>00069960</v>
      </c>
      <c r="F4201">
        <v>0</v>
      </c>
      <c r="G4201" s="243">
        <v>41133</v>
      </c>
      <c r="H4201" t="s">
        <v>182</v>
      </c>
      <c r="I4201">
        <v>15</v>
      </c>
      <c r="J4201">
        <v>2</v>
      </c>
      <c r="K4201">
        <v>1</v>
      </c>
      <c r="L4201">
        <v>51716</v>
      </c>
      <c r="M4201" t="str">
        <f t="shared" si="602"/>
        <v>13</v>
      </c>
      <c r="N4201" t="s">
        <v>3323</v>
      </c>
      <c r="O4201" t="str">
        <f t="shared" si="606"/>
        <v>64311</v>
      </c>
      <c r="P4201" t="str">
        <f t="shared" si="608"/>
        <v>2100L</v>
      </c>
      <c r="Q4201" t="str">
        <f t="shared" si="603"/>
        <v>0101</v>
      </c>
      <c r="R4201">
        <v>2100</v>
      </c>
      <c r="S4201" t="str">
        <f t="shared" si="607"/>
        <v>6430</v>
      </c>
      <c r="T4201" t="s">
        <v>3934</v>
      </c>
      <c r="U4201" t="s">
        <v>89</v>
      </c>
    </row>
    <row r="4202" spans="1:21" ht="15" customHeight="1" x14ac:dyDescent="0.3">
      <c r="A4202" t="s">
        <v>179</v>
      </c>
      <c r="B4202" t="str">
        <f>"00074588"</f>
        <v>00074588</v>
      </c>
      <c r="C4202" t="s">
        <v>4260</v>
      </c>
      <c r="H4202" t="s">
        <v>170</v>
      </c>
      <c r="I4202">
        <v>15</v>
      </c>
      <c r="J4202">
        <v>1</v>
      </c>
      <c r="K4202">
        <v>1</v>
      </c>
      <c r="L4202">
        <v>54975</v>
      </c>
      <c r="M4202" t="str">
        <f t="shared" si="602"/>
        <v>13</v>
      </c>
      <c r="N4202" t="s">
        <v>3323</v>
      </c>
      <c r="O4202" t="str">
        <f t="shared" si="606"/>
        <v>64311</v>
      </c>
      <c r="P4202" t="str">
        <f>"3030L"</f>
        <v>3030L</v>
      </c>
      <c r="Q4202" t="str">
        <f t="shared" si="603"/>
        <v>0101</v>
      </c>
      <c r="R4202">
        <v>3030</v>
      </c>
      <c r="S4202" t="str">
        <f t="shared" si="607"/>
        <v>6430</v>
      </c>
      <c r="T4202" t="s">
        <v>3934</v>
      </c>
      <c r="U4202" t="s">
        <v>89</v>
      </c>
    </row>
    <row r="4203" spans="1:21" ht="15" customHeight="1" x14ac:dyDescent="0.3">
      <c r="A4203" t="s">
        <v>179</v>
      </c>
      <c r="B4203" t="str">
        <f>"00074698"</f>
        <v>00074698</v>
      </c>
      <c r="C4203" t="s">
        <v>4253</v>
      </c>
      <c r="D4203" t="s">
        <v>3944</v>
      </c>
      <c r="E4203" t="str">
        <f>"00066230"</f>
        <v>00066230</v>
      </c>
      <c r="F4203">
        <v>0</v>
      </c>
      <c r="G4203" s="243">
        <v>40755</v>
      </c>
      <c r="H4203" t="s">
        <v>182</v>
      </c>
      <c r="I4203">
        <v>15</v>
      </c>
      <c r="J4203">
        <v>2</v>
      </c>
      <c r="K4203">
        <v>1</v>
      </c>
      <c r="L4203">
        <v>51716</v>
      </c>
      <c r="M4203" t="str">
        <f t="shared" si="602"/>
        <v>13</v>
      </c>
      <c r="N4203" t="s">
        <v>3323</v>
      </c>
      <c r="O4203" t="str">
        <f t="shared" si="606"/>
        <v>64311</v>
      </c>
      <c r="P4203" t="str">
        <f>"2100L"</f>
        <v>2100L</v>
      </c>
      <c r="Q4203" t="str">
        <f t="shared" si="603"/>
        <v>0101</v>
      </c>
      <c r="R4203">
        <v>2100</v>
      </c>
      <c r="S4203" t="str">
        <f t="shared" si="607"/>
        <v>6430</v>
      </c>
      <c r="T4203" t="s">
        <v>3934</v>
      </c>
      <c r="U4203" t="s">
        <v>89</v>
      </c>
    </row>
    <row r="4204" spans="1:21" ht="15" customHeight="1" x14ac:dyDescent="0.3">
      <c r="A4204" t="s">
        <v>179</v>
      </c>
      <c r="B4204" t="str">
        <f>"00074997"</f>
        <v>00074997</v>
      </c>
      <c r="C4204" t="s">
        <v>4253</v>
      </c>
      <c r="D4204" t="s">
        <v>3945</v>
      </c>
      <c r="E4204" t="str">
        <f>"00066674"</f>
        <v>00066674</v>
      </c>
      <c r="F4204">
        <v>0</v>
      </c>
      <c r="G4204" s="243">
        <v>40755</v>
      </c>
      <c r="H4204" t="s">
        <v>182</v>
      </c>
      <c r="I4204">
        <v>15</v>
      </c>
      <c r="J4204">
        <v>2</v>
      </c>
      <c r="K4204">
        <v>1</v>
      </c>
      <c r="L4204">
        <v>51716</v>
      </c>
      <c r="M4204" t="str">
        <f t="shared" si="602"/>
        <v>13</v>
      </c>
      <c r="N4204" t="s">
        <v>3323</v>
      </c>
      <c r="O4204" t="str">
        <f t="shared" si="606"/>
        <v>64311</v>
      </c>
      <c r="P4204" t="str">
        <f>"2100L"</f>
        <v>2100L</v>
      </c>
      <c r="Q4204" t="str">
        <f t="shared" si="603"/>
        <v>0101</v>
      </c>
      <c r="R4204">
        <v>2100</v>
      </c>
      <c r="S4204" t="str">
        <f t="shared" si="607"/>
        <v>6430</v>
      </c>
      <c r="T4204" t="s">
        <v>3934</v>
      </c>
      <c r="U4204" t="s">
        <v>89</v>
      </c>
    </row>
    <row r="4205" spans="1:21" ht="15" customHeight="1" x14ac:dyDescent="0.3">
      <c r="A4205" t="s">
        <v>179</v>
      </c>
      <c r="B4205" t="str">
        <f>"00075001"</f>
        <v>00075001</v>
      </c>
      <c r="C4205" t="s">
        <v>3670</v>
      </c>
      <c r="D4205" t="s">
        <v>5579</v>
      </c>
      <c r="E4205" t="str">
        <f>"00047251"</f>
        <v>00047251</v>
      </c>
      <c r="F4205">
        <v>0</v>
      </c>
      <c r="G4205" s="243">
        <v>37861</v>
      </c>
      <c r="H4205" t="s">
        <v>182</v>
      </c>
      <c r="I4205">
        <v>8</v>
      </c>
      <c r="J4205">
        <v>5</v>
      </c>
      <c r="K4205">
        <v>1</v>
      </c>
      <c r="L4205">
        <v>92198</v>
      </c>
      <c r="M4205" t="str">
        <f t="shared" si="602"/>
        <v>13</v>
      </c>
      <c r="N4205" t="s">
        <v>3323</v>
      </c>
      <c r="O4205" t="str">
        <f t="shared" si="606"/>
        <v>64311</v>
      </c>
      <c r="P4205" t="str">
        <f>"1501L"</f>
        <v>1501L</v>
      </c>
      <c r="Q4205" t="str">
        <f t="shared" si="603"/>
        <v>0101</v>
      </c>
      <c r="R4205">
        <v>1501</v>
      </c>
      <c r="S4205" t="str">
        <f t="shared" si="607"/>
        <v>6430</v>
      </c>
      <c r="T4205" t="s">
        <v>3844</v>
      </c>
      <c r="U4205" t="s">
        <v>89</v>
      </c>
    </row>
    <row r="4206" spans="1:21" ht="15" customHeight="1" x14ac:dyDescent="0.3">
      <c r="A4206" t="s">
        <v>179</v>
      </c>
      <c r="B4206" t="str">
        <f>"00076134"</f>
        <v>00076134</v>
      </c>
      <c r="C4206" t="s">
        <v>4253</v>
      </c>
      <c r="D4206" t="s">
        <v>5580</v>
      </c>
      <c r="E4206" t="str">
        <f>"00069576"</f>
        <v>00069576</v>
      </c>
      <c r="F4206">
        <v>0</v>
      </c>
      <c r="G4206" s="243">
        <v>41133</v>
      </c>
      <c r="H4206" t="s">
        <v>182</v>
      </c>
      <c r="I4206">
        <v>15</v>
      </c>
      <c r="J4206">
        <v>6</v>
      </c>
      <c r="K4206">
        <v>1</v>
      </c>
      <c r="L4206">
        <v>58599</v>
      </c>
      <c r="M4206" t="str">
        <f t="shared" si="602"/>
        <v>13</v>
      </c>
      <c r="N4206" t="s">
        <v>3370</v>
      </c>
      <c r="O4206" t="str">
        <f t="shared" si="606"/>
        <v>64311</v>
      </c>
      <c r="P4206" t="str">
        <f t="shared" ref="P4206:P4211" si="609">"2100L"</f>
        <v>2100L</v>
      </c>
      <c r="Q4206" t="str">
        <f t="shared" si="603"/>
        <v>0101</v>
      </c>
      <c r="R4206">
        <v>2100</v>
      </c>
      <c r="S4206" t="str">
        <f t="shared" si="607"/>
        <v>6430</v>
      </c>
      <c r="T4206" t="s">
        <v>3934</v>
      </c>
      <c r="U4206" t="s">
        <v>89</v>
      </c>
    </row>
    <row r="4207" spans="1:21" ht="15" customHeight="1" x14ac:dyDescent="0.3">
      <c r="A4207" t="s">
        <v>179</v>
      </c>
      <c r="B4207" t="str">
        <f>"00076135"</f>
        <v>00076135</v>
      </c>
      <c r="C4207" t="s">
        <v>4253</v>
      </c>
      <c r="H4207" t="s">
        <v>170</v>
      </c>
      <c r="I4207">
        <v>15</v>
      </c>
      <c r="J4207">
        <v>0</v>
      </c>
      <c r="K4207">
        <v>1</v>
      </c>
      <c r="L4207">
        <v>51539</v>
      </c>
      <c r="M4207" t="str">
        <f t="shared" si="602"/>
        <v>13</v>
      </c>
      <c r="N4207" t="s">
        <v>3370</v>
      </c>
      <c r="O4207" t="str">
        <f t="shared" si="606"/>
        <v>64311</v>
      </c>
      <c r="P4207" t="str">
        <f t="shared" si="609"/>
        <v>2100L</v>
      </c>
      <c r="Q4207" t="str">
        <f t="shared" si="603"/>
        <v>0101</v>
      </c>
      <c r="R4207">
        <v>2100</v>
      </c>
      <c r="S4207" t="str">
        <f t="shared" si="607"/>
        <v>6430</v>
      </c>
      <c r="T4207" t="s">
        <v>3934</v>
      </c>
      <c r="U4207" t="s">
        <v>89</v>
      </c>
    </row>
    <row r="4208" spans="1:21" ht="15" customHeight="1" x14ac:dyDescent="0.3">
      <c r="A4208" t="s">
        <v>179</v>
      </c>
      <c r="B4208" t="str">
        <f>"00076136"</f>
        <v>00076136</v>
      </c>
      <c r="C4208" t="s">
        <v>4253</v>
      </c>
      <c r="D4208" t="s">
        <v>5581</v>
      </c>
      <c r="E4208" t="str">
        <f>"00069870"</f>
        <v>00069870</v>
      </c>
      <c r="F4208">
        <v>0</v>
      </c>
      <c r="G4208" s="243">
        <v>41133</v>
      </c>
      <c r="H4208" t="s">
        <v>182</v>
      </c>
      <c r="I4208">
        <v>15</v>
      </c>
      <c r="J4208">
        <v>8</v>
      </c>
      <c r="K4208">
        <v>1</v>
      </c>
      <c r="L4208">
        <v>72171</v>
      </c>
      <c r="M4208" t="str">
        <f t="shared" ref="M4208:M4262" si="610">"13"</f>
        <v>13</v>
      </c>
      <c r="N4208" t="s">
        <v>3370</v>
      </c>
      <c r="O4208" t="str">
        <f t="shared" si="606"/>
        <v>64311</v>
      </c>
      <c r="P4208" t="str">
        <f t="shared" si="609"/>
        <v>2100L</v>
      </c>
      <c r="Q4208" t="str">
        <f t="shared" si="603"/>
        <v>0101</v>
      </c>
      <c r="R4208">
        <v>2100</v>
      </c>
      <c r="S4208" t="str">
        <f t="shared" si="607"/>
        <v>6430</v>
      </c>
      <c r="T4208" t="s">
        <v>3934</v>
      </c>
      <c r="U4208" t="s">
        <v>89</v>
      </c>
    </row>
    <row r="4209" spans="1:21" ht="15" customHeight="1" x14ac:dyDescent="0.3">
      <c r="A4209" t="s">
        <v>179</v>
      </c>
      <c r="B4209" t="str">
        <f>"00076137"</f>
        <v>00076137</v>
      </c>
      <c r="C4209" t="s">
        <v>4800</v>
      </c>
      <c r="D4209" t="s">
        <v>1089</v>
      </c>
      <c r="E4209" t="str">
        <f>"00050675"</f>
        <v>00050675</v>
      </c>
      <c r="F4209">
        <v>0</v>
      </c>
      <c r="G4209" s="243">
        <v>40042</v>
      </c>
      <c r="H4209" t="s">
        <v>182</v>
      </c>
      <c r="I4209">
        <v>10</v>
      </c>
      <c r="J4209">
        <v>7</v>
      </c>
      <c r="K4209">
        <v>1</v>
      </c>
      <c r="L4209">
        <v>77822</v>
      </c>
      <c r="M4209" t="str">
        <f t="shared" si="610"/>
        <v>13</v>
      </c>
      <c r="N4209" t="s">
        <v>3370</v>
      </c>
      <c r="O4209" t="str">
        <f t="shared" si="606"/>
        <v>64311</v>
      </c>
      <c r="P4209" t="str">
        <f t="shared" si="609"/>
        <v>2100L</v>
      </c>
      <c r="Q4209" t="str">
        <f t="shared" si="603"/>
        <v>0101</v>
      </c>
      <c r="R4209">
        <v>2100</v>
      </c>
      <c r="S4209" t="str">
        <f t="shared" si="607"/>
        <v>6430</v>
      </c>
      <c r="T4209" t="s">
        <v>3934</v>
      </c>
      <c r="U4209" t="s">
        <v>89</v>
      </c>
    </row>
    <row r="4210" spans="1:21" ht="15" customHeight="1" x14ac:dyDescent="0.3">
      <c r="A4210" t="s">
        <v>179</v>
      </c>
      <c r="B4210" t="str">
        <f>"00076138"</f>
        <v>00076138</v>
      </c>
      <c r="C4210" t="s">
        <v>4438</v>
      </c>
      <c r="D4210" t="s">
        <v>5582</v>
      </c>
      <c r="E4210" t="str">
        <f>"00045326"</f>
        <v>00045326</v>
      </c>
      <c r="F4210">
        <v>0</v>
      </c>
      <c r="G4210" s="243">
        <v>31306</v>
      </c>
      <c r="H4210" t="s">
        <v>182</v>
      </c>
      <c r="I4210">
        <v>11</v>
      </c>
      <c r="J4210">
        <v>9</v>
      </c>
      <c r="K4210">
        <v>0.5</v>
      </c>
      <c r="L4210">
        <v>85324</v>
      </c>
      <c r="M4210" t="str">
        <f t="shared" si="610"/>
        <v>13</v>
      </c>
      <c r="N4210" t="s">
        <v>3370</v>
      </c>
      <c r="O4210" t="str">
        <f t="shared" si="606"/>
        <v>64311</v>
      </c>
      <c r="P4210" t="str">
        <f t="shared" si="609"/>
        <v>2100L</v>
      </c>
      <c r="Q4210" t="str">
        <f t="shared" si="603"/>
        <v>0101</v>
      </c>
      <c r="R4210">
        <v>2100</v>
      </c>
      <c r="S4210" t="str">
        <f t="shared" si="607"/>
        <v>6430</v>
      </c>
      <c r="T4210" t="s">
        <v>3934</v>
      </c>
      <c r="U4210" t="s">
        <v>89</v>
      </c>
    </row>
    <row r="4211" spans="1:21" ht="15" customHeight="1" x14ac:dyDescent="0.3">
      <c r="A4211" t="s">
        <v>179</v>
      </c>
      <c r="B4211" t="str">
        <f>"00076139"</f>
        <v>00076139</v>
      </c>
      <c r="C4211" t="s">
        <v>4253</v>
      </c>
      <c r="D4211" t="s">
        <v>5583</v>
      </c>
      <c r="E4211" t="str">
        <f>"00061512"</f>
        <v>00061512</v>
      </c>
      <c r="F4211">
        <v>0</v>
      </c>
      <c r="G4211" s="243">
        <v>41125</v>
      </c>
      <c r="H4211" t="s">
        <v>182</v>
      </c>
      <c r="I4211">
        <v>15</v>
      </c>
      <c r="J4211">
        <v>9</v>
      </c>
      <c r="K4211">
        <v>1</v>
      </c>
      <c r="L4211">
        <v>77687</v>
      </c>
      <c r="M4211" t="str">
        <f t="shared" si="610"/>
        <v>13</v>
      </c>
      <c r="N4211" t="s">
        <v>3323</v>
      </c>
      <c r="O4211" t="str">
        <f t="shared" si="606"/>
        <v>64311</v>
      </c>
      <c r="P4211" t="str">
        <f t="shared" si="609"/>
        <v>2100L</v>
      </c>
      <c r="Q4211" t="str">
        <f t="shared" si="603"/>
        <v>0101</v>
      </c>
      <c r="R4211">
        <v>2100</v>
      </c>
      <c r="S4211" t="str">
        <f t="shared" si="607"/>
        <v>6430</v>
      </c>
      <c r="T4211" t="s">
        <v>3934</v>
      </c>
      <c r="U4211" t="s">
        <v>89</v>
      </c>
    </row>
    <row r="4212" spans="1:21" ht="15" customHeight="1" x14ac:dyDescent="0.3">
      <c r="A4212" t="s">
        <v>179</v>
      </c>
      <c r="B4212" t="str">
        <f>"00076523"</f>
        <v>00076523</v>
      </c>
      <c r="C4212" t="s">
        <v>4253</v>
      </c>
      <c r="D4212" t="s">
        <v>5584</v>
      </c>
      <c r="E4212" t="str">
        <f>"00069808"</f>
        <v>00069808</v>
      </c>
      <c r="F4212">
        <v>0</v>
      </c>
      <c r="G4212" s="243">
        <v>41133</v>
      </c>
      <c r="H4212" t="s">
        <v>182</v>
      </c>
      <c r="I4212">
        <v>15</v>
      </c>
      <c r="J4212">
        <v>4</v>
      </c>
      <c r="K4212">
        <v>1</v>
      </c>
      <c r="L4212">
        <v>57147</v>
      </c>
      <c r="M4212" t="str">
        <f t="shared" si="610"/>
        <v>13</v>
      </c>
      <c r="N4212" t="s">
        <v>3370</v>
      </c>
      <c r="O4212" t="str">
        <f t="shared" si="606"/>
        <v>64311</v>
      </c>
      <c r="P4212" t="str">
        <f>"3030L"</f>
        <v>3030L</v>
      </c>
      <c r="Q4212" t="str">
        <f t="shared" si="603"/>
        <v>0101</v>
      </c>
      <c r="R4212">
        <v>3030</v>
      </c>
      <c r="S4212" t="str">
        <f t="shared" si="607"/>
        <v>6430</v>
      </c>
      <c r="T4212" t="s">
        <v>3934</v>
      </c>
      <c r="U4212" t="s">
        <v>89</v>
      </c>
    </row>
    <row r="4213" spans="1:21" ht="15" customHeight="1" x14ac:dyDescent="0.3">
      <c r="A4213" t="s">
        <v>179</v>
      </c>
      <c r="B4213" t="str">
        <f>"00055302"</f>
        <v>00055302</v>
      </c>
      <c r="C4213" t="s">
        <v>4360</v>
      </c>
      <c r="D4213" t="s">
        <v>5585</v>
      </c>
      <c r="E4213" t="str">
        <f>"00052104"</f>
        <v>00052104</v>
      </c>
      <c r="F4213">
        <v>0</v>
      </c>
      <c r="G4213" s="243">
        <v>36294</v>
      </c>
      <c r="H4213" t="s">
        <v>182</v>
      </c>
      <c r="I4213">
        <v>7</v>
      </c>
      <c r="J4213">
        <v>3</v>
      </c>
      <c r="K4213">
        <v>0.875</v>
      </c>
      <c r="L4213">
        <v>37084</v>
      </c>
      <c r="M4213" t="str">
        <f t="shared" si="610"/>
        <v>13</v>
      </c>
      <c r="N4213" t="s">
        <v>3323</v>
      </c>
      <c r="O4213" t="str">
        <f t="shared" ref="O4213:O4249" si="611">"64511"</f>
        <v>64511</v>
      </c>
      <c r="P4213" t="str">
        <f>"1502L"</f>
        <v>1502L</v>
      </c>
      <c r="Q4213" t="str">
        <f t="shared" si="603"/>
        <v>0101</v>
      </c>
      <c r="R4213">
        <v>1502</v>
      </c>
      <c r="S4213" t="str">
        <f t="shared" ref="S4213:S4249" si="612">"6450"</f>
        <v>6450</v>
      </c>
      <c r="T4213" t="s">
        <v>3523</v>
      </c>
      <c r="U4213" t="s">
        <v>90</v>
      </c>
    </row>
    <row r="4214" spans="1:21" ht="15" customHeight="1" x14ac:dyDescent="0.3">
      <c r="A4214" t="s">
        <v>179</v>
      </c>
      <c r="B4214" t="str">
        <f>"00059340"</f>
        <v>00059340</v>
      </c>
      <c r="C4214" t="s">
        <v>3798</v>
      </c>
      <c r="D4214" t="s">
        <v>1569</v>
      </c>
      <c r="E4214" t="str">
        <f>"00044870"</f>
        <v>00044870</v>
      </c>
      <c r="F4214">
        <v>0</v>
      </c>
      <c r="G4214" s="243">
        <v>39649</v>
      </c>
      <c r="H4214" t="s">
        <v>182</v>
      </c>
      <c r="I4214">
        <v>63</v>
      </c>
      <c r="J4214">
        <v>2</v>
      </c>
      <c r="K4214">
        <v>1</v>
      </c>
      <c r="L4214">
        <v>111000</v>
      </c>
      <c r="M4214" t="str">
        <f t="shared" si="610"/>
        <v>13</v>
      </c>
      <c r="N4214" t="s">
        <v>3323</v>
      </c>
      <c r="O4214" t="str">
        <f t="shared" si="611"/>
        <v>64511</v>
      </c>
      <c r="P4214" t="str">
        <f>"1501L"</f>
        <v>1501L</v>
      </c>
      <c r="Q4214" t="str">
        <f t="shared" ref="Q4214:Q4269" si="613">"0101"</f>
        <v>0101</v>
      </c>
      <c r="R4214">
        <v>1501</v>
      </c>
      <c r="S4214" t="str">
        <f t="shared" si="612"/>
        <v>6450</v>
      </c>
      <c r="T4214" t="s">
        <v>3523</v>
      </c>
      <c r="U4214" t="s">
        <v>90</v>
      </c>
    </row>
    <row r="4215" spans="1:21" ht="15" customHeight="1" x14ac:dyDescent="0.3">
      <c r="A4215" t="s">
        <v>179</v>
      </c>
      <c r="B4215" t="str">
        <f>"00062136"</f>
        <v>00062136</v>
      </c>
      <c r="C4215" t="s">
        <v>4258</v>
      </c>
      <c r="D4215" t="s">
        <v>959</v>
      </c>
      <c r="E4215" t="str">
        <f>"00038973"</f>
        <v>00038973</v>
      </c>
      <c r="F4215">
        <v>0</v>
      </c>
      <c r="G4215" s="243">
        <v>40768</v>
      </c>
      <c r="H4215" t="s">
        <v>182</v>
      </c>
      <c r="I4215">
        <v>15</v>
      </c>
      <c r="J4215">
        <v>3</v>
      </c>
      <c r="K4215">
        <v>1</v>
      </c>
      <c r="L4215">
        <v>58699</v>
      </c>
      <c r="M4215" t="str">
        <f t="shared" si="610"/>
        <v>13</v>
      </c>
      <c r="N4215" t="s">
        <v>3323</v>
      </c>
      <c r="O4215" t="str">
        <f t="shared" si="611"/>
        <v>64511</v>
      </c>
      <c r="P4215" t="str">
        <f>"2100L"</f>
        <v>2100L</v>
      </c>
      <c r="Q4215" t="str">
        <f t="shared" si="613"/>
        <v>0101</v>
      </c>
      <c r="R4215">
        <v>2100</v>
      </c>
      <c r="S4215" t="str">
        <f t="shared" si="612"/>
        <v>6450</v>
      </c>
      <c r="T4215" t="s">
        <v>3523</v>
      </c>
      <c r="U4215" t="s">
        <v>90</v>
      </c>
    </row>
    <row r="4216" spans="1:21" ht="15" customHeight="1" x14ac:dyDescent="0.3">
      <c r="A4216" t="s">
        <v>179</v>
      </c>
      <c r="B4216" t="str">
        <f>"00062427"</f>
        <v>00062427</v>
      </c>
      <c r="C4216" t="s">
        <v>4253</v>
      </c>
      <c r="D4216" t="s">
        <v>1573</v>
      </c>
      <c r="E4216" t="str">
        <f>"00045269"</f>
        <v>00045269</v>
      </c>
      <c r="F4216">
        <v>0</v>
      </c>
      <c r="G4216" s="243">
        <v>39679</v>
      </c>
      <c r="H4216" t="s">
        <v>182</v>
      </c>
      <c r="I4216">
        <v>15</v>
      </c>
      <c r="J4216">
        <v>5</v>
      </c>
      <c r="K4216">
        <v>1</v>
      </c>
      <c r="L4216">
        <v>63611</v>
      </c>
      <c r="M4216" t="str">
        <f t="shared" si="610"/>
        <v>13</v>
      </c>
      <c r="N4216" t="s">
        <v>3323</v>
      </c>
      <c r="O4216" t="str">
        <f t="shared" si="611"/>
        <v>64511</v>
      </c>
      <c r="P4216" t="str">
        <f>"2100L"</f>
        <v>2100L</v>
      </c>
      <c r="Q4216" t="str">
        <f t="shared" si="613"/>
        <v>0101</v>
      </c>
      <c r="R4216">
        <v>2100</v>
      </c>
      <c r="S4216" t="str">
        <f t="shared" si="612"/>
        <v>6450</v>
      </c>
      <c r="T4216" t="s">
        <v>3523</v>
      </c>
      <c r="U4216" t="s">
        <v>90</v>
      </c>
    </row>
    <row r="4217" spans="1:21" ht="15" customHeight="1" x14ac:dyDescent="0.3">
      <c r="A4217" t="s">
        <v>179</v>
      </c>
      <c r="B4217" t="str">
        <f>"00062519"</f>
        <v>00062519</v>
      </c>
      <c r="C4217" t="s">
        <v>4260</v>
      </c>
      <c r="D4217" t="s">
        <v>1574</v>
      </c>
      <c r="E4217" t="str">
        <f>"00045479"</f>
        <v>00045479</v>
      </c>
      <c r="F4217">
        <v>0</v>
      </c>
      <c r="G4217" s="243">
        <v>39687</v>
      </c>
      <c r="H4217" t="s">
        <v>182</v>
      </c>
      <c r="I4217">
        <v>15</v>
      </c>
      <c r="J4217">
        <v>10</v>
      </c>
      <c r="K4217">
        <v>1</v>
      </c>
      <c r="L4217">
        <v>78273</v>
      </c>
      <c r="M4217" t="str">
        <f t="shared" si="610"/>
        <v>13</v>
      </c>
      <c r="N4217" t="s">
        <v>3323</v>
      </c>
      <c r="O4217" t="str">
        <f t="shared" si="611"/>
        <v>64511</v>
      </c>
      <c r="P4217" t="str">
        <f>"2100L"</f>
        <v>2100L</v>
      </c>
      <c r="Q4217" t="str">
        <f t="shared" si="613"/>
        <v>0101</v>
      </c>
      <c r="R4217">
        <v>2100</v>
      </c>
      <c r="S4217" t="str">
        <f t="shared" si="612"/>
        <v>6450</v>
      </c>
      <c r="T4217" t="s">
        <v>3523</v>
      </c>
      <c r="U4217" t="s">
        <v>90</v>
      </c>
    </row>
    <row r="4218" spans="1:21" ht="15" customHeight="1" x14ac:dyDescent="0.3">
      <c r="A4218" t="s">
        <v>179</v>
      </c>
      <c r="B4218" t="str">
        <f>"00063066"</f>
        <v>00063066</v>
      </c>
      <c r="C4218" t="s">
        <v>4262</v>
      </c>
      <c r="H4218" t="s">
        <v>170</v>
      </c>
      <c r="I4218">
        <v>15</v>
      </c>
      <c r="J4218">
        <v>1</v>
      </c>
      <c r="K4218">
        <v>1</v>
      </c>
      <c r="L4218">
        <v>51539</v>
      </c>
      <c r="M4218" t="str">
        <f t="shared" si="610"/>
        <v>13</v>
      </c>
      <c r="N4218" t="s">
        <v>3323</v>
      </c>
      <c r="O4218" t="str">
        <f t="shared" si="611"/>
        <v>64511</v>
      </c>
      <c r="P4218" t="str">
        <f>"2100L"</f>
        <v>2100L</v>
      </c>
      <c r="Q4218" t="str">
        <f t="shared" si="613"/>
        <v>0101</v>
      </c>
      <c r="R4218">
        <v>2100</v>
      </c>
      <c r="S4218" t="str">
        <f t="shared" si="612"/>
        <v>6450</v>
      </c>
      <c r="T4218" t="s">
        <v>3523</v>
      </c>
      <c r="U4218" t="s">
        <v>90</v>
      </c>
    </row>
    <row r="4219" spans="1:21" ht="15" customHeight="1" x14ac:dyDescent="0.3">
      <c r="A4219" t="s">
        <v>179</v>
      </c>
      <c r="B4219" t="str">
        <f>"00065359"</f>
        <v>00065359</v>
      </c>
      <c r="C4219" t="s">
        <v>5495</v>
      </c>
      <c r="H4219" t="s">
        <v>170</v>
      </c>
      <c r="I4219">
        <v>8</v>
      </c>
      <c r="J4219">
        <v>1</v>
      </c>
      <c r="K4219">
        <v>1</v>
      </c>
      <c r="L4219">
        <v>82397</v>
      </c>
      <c r="M4219" t="str">
        <f t="shared" si="610"/>
        <v>13</v>
      </c>
      <c r="N4219" t="s">
        <v>3370</v>
      </c>
      <c r="O4219" t="str">
        <f t="shared" si="611"/>
        <v>64511</v>
      </c>
      <c r="P4219" t="str">
        <f>"1501L"</f>
        <v>1501L</v>
      </c>
      <c r="Q4219" t="str">
        <f t="shared" si="613"/>
        <v>0101</v>
      </c>
      <c r="R4219">
        <v>1501</v>
      </c>
      <c r="S4219" t="str">
        <f t="shared" si="612"/>
        <v>6450</v>
      </c>
      <c r="T4219" t="s">
        <v>3523</v>
      </c>
      <c r="U4219" t="s">
        <v>90</v>
      </c>
    </row>
    <row r="4220" spans="1:21" ht="15" customHeight="1" x14ac:dyDescent="0.3">
      <c r="A4220" t="s">
        <v>179</v>
      </c>
      <c r="B4220" t="str">
        <f>"00065940"</f>
        <v>00065940</v>
      </c>
      <c r="C4220" t="s">
        <v>4253</v>
      </c>
      <c r="D4220" t="s">
        <v>1580</v>
      </c>
      <c r="E4220" t="str">
        <f>"00058731"</f>
        <v>00058731</v>
      </c>
      <c r="F4220">
        <v>0</v>
      </c>
      <c r="G4220" s="243">
        <v>40093</v>
      </c>
      <c r="H4220" t="s">
        <v>182</v>
      </c>
      <c r="I4220">
        <v>15</v>
      </c>
      <c r="J4220">
        <v>3</v>
      </c>
      <c r="K4220">
        <v>1</v>
      </c>
      <c r="L4220">
        <v>52777</v>
      </c>
      <c r="M4220" t="str">
        <f t="shared" si="610"/>
        <v>13</v>
      </c>
      <c r="N4220" t="s">
        <v>3370</v>
      </c>
      <c r="O4220" t="str">
        <f t="shared" si="611"/>
        <v>64511</v>
      </c>
      <c r="P4220" t="str">
        <f>"2100L"</f>
        <v>2100L</v>
      </c>
      <c r="Q4220" t="str">
        <f t="shared" si="613"/>
        <v>0101</v>
      </c>
      <c r="R4220">
        <v>2100</v>
      </c>
      <c r="S4220" t="str">
        <f t="shared" si="612"/>
        <v>6450</v>
      </c>
      <c r="T4220" t="s">
        <v>3523</v>
      </c>
      <c r="U4220" t="s">
        <v>90</v>
      </c>
    </row>
    <row r="4221" spans="1:21" ht="15" customHeight="1" x14ac:dyDescent="0.3">
      <c r="A4221" t="s">
        <v>179</v>
      </c>
      <c r="B4221" t="str">
        <f>"00065945"</f>
        <v>00065945</v>
      </c>
      <c r="C4221" t="s">
        <v>4260</v>
      </c>
      <c r="D4221" t="s">
        <v>5586</v>
      </c>
      <c r="E4221" t="str">
        <f>"00069514"</f>
        <v>00069514</v>
      </c>
      <c r="F4221">
        <v>0</v>
      </c>
      <c r="G4221" s="243">
        <v>41133</v>
      </c>
      <c r="H4221" t="s">
        <v>182</v>
      </c>
      <c r="I4221">
        <v>15</v>
      </c>
      <c r="J4221">
        <v>5</v>
      </c>
      <c r="K4221">
        <v>1</v>
      </c>
      <c r="L4221">
        <v>63611</v>
      </c>
      <c r="M4221" t="str">
        <f t="shared" si="610"/>
        <v>13</v>
      </c>
      <c r="N4221" t="s">
        <v>3370</v>
      </c>
      <c r="O4221" t="str">
        <f t="shared" si="611"/>
        <v>64511</v>
      </c>
      <c r="P4221" t="str">
        <f>"3030L"</f>
        <v>3030L</v>
      </c>
      <c r="Q4221" t="str">
        <f t="shared" si="613"/>
        <v>0101</v>
      </c>
      <c r="R4221">
        <v>3030</v>
      </c>
      <c r="S4221" t="str">
        <f t="shared" si="612"/>
        <v>6450</v>
      </c>
      <c r="T4221" t="s">
        <v>3523</v>
      </c>
      <c r="U4221" t="s">
        <v>90</v>
      </c>
    </row>
    <row r="4222" spans="1:21" ht="15" customHeight="1" x14ac:dyDescent="0.3">
      <c r="A4222" t="s">
        <v>179</v>
      </c>
      <c r="B4222" t="str">
        <f>"00065948"</f>
        <v>00065948</v>
      </c>
      <c r="C4222" t="s">
        <v>4266</v>
      </c>
      <c r="H4222" t="s">
        <v>170</v>
      </c>
      <c r="I4222">
        <v>15</v>
      </c>
      <c r="J4222">
        <v>1</v>
      </c>
      <c r="K4222">
        <v>1</v>
      </c>
      <c r="L4222">
        <v>56693</v>
      </c>
      <c r="M4222" t="str">
        <f t="shared" si="610"/>
        <v>13</v>
      </c>
      <c r="N4222" t="s">
        <v>3370</v>
      </c>
      <c r="O4222" t="str">
        <f t="shared" si="611"/>
        <v>64511</v>
      </c>
      <c r="P4222" t="str">
        <f>"2300L"</f>
        <v>2300L</v>
      </c>
      <c r="Q4222" t="str">
        <f t="shared" si="613"/>
        <v>0101</v>
      </c>
      <c r="R4222">
        <v>2300</v>
      </c>
      <c r="S4222" t="str">
        <f t="shared" si="612"/>
        <v>6450</v>
      </c>
      <c r="T4222" t="s">
        <v>3523</v>
      </c>
      <c r="U4222" t="s">
        <v>90</v>
      </c>
    </row>
    <row r="4223" spans="1:21" ht="15" customHeight="1" x14ac:dyDescent="0.3">
      <c r="A4223" t="s">
        <v>179</v>
      </c>
      <c r="B4223" t="str">
        <f>"00065949"</f>
        <v>00065949</v>
      </c>
      <c r="C4223" t="s">
        <v>4266</v>
      </c>
      <c r="D4223" t="s">
        <v>2344</v>
      </c>
      <c r="E4223" t="str">
        <f>"00058087"</f>
        <v>00058087</v>
      </c>
      <c r="F4223">
        <v>0</v>
      </c>
      <c r="G4223" s="243">
        <v>40042</v>
      </c>
      <c r="H4223" t="s">
        <v>182</v>
      </c>
      <c r="I4223">
        <v>15</v>
      </c>
      <c r="J4223">
        <v>11</v>
      </c>
      <c r="K4223">
        <v>1</v>
      </c>
      <c r="L4223">
        <v>81335</v>
      </c>
      <c r="M4223" t="str">
        <f t="shared" si="610"/>
        <v>13</v>
      </c>
      <c r="N4223" t="s">
        <v>3370</v>
      </c>
      <c r="O4223" t="str">
        <f t="shared" si="611"/>
        <v>64511</v>
      </c>
      <c r="P4223" t="str">
        <f>"2300L"</f>
        <v>2300L</v>
      </c>
      <c r="Q4223" t="str">
        <f t="shared" si="613"/>
        <v>0101</v>
      </c>
      <c r="R4223">
        <v>2300</v>
      </c>
      <c r="S4223" t="str">
        <f t="shared" si="612"/>
        <v>6450</v>
      </c>
      <c r="T4223" t="s">
        <v>3523</v>
      </c>
      <c r="U4223" t="s">
        <v>90</v>
      </c>
    </row>
    <row r="4224" spans="1:21" ht="15" customHeight="1" x14ac:dyDescent="0.3">
      <c r="A4224" t="s">
        <v>179</v>
      </c>
      <c r="B4224" t="str">
        <f>"00065951"</f>
        <v>00065951</v>
      </c>
      <c r="C4224" t="s">
        <v>4266</v>
      </c>
      <c r="D4224" t="s">
        <v>2569</v>
      </c>
      <c r="E4224" t="str">
        <f>"00046226"</f>
        <v>00046226</v>
      </c>
      <c r="F4224">
        <v>0</v>
      </c>
      <c r="G4224" s="243">
        <v>34323</v>
      </c>
      <c r="H4224" t="s">
        <v>182</v>
      </c>
      <c r="I4224">
        <v>15</v>
      </c>
      <c r="J4224">
        <v>15</v>
      </c>
      <c r="K4224">
        <v>1</v>
      </c>
      <c r="L4224">
        <v>103985</v>
      </c>
      <c r="M4224" t="str">
        <f t="shared" si="610"/>
        <v>13</v>
      </c>
      <c r="N4224" t="s">
        <v>3323</v>
      </c>
      <c r="O4224" t="str">
        <f t="shared" si="611"/>
        <v>64511</v>
      </c>
      <c r="P4224" t="str">
        <f>"2300L"</f>
        <v>2300L</v>
      </c>
      <c r="Q4224" t="str">
        <f t="shared" si="613"/>
        <v>0101</v>
      </c>
      <c r="R4224">
        <v>2300</v>
      </c>
      <c r="S4224" t="str">
        <f t="shared" si="612"/>
        <v>6450</v>
      </c>
      <c r="T4224" t="s">
        <v>3523</v>
      </c>
      <c r="U4224" t="s">
        <v>90</v>
      </c>
    </row>
    <row r="4225" spans="1:21" ht="15" customHeight="1" x14ac:dyDescent="0.3">
      <c r="A4225" t="s">
        <v>179</v>
      </c>
      <c r="B4225" t="str">
        <f>"00065953"</f>
        <v>00065953</v>
      </c>
      <c r="C4225" t="s">
        <v>4260</v>
      </c>
      <c r="D4225" t="s">
        <v>1576</v>
      </c>
      <c r="E4225" t="str">
        <f>"00057422"</f>
        <v>00057422</v>
      </c>
      <c r="F4225">
        <v>0</v>
      </c>
      <c r="G4225" s="243">
        <v>40042</v>
      </c>
      <c r="H4225" t="s">
        <v>182</v>
      </c>
      <c r="I4225">
        <v>15</v>
      </c>
      <c r="J4225">
        <v>4</v>
      </c>
      <c r="K4225">
        <v>1</v>
      </c>
      <c r="L4225">
        <v>61158</v>
      </c>
      <c r="M4225" t="str">
        <f t="shared" si="610"/>
        <v>13</v>
      </c>
      <c r="N4225" t="s">
        <v>3323</v>
      </c>
      <c r="O4225" t="str">
        <f t="shared" si="611"/>
        <v>64511</v>
      </c>
      <c r="P4225" t="str">
        <f>"3030L"</f>
        <v>3030L</v>
      </c>
      <c r="Q4225" t="str">
        <f t="shared" si="613"/>
        <v>0101</v>
      </c>
      <c r="R4225">
        <v>3030</v>
      </c>
      <c r="S4225" t="str">
        <f t="shared" si="612"/>
        <v>6450</v>
      </c>
      <c r="T4225" t="s">
        <v>3523</v>
      </c>
      <c r="U4225" t="s">
        <v>90</v>
      </c>
    </row>
    <row r="4226" spans="1:21" ht="15" customHeight="1" x14ac:dyDescent="0.3">
      <c r="A4226" t="s">
        <v>179</v>
      </c>
      <c r="B4226" t="str">
        <f>"00065990"</f>
        <v>00065990</v>
      </c>
      <c r="C4226" t="s">
        <v>4260</v>
      </c>
      <c r="D4226" t="s">
        <v>1577</v>
      </c>
      <c r="E4226" t="str">
        <f>"00056379"</f>
        <v>00056379</v>
      </c>
      <c r="F4226">
        <v>0</v>
      </c>
      <c r="G4226" s="243">
        <v>40042</v>
      </c>
      <c r="H4226" t="s">
        <v>182</v>
      </c>
      <c r="I4226">
        <v>15</v>
      </c>
      <c r="J4226">
        <v>5</v>
      </c>
      <c r="K4226">
        <v>1</v>
      </c>
      <c r="L4226">
        <v>63611</v>
      </c>
      <c r="M4226" t="str">
        <f t="shared" si="610"/>
        <v>13</v>
      </c>
      <c r="N4226" t="s">
        <v>3323</v>
      </c>
      <c r="O4226" t="str">
        <f t="shared" si="611"/>
        <v>64511</v>
      </c>
      <c r="P4226" t="str">
        <f>"3030L"</f>
        <v>3030L</v>
      </c>
      <c r="Q4226" t="str">
        <f t="shared" si="613"/>
        <v>0101</v>
      </c>
      <c r="R4226">
        <v>3030</v>
      </c>
      <c r="S4226" t="str">
        <f t="shared" si="612"/>
        <v>6450</v>
      </c>
      <c r="T4226" t="s">
        <v>3523</v>
      </c>
      <c r="U4226" t="s">
        <v>90</v>
      </c>
    </row>
    <row r="4227" spans="1:21" ht="15" customHeight="1" x14ac:dyDescent="0.3">
      <c r="A4227" t="s">
        <v>179</v>
      </c>
      <c r="B4227" t="str">
        <f>"00066932"</f>
        <v>00066932</v>
      </c>
      <c r="C4227" t="s">
        <v>4262</v>
      </c>
      <c r="H4227" t="s">
        <v>170</v>
      </c>
      <c r="I4227">
        <v>15</v>
      </c>
      <c r="J4227">
        <v>1</v>
      </c>
      <c r="K4227">
        <v>1</v>
      </c>
      <c r="L4227">
        <v>54975</v>
      </c>
      <c r="M4227" t="str">
        <f t="shared" si="610"/>
        <v>13</v>
      </c>
      <c r="N4227" t="s">
        <v>3323</v>
      </c>
      <c r="O4227" t="str">
        <f t="shared" si="611"/>
        <v>64511</v>
      </c>
      <c r="P4227" t="str">
        <f t="shared" ref="P4227:P4234" si="614">"2100L"</f>
        <v>2100L</v>
      </c>
      <c r="Q4227" t="str">
        <f t="shared" si="613"/>
        <v>0101</v>
      </c>
      <c r="R4227">
        <v>2100</v>
      </c>
      <c r="S4227" t="str">
        <f t="shared" si="612"/>
        <v>6450</v>
      </c>
      <c r="T4227" t="s">
        <v>3523</v>
      </c>
      <c r="U4227" t="s">
        <v>90</v>
      </c>
    </row>
    <row r="4228" spans="1:21" ht="15" customHeight="1" x14ac:dyDescent="0.3">
      <c r="A4228" t="s">
        <v>179</v>
      </c>
      <c r="B4228" t="str">
        <f>"00066933"</f>
        <v>00066933</v>
      </c>
      <c r="C4228" t="s">
        <v>4262</v>
      </c>
      <c r="H4228" t="s">
        <v>170</v>
      </c>
      <c r="I4228">
        <v>15</v>
      </c>
      <c r="J4228">
        <v>1</v>
      </c>
      <c r="K4228">
        <v>1</v>
      </c>
      <c r="L4228">
        <v>54975</v>
      </c>
      <c r="M4228" t="str">
        <f t="shared" si="610"/>
        <v>13</v>
      </c>
      <c r="N4228" t="s">
        <v>3323</v>
      </c>
      <c r="O4228" t="str">
        <f t="shared" si="611"/>
        <v>64511</v>
      </c>
      <c r="P4228" t="str">
        <f t="shared" si="614"/>
        <v>2100L</v>
      </c>
      <c r="Q4228" t="str">
        <f t="shared" si="613"/>
        <v>0101</v>
      </c>
      <c r="R4228">
        <v>2100</v>
      </c>
      <c r="S4228" t="str">
        <f t="shared" si="612"/>
        <v>6450</v>
      </c>
      <c r="T4228" t="s">
        <v>3523</v>
      </c>
      <c r="U4228" t="s">
        <v>90</v>
      </c>
    </row>
    <row r="4229" spans="1:21" ht="15" customHeight="1" x14ac:dyDescent="0.3">
      <c r="A4229" t="s">
        <v>179</v>
      </c>
      <c r="B4229" t="str">
        <f>"00066943"</f>
        <v>00066943</v>
      </c>
      <c r="C4229" t="s">
        <v>4253</v>
      </c>
      <c r="D4229" t="s">
        <v>1014</v>
      </c>
      <c r="E4229" t="str">
        <f>"00061449"</f>
        <v>00061449</v>
      </c>
      <c r="F4229">
        <v>0</v>
      </c>
      <c r="G4229" s="243">
        <v>40406</v>
      </c>
      <c r="H4229" t="s">
        <v>182</v>
      </c>
      <c r="I4229">
        <v>15</v>
      </c>
      <c r="J4229">
        <v>4</v>
      </c>
      <c r="K4229">
        <v>1</v>
      </c>
      <c r="L4229">
        <v>61158</v>
      </c>
      <c r="M4229" t="str">
        <f t="shared" si="610"/>
        <v>13</v>
      </c>
      <c r="N4229" t="s">
        <v>3370</v>
      </c>
      <c r="O4229" t="str">
        <f t="shared" si="611"/>
        <v>64511</v>
      </c>
      <c r="P4229" t="str">
        <f t="shared" si="614"/>
        <v>2100L</v>
      </c>
      <c r="Q4229" t="str">
        <f t="shared" si="613"/>
        <v>0101</v>
      </c>
      <c r="R4229">
        <v>2100</v>
      </c>
      <c r="S4229" t="str">
        <f t="shared" si="612"/>
        <v>6450</v>
      </c>
      <c r="T4229" t="s">
        <v>3523</v>
      </c>
      <c r="U4229" t="s">
        <v>90</v>
      </c>
    </row>
    <row r="4230" spans="1:21" ht="15" customHeight="1" x14ac:dyDescent="0.3">
      <c r="A4230" t="s">
        <v>179</v>
      </c>
      <c r="B4230" t="str">
        <f>"00067389"</f>
        <v>00067389</v>
      </c>
      <c r="C4230" t="s">
        <v>4290</v>
      </c>
      <c r="D4230" t="s">
        <v>5587</v>
      </c>
      <c r="E4230" t="str">
        <f>"00069934"</f>
        <v>00069934</v>
      </c>
      <c r="F4230">
        <v>0</v>
      </c>
      <c r="G4230" s="243">
        <v>41133</v>
      </c>
      <c r="H4230" t="s">
        <v>182</v>
      </c>
      <c r="I4230">
        <v>4</v>
      </c>
      <c r="J4230">
        <v>6</v>
      </c>
      <c r="K4230">
        <v>1</v>
      </c>
      <c r="L4230">
        <v>25935.88</v>
      </c>
      <c r="M4230" t="str">
        <f t="shared" si="610"/>
        <v>13</v>
      </c>
      <c r="N4230" t="s">
        <v>3370</v>
      </c>
      <c r="O4230" t="str">
        <f t="shared" si="611"/>
        <v>64511</v>
      </c>
      <c r="P4230" t="str">
        <f t="shared" si="614"/>
        <v>2100L</v>
      </c>
      <c r="Q4230" t="str">
        <f t="shared" si="613"/>
        <v>0101</v>
      </c>
      <c r="R4230">
        <v>2100</v>
      </c>
      <c r="S4230" t="str">
        <f t="shared" si="612"/>
        <v>6450</v>
      </c>
      <c r="T4230" t="s">
        <v>3523</v>
      </c>
      <c r="U4230" t="s">
        <v>90</v>
      </c>
    </row>
    <row r="4231" spans="1:21" ht="15" customHeight="1" x14ac:dyDescent="0.3">
      <c r="A4231" t="s">
        <v>179</v>
      </c>
      <c r="B4231" t="str">
        <f>"00067390"</f>
        <v>00067390</v>
      </c>
      <c r="C4231" t="s">
        <v>4290</v>
      </c>
      <c r="D4231" t="s">
        <v>5588</v>
      </c>
      <c r="E4231" t="str">
        <f>"00069825"</f>
        <v>00069825</v>
      </c>
      <c r="F4231">
        <v>0</v>
      </c>
      <c r="G4231" s="243">
        <v>41133</v>
      </c>
      <c r="H4231" t="s">
        <v>182</v>
      </c>
      <c r="I4231">
        <v>4</v>
      </c>
      <c r="J4231">
        <v>6</v>
      </c>
      <c r="K4231">
        <v>1</v>
      </c>
      <c r="L4231">
        <v>25935.88</v>
      </c>
      <c r="M4231" t="str">
        <f t="shared" si="610"/>
        <v>13</v>
      </c>
      <c r="N4231" t="s">
        <v>3370</v>
      </c>
      <c r="O4231" t="str">
        <f t="shared" si="611"/>
        <v>64511</v>
      </c>
      <c r="P4231" t="str">
        <f t="shared" si="614"/>
        <v>2100L</v>
      </c>
      <c r="Q4231" t="str">
        <f t="shared" si="613"/>
        <v>0101</v>
      </c>
      <c r="R4231">
        <v>2100</v>
      </c>
      <c r="S4231" t="str">
        <f t="shared" si="612"/>
        <v>6450</v>
      </c>
      <c r="T4231" t="s">
        <v>3523</v>
      </c>
      <c r="U4231" t="s">
        <v>90</v>
      </c>
    </row>
    <row r="4232" spans="1:21" ht="15" customHeight="1" x14ac:dyDescent="0.3">
      <c r="A4232" t="s">
        <v>179</v>
      </c>
      <c r="B4232" t="str">
        <f>"00067891"</f>
        <v>00067891</v>
      </c>
      <c r="C4232" t="s">
        <v>4262</v>
      </c>
      <c r="H4232" t="s">
        <v>170</v>
      </c>
      <c r="I4232">
        <v>15</v>
      </c>
      <c r="J4232">
        <v>1</v>
      </c>
      <c r="K4232">
        <v>1</v>
      </c>
      <c r="L4232">
        <v>54975</v>
      </c>
      <c r="M4232" t="str">
        <f t="shared" si="610"/>
        <v>13</v>
      </c>
      <c r="N4232" t="s">
        <v>3370</v>
      </c>
      <c r="O4232" t="str">
        <f t="shared" si="611"/>
        <v>64511</v>
      </c>
      <c r="P4232" t="str">
        <f t="shared" si="614"/>
        <v>2100L</v>
      </c>
      <c r="Q4232" t="str">
        <f t="shared" si="613"/>
        <v>0101</v>
      </c>
      <c r="R4232">
        <v>2100</v>
      </c>
      <c r="S4232" t="str">
        <f t="shared" si="612"/>
        <v>6450</v>
      </c>
      <c r="T4232" t="s">
        <v>3523</v>
      </c>
      <c r="U4232" t="s">
        <v>90</v>
      </c>
    </row>
    <row r="4233" spans="1:21" ht="15" customHeight="1" x14ac:dyDescent="0.3">
      <c r="A4233" t="s">
        <v>179</v>
      </c>
      <c r="B4233" t="str">
        <f>"00072273"</f>
        <v>00072273</v>
      </c>
      <c r="C4233" t="s">
        <v>4260</v>
      </c>
      <c r="H4233" t="s">
        <v>170</v>
      </c>
      <c r="I4233">
        <v>15</v>
      </c>
      <c r="J4233">
        <v>1</v>
      </c>
      <c r="K4233">
        <v>1</v>
      </c>
      <c r="L4233">
        <v>51539</v>
      </c>
      <c r="M4233" t="str">
        <f t="shared" si="610"/>
        <v>13</v>
      </c>
      <c r="N4233" t="s">
        <v>3323</v>
      </c>
      <c r="O4233" t="str">
        <f t="shared" si="611"/>
        <v>64511</v>
      </c>
      <c r="P4233" t="str">
        <f t="shared" si="614"/>
        <v>2100L</v>
      </c>
      <c r="Q4233" t="str">
        <f t="shared" si="613"/>
        <v>0101</v>
      </c>
      <c r="R4233">
        <v>2100</v>
      </c>
      <c r="S4233" t="str">
        <f t="shared" si="612"/>
        <v>6450</v>
      </c>
      <c r="T4233" t="s">
        <v>3523</v>
      </c>
      <c r="U4233" t="s">
        <v>90</v>
      </c>
    </row>
    <row r="4234" spans="1:21" ht="15" customHeight="1" x14ac:dyDescent="0.3">
      <c r="A4234" t="s">
        <v>179</v>
      </c>
      <c r="B4234" t="str">
        <f>"00072396"</f>
        <v>00072396</v>
      </c>
      <c r="C4234" t="s">
        <v>4256</v>
      </c>
      <c r="D4234" t="s">
        <v>5542</v>
      </c>
      <c r="E4234" t="str">
        <f>"00057243"</f>
        <v>00057243</v>
      </c>
      <c r="F4234">
        <v>0</v>
      </c>
      <c r="G4234" s="243">
        <v>40042</v>
      </c>
      <c r="H4234" t="s">
        <v>182</v>
      </c>
      <c r="I4234">
        <v>15</v>
      </c>
      <c r="J4234">
        <v>4</v>
      </c>
      <c r="K4234">
        <v>0.5</v>
      </c>
      <c r="L4234">
        <v>61158</v>
      </c>
      <c r="M4234" t="str">
        <f t="shared" si="610"/>
        <v>13</v>
      </c>
      <c r="N4234" t="s">
        <v>3323</v>
      </c>
      <c r="O4234" t="str">
        <f t="shared" si="611"/>
        <v>64511</v>
      </c>
      <c r="P4234" t="str">
        <f t="shared" si="614"/>
        <v>2100L</v>
      </c>
      <c r="Q4234" t="str">
        <f t="shared" si="613"/>
        <v>0101</v>
      </c>
      <c r="R4234">
        <v>2100</v>
      </c>
      <c r="S4234" t="str">
        <f t="shared" si="612"/>
        <v>6450</v>
      </c>
      <c r="T4234" t="s">
        <v>3848</v>
      </c>
      <c r="U4234" t="s">
        <v>148</v>
      </c>
    </row>
    <row r="4235" spans="1:21" ht="15" customHeight="1" x14ac:dyDescent="0.3">
      <c r="A4235" t="s">
        <v>179</v>
      </c>
      <c r="B4235" t="str">
        <f>"00072423"</f>
        <v>00072423</v>
      </c>
      <c r="C4235" t="s">
        <v>4486</v>
      </c>
      <c r="H4235" t="s">
        <v>170</v>
      </c>
      <c r="I4235">
        <v>6</v>
      </c>
      <c r="J4235">
        <v>1</v>
      </c>
      <c r="K4235">
        <v>1</v>
      </c>
      <c r="L4235">
        <v>31577</v>
      </c>
      <c r="M4235" t="str">
        <f t="shared" si="610"/>
        <v>13</v>
      </c>
      <c r="N4235" t="s">
        <v>3323</v>
      </c>
      <c r="O4235" t="str">
        <f t="shared" si="611"/>
        <v>64511</v>
      </c>
      <c r="P4235" t="str">
        <f>"1502L"</f>
        <v>1502L</v>
      </c>
      <c r="Q4235" t="str">
        <f t="shared" si="613"/>
        <v>0101</v>
      </c>
      <c r="R4235">
        <v>1502</v>
      </c>
      <c r="S4235" t="str">
        <f t="shared" si="612"/>
        <v>6450</v>
      </c>
      <c r="T4235" t="s">
        <v>3523</v>
      </c>
      <c r="U4235" t="s">
        <v>90</v>
      </c>
    </row>
    <row r="4236" spans="1:21" ht="15" customHeight="1" x14ac:dyDescent="0.3">
      <c r="A4236" t="s">
        <v>179</v>
      </c>
      <c r="B4236" t="str">
        <f>"00072610"</f>
        <v>00072610</v>
      </c>
      <c r="C4236" t="s">
        <v>4290</v>
      </c>
      <c r="D4236" t="s">
        <v>5589</v>
      </c>
      <c r="E4236" t="str">
        <f>"00069647"</f>
        <v>00069647</v>
      </c>
      <c r="F4236">
        <v>0</v>
      </c>
      <c r="G4236" s="243">
        <v>41133</v>
      </c>
      <c r="H4236" t="s">
        <v>182</v>
      </c>
      <c r="I4236">
        <v>4</v>
      </c>
      <c r="J4236">
        <v>7</v>
      </c>
      <c r="K4236">
        <v>0.71</v>
      </c>
      <c r="L4236">
        <v>26633.25</v>
      </c>
      <c r="M4236" t="str">
        <f t="shared" si="610"/>
        <v>13</v>
      </c>
      <c r="N4236" t="s">
        <v>3323</v>
      </c>
      <c r="O4236" t="str">
        <f t="shared" si="611"/>
        <v>64511</v>
      </c>
      <c r="P4236" t="str">
        <f>"3030L"</f>
        <v>3030L</v>
      </c>
      <c r="Q4236" t="str">
        <f t="shared" si="613"/>
        <v>0101</v>
      </c>
      <c r="R4236">
        <v>3030</v>
      </c>
      <c r="S4236" t="str">
        <f t="shared" si="612"/>
        <v>6450</v>
      </c>
      <c r="T4236" t="s">
        <v>3523</v>
      </c>
      <c r="U4236" t="s">
        <v>90</v>
      </c>
    </row>
    <row r="4237" spans="1:21" ht="15" customHeight="1" x14ac:dyDescent="0.3">
      <c r="A4237" t="s">
        <v>179</v>
      </c>
      <c r="B4237" t="str">
        <f>"00073744"</f>
        <v>00073744</v>
      </c>
      <c r="C4237" t="s">
        <v>200</v>
      </c>
      <c r="D4237" t="s">
        <v>3946</v>
      </c>
      <c r="E4237" t="str">
        <f>"00039723"</f>
        <v>00039723</v>
      </c>
      <c r="F4237">
        <v>0</v>
      </c>
      <c r="G4237" s="243">
        <v>39664</v>
      </c>
      <c r="H4237" t="s">
        <v>182</v>
      </c>
      <c r="I4237">
        <v>15</v>
      </c>
      <c r="J4237">
        <v>5</v>
      </c>
      <c r="K4237">
        <v>1</v>
      </c>
      <c r="L4237">
        <v>63611</v>
      </c>
      <c r="M4237" t="str">
        <f t="shared" si="610"/>
        <v>13</v>
      </c>
      <c r="N4237" t="s">
        <v>3323</v>
      </c>
      <c r="O4237" t="str">
        <f t="shared" si="611"/>
        <v>64511</v>
      </c>
      <c r="P4237" t="str">
        <f>"2100L"</f>
        <v>2100L</v>
      </c>
      <c r="Q4237" t="str">
        <f t="shared" si="613"/>
        <v>0101</v>
      </c>
      <c r="R4237">
        <v>2100</v>
      </c>
      <c r="S4237" t="str">
        <f t="shared" si="612"/>
        <v>6450</v>
      </c>
      <c r="T4237" t="s">
        <v>3523</v>
      </c>
      <c r="U4237" t="s">
        <v>90</v>
      </c>
    </row>
    <row r="4238" spans="1:21" ht="15" customHeight="1" x14ac:dyDescent="0.3">
      <c r="A4238" t="s">
        <v>179</v>
      </c>
      <c r="B4238" t="str">
        <f>"00074018"</f>
        <v>00074018</v>
      </c>
      <c r="C4238" t="s">
        <v>5537</v>
      </c>
      <c r="D4238" t="s">
        <v>1581</v>
      </c>
      <c r="E4238" t="str">
        <f>"00057540"</f>
        <v>00057540</v>
      </c>
      <c r="F4238">
        <v>0</v>
      </c>
      <c r="G4238" s="243">
        <v>40042</v>
      </c>
      <c r="H4238" t="s">
        <v>182</v>
      </c>
      <c r="I4238">
        <v>10</v>
      </c>
      <c r="J4238">
        <v>2</v>
      </c>
      <c r="K4238">
        <v>1</v>
      </c>
      <c r="L4238">
        <v>64671</v>
      </c>
      <c r="M4238" t="str">
        <f t="shared" si="610"/>
        <v>13</v>
      </c>
      <c r="N4238" t="s">
        <v>3323</v>
      </c>
      <c r="O4238" t="str">
        <f t="shared" si="611"/>
        <v>64511</v>
      </c>
      <c r="P4238" t="str">
        <f>"2100L"</f>
        <v>2100L</v>
      </c>
      <c r="Q4238" t="str">
        <f t="shared" si="613"/>
        <v>0101</v>
      </c>
      <c r="R4238">
        <v>2100</v>
      </c>
      <c r="S4238" t="str">
        <f t="shared" si="612"/>
        <v>6450</v>
      </c>
      <c r="T4238" t="s">
        <v>3523</v>
      </c>
      <c r="U4238" t="s">
        <v>90</v>
      </c>
    </row>
    <row r="4239" spans="1:21" ht="15" customHeight="1" x14ac:dyDescent="0.3">
      <c r="A4239" t="s">
        <v>179</v>
      </c>
      <c r="B4239" t="str">
        <f>"00074019"</f>
        <v>00074019</v>
      </c>
      <c r="C4239" t="s">
        <v>4253</v>
      </c>
      <c r="D4239" t="s">
        <v>5590</v>
      </c>
      <c r="E4239" t="str">
        <f>"00070062"</f>
        <v>00070062</v>
      </c>
      <c r="F4239">
        <v>0</v>
      </c>
      <c r="G4239" s="243">
        <v>41133</v>
      </c>
      <c r="H4239" t="s">
        <v>182</v>
      </c>
      <c r="I4239">
        <v>15</v>
      </c>
      <c r="J4239">
        <v>8</v>
      </c>
      <c r="K4239">
        <v>1</v>
      </c>
      <c r="L4239">
        <v>74640</v>
      </c>
      <c r="M4239" t="str">
        <f t="shared" si="610"/>
        <v>13</v>
      </c>
      <c r="N4239" t="s">
        <v>3323</v>
      </c>
      <c r="O4239" t="str">
        <f t="shared" si="611"/>
        <v>64511</v>
      </c>
      <c r="P4239" t="str">
        <f>"2100L"</f>
        <v>2100L</v>
      </c>
      <c r="Q4239" t="str">
        <f t="shared" si="613"/>
        <v>0101</v>
      </c>
      <c r="R4239">
        <v>2100</v>
      </c>
      <c r="S4239" t="str">
        <f t="shared" si="612"/>
        <v>6450</v>
      </c>
      <c r="T4239" t="s">
        <v>3523</v>
      </c>
      <c r="U4239" t="s">
        <v>90</v>
      </c>
    </row>
    <row r="4240" spans="1:21" ht="15" customHeight="1" x14ac:dyDescent="0.3">
      <c r="A4240" t="s">
        <v>179</v>
      </c>
      <c r="B4240" t="str">
        <f>"00074341"</f>
        <v>00074341</v>
      </c>
      <c r="C4240" t="s">
        <v>4265</v>
      </c>
      <c r="D4240" t="s">
        <v>3832</v>
      </c>
      <c r="E4240" t="str">
        <f>"00058269"</f>
        <v>00058269</v>
      </c>
      <c r="F4240">
        <v>0</v>
      </c>
      <c r="G4240" s="243">
        <v>40056</v>
      </c>
      <c r="H4240" t="s">
        <v>182</v>
      </c>
      <c r="I4240">
        <v>15</v>
      </c>
      <c r="J4240">
        <v>6</v>
      </c>
      <c r="K4240">
        <v>0.5</v>
      </c>
      <c r="L4240">
        <v>66078</v>
      </c>
      <c r="M4240" t="str">
        <f t="shared" si="610"/>
        <v>13</v>
      </c>
      <c r="N4240" t="s">
        <v>3323</v>
      </c>
      <c r="O4240" t="str">
        <f t="shared" si="611"/>
        <v>64511</v>
      </c>
      <c r="P4240" t="str">
        <f>"2100L"</f>
        <v>2100L</v>
      </c>
      <c r="Q4240" t="str">
        <f t="shared" si="613"/>
        <v>0101</v>
      </c>
      <c r="R4240">
        <v>2100</v>
      </c>
      <c r="S4240" t="str">
        <f t="shared" si="612"/>
        <v>6450</v>
      </c>
      <c r="T4240" t="s">
        <v>3830</v>
      </c>
      <c r="U4240" t="s">
        <v>2941</v>
      </c>
    </row>
    <row r="4241" spans="1:21" ht="15" customHeight="1" x14ac:dyDescent="0.3">
      <c r="A4241" t="s">
        <v>179</v>
      </c>
      <c r="B4241" t="str">
        <f>"00074411"</f>
        <v>00074411</v>
      </c>
      <c r="C4241" t="s">
        <v>4337</v>
      </c>
      <c r="H4241" t="s">
        <v>170</v>
      </c>
      <c r="I4241">
        <v>15</v>
      </c>
      <c r="J4241">
        <v>1</v>
      </c>
      <c r="K4241">
        <v>0.5</v>
      </c>
      <c r="L4241">
        <v>54975</v>
      </c>
      <c r="M4241" t="str">
        <f t="shared" si="610"/>
        <v>13</v>
      </c>
      <c r="N4241" t="s">
        <v>3323</v>
      </c>
      <c r="O4241" t="str">
        <f t="shared" si="611"/>
        <v>64511</v>
      </c>
      <c r="P4241" t="str">
        <f>"2100L"</f>
        <v>2100L</v>
      </c>
      <c r="Q4241" t="str">
        <f t="shared" si="613"/>
        <v>0101</v>
      </c>
      <c r="R4241">
        <v>2100</v>
      </c>
      <c r="S4241" t="str">
        <f t="shared" si="612"/>
        <v>6450</v>
      </c>
      <c r="T4241" t="s">
        <v>3523</v>
      </c>
      <c r="U4241" t="s">
        <v>90</v>
      </c>
    </row>
    <row r="4242" spans="1:21" ht="15" customHeight="1" x14ac:dyDescent="0.3">
      <c r="A4242" t="s">
        <v>179</v>
      </c>
      <c r="B4242" t="str">
        <f>"00074564"</f>
        <v>00074564</v>
      </c>
      <c r="C4242" t="s">
        <v>4499</v>
      </c>
      <c r="H4242" t="s">
        <v>170</v>
      </c>
      <c r="I4242">
        <v>10</v>
      </c>
      <c r="J4242">
        <v>1</v>
      </c>
      <c r="K4242">
        <v>0.5</v>
      </c>
      <c r="L4242">
        <v>62794</v>
      </c>
      <c r="M4242" t="str">
        <f t="shared" si="610"/>
        <v>13</v>
      </c>
      <c r="N4242" t="s">
        <v>3323</v>
      </c>
      <c r="O4242" t="str">
        <f t="shared" si="611"/>
        <v>64511</v>
      </c>
      <c r="P4242" t="str">
        <f>"3030L"</f>
        <v>3030L</v>
      </c>
      <c r="Q4242" t="str">
        <f t="shared" si="613"/>
        <v>0101</v>
      </c>
      <c r="R4242">
        <v>3030</v>
      </c>
      <c r="S4242" t="str">
        <f t="shared" si="612"/>
        <v>6450</v>
      </c>
      <c r="T4242" t="s">
        <v>3661</v>
      </c>
      <c r="U4242" t="s">
        <v>57</v>
      </c>
    </row>
    <row r="4243" spans="1:21" ht="15" customHeight="1" x14ac:dyDescent="0.3">
      <c r="A4243" t="s">
        <v>179</v>
      </c>
      <c r="B4243" t="str">
        <f>"00074832"</f>
        <v>00074832</v>
      </c>
      <c r="C4243" t="s">
        <v>4260</v>
      </c>
      <c r="D4243" t="s">
        <v>5591</v>
      </c>
      <c r="E4243" t="str">
        <f>"00069976"</f>
        <v>00069976</v>
      </c>
      <c r="F4243">
        <v>0</v>
      </c>
      <c r="G4243" s="243">
        <v>41133</v>
      </c>
      <c r="H4243" t="s">
        <v>182</v>
      </c>
      <c r="I4243">
        <v>15</v>
      </c>
      <c r="J4243">
        <v>1</v>
      </c>
      <c r="K4243">
        <v>1</v>
      </c>
      <c r="L4243">
        <v>51539</v>
      </c>
      <c r="M4243" t="str">
        <f t="shared" si="610"/>
        <v>13</v>
      </c>
      <c r="N4243" t="s">
        <v>3370</v>
      </c>
      <c r="O4243" t="str">
        <f t="shared" si="611"/>
        <v>64511</v>
      </c>
      <c r="P4243" t="str">
        <f t="shared" ref="P4243:P4250" si="615">"2100L"</f>
        <v>2100L</v>
      </c>
      <c r="Q4243" t="str">
        <f t="shared" si="613"/>
        <v>0101</v>
      </c>
      <c r="R4243">
        <v>2100</v>
      </c>
      <c r="S4243" t="str">
        <f t="shared" si="612"/>
        <v>6450</v>
      </c>
      <c r="T4243" t="s">
        <v>3523</v>
      </c>
      <c r="U4243" t="s">
        <v>90</v>
      </c>
    </row>
    <row r="4244" spans="1:21" ht="15" customHeight="1" x14ac:dyDescent="0.3">
      <c r="A4244" t="s">
        <v>179</v>
      </c>
      <c r="B4244" t="str">
        <f>"00076183"</f>
        <v>00076183</v>
      </c>
      <c r="C4244" t="s">
        <v>4438</v>
      </c>
      <c r="H4244" t="s">
        <v>170</v>
      </c>
      <c r="I4244">
        <v>11</v>
      </c>
      <c r="J4244">
        <v>0</v>
      </c>
      <c r="K4244">
        <v>0.5</v>
      </c>
      <c r="L4244">
        <v>60779</v>
      </c>
      <c r="M4244" t="str">
        <f t="shared" si="610"/>
        <v>13</v>
      </c>
      <c r="N4244" t="s">
        <v>3370</v>
      </c>
      <c r="O4244" t="str">
        <f t="shared" si="611"/>
        <v>64511</v>
      </c>
      <c r="P4244" t="str">
        <f t="shared" si="615"/>
        <v>2100L</v>
      </c>
      <c r="Q4244" t="str">
        <f t="shared" si="613"/>
        <v>0101</v>
      </c>
      <c r="R4244">
        <v>2100</v>
      </c>
      <c r="S4244" t="str">
        <f t="shared" si="612"/>
        <v>6450</v>
      </c>
      <c r="T4244" t="s">
        <v>3523</v>
      </c>
      <c r="U4244" t="s">
        <v>90</v>
      </c>
    </row>
    <row r="4245" spans="1:21" ht="15" customHeight="1" x14ac:dyDescent="0.3">
      <c r="A4245" t="s">
        <v>179</v>
      </c>
      <c r="B4245" t="str">
        <f>"00076184"</f>
        <v>00076184</v>
      </c>
      <c r="C4245" t="s">
        <v>4253</v>
      </c>
      <c r="D4245" t="s">
        <v>2203</v>
      </c>
      <c r="E4245" t="str">
        <f>"00048946"</f>
        <v>00048946</v>
      </c>
      <c r="F4245">
        <v>0</v>
      </c>
      <c r="G4245" s="243">
        <v>33484</v>
      </c>
      <c r="H4245" t="s">
        <v>182</v>
      </c>
      <c r="I4245">
        <v>15</v>
      </c>
      <c r="J4245">
        <v>16</v>
      </c>
      <c r="K4245">
        <v>1</v>
      </c>
      <c r="L4245">
        <v>100839</v>
      </c>
      <c r="M4245" t="str">
        <f t="shared" si="610"/>
        <v>13</v>
      </c>
      <c r="N4245" t="s">
        <v>3323</v>
      </c>
      <c r="O4245" t="str">
        <f t="shared" si="611"/>
        <v>64511</v>
      </c>
      <c r="P4245" t="str">
        <f t="shared" si="615"/>
        <v>2100L</v>
      </c>
      <c r="Q4245" t="str">
        <f t="shared" si="613"/>
        <v>0101</v>
      </c>
      <c r="R4245">
        <v>2100</v>
      </c>
      <c r="S4245" t="str">
        <f t="shared" si="612"/>
        <v>6450</v>
      </c>
      <c r="T4245" t="s">
        <v>3523</v>
      </c>
      <c r="U4245" t="s">
        <v>90</v>
      </c>
    </row>
    <row r="4246" spans="1:21" ht="15" customHeight="1" x14ac:dyDescent="0.3">
      <c r="A4246" t="s">
        <v>179</v>
      </c>
      <c r="B4246" t="str">
        <f>"00076185"</f>
        <v>00076185</v>
      </c>
      <c r="C4246" t="s">
        <v>4253</v>
      </c>
      <c r="D4246" t="s">
        <v>2334</v>
      </c>
      <c r="E4246" t="str">
        <f>"00044579"</f>
        <v>00044579</v>
      </c>
      <c r="F4246">
        <v>0</v>
      </c>
      <c r="G4246" s="243">
        <v>39679</v>
      </c>
      <c r="H4246" t="s">
        <v>182</v>
      </c>
      <c r="I4246">
        <v>15</v>
      </c>
      <c r="J4246">
        <v>5</v>
      </c>
      <c r="K4246">
        <v>1</v>
      </c>
      <c r="L4246">
        <v>63611</v>
      </c>
      <c r="M4246" t="str">
        <f t="shared" si="610"/>
        <v>13</v>
      </c>
      <c r="N4246" t="s">
        <v>3370</v>
      </c>
      <c r="O4246" t="str">
        <f t="shared" si="611"/>
        <v>64511</v>
      </c>
      <c r="P4246" t="str">
        <f t="shared" si="615"/>
        <v>2100L</v>
      </c>
      <c r="Q4246" t="str">
        <f t="shared" si="613"/>
        <v>0101</v>
      </c>
      <c r="R4246">
        <v>2100</v>
      </c>
      <c r="S4246" t="str">
        <f t="shared" si="612"/>
        <v>6450</v>
      </c>
      <c r="T4246" t="s">
        <v>3523</v>
      </c>
      <c r="U4246" t="s">
        <v>90</v>
      </c>
    </row>
    <row r="4247" spans="1:21" ht="15" customHeight="1" x14ac:dyDescent="0.3">
      <c r="A4247" t="s">
        <v>179</v>
      </c>
      <c r="B4247" t="str">
        <f>"00076186"</f>
        <v>00076186</v>
      </c>
      <c r="C4247" t="s">
        <v>4253</v>
      </c>
      <c r="D4247" t="s">
        <v>5592</v>
      </c>
      <c r="E4247" t="str">
        <f>"00047345"</f>
        <v>00047345</v>
      </c>
      <c r="F4247">
        <v>0</v>
      </c>
      <c r="G4247" s="243">
        <v>41133</v>
      </c>
      <c r="H4247" t="s">
        <v>182</v>
      </c>
      <c r="I4247">
        <v>15</v>
      </c>
      <c r="J4247">
        <v>12</v>
      </c>
      <c r="K4247">
        <v>1</v>
      </c>
      <c r="L4247">
        <v>87431</v>
      </c>
      <c r="M4247" t="str">
        <f t="shared" si="610"/>
        <v>13</v>
      </c>
      <c r="N4247" t="s">
        <v>3370</v>
      </c>
      <c r="O4247" t="str">
        <f t="shared" si="611"/>
        <v>64511</v>
      </c>
      <c r="P4247" t="str">
        <f t="shared" si="615"/>
        <v>2100L</v>
      </c>
      <c r="Q4247" t="str">
        <f t="shared" si="613"/>
        <v>0101</v>
      </c>
      <c r="R4247">
        <v>2100</v>
      </c>
      <c r="S4247" t="str">
        <f t="shared" si="612"/>
        <v>6450</v>
      </c>
      <c r="T4247" t="s">
        <v>3523</v>
      </c>
      <c r="U4247" t="s">
        <v>90</v>
      </c>
    </row>
    <row r="4248" spans="1:21" ht="15" customHeight="1" x14ac:dyDescent="0.3">
      <c r="A4248" t="s">
        <v>179</v>
      </c>
      <c r="B4248" t="str">
        <f>"00076187"</f>
        <v>00076187</v>
      </c>
      <c r="C4248" t="s">
        <v>4395</v>
      </c>
      <c r="D4248" t="s">
        <v>5593</v>
      </c>
      <c r="E4248" t="str">
        <f>"00067629"</f>
        <v>00067629</v>
      </c>
      <c r="F4248">
        <v>0</v>
      </c>
      <c r="G4248" s="243">
        <v>40952</v>
      </c>
      <c r="H4248" t="s">
        <v>182</v>
      </c>
      <c r="I4248">
        <v>10</v>
      </c>
      <c r="J4248">
        <v>1</v>
      </c>
      <c r="K4248">
        <v>1</v>
      </c>
      <c r="L4248">
        <v>62794</v>
      </c>
      <c r="M4248" t="str">
        <f t="shared" si="610"/>
        <v>13</v>
      </c>
      <c r="N4248" t="s">
        <v>3370</v>
      </c>
      <c r="O4248" t="str">
        <f t="shared" si="611"/>
        <v>64511</v>
      </c>
      <c r="P4248" t="str">
        <f t="shared" si="615"/>
        <v>2100L</v>
      </c>
      <c r="Q4248" t="str">
        <f t="shared" si="613"/>
        <v>0101</v>
      </c>
      <c r="R4248">
        <v>2100</v>
      </c>
      <c r="S4248" t="str">
        <f t="shared" si="612"/>
        <v>6450</v>
      </c>
      <c r="T4248" t="s">
        <v>3523</v>
      </c>
      <c r="U4248" t="s">
        <v>90</v>
      </c>
    </row>
    <row r="4249" spans="1:21" ht="15" customHeight="1" x14ac:dyDescent="0.3">
      <c r="A4249" t="s">
        <v>179</v>
      </c>
      <c r="B4249" t="str">
        <f>"00076189"</f>
        <v>00076189</v>
      </c>
      <c r="C4249" t="s">
        <v>4253</v>
      </c>
      <c r="D4249" t="s">
        <v>1016</v>
      </c>
      <c r="E4249" t="str">
        <f>"00060239"</f>
        <v>00060239</v>
      </c>
      <c r="F4249">
        <v>0</v>
      </c>
      <c r="G4249" s="243">
        <v>40193</v>
      </c>
      <c r="H4249" t="s">
        <v>182</v>
      </c>
      <c r="I4249">
        <v>15</v>
      </c>
      <c r="J4249">
        <v>11</v>
      </c>
      <c r="K4249">
        <v>1</v>
      </c>
      <c r="L4249">
        <v>86236</v>
      </c>
      <c r="M4249" t="str">
        <f t="shared" si="610"/>
        <v>13</v>
      </c>
      <c r="N4249" t="s">
        <v>3370</v>
      </c>
      <c r="O4249" t="str">
        <f t="shared" si="611"/>
        <v>64511</v>
      </c>
      <c r="P4249" t="str">
        <f t="shared" si="615"/>
        <v>2100L</v>
      </c>
      <c r="Q4249" t="str">
        <f t="shared" si="613"/>
        <v>0101</v>
      </c>
      <c r="R4249">
        <v>2100</v>
      </c>
      <c r="S4249" t="str">
        <f t="shared" si="612"/>
        <v>6450</v>
      </c>
      <c r="T4249" t="s">
        <v>3523</v>
      </c>
      <c r="U4249" t="s">
        <v>90</v>
      </c>
    </row>
    <row r="4250" spans="1:21" ht="15" customHeight="1" x14ac:dyDescent="0.3">
      <c r="A4250" t="s">
        <v>179</v>
      </c>
      <c r="B4250" t="str">
        <f>"00051636"</f>
        <v>00051636</v>
      </c>
      <c r="C4250" t="s">
        <v>4253</v>
      </c>
      <c r="D4250" t="s">
        <v>5594</v>
      </c>
      <c r="E4250" t="str">
        <f>"00069552"</f>
        <v>00069552</v>
      </c>
      <c r="F4250">
        <v>0</v>
      </c>
      <c r="G4250" s="243">
        <v>41133</v>
      </c>
      <c r="H4250" t="s">
        <v>182</v>
      </c>
      <c r="I4250">
        <v>15</v>
      </c>
      <c r="J4250">
        <v>1</v>
      </c>
      <c r="K4250">
        <v>1</v>
      </c>
      <c r="L4250">
        <v>51539</v>
      </c>
      <c r="M4250" t="str">
        <f t="shared" si="610"/>
        <v>13</v>
      </c>
      <c r="N4250" t="s">
        <v>3370</v>
      </c>
      <c r="O4250" t="str">
        <f t="shared" ref="O4250:O4281" si="616">"64711"</f>
        <v>64711</v>
      </c>
      <c r="P4250" t="str">
        <f t="shared" si="615"/>
        <v>2100L</v>
      </c>
      <c r="Q4250" t="str">
        <f t="shared" si="613"/>
        <v>0101</v>
      </c>
      <c r="R4250">
        <v>2100</v>
      </c>
      <c r="S4250" t="str">
        <f t="shared" ref="S4250:S4276" si="617">"6470"</f>
        <v>6470</v>
      </c>
      <c r="T4250" t="s">
        <v>3837</v>
      </c>
      <c r="U4250" t="s">
        <v>2128</v>
      </c>
    </row>
    <row r="4251" spans="1:21" ht="15" customHeight="1" x14ac:dyDescent="0.3">
      <c r="A4251" t="s">
        <v>179</v>
      </c>
      <c r="B4251" t="str">
        <f>"00052051"</f>
        <v>00052051</v>
      </c>
      <c r="C4251" t="s">
        <v>4306</v>
      </c>
      <c r="D4251" t="s">
        <v>5595</v>
      </c>
      <c r="E4251" t="str">
        <f>"00047114"</f>
        <v>00047114</v>
      </c>
      <c r="F4251">
        <v>0</v>
      </c>
      <c r="G4251" s="243">
        <v>33619</v>
      </c>
      <c r="H4251" t="s">
        <v>182</v>
      </c>
      <c r="I4251">
        <v>9</v>
      </c>
      <c r="J4251">
        <v>10</v>
      </c>
      <c r="K4251">
        <v>1</v>
      </c>
      <c r="L4251">
        <v>42730</v>
      </c>
      <c r="M4251" t="str">
        <f t="shared" si="610"/>
        <v>13</v>
      </c>
      <c r="N4251" t="s">
        <v>3323</v>
      </c>
      <c r="O4251" t="str">
        <f t="shared" si="616"/>
        <v>64711</v>
      </c>
      <c r="P4251" t="str">
        <f>"1502L"</f>
        <v>1502L</v>
      </c>
      <c r="Q4251" t="str">
        <f t="shared" si="613"/>
        <v>0101</v>
      </c>
      <c r="R4251">
        <v>1502</v>
      </c>
      <c r="S4251" t="str">
        <f t="shared" si="617"/>
        <v>6470</v>
      </c>
      <c r="T4251" t="s">
        <v>3837</v>
      </c>
      <c r="U4251" t="s">
        <v>2128</v>
      </c>
    </row>
    <row r="4252" spans="1:21" ht="15" customHeight="1" x14ac:dyDescent="0.3">
      <c r="A4252" t="s">
        <v>179</v>
      </c>
      <c r="B4252" t="str">
        <f>"00052625"</f>
        <v>00052625</v>
      </c>
      <c r="C4252" t="s">
        <v>4260</v>
      </c>
      <c r="H4252" t="s">
        <v>170</v>
      </c>
      <c r="I4252">
        <v>15</v>
      </c>
      <c r="J4252">
        <v>1</v>
      </c>
      <c r="K4252">
        <v>1</v>
      </c>
      <c r="L4252">
        <v>54975</v>
      </c>
      <c r="M4252" t="str">
        <f t="shared" si="610"/>
        <v>13</v>
      </c>
      <c r="N4252" t="s">
        <v>3323</v>
      </c>
      <c r="O4252" t="str">
        <f t="shared" si="616"/>
        <v>64711</v>
      </c>
      <c r="P4252" t="str">
        <f>"2100L"</f>
        <v>2100L</v>
      </c>
      <c r="Q4252" t="str">
        <f t="shared" si="613"/>
        <v>0101</v>
      </c>
      <c r="R4252">
        <v>2100</v>
      </c>
      <c r="S4252" t="str">
        <f t="shared" si="617"/>
        <v>6470</v>
      </c>
      <c r="T4252" t="s">
        <v>3837</v>
      </c>
      <c r="U4252" t="s">
        <v>2128</v>
      </c>
    </row>
    <row r="4253" spans="1:21" ht="15" customHeight="1" x14ac:dyDescent="0.3">
      <c r="A4253" t="s">
        <v>179</v>
      </c>
      <c r="B4253" t="str">
        <f>"00052673"</f>
        <v>00052673</v>
      </c>
      <c r="C4253" t="s">
        <v>4257</v>
      </c>
      <c r="D4253" t="s">
        <v>2130</v>
      </c>
      <c r="E4253" t="str">
        <f>"00048853"</f>
        <v>00048853</v>
      </c>
      <c r="F4253">
        <v>0</v>
      </c>
      <c r="G4253" s="243">
        <v>32260</v>
      </c>
      <c r="H4253" t="s">
        <v>182</v>
      </c>
      <c r="I4253">
        <v>15</v>
      </c>
      <c r="J4253">
        <v>16</v>
      </c>
      <c r="K4253">
        <v>1</v>
      </c>
      <c r="L4253">
        <v>100839</v>
      </c>
      <c r="M4253" t="str">
        <f t="shared" si="610"/>
        <v>13</v>
      </c>
      <c r="N4253" t="s">
        <v>3323</v>
      </c>
      <c r="O4253" t="str">
        <f t="shared" si="616"/>
        <v>64711</v>
      </c>
      <c r="P4253" t="str">
        <f>"2100L"</f>
        <v>2100L</v>
      </c>
      <c r="Q4253" t="str">
        <f t="shared" si="613"/>
        <v>0101</v>
      </c>
      <c r="R4253">
        <v>2100</v>
      </c>
      <c r="S4253" t="str">
        <f t="shared" si="617"/>
        <v>6470</v>
      </c>
      <c r="T4253" t="s">
        <v>3837</v>
      </c>
      <c r="U4253" t="s">
        <v>2128</v>
      </c>
    </row>
    <row r="4254" spans="1:21" ht="15" customHeight="1" x14ac:dyDescent="0.3">
      <c r="A4254" t="s">
        <v>179</v>
      </c>
      <c r="B4254" t="str">
        <f>"00052791"</f>
        <v>00052791</v>
      </c>
      <c r="C4254" t="s">
        <v>4260</v>
      </c>
      <c r="D4254" t="s">
        <v>1237</v>
      </c>
      <c r="E4254" t="str">
        <f>"00062952"</f>
        <v>00062952</v>
      </c>
      <c r="F4254">
        <v>0</v>
      </c>
      <c r="G4254" s="243">
        <v>40875</v>
      </c>
      <c r="H4254" t="s">
        <v>182</v>
      </c>
      <c r="I4254">
        <v>15</v>
      </c>
      <c r="J4254">
        <v>10</v>
      </c>
      <c r="K4254">
        <v>1</v>
      </c>
      <c r="L4254">
        <v>83199</v>
      </c>
      <c r="M4254" t="str">
        <f t="shared" si="610"/>
        <v>13</v>
      </c>
      <c r="N4254" t="s">
        <v>3323</v>
      </c>
      <c r="O4254" t="str">
        <f t="shared" si="616"/>
        <v>64711</v>
      </c>
      <c r="P4254" t="str">
        <f>"2100L"</f>
        <v>2100L</v>
      </c>
      <c r="Q4254" t="str">
        <f t="shared" si="613"/>
        <v>0101</v>
      </c>
      <c r="R4254">
        <v>2100</v>
      </c>
      <c r="S4254" t="str">
        <f t="shared" si="617"/>
        <v>6470</v>
      </c>
      <c r="T4254" t="s">
        <v>3837</v>
      </c>
      <c r="U4254" t="s">
        <v>2128</v>
      </c>
    </row>
    <row r="4255" spans="1:21" ht="15" customHeight="1" x14ac:dyDescent="0.3">
      <c r="A4255" t="s">
        <v>179</v>
      </c>
      <c r="B4255" t="str">
        <f>"00053325"</f>
        <v>00053325</v>
      </c>
      <c r="C4255" t="s">
        <v>4260</v>
      </c>
      <c r="D4255" t="s">
        <v>2131</v>
      </c>
      <c r="E4255" t="str">
        <f>"00051304"</f>
        <v>00051304</v>
      </c>
      <c r="F4255">
        <v>0</v>
      </c>
      <c r="G4255" s="243">
        <v>31705</v>
      </c>
      <c r="H4255" t="s">
        <v>182</v>
      </c>
      <c r="I4255">
        <v>15</v>
      </c>
      <c r="J4255">
        <v>13</v>
      </c>
      <c r="K4255">
        <v>1</v>
      </c>
      <c r="L4255">
        <v>81724</v>
      </c>
      <c r="M4255" t="str">
        <f t="shared" si="610"/>
        <v>13</v>
      </c>
      <c r="N4255" t="s">
        <v>3323</v>
      </c>
      <c r="O4255" t="str">
        <f t="shared" si="616"/>
        <v>64711</v>
      </c>
      <c r="P4255" t="str">
        <f>"2100L"</f>
        <v>2100L</v>
      </c>
      <c r="Q4255" t="str">
        <f t="shared" si="613"/>
        <v>0101</v>
      </c>
      <c r="R4255">
        <v>2100</v>
      </c>
      <c r="S4255" t="str">
        <f t="shared" si="617"/>
        <v>6470</v>
      </c>
      <c r="T4255" t="s">
        <v>3837</v>
      </c>
      <c r="U4255" t="s">
        <v>2128</v>
      </c>
    </row>
    <row r="4256" spans="1:21" ht="15" customHeight="1" x14ac:dyDescent="0.3">
      <c r="A4256" t="s">
        <v>179</v>
      </c>
      <c r="B4256" t="str">
        <f>"00053701"</f>
        <v>00053701</v>
      </c>
      <c r="C4256" t="s">
        <v>4306</v>
      </c>
      <c r="D4256" t="s">
        <v>5596</v>
      </c>
      <c r="E4256" t="str">
        <f>"00052373"</f>
        <v>00052373</v>
      </c>
      <c r="F4256">
        <v>0</v>
      </c>
      <c r="G4256" s="243">
        <v>24735</v>
      </c>
      <c r="H4256" t="s">
        <v>182</v>
      </c>
      <c r="I4256">
        <v>9</v>
      </c>
      <c r="J4256">
        <v>7</v>
      </c>
      <c r="K4256">
        <v>1</v>
      </c>
      <c r="L4256">
        <v>39541</v>
      </c>
      <c r="M4256" t="str">
        <f t="shared" si="610"/>
        <v>13</v>
      </c>
      <c r="N4256" t="s">
        <v>3323</v>
      </c>
      <c r="O4256" t="str">
        <f t="shared" si="616"/>
        <v>64711</v>
      </c>
      <c r="P4256" t="str">
        <f>"1502L"</f>
        <v>1502L</v>
      </c>
      <c r="Q4256" t="str">
        <f t="shared" si="613"/>
        <v>0101</v>
      </c>
      <c r="R4256">
        <v>1502</v>
      </c>
      <c r="S4256" t="str">
        <f t="shared" si="617"/>
        <v>6470</v>
      </c>
      <c r="T4256" t="s">
        <v>3837</v>
      </c>
      <c r="U4256" t="s">
        <v>2128</v>
      </c>
    </row>
    <row r="4257" spans="1:21" ht="15" customHeight="1" x14ac:dyDescent="0.3">
      <c r="A4257" t="s">
        <v>179</v>
      </c>
      <c r="B4257" t="str">
        <f>"00053798"</f>
        <v>00053798</v>
      </c>
      <c r="C4257" t="s">
        <v>4367</v>
      </c>
      <c r="D4257" t="s">
        <v>5597</v>
      </c>
      <c r="E4257" t="str">
        <f>"00052550"</f>
        <v>00052550</v>
      </c>
      <c r="F4257">
        <v>0</v>
      </c>
      <c r="G4257" s="243">
        <v>26609</v>
      </c>
      <c r="H4257" t="s">
        <v>182</v>
      </c>
      <c r="I4257">
        <v>9</v>
      </c>
      <c r="J4257">
        <v>6</v>
      </c>
      <c r="K4257">
        <v>1</v>
      </c>
      <c r="L4257">
        <v>42649</v>
      </c>
      <c r="M4257" t="str">
        <f t="shared" si="610"/>
        <v>13</v>
      </c>
      <c r="N4257" t="s">
        <v>3323</v>
      </c>
      <c r="O4257" t="str">
        <f t="shared" si="616"/>
        <v>64711</v>
      </c>
      <c r="P4257" t="str">
        <f>"1502L"</f>
        <v>1502L</v>
      </c>
      <c r="Q4257" t="str">
        <f t="shared" si="613"/>
        <v>0101</v>
      </c>
      <c r="R4257">
        <v>1502</v>
      </c>
      <c r="S4257" t="str">
        <f t="shared" si="617"/>
        <v>6470</v>
      </c>
      <c r="T4257" t="s">
        <v>3837</v>
      </c>
      <c r="U4257" t="s">
        <v>2128</v>
      </c>
    </row>
    <row r="4258" spans="1:21" ht="15" customHeight="1" x14ac:dyDescent="0.3">
      <c r="A4258" t="s">
        <v>179</v>
      </c>
      <c r="B4258" t="str">
        <f>"00054307"</f>
        <v>00054307</v>
      </c>
      <c r="C4258" t="s">
        <v>4262</v>
      </c>
      <c r="D4258" t="s">
        <v>2132</v>
      </c>
      <c r="E4258" t="str">
        <f>"00053552"</f>
        <v>00053552</v>
      </c>
      <c r="F4258">
        <v>0</v>
      </c>
      <c r="G4258" s="243">
        <v>33625</v>
      </c>
      <c r="H4258" t="s">
        <v>182</v>
      </c>
      <c r="I4258">
        <v>15</v>
      </c>
      <c r="J4258">
        <v>15</v>
      </c>
      <c r="K4258">
        <v>1</v>
      </c>
      <c r="L4258">
        <v>100792</v>
      </c>
      <c r="M4258" t="str">
        <f t="shared" si="610"/>
        <v>13</v>
      </c>
      <c r="N4258" t="s">
        <v>3323</v>
      </c>
      <c r="O4258" t="str">
        <f t="shared" si="616"/>
        <v>64711</v>
      </c>
      <c r="P4258" t="str">
        <f>"2100L"</f>
        <v>2100L</v>
      </c>
      <c r="Q4258" t="str">
        <f t="shared" si="613"/>
        <v>0101</v>
      </c>
      <c r="R4258">
        <v>2100</v>
      </c>
      <c r="S4258" t="str">
        <f t="shared" si="617"/>
        <v>6470</v>
      </c>
      <c r="T4258" t="s">
        <v>3837</v>
      </c>
      <c r="U4258" t="s">
        <v>2128</v>
      </c>
    </row>
    <row r="4259" spans="1:21" ht="15" customHeight="1" x14ac:dyDescent="0.3">
      <c r="A4259" t="s">
        <v>179</v>
      </c>
      <c r="B4259" t="str">
        <f>"00055189"</f>
        <v>00055189</v>
      </c>
      <c r="C4259" t="s">
        <v>4260</v>
      </c>
      <c r="H4259" t="s">
        <v>170</v>
      </c>
      <c r="I4259">
        <v>15</v>
      </c>
      <c r="J4259">
        <v>1</v>
      </c>
      <c r="K4259">
        <v>1</v>
      </c>
      <c r="L4259">
        <v>54975</v>
      </c>
      <c r="M4259" t="str">
        <f t="shared" si="610"/>
        <v>13</v>
      </c>
      <c r="N4259" t="s">
        <v>3323</v>
      </c>
      <c r="O4259" t="str">
        <f t="shared" si="616"/>
        <v>64711</v>
      </c>
      <c r="P4259" t="str">
        <f>"2100L"</f>
        <v>2100L</v>
      </c>
      <c r="Q4259" t="str">
        <f t="shared" si="613"/>
        <v>0101</v>
      </c>
      <c r="R4259">
        <v>2100</v>
      </c>
      <c r="S4259" t="str">
        <f t="shared" si="617"/>
        <v>6470</v>
      </c>
      <c r="T4259" t="s">
        <v>3837</v>
      </c>
      <c r="U4259" t="s">
        <v>2128</v>
      </c>
    </row>
    <row r="4260" spans="1:21" ht="15" customHeight="1" x14ac:dyDescent="0.3">
      <c r="A4260" t="s">
        <v>179</v>
      </c>
      <c r="B4260" t="str">
        <f>"00056844"</f>
        <v>00056844</v>
      </c>
      <c r="C4260" t="s">
        <v>4253</v>
      </c>
      <c r="D4260" t="s">
        <v>5598</v>
      </c>
      <c r="E4260" t="str">
        <f>"00069695"</f>
        <v>00069695</v>
      </c>
      <c r="F4260">
        <v>0</v>
      </c>
      <c r="G4260" s="243">
        <v>41133</v>
      </c>
      <c r="H4260" t="s">
        <v>182</v>
      </c>
      <c r="I4260">
        <v>15</v>
      </c>
      <c r="J4260">
        <v>1</v>
      </c>
      <c r="K4260">
        <v>1</v>
      </c>
      <c r="L4260">
        <v>54975</v>
      </c>
      <c r="M4260" t="str">
        <f t="shared" si="610"/>
        <v>13</v>
      </c>
      <c r="N4260" t="s">
        <v>3370</v>
      </c>
      <c r="O4260" t="str">
        <f t="shared" si="616"/>
        <v>64711</v>
      </c>
      <c r="P4260" t="str">
        <f>"2100L"</f>
        <v>2100L</v>
      </c>
      <c r="Q4260" t="str">
        <f t="shared" si="613"/>
        <v>0101</v>
      </c>
      <c r="R4260">
        <v>2100</v>
      </c>
      <c r="S4260" t="str">
        <f t="shared" si="617"/>
        <v>6470</v>
      </c>
      <c r="T4260" t="s">
        <v>3837</v>
      </c>
      <c r="U4260" t="s">
        <v>2128</v>
      </c>
    </row>
    <row r="4261" spans="1:21" ht="15" customHeight="1" x14ac:dyDescent="0.3">
      <c r="A4261" t="s">
        <v>179</v>
      </c>
      <c r="B4261" t="str">
        <f>"00057402"</f>
        <v>00057402</v>
      </c>
      <c r="C4261" t="s">
        <v>4262</v>
      </c>
      <c r="D4261" t="s">
        <v>2137</v>
      </c>
      <c r="E4261" t="str">
        <f>"00053745"</f>
        <v>00053745</v>
      </c>
      <c r="F4261">
        <v>0</v>
      </c>
      <c r="G4261" s="243">
        <v>36761</v>
      </c>
      <c r="H4261" t="s">
        <v>182</v>
      </c>
      <c r="I4261">
        <v>15</v>
      </c>
      <c r="J4261">
        <v>12</v>
      </c>
      <c r="K4261">
        <v>1</v>
      </c>
      <c r="L4261">
        <v>89887</v>
      </c>
      <c r="M4261" t="str">
        <f t="shared" si="610"/>
        <v>13</v>
      </c>
      <c r="N4261" t="s">
        <v>3323</v>
      </c>
      <c r="O4261" t="str">
        <f t="shared" si="616"/>
        <v>64711</v>
      </c>
      <c r="P4261" t="str">
        <f>"2100L"</f>
        <v>2100L</v>
      </c>
      <c r="Q4261" t="str">
        <f t="shared" si="613"/>
        <v>0101</v>
      </c>
      <c r="R4261">
        <v>2100</v>
      </c>
      <c r="S4261" t="str">
        <f t="shared" si="617"/>
        <v>6470</v>
      </c>
      <c r="T4261" t="s">
        <v>3837</v>
      </c>
      <c r="U4261" t="s">
        <v>2128</v>
      </c>
    </row>
    <row r="4262" spans="1:21" ht="15" customHeight="1" x14ac:dyDescent="0.3">
      <c r="A4262" t="s">
        <v>179</v>
      </c>
      <c r="B4262" t="str">
        <f>"00058552"</f>
        <v>00058552</v>
      </c>
      <c r="C4262" t="s">
        <v>4253</v>
      </c>
      <c r="D4262" t="s">
        <v>2147</v>
      </c>
      <c r="E4262" t="str">
        <f>"00048389"</f>
        <v>00048389</v>
      </c>
      <c r="F4262">
        <v>0</v>
      </c>
      <c r="G4262" s="243">
        <v>32690</v>
      </c>
      <c r="H4262" t="s">
        <v>182</v>
      </c>
      <c r="I4262">
        <v>15</v>
      </c>
      <c r="J4262">
        <v>13</v>
      </c>
      <c r="K4262">
        <v>1</v>
      </c>
      <c r="L4262">
        <v>81724</v>
      </c>
      <c r="M4262" t="str">
        <f t="shared" si="610"/>
        <v>13</v>
      </c>
      <c r="N4262" t="s">
        <v>3370</v>
      </c>
      <c r="O4262" t="str">
        <f t="shared" si="616"/>
        <v>64711</v>
      </c>
      <c r="P4262" t="str">
        <f>"2100L"</f>
        <v>2100L</v>
      </c>
      <c r="Q4262" t="str">
        <f t="shared" si="613"/>
        <v>0101</v>
      </c>
      <c r="R4262">
        <v>2100</v>
      </c>
      <c r="S4262" t="str">
        <f t="shared" si="617"/>
        <v>6470</v>
      </c>
      <c r="T4262" t="s">
        <v>3837</v>
      </c>
      <c r="U4262" t="s">
        <v>2128</v>
      </c>
    </row>
    <row r="4263" spans="1:21" ht="15" customHeight="1" x14ac:dyDescent="0.3">
      <c r="A4263" t="s">
        <v>179</v>
      </c>
      <c r="B4263" t="str">
        <f>"00058923"</f>
        <v>00058923</v>
      </c>
      <c r="C4263" t="s">
        <v>3798</v>
      </c>
      <c r="D4263" t="s">
        <v>2139</v>
      </c>
      <c r="E4263" t="str">
        <f>"00046497"</f>
        <v>00046497</v>
      </c>
      <c r="F4263">
        <v>0</v>
      </c>
      <c r="G4263" s="243">
        <v>37494</v>
      </c>
      <c r="H4263" t="s">
        <v>182</v>
      </c>
      <c r="I4263">
        <v>63</v>
      </c>
      <c r="J4263">
        <v>7</v>
      </c>
      <c r="K4263">
        <v>1</v>
      </c>
      <c r="L4263">
        <v>134000</v>
      </c>
      <c r="M4263" t="str">
        <f t="shared" ref="M4263:M4321" si="618">"13"</f>
        <v>13</v>
      </c>
      <c r="N4263" t="s">
        <v>3323</v>
      </c>
      <c r="O4263" t="str">
        <f t="shared" si="616"/>
        <v>64711</v>
      </c>
      <c r="P4263" t="str">
        <f>"1501L"</f>
        <v>1501L</v>
      </c>
      <c r="Q4263" t="str">
        <f t="shared" si="613"/>
        <v>0101</v>
      </c>
      <c r="R4263">
        <v>1501</v>
      </c>
      <c r="S4263" t="str">
        <f t="shared" si="617"/>
        <v>6470</v>
      </c>
      <c r="T4263" t="s">
        <v>3837</v>
      </c>
      <c r="U4263" t="s">
        <v>2128</v>
      </c>
    </row>
    <row r="4264" spans="1:21" ht="15" customHeight="1" x14ac:dyDescent="0.3">
      <c r="A4264" t="s">
        <v>179</v>
      </c>
      <c r="B4264" t="str">
        <f>"00059873"</f>
        <v>00059873</v>
      </c>
      <c r="C4264" t="s">
        <v>4262</v>
      </c>
      <c r="D4264" t="s">
        <v>2141</v>
      </c>
      <c r="E4264" t="str">
        <f>"00052050"</f>
        <v>00052050</v>
      </c>
      <c r="F4264">
        <v>0</v>
      </c>
      <c r="G4264" s="243">
        <v>38226</v>
      </c>
      <c r="H4264" t="s">
        <v>182</v>
      </c>
      <c r="I4264">
        <v>15</v>
      </c>
      <c r="J4264">
        <v>9</v>
      </c>
      <c r="K4264">
        <v>1</v>
      </c>
      <c r="L4264">
        <v>77687</v>
      </c>
      <c r="M4264" t="str">
        <f t="shared" si="618"/>
        <v>13</v>
      </c>
      <c r="N4264" t="s">
        <v>3323</v>
      </c>
      <c r="O4264" t="str">
        <f t="shared" si="616"/>
        <v>64711</v>
      </c>
      <c r="P4264" t="str">
        <f>"2100L"</f>
        <v>2100L</v>
      </c>
      <c r="Q4264" t="str">
        <f t="shared" si="613"/>
        <v>0101</v>
      </c>
      <c r="R4264">
        <v>2100</v>
      </c>
      <c r="S4264" t="str">
        <f t="shared" si="617"/>
        <v>6470</v>
      </c>
      <c r="T4264" t="s">
        <v>3837</v>
      </c>
      <c r="U4264" t="s">
        <v>2128</v>
      </c>
    </row>
    <row r="4265" spans="1:21" ht="15" customHeight="1" x14ac:dyDescent="0.3">
      <c r="A4265" t="s">
        <v>179</v>
      </c>
      <c r="B4265" t="str">
        <f>"00059918"</f>
        <v>00059918</v>
      </c>
      <c r="C4265" t="s">
        <v>4254</v>
      </c>
      <c r="D4265" t="s">
        <v>2142</v>
      </c>
      <c r="E4265" t="str">
        <f>"00052236"</f>
        <v>00052236</v>
      </c>
      <c r="F4265">
        <v>0</v>
      </c>
      <c r="G4265" s="243">
        <v>38226</v>
      </c>
      <c r="H4265" t="s">
        <v>182</v>
      </c>
      <c r="I4265">
        <v>15</v>
      </c>
      <c r="J4265">
        <v>9</v>
      </c>
      <c r="K4265">
        <v>1</v>
      </c>
      <c r="L4265">
        <v>75232</v>
      </c>
      <c r="M4265" t="str">
        <f t="shared" si="618"/>
        <v>13</v>
      </c>
      <c r="N4265" t="s">
        <v>3323</v>
      </c>
      <c r="O4265" t="str">
        <f t="shared" si="616"/>
        <v>64711</v>
      </c>
      <c r="P4265" t="str">
        <f>"2100L"</f>
        <v>2100L</v>
      </c>
      <c r="Q4265" t="str">
        <f t="shared" si="613"/>
        <v>0101</v>
      </c>
      <c r="R4265">
        <v>2100</v>
      </c>
      <c r="S4265" t="str">
        <f t="shared" si="617"/>
        <v>6470</v>
      </c>
      <c r="T4265" t="s">
        <v>3837</v>
      </c>
      <c r="U4265" t="s">
        <v>2128</v>
      </c>
    </row>
    <row r="4266" spans="1:21" ht="15" customHeight="1" x14ac:dyDescent="0.3">
      <c r="A4266" t="s">
        <v>179</v>
      </c>
      <c r="B4266" t="str">
        <f>"00060173"</f>
        <v>00060173</v>
      </c>
      <c r="C4266" t="s">
        <v>4290</v>
      </c>
      <c r="D4266" t="s">
        <v>5599</v>
      </c>
      <c r="E4266" t="str">
        <f>"00046356"</f>
        <v>00046356</v>
      </c>
      <c r="F4266">
        <v>0</v>
      </c>
      <c r="G4266" s="243">
        <v>38397</v>
      </c>
      <c r="H4266" t="s">
        <v>182</v>
      </c>
      <c r="I4266">
        <v>4</v>
      </c>
      <c r="J4266">
        <v>9</v>
      </c>
      <c r="K4266">
        <v>0.875</v>
      </c>
      <c r="L4266">
        <v>28025.38</v>
      </c>
      <c r="M4266" t="str">
        <f t="shared" si="618"/>
        <v>13</v>
      </c>
      <c r="N4266" t="s">
        <v>3323</v>
      </c>
      <c r="O4266" t="str">
        <f t="shared" si="616"/>
        <v>64711</v>
      </c>
      <c r="P4266" t="str">
        <f>"2100L"</f>
        <v>2100L</v>
      </c>
      <c r="Q4266" t="str">
        <f t="shared" si="613"/>
        <v>0101</v>
      </c>
      <c r="R4266">
        <v>2100</v>
      </c>
      <c r="S4266" t="str">
        <f t="shared" si="617"/>
        <v>6470</v>
      </c>
      <c r="T4266" t="s">
        <v>3837</v>
      </c>
      <c r="U4266" t="s">
        <v>2128</v>
      </c>
    </row>
    <row r="4267" spans="1:21" ht="15" customHeight="1" x14ac:dyDescent="0.3">
      <c r="A4267" t="s">
        <v>179</v>
      </c>
      <c r="B4267" t="str">
        <f>"00060364"</f>
        <v>00060364</v>
      </c>
      <c r="C4267" t="s">
        <v>4253</v>
      </c>
      <c r="H4267" t="s">
        <v>170</v>
      </c>
      <c r="I4267">
        <v>15</v>
      </c>
      <c r="J4267">
        <v>1</v>
      </c>
      <c r="K4267">
        <v>1</v>
      </c>
      <c r="L4267">
        <v>56693</v>
      </c>
      <c r="M4267" t="str">
        <f t="shared" si="618"/>
        <v>13</v>
      </c>
      <c r="N4267" t="s">
        <v>3323</v>
      </c>
      <c r="O4267" t="str">
        <f t="shared" si="616"/>
        <v>64711</v>
      </c>
      <c r="P4267" t="str">
        <f>"2100L"</f>
        <v>2100L</v>
      </c>
      <c r="Q4267" t="str">
        <f t="shared" si="613"/>
        <v>0101</v>
      </c>
      <c r="R4267">
        <v>2100</v>
      </c>
      <c r="S4267" t="str">
        <f t="shared" si="617"/>
        <v>6470</v>
      </c>
      <c r="T4267" t="s">
        <v>3837</v>
      </c>
      <c r="U4267" t="s">
        <v>2128</v>
      </c>
    </row>
    <row r="4268" spans="1:21" ht="15" customHeight="1" x14ac:dyDescent="0.3">
      <c r="A4268" t="s">
        <v>179</v>
      </c>
      <c r="B4268" t="str">
        <f>"00062122"</f>
        <v>00062122</v>
      </c>
      <c r="C4268" t="s">
        <v>4260</v>
      </c>
      <c r="D4268" t="s">
        <v>3954</v>
      </c>
      <c r="E4268" t="str">
        <f>"00065881"</f>
        <v>00065881</v>
      </c>
      <c r="F4268">
        <v>0</v>
      </c>
      <c r="G4268" s="243">
        <v>40755</v>
      </c>
      <c r="H4268" t="s">
        <v>182</v>
      </c>
      <c r="I4268">
        <v>15</v>
      </c>
      <c r="J4268">
        <v>2</v>
      </c>
      <c r="K4268">
        <v>1</v>
      </c>
      <c r="L4268">
        <v>54099</v>
      </c>
      <c r="M4268" t="str">
        <f t="shared" si="618"/>
        <v>13</v>
      </c>
      <c r="N4268" t="s">
        <v>3323</v>
      </c>
      <c r="O4268" t="str">
        <f t="shared" si="616"/>
        <v>64711</v>
      </c>
      <c r="P4268" t="str">
        <f>"2100L"</f>
        <v>2100L</v>
      </c>
      <c r="Q4268" t="str">
        <f t="shared" si="613"/>
        <v>0101</v>
      </c>
      <c r="R4268">
        <v>2100</v>
      </c>
      <c r="S4268" t="str">
        <f t="shared" si="617"/>
        <v>6470</v>
      </c>
      <c r="T4268" t="s">
        <v>3837</v>
      </c>
      <c r="U4268" t="s">
        <v>2128</v>
      </c>
    </row>
    <row r="4269" spans="1:21" ht="15" customHeight="1" x14ac:dyDescent="0.3">
      <c r="A4269" t="s">
        <v>179</v>
      </c>
      <c r="B4269" t="str">
        <f>"00065358"</f>
        <v>00065358</v>
      </c>
      <c r="C4269" t="s">
        <v>5495</v>
      </c>
      <c r="D4269" t="s">
        <v>2140</v>
      </c>
      <c r="E4269" t="str">
        <f>"00047131"</f>
        <v>00047131</v>
      </c>
      <c r="F4269">
        <v>0</v>
      </c>
      <c r="G4269" s="243">
        <v>37843</v>
      </c>
      <c r="H4269" t="s">
        <v>182</v>
      </c>
      <c r="I4269">
        <v>8</v>
      </c>
      <c r="J4269">
        <v>4</v>
      </c>
      <c r="K4269">
        <v>1</v>
      </c>
      <c r="L4269">
        <v>91181</v>
      </c>
      <c r="M4269" t="str">
        <f t="shared" si="618"/>
        <v>13</v>
      </c>
      <c r="N4269" t="s">
        <v>3370</v>
      </c>
      <c r="O4269" t="str">
        <f t="shared" si="616"/>
        <v>64711</v>
      </c>
      <c r="P4269" t="str">
        <f>"1501L"</f>
        <v>1501L</v>
      </c>
      <c r="Q4269" t="str">
        <f t="shared" si="613"/>
        <v>0101</v>
      </c>
      <c r="R4269">
        <v>1501</v>
      </c>
      <c r="S4269" t="str">
        <f t="shared" si="617"/>
        <v>6470</v>
      </c>
      <c r="T4269" t="s">
        <v>3837</v>
      </c>
      <c r="U4269" t="s">
        <v>2128</v>
      </c>
    </row>
    <row r="4270" spans="1:21" ht="15" customHeight="1" x14ac:dyDescent="0.3">
      <c r="A4270" t="s">
        <v>179</v>
      </c>
      <c r="B4270" t="str">
        <f>"00067085"</f>
        <v>00067085</v>
      </c>
      <c r="C4270" t="s">
        <v>3670</v>
      </c>
      <c r="H4270" t="s">
        <v>170</v>
      </c>
      <c r="I4270">
        <v>8</v>
      </c>
      <c r="J4270">
        <v>1</v>
      </c>
      <c r="K4270">
        <v>1</v>
      </c>
      <c r="L4270">
        <v>85222</v>
      </c>
      <c r="M4270" t="str">
        <f t="shared" si="618"/>
        <v>13</v>
      </c>
      <c r="N4270" t="s">
        <v>3323</v>
      </c>
      <c r="O4270" t="str">
        <f t="shared" si="616"/>
        <v>64711</v>
      </c>
      <c r="P4270" t="str">
        <f>"1501L"</f>
        <v>1501L</v>
      </c>
      <c r="Q4270" t="str">
        <f t="shared" ref="Q4270:Q4281" si="619">"0101"</f>
        <v>0101</v>
      </c>
      <c r="R4270">
        <v>1501</v>
      </c>
      <c r="S4270" t="str">
        <f t="shared" si="617"/>
        <v>6470</v>
      </c>
      <c r="T4270" t="s">
        <v>3837</v>
      </c>
      <c r="U4270" t="s">
        <v>2128</v>
      </c>
    </row>
    <row r="4271" spans="1:21" ht="15" customHeight="1" x14ac:dyDescent="0.3">
      <c r="A4271" t="s">
        <v>179</v>
      </c>
      <c r="B4271" t="str">
        <f>"00067324"</f>
        <v>00067324</v>
      </c>
      <c r="C4271" t="s">
        <v>4290</v>
      </c>
      <c r="D4271" t="s">
        <v>5600</v>
      </c>
      <c r="E4271" t="str">
        <f>"00057187"</f>
        <v>00057187</v>
      </c>
      <c r="F4271">
        <v>0</v>
      </c>
      <c r="G4271" s="243">
        <v>40042</v>
      </c>
      <c r="H4271" t="s">
        <v>182</v>
      </c>
      <c r="I4271">
        <v>4</v>
      </c>
      <c r="J4271">
        <v>8</v>
      </c>
      <c r="K4271">
        <v>1</v>
      </c>
      <c r="L4271">
        <v>27329.75</v>
      </c>
      <c r="M4271" t="str">
        <f t="shared" si="618"/>
        <v>13</v>
      </c>
      <c r="N4271" t="s">
        <v>3323</v>
      </c>
      <c r="O4271" t="str">
        <f t="shared" si="616"/>
        <v>64711</v>
      </c>
      <c r="P4271" t="str">
        <f>"3030L"</f>
        <v>3030L</v>
      </c>
      <c r="Q4271" t="str">
        <f t="shared" si="619"/>
        <v>0101</v>
      </c>
      <c r="R4271">
        <v>3030</v>
      </c>
      <c r="S4271" t="str">
        <f t="shared" si="617"/>
        <v>6470</v>
      </c>
      <c r="T4271" t="s">
        <v>3837</v>
      </c>
      <c r="U4271" t="s">
        <v>2128</v>
      </c>
    </row>
    <row r="4272" spans="1:21" ht="15" customHeight="1" x14ac:dyDescent="0.3">
      <c r="A4272" t="s">
        <v>179</v>
      </c>
      <c r="B4272" t="str">
        <f>"00072227"</f>
        <v>00072227</v>
      </c>
      <c r="C4272" t="s">
        <v>4253</v>
      </c>
      <c r="D4272" t="s">
        <v>5601</v>
      </c>
      <c r="E4272" t="str">
        <f>"00069643"</f>
        <v>00069643</v>
      </c>
      <c r="F4272">
        <v>0</v>
      </c>
      <c r="G4272" s="243">
        <v>41133</v>
      </c>
      <c r="H4272" t="s">
        <v>182</v>
      </c>
      <c r="I4272">
        <v>15</v>
      </c>
      <c r="J4272">
        <v>1</v>
      </c>
      <c r="K4272">
        <v>1</v>
      </c>
      <c r="L4272">
        <v>54975</v>
      </c>
      <c r="M4272" t="str">
        <f t="shared" si="618"/>
        <v>13</v>
      </c>
      <c r="N4272" t="s">
        <v>3370</v>
      </c>
      <c r="O4272" t="str">
        <f t="shared" si="616"/>
        <v>64711</v>
      </c>
      <c r="P4272" t="str">
        <f>"2100L"</f>
        <v>2100L</v>
      </c>
      <c r="Q4272" t="str">
        <f t="shared" si="619"/>
        <v>0101</v>
      </c>
      <c r="R4272">
        <v>2100</v>
      </c>
      <c r="S4272" t="str">
        <f t="shared" si="617"/>
        <v>6470</v>
      </c>
      <c r="T4272" t="s">
        <v>3837</v>
      </c>
      <c r="U4272" t="s">
        <v>2128</v>
      </c>
    </row>
    <row r="4273" spans="1:21" ht="15" customHeight="1" x14ac:dyDescent="0.3">
      <c r="A4273" t="s">
        <v>179</v>
      </c>
      <c r="B4273" t="str">
        <f>"00072344"</f>
        <v>00072344</v>
      </c>
      <c r="C4273" t="s">
        <v>4253</v>
      </c>
      <c r="D4273" t="s">
        <v>5602</v>
      </c>
      <c r="E4273" t="str">
        <f>"00060868"</f>
        <v>00060868</v>
      </c>
      <c r="F4273">
        <v>0</v>
      </c>
      <c r="G4273" s="243">
        <v>41000</v>
      </c>
      <c r="H4273" t="s">
        <v>182</v>
      </c>
      <c r="I4273">
        <v>15</v>
      </c>
      <c r="J4273">
        <v>1</v>
      </c>
      <c r="K4273">
        <v>1</v>
      </c>
      <c r="L4273">
        <v>51539</v>
      </c>
      <c r="M4273" t="str">
        <f t="shared" si="618"/>
        <v>13</v>
      </c>
      <c r="N4273" t="s">
        <v>3323</v>
      </c>
      <c r="O4273" t="str">
        <f t="shared" si="616"/>
        <v>64711</v>
      </c>
      <c r="P4273" t="str">
        <f>"2100L"</f>
        <v>2100L</v>
      </c>
      <c r="Q4273" t="str">
        <f t="shared" si="619"/>
        <v>0101</v>
      </c>
      <c r="R4273">
        <v>2100</v>
      </c>
      <c r="S4273" t="str">
        <f t="shared" si="617"/>
        <v>6470</v>
      </c>
      <c r="T4273" t="s">
        <v>3837</v>
      </c>
      <c r="U4273" t="s">
        <v>2128</v>
      </c>
    </row>
    <row r="4274" spans="1:21" ht="15" customHeight="1" x14ac:dyDescent="0.3">
      <c r="A4274" t="s">
        <v>179</v>
      </c>
      <c r="B4274" t="str">
        <f>"00072427"</f>
        <v>00072427</v>
      </c>
      <c r="C4274" t="s">
        <v>4614</v>
      </c>
      <c r="D4274" t="s">
        <v>2146</v>
      </c>
      <c r="E4274" t="str">
        <f>"00045523"</f>
        <v>00045523</v>
      </c>
      <c r="F4274">
        <v>0</v>
      </c>
      <c r="G4274" s="243">
        <v>40042</v>
      </c>
      <c r="H4274" t="s">
        <v>182</v>
      </c>
      <c r="I4274">
        <v>7</v>
      </c>
      <c r="J4274">
        <v>2</v>
      </c>
      <c r="K4274">
        <v>1</v>
      </c>
      <c r="L4274">
        <v>35977</v>
      </c>
      <c r="M4274" t="str">
        <f t="shared" si="618"/>
        <v>13</v>
      </c>
      <c r="N4274" t="s">
        <v>3323</v>
      </c>
      <c r="O4274" t="str">
        <f t="shared" si="616"/>
        <v>64711</v>
      </c>
      <c r="P4274" t="str">
        <f>"2100L"</f>
        <v>2100L</v>
      </c>
      <c r="Q4274" t="str">
        <f t="shared" si="619"/>
        <v>0101</v>
      </c>
      <c r="R4274">
        <v>2100</v>
      </c>
      <c r="S4274" t="str">
        <f t="shared" si="617"/>
        <v>6470</v>
      </c>
      <c r="T4274" t="s">
        <v>3837</v>
      </c>
      <c r="U4274" t="s">
        <v>2128</v>
      </c>
    </row>
    <row r="4275" spans="1:21" ht="15" customHeight="1" x14ac:dyDescent="0.3">
      <c r="A4275" t="s">
        <v>179</v>
      </c>
      <c r="B4275" t="str">
        <f>"00072618"</f>
        <v>00072618</v>
      </c>
      <c r="C4275" t="s">
        <v>4292</v>
      </c>
      <c r="H4275" t="s">
        <v>170</v>
      </c>
      <c r="I4275">
        <v>4</v>
      </c>
      <c r="J4275">
        <v>1</v>
      </c>
      <c r="K4275">
        <v>0.71</v>
      </c>
      <c r="L4275">
        <v>25662</v>
      </c>
      <c r="M4275" t="str">
        <f t="shared" si="618"/>
        <v>13</v>
      </c>
      <c r="N4275" t="s">
        <v>3323</v>
      </c>
      <c r="O4275" t="str">
        <f t="shared" si="616"/>
        <v>64711</v>
      </c>
      <c r="P4275" t="str">
        <f>"2100L"</f>
        <v>2100L</v>
      </c>
      <c r="Q4275" t="str">
        <f t="shared" si="619"/>
        <v>0101</v>
      </c>
      <c r="R4275">
        <v>2100</v>
      </c>
      <c r="S4275" t="str">
        <f t="shared" si="617"/>
        <v>6470</v>
      </c>
      <c r="T4275" t="s">
        <v>3837</v>
      </c>
      <c r="U4275" t="s">
        <v>2128</v>
      </c>
    </row>
    <row r="4276" spans="1:21" ht="15" customHeight="1" x14ac:dyDescent="0.3">
      <c r="A4276" t="s">
        <v>179</v>
      </c>
      <c r="B4276" t="str">
        <f>"00072619"</f>
        <v>00072619</v>
      </c>
      <c r="C4276" t="s">
        <v>4292</v>
      </c>
      <c r="D4276" t="s">
        <v>5603</v>
      </c>
      <c r="E4276" t="str">
        <f>"00058037"</f>
        <v>00058037</v>
      </c>
      <c r="F4276">
        <v>0</v>
      </c>
      <c r="G4276" s="243">
        <v>40042</v>
      </c>
      <c r="H4276" t="s">
        <v>182</v>
      </c>
      <c r="I4276">
        <v>4</v>
      </c>
      <c r="J4276">
        <v>7</v>
      </c>
      <c r="K4276">
        <v>0.71</v>
      </c>
      <c r="L4276">
        <v>26633.25</v>
      </c>
      <c r="M4276" t="str">
        <f t="shared" si="618"/>
        <v>13</v>
      </c>
      <c r="N4276" t="s">
        <v>3323</v>
      </c>
      <c r="O4276" t="str">
        <f t="shared" si="616"/>
        <v>64711</v>
      </c>
      <c r="P4276" t="str">
        <f>"2100L"</f>
        <v>2100L</v>
      </c>
      <c r="Q4276" t="str">
        <f t="shared" si="619"/>
        <v>0101</v>
      </c>
      <c r="R4276">
        <v>2100</v>
      </c>
      <c r="S4276" t="str">
        <f t="shared" si="617"/>
        <v>6470</v>
      </c>
      <c r="T4276" t="s">
        <v>3837</v>
      </c>
      <c r="U4276" t="s">
        <v>2128</v>
      </c>
    </row>
    <row r="4277" spans="1:21" ht="15" customHeight="1" x14ac:dyDescent="0.3">
      <c r="A4277" t="s">
        <v>179</v>
      </c>
      <c r="B4277" t="str">
        <f>"00074412"</f>
        <v>00074412</v>
      </c>
      <c r="C4277" t="s">
        <v>4341</v>
      </c>
      <c r="D4277" t="s">
        <v>2136</v>
      </c>
      <c r="E4277" t="str">
        <f>"00049639"</f>
        <v>00049639</v>
      </c>
      <c r="F4277">
        <v>0</v>
      </c>
      <c r="G4277" s="243">
        <v>36761</v>
      </c>
      <c r="H4277" t="s">
        <v>182</v>
      </c>
      <c r="I4277">
        <v>10</v>
      </c>
      <c r="J4277">
        <v>9</v>
      </c>
      <c r="K4277">
        <v>1</v>
      </c>
      <c r="L4277">
        <v>84226</v>
      </c>
      <c r="M4277" t="str">
        <f t="shared" si="618"/>
        <v>13</v>
      </c>
      <c r="N4277" t="s">
        <v>3323</v>
      </c>
      <c r="O4277" t="str">
        <f t="shared" si="616"/>
        <v>64711</v>
      </c>
      <c r="P4277" t="str">
        <f>"3030L"</f>
        <v>3030L</v>
      </c>
      <c r="Q4277" t="str">
        <f t="shared" si="619"/>
        <v>0101</v>
      </c>
      <c r="R4277">
        <v>3030</v>
      </c>
      <c r="S4277" t="str">
        <f t="shared" ref="S4277:S4294" si="620">"6470"</f>
        <v>6470</v>
      </c>
      <c r="T4277" t="s">
        <v>3837</v>
      </c>
      <c r="U4277" t="s">
        <v>2128</v>
      </c>
    </row>
    <row r="4278" spans="1:21" ht="15" customHeight="1" x14ac:dyDescent="0.3">
      <c r="A4278" t="s">
        <v>179</v>
      </c>
      <c r="B4278" t="str">
        <f>"00074413"</f>
        <v>00074413</v>
      </c>
      <c r="C4278" t="s">
        <v>4260</v>
      </c>
      <c r="D4278" t="s">
        <v>3951</v>
      </c>
      <c r="E4278" t="str">
        <f>"00057482"</f>
        <v>00057482</v>
      </c>
      <c r="F4278">
        <v>0</v>
      </c>
      <c r="G4278" s="243">
        <v>40755</v>
      </c>
      <c r="H4278" t="s">
        <v>182</v>
      </c>
      <c r="I4278">
        <v>15</v>
      </c>
      <c r="J4278">
        <v>4</v>
      </c>
      <c r="K4278">
        <v>1</v>
      </c>
      <c r="L4278">
        <v>61158</v>
      </c>
      <c r="M4278" t="str">
        <f t="shared" si="618"/>
        <v>13</v>
      </c>
      <c r="N4278" t="s">
        <v>3323</v>
      </c>
      <c r="O4278" t="str">
        <f t="shared" si="616"/>
        <v>64711</v>
      </c>
      <c r="P4278" t="str">
        <f>"3030L"</f>
        <v>3030L</v>
      </c>
      <c r="Q4278" t="str">
        <f t="shared" si="619"/>
        <v>0101</v>
      </c>
      <c r="R4278">
        <v>3030</v>
      </c>
      <c r="S4278" t="str">
        <f t="shared" si="620"/>
        <v>6470</v>
      </c>
      <c r="T4278" t="s">
        <v>3837</v>
      </c>
      <c r="U4278" t="s">
        <v>2128</v>
      </c>
    </row>
    <row r="4279" spans="1:21" ht="15" customHeight="1" x14ac:dyDescent="0.3">
      <c r="A4279" t="s">
        <v>179</v>
      </c>
      <c r="B4279" t="str">
        <f>"00074417"</f>
        <v>00074417</v>
      </c>
      <c r="C4279" t="s">
        <v>200</v>
      </c>
      <c r="D4279" t="s">
        <v>3950</v>
      </c>
      <c r="E4279" t="str">
        <f>"00034454"</f>
        <v>00034454</v>
      </c>
      <c r="F4279">
        <v>1</v>
      </c>
      <c r="G4279" s="243">
        <v>39679</v>
      </c>
      <c r="H4279" t="s">
        <v>182</v>
      </c>
      <c r="I4279">
        <v>15</v>
      </c>
      <c r="J4279">
        <v>12</v>
      </c>
      <c r="K4279">
        <v>1</v>
      </c>
      <c r="L4279">
        <v>87431</v>
      </c>
      <c r="M4279" t="str">
        <f t="shared" si="618"/>
        <v>13</v>
      </c>
      <c r="N4279" t="s">
        <v>3323</v>
      </c>
      <c r="O4279" t="str">
        <f t="shared" si="616"/>
        <v>64711</v>
      </c>
      <c r="P4279" t="str">
        <f>"2100L"</f>
        <v>2100L</v>
      </c>
      <c r="Q4279" t="str">
        <f t="shared" si="619"/>
        <v>0101</v>
      </c>
      <c r="R4279">
        <v>2100</v>
      </c>
      <c r="S4279" t="str">
        <f t="shared" si="620"/>
        <v>6470</v>
      </c>
      <c r="T4279" t="s">
        <v>3837</v>
      </c>
      <c r="U4279" t="s">
        <v>2128</v>
      </c>
    </row>
    <row r="4280" spans="1:21" ht="15" customHeight="1" x14ac:dyDescent="0.3">
      <c r="A4280" t="s">
        <v>179</v>
      </c>
      <c r="B4280" t="str">
        <f>"00074418"</f>
        <v>00074418</v>
      </c>
      <c r="C4280" t="s">
        <v>4267</v>
      </c>
      <c r="H4280" t="s">
        <v>170</v>
      </c>
      <c r="I4280">
        <v>15</v>
      </c>
      <c r="J4280">
        <v>1</v>
      </c>
      <c r="K4280">
        <v>1</v>
      </c>
      <c r="L4280">
        <v>54975</v>
      </c>
      <c r="M4280" t="str">
        <f t="shared" si="618"/>
        <v>13</v>
      </c>
      <c r="N4280" t="s">
        <v>3323</v>
      </c>
      <c r="O4280" t="str">
        <f t="shared" si="616"/>
        <v>64711</v>
      </c>
      <c r="P4280" t="str">
        <f>"2100L"</f>
        <v>2100L</v>
      </c>
      <c r="Q4280" t="str">
        <f t="shared" si="619"/>
        <v>0101</v>
      </c>
      <c r="R4280">
        <v>2100</v>
      </c>
      <c r="S4280" t="str">
        <f t="shared" si="620"/>
        <v>6470</v>
      </c>
      <c r="T4280" t="s">
        <v>3837</v>
      </c>
      <c r="U4280" t="s">
        <v>2128</v>
      </c>
    </row>
    <row r="4281" spans="1:21" ht="15" customHeight="1" x14ac:dyDescent="0.3">
      <c r="A4281" t="s">
        <v>179</v>
      </c>
      <c r="B4281" t="str">
        <f>"00074699"</f>
        <v>00074699</v>
      </c>
      <c r="C4281" t="s">
        <v>4260</v>
      </c>
      <c r="D4281" t="s">
        <v>3952</v>
      </c>
      <c r="E4281" t="str">
        <f>"00065777"</f>
        <v>00065777</v>
      </c>
      <c r="F4281">
        <v>0</v>
      </c>
      <c r="G4281" s="243">
        <v>40755</v>
      </c>
      <c r="H4281" t="s">
        <v>182</v>
      </c>
      <c r="I4281">
        <v>15</v>
      </c>
      <c r="J4281">
        <v>2</v>
      </c>
      <c r="K4281">
        <v>1</v>
      </c>
      <c r="L4281">
        <v>51716</v>
      </c>
      <c r="M4281" t="str">
        <f t="shared" si="618"/>
        <v>13</v>
      </c>
      <c r="N4281" t="s">
        <v>3323</v>
      </c>
      <c r="O4281" t="str">
        <f t="shared" si="616"/>
        <v>64711</v>
      </c>
      <c r="P4281" t="str">
        <f>"3030L"</f>
        <v>3030L</v>
      </c>
      <c r="Q4281" t="str">
        <f t="shared" si="619"/>
        <v>0101</v>
      </c>
      <c r="R4281">
        <v>3030</v>
      </c>
      <c r="S4281" t="str">
        <f t="shared" si="620"/>
        <v>6470</v>
      </c>
      <c r="T4281" t="s">
        <v>3837</v>
      </c>
      <c r="U4281" t="s">
        <v>2128</v>
      </c>
    </row>
    <row r="4282" spans="1:21" ht="15" customHeight="1" x14ac:dyDescent="0.3">
      <c r="A4282" t="s">
        <v>179</v>
      </c>
      <c r="B4282" t="str">
        <f>"00074758"</f>
        <v>00074758</v>
      </c>
      <c r="C4282" t="s">
        <v>4260</v>
      </c>
      <c r="H4282" t="s">
        <v>170</v>
      </c>
      <c r="I4282">
        <v>15</v>
      </c>
      <c r="J4282">
        <v>1</v>
      </c>
      <c r="K4282">
        <v>1</v>
      </c>
      <c r="L4282">
        <v>56693</v>
      </c>
      <c r="M4282" t="str">
        <f t="shared" si="618"/>
        <v>13</v>
      </c>
      <c r="N4282" t="s">
        <v>3323</v>
      </c>
      <c r="O4282" t="str">
        <f>"64756"</f>
        <v>64756</v>
      </c>
      <c r="P4282" t="str">
        <f>"3030I"</f>
        <v>3030I</v>
      </c>
      <c r="Q4282" t="str">
        <f>"0756"</f>
        <v>0756</v>
      </c>
      <c r="R4282">
        <v>3030</v>
      </c>
      <c r="S4282" t="str">
        <f t="shared" si="620"/>
        <v>6470</v>
      </c>
      <c r="T4282" t="s">
        <v>3837</v>
      </c>
      <c r="U4282" t="s">
        <v>2128</v>
      </c>
    </row>
    <row r="4283" spans="1:21" ht="15" customHeight="1" x14ac:dyDescent="0.3">
      <c r="A4283" t="s">
        <v>179</v>
      </c>
      <c r="B4283" t="str">
        <f>"00074779"</f>
        <v>00074779</v>
      </c>
      <c r="C4283" t="s">
        <v>4260</v>
      </c>
      <c r="H4283" t="s">
        <v>170</v>
      </c>
      <c r="I4283">
        <v>15</v>
      </c>
      <c r="J4283">
        <v>1</v>
      </c>
      <c r="K4283">
        <v>1</v>
      </c>
      <c r="L4283">
        <v>60128</v>
      </c>
      <c r="M4283" t="str">
        <f t="shared" si="618"/>
        <v>13</v>
      </c>
      <c r="N4283" t="s">
        <v>3370</v>
      </c>
      <c r="O4283" t="str">
        <f>"64756"</f>
        <v>64756</v>
      </c>
      <c r="P4283" t="str">
        <f>"3030I"</f>
        <v>3030I</v>
      </c>
      <c r="Q4283" t="str">
        <f>"0756"</f>
        <v>0756</v>
      </c>
      <c r="R4283">
        <v>3030</v>
      </c>
      <c r="S4283" t="str">
        <f t="shared" si="620"/>
        <v>6470</v>
      </c>
      <c r="T4283" t="s">
        <v>3837</v>
      </c>
      <c r="U4283" t="s">
        <v>2128</v>
      </c>
    </row>
    <row r="4284" spans="1:21" ht="15" customHeight="1" x14ac:dyDescent="0.3">
      <c r="A4284" t="s">
        <v>179</v>
      </c>
      <c r="B4284" t="str">
        <f>"00074780"</f>
        <v>00074780</v>
      </c>
      <c r="C4284" t="s">
        <v>4260</v>
      </c>
      <c r="D4284" t="s">
        <v>3953</v>
      </c>
      <c r="E4284" t="str">
        <f>"00066838"</f>
        <v>00066838</v>
      </c>
      <c r="F4284">
        <v>0</v>
      </c>
      <c r="G4284" s="243">
        <v>40819</v>
      </c>
      <c r="H4284" t="s">
        <v>182</v>
      </c>
      <c r="I4284">
        <v>15</v>
      </c>
      <c r="J4284">
        <v>2</v>
      </c>
      <c r="K4284">
        <v>1</v>
      </c>
      <c r="L4284">
        <v>51716</v>
      </c>
      <c r="M4284" t="str">
        <f t="shared" si="618"/>
        <v>13</v>
      </c>
      <c r="N4284" t="s">
        <v>3323</v>
      </c>
      <c r="O4284" t="str">
        <f>"64756"</f>
        <v>64756</v>
      </c>
      <c r="P4284" t="str">
        <f>"3030I"</f>
        <v>3030I</v>
      </c>
      <c r="Q4284" t="str">
        <f>"0756"</f>
        <v>0756</v>
      </c>
      <c r="R4284">
        <v>3030</v>
      </c>
      <c r="S4284" t="str">
        <f t="shared" si="620"/>
        <v>6470</v>
      </c>
      <c r="T4284" t="s">
        <v>3837</v>
      </c>
      <c r="U4284" t="s">
        <v>2128</v>
      </c>
    </row>
    <row r="4285" spans="1:21" ht="15" customHeight="1" x14ac:dyDescent="0.3">
      <c r="A4285" t="s">
        <v>179</v>
      </c>
      <c r="B4285" t="str">
        <f>"00074781"</f>
        <v>00074781</v>
      </c>
      <c r="C4285" t="s">
        <v>4254</v>
      </c>
      <c r="D4285" t="s">
        <v>3941</v>
      </c>
      <c r="E4285" t="str">
        <f>"00065639"</f>
        <v>00065639</v>
      </c>
      <c r="F4285">
        <v>0</v>
      </c>
      <c r="G4285" s="243">
        <v>40755</v>
      </c>
      <c r="H4285" t="s">
        <v>182</v>
      </c>
      <c r="I4285">
        <v>15</v>
      </c>
      <c r="J4285">
        <v>10</v>
      </c>
      <c r="K4285">
        <v>1</v>
      </c>
      <c r="L4285">
        <v>78273</v>
      </c>
      <c r="M4285" t="str">
        <f t="shared" si="618"/>
        <v>13</v>
      </c>
      <c r="N4285" t="s">
        <v>3323</v>
      </c>
      <c r="O4285" t="str">
        <f>"64711"</f>
        <v>64711</v>
      </c>
      <c r="P4285" t="str">
        <f>"2100L"</f>
        <v>2100L</v>
      </c>
      <c r="Q4285" t="str">
        <f>"0101"</f>
        <v>0101</v>
      </c>
      <c r="R4285">
        <v>2100</v>
      </c>
      <c r="S4285" t="str">
        <f t="shared" si="620"/>
        <v>6470</v>
      </c>
      <c r="T4285" t="s">
        <v>3837</v>
      </c>
      <c r="U4285" t="s">
        <v>2128</v>
      </c>
    </row>
    <row r="4286" spans="1:21" ht="15" customHeight="1" x14ac:dyDescent="0.3">
      <c r="A4286" t="s">
        <v>179</v>
      </c>
      <c r="B4286" t="str">
        <f>"00074782"</f>
        <v>00074782</v>
      </c>
      <c r="C4286" t="s">
        <v>4800</v>
      </c>
      <c r="D4286" t="s">
        <v>3949</v>
      </c>
      <c r="E4286" t="str">
        <f>"00066386"</f>
        <v>00066386</v>
      </c>
      <c r="F4286">
        <v>0</v>
      </c>
      <c r="G4286" s="243">
        <v>40770</v>
      </c>
      <c r="H4286" t="s">
        <v>182</v>
      </c>
      <c r="I4286">
        <v>10</v>
      </c>
      <c r="J4286">
        <v>4</v>
      </c>
      <c r="K4286">
        <v>1</v>
      </c>
      <c r="L4286">
        <v>69119</v>
      </c>
      <c r="M4286" t="str">
        <f t="shared" si="618"/>
        <v>13</v>
      </c>
      <c r="N4286" t="s">
        <v>3323</v>
      </c>
      <c r="O4286" t="str">
        <f>"64756"</f>
        <v>64756</v>
      </c>
      <c r="P4286" t="str">
        <f>"3030I"</f>
        <v>3030I</v>
      </c>
      <c r="Q4286" t="str">
        <f>"0756"</f>
        <v>0756</v>
      </c>
      <c r="R4286">
        <v>3030</v>
      </c>
      <c r="S4286" t="str">
        <f t="shared" si="620"/>
        <v>6470</v>
      </c>
      <c r="T4286" t="s">
        <v>3837</v>
      </c>
      <c r="U4286" t="s">
        <v>2128</v>
      </c>
    </row>
    <row r="4287" spans="1:21" ht="15" customHeight="1" x14ac:dyDescent="0.3">
      <c r="A4287" t="s">
        <v>179</v>
      </c>
      <c r="B4287" t="str">
        <f>"00076292"</f>
        <v>00076292</v>
      </c>
      <c r="C4287" t="s">
        <v>4410</v>
      </c>
      <c r="D4287" t="s">
        <v>717</v>
      </c>
      <c r="E4287" t="str">
        <f>"00046991"</f>
        <v>00046991</v>
      </c>
      <c r="F4287">
        <v>0</v>
      </c>
      <c r="G4287" s="243">
        <v>36760</v>
      </c>
      <c r="H4287" t="s">
        <v>182</v>
      </c>
      <c r="I4287">
        <v>5</v>
      </c>
      <c r="J4287">
        <v>7</v>
      </c>
      <c r="K4287">
        <v>1</v>
      </c>
      <c r="L4287">
        <v>33861</v>
      </c>
      <c r="M4287" t="str">
        <f t="shared" si="618"/>
        <v>13</v>
      </c>
      <c r="N4287" t="s">
        <v>3370</v>
      </c>
      <c r="O4287" t="str">
        <f t="shared" ref="O4287:O4294" si="621">"64711"</f>
        <v>64711</v>
      </c>
      <c r="P4287" t="str">
        <f>"2100L"</f>
        <v>2100L</v>
      </c>
      <c r="Q4287" t="str">
        <f t="shared" ref="Q4287:Q4315" si="622">"0101"</f>
        <v>0101</v>
      </c>
      <c r="R4287">
        <v>2100</v>
      </c>
      <c r="S4287" t="str">
        <f t="shared" si="620"/>
        <v>6470</v>
      </c>
      <c r="T4287" t="s">
        <v>3837</v>
      </c>
      <c r="U4287" t="s">
        <v>2128</v>
      </c>
    </row>
    <row r="4288" spans="1:21" ht="15" customHeight="1" x14ac:dyDescent="0.3">
      <c r="A4288" t="s">
        <v>179</v>
      </c>
      <c r="B4288" t="str">
        <f>"00076293"</f>
        <v>00076293</v>
      </c>
      <c r="C4288" t="s">
        <v>4253</v>
      </c>
      <c r="D4288" t="s">
        <v>5604</v>
      </c>
      <c r="E4288" t="str">
        <f>"00069649"</f>
        <v>00069649</v>
      </c>
      <c r="F4288">
        <v>0</v>
      </c>
      <c r="G4288" s="243">
        <v>41133</v>
      </c>
      <c r="H4288" t="s">
        <v>182</v>
      </c>
      <c r="I4288">
        <v>15</v>
      </c>
      <c r="J4288">
        <v>1</v>
      </c>
      <c r="K4288">
        <v>1</v>
      </c>
      <c r="L4288">
        <v>51539</v>
      </c>
      <c r="M4288" t="str">
        <f t="shared" si="618"/>
        <v>13</v>
      </c>
      <c r="N4288" t="s">
        <v>3370</v>
      </c>
      <c r="O4288" t="str">
        <f t="shared" si="621"/>
        <v>64711</v>
      </c>
      <c r="P4288" t="str">
        <f>"2100L"</f>
        <v>2100L</v>
      </c>
      <c r="Q4288" t="str">
        <f t="shared" si="622"/>
        <v>0101</v>
      </c>
      <c r="R4288">
        <v>2100</v>
      </c>
      <c r="S4288" t="str">
        <f t="shared" si="620"/>
        <v>6470</v>
      </c>
      <c r="T4288" t="s">
        <v>3837</v>
      </c>
      <c r="U4288" t="s">
        <v>2128</v>
      </c>
    </row>
    <row r="4289" spans="1:21" ht="15" customHeight="1" x14ac:dyDescent="0.3">
      <c r="A4289" t="s">
        <v>179</v>
      </c>
      <c r="B4289" t="str">
        <f>"00076293"</f>
        <v>00076293</v>
      </c>
      <c r="C4289" t="s">
        <v>4253</v>
      </c>
      <c r="D4289" t="s">
        <v>5605</v>
      </c>
      <c r="E4289" t="str">
        <f>"00070053"</f>
        <v>00070053</v>
      </c>
      <c r="F4289">
        <v>0</v>
      </c>
      <c r="G4289" s="243">
        <v>41133</v>
      </c>
      <c r="H4289" t="s">
        <v>182</v>
      </c>
      <c r="I4289">
        <v>15</v>
      </c>
      <c r="J4289">
        <v>1</v>
      </c>
      <c r="K4289">
        <v>1</v>
      </c>
      <c r="L4289">
        <v>51539</v>
      </c>
      <c r="M4289" t="str">
        <f t="shared" si="618"/>
        <v>13</v>
      </c>
      <c r="N4289" t="s">
        <v>3323</v>
      </c>
      <c r="O4289" t="str">
        <f t="shared" si="621"/>
        <v>64711</v>
      </c>
      <c r="P4289" t="str">
        <f>"2100L"</f>
        <v>2100L</v>
      </c>
      <c r="Q4289" t="str">
        <f t="shared" si="622"/>
        <v>0101</v>
      </c>
      <c r="R4289">
        <v>2100</v>
      </c>
      <c r="S4289" t="str">
        <f t="shared" si="620"/>
        <v>6470</v>
      </c>
      <c r="T4289" t="s">
        <v>3837</v>
      </c>
      <c r="U4289" t="s">
        <v>2128</v>
      </c>
    </row>
    <row r="4290" spans="1:21" ht="15" customHeight="1" x14ac:dyDescent="0.3">
      <c r="A4290" t="s">
        <v>179</v>
      </c>
      <c r="B4290" t="str">
        <f>"00076294"</f>
        <v>00076294</v>
      </c>
      <c r="C4290" t="s">
        <v>4271</v>
      </c>
      <c r="D4290" t="s">
        <v>5606</v>
      </c>
      <c r="E4290" t="str">
        <f>"00045162"</f>
        <v>00045162</v>
      </c>
      <c r="F4290">
        <v>0</v>
      </c>
      <c r="G4290" s="243">
        <v>39677</v>
      </c>
      <c r="H4290" t="s">
        <v>182</v>
      </c>
      <c r="I4290">
        <v>15</v>
      </c>
      <c r="J4290">
        <v>14</v>
      </c>
      <c r="K4290">
        <v>0.5</v>
      </c>
      <c r="L4290">
        <v>102160</v>
      </c>
      <c r="M4290" t="str">
        <f t="shared" si="618"/>
        <v>13</v>
      </c>
      <c r="N4290" t="s">
        <v>3370</v>
      </c>
      <c r="O4290" t="str">
        <f t="shared" si="621"/>
        <v>64711</v>
      </c>
      <c r="P4290" t="str">
        <f>"2100L"</f>
        <v>2100L</v>
      </c>
      <c r="Q4290" t="str">
        <f t="shared" si="622"/>
        <v>0101</v>
      </c>
      <c r="R4290">
        <v>2100</v>
      </c>
      <c r="S4290" t="str">
        <f t="shared" si="620"/>
        <v>6470</v>
      </c>
      <c r="T4290" t="s">
        <v>3837</v>
      </c>
      <c r="U4290" t="s">
        <v>2128</v>
      </c>
    </row>
    <row r="4291" spans="1:21" ht="15" customHeight="1" x14ac:dyDescent="0.3">
      <c r="A4291" t="s">
        <v>179</v>
      </c>
      <c r="B4291" t="str">
        <f>"00076552"</f>
        <v>00076552</v>
      </c>
      <c r="C4291" t="s">
        <v>4290</v>
      </c>
      <c r="H4291" t="s">
        <v>170</v>
      </c>
      <c r="I4291">
        <v>4</v>
      </c>
      <c r="J4291">
        <v>0</v>
      </c>
      <c r="K4291">
        <v>0.71</v>
      </c>
      <c r="L4291">
        <v>25662</v>
      </c>
      <c r="M4291" t="str">
        <f t="shared" si="618"/>
        <v>13</v>
      </c>
      <c r="N4291" t="s">
        <v>3370</v>
      </c>
      <c r="O4291" t="str">
        <f t="shared" si="621"/>
        <v>64711</v>
      </c>
      <c r="P4291" t="str">
        <f>"6100L"</f>
        <v>6100L</v>
      </c>
      <c r="Q4291" t="str">
        <f t="shared" si="622"/>
        <v>0101</v>
      </c>
      <c r="R4291">
        <v>6100</v>
      </c>
      <c r="S4291" t="str">
        <f t="shared" si="620"/>
        <v>6470</v>
      </c>
      <c r="T4291" t="s">
        <v>3837</v>
      </c>
      <c r="U4291" t="s">
        <v>2128</v>
      </c>
    </row>
    <row r="4292" spans="1:21" ht="15" customHeight="1" x14ac:dyDescent="0.3">
      <c r="A4292" t="s">
        <v>179</v>
      </c>
      <c r="B4292" t="str">
        <f>"00076554"</f>
        <v>00076554</v>
      </c>
      <c r="C4292" t="s">
        <v>4290</v>
      </c>
      <c r="H4292" t="s">
        <v>170</v>
      </c>
      <c r="I4292">
        <v>4</v>
      </c>
      <c r="J4292">
        <v>0</v>
      </c>
      <c r="K4292">
        <v>0.71</v>
      </c>
      <c r="L4292">
        <v>25662</v>
      </c>
      <c r="M4292" t="str">
        <f t="shared" si="618"/>
        <v>13</v>
      </c>
      <c r="N4292" t="s">
        <v>3370</v>
      </c>
      <c r="O4292" t="str">
        <f t="shared" si="621"/>
        <v>64711</v>
      </c>
      <c r="P4292" t="str">
        <f>"6100L"</f>
        <v>6100L</v>
      </c>
      <c r="Q4292" t="str">
        <f t="shared" si="622"/>
        <v>0101</v>
      </c>
      <c r="R4292">
        <v>6100</v>
      </c>
      <c r="S4292" t="str">
        <f t="shared" si="620"/>
        <v>6470</v>
      </c>
      <c r="T4292" t="s">
        <v>3837</v>
      </c>
      <c r="U4292" t="s">
        <v>2128</v>
      </c>
    </row>
    <row r="4293" spans="1:21" ht="15" customHeight="1" x14ac:dyDescent="0.3">
      <c r="A4293" t="s">
        <v>179</v>
      </c>
      <c r="B4293" t="str">
        <f>"00076773"</f>
        <v>00076773</v>
      </c>
      <c r="C4293" t="s">
        <v>4253</v>
      </c>
      <c r="H4293" t="s">
        <v>170</v>
      </c>
      <c r="I4293">
        <v>15</v>
      </c>
      <c r="J4293">
        <v>0</v>
      </c>
      <c r="K4293">
        <v>1</v>
      </c>
      <c r="L4293">
        <v>51539</v>
      </c>
      <c r="M4293" t="str">
        <f t="shared" si="618"/>
        <v>13</v>
      </c>
      <c r="N4293" t="s">
        <v>3370</v>
      </c>
      <c r="O4293" t="str">
        <f t="shared" si="621"/>
        <v>64711</v>
      </c>
      <c r="P4293" t="str">
        <f>"6100L"</f>
        <v>6100L</v>
      </c>
      <c r="Q4293" t="str">
        <f t="shared" si="622"/>
        <v>0101</v>
      </c>
      <c r="R4293">
        <v>6100</v>
      </c>
      <c r="S4293" t="str">
        <f t="shared" si="620"/>
        <v>6470</v>
      </c>
      <c r="T4293" t="s">
        <v>3837</v>
      </c>
      <c r="U4293" t="s">
        <v>2128</v>
      </c>
    </row>
    <row r="4294" spans="1:21" ht="15" customHeight="1" x14ac:dyDescent="0.3">
      <c r="A4294" t="s">
        <v>179</v>
      </c>
      <c r="B4294" t="str">
        <f>"00076781"</f>
        <v>00076781</v>
      </c>
      <c r="C4294" t="s">
        <v>212</v>
      </c>
      <c r="H4294" t="s">
        <v>170</v>
      </c>
      <c r="I4294">
        <v>15</v>
      </c>
      <c r="J4294">
        <v>0</v>
      </c>
      <c r="K4294">
        <v>1</v>
      </c>
      <c r="L4294">
        <v>51539</v>
      </c>
      <c r="M4294" t="str">
        <f t="shared" si="618"/>
        <v>13</v>
      </c>
      <c r="N4294" t="s">
        <v>3370</v>
      </c>
      <c r="O4294" t="str">
        <f t="shared" si="621"/>
        <v>64711</v>
      </c>
      <c r="P4294" t="str">
        <f>"6100L"</f>
        <v>6100L</v>
      </c>
      <c r="Q4294" t="str">
        <f t="shared" si="622"/>
        <v>0101</v>
      </c>
      <c r="R4294">
        <v>6100</v>
      </c>
      <c r="S4294" t="str">
        <f t="shared" si="620"/>
        <v>6470</v>
      </c>
      <c r="T4294" t="s">
        <v>3837</v>
      </c>
      <c r="U4294" t="s">
        <v>2128</v>
      </c>
    </row>
    <row r="4295" spans="1:21" ht="15" customHeight="1" x14ac:dyDescent="0.3">
      <c r="A4295" t="s">
        <v>179</v>
      </c>
      <c r="B4295" t="str">
        <f>"00053567"</f>
        <v>00053567</v>
      </c>
      <c r="C4295" t="s">
        <v>4367</v>
      </c>
      <c r="D4295" t="s">
        <v>5607</v>
      </c>
      <c r="E4295" t="str">
        <f>"00018204"</f>
        <v>00018204</v>
      </c>
      <c r="F4295">
        <v>1</v>
      </c>
      <c r="G4295" s="243">
        <v>32169</v>
      </c>
      <c r="H4295" t="s">
        <v>182</v>
      </c>
      <c r="I4295">
        <v>9</v>
      </c>
      <c r="J4295">
        <v>6</v>
      </c>
      <c r="K4295">
        <v>1</v>
      </c>
      <c r="L4295">
        <v>42649</v>
      </c>
      <c r="M4295" t="str">
        <f t="shared" si="618"/>
        <v>13</v>
      </c>
      <c r="N4295" t="s">
        <v>3323</v>
      </c>
      <c r="O4295" t="str">
        <f t="shared" ref="O4295:O4331" si="623">"64811"</f>
        <v>64811</v>
      </c>
      <c r="P4295" t="str">
        <f>"2100L"</f>
        <v>2100L</v>
      </c>
      <c r="Q4295" t="str">
        <f t="shared" si="622"/>
        <v>0101</v>
      </c>
      <c r="R4295">
        <v>2100</v>
      </c>
      <c r="S4295" t="str">
        <f t="shared" ref="S4295:S4331" si="624">"6480"</f>
        <v>6480</v>
      </c>
      <c r="T4295" t="s">
        <v>3905</v>
      </c>
      <c r="U4295" t="s">
        <v>2328</v>
      </c>
    </row>
    <row r="4296" spans="1:21" ht="15" customHeight="1" x14ac:dyDescent="0.3">
      <c r="A4296" t="s">
        <v>179</v>
      </c>
      <c r="B4296" t="str">
        <f>"00058130"</f>
        <v>00058130</v>
      </c>
      <c r="C4296" t="s">
        <v>4253</v>
      </c>
      <c r="D4296" t="s">
        <v>5608</v>
      </c>
      <c r="E4296" t="str">
        <f>"00045899"</f>
        <v>00045899</v>
      </c>
      <c r="F4296">
        <v>0</v>
      </c>
      <c r="G4296" s="243">
        <v>38951</v>
      </c>
      <c r="H4296" t="s">
        <v>182</v>
      </c>
      <c r="I4296">
        <v>15</v>
      </c>
      <c r="J4296">
        <v>6</v>
      </c>
      <c r="K4296">
        <v>1</v>
      </c>
      <c r="L4296">
        <v>68537</v>
      </c>
      <c r="M4296" t="str">
        <f t="shared" si="618"/>
        <v>13</v>
      </c>
      <c r="N4296" t="s">
        <v>3323</v>
      </c>
      <c r="O4296" t="str">
        <f t="shared" si="623"/>
        <v>64811</v>
      </c>
      <c r="P4296" t="str">
        <f>"2100L"</f>
        <v>2100L</v>
      </c>
      <c r="Q4296" t="str">
        <f t="shared" si="622"/>
        <v>0101</v>
      </c>
      <c r="R4296">
        <v>2100</v>
      </c>
      <c r="S4296" t="str">
        <f t="shared" si="624"/>
        <v>6480</v>
      </c>
      <c r="T4296" t="s">
        <v>3905</v>
      </c>
      <c r="U4296" t="s">
        <v>2328</v>
      </c>
    </row>
    <row r="4297" spans="1:21" ht="15" customHeight="1" x14ac:dyDescent="0.3">
      <c r="A4297" t="s">
        <v>179</v>
      </c>
      <c r="B4297" t="str">
        <f>"00058272"</f>
        <v>00058272</v>
      </c>
      <c r="C4297" t="s">
        <v>4290</v>
      </c>
      <c r="D4297" t="s">
        <v>5609</v>
      </c>
      <c r="E4297" t="str">
        <f>"00067377"</f>
        <v>00067377</v>
      </c>
      <c r="F4297">
        <v>0</v>
      </c>
      <c r="G4297" s="243">
        <v>40889</v>
      </c>
      <c r="H4297" t="s">
        <v>182</v>
      </c>
      <c r="I4297">
        <v>4</v>
      </c>
      <c r="J4297">
        <v>4</v>
      </c>
      <c r="K4297">
        <v>0.875</v>
      </c>
      <c r="L4297">
        <v>24543.75</v>
      </c>
      <c r="M4297" t="str">
        <f t="shared" si="618"/>
        <v>13</v>
      </c>
      <c r="N4297" t="s">
        <v>3323</v>
      </c>
      <c r="O4297" t="str">
        <f t="shared" si="623"/>
        <v>64811</v>
      </c>
      <c r="P4297" t="str">
        <f>"3030L"</f>
        <v>3030L</v>
      </c>
      <c r="Q4297" t="str">
        <f t="shared" si="622"/>
        <v>0101</v>
      </c>
      <c r="R4297">
        <v>3030</v>
      </c>
      <c r="S4297" t="str">
        <f t="shared" si="624"/>
        <v>6480</v>
      </c>
      <c r="T4297" t="s">
        <v>3905</v>
      </c>
      <c r="U4297" t="s">
        <v>2328</v>
      </c>
    </row>
    <row r="4298" spans="1:21" ht="15" customHeight="1" x14ac:dyDescent="0.3">
      <c r="A4298" t="s">
        <v>179</v>
      </c>
      <c r="B4298" t="str">
        <f>"00058572"</f>
        <v>00058572</v>
      </c>
      <c r="C4298" t="s">
        <v>4253</v>
      </c>
      <c r="H4298" t="s">
        <v>170</v>
      </c>
      <c r="I4298">
        <v>15</v>
      </c>
      <c r="J4298">
        <v>1</v>
      </c>
      <c r="K4298">
        <v>1</v>
      </c>
      <c r="L4298">
        <v>53256</v>
      </c>
      <c r="M4298" t="str">
        <f t="shared" si="618"/>
        <v>13</v>
      </c>
      <c r="N4298" t="s">
        <v>3323</v>
      </c>
      <c r="O4298" t="str">
        <f t="shared" si="623"/>
        <v>64811</v>
      </c>
      <c r="P4298" t="str">
        <f>"2100L"</f>
        <v>2100L</v>
      </c>
      <c r="Q4298" t="str">
        <f t="shared" si="622"/>
        <v>0101</v>
      </c>
      <c r="R4298">
        <v>2100</v>
      </c>
      <c r="S4298" t="str">
        <f t="shared" si="624"/>
        <v>6480</v>
      </c>
      <c r="T4298" t="s">
        <v>3905</v>
      </c>
      <c r="U4298" t="s">
        <v>2328</v>
      </c>
    </row>
    <row r="4299" spans="1:21" ht="15" customHeight="1" x14ac:dyDescent="0.3">
      <c r="A4299" t="s">
        <v>179</v>
      </c>
      <c r="B4299" t="str">
        <f>"00059446"</f>
        <v>00059446</v>
      </c>
      <c r="C4299" t="s">
        <v>4260</v>
      </c>
      <c r="D4299" t="s">
        <v>2330</v>
      </c>
      <c r="E4299" t="str">
        <f>"00049665"</f>
        <v>00049665</v>
      </c>
      <c r="F4299">
        <v>0</v>
      </c>
      <c r="G4299" s="243">
        <v>36397</v>
      </c>
      <c r="H4299" t="s">
        <v>182</v>
      </c>
      <c r="I4299">
        <v>15</v>
      </c>
      <c r="J4299">
        <v>16</v>
      </c>
      <c r="K4299">
        <v>1</v>
      </c>
      <c r="L4299">
        <v>106540</v>
      </c>
      <c r="M4299" t="str">
        <f t="shared" si="618"/>
        <v>13</v>
      </c>
      <c r="N4299" t="s">
        <v>3323</v>
      </c>
      <c r="O4299" t="str">
        <f t="shared" si="623"/>
        <v>64811</v>
      </c>
      <c r="P4299" t="str">
        <f>"3030L"</f>
        <v>3030L</v>
      </c>
      <c r="Q4299" t="str">
        <f t="shared" si="622"/>
        <v>0101</v>
      </c>
      <c r="R4299">
        <v>3030</v>
      </c>
      <c r="S4299" t="str">
        <f t="shared" si="624"/>
        <v>6480</v>
      </c>
      <c r="T4299" t="s">
        <v>3905</v>
      </c>
      <c r="U4299" t="s">
        <v>2328</v>
      </c>
    </row>
    <row r="4300" spans="1:21" ht="15" customHeight="1" x14ac:dyDescent="0.3">
      <c r="A4300" t="s">
        <v>179</v>
      </c>
      <c r="B4300" t="str">
        <f>"00059688"</f>
        <v>00059688</v>
      </c>
      <c r="C4300" t="s">
        <v>4290</v>
      </c>
      <c r="D4300" t="s">
        <v>2331</v>
      </c>
      <c r="E4300" t="str">
        <f>"00050473"</f>
        <v>00050473</v>
      </c>
      <c r="F4300">
        <v>0</v>
      </c>
      <c r="G4300" s="243">
        <v>38124</v>
      </c>
      <c r="H4300" t="s">
        <v>182</v>
      </c>
      <c r="I4300">
        <v>4</v>
      </c>
      <c r="J4300">
        <v>6</v>
      </c>
      <c r="K4300">
        <v>0.875</v>
      </c>
      <c r="L4300">
        <v>25935.88</v>
      </c>
      <c r="M4300" t="str">
        <f t="shared" si="618"/>
        <v>13</v>
      </c>
      <c r="N4300" t="s">
        <v>3323</v>
      </c>
      <c r="O4300" t="str">
        <f t="shared" si="623"/>
        <v>64811</v>
      </c>
      <c r="P4300" t="str">
        <f>"3030L"</f>
        <v>3030L</v>
      </c>
      <c r="Q4300" t="str">
        <f t="shared" si="622"/>
        <v>0101</v>
      </c>
      <c r="R4300">
        <v>3030</v>
      </c>
      <c r="S4300" t="str">
        <f t="shared" si="624"/>
        <v>6480</v>
      </c>
      <c r="T4300" t="s">
        <v>3905</v>
      </c>
      <c r="U4300" t="s">
        <v>2328</v>
      </c>
    </row>
    <row r="4301" spans="1:21" ht="15" customHeight="1" x14ac:dyDescent="0.3">
      <c r="A4301" t="s">
        <v>179</v>
      </c>
      <c r="B4301" t="str">
        <f>"00059884"</f>
        <v>00059884</v>
      </c>
      <c r="C4301" t="s">
        <v>4290</v>
      </c>
      <c r="D4301" t="s">
        <v>5610</v>
      </c>
      <c r="E4301" t="str">
        <f>"00052243"</f>
        <v>00052243</v>
      </c>
      <c r="F4301">
        <v>0</v>
      </c>
      <c r="G4301" s="243">
        <v>38235</v>
      </c>
      <c r="H4301" t="s">
        <v>182</v>
      </c>
      <c r="I4301">
        <v>4</v>
      </c>
      <c r="J4301">
        <v>8</v>
      </c>
      <c r="K4301">
        <v>0.875</v>
      </c>
      <c r="L4301">
        <v>27329.75</v>
      </c>
      <c r="M4301" t="str">
        <f t="shared" si="618"/>
        <v>13</v>
      </c>
      <c r="N4301" t="s">
        <v>3323</v>
      </c>
      <c r="O4301" t="str">
        <f t="shared" si="623"/>
        <v>64811</v>
      </c>
      <c r="P4301" t="str">
        <f>"3030L"</f>
        <v>3030L</v>
      </c>
      <c r="Q4301" t="str">
        <f t="shared" si="622"/>
        <v>0101</v>
      </c>
      <c r="R4301">
        <v>3030</v>
      </c>
      <c r="S4301" t="str">
        <f t="shared" si="624"/>
        <v>6480</v>
      </c>
      <c r="T4301" t="s">
        <v>3905</v>
      </c>
      <c r="U4301" t="s">
        <v>2328</v>
      </c>
    </row>
    <row r="4302" spans="1:21" ht="15" customHeight="1" x14ac:dyDescent="0.3">
      <c r="A4302" t="s">
        <v>179</v>
      </c>
      <c r="B4302" t="str">
        <f>"00060283"</f>
        <v>00060283</v>
      </c>
      <c r="C4302" t="s">
        <v>4260</v>
      </c>
      <c r="D4302" t="s">
        <v>1675</v>
      </c>
      <c r="E4302" t="str">
        <f>"00045322"</f>
        <v>00045322</v>
      </c>
      <c r="F4302">
        <v>0</v>
      </c>
      <c r="G4302" s="243">
        <v>38587</v>
      </c>
      <c r="H4302" t="s">
        <v>182</v>
      </c>
      <c r="I4302">
        <v>15</v>
      </c>
      <c r="J4302">
        <v>7</v>
      </c>
      <c r="K4302">
        <v>1</v>
      </c>
      <c r="L4302">
        <v>69132</v>
      </c>
      <c r="M4302" t="str">
        <f t="shared" si="618"/>
        <v>13</v>
      </c>
      <c r="N4302" t="s">
        <v>3323</v>
      </c>
      <c r="O4302" t="str">
        <f t="shared" si="623"/>
        <v>64811</v>
      </c>
      <c r="P4302" t="str">
        <f>"3030L"</f>
        <v>3030L</v>
      </c>
      <c r="Q4302" t="str">
        <f t="shared" si="622"/>
        <v>0101</v>
      </c>
      <c r="R4302">
        <v>3030</v>
      </c>
      <c r="S4302" t="str">
        <f t="shared" si="624"/>
        <v>6480</v>
      </c>
      <c r="T4302" t="s">
        <v>3905</v>
      </c>
      <c r="U4302" t="s">
        <v>2328</v>
      </c>
    </row>
    <row r="4303" spans="1:21" ht="15" customHeight="1" x14ac:dyDescent="0.3">
      <c r="A4303" t="s">
        <v>179</v>
      </c>
      <c r="B4303" t="str">
        <f>"00061803"</f>
        <v>00061803</v>
      </c>
      <c r="C4303" t="s">
        <v>3798</v>
      </c>
      <c r="D4303" t="s">
        <v>1693</v>
      </c>
      <c r="E4303" t="str">
        <f>"00062479"</f>
        <v>00062479</v>
      </c>
      <c r="F4303">
        <v>0</v>
      </c>
      <c r="G4303" s="243">
        <v>40392</v>
      </c>
      <c r="H4303" t="s">
        <v>182</v>
      </c>
      <c r="I4303">
        <v>63</v>
      </c>
      <c r="J4303">
        <v>2</v>
      </c>
      <c r="K4303">
        <v>1</v>
      </c>
      <c r="L4303">
        <v>111000</v>
      </c>
      <c r="M4303" t="str">
        <f t="shared" si="618"/>
        <v>13</v>
      </c>
      <c r="N4303" t="s">
        <v>3323</v>
      </c>
      <c r="O4303" t="str">
        <f t="shared" si="623"/>
        <v>64811</v>
      </c>
      <c r="P4303" t="str">
        <f>"1501L"</f>
        <v>1501L</v>
      </c>
      <c r="Q4303" t="str">
        <f t="shared" si="622"/>
        <v>0101</v>
      </c>
      <c r="R4303">
        <v>1501</v>
      </c>
      <c r="S4303" t="str">
        <f t="shared" si="624"/>
        <v>6480</v>
      </c>
      <c r="T4303" t="s">
        <v>3905</v>
      </c>
      <c r="U4303" t="s">
        <v>2328</v>
      </c>
    </row>
    <row r="4304" spans="1:21" ht="15" customHeight="1" x14ac:dyDescent="0.3">
      <c r="A4304" t="s">
        <v>179</v>
      </c>
      <c r="B4304" t="str">
        <f>"00062365"</f>
        <v>00062365</v>
      </c>
      <c r="C4304" t="s">
        <v>4258</v>
      </c>
      <c r="H4304" t="s">
        <v>170</v>
      </c>
      <c r="I4304">
        <v>15</v>
      </c>
      <c r="J4304">
        <v>1</v>
      </c>
      <c r="K4304">
        <v>1</v>
      </c>
      <c r="L4304">
        <v>54975</v>
      </c>
      <c r="M4304" t="str">
        <f t="shared" si="618"/>
        <v>13</v>
      </c>
      <c r="N4304" t="s">
        <v>3323</v>
      </c>
      <c r="O4304" t="str">
        <f t="shared" si="623"/>
        <v>64811</v>
      </c>
      <c r="P4304" t="str">
        <f>"2100L"</f>
        <v>2100L</v>
      </c>
      <c r="Q4304" t="str">
        <f t="shared" si="622"/>
        <v>0101</v>
      </c>
      <c r="R4304">
        <v>2100</v>
      </c>
      <c r="S4304" t="str">
        <f t="shared" si="624"/>
        <v>6480</v>
      </c>
      <c r="T4304" t="s">
        <v>3905</v>
      </c>
      <c r="U4304" t="s">
        <v>2328</v>
      </c>
    </row>
    <row r="4305" spans="1:21" ht="15" customHeight="1" x14ac:dyDescent="0.3">
      <c r="A4305" t="s">
        <v>179</v>
      </c>
      <c r="B4305" t="str">
        <f>"00062394"</f>
        <v>00062394</v>
      </c>
      <c r="C4305" t="s">
        <v>4253</v>
      </c>
      <c r="D4305" t="s">
        <v>2397</v>
      </c>
      <c r="E4305" t="str">
        <f>"00063000"</f>
        <v>00063000</v>
      </c>
      <c r="F4305">
        <v>0</v>
      </c>
      <c r="G4305" s="243">
        <v>40406</v>
      </c>
      <c r="H4305" t="s">
        <v>182</v>
      </c>
      <c r="I4305">
        <v>15</v>
      </c>
      <c r="J4305">
        <v>11</v>
      </c>
      <c r="K4305">
        <v>1</v>
      </c>
      <c r="L4305">
        <v>83774</v>
      </c>
      <c r="M4305" t="str">
        <f t="shared" si="618"/>
        <v>13</v>
      </c>
      <c r="N4305" t="s">
        <v>3323</v>
      </c>
      <c r="O4305" t="str">
        <f t="shared" si="623"/>
        <v>64811</v>
      </c>
      <c r="P4305" t="str">
        <f>"2100L"</f>
        <v>2100L</v>
      </c>
      <c r="Q4305" t="str">
        <f t="shared" si="622"/>
        <v>0101</v>
      </c>
      <c r="R4305">
        <v>2100</v>
      </c>
      <c r="S4305" t="str">
        <f t="shared" si="624"/>
        <v>6480</v>
      </c>
      <c r="T4305" t="s">
        <v>3905</v>
      </c>
      <c r="U4305" t="s">
        <v>2328</v>
      </c>
    </row>
    <row r="4306" spans="1:21" ht="15" customHeight="1" x14ac:dyDescent="0.3">
      <c r="A4306" t="s">
        <v>179</v>
      </c>
      <c r="B4306" t="str">
        <f>"00062407"</f>
        <v>00062407</v>
      </c>
      <c r="C4306" t="s">
        <v>4260</v>
      </c>
      <c r="H4306" t="s">
        <v>170</v>
      </c>
      <c r="I4306">
        <v>15</v>
      </c>
      <c r="J4306">
        <v>1</v>
      </c>
      <c r="K4306">
        <v>1</v>
      </c>
      <c r="L4306">
        <v>51539</v>
      </c>
      <c r="M4306" t="str">
        <f t="shared" si="618"/>
        <v>13</v>
      </c>
      <c r="N4306" t="s">
        <v>3323</v>
      </c>
      <c r="O4306" t="str">
        <f t="shared" si="623"/>
        <v>64811</v>
      </c>
      <c r="P4306" t="str">
        <f>"3030L"</f>
        <v>3030L</v>
      </c>
      <c r="Q4306" t="str">
        <f t="shared" si="622"/>
        <v>0101</v>
      </c>
      <c r="R4306">
        <v>3030</v>
      </c>
      <c r="S4306" t="str">
        <f t="shared" si="624"/>
        <v>6480</v>
      </c>
      <c r="T4306" t="s">
        <v>3905</v>
      </c>
      <c r="U4306" t="s">
        <v>2328</v>
      </c>
    </row>
    <row r="4307" spans="1:21" ht="15" customHeight="1" x14ac:dyDescent="0.3">
      <c r="A4307" t="s">
        <v>179</v>
      </c>
      <c r="B4307" t="str">
        <f>"00062433"</f>
        <v>00062433</v>
      </c>
      <c r="C4307" t="s">
        <v>4266</v>
      </c>
      <c r="H4307" t="s">
        <v>170</v>
      </c>
      <c r="I4307">
        <v>15</v>
      </c>
      <c r="J4307">
        <v>1</v>
      </c>
      <c r="K4307">
        <v>1</v>
      </c>
      <c r="L4307">
        <v>53256</v>
      </c>
      <c r="M4307" t="str">
        <f t="shared" si="618"/>
        <v>13</v>
      </c>
      <c r="N4307" t="s">
        <v>3323</v>
      </c>
      <c r="O4307" t="str">
        <f t="shared" si="623"/>
        <v>64811</v>
      </c>
      <c r="P4307" t="str">
        <f>"2100L"</f>
        <v>2100L</v>
      </c>
      <c r="Q4307" t="str">
        <f t="shared" si="622"/>
        <v>0101</v>
      </c>
      <c r="R4307">
        <v>2100</v>
      </c>
      <c r="S4307" t="str">
        <f t="shared" si="624"/>
        <v>6480</v>
      </c>
      <c r="T4307" t="s">
        <v>3905</v>
      </c>
      <c r="U4307" t="s">
        <v>2328</v>
      </c>
    </row>
    <row r="4308" spans="1:21" ht="15" customHeight="1" x14ac:dyDescent="0.3">
      <c r="A4308" t="s">
        <v>179</v>
      </c>
      <c r="B4308" t="str">
        <f>"00062434"</f>
        <v>00062434</v>
      </c>
      <c r="C4308" t="s">
        <v>4254</v>
      </c>
      <c r="H4308" t="s">
        <v>170</v>
      </c>
      <c r="I4308">
        <v>15</v>
      </c>
      <c r="J4308">
        <v>1</v>
      </c>
      <c r="K4308">
        <v>1</v>
      </c>
      <c r="L4308">
        <v>51539</v>
      </c>
      <c r="M4308" t="str">
        <f t="shared" si="618"/>
        <v>13</v>
      </c>
      <c r="N4308" t="s">
        <v>3323</v>
      </c>
      <c r="O4308" t="str">
        <f t="shared" si="623"/>
        <v>64811</v>
      </c>
      <c r="P4308" t="str">
        <f>"2100L"</f>
        <v>2100L</v>
      </c>
      <c r="Q4308" t="str">
        <f t="shared" si="622"/>
        <v>0101</v>
      </c>
      <c r="R4308">
        <v>2100</v>
      </c>
      <c r="S4308" t="str">
        <f t="shared" si="624"/>
        <v>6480</v>
      </c>
      <c r="T4308" t="s">
        <v>3905</v>
      </c>
      <c r="U4308" t="s">
        <v>2328</v>
      </c>
    </row>
    <row r="4309" spans="1:21" ht="15" customHeight="1" x14ac:dyDescent="0.3">
      <c r="A4309" t="s">
        <v>179</v>
      </c>
      <c r="B4309" t="str">
        <f>"00062435"</f>
        <v>00062435</v>
      </c>
      <c r="C4309" t="s">
        <v>4253</v>
      </c>
      <c r="D4309" t="s">
        <v>5611</v>
      </c>
      <c r="E4309" t="str">
        <f>"00069567"</f>
        <v>00069567</v>
      </c>
      <c r="F4309">
        <v>0</v>
      </c>
      <c r="G4309" s="243">
        <v>41133</v>
      </c>
      <c r="H4309" t="s">
        <v>182</v>
      </c>
      <c r="I4309">
        <v>15</v>
      </c>
      <c r="J4309">
        <v>1</v>
      </c>
      <c r="K4309">
        <v>1</v>
      </c>
      <c r="L4309">
        <v>51539</v>
      </c>
      <c r="M4309" t="str">
        <f t="shared" si="618"/>
        <v>13</v>
      </c>
      <c r="N4309" t="s">
        <v>3370</v>
      </c>
      <c r="O4309" t="str">
        <f t="shared" si="623"/>
        <v>64811</v>
      </c>
      <c r="P4309" t="str">
        <f>"2100L"</f>
        <v>2100L</v>
      </c>
      <c r="Q4309" t="str">
        <f t="shared" si="622"/>
        <v>0101</v>
      </c>
      <c r="R4309">
        <v>2100</v>
      </c>
      <c r="S4309" t="str">
        <f t="shared" si="624"/>
        <v>6480</v>
      </c>
      <c r="T4309" t="s">
        <v>3905</v>
      </c>
      <c r="U4309" t="s">
        <v>2328</v>
      </c>
    </row>
    <row r="4310" spans="1:21" ht="15" customHeight="1" x14ac:dyDescent="0.3">
      <c r="A4310" t="s">
        <v>179</v>
      </c>
      <c r="B4310" t="str">
        <f>"00065353"</f>
        <v>00065353</v>
      </c>
      <c r="C4310" t="s">
        <v>5495</v>
      </c>
      <c r="D4310" t="s">
        <v>5612</v>
      </c>
      <c r="E4310" t="str">
        <f>"00056688"</f>
        <v>00056688</v>
      </c>
      <c r="F4310">
        <v>0</v>
      </c>
      <c r="G4310" s="243">
        <v>40014</v>
      </c>
      <c r="H4310" t="s">
        <v>182</v>
      </c>
      <c r="I4310">
        <v>8</v>
      </c>
      <c r="J4310">
        <v>1</v>
      </c>
      <c r="K4310">
        <v>1</v>
      </c>
      <c r="L4310">
        <v>82397</v>
      </c>
      <c r="M4310" t="str">
        <f t="shared" si="618"/>
        <v>13</v>
      </c>
      <c r="N4310" t="s">
        <v>3370</v>
      </c>
      <c r="O4310" t="str">
        <f t="shared" si="623"/>
        <v>64811</v>
      </c>
      <c r="P4310" t="str">
        <f>"2100L"</f>
        <v>2100L</v>
      </c>
      <c r="Q4310" t="str">
        <f t="shared" si="622"/>
        <v>0101</v>
      </c>
      <c r="R4310">
        <v>2100</v>
      </c>
      <c r="S4310" t="str">
        <f t="shared" si="624"/>
        <v>6480</v>
      </c>
      <c r="T4310" t="s">
        <v>3905</v>
      </c>
      <c r="U4310" t="s">
        <v>2328</v>
      </c>
    </row>
    <row r="4311" spans="1:21" ht="15" customHeight="1" x14ac:dyDescent="0.3">
      <c r="A4311" t="s">
        <v>179</v>
      </c>
      <c r="B4311" t="str">
        <f>"00065746"</f>
        <v>00065746</v>
      </c>
      <c r="C4311" t="s">
        <v>4260</v>
      </c>
      <c r="D4311" t="s">
        <v>5613</v>
      </c>
      <c r="E4311" t="str">
        <f>"00067630"</f>
        <v>00067630</v>
      </c>
      <c r="F4311">
        <v>0</v>
      </c>
      <c r="G4311" s="243">
        <v>40938</v>
      </c>
      <c r="H4311" t="s">
        <v>182</v>
      </c>
      <c r="I4311">
        <v>15</v>
      </c>
      <c r="J4311">
        <v>8</v>
      </c>
      <c r="K4311">
        <v>1</v>
      </c>
      <c r="L4311">
        <v>72171</v>
      </c>
      <c r="M4311" t="str">
        <f t="shared" si="618"/>
        <v>13</v>
      </c>
      <c r="N4311" t="s">
        <v>3323</v>
      </c>
      <c r="O4311" t="str">
        <f t="shared" si="623"/>
        <v>64811</v>
      </c>
      <c r="P4311" t="str">
        <f>"3030L"</f>
        <v>3030L</v>
      </c>
      <c r="Q4311" t="str">
        <f t="shared" si="622"/>
        <v>0101</v>
      </c>
      <c r="R4311">
        <v>3030</v>
      </c>
      <c r="S4311" t="str">
        <f t="shared" si="624"/>
        <v>6480</v>
      </c>
      <c r="T4311" t="s">
        <v>3905</v>
      </c>
      <c r="U4311" t="s">
        <v>2328</v>
      </c>
    </row>
    <row r="4312" spans="1:21" ht="15" customHeight="1" x14ac:dyDescent="0.3">
      <c r="A4312" t="s">
        <v>179</v>
      </c>
      <c r="B4312" t="str">
        <f>"00065748"</f>
        <v>00065748</v>
      </c>
      <c r="C4312" t="s">
        <v>4260</v>
      </c>
      <c r="D4312" t="s">
        <v>2340</v>
      </c>
      <c r="E4312" t="str">
        <f>"00057258"</f>
        <v>00057258</v>
      </c>
      <c r="F4312">
        <v>0</v>
      </c>
      <c r="G4312" s="243">
        <v>40042</v>
      </c>
      <c r="H4312" t="s">
        <v>182</v>
      </c>
      <c r="I4312">
        <v>15</v>
      </c>
      <c r="J4312">
        <v>4</v>
      </c>
      <c r="K4312">
        <v>1</v>
      </c>
      <c r="L4312">
        <v>54725</v>
      </c>
      <c r="M4312" t="str">
        <f t="shared" si="618"/>
        <v>13</v>
      </c>
      <c r="N4312" t="s">
        <v>3323</v>
      </c>
      <c r="O4312" t="str">
        <f t="shared" si="623"/>
        <v>64811</v>
      </c>
      <c r="P4312" t="str">
        <f>"3030L"</f>
        <v>3030L</v>
      </c>
      <c r="Q4312" t="str">
        <f t="shared" si="622"/>
        <v>0101</v>
      </c>
      <c r="R4312">
        <v>3030</v>
      </c>
      <c r="S4312" t="str">
        <f t="shared" si="624"/>
        <v>6480</v>
      </c>
      <c r="T4312" t="s">
        <v>3905</v>
      </c>
      <c r="U4312" t="s">
        <v>2328</v>
      </c>
    </row>
    <row r="4313" spans="1:21" ht="15" customHeight="1" x14ac:dyDescent="0.3">
      <c r="A4313" t="s">
        <v>179</v>
      </c>
      <c r="B4313" t="str">
        <f>"00065750"</f>
        <v>00065750</v>
      </c>
      <c r="C4313" t="s">
        <v>4260</v>
      </c>
      <c r="D4313" t="s">
        <v>2341</v>
      </c>
      <c r="E4313" t="str">
        <f>"00057423"</f>
        <v>00057423</v>
      </c>
      <c r="F4313">
        <v>0</v>
      </c>
      <c r="G4313" s="243">
        <v>40042</v>
      </c>
      <c r="H4313" t="s">
        <v>182</v>
      </c>
      <c r="I4313">
        <v>15</v>
      </c>
      <c r="J4313">
        <v>4</v>
      </c>
      <c r="K4313">
        <v>1</v>
      </c>
      <c r="L4313">
        <v>57147</v>
      </c>
      <c r="M4313" t="str">
        <f t="shared" si="618"/>
        <v>13</v>
      </c>
      <c r="N4313" t="s">
        <v>3323</v>
      </c>
      <c r="O4313" t="str">
        <f t="shared" si="623"/>
        <v>64811</v>
      </c>
      <c r="P4313" t="str">
        <f>"3030L"</f>
        <v>3030L</v>
      </c>
      <c r="Q4313" t="str">
        <f t="shared" si="622"/>
        <v>0101</v>
      </c>
      <c r="R4313">
        <v>3030</v>
      </c>
      <c r="S4313" t="str">
        <f t="shared" si="624"/>
        <v>6480</v>
      </c>
      <c r="T4313" t="s">
        <v>3905</v>
      </c>
      <c r="U4313" t="s">
        <v>2328</v>
      </c>
    </row>
    <row r="4314" spans="1:21" ht="15" customHeight="1" x14ac:dyDescent="0.3">
      <c r="A4314" t="s">
        <v>179</v>
      </c>
      <c r="B4314" t="str">
        <f>"00066862"</f>
        <v>00066862</v>
      </c>
      <c r="C4314" t="s">
        <v>4253</v>
      </c>
      <c r="H4314" t="s">
        <v>170</v>
      </c>
      <c r="I4314">
        <v>15</v>
      </c>
      <c r="J4314">
        <v>1</v>
      </c>
      <c r="K4314">
        <v>1</v>
      </c>
      <c r="L4314">
        <v>54975</v>
      </c>
      <c r="M4314" t="str">
        <f t="shared" si="618"/>
        <v>13</v>
      </c>
      <c r="N4314" t="s">
        <v>3323</v>
      </c>
      <c r="O4314" t="str">
        <f t="shared" si="623"/>
        <v>64811</v>
      </c>
      <c r="P4314" t="str">
        <f>"2100L"</f>
        <v>2100L</v>
      </c>
      <c r="Q4314" t="str">
        <f t="shared" si="622"/>
        <v>0101</v>
      </c>
      <c r="R4314">
        <v>2100</v>
      </c>
      <c r="S4314" t="str">
        <f t="shared" si="624"/>
        <v>6480</v>
      </c>
      <c r="T4314" t="s">
        <v>3905</v>
      </c>
      <c r="U4314" t="s">
        <v>2328</v>
      </c>
    </row>
    <row r="4315" spans="1:21" ht="15" customHeight="1" x14ac:dyDescent="0.3">
      <c r="A4315" t="s">
        <v>179</v>
      </c>
      <c r="B4315" t="str">
        <f>"00066864"</f>
        <v>00066864</v>
      </c>
      <c r="C4315" t="s">
        <v>4253</v>
      </c>
      <c r="H4315" t="s">
        <v>170</v>
      </c>
      <c r="I4315">
        <v>15</v>
      </c>
      <c r="J4315">
        <v>1</v>
      </c>
      <c r="K4315">
        <v>1</v>
      </c>
      <c r="L4315">
        <v>51539</v>
      </c>
      <c r="M4315" t="str">
        <f t="shared" si="618"/>
        <v>13</v>
      </c>
      <c r="N4315" t="s">
        <v>3323</v>
      </c>
      <c r="O4315" t="str">
        <f t="shared" si="623"/>
        <v>64811</v>
      </c>
      <c r="P4315" t="str">
        <f>"2100L"</f>
        <v>2100L</v>
      </c>
      <c r="Q4315" t="str">
        <f t="shared" si="622"/>
        <v>0101</v>
      </c>
      <c r="R4315">
        <v>2100</v>
      </c>
      <c r="S4315" t="str">
        <f t="shared" si="624"/>
        <v>6480</v>
      </c>
      <c r="T4315" t="s">
        <v>3905</v>
      </c>
      <c r="U4315" t="s">
        <v>2328</v>
      </c>
    </row>
    <row r="4316" spans="1:21" ht="15" customHeight="1" x14ac:dyDescent="0.3">
      <c r="A4316" t="s">
        <v>179</v>
      </c>
      <c r="B4316" t="str">
        <f>"00068180"</f>
        <v>00068180</v>
      </c>
      <c r="C4316" t="s">
        <v>4267</v>
      </c>
      <c r="H4316" t="s">
        <v>170</v>
      </c>
      <c r="I4316">
        <v>15</v>
      </c>
      <c r="J4316">
        <v>1</v>
      </c>
      <c r="K4316">
        <v>1</v>
      </c>
      <c r="L4316">
        <v>54975</v>
      </c>
      <c r="M4316" t="str">
        <f t="shared" si="618"/>
        <v>13</v>
      </c>
      <c r="N4316" t="s">
        <v>3370</v>
      </c>
      <c r="O4316" t="str">
        <f t="shared" si="623"/>
        <v>64811</v>
      </c>
      <c r="P4316" t="str">
        <f>"3030L"</f>
        <v>3030L</v>
      </c>
      <c r="Q4316" t="str">
        <f t="shared" ref="Q4316:Q4343" si="625">"0101"</f>
        <v>0101</v>
      </c>
      <c r="R4316">
        <v>3030</v>
      </c>
      <c r="S4316" t="str">
        <f t="shared" si="624"/>
        <v>6480</v>
      </c>
      <c r="T4316" t="s">
        <v>3905</v>
      </c>
      <c r="U4316" t="s">
        <v>2328</v>
      </c>
    </row>
    <row r="4317" spans="1:21" ht="15" customHeight="1" x14ac:dyDescent="0.3">
      <c r="A4317" t="s">
        <v>179</v>
      </c>
      <c r="B4317" t="str">
        <f>"00072229"</f>
        <v>00072229</v>
      </c>
      <c r="C4317" t="s">
        <v>4263</v>
      </c>
      <c r="D4317" t="s">
        <v>2345</v>
      </c>
      <c r="E4317" t="str">
        <f>"00062866"</f>
        <v>00062866</v>
      </c>
      <c r="F4317">
        <v>0</v>
      </c>
      <c r="G4317" s="243">
        <v>40406</v>
      </c>
      <c r="H4317" t="s">
        <v>182</v>
      </c>
      <c r="I4317">
        <v>15</v>
      </c>
      <c r="J4317">
        <v>10</v>
      </c>
      <c r="K4317">
        <v>1</v>
      </c>
      <c r="L4317">
        <v>68431</v>
      </c>
      <c r="M4317" t="str">
        <f t="shared" si="618"/>
        <v>13</v>
      </c>
      <c r="N4317" t="s">
        <v>3323</v>
      </c>
      <c r="O4317" t="str">
        <f t="shared" si="623"/>
        <v>64811</v>
      </c>
      <c r="P4317" t="str">
        <f t="shared" ref="P4317:P4327" si="626">"2100L"</f>
        <v>2100L</v>
      </c>
      <c r="Q4317" t="str">
        <f t="shared" si="625"/>
        <v>0101</v>
      </c>
      <c r="R4317">
        <v>2100</v>
      </c>
      <c r="S4317" t="str">
        <f t="shared" si="624"/>
        <v>6480</v>
      </c>
      <c r="T4317" t="s">
        <v>3905</v>
      </c>
      <c r="U4317" t="s">
        <v>2328</v>
      </c>
    </row>
    <row r="4318" spans="1:21" ht="15" customHeight="1" x14ac:dyDescent="0.3">
      <c r="A4318" t="s">
        <v>179</v>
      </c>
      <c r="B4318" t="str">
        <f>"00072571"</f>
        <v>00072571</v>
      </c>
      <c r="C4318" t="s">
        <v>4614</v>
      </c>
      <c r="D4318" t="s">
        <v>3955</v>
      </c>
      <c r="E4318" t="str">
        <f>"00051539"</f>
        <v>00051539</v>
      </c>
      <c r="F4318">
        <v>0</v>
      </c>
      <c r="G4318" s="243">
        <v>40770</v>
      </c>
      <c r="H4318" t="s">
        <v>182</v>
      </c>
      <c r="I4318">
        <v>7</v>
      </c>
      <c r="J4318">
        <v>8</v>
      </c>
      <c r="K4318">
        <v>1</v>
      </c>
      <c r="L4318">
        <v>42621</v>
      </c>
      <c r="M4318" t="str">
        <f t="shared" si="618"/>
        <v>13</v>
      </c>
      <c r="N4318" t="s">
        <v>3323</v>
      </c>
      <c r="O4318" t="str">
        <f t="shared" si="623"/>
        <v>64811</v>
      </c>
      <c r="P4318" t="str">
        <f t="shared" si="626"/>
        <v>2100L</v>
      </c>
      <c r="Q4318" t="str">
        <f t="shared" si="625"/>
        <v>0101</v>
      </c>
      <c r="R4318">
        <v>2100</v>
      </c>
      <c r="S4318" t="str">
        <f t="shared" si="624"/>
        <v>6480</v>
      </c>
      <c r="T4318" t="s">
        <v>3905</v>
      </c>
      <c r="U4318" t="s">
        <v>2328</v>
      </c>
    </row>
    <row r="4319" spans="1:21" ht="15" customHeight="1" x14ac:dyDescent="0.3">
      <c r="A4319" t="s">
        <v>179</v>
      </c>
      <c r="B4319" t="str">
        <f>"00074022"</f>
        <v>00074022</v>
      </c>
      <c r="C4319" t="s">
        <v>4256</v>
      </c>
      <c r="H4319" t="s">
        <v>170</v>
      </c>
      <c r="I4319">
        <v>15</v>
      </c>
      <c r="J4319">
        <v>1</v>
      </c>
      <c r="K4319">
        <v>1</v>
      </c>
      <c r="L4319">
        <v>54975</v>
      </c>
      <c r="M4319" t="str">
        <f t="shared" si="618"/>
        <v>13</v>
      </c>
      <c r="N4319" t="s">
        <v>3323</v>
      </c>
      <c r="O4319" t="str">
        <f t="shared" si="623"/>
        <v>64811</v>
      </c>
      <c r="P4319" t="str">
        <f t="shared" si="626"/>
        <v>2100L</v>
      </c>
      <c r="Q4319" t="str">
        <f t="shared" si="625"/>
        <v>0101</v>
      </c>
      <c r="R4319">
        <v>2100</v>
      </c>
      <c r="S4319" t="str">
        <f t="shared" si="624"/>
        <v>6480</v>
      </c>
      <c r="T4319" t="s">
        <v>3905</v>
      </c>
      <c r="U4319" t="s">
        <v>2328</v>
      </c>
    </row>
    <row r="4320" spans="1:21" ht="15" customHeight="1" x14ac:dyDescent="0.3">
      <c r="A4320" t="s">
        <v>179</v>
      </c>
      <c r="B4320" t="str">
        <f>"00074590"</f>
        <v>00074590</v>
      </c>
      <c r="C4320" t="s">
        <v>200</v>
      </c>
      <c r="D4320" t="s">
        <v>2807</v>
      </c>
      <c r="E4320" t="str">
        <f>"00045283"</f>
        <v>00045283</v>
      </c>
      <c r="F4320">
        <v>0</v>
      </c>
      <c r="G4320" s="243">
        <v>36390</v>
      </c>
      <c r="H4320" t="s">
        <v>182</v>
      </c>
      <c r="I4320">
        <v>15</v>
      </c>
      <c r="J4320">
        <v>16</v>
      </c>
      <c r="K4320">
        <v>1</v>
      </c>
      <c r="L4320">
        <v>100839</v>
      </c>
      <c r="M4320" t="str">
        <f t="shared" si="618"/>
        <v>13</v>
      </c>
      <c r="N4320" t="s">
        <v>3323</v>
      </c>
      <c r="O4320" t="str">
        <f t="shared" si="623"/>
        <v>64811</v>
      </c>
      <c r="P4320" t="str">
        <f t="shared" si="626"/>
        <v>2100L</v>
      </c>
      <c r="Q4320" t="str">
        <f t="shared" si="625"/>
        <v>0101</v>
      </c>
      <c r="R4320">
        <v>2100</v>
      </c>
      <c r="S4320" t="str">
        <f t="shared" si="624"/>
        <v>6480</v>
      </c>
      <c r="T4320" t="s">
        <v>3905</v>
      </c>
      <c r="U4320" t="s">
        <v>2328</v>
      </c>
    </row>
    <row r="4321" spans="1:21" ht="15" customHeight="1" x14ac:dyDescent="0.3">
      <c r="A4321" t="s">
        <v>179</v>
      </c>
      <c r="B4321" t="str">
        <f>"00076319"</f>
        <v>00076319</v>
      </c>
      <c r="C4321" t="s">
        <v>4271</v>
      </c>
      <c r="D4321" t="s">
        <v>5614</v>
      </c>
      <c r="E4321" t="str">
        <f>"00052662"</f>
        <v>00052662</v>
      </c>
      <c r="F4321">
        <v>0</v>
      </c>
      <c r="G4321" s="243">
        <v>32050</v>
      </c>
      <c r="H4321" t="s">
        <v>182</v>
      </c>
      <c r="I4321">
        <v>15</v>
      </c>
      <c r="J4321">
        <v>16</v>
      </c>
      <c r="K4321">
        <v>0.5</v>
      </c>
      <c r="L4321">
        <v>100839</v>
      </c>
      <c r="M4321" t="str">
        <f t="shared" si="618"/>
        <v>13</v>
      </c>
      <c r="N4321" t="s">
        <v>3370</v>
      </c>
      <c r="O4321" t="str">
        <f t="shared" si="623"/>
        <v>64811</v>
      </c>
      <c r="P4321" t="str">
        <f t="shared" si="626"/>
        <v>2100L</v>
      </c>
      <c r="Q4321" t="str">
        <f t="shared" si="625"/>
        <v>0101</v>
      </c>
      <c r="R4321">
        <v>2100</v>
      </c>
      <c r="S4321" t="str">
        <f t="shared" si="624"/>
        <v>6480</v>
      </c>
      <c r="T4321" t="s">
        <v>3905</v>
      </c>
      <c r="U4321" t="s">
        <v>2328</v>
      </c>
    </row>
    <row r="4322" spans="1:21" ht="15" customHeight="1" x14ac:dyDescent="0.3">
      <c r="A4322" t="s">
        <v>179</v>
      </c>
      <c r="B4322" t="str">
        <f>"00076320"</f>
        <v>00076320</v>
      </c>
      <c r="C4322" t="s">
        <v>5463</v>
      </c>
      <c r="H4322" t="s">
        <v>170</v>
      </c>
      <c r="I4322">
        <v>15</v>
      </c>
      <c r="J4322">
        <v>0</v>
      </c>
      <c r="K4322">
        <v>0.5</v>
      </c>
      <c r="L4322">
        <v>51539</v>
      </c>
      <c r="M4322" t="str">
        <f t="shared" ref="M4322:M4379" si="627">"13"</f>
        <v>13</v>
      </c>
      <c r="N4322" t="s">
        <v>3370</v>
      </c>
      <c r="O4322" t="str">
        <f t="shared" si="623"/>
        <v>64811</v>
      </c>
      <c r="P4322" t="str">
        <f t="shared" si="626"/>
        <v>2100L</v>
      </c>
      <c r="Q4322" t="str">
        <f t="shared" si="625"/>
        <v>0101</v>
      </c>
      <c r="R4322">
        <v>2100</v>
      </c>
      <c r="S4322" t="str">
        <f t="shared" si="624"/>
        <v>6480</v>
      </c>
      <c r="T4322" t="s">
        <v>3905</v>
      </c>
      <c r="U4322" t="s">
        <v>2328</v>
      </c>
    </row>
    <row r="4323" spans="1:21" ht="15" customHeight="1" x14ac:dyDescent="0.3">
      <c r="A4323" t="s">
        <v>179</v>
      </c>
      <c r="B4323" t="str">
        <f>"00076322"</f>
        <v>00076322</v>
      </c>
      <c r="C4323" t="s">
        <v>4998</v>
      </c>
      <c r="H4323" t="s">
        <v>170</v>
      </c>
      <c r="I4323">
        <v>15</v>
      </c>
      <c r="J4323">
        <v>0</v>
      </c>
      <c r="K4323">
        <v>0.5</v>
      </c>
      <c r="L4323">
        <v>51539</v>
      </c>
      <c r="M4323" t="str">
        <f t="shared" si="627"/>
        <v>13</v>
      </c>
      <c r="N4323" t="s">
        <v>3370</v>
      </c>
      <c r="O4323" t="str">
        <f t="shared" si="623"/>
        <v>64811</v>
      </c>
      <c r="P4323" t="str">
        <f t="shared" si="626"/>
        <v>2100L</v>
      </c>
      <c r="Q4323" t="str">
        <f t="shared" si="625"/>
        <v>0101</v>
      </c>
      <c r="R4323">
        <v>2100</v>
      </c>
      <c r="S4323" t="str">
        <f t="shared" si="624"/>
        <v>6480</v>
      </c>
      <c r="T4323" t="s">
        <v>3905</v>
      </c>
      <c r="U4323" t="s">
        <v>2328</v>
      </c>
    </row>
    <row r="4324" spans="1:21" ht="15" customHeight="1" x14ac:dyDescent="0.3">
      <c r="A4324" t="s">
        <v>179</v>
      </c>
      <c r="B4324" t="str">
        <f>"00076323"</f>
        <v>00076323</v>
      </c>
      <c r="C4324" t="s">
        <v>4998</v>
      </c>
      <c r="D4324" t="s">
        <v>5615</v>
      </c>
      <c r="E4324" t="str">
        <f>"00069748"</f>
        <v>00069748</v>
      </c>
      <c r="F4324">
        <v>0</v>
      </c>
      <c r="G4324" s="243">
        <v>41133</v>
      </c>
      <c r="H4324" t="s">
        <v>182</v>
      </c>
      <c r="I4324">
        <v>15</v>
      </c>
      <c r="J4324">
        <v>1</v>
      </c>
      <c r="K4324">
        <v>0.5</v>
      </c>
      <c r="L4324">
        <v>25769.5</v>
      </c>
      <c r="M4324" t="str">
        <f t="shared" si="627"/>
        <v>13</v>
      </c>
      <c r="N4324" t="s">
        <v>3370</v>
      </c>
      <c r="O4324" t="str">
        <f t="shared" si="623"/>
        <v>64811</v>
      </c>
      <c r="P4324" t="str">
        <f t="shared" si="626"/>
        <v>2100L</v>
      </c>
      <c r="Q4324" t="str">
        <f t="shared" si="625"/>
        <v>0101</v>
      </c>
      <c r="R4324">
        <v>2100</v>
      </c>
      <c r="S4324" t="str">
        <f t="shared" si="624"/>
        <v>6480</v>
      </c>
      <c r="T4324" t="s">
        <v>3905</v>
      </c>
      <c r="U4324" t="s">
        <v>2328</v>
      </c>
    </row>
    <row r="4325" spans="1:21" ht="15" customHeight="1" x14ac:dyDescent="0.3">
      <c r="A4325" t="s">
        <v>179</v>
      </c>
      <c r="B4325" t="str">
        <f>"00076324"</f>
        <v>00076324</v>
      </c>
      <c r="C4325" t="s">
        <v>4253</v>
      </c>
      <c r="D4325" t="s">
        <v>5616</v>
      </c>
      <c r="E4325" t="str">
        <f>"00069831"</f>
        <v>00069831</v>
      </c>
      <c r="F4325">
        <v>0</v>
      </c>
      <c r="G4325" s="243">
        <v>41133</v>
      </c>
      <c r="H4325" t="s">
        <v>182</v>
      </c>
      <c r="I4325">
        <v>15</v>
      </c>
      <c r="J4325">
        <v>2</v>
      </c>
      <c r="K4325">
        <v>0.5</v>
      </c>
      <c r="L4325">
        <v>56242</v>
      </c>
      <c r="M4325" t="str">
        <f t="shared" si="627"/>
        <v>13</v>
      </c>
      <c r="N4325" t="s">
        <v>3323</v>
      </c>
      <c r="O4325" t="str">
        <f t="shared" si="623"/>
        <v>64811</v>
      </c>
      <c r="P4325" t="str">
        <f t="shared" si="626"/>
        <v>2100L</v>
      </c>
      <c r="Q4325" t="str">
        <f t="shared" si="625"/>
        <v>0101</v>
      </c>
      <c r="R4325">
        <v>2100</v>
      </c>
      <c r="S4325" t="str">
        <f t="shared" si="624"/>
        <v>6480</v>
      </c>
      <c r="T4325" t="s">
        <v>3905</v>
      </c>
      <c r="U4325" t="s">
        <v>2328</v>
      </c>
    </row>
    <row r="4326" spans="1:21" ht="15" customHeight="1" x14ac:dyDescent="0.3">
      <c r="A4326" t="s">
        <v>179</v>
      </c>
      <c r="B4326" t="str">
        <f>"00076325"</f>
        <v>00076325</v>
      </c>
      <c r="C4326" t="s">
        <v>4270</v>
      </c>
      <c r="D4326" t="s">
        <v>1487</v>
      </c>
      <c r="E4326" t="str">
        <f>"00047085"</f>
        <v>00047085</v>
      </c>
      <c r="F4326">
        <v>0</v>
      </c>
      <c r="G4326" s="243">
        <v>37861</v>
      </c>
      <c r="H4326" t="s">
        <v>182</v>
      </c>
      <c r="I4326">
        <v>15</v>
      </c>
      <c r="J4326">
        <v>10</v>
      </c>
      <c r="K4326">
        <v>0.5</v>
      </c>
      <c r="L4326">
        <v>39136.5</v>
      </c>
      <c r="M4326" t="str">
        <f t="shared" si="627"/>
        <v>13</v>
      </c>
      <c r="N4326" t="s">
        <v>3370</v>
      </c>
      <c r="O4326" t="str">
        <f t="shared" si="623"/>
        <v>64811</v>
      </c>
      <c r="P4326" t="str">
        <f t="shared" si="626"/>
        <v>2100L</v>
      </c>
      <c r="Q4326" t="str">
        <f t="shared" si="625"/>
        <v>0101</v>
      </c>
      <c r="R4326">
        <v>2100</v>
      </c>
      <c r="S4326" t="str">
        <f t="shared" si="624"/>
        <v>6480</v>
      </c>
      <c r="T4326" t="s">
        <v>3905</v>
      </c>
      <c r="U4326" t="s">
        <v>2328</v>
      </c>
    </row>
    <row r="4327" spans="1:21" ht="15" customHeight="1" x14ac:dyDescent="0.3">
      <c r="A4327" t="s">
        <v>179</v>
      </c>
      <c r="B4327" t="str">
        <f>"00076326"</f>
        <v>00076326</v>
      </c>
      <c r="C4327" t="s">
        <v>4270</v>
      </c>
      <c r="D4327" t="s">
        <v>5617</v>
      </c>
      <c r="E4327" t="str">
        <f>"00069965"</f>
        <v>00069965</v>
      </c>
      <c r="F4327">
        <v>0</v>
      </c>
      <c r="G4327" s="243">
        <v>41133</v>
      </c>
      <c r="H4327" t="s">
        <v>182</v>
      </c>
      <c r="I4327">
        <v>15</v>
      </c>
      <c r="J4327">
        <v>1</v>
      </c>
      <c r="K4327">
        <v>0.5</v>
      </c>
      <c r="L4327">
        <v>51539</v>
      </c>
      <c r="M4327" t="str">
        <f t="shared" si="627"/>
        <v>13</v>
      </c>
      <c r="N4327" t="s">
        <v>3370</v>
      </c>
      <c r="O4327" t="str">
        <f t="shared" si="623"/>
        <v>64811</v>
      </c>
      <c r="P4327" t="str">
        <f t="shared" si="626"/>
        <v>2100L</v>
      </c>
      <c r="Q4327" t="str">
        <f t="shared" si="625"/>
        <v>0101</v>
      </c>
      <c r="R4327">
        <v>2100</v>
      </c>
      <c r="S4327" t="str">
        <f t="shared" si="624"/>
        <v>6480</v>
      </c>
      <c r="T4327" t="s">
        <v>3905</v>
      </c>
      <c r="U4327" t="s">
        <v>2328</v>
      </c>
    </row>
    <row r="4328" spans="1:21" ht="15" customHeight="1" x14ac:dyDescent="0.3">
      <c r="A4328" t="s">
        <v>179</v>
      </c>
      <c r="B4328" t="str">
        <f>"00076559"</f>
        <v>00076559</v>
      </c>
      <c r="C4328" t="s">
        <v>4290</v>
      </c>
      <c r="D4328" t="s">
        <v>5618</v>
      </c>
      <c r="E4328" t="str">
        <f>"00054756"</f>
        <v>00054756</v>
      </c>
      <c r="F4328">
        <v>0</v>
      </c>
      <c r="G4328" s="243">
        <v>36738</v>
      </c>
      <c r="H4328" t="s">
        <v>182</v>
      </c>
      <c r="I4328">
        <v>4</v>
      </c>
      <c r="J4328">
        <v>8</v>
      </c>
      <c r="K4328">
        <v>0.71</v>
      </c>
      <c r="L4328">
        <v>27329.75</v>
      </c>
      <c r="M4328" t="str">
        <f t="shared" si="627"/>
        <v>13</v>
      </c>
      <c r="N4328" t="s">
        <v>3370</v>
      </c>
      <c r="O4328" t="str">
        <f t="shared" si="623"/>
        <v>64811</v>
      </c>
      <c r="P4328" t="str">
        <f>"3030L"</f>
        <v>3030L</v>
      </c>
      <c r="Q4328" t="str">
        <f t="shared" si="625"/>
        <v>0101</v>
      </c>
      <c r="R4328">
        <v>3030</v>
      </c>
      <c r="S4328" t="str">
        <f t="shared" si="624"/>
        <v>6480</v>
      </c>
      <c r="T4328" t="s">
        <v>3905</v>
      </c>
      <c r="U4328" t="s">
        <v>2328</v>
      </c>
    </row>
    <row r="4329" spans="1:21" ht="15" customHeight="1" x14ac:dyDescent="0.3">
      <c r="A4329" t="s">
        <v>179</v>
      </c>
      <c r="B4329" t="str">
        <f>"00076560"</f>
        <v>00076560</v>
      </c>
      <c r="C4329" t="s">
        <v>4290</v>
      </c>
      <c r="D4329" t="s">
        <v>5619</v>
      </c>
      <c r="E4329" t="str">
        <f>"00069988"</f>
        <v>00069988</v>
      </c>
      <c r="F4329">
        <v>0</v>
      </c>
      <c r="G4329" s="243">
        <v>41133</v>
      </c>
      <c r="H4329" t="s">
        <v>182</v>
      </c>
      <c r="I4329">
        <v>4</v>
      </c>
      <c r="J4329">
        <v>7</v>
      </c>
      <c r="K4329">
        <v>0.71</v>
      </c>
      <c r="L4329">
        <v>26633.25</v>
      </c>
      <c r="M4329" t="str">
        <f t="shared" si="627"/>
        <v>13</v>
      </c>
      <c r="N4329" t="s">
        <v>3323</v>
      </c>
      <c r="O4329" t="str">
        <f t="shared" si="623"/>
        <v>64811</v>
      </c>
      <c r="P4329" t="str">
        <f>"3030L"</f>
        <v>3030L</v>
      </c>
      <c r="Q4329" t="str">
        <f t="shared" si="625"/>
        <v>0101</v>
      </c>
      <c r="R4329">
        <v>3030</v>
      </c>
      <c r="S4329" t="str">
        <f t="shared" si="624"/>
        <v>6480</v>
      </c>
      <c r="T4329" t="s">
        <v>3905</v>
      </c>
      <c r="U4329" t="s">
        <v>2328</v>
      </c>
    </row>
    <row r="4330" spans="1:21" ht="15" customHeight="1" x14ac:dyDescent="0.3">
      <c r="A4330" t="s">
        <v>179</v>
      </c>
      <c r="B4330" t="str">
        <f>"00076561"</f>
        <v>00076561</v>
      </c>
      <c r="C4330" t="s">
        <v>4290</v>
      </c>
      <c r="H4330" t="s">
        <v>170</v>
      </c>
      <c r="I4330">
        <v>4</v>
      </c>
      <c r="J4330">
        <v>0</v>
      </c>
      <c r="K4330">
        <v>0.71</v>
      </c>
      <c r="L4330">
        <v>25662</v>
      </c>
      <c r="M4330" t="str">
        <f t="shared" si="627"/>
        <v>13</v>
      </c>
      <c r="N4330" t="s">
        <v>3323</v>
      </c>
      <c r="O4330" t="str">
        <f t="shared" si="623"/>
        <v>64811</v>
      </c>
      <c r="P4330" t="str">
        <f>"3030L"</f>
        <v>3030L</v>
      </c>
      <c r="Q4330" t="str">
        <f t="shared" si="625"/>
        <v>0101</v>
      </c>
      <c r="R4330">
        <v>3030</v>
      </c>
      <c r="S4330" t="str">
        <f t="shared" si="624"/>
        <v>6480</v>
      </c>
      <c r="T4330" t="s">
        <v>3905</v>
      </c>
      <c r="U4330" t="s">
        <v>2328</v>
      </c>
    </row>
    <row r="4331" spans="1:21" ht="15" customHeight="1" x14ac:dyDescent="0.3">
      <c r="A4331" t="s">
        <v>179</v>
      </c>
      <c r="B4331" t="str">
        <f>"00076784"</f>
        <v>00076784</v>
      </c>
      <c r="C4331" t="s">
        <v>204</v>
      </c>
      <c r="H4331" t="s">
        <v>170</v>
      </c>
      <c r="I4331">
        <v>15</v>
      </c>
      <c r="J4331">
        <v>0</v>
      </c>
      <c r="K4331">
        <v>1</v>
      </c>
      <c r="L4331">
        <v>51539</v>
      </c>
      <c r="M4331" t="str">
        <f t="shared" si="627"/>
        <v>13</v>
      </c>
      <c r="N4331" t="s">
        <v>3370</v>
      </c>
      <c r="O4331" t="str">
        <f t="shared" si="623"/>
        <v>64811</v>
      </c>
      <c r="P4331" t="str">
        <f>"2100L"</f>
        <v>2100L</v>
      </c>
      <c r="Q4331" t="str">
        <f t="shared" si="625"/>
        <v>0101</v>
      </c>
      <c r="R4331">
        <v>2100</v>
      </c>
      <c r="S4331" t="str">
        <f t="shared" si="624"/>
        <v>6480</v>
      </c>
      <c r="T4331" t="s">
        <v>3905</v>
      </c>
      <c r="U4331" t="s">
        <v>2328</v>
      </c>
    </row>
    <row r="4332" spans="1:21" ht="15" customHeight="1" x14ac:dyDescent="0.3">
      <c r="A4332" t="s">
        <v>179</v>
      </c>
      <c r="B4332" t="str">
        <f>"00052021"</f>
        <v>00052021</v>
      </c>
      <c r="C4332" t="s">
        <v>4260</v>
      </c>
      <c r="D4332" t="s">
        <v>3965</v>
      </c>
      <c r="E4332" t="str">
        <f>"00065222"</f>
        <v>00065222</v>
      </c>
      <c r="F4332">
        <v>0</v>
      </c>
      <c r="G4332" s="243">
        <v>40705</v>
      </c>
      <c r="H4332" t="s">
        <v>182</v>
      </c>
      <c r="I4332">
        <v>15</v>
      </c>
      <c r="J4332">
        <v>6</v>
      </c>
      <c r="K4332">
        <v>1</v>
      </c>
      <c r="L4332">
        <v>66078</v>
      </c>
      <c r="M4332" t="str">
        <f t="shared" si="627"/>
        <v>13</v>
      </c>
      <c r="N4332" t="s">
        <v>3323</v>
      </c>
      <c r="O4332" t="str">
        <f t="shared" ref="O4332:O4368" si="628">"64911"</f>
        <v>64911</v>
      </c>
      <c r="P4332" t="str">
        <f>"2100L"</f>
        <v>2100L</v>
      </c>
      <c r="Q4332" t="str">
        <f t="shared" si="625"/>
        <v>0101</v>
      </c>
      <c r="R4332">
        <v>2100</v>
      </c>
      <c r="S4332" t="str">
        <f t="shared" ref="S4332:S4368" si="629">"6490"</f>
        <v>6490</v>
      </c>
      <c r="T4332" t="s">
        <v>3862</v>
      </c>
      <c r="U4332" t="s">
        <v>93</v>
      </c>
    </row>
    <row r="4333" spans="1:21" ht="15" customHeight="1" x14ac:dyDescent="0.3">
      <c r="A4333" t="s">
        <v>179</v>
      </c>
      <c r="B4333" t="str">
        <f>"00057507"</f>
        <v>00057507</v>
      </c>
      <c r="C4333" t="s">
        <v>4260</v>
      </c>
      <c r="D4333" t="s">
        <v>5620</v>
      </c>
      <c r="E4333" t="str">
        <f>"00069510"</f>
        <v>00069510</v>
      </c>
      <c r="F4333">
        <v>0</v>
      </c>
      <c r="G4333" s="243">
        <v>41133</v>
      </c>
      <c r="H4333" t="s">
        <v>182</v>
      </c>
      <c r="I4333">
        <v>15</v>
      </c>
      <c r="J4333">
        <v>1</v>
      </c>
      <c r="K4333">
        <v>1</v>
      </c>
      <c r="L4333">
        <v>51539</v>
      </c>
      <c r="M4333" t="str">
        <f t="shared" si="627"/>
        <v>13</v>
      </c>
      <c r="N4333" t="s">
        <v>3370</v>
      </c>
      <c r="O4333" t="str">
        <f t="shared" si="628"/>
        <v>64911</v>
      </c>
      <c r="P4333" t="str">
        <f>"3030L"</f>
        <v>3030L</v>
      </c>
      <c r="Q4333" t="str">
        <f t="shared" si="625"/>
        <v>0101</v>
      </c>
      <c r="R4333">
        <v>3030</v>
      </c>
      <c r="S4333" t="str">
        <f t="shared" si="629"/>
        <v>6490</v>
      </c>
      <c r="T4333" t="s">
        <v>3862</v>
      </c>
      <c r="U4333" t="s">
        <v>93</v>
      </c>
    </row>
    <row r="4334" spans="1:21" ht="15" customHeight="1" x14ac:dyDescent="0.3">
      <c r="A4334" t="s">
        <v>179</v>
      </c>
      <c r="B4334" t="str">
        <f>"00058535"</f>
        <v>00058535</v>
      </c>
      <c r="C4334" t="s">
        <v>4262</v>
      </c>
      <c r="D4334" t="s">
        <v>3963</v>
      </c>
      <c r="E4334" t="str">
        <f>"00067258"</f>
        <v>00067258</v>
      </c>
      <c r="F4334">
        <v>0</v>
      </c>
      <c r="G4334" s="243">
        <v>40868</v>
      </c>
      <c r="H4334" t="s">
        <v>182</v>
      </c>
      <c r="I4334">
        <v>15</v>
      </c>
      <c r="J4334">
        <v>4</v>
      </c>
      <c r="K4334">
        <v>1</v>
      </c>
      <c r="L4334">
        <v>61158</v>
      </c>
      <c r="M4334" t="str">
        <f t="shared" si="627"/>
        <v>13</v>
      </c>
      <c r="N4334" t="s">
        <v>3323</v>
      </c>
      <c r="O4334" t="str">
        <f t="shared" si="628"/>
        <v>64911</v>
      </c>
      <c r="P4334" t="str">
        <f>"2100L"</f>
        <v>2100L</v>
      </c>
      <c r="Q4334" t="str">
        <f t="shared" si="625"/>
        <v>0101</v>
      </c>
      <c r="R4334">
        <v>2100</v>
      </c>
      <c r="S4334" t="str">
        <f t="shared" si="629"/>
        <v>6490</v>
      </c>
      <c r="T4334" t="s">
        <v>3862</v>
      </c>
      <c r="U4334" t="s">
        <v>93</v>
      </c>
    </row>
    <row r="4335" spans="1:21" ht="15" customHeight="1" x14ac:dyDescent="0.3">
      <c r="A4335" t="s">
        <v>179</v>
      </c>
      <c r="B4335" t="str">
        <f>"00060698"</f>
        <v>00060698</v>
      </c>
      <c r="C4335" t="s">
        <v>4257</v>
      </c>
      <c r="D4335" t="s">
        <v>3964</v>
      </c>
      <c r="E4335" t="str">
        <f>"00066031"</f>
        <v>00066031</v>
      </c>
      <c r="F4335">
        <v>0</v>
      </c>
      <c r="G4335" s="243">
        <v>40755</v>
      </c>
      <c r="H4335" t="s">
        <v>182</v>
      </c>
      <c r="I4335">
        <v>15</v>
      </c>
      <c r="J4335">
        <v>10</v>
      </c>
      <c r="K4335">
        <v>1</v>
      </c>
      <c r="L4335">
        <v>68431</v>
      </c>
      <c r="M4335" t="str">
        <f t="shared" si="627"/>
        <v>13</v>
      </c>
      <c r="N4335" t="s">
        <v>3323</v>
      </c>
      <c r="O4335" t="str">
        <f t="shared" si="628"/>
        <v>64911</v>
      </c>
      <c r="P4335" t="str">
        <f>"2100L"</f>
        <v>2100L</v>
      </c>
      <c r="Q4335" t="str">
        <f t="shared" si="625"/>
        <v>0101</v>
      </c>
      <c r="R4335">
        <v>2100</v>
      </c>
      <c r="S4335" t="str">
        <f t="shared" si="629"/>
        <v>6490</v>
      </c>
      <c r="T4335" t="s">
        <v>3862</v>
      </c>
      <c r="U4335" t="s">
        <v>93</v>
      </c>
    </row>
    <row r="4336" spans="1:21" ht="15" customHeight="1" x14ac:dyDescent="0.3">
      <c r="A4336" t="s">
        <v>179</v>
      </c>
      <c r="B4336" t="str">
        <f>"00061819"</f>
        <v>00061819</v>
      </c>
      <c r="C4336" t="s">
        <v>3798</v>
      </c>
      <c r="D4336" t="s">
        <v>886</v>
      </c>
      <c r="E4336" t="str">
        <f>"00047643"</f>
        <v>00047643</v>
      </c>
      <c r="F4336">
        <v>0</v>
      </c>
      <c r="G4336" s="243">
        <v>36761</v>
      </c>
      <c r="H4336" t="s">
        <v>182</v>
      </c>
      <c r="I4336">
        <v>63</v>
      </c>
      <c r="J4336">
        <v>2</v>
      </c>
      <c r="K4336">
        <v>1</v>
      </c>
      <c r="L4336">
        <v>111000</v>
      </c>
      <c r="M4336" t="str">
        <f t="shared" si="627"/>
        <v>13</v>
      </c>
      <c r="N4336" t="s">
        <v>3323</v>
      </c>
      <c r="O4336" t="str">
        <f t="shared" si="628"/>
        <v>64911</v>
      </c>
      <c r="P4336" t="str">
        <f>"1501L"</f>
        <v>1501L</v>
      </c>
      <c r="Q4336" t="str">
        <f t="shared" si="625"/>
        <v>0101</v>
      </c>
      <c r="R4336">
        <v>1501</v>
      </c>
      <c r="S4336" t="str">
        <f t="shared" si="629"/>
        <v>6490</v>
      </c>
      <c r="T4336" t="s">
        <v>3862</v>
      </c>
      <c r="U4336" t="s">
        <v>93</v>
      </c>
    </row>
    <row r="4337" spans="1:21" ht="15" customHeight="1" x14ac:dyDescent="0.3">
      <c r="A4337" t="s">
        <v>179</v>
      </c>
      <c r="B4337" t="str">
        <f>"00062120"</f>
        <v>00062120</v>
      </c>
      <c r="C4337" t="s">
        <v>4253</v>
      </c>
      <c r="D4337" t="s">
        <v>3338</v>
      </c>
      <c r="E4337" t="str">
        <f>"00065935"</f>
        <v>00065935</v>
      </c>
      <c r="F4337">
        <v>0</v>
      </c>
      <c r="G4337" s="243">
        <v>40755</v>
      </c>
      <c r="H4337" t="s">
        <v>182</v>
      </c>
      <c r="I4337">
        <v>15</v>
      </c>
      <c r="J4337">
        <v>1</v>
      </c>
      <c r="K4337">
        <v>1</v>
      </c>
      <c r="L4337">
        <v>54975</v>
      </c>
      <c r="M4337" t="str">
        <f t="shared" si="627"/>
        <v>13</v>
      </c>
      <c r="N4337" t="s">
        <v>3370</v>
      </c>
      <c r="O4337" t="str">
        <f t="shared" si="628"/>
        <v>64911</v>
      </c>
      <c r="P4337" t="str">
        <f>"2100L"</f>
        <v>2100L</v>
      </c>
      <c r="Q4337" t="str">
        <f t="shared" si="625"/>
        <v>0101</v>
      </c>
      <c r="R4337">
        <v>2100</v>
      </c>
      <c r="S4337" t="str">
        <f t="shared" si="629"/>
        <v>6490</v>
      </c>
      <c r="T4337" t="s">
        <v>3862</v>
      </c>
      <c r="U4337" t="s">
        <v>93</v>
      </c>
    </row>
    <row r="4338" spans="1:21" ht="15" customHeight="1" x14ac:dyDescent="0.3">
      <c r="A4338" t="s">
        <v>179</v>
      </c>
      <c r="B4338" t="str">
        <f>"00062413"</f>
        <v>00062413</v>
      </c>
      <c r="C4338" t="s">
        <v>3471</v>
      </c>
      <c r="D4338" t="s">
        <v>2399</v>
      </c>
      <c r="E4338" t="str">
        <f>"00054894"</f>
        <v>00054894</v>
      </c>
      <c r="F4338">
        <v>0</v>
      </c>
      <c r="G4338" s="243">
        <v>40769</v>
      </c>
      <c r="H4338" t="s">
        <v>182</v>
      </c>
      <c r="I4338">
        <v>15</v>
      </c>
      <c r="J4338">
        <v>11</v>
      </c>
      <c r="K4338">
        <v>1</v>
      </c>
      <c r="L4338">
        <v>70891</v>
      </c>
      <c r="M4338" t="str">
        <f t="shared" si="627"/>
        <v>13</v>
      </c>
      <c r="N4338" t="s">
        <v>3323</v>
      </c>
      <c r="O4338" t="str">
        <f t="shared" si="628"/>
        <v>64911</v>
      </c>
      <c r="P4338" t="str">
        <f>"2100L"</f>
        <v>2100L</v>
      </c>
      <c r="Q4338" t="str">
        <f t="shared" si="625"/>
        <v>0101</v>
      </c>
      <c r="R4338">
        <v>2100</v>
      </c>
      <c r="S4338" t="str">
        <f t="shared" si="629"/>
        <v>6490</v>
      </c>
      <c r="T4338" t="s">
        <v>3862</v>
      </c>
      <c r="U4338" t="s">
        <v>93</v>
      </c>
    </row>
    <row r="4339" spans="1:21" ht="15" customHeight="1" x14ac:dyDescent="0.3">
      <c r="A4339" t="s">
        <v>179</v>
      </c>
      <c r="B4339" t="str">
        <f>"00062876"</f>
        <v>00062876</v>
      </c>
      <c r="C4339" t="s">
        <v>4262</v>
      </c>
      <c r="D4339" t="s">
        <v>2999</v>
      </c>
      <c r="E4339" t="str">
        <f>"00056970"</f>
        <v>00056970</v>
      </c>
      <c r="F4339">
        <v>0</v>
      </c>
      <c r="G4339" s="243">
        <v>40713</v>
      </c>
      <c r="H4339" t="s">
        <v>182</v>
      </c>
      <c r="I4339">
        <v>15</v>
      </c>
      <c r="J4339">
        <v>3</v>
      </c>
      <c r="K4339">
        <v>1</v>
      </c>
      <c r="L4339">
        <v>52777</v>
      </c>
      <c r="M4339" t="str">
        <f t="shared" si="627"/>
        <v>13</v>
      </c>
      <c r="N4339" t="s">
        <v>3323</v>
      </c>
      <c r="O4339" t="str">
        <f t="shared" si="628"/>
        <v>64911</v>
      </c>
      <c r="P4339" t="str">
        <f>"2100L"</f>
        <v>2100L</v>
      </c>
      <c r="Q4339" t="str">
        <f t="shared" si="625"/>
        <v>0101</v>
      </c>
      <c r="R4339">
        <v>2100</v>
      </c>
      <c r="S4339" t="str">
        <f t="shared" si="629"/>
        <v>6490</v>
      </c>
      <c r="T4339" t="s">
        <v>3862</v>
      </c>
      <c r="U4339" t="s">
        <v>93</v>
      </c>
    </row>
    <row r="4340" spans="1:21" ht="15" customHeight="1" x14ac:dyDescent="0.3">
      <c r="A4340" t="s">
        <v>179</v>
      </c>
      <c r="B4340" t="str">
        <f>"00065257"</f>
        <v>00065257</v>
      </c>
      <c r="C4340" t="s">
        <v>3670</v>
      </c>
      <c r="D4340" t="s">
        <v>540</v>
      </c>
      <c r="E4340" t="str">
        <f>"00052255"</f>
        <v>00052255</v>
      </c>
      <c r="F4340">
        <v>0</v>
      </c>
      <c r="G4340" s="243">
        <v>39636</v>
      </c>
      <c r="H4340" t="s">
        <v>182</v>
      </c>
      <c r="I4340">
        <v>8</v>
      </c>
      <c r="J4340">
        <v>4</v>
      </c>
      <c r="K4340">
        <v>1</v>
      </c>
      <c r="L4340">
        <v>89645</v>
      </c>
      <c r="M4340" t="str">
        <f t="shared" si="627"/>
        <v>13</v>
      </c>
      <c r="N4340" t="s">
        <v>3370</v>
      </c>
      <c r="O4340" t="str">
        <f t="shared" si="628"/>
        <v>64911</v>
      </c>
      <c r="P4340" t="str">
        <f>"1501L"</f>
        <v>1501L</v>
      </c>
      <c r="Q4340" t="str">
        <f t="shared" si="625"/>
        <v>0101</v>
      </c>
      <c r="R4340">
        <v>1501</v>
      </c>
      <c r="S4340" t="str">
        <f t="shared" si="629"/>
        <v>6490</v>
      </c>
      <c r="T4340" t="s">
        <v>3862</v>
      </c>
      <c r="U4340" t="s">
        <v>93</v>
      </c>
    </row>
    <row r="4341" spans="1:21" ht="15" customHeight="1" x14ac:dyDescent="0.3">
      <c r="A4341" t="s">
        <v>179</v>
      </c>
      <c r="B4341" t="str">
        <f>"00065871"</f>
        <v>00065871</v>
      </c>
      <c r="C4341" t="s">
        <v>4260</v>
      </c>
      <c r="D4341" t="s">
        <v>3957</v>
      </c>
      <c r="E4341" t="str">
        <f>"00066483"</f>
        <v>00066483</v>
      </c>
      <c r="F4341">
        <v>0</v>
      </c>
      <c r="G4341" s="243">
        <v>40755</v>
      </c>
      <c r="H4341" t="s">
        <v>182</v>
      </c>
      <c r="I4341">
        <v>15</v>
      </c>
      <c r="J4341">
        <v>2</v>
      </c>
      <c r="K4341">
        <v>1</v>
      </c>
      <c r="L4341">
        <v>54099</v>
      </c>
      <c r="M4341" t="str">
        <f t="shared" si="627"/>
        <v>13</v>
      </c>
      <c r="N4341" t="s">
        <v>3323</v>
      </c>
      <c r="O4341" t="str">
        <f t="shared" si="628"/>
        <v>64911</v>
      </c>
      <c r="P4341" t="str">
        <f>"2100L"</f>
        <v>2100L</v>
      </c>
      <c r="Q4341" t="str">
        <f t="shared" si="625"/>
        <v>0101</v>
      </c>
      <c r="R4341">
        <v>2100</v>
      </c>
      <c r="S4341" t="str">
        <f t="shared" si="629"/>
        <v>6490</v>
      </c>
      <c r="T4341" t="s">
        <v>3862</v>
      </c>
      <c r="U4341" t="s">
        <v>93</v>
      </c>
    </row>
    <row r="4342" spans="1:21" ht="15" customHeight="1" x14ac:dyDescent="0.3">
      <c r="A4342" t="s">
        <v>179</v>
      </c>
      <c r="B4342" t="str">
        <f>"00065872"</f>
        <v>00065872</v>
      </c>
      <c r="C4342" t="s">
        <v>4253</v>
      </c>
      <c r="D4342" t="s">
        <v>2342</v>
      </c>
      <c r="E4342" t="str">
        <f>"00053329"</f>
        <v>00053329</v>
      </c>
      <c r="F4342">
        <v>0</v>
      </c>
      <c r="G4342" s="243">
        <v>40042</v>
      </c>
      <c r="H4342" t="s">
        <v>182</v>
      </c>
      <c r="I4342">
        <v>15</v>
      </c>
      <c r="J4342">
        <v>10</v>
      </c>
      <c r="K4342">
        <v>1</v>
      </c>
      <c r="L4342">
        <v>78273</v>
      </c>
      <c r="M4342" t="str">
        <f t="shared" si="627"/>
        <v>13</v>
      </c>
      <c r="N4342" t="s">
        <v>3370</v>
      </c>
      <c r="O4342" t="str">
        <f t="shared" si="628"/>
        <v>64911</v>
      </c>
      <c r="P4342" t="str">
        <f>"2100L"</f>
        <v>2100L</v>
      </c>
      <c r="Q4342" t="str">
        <f t="shared" si="625"/>
        <v>0101</v>
      </c>
      <c r="R4342">
        <v>2100</v>
      </c>
      <c r="S4342" t="str">
        <f t="shared" si="629"/>
        <v>6490</v>
      </c>
      <c r="T4342" t="s">
        <v>3862</v>
      </c>
      <c r="U4342" t="s">
        <v>93</v>
      </c>
    </row>
    <row r="4343" spans="1:21" ht="15" customHeight="1" x14ac:dyDescent="0.3">
      <c r="A4343" t="s">
        <v>179</v>
      </c>
      <c r="B4343" t="str">
        <f>"00065873"</f>
        <v>00065873</v>
      </c>
      <c r="C4343" t="s">
        <v>4258</v>
      </c>
      <c r="D4343" t="s">
        <v>3958</v>
      </c>
      <c r="E4343" t="str">
        <f>"00065590"</f>
        <v>00065590</v>
      </c>
      <c r="F4343">
        <v>0</v>
      </c>
      <c r="G4343" s="243">
        <v>40755</v>
      </c>
      <c r="H4343" t="s">
        <v>182</v>
      </c>
      <c r="I4343">
        <v>15</v>
      </c>
      <c r="J4343">
        <v>2</v>
      </c>
      <c r="K4343">
        <v>1</v>
      </c>
      <c r="L4343">
        <v>56242</v>
      </c>
      <c r="M4343" t="str">
        <f t="shared" si="627"/>
        <v>13</v>
      </c>
      <c r="N4343" t="s">
        <v>3323</v>
      </c>
      <c r="O4343" t="str">
        <f t="shared" si="628"/>
        <v>64911</v>
      </c>
      <c r="P4343" t="str">
        <f>"2100L"</f>
        <v>2100L</v>
      </c>
      <c r="Q4343" t="str">
        <f t="shared" si="625"/>
        <v>0101</v>
      </c>
      <c r="R4343">
        <v>2100</v>
      </c>
      <c r="S4343" t="str">
        <f t="shared" si="629"/>
        <v>6490</v>
      </c>
      <c r="T4343" t="s">
        <v>3862</v>
      </c>
      <c r="U4343" t="s">
        <v>93</v>
      </c>
    </row>
    <row r="4344" spans="1:21" ht="15" customHeight="1" x14ac:dyDescent="0.3">
      <c r="A4344" t="s">
        <v>179</v>
      </c>
      <c r="B4344" t="str">
        <f>"00065874"</f>
        <v>00065874</v>
      </c>
      <c r="C4344" t="s">
        <v>4254</v>
      </c>
      <c r="D4344" t="s">
        <v>5621</v>
      </c>
      <c r="E4344" t="str">
        <f>"00014412"</f>
        <v>00014412</v>
      </c>
      <c r="F4344">
        <v>1</v>
      </c>
      <c r="G4344" s="243">
        <v>38587</v>
      </c>
      <c r="H4344" t="s">
        <v>182</v>
      </c>
      <c r="I4344">
        <v>15</v>
      </c>
      <c r="J4344">
        <v>7</v>
      </c>
      <c r="K4344">
        <v>1</v>
      </c>
      <c r="L4344">
        <v>61068</v>
      </c>
      <c r="M4344" t="str">
        <f t="shared" si="627"/>
        <v>13</v>
      </c>
      <c r="N4344" t="s">
        <v>3323</v>
      </c>
      <c r="O4344" t="str">
        <f t="shared" si="628"/>
        <v>64911</v>
      </c>
      <c r="P4344" t="str">
        <f>"2100L"</f>
        <v>2100L</v>
      </c>
      <c r="Q4344" t="str">
        <f t="shared" ref="Q4344:Q4374" si="630">"0101"</f>
        <v>0101</v>
      </c>
      <c r="R4344">
        <v>2100</v>
      </c>
      <c r="S4344" t="str">
        <f t="shared" si="629"/>
        <v>6490</v>
      </c>
      <c r="T4344" t="s">
        <v>3862</v>
      </c>
      <c r="U4344" t="s">
        <v>93</v>
      </c>
    </row>
    <row r="4345" spans="1:21" ht="15" customHeight="1" x14ac:dyDescent="0.3">
      <c r="A4345" t="s">
        <v>179</v>
      </c>
      <c r="B4345" t="str">
        <f>"00065877"</f>
        <v>00065877</v>
      </c>
      <c r="C4345" t="s">
        <v>4260</v>
      </c>
      <c r="D4345" t="s">
        <v>5622</v>
      </c>
      <c r="E4345" t="str">
        <f>"00058256"</f>
        <v>00058256</v>
      </c>
      <c r="F4345">
        <v>0</v>
      </c>
      <c r="G4345" s="243">
        <v>40065</v>
      </c>
      <c r="H4345" t="s">
        <v>182</v>
      </c>
      <c r="I4345">
        <v>15</v>
      </c>
      <c r="J4345">
        <v>1</v>
      </c>
      <c r="K4345">
        <v>1</v>
      </c>
      <c r="L4345">
        <v>54975</v>
      </c>
      <c r="M4345" t="str">
        <f t="shared" si="627"/>
        <v>13</v>
      </c>
      <c r="N4345" t="s">
        <v>3323</v>
      </c>
      <c r="O4345" t="str">
        <f t="shared" si="628"/>
        <v>64911</v>
      </c>
      <c r="P4345" t="str">
        <f>"3030L"</f>
        <v>3030L</v>
      </c>
      <c r="Q4345" t="str">
        <f t="shared" si="630"/>
        <v>0101</v>
      </c>
      <c r="R4345">
        <v>3030</v>
      </c>
      <c r="S4345" t="str">
        <f t="shared" si="629"/>
        <v>6490</v>
      </c>
      <c r="T4345" t="s">
        <v>3862</v>
      </c>
      <c r="U4345" t="s">
        <v>93</v>
      </c>
    </row>
    <row r="4346" spans="1:21" ht="15" customHeight="1" x14ac:dyDescent="0.3">
      <c r="A4346" t="s">
        <v>179</v>
      </c>
      <c r="B4346" t="str">
        <f>"00065878"</f>
        <v>00065878</v>
      </c>
      <c r="C4346" t="s">
        <v>4260</v>
      </c>
      <c r="D4346" t="s">
        <v>1145</v>
      </c>
      <c r="E4346" t="str">
        <f>"00062527"</f>
        <v>00062527</v>
      </c>
      <c r="F4346">
        <v>0</v>
      </c>
      <c r="G4346" s="243">
        <v>40406</v>
      </c>
      <c r="H4346" t="s">
        <v>182</v>
      </c>
      <c r="I4346">
        <v>15</v>
      </c>
      <c r="J4346">
        <v>3</v>
      </c>
      <c r="K4346">
        <v>1</v>
      </c>
      <c r="L4346">
        <v>58699</v>
      </c>
      <c r="M4346" t="str">
        <f t="shared" si="627"/>
        <v>13</v>
      </c>
      <c r="N4346" t="s">
        <v>3323</v>
      </c>
      <c r="O4346" t="str">
        <f t="shared" si="628"/>
        <v>64911</v>
      </c>
      <c r="P4346" t="str">
        <f>"3030L"</f>
        <v>3030L</v>
      </c>
      <c r="Q4346" t="str">
        <f t="shared" si="630"/>
        <v>0101</v>
      </c>
      <c r="R4346">
        <v>3030</v>
      </c>
      <c r="S4346" t="str">
        <f t="shared" si="629"/>
        <v>6490</v>
      </c>
      <c r="T4346" t="s">
        <v>3862</v>
      </c>
      <c r="U4346" t="s">
        <v>93</v>
      </c>
    </row>
    <row r="4347" spans="1:21" ht="15" customHeight="1" x14ac:dyDescent="0.3">
      <c r="A4347" t="s">
        <v>179</v>
      </c>
      <c r="B4347" t="str">
        <f>"00066015"</f>
        <v>00066015</v>
      </c>
      <c r="C4347" t="s">
        <v>4256</v>
      </c>
      <c r="D4347" t="s">
        <v>2400</v>
      </c>
      <c r="E4347" t="str">
        <f>"00057306"</f>
        <v>00057306</v>
      </c>
      <c r="F4347">
        <v>0</v>
      </c>
      <c r="G4347" s="243">
        <v>40042</v>
      </c>
      <c r="H4347" t="s">
        <v>182</v>
      </c>
      <c r="I4347">
        <v>15</v>
      </c>
      <c r="J4347">
        <v>4</v>
      </c>
      <c r="K4347">
        <v>1</v>
      </c>
      <c r="L4347">
        <v>61158</v>
      </c>
      <c r="M4347" t="str">
        <f t="shared" si="627"/>
        <v>13</v>
      </c>
      <c r="N4347" t="s">
        <v>3323</v>
      </c>
      <c r="O4347" t="str">
        <f t="shared" si="628"/>
        <v>64911</v>
      </c>
      <c r="P4347" t="str">
        <f>"2100L"</f>
        <v>2100L</v>
      </c>
      <c r="Q4347" t="str">
        <f t="shared" si="630"/>
        <v>0101</v>
      </c>
      <c r="R4347">
        <v>2100</v>
      </c>
      <c r="S4347" t="str">
        <f t="shared" si="629"/>
        <v>6490</v>
      </c>
      <c r="T4347" t="s">
        <v>3862</v>
      </c>
      <c r="U4347" t="s">
        <v>93</v>
      </c>
    </row>
    <row r="4348" spans="1:21" ht="15" customHeight="1" x14ac:dyDescent="0.3">
      <c r="A4348" t="s">
        <v>179</v>
      </c>
      <c r="B4348" t="str">
        <f>"00066898"</f>
        <v>00066898</v>
      </c>
      <c r="C4348" t="s">
        <v>4262</v>
      </c>
      <c r="D4348" t="s">
        <v>3959</v>
      </c>
      <c r="E4348" t="str">
        <f>"00065633"</f>
        <v>00065633</v>
      </c>
      <c r="F4348">
        <v>0</v>
      </c>
      <c r="G4348" s="243">
        <v>40755</v>
      </c>
      <c r="H4348" t="s">
        <v>182</v>
      </c>
      <c r="I4348">
        <v>15</v>
      </c>
      <c r="J4348">
        <v>7</v>
      </c>
      <c r="K4348">
        <v>1</v>
      </c>
      <c r="L4348">
        <v>69132</v>
      </c>
      <c r="M4348" t="str">
        <f t="shared" si="627"/>
        <v>13</v>
      </c>
      <c r="N4348" t="s">
        <v>3323</v>
      </c>
      <c r="O4348" t="str">
        <f t="shared" si="628"/>
        <v>64911</v>
      </c>
      <c r="P4348" t="str">
        <f>"2100L"</f>
        <v>2100L</v>
      </c>
      <c r="Q4348" t="str">
        <f t="shared" si="630"/>
        <v>0101</v>
      </c>
      <c r="R4348">
        <v>2100</v>
      </c>
      <c r="S4348" t="str">
        <f t="shared" si="629"/>
        <v>6490</v>
      </c>
      <c r="T4348" t="s">
        <v>3862</v>
      </c>
      <c r="U4348" t="s">
        <v>93</v>
      </c>
    </row>
    <row r="4349" spans="1:21" ht="15" customHeight="1" x14ac:dyDescent="0.3">
      <c r="A4349" t="s">
        <v>179</v>
      </c>
      <c r="B4349" t="str">
        <f>"00066899"</f>
        <v>00066899</v>
      </c>
      <c r="C4349" t="s">
        <v>4262</v>
      </c>
      <c r="D4349" t="s">
        <v>3582</v>
      </c>
      <c r="E4349" t="str">
        <f>"00067431"</f>
        <v>00067431</v>
      </c>
      <c r="F4349">
        <v>0</v>
      </c>
      <c r="G4349" s="243">
        <v>40911</v>
      </c>
      <c r="H4349" t="s">
        <v>182</v>
      </c>
      <c r="I4349">
        <v>15</v>
      </c>
      <c r="J4349">
        <v>1</v>
      </c>
      <c r="K4349">
        <v>1</v>
      </c>
      <c r="L4349">
        <v>51539</v>
      </c>
      <c r="M4349" t="str">
        <f t="shared" si="627"/>
        <v>13</v>
      </c>
      <c r="N4349" t="s">
        <v>3370</v>
      </c>
      <c r="O4349" t="str">
        <f t="shared" si="628"/>
        <v>64911</v>
      </c>
      <c r="P4349" t="str">
        <f>"2100L"</f>
        <v>2100L</v>
      </c>
      <c r="Q4349" t="str">
        <f t="shared" si="630"/>
        <v>0101</v>
      </c>
      <c r="R4349">
        <v>2100</v>
      </c>
      <c r="S4349" t="str">
        <f t="shared" si="629"/>
        <v>6490</v>
      </c>
      <c r="T4349" t="s">
        <v>3862</v>
      </c>
      <c r="U4349" t="s">
        <v>93</v>
      </c>
    </row>
    <row r="4350" spans="1:21" ht="15" customHeight="1" x14ac:dyDescent="0.3">
      <c r="A4350" t="s">
        <v>179</v>
      </c>
      <c r="B4350" t="str">
        <f>"00066900"</f>
        <v>00066900</v>
      </c>
      <c r="C4350" t="s">
        <v>4253</v>
      </c>
      <c r="D4350" t="s">
        <v>4028</v>
      </c>
      <c r="E4350" t="str">
        <f>"00065174"</f>
        <v>00065174</v>
      </c>
      <c r="F4350">
        <v>0</v>
      </c>
      <c r="G4350" s="243">
        <v>40705</v>
      </c>
      <c r="H4350" t="s">
        <v>182</v>
      </c>
      <c r="I4350">
        <v>15</v>
      </c>
      <c r="J4350">
        <v>10</v>
      </c>
      <c r="K4350">
        <v>1</v>
      </c>
      <c r="L4350">
        <v>78273</v>
      </c>
      <c r="M4350" t="str">
        <f t="shared" si="627"/>
        <v>13</v>
      </c>
      <c r="N4350" t="s">
        <v>3370</v>
      </c>
      <c r="O4350" t="str">
        <f t="shared" si="628"/>
        <v>64911</v>
      </c>
      <c r="P4350" t="str">
        <f>"2100L"</f>
        <v>2100L</v>
      </c>
      <c r="Q4350" t="str">
        <f t="shared" si="630"/>
        <v>0101</v>
      </c>
      <c r="R4350">
        <v>2100</v>
      </c>
      <c r="S4350" t="str">
        <f t="shared" si="629"/>
        <v>6490</v>
      </c>
      <c r="T4350" t="s">
        <v>3862</v>
      </c>
      <c r="U4350" t="s">
        <v>93</v>
      </c>
    </row>
    <row r="4351" spans="1:21" ht="15" customHeight="1" x14ac:dyDescent="0.3">
      <c r="A4351" t="s">
        <v>179</v>
      </c>
      <c r="B4351" t="str">
        <f>"00066901"</f>
        <v>00066901</v>
      </c>
      <c r="C4351" t="s">
        <v>4253</v>
      </c>
      <c r="D4351" t="s">
        <v>2403</v>
      </c>
      <c r="E4351" t="str">
        <f>"00063352"</f>
        <v>00063352</v>
      </c>
      <c r="F4351">
        <v>0</v>
      </c>
      <c r="G4351" s="243">
        <v>40406</v>
      </c>
      <c r="H4351" t="s">
        <v>182</v>
      </c>
      <c r="I4351">
        <v>15</v>
      </c>
      <c r="J4351">
        <v>3</v>
      </c>
      <c r="K4351">
        <v>1</v>
      </c>
      <c r="L4351">
        <v>52777</v>
      </c>
      <c r="M4351" t="str">
        <f t="shared" si="627"/>
        <v>13</v>
      </c>
      <c r="N4351" t="s">
        <v>3323</v>
      </c>
      <c r="O4351" t="str">
        <f t="shared" si="628"/>
        <v>64911</v>
      </c>
      <c r="P4351" t="str">
        <f>"2100L"</f>
        <v>2100L</v>
      </c>
      <c r="Q4351" t="str">
        <f t="shared" si="630"/>
        <v>0101</v>
      </c>
      <c r="R4351">
        <v>2100</v>
      </c>
      <c r="S4351" t="str">
        <f t="shared" si="629"/>
        <v>6490</v>
      </c>
      <c r="T4351" t="s">
        <v>3862</v>
      </c>
      <c r="U4351" t="s">
        <v>93</v>
      </c>
    </row>
    <row r="4352" spans="1:21" ht="15" customHeight="1" x14ac:dyDescent="0.3">
      <c r="A4352" t="s">
        <v>179</v>
      </c>
      <c r="B4352" t="str">
        <f>"00067114"</f>
        <v>00067114</v>
      </c>
      <c r="C4352" t="s">
        <v>4306</v>
      </c>
      <c r="D4352" t="s">
        <v>5623</v>
      </c>
      <c r="E4352" t="str">
        <f>"00049852"</f>
        <v>00049852</v>
      </c>
      <c r="F4352">
        <v>0</v>
      </c>
      <c r="G4352" s="243">
        <v>40770</v>
      </c>
      <c r="H4352" t="s">
        <v>182</v>
      </c>
      <c r="I4352">
        <v>9</v>
      </c>
      <c r="J4352">
        <v>7</v>
      </c>
      <c r="K4352">
        <v>1</v>
      </c>
      <c r="L4352">
        <v>39541</v>
      </c>
      <c r="M4352" t="str">
        <f t="shared" si="627"/>
        <v>13</v>
      </c>
      <c r="N4352" t="s">
        <v>3323</v>
      </c>
      <c r="O4352" t="str">
        <f t="shared" si="628"/>
        <v>64911</v>
      </c>
      <c r="P4352" t="str">
        <f>"1502L"</f>
        <v>1502L</v>
      </c>
      <c r="Q4352" t="str">
        <f t="shared" si="630"/>
        <v>0101</v>
      </c>
      <c r="R4352">
        <v>1502</v>
      </c>
      <c r="S4352" t="str">
        <f t="shared" si="629"/>
        <v>6490</v>
      </c>
      <c r="T4352" t="s">
        <v>3862</v>
      </c>
      <c r="U4352" t="s">
        <v>93</v>
      </c>
    </row>
    <row r="4353" spans="1:21" ht="15" customHeight="1" x14ac:dyDescent="0.3">
      <c r="A4353" t="s">
        <v>179</v>
      </c>
      <c r="B4353" t="str">
        <f>"00067372"</f>
        <v>00067372</v>
      </c>
      <c r="C4353" t="s">
        <v>4290</v>
      </c>
      <c r="D4353" t="s">
        <v>5624</v>
      </c>
      <c r="E4353" t="str">
        <f>"00060822"</f>
        <v>00060822</v>
      </c>
      <c r="F4353">
        <v>0</v>
      </c>
      <c r="G4353" s="243">
        <v>40283</v>
      </c>
      <c r="H4353" t="s">
        <v>182</v>
      </c>
      <c r="I4353">
        <v>4</v>
      </c>
      <c r="J4353">
        <v>5</v>
      </c>
      <c r="K4353">
        <v>1</v>
      </c>
      <c r="L4353">
        <v>25239.37</v>
      </c>
      <c r="M4353" t="str">
        <f t="shared" si="627"/>
        <v>13</v>
      </c>
      <c r="N4353" t="s">
        <v>3323</v>
      </c>
      <c r="O4353" t="str">
        <f t="shared" si="628"/>
        <v>64911</v>
      </c>
      <c r="P4353" t="str">
        <f>"2100L"</f>
        <v>2100L</v>
      </c>
      <c r="Q4353" t="str">
        <f t="shared" si="630"/>
        <v>0101</v>
      </c>
      <c r="R4353">
        <v>2100</v>
      </c>
      <c r="S4353" t="str">
        <f t="shared" si="629"/>
        <v>6490</v>
      </c>
      <c r="T4353" t="s">
        <v>3862</v>
      </c>
      <c r="U4353" t="s">
        <v>93</v>
      </c>
    </row>
    <row r="4354" spans="1:21" ht="15" customHeight="1" x14ac:dyDescent="0.3">
      <c r="A4354" t="s">
        <v>179</v>
      </c>
      <c r="B4354" t="str">
        <f>"00067373"</f>
        <v>00067373</v>
      </c>
      <c r="C4354" t="s">
        <v>4290</v>
      </c>
      <c r="D4354" t="s">
        <v>5625</v>
      </c>
      <c r="E4354" t="str">
        <f>"00027227"</f>
        <v>00027227</v>
      </c>
      <c r="F4354">
        <v>0</v>
      </c>
      <c r="G4354" s="243">
        <v>40952</v>
      </c>
      <c r="H4354" t="s">
        <v>182</v>
      </c>
      <c r="I4354">
        <v>4</v>
      </c>
      <c r="J4354">
        <v>8</v>
      </c>
      <c r="K4354">
        <v>1</v>
      </c>
      <c r="L4354">
        <v>27329.75</v>
      </c>
      <c r="M4354" t="str">
        <f t="shared" si="627"/>
        <v>13</v>
      </c>
      <c r="N4354" t="s">
        <v>3323</v>
      </c>
      <c r="O4354" t="str">
        <f t="shared" si="628"/>
        <v>64911</v>
      </c>
      <c r="P4354" t="str">
        <f>"3030L"</f>
        <v>3030L</v>
      </c>
      <c r="Q4354" t="str">
        <f t="shared" si="630"/>
        <v>0101</v>
      </c>
      <c r="R4354">
        <v>3030</v>
      </c>
      <c r="S4354" t="str">
        <f t="shared" si="629"/>
        <v>6490</v>
      </c>
      <c r="T4354" t="s">
        <v>3862</v>
      </c>
      <c r="U4354" t="s">
        <v>93</v>
      </c>
    </row>
    <row r="4355" spans="1:21" ht="15" customHeight="1" x14ac:dyDescent="0.3">
      <c r="A4355" t="s">
        <v>179</v>
      </c>
      <c r="B4355" t="str">
        <f>"00067649"</f>
        <v>00067649</v>
      </c>
      <c r="C4355" t="s">
        <v>4253</v>
      </c>
      <c r="D4355" t="s">
        <v>3960</v>
      </c>
      <c r="E4355" t="str">
        <f>"00065902"</f>
        <v>00065902</v>
      </c>
      <c r="F4355">
        <v>0</v>
      </c>
      <c r="G4355" s="243">
        <v>40755</v>
      </c>
      <c r="H4355" t="s">
        <v>182</v>
      </c>
      <c r="I4355">
        <v>15</v>
      </c>
      <c r="J4355">
        <v>7</v>
      </c>
      <c r="K4355">
        <v>1</v>
      </c>
      <c r="L4355">
        <v>61068</v>
      </c>
      <c r="M4355" t="str">
        <f t="shared" si="627"/>
        <v>13</v>
      </c>
      <c r="N4355" t="s">
        <v>3323</v>
      </c>
      <c r="O4355" t="str">
        <f t="shared" si="628"/>
        <v>64911</v>
      </c>
      <c r="P4355" t="str">
        <f>"2100L"</f>
        <v>2100L</v>
      </c>
      <c r="Q4355" t="str">
        <f t="shared" si="630"/>
        <v>0101</v>
      </c>
      <c r="R4355">
        <v>2100</v>
      </c>
      <c r="S4355" t="str">
        <f t="shared" si="629"/>
        <v>6490</v>
      </c>
      <c r="T4355" t="s">
        <v>3862</v>
      </c>
      <c r="U4355" t="s">
        <v>93</v>
      </c>
    </row>
    <row r="4356" spans="1:21" ht="15" customHeight="1" x14ac:dyDescent="0.3">
      <c r="A4356" t="s">
        <v>179</v>
      </c>
      <c r="B4356" t="str">
        <f>"00071421"</f>
        <v>00071421</v>
      </c>
      <c r="C4356" t="s">
        <v>4387</v>
      </c>
      <c r="D4356" t="s">
        <v>2405</v>
      </c>
      <c r="E4356" t="str">
        <f>"00063257"</f>
        <v>00063257</v>
      </c>
      <c r="F4356">
        <v>0</v>
      </c>
      <c r="G4356" s="243">
        <v>40428</v>
      </c>
      <c r="H4356" t="s">
        <v>182</v>
      </c>
      <c r="I4356">
        <v>10</v>
      </c>
      <c r="J4356">
        <v>9</v>
      </c>
      <c r="K4356">
        <v>1</v>
      </c>
      <c r="L4356">
        <v>84226</v>
      </c>
      <c r="M4356" t="str">
        <f t="shared" si="627"/>
        <v>13</v>
      </c>
      <c r="N4356" t="s">
        <v>3370</v>
      </c>
      <c r="O4356" t="str">
        <f t="shared" si="628"/>
        <v>64911</v>
      </c>
      <c r="P4356" t="str">
        <f>"2100L"</f>
        <v>2100L</v>
      </c>
      <c r="Q4356" t="str">
        <f t="shared" si="630"/>
        <v>0101</v>
      </c>
      <c r="R4356">
        <v>2100</v>
      </c>
      <c r="S4356" t="str">
        <f t="shared" si="629"/>
        <v>6490</v>
      </c>
      <c r="T4356" t="s">
        <v>3862</v>
      </c>
      <c r="U4356" t="s">
        <v>93</v>
      </c>
    </row>
    <row r="4357" spans="1:21" ht="15" customHeight="1" x14ac:dyDescent="0.3">
      <c r="A4357" t="s">
        <v>179</v>
      </c>
      <c r="B4357" t="str">
        <f>"00071986"</f>
        <v>00071986</v>
      </c>
      <c r="C4357" t="s">
        <v>5495</v>
      </c>
      <c r="H4357" t="s">
        <v>170</v>
      </c>
      <c r="I4357">
        <v>8</v>
      </c>
      <c r="J4357">
        <v>1</v>
      </c>
      <c r="K4357">
        <v>1</v>
      </c>
      <c r="L4357">
        <v>82397</v>
      </c>
      <c r="M4357" t="str">
        <f t="shared" si="627"/>
        <v>13</v>
      </c>
      <c r="N4357" t="s">
        <v>3370</v>
      </c>
      <c r="O4357" t="str">
        <f t="shared" si="628"/>
        <v>64911</v>
      </c>
      <c r="P4357" t="str">
        <f>"1501L"</f>
        <v>1501L</v>
      </c>
      <c r="Q4357" t="str">
        <f t="shared" si="630"/>
        <v>0101</v>
      </c>
      <c r="R4357">
        <v>1501</v>
      </c>
      <c r="S4357" t="str">
        <f t="shared" si="629"/>
        <v>6490</v>
      </c>
      <c r="T4357" t="s">
        <v>3862</v>
      </c>
      <c r="U4357" t="s">
        <v>93</v>
      </c>
    </row>
    <row r="4358" spans="1:21" ht="15" customHeight="1" x14ac:dyDescent="0.3">
      <c r="A4358" t="s">
        <v>179</v>
      </c>
      <c r="B4358" t="str">
        <f>"00072231"</f>
        <v>00072231</v>
      </c>
      <c r="C4358" t="s">
        <v>4253</v>
      </c>
      <c r="D4358" t="s">
        <v>3961</v>
      </c>
      <c r="E4358" t="str">
        <f>"00065656"</f>
        <v>00065656</v>
      </c>
      <c r="F4358">
        <v>0</v>
      </c>
      <c r="G4358" s="243">
        <v>40755</v>
      </c>
      <c r="H4358" t="s">
        <v>182</v>
      </c>
      <c r="I4358">
        <v>15</v>
      </c>
      <c r="J4358">
        <v>5</v>
      </c>
      <c r="K4358">
        <v>1</v>
      </c>
      <c r="L4358">
        <v>63611</v>
      </c>
      <c r="M4358" t="str">
        <f t="shared" si="627"/>
        <v>13</v>
      </c>
      <c r="N4358" t="s">
        <v>3323</v>
      </c>
      <c r="O4358" t="str">
        <f t="shared" si="628"/>
        <v>64911</v>
      </c>
      <c r="P4358" t="str">
        <f t="shared" ref="P4358:P4363" si="631">"2100L"</f>
        <v>2100L</v>
      </c>
      <c r="Q4358" t="str">
        <f t="shared" si="630"/>
        <v>0101</v>
      </c>
      <c r="R4358">
        <v>2100</v>
      </c>
      <c r="S4358" t="str">
        <f t="shared" si="629"/>
        <v>6490</v>
      </c>
      <c r="T4358" t="s">
        <v>3862</v>
      </c>
      <c r="U4358" t="s">
        <v>93</v>
      </c>
    </row>
    <row r="4359" spans="1:21" ht="15" customHeight="1" x14ac:dyDescent="0.3">
      <c r="A4359" t="s">
        <v>179</v>
      </c>
      <c r="B4359" t="str">
        <f>"00072349"</f>
        <v>00072349</v>
      </c>
      <c r="C4359" t="s">
        <v>200</v>
      </c>
      <c r="D4359" t="s">
        <v>5626</v>
      </c>
      <c r="E4359" t="str">
        <f>"00056838"</f>
        <v>00056838</v>
      </c>
      <c r="F4359">
        <v>0</v>
      </c>
      <c r="G4359" s="243">
        <v>40784</v>
      </c>
      <c r="H4359" t="s">
        <v>182</v>
      </c>
      <c r="I4359">
        <v>15</v>
      </c>
      <c r="J4359">
        <v>6</v>
      </c>
      <c r="K4359">
        <v>1</v>
      </c>
      <c r="L4359">
        <v>66078</v>
      </c>
      <c r="M4359" t="str">
        <f t="shared" si="627"/>
        <v>13</v>
      </c>
      <c r="N4359" t="s">
        <v>3323</v>
      </c>
      <c r="O4359" t="str">
        <f t="shared" si="628"/>
        <v>64911</v>
      </c>
      <c r="P4359" t="str">
        <f t="shared" si="631"/>
        <v>2100L</v>
      </c>
      <c r="Q4359" t="str">
        <f t="shared" si="630"/>
        <v>0101</v>
      </c>
      <c r="R4359">
        <v>2100</v>
      </c>
      <c r="S4359" t="str">
        <f t="shared" si="629"/>
        <v>6490</v>
      </c>
      <c r="T4359" t="s">
        <v>3862</v>
      </c>
      <c r="U4359" t="s">
        <v>93</v>
      </c>
    </row>
    <row r="4360" spans="1:21" ht="15" customHeight="1" x14ac:dyDescent="0.3">
      <c r="A4360" t="s">
        <v>179</v>
      </c>
      <c r="B4360" t="str">
        <f>"00073763"</f>
        <v>00073763</v>
      </c>
      <c r="C4360" t="s">
        <v>200</v>
      </c>
      <c r="D4360" t="s">
        <v>3413</v>
      </c>
      <c r="E4360" t="str">
        <f>"00045439"</f>
        <v>00045439</v>
      </c>
      <c r="F4360">
        <v>0</v>
      </c>
      <c r="G4360" s="243">
        <v>36689</v>
      </c>
      <c r="H4360" t="s">
        <v>182</v>
      </c>
      <c r="I4360">
        <v>15</v>
      </c>
      <c r="J4360">
        <v>9</v>
      </c>
      <c r="K4360">
        <v>0.5</v>
      </c>
      <c r="L4360">
        <v>75232</v>
      </c>
      <c r="M4360" t="str">
        <f t="shared" si="627"/>
        <v>13</v>
      </c>
      <c r="N4360" t="s">
        <v>3323</v>
      </c>
      <c r="O4360" t="str">
        <f t="shared" si="628"/>
        <v>64911</v>
      </c>
      <c r="P4360" t="str">
        <f t="shared" si="631"/>
        <v>2100L</v>
      </c>
      <c r="Q4360" t="str">
        <f t="shared" si="630"/>
        <v>0101</v>
      </c>
      <c r="R4360">
        <v>2100</v>
      </c>
      <c r="S4360" t="str">
        <f t="shared" si="629"/>
        <v>6490</v>
      </c>
      <c r="T4360" t="s">
        <v>3412</v>
      </c>
      <c r="U4360" t="s">
        <v>606</v>
      </c>
    </row>
    <row r="4361" spans="1:21" ht="15" customHeight="1" x14ac:dyDescent="0.3">
      <c r="A4361" t="s">
        <v>179</v>
      </c>
      <c r="B4361" t="str">
        <f>"00074420"</f>
        <v>00074420</v>
      </c>
      <c r="C4361" t="s">
        <v>4263</v>
      </c>
      <c r="D4361" t="s">
        <v>5627</v>
      </c>
      <c r="E4361" t="str">
        <f>"00069823"</f>
        <v>00069823</v>
      </c>
      <c r="F4361">
        <v>0</v>
      </c>
      <c r="G4361" s="243">
        <v>41133</v>
      </c>
      <c r="H4361" t="s">
        <v>182</v>
      </c>
      <c r="I4361">
        <v>15</v>
      </c>
      <c r="J4361">
        <v>1</v>
      </c>
      <c r="K4361">
        <v>1</v>
      </c>
      <c r="L4361">
        <v>51539</v>
      </c>
      <c r="M4361" t="str">
        <f t="shared" si="627"/>
        <v>13</v>
      </c>
      <c r="N4361" t="s">
        <v>3370</v>
      </c>
      <c r="O4361" t="str">
        <f t="shared" si="628"/>
        <v>64911</v>
      </c>
      <c r="P4361" t="str">
        <f t="shared" si="631"/>
        <v>2100L</v>
      </c>
      <c r="Q4361" t="str">
        <f t="shared" si="630"/>
        <v>0101</v>
      </c>
      <c r="R4361">
        <v>2100</v>
      </c>
      <c r="S4361" t="str">
        <f t="shared" si="629"/>
        <v>6490</v>
      </c>
      <c r="T4361" t="s">
        <v>3862</v>
      </c>
      <c r="U4361" t="s">
        <v>93</v>
      </c>
    </row>
    <row r="4362" spans="1:21" ht="15" customHeight="1" x14ac:dyDescent="0.3">
      <c r="A4362" t="s">
        <v>179</v>
      </c>
      <c r="B4362" t="str">
        <f>"00074421"</f>
        <v>00074421</v>
      </c>
      <c r="C4362" t="s">
        <v>4253</v>
      </c>
      <c r="D4362" t="s">
        <v>662</v>
      </c>
      <c r="E4362" t="str">
        <f>"00048822"</f>
        <v>00048822</v>
      </c>
      <c r="F4362">
        <v>0</v>
      </c>
      <c r="G4362" s="243">
        <v>34941</v>
      </c>
      <c r="H4362" t="s">
        <v>182</v>
      </c>
      <c r="I4362">
        <v>15</v>
      </c>
      <c r="J4362">
        <v>14</v>
      </c>
      <c r="K4362">
        <v>1</v>
      </c>
      <c r="L4362">
        <v>96460</v>
      </c>
      <c r="M4362" t="str">
        <f t="shared" si="627"/>
        <v>13</v>
      </c>
      <c r="N4362" t="s">
        <v>3370</v>
      </c>
      <c r="O4362" t="str">
        <f t="shared" si="628"/>
        <v>64911</v>
      </c>
      <c r="P4362" t="str">
        <f t="shared" si="631"/>
        <v>2100L</v>
      </c>
      <c r="Q4362" t="str">
        <f t="shared" si="630"/>
        <v>0101</v>
      </c>
      <c r="R4362">
        <v>2100</v>
      </c>
      <c r="S4362" t="str">
        <f t="shared" si="629"/>
        <v>6490</v>
      </c>
      <c r="T4362" t="s">
        <v>3862</v>
      </c>
      <c r="U4362" t="s">
        <v>93</v>
      </c>
    </row>
    <row r="4363" spans="1:21" ht="15" customHeight="1" x14ac:dyDescent="0.3">
      <c r="A4363" t="s">
        <v>179</v>
      </c>
      <c r="B4363" t="str">
        <f>"00075178"</f>
        <v>00075178</v>
      </c>
      <c r="C4363" t="s">
        <v>4253</v>
      </c>
      <c r="D4363" t="s">
        <v>3962</v>
      </c>
      <c r="E4363" t="str">
        <f>"00067444"</f>
        <v>00067444</v>
      </c>
      <c r="F4363">
        <v>0</v>
      </c>
      <c r="G4363" s="243">
        <v>40911</v>
      </c>
      <c r="H4363" t="s">
        <v>182</v>
      </c>
      <c r="I4363">
        <v>15</v>
      </c>
      <c r="J4363">
        <v>1</v>
      </c>
      <c r="K4363">
        <v>1</v>
      </c>
      <c r="L4363">
        <v>51539</v>
      </c>
      <c r="M4363" t="str">
        <f t="shared" si="627"/>
        <v>13</v>
      </c>
      <c r="N4363" t="s">
        <v>3323</v>
      </c>
      <c r="O4363" t="str">
        <f t="shared" si="628"/>
        <v>64911</v>
      </c>
      <c r="P4363" t="str">
        <f t="shared" si="631"/>
        <v>2100L</v>
      </c>
      <c r="Q4363" t="str">
        <f t="shared" si="630"/>
        <v>0101</v>
      </c>
      <c r="R4363">
        <v>2100</v>
      </c>
      <c r="S4363" t="str">
        <f t="shared" si="629"/>
        <v>6490</v>
      </c>
      <c r="T4363" t="s">
        <v>3862</v>
      </c>
      <c r="U4363" t="s">
        <v>93</v>
      </c>
    </row>
    <row r="4364" spans="1:21" ht="15" customHeight="1" x14ac:dyDescent="0.3">
      <c r="A4364" t="s">
        <v>179</v>
      </c>
      <c r="B4364" t="str">
        <f>"00075203"</f>
        <v>00075203</v>
      </c>
      <c r="C4364" t="s">
        <v>4253</v>
      </c>
      <c r="D4364" t="s">
        <v>5628</v>
      </c>
      <c r="E4364" t="str">
        <f>"00068270"</f>
        <v>00068270</v>
      </c>
      <c r="F4364">
        <v>0</v>
      </c>
      <c r="G4364" s="243">
        <v>41022</v>
      </c>
      <c r="H4364" t="s">
        <v>182</v>
      </c>
      <c r="I4364">
        <v>15</v>
      </c>
      <c r="J4364">
        <v>1</v>
      </c>
      <c r="K4364">
        <v>1</v>
      </c>
      <c r="L4364">
        <v>51539</v>
      </c>
      <c r="M4364" t="str">
        <f t="shared" si="627"/>
        <v>13</v>
      </c>
      <c r="N4364" t="s">
        <v>3323</v>
      </c>
      <c r="O4364" t="str">
        <f t="shared" si="628"/>
        <v>64911</v>
      </c>
      <c r="P4364" t="str">
        <f>"3030L"</f>
        <v>3030L</v>
      </c>
      <c r="Q4364" t="str">
        <f t="shared" si="630"/>
        <v>0101</v>
      </c>
      <c r="R4364">
        <v>3030</v>
      </c>
      <c r="S4364" t="str">
        <f t="shared" si="629"/>
        <v>6490</v>
      </c>
      <c r="T4364" t="s">
        <v>3862</v>
      </c>
      <c r="U4364" t="s">
        <v>93</v>
      </c>
    </row>
    <row r="4365" spans="1:21" ht="15" customHeight="1" x14ac:dyDescent="0.3">
      <c r="A4365" t="s">
        <v>179</v>
      </c>
      <c r="B4365" t="str">
        <f>"00075566"</f>
        <v>00075566</v>
      </c>
      <c r="C4365" t="s">
        <v>3670</v>
      </c>
      <c r="D4365" t="s">
        <v>2401</v>
      </c>
      <c r="E4365" t="str">
        <f>"00014976"</f>
        <v>00014976</v>
      </c>
      <c r="F4365">
        <v>0</v>
      </c>
      <c r="G4365" s="243">
        <v>40042</v>
      </c>
      <c r="H4365" t="s">
        <v>182</v>
      </c>
      <c r="I4365">
        <v>8</v>
      </c>
      <c r="J4365">
        <v>1</v>
      </c>
      <c r="K4365">
        <v>1</v>
      </c>
      <c r="L4365">
        <v>82397</v>
      </c>
      <c r="M4365" t="str">
        <f t="shared" si="627"/>
        <v>13</v>
      </c>
      <c r="N4365" t="s">
        <v>3370</v>
      </c>
      <c r="O4365" t="str">
        <f t="shared" si="628"/>
        <v>64911</v>
      </c>
      <c r="P4365" t="str">
        <f>"1501L"</f>
        <v>1501L</v>
      </c>
      <c r="Q4365" t="str">
        <f t="shared" si="630"/>
        <v>0101</v>
      </c>
      <c r="R4365">
        <v>1501</v>
      </c>
      <c r="S4365" t="str">
        <f t="shared" si="629"/>
        <v>6490</v>
      </c>
      <c r="T4365" t="s">
        <v>3862</v>
      </c>
      <c r="U4365" t="s">
        <v>93</v>
      </c>
    </row>
    <row r="4366" spans="1:21" ht="15" customHeight="1" x14ac:dyDescent="0.3">
      <c r="A4366" t="s">
        <v>179</v>
      </c>
      <c r="B4366" t="str">
        <f>"00076334"</f>
        <v>00076334</v>
      </c>
      <c r="C4366" t="s">
        <v>4271</v>
      </c>
      <c r="D4366" t="s">
        <v>5629</v>
      </c>
      <c r="E4366" t="str">
        <f>"00044929"</f>
        <v>00044929</v>
      </c>
      <c r="F4366">
        <v>0</v>
      </c>
      <c r="G4366" s="243">
        <v>40768</v>
      </c>
      <c r="H4366" t="s">
        <v>182</v>
      </c>
      <c r="I4366">
        <v>15</v>
      </c>
      <c r="J4366">
        <v>14</v>
      </c>
      <c r="K4366">
        <v>0.5</v>
      </c>
      <c r="L4366">
        <v>98967</v>
      </c>
      <c r="M4366" t="str">
        <f t="shared" si="627"/>
        <v>13</v>
      </c>
      <c r="N4366" t="s">
        <v>3323</v>
      </c>
      <c r="O4366" t="str">
        <f t="shared" si="628"/>
        <v>64911</v>
      </c>
      <c r="P4366" t="str">
        <f>"2100L"</f>
        <v>2100L</v>
      </c>
      <c r="Q4366" t="str">
        <f t="shared" si="630"/>
        <v>0101</v>
      </c>
      <c r="R4366">
        <v>2100</v>
      </c>
      <c r="S4366" t="str">
        <f t="shared" si="629"/>
        <v>6490</v>
      </c>
      <c r="T4366" t="s">
        <v>3862</v>
      </c>
      <c r="U4366" t="s">
        <v>93</v>
      </c>
    </row>
    <row r="4367" spans="1:21" ht="15" customHeight="1" x14ac:dyDescent="0.3">
      <c r="A4367" t="s">
        <v>179</v>
      </c>
      <c r="B4367" t="str">
        <f>"00076562"</f>
        <v>00076562</v>
      </c>
      <c r="C4367" t="s">
        <v>4341</v>
      </c>
      <c r="H4367" t="s">
        <v>170</v>
      </c>
      <c r="I4367">
        <v>10</v>
      </c>
      <c r="J4367">
        <v>0</v>
      </c>
      <c r="K4367">
        <v>1</v>
      </c>
      <c r="L4367">
        <v>62794</v>
      </c>
      <c r="M4367" t="str">
        <f t="shared" si="627"/>
        <v>13</v>
      </c>
      <c r="N4367" t="s">
        <v>3323</v>
      </c>
      <c r="O4367" t="str">
        <f t="shared" si="628"/>
        <v>64911</v>
      </c>
      <c r="P4367" t="str">
        <f>"3030L"</f>
        <v>3030L</v>
      </c>
      <c r="Q4367" t="str">
        <f t="shared" si="630"/>
        <v>0101</v>
      </c>
      <c r="R4367">
        <v>3030</v>
      </c>
      <c r="S4367" t="str">
        <f t="shared" si="629"/>
        <v>6490</v>
      </c>
      <c r="T4367" t="s">
        <v>3862</v>
      </c>
      <c r="U4367" t="s">
        <v>93</v>
      </c>
    </row>
    <row r="4368" spans="1:21" ht="15" customHeight="1" x14ac:dyDescent="0.3">
      <c r="A4368" t="s">
        <v>179</v>
      </c>
      <c r="B4368" t="str">
        <f>"00076563"</f>
        <v>00076563</v>
      </c>
      <c r="C4368" t="s">
        <v>4253</v>
      </c>
      <c r="D4368" t="s">
        <v>5630</v>
      </c>
      <c r="E4368" t="str">
        <f>"00066056"</f>
        <v>00066056</v>
      </c>
      <c r="F4368">
        <v>0</v>
      </c>
      <c r="G4368" s="243">
        <v>40770</v>
      </c>
      <c r="H4368" t="s">
        <v>182</v>
      </c>
      <c r="I4368">
        <v>15</v>
      </c>
      <c r="J4368">
        <v>1</v>
      </c>
      <c r="K4368">
        <v>1</v>
      </c>
      <c r="L4368">
        <v>51539</v>
      </c>
      <c r="M4368" t="str">
        <f t="shared" si="627"/>
        <v>13</v>
      </c>
      <c r="N4368" t="s">
        <v>3370</v>
      </c>
      <c r="O4368" t="str">
        <f t="shared" si="628"/>
        <v>64911</v>
      </c>
      <c r="P4368" t="str">
        <f>"3030L"</f>
        <v>3030L</v>
      </c>
      <c r="Q4368" t="str">
        <f t="shared" si="630"/>
        <v>0101</v>
      </c>
      <c r="R4368">
        <v>3030</v>
      </c>
      <c r="S4368" t="str">
        <f t="shared" si="629"/>
        <v>6490</v>
      </c>
      <c r="T4368" t="s">
        <v>3862</v>
      </c>
      <c r="U4368" t="s">
        <v>93</v>
      </c>
    </row>
    <row r="4369" spans="1:21" ht="15" customHeight="1" x14ac:dyDescent="0.3">
      <c r="A4369" t="s">
        <v>179</v>
      </c>
      <c r="B4369" t="str">
        <f>"00051782"</f>
        <v>00051782</v>
      </c>
      <c r="C4369" t="s">
        <v>4252</v>
      </c>
      <c r="H4369" t="s">
        <v>170</v>
      </c>
      <c r="I4369">
        <v>15</v>
      </c>
      <c r="J4369">
        <v>1</v>
      </c>
      <c r="K4369">
        <v>1</v>
      </c>
      <c r="L4369">
        <v>54975</v>
      </c>
      <c r="M4369" t="str">
        <f t="shared" si="627"/>
        <v>13</v>
      </c>
      <c r="N4369" t="s">
        <v>3323</v>
      </c>
      <c r="O4369" t="str">
        <f t="shared" ref="O4369:O4397" si="632">"65011"</f>
        <v>65011</v>
      </c>
      <c r="P4369" t="str">
        <f t="shared" ref="P4369:P4378" si="633">"2100L"</f>
        <v>2100L</v>
      </c>
      <c r="Q4369" t="str">
        <f t="shared" si="630"/>
        <v>0101</v>
      </c>
      <c r="R4369">
        <v>2100</v>
      </c>
      <c r="S4369" t="str">
        <f t="shared" ref="S4369:S4397" si="634">"6500"</f>
        <v>6500</v>
      </c>
      <c r="T4369" t="s">
        <v>3966</v>
      </c>
      <c r="U4369" t="s">
        <v>94</v>
      </c>
    </row>
    <row r="4370" spans="1:21" ht="15" customHeight="1" x14ac:dyDescent="0.3">
      <c r="A4370" t="s">
        <v>179</v>
      </c>
      <c r="B4370" t="str">
        <f>"00051964"</f>
        <v>00051964</v>
      </c>
      <c r="C4370" t="s">
        <v>4262</v>
      </c>
      <c r="D4370" t="s">
        <v>2488</v>
      </c>
      <c r="E4370" t="str">
        <f>"00046718"</f>
        <v>00046718</v>
      </c>
      <c r="F4370">
        <v>0</v>
      </c>
      <c r="G4370" s="243">
        <v>32050</v>
      </c>
      <c r="H4370" t="s">
        <v>182</v>
      </c>
      <c r="I4370">
        <v>15</v>
      </c>
      <c r="J4370">
        <v>16</v>
      </c>
      <c r="K4370">
        <v>1</v>
      </c>
      <c r="L4370">
        <v>100839</v>
      </c>
      <c r="M4370" t="str">
        <f t="shared" si="627"/>
        <v>13</v>
      </c>
      <c r="N4370" t="s">
        <v>3323</v>
      </c>
      <c r="O4370" t="str">
        <f t="shared" si="632"/>
        <v>65011</v>
      </c>
      <c r="P4370" t="str">
        <f t="shared" si="633"/>
        <v>2100L</v>
      </c>
      <c r="Q4370" t="str">
        <f t="shared" si="630"/>
        <v>0101</v>
      </c>
      <c r="R4370">
        <v>2100</v>
      </c>
      <c r="S4370" t="str">
        <f t="shared" si="634"/>
        <v>6500</v>
      </c>
      <c r="T4370" t="s">
        <v>3966</v>
      </c>
      <c r="U4370" t="s">
        <v>94</v>
      </c>
    </row>
    <row r="4371" spans="1:21" ht="15" customHeight="1" x14ac:dyDescent="0.3">
      <c r="A4371" t="s">
        <v>179</v>
      </c>
      <c r="B4371" t="str">
        <f>"00052047"</f>
        <v>00052047</v>
      </c>
      <c r="C4371" t="s">
        <v>4258</v>
      </c>
      <c r="D4371" t="s">
        <v>2489</v>
      </c>
      <c r="E4371" t="str">
        <f>"00047101"</f>
        <v>00047101</v>
      </c>
      <c r="F4371">
        <v>0</v>
      </c>
      <c r="G4371" s="243">
        <v>31651</v>
      </c>
      <c r="H4371" t="s">
        <v>182</v>
      </c>
      <c r="I4371">
        <v>15</v>
      </c>
      <c r="J4371">
        <v>16</v>
      </c>
      <c r="K4371">
        <v>1</v>
      </c>
      <c r="L4371">
        <v>100839</v>
      </c>
      <c r="M4371" t="str">
        <f t="shared" si="627"/>
        <v>13</v>
      </c>
      <c r="N4371" t="s">
        <v>3323</v>
      </c>
      <c r="O4371" t="str">
        <f t="shared" si="632"/>
        <v>65011</v>
      </c>
      <c r="P4371" t="str">
        <f t="shared" si="633"/>
        <v>2100L</v>
      </c>
      <c r="Q4371" t="str">
        <f t="shared" si="630"/>
        <v>0101</v>
      </c>
      <c r="R4371">
        <v>2100</v>
      </c>
      <c r="S4371" t="str">
        <f t="shared" si="634"/>
        <v>6500</v>
      </c>
      <c r="T4371" t="s">
        <v>3966</v>
      </c>
      <c r="U4371" t="s">
        <v>94</v>
      </c>
    </row>
    <row r="4372" spans="1:21" ht="15" customHeight="1" x14ac:dyDescent="0.3">
      <c r="A4372" t="s">
        <v>179</v>
      </c>
      <c r="B4372" t="str">
        <f>"00052090"</f>
        <v>00052090</v>
      </c>
      <c r="C4372" t="s">
        <v>4254</v>
      </c>
      <c r="D4372" t="s">
        <v>2490</v>
      </c>
      <c r="E4372" t="str">
        <f>"00047246"</f>
        <v>00047246</v>
      </c>
      <c r="F4372">
        <v>0</v>
      </c>
      <c r="G4372" s="243">
        <v>32104</v>
      </c>
      <c r="H4372" t="s">
        <v>182</v>
      </c>
      <c r="I4372">
        <v>15</v>
      </c>
      <c r="J4372">
        <v>16</v>
      </c>
      <c r="K4372">
        <v>1</v>
      </c>
      <c r="L4372">
        <v>100839</v>
      </c>
      <c r="M4372" t="str">
        <f t="shared" si="627"/>
        <v>13</v>
      </c>
      <c r="N4372" t="s">
        <v>3323</v>
      </c>
      <c r="O4372" t="str">
        <f t="shared" si="632"/>
        <v>65011</v>
      </c>
      <c r="P4372" t="str">
        <f t="shared" si="633"/>
        <v>2100L</v>
      </c>
      <c r="Q4372" t="str">
        <f t="shared" si="630"/>
        <v>0101</v>
      </c>
      <c r="R4372">
        <v>2100</v>
      </c>
      <c r="S4372" t="str">
        <f t="shared" si="634"/>
        <v>6500</v>
      </c>
      <c r="T4372" t="s">
        <v>3966</v>
      </c>
      <c r="U4372" t="s">
        <v>94</v>
      </c>
    </row>
    <row r="4373" spans="1:21" ht="15" customHeight="1" x14ac:dyDescent="0.3">
      <c r="A4373" t="s">
        <v>179</v>
      </c>
      <c r="B4373" t="str">
        <f>"00052633"</f>
        <v>00052633</v>
      </c>
      <c r="C4373" t="s">
        <v>4253</v>
      </c>
      <c r="D4373" t="s">
        <v>2491</v>
      </c>
      <c r="E4373" t="str">
        <f>"00063007"</f>
        <v>00063007</v>
      </c>
      <c r="F4373">
        <v>0</v>
      </c>
      <c r="G4373" s="243">
        <v>40406</v>
      </c>
      <c r="H4373" t="s">
        <v>182</v>
      </c>
      <c r="I4373">
        <v>15</v>
      </c>
      <c r="J4373">
        <v>9</v>
      </c>
      <c r="K4373">
        <v>1</v>
      </c>
      <c r="L4373">
        <v>75232</v>
      </c>
      <c r="M4373" t="str">
        <f t="shared" si="627"/>
        <v>13</v>
      </c>
      <c r="N4373" t="s">
        <v>3323</v>
      </c>
      <c r="O4373" t="str">
        <f t="shared" si="632"/>
        <v>65011</v>
      </c>
      <c r="P4373" t="str">
        <f t="shared" si="633"/>
        <v>2100L</v>
      </c>
      <c r="Q4373" t="str">
        <f t="shared" si="630"/>
        <v>0101</v>
      </c>
      <c r="R4373">
        <v>2100</v>
      </c>
      <c r="S4373" t="str">
        <f t="shared" si="634"/>
        <v>6500</v>
      </c>
      <c r="T4373" t="s">
        <v>3966</v>
      </c>
      <c r="U4373" t="s">
        <v>94</v>
      </c>
    </row>
    <row r="4374" spans="1:21" ht="15" customHeight="1" x14ac:dyDescent="0.3">
      <c r="A4374" t="s">
        <v>179</v>
      </c>
      <c r="B4374" t="str">
        <f>"00052745"</f>
        <v>00052745</v>
      </c>
      <c r="C4374" t="s">
        <v>4262</v>
      </c>
      <c r="D4374" t="s">
        <v>2492</v>
      </c>
      <c r="E4374" t="str">
        <f>"00049244"</f>
        <v>00049244</v>
      </c>
      <c r="F4374">
        <v>0</v>
      </c>
      <c r="G4374" s="243">
        <v>33848</v>
      </c>
      <c r="H4374" t="s">
        <v>182</v>
      </c>
      <c r="I4374">
        <v>15</v>
      </c>
      <c r="J4374">
        <v>16</v>
      </c>
      <c r="K4374">
        <v>1</v>
      </c>
      <c r="L4374">
        <v>103347</v>
      </c>
      <c r="M4374" t="str">
        <f t="shared" si="627"/>
        <v>13</v>
      </c>
      <c r="N4374" t="s">
        <v>3323</v>
      </c>
      <c r="O4374" t="str">
        <f t="shared" si="632"/>
        <v>65011</v>
      </c>
      <c r="P4374" t="str">
        <f t="shared" si="633"/>
        <v>2100L</v>
      </c>
      <c r="Q4374" t="str">
        <f t="shared" si="630"/>
        <v>0101</v>
      </c>
      <c r="R4374">
        <v>2100</v>
      </c>
      <c r="S4374" t="str">
        <f t="shared" si="634"/>
        <v>6500</v>
      </c>
      <c r="T4374" t="s">
        <v>3966</v>
      </c>
      <c r="U4374" t="s">
        <v>94</v>
      </c>
    </row>
    <row r="4375" spans="1:21" ht="15" customHeight="1" x14ac:dyDescent="0.3">
      <c r="A4375" t="s">
        <v>179</v>
      </c>
      <c r="B4375" t="str">
        <f>"00052786"</f>
        <v>00052786</v>
      </c>
      <c r="C4375" t="s">
        <v>4262</v>
      </c>
      <c r="D4375" t="s">
        <v>2494</v>
      </c>
      <c r="E4375" t="str">
        <f>"00049472"</f>
        <v>00049472</v>
      </c>
      <c r="F4375">
        <v>0</v>
      </c>
      <c r="G4375" s="243">
        <v>33055</v>
      </c>
      <c r="H4375" t="s">
        <v>182</v>
      </c>
      <c r="I4375">
        <v>15</v>
      </c>
      <c r="J4375">
        <v>15</v>
      </c>
      <c r="K4375">
        <v>1</v>
      </c>
      <c r="L4375">
        <v>98285</v>
      </c>
      <c r="M4375" t="str">
        <f t="shared" si="627"/>
        <v>13</v>
      </c>
      <c r="N4375" t="s">
        <v>3323</v>
      </c>
      <c r="O4375" t="str">
        <f t="shared" si="632"/>
        <v>65011</v>
      </c>
      <c r="P4375" t="str">
        <f t="shared" si="633"/>
        <v>2100L</v>
      </c>
      <c r="Q4375" t="str">
        <f t="shared" ref="Q4375:Q4402" si="635">"0101"</f>
        <v>0101</v>
      </c>
      <c r="R4375">
        <v>2100</v>
      </c>
      <c r="S4375" t="str">
        <f t="shared" si="634"/>
        <v>6500</v>
      </c>
      <c r="T4375" t="s">
        <v>3966</v>
      </c>
      <c r="U4375" t="s">
        <v>94</v>
      </c>
    </row>
    <row r="4376" spans="1:21" ht="15" customHeight="1" x14ac:dyDescent="0.3">
      <c r="A4376" t="s">
        <v>179</v>
      </c>
      <c r="B4376" t="str">
        <f>"00052930"</f>
        <v>00052930</v>
      </c>
      <c r="C4376" t="s">
        <v>4256</v>
      </c>
      <c r="D4376" t="s">
        <v>2495</v>
      </c>
      <c r="E4376" t="str">
        <f>"00057609"</f>
        <v>00057609</v>
      </c>
      <c r="F4376">
        <v>0</v>
      </c>
      <c r="G4376" s="243">
        <v>40042</v>
      </c>
      <c r="H4376" t="s">
        <v>182</v>
      </c>
      <c r="I4376">
        <v>15</v>
      </c>
      <c r="J4376">
        <v>3</v>
      </c>
      <c r="K4376">
        <v>1</v>
      </c>
      <c r="L4376">
        <v>58699</v>
      </c>
      <c r="M4376" t="str">
        <f t="shared" si="627"/>
        <v>13</v>
      </c>
      <c r="N4376" t="s">
        <v>3323</v>
      </c>
      <c r="O4376" t="str">
        <f t="shared" si="632"/>
        <v>65011</v>
      </c>
      <c r="P4376" t="str">
        <f t="shared" si="633"/>
        <v>2100L</v>
      </c>
      <c r="Q4376" t="str">
        <f t="shared" si="635"/>
        <v>0101</v>
      </c>
      <c r="R4376">
        <v>2100</v>
      </c>
      <c r="S4376" t="str">
        <f t="shared" si="634"/>
        <v>6500</v>
      </c>
      <c r="T4376" t="s">
        <v>3966</v>
      </c>
      <c r="U4376" t="s">
        <v>94</v>
      </c>
    </row>
    <row r="4377" spans="1:21" ht="15" customHeight="1" x14ac:dyDescent="0.3">
      <c r="A4377" t="s">
        <v>179</v>
      </c>
      <c r="B4377" t="str">
        <f>"00053335"</f>
        <v>00053335</v>
      </c>
      <c r="C4377" t="s">
        <v>4260</v>
      </c>
      <c r="D4377" t="s">
        <v>2496</v>
      </c>
      <c r="E4377" t="str">
        <f>"00051321"</f>
        <v>00051321</v>
      </c>
      <c r="F4377">
        <v>0</v>
      </c>
      <c r="G4377" s="243">
        <v>32050</v>
      </c>
      <c r="H4377" t="s">
        <v>182</v>
      </c>
      <c r="I4377">
        <v>15</v>
      </c>
      <c r="J4377">
        <v>16</v>
      </c>
      <c r="K4377">
        <v>1</v>
      </c>
      <c r="L4377">
        <v>103347</v>
      </c>
      <c r="M4377" t="str">
        <f t="shared" si="627"/>
        <v>13</v>
      </c>
      <c r="N4377" t="s">
        <v>3323</v>
      </c>
      <c r="O4377" t="str">
        <f t="shared" si="632"/>
        <v>65011</v>
      </c>
      <c r="P4377" t="str">
        <f t="shared" si="633"/>
        <v>2100L</v>
      </c>
      <c r="Q4377" t="str">
        <f t="shared" si="635"/>
        <v>0101</v>
      </c>
      <c r="R4377">
        <v>2100</v>
      </c>
      <c r="S4377" t="str">
        <f t="shared" si="634"/>
        <v>6500</v>
      </c>
      <c r="T4377" t="s">
        <v>3966</v>
      </c>
      <c r="U4377" t="s">
        <v>94</v>
      </c>
    </row>
    <row r="4378" spans="1:21" ht="15" customHeight="1" x14ac:dyDescent="0.3">
      <c r="A4378" t="s">
        <v>179</v>
      </c>
      <c r="B4378" t="str">
        <f>"00053460"</f>
        <v>00053460</v>
      </c>
      <c r="C4378" t="s">
        <v>4262</v>
      </c>
      <c r="D4378" t="s">
        <v>2497</v>
      </c>
      <c r="E4378" t="str">
        <f>"00051532"</f>
        <v>00051532</v>
      </c>
      <c r="F4378">
        <v>0</v>
      </c>
      <c r="G4378" s="243">
        <v>34243</v>
      </c>
      <c r="H4378" t="s">
        <v>182</v>
      </c>
      <c r="I4378">
        <v>15</v>
      </c>
      <c r="J4378">
        <v>14</v>
      </c>
      <c r="K4378">
        <v>1</v>
      </c>
      <c r="L4378">
        <v>98967</v>
      </c>
      <c r="M4378" t="str">
        <f t="shared" si="627"/>
        <v>13</v>
      </c>
      <c r="N4378" t="s">
        <v>3323</v>
      </c>
      <c r="O4378" t="str">
        <f t="shared" si="632"/>
        <v>65011</v>
      </c>
      <c r="P4378" t="str">
        <f t="shared" si="633"/>
        <v>2100L</v>
      </c>
      <c r="Q4378" t="str">
        <f t="shared" si="635"/>
        <v>0101</v>
      </c>
      <c r="R4378">
        <v>2100</v>
      </c>
      <c r="S4378" t="str">
        <f t="shared" si="634"/>
        <v>6500</v>
      </c>
      <c r="T4378" t="s">
        <v>3966</v>
      </c>
      <c r="U4378" t="s">
        <v>94</v>
      </c>
    </row>
    <row r="4379" spans="1:21" ht="15" customHeight="1" x14ac:dyDescent="0.3">
      <c r="A4379" t="s">
        <v>179</v>
      </c>
      <c r="B4379" t="str">
        <f>"00053661"</f>
        <v>00053661</v>
      </c>
      <c r="C4379" t="s">
        <v>4260</v>
      </c>
      <c r="D4379" t="s">
        <v>3971</v>
      </c>
      <c r="E4379" t="str">
        <f>"00065893"</f>
        <v>00065893</v>
      </c>
      <c r="F4379">
        <v>0</v>
      </c>
      <c r="G4379" s="243">
        <v>40755</v>
      </c>
      <c r="H4379" t="s">
        <v>182</v>
      </c>
      <c r="I4379">
        <v>15</v>
      </c>
      <c r="J4379">
        <v>2</v>
      </c>
      <c r="K4379">
        <v>1</v>
      </c>
      <c r="L4379">
        <v>54099</v>
      </c>
      <c r="M4379" t="str">
        <f t="shared" si="627"/>
        <v>13</v>
      </c>
      <c r="N4379" t="s">
        <v>3323</v>
      </c>
      <c r="O4379" t="str">
        <f t="shared" si="632"/>
        <v>65011</v>
      </c>
      <c r="P4379" t="str">
        <f>"2100L"</f>
        <v>2100L</v>
      </c>
      <c r="Q4379" t="str">
        <f t="shared" si="635"/>
        <v>0101</v>
      </c>
      <c r="R4379">
        <v>2100</v>
      </c>
      <c r="S4379" t="str">
        <f t="shared" si="634"/>
        <v>6500</v>
      </c>
      <c r="T4379" t="s">
        <v>3966</v>
      </c>
      <c r="U4379" t="s">
        <v>94</v>
      </c>
    </row>
    <row r="4380" spans="1:21" ht="15" customHeight="1" x14ac:dyDescent="0.3">
      <c r="A4380" t="s">
        <v>179</v>
      </c>
      <c r="B4380" t="str">
        <f>"00054559"</f>
        <v>00054559</v>
      </c>
      <c r="C4380" t="s">
        <v>4253</v>
      </c>
      <c r="D4380" t="s">
        <v>2499</v>
      </c>
      <c r="E4380" t="str">
        <f>"00054203"</f>
        <v>00054203</v>
      </c>
      <c r="F4380">
        <v>0</v>
      </c>
      <c r="G4380" s="243">
        <v>31651</v>
      </c>
      <c r="H4380" t="s">
        <v>182</v>
      </c>
      <c r="I4380">
        <v>15</v>
      </c>
      <c r="J4380">
        <v>16</v>
      </c>
      <c r="K4380">
        <v>1</v>
      </c>
      <c r="L4380">
        <v>103347</v>
      </c>
      <c r="M4380" t="str">
        <f t="shared" ref="M4380:M4434" si="636">"13"</f>
        <v>13</v>
      </c>
      <c r="N4380" t="s">
        <v>3323</v>
      </c>
      <c r="O4380" t="str">
        <f t="shared" si="632"/>
        <v>65011</v>
      </c>
      <c r="P4380" t="str">
        <f>"2100L"</f>
        <v>2100L</v>
      </c>
      <c r="Q4380" t="str">
        <f t="shared" si="635"/>
        <v>0101</v>
      </c>
      <c r="R4380">
        <v>2100</v>
      </c>
      <c r="S4380" t="str">
        <f t="shared" si="634"/>
        <v>6500</v>
      </c>
      <c r="T4380" t="s">
        <v>3966</v>
      </c>
      <c r="U4380" t="s">
        <v>94</v>
      </c>
    </row>
    <row r="4381" spans="1:21" ht="15" customHeight="1" x14ac:dyDescent="0.3">
      <c r="A4381" t="s">
        <v>179</v>
      </c>
      <c r="B4381" t="str">
        <f>"00057076"</f>
        <v>00057076</v>
      </c>
      <c r="C4381" t="s">
        <v>4253</v>
      </c>
      <c r="D4381" t="s">
        <v>2502</v>
      </c>
      <c r="E4381" t="str">
        <f>"00047732"</f>
        <v>00047732</v>
      </c>
      <c r="F4381">
        <v>0</v>
      </c>
      <c r="G4381" s="243">
        <v>36761</v>
      </c>
      <c r="H4381" t="s">
        <v>182</v>
      </c>
      <c r="I4381">
        <v>15</v>
      </c>
      <c r="J4381">
        <v>12</v>
      </c>
      <c r="K4381">
        <v>1</v>
      </c>
      <c r="L4381">
        <v>87431</v>
      </c>
      <c r="M4381" t="str">
        <f t="shared" si="636"/>
        <v>13</v>
      </c>
      <c r="N4381" t="s">
        <v>3323</v>
      </c>
      <c r="O4381" t="str">
        <f t="shared" si="632"/>
        <v>65011</v>
      </c>
      <c r="P4381" t="str">
        <f>"2100L"</f>
        <v>2100L</v>
      </c>
      <c r="Q4381" t="str">
        <f t="shared" si="635"/>
        <v>0101</v>
      </c>
      <c r="R4381">
        <v>2100</v>
      </c>
      <c r="S4381" t="str">
        <f t="shared" si="634"/>
        <v>6500</v>
      </c>
      <c r="T4381" t="s">
        <v>3966</v>
      </c>
      <c r="U4381" t="s">
        <v>94</v>
      </c>
    </row>
    <row r="4382" spans="1:21" ht="15" customHeight="1" x14ac:dyDescent="0.3">
      <c r="A4382" t="s">
        <v>179</v>
      </c>
      <c r="B4382" t="str">
        <f>"00057219"</f>
        <v>00057219</v>
      </c>
      <c r="C4382" t="s">
        <v>4253</v>
      </c>
      <c r="D4382" t="s">
        <v>2084</v>
      </c>
      <c r="E4382" t="str">
        <f>"00057046"</f>
        <v>00057046</v>
      </c>
      <c r="F4382">
        <v>0</v>
      </c>
      <c r="G4382" s="243">
        <v>40042</v>
      </c>
      <c r="H4382" t="s">
        <v>182</v>
      </c>
      <c r="I4382">
        <v>15</v>
      </c>
      <c r="J4382">
        <v>4</v>
      </c>
      <c r="K4382">
        <v>1</v>
      </c>
      <c r="L4382">
        <v>61158</v>
      </c>
      <c r="M4382" t="str">
        <f t="shared" si="636"/>
        <v>13</v>
      </c>
      <c r="N4382" t="s">
        <v>3370</v>
      </c>
      <c r="O4382" t="str">
        <f t="shared" si="632"/>
        <v>65011</v>
      </c>
      <c r="P4382" t="str">
        <f t="shared" ref="P4382:P4391" si="637">"2100L"</f>
        <v>2100L</v>
      </c>
      <c r="Q4382" t="str">
        <f t="shared" si="635"/>
        <v>0101</v>
      </c>
      <c r="R4382">
        <v>2100</v>
      </c>
      <c r="S4382" t="str">
        <f t="shared" si="634"/>
        <v>6500</v>
      </c>
      <c r="T4382" t="s">
        <v>3966</v>
      </c>
      <c r="U4382" t="s">
        <v>94</v>
      </c>
    </row>
    <row r="4383" spans="1:21" ht="15" customHeight="1" x14ac:dyDescent="0.3">
      <c r="A4383" t="s">
        <v>179</v>
      </c>
      <c r="B4383" t="str">
        <f>"00057694"</f>
        <v>00057694</v>
      </c>
      <c r="C4383" t="s">
        <v>4263</v>
      </c>
      <c r="D4383" t="s">
        <v>2504</v>
      </c>
      <c r="E4383" t="str">
        <f>"00046798"</f>
        <v>00046798</v>
      </c>
      <c r="F4383">
        <v>0</v>
      </c>
      <c r="G4383" s="243">
        <v>38587</v>
      </c>
      <c r="H4383" t="s">
        <v>182</v>
      </c>
      <c r="I4383">
        <v>15</v>
      </c>
      <c r="J4383">
        <v>13</v>
      </c>
      <c r="K4383">
        <v>1</v>
      </c>
      <c r="L4383">
        <v>86613</v>
      </c>
      <c r="M4383" t="str">
        <f t="shared" si="636"/>
        <v>13</v>
      </c>
      <c r="N4383" t="s">
        <v>3323</v>
      </c>
      <c r="O4383" t="str">
        <f t="shared" si="632"/>
        <v>65011</v>
      </c>
      <c r="P4383" t="str">
        <f t="shared" si="637"/>
        <v>2100L</v>
      </c>
      <c r="Q4383" t="str">
        <f t="shared" si="635"/>
        <v>0101</v>
      </c>
      <c r="R4383">
        <v>2100</v>
      </c>
      <c r="S4383" t="str">
        <f t="shared" si="634"/>
        <v>6500</v>
      </c>
      <c r="T4383" t="s">
        <v>3966</v>
      </c>
      <c r="U4383" t="s">
        <v>94</v>
      </c>
    </row>
    <row r="4384" spans="1:21" ht="15" customHeight="1" x14ac:dyDescent="0.3">
      <c r="A4384" t="s">
        <v>179</v>
      </c>
      <c r="B4384" t="str">
        <f>"00059638"</f>
        <v>00059638</v>
      </c>
      <c r="C4384" t="s">
        <v>4253</v>
      </c>
      <c r="D4384" t="s">
        <v>2505</v>
      </c>
      <c r="E4384" t="str">
        <f>"00049504"</f>
        <v>00049504</v>
      </c>
      <c r="F4384">
        <v>0</v>
      </c>
      <c r="G4384" s="243">
        <v>36783</v>
      </c>
      <c r="H4384" t="s">
        <v>182</v>
      </c>
      <c r="I4384">
        <v>15</v>
      </c>
      <c r="J4384">
        <v>9</v>
      </c>
      <c r="K4384">
        <v>1</v>
      </c>
      <c r="L4384">
        <v>77687</v>
      </c>
      <c r="M4384" t="str">
        <f t="shared" si="636"/>
        <v>13</v>
      </c>
      <c r="N4384" t="s">
        <v>3323</v>
      </c>
      <c r="O4384" t="str">
        <f t="shared" si="632"/>
        <v>65011</v>
      </c>
      <c r="P4384" t="str">
        <f t="shared" si="637"/>
        <v>2100L</v>
      </c>
      <c r="Q4384" t="str">
        <f t="shared" si="635"/>
        <v>0101</v>
      </c>
      <c r="R4384">
        <v>2100</v>
      </c>
      <c r="S4384" t="str">
        <f t="shared" si="634"/>
        <v>6500</v>
      </c>
      <c r="T4384" t="s">
        <v>3966</v>
      </c>
      <c r="U4384" t="s">
        <v>94</v>
      </c>
    </row>
    <row r="4385" spans="1:21" ht="15" customHeight="1" x14ac:dyDescent="0.3">
      <c r="A4385" t="s">
        <v>179</v>
      </c>
      <c r="B4385" t="str">
        <f>"00059773"</f>
        <v>00059773</v>
      </c>
      <c r="C4385" t="s">
        <v>4253</v>
      </c>
      <c r="D4385" t="s">
        <v>2759</v>
      </c>
      <c r="E4385" t="str">
        <f>"00050423"</f>
        <v>00050423</v>
      </c>
      <c r="F4385">
        <v>0</v>
      </c>
      <c r="G4385" s="243">
        <v>40042</v>
      </c>
      <c r="H4385" t="s">
        <v>182</v>
      </c>
      <c r="I4385">
        <v>15</v>
      </c>
      <c r="J4385">
        <v>12</v>
      </c>
      <c r="K4385">
        <v>1</v>
      </c>
      <c r="L4385">
        <v>87431</v>
      </c>
      <c r="M4385" t="str">
        <f t="shared" si="636"/>
        <v>13</v>
      </c>
      <c r="N4385" t="s">
        <v>3323</v>
      </c>
      <c r="O4385" t="str">
        <f t="shared" si="632"/>
        <v>65011</v>
      </c>
      <c r="P4385" t="str">
        <f t="shared" si="637"/>
        <v>2100L</v>
      </c>
      <c r="Q4385" t="str">
        <f t="shared" si="635"/>
        <v>0101</v>
      </c>
      <c r="R4385">
        <v>2100</v>
      </c>
      <c r="S4385" t="str">
        <f t="shared" si="634"/>
        <v>6500</v>
      </c>
      <c r="T4385" t="s">
        <v>3966</v>
      </c>
      <c r="U4385" t="s">
        <v>94</v>
      </c>
    </row>
    <row r="4386" spans="1:21" ht="15" customHeight="1" x14ac:dyDescent="0.3">
      <c r="A4386" t="s">
        <v>179</v>
      </c>
      <c r="B4386" t="str">
        <f>"00061164"</f>
        <v>00061164</v>
      </c>
      <c r="C4386" t="s">
        <v>4263</v>
      </c>
      <c r="D4386" t="s">
        <v>3970</v>
      </c>
      <c r="E4386" t="str">
        <f>"00045123"</f>
        <v>00045123</v>
      </c>
      <c r="F4386">
        <v>0</v>
      </c>
      <c r="G4386" s="243">
        <v>39314</v>
      </c>
      <c r="H4386" t="s">
        <v>182</v>
      </c>
      <c r="I4386">
        <v>15</v>
      </c>
      <c r="J4386">
        <v>8</v>
      </c>
      <c r="K4386">
        <v>1</v>
      </c>
      <c r="L4386">
        <v>72171</v>
      </c>
      <c r="M4386" t="str">
        <f t="shared" si="636"/>
        <v>13</v>
      </c>
      <c r="N4386" t="s">
        <v>3323</v>
      </c>
      <c r="O4386" t="str">
        <f t="shared" si="632"/>
        <v>65011</v>
      </c>
      <c r="P4386" t="str">
        <f t="shared" si="637"/>
        <v>2100L</v>
      </c>
      <c r="Q4386" t="str">
        <f t="shared" si="635"/>
        <v>0101</v>
      </c>
      <c r="R4386">
        <v>2100</v>
      </c>
      <c r="S4386" t="str">
        <f t="shared" si="634"/>
        <v>6500</v>
      </c>
      <c r="T4386" t="s">
        <v>3966</v>
      </c>
      <c r="U4386" t="s">
        <v>94</v>
      </c>
    </row>
    <row r="4387" spans="1:21" ht="15" customHeight="1" x14ac:dyDescent="0.3">
      <c r="A4387" t="s">
        <v>179</v>
      </c>
      <c r="B4387" t="str">
        <f>"00061234"</f>
        <v>00061234</v>
      </c>
      <c r="C4387" t="s">
        <v>4262</v>
      </c>
      <c r="D4387" t="s">
        <v>2501</v>
      </c>
      <c r="E4387" t="str">
        <f>"00044465"</f>
        <v>00044465</v>
      </c>
      <c r="F4387">
        <v>0</v>
      </c>
      <c r="G4387" s="243">
        <v>36034</v>
      </c>
      <c r="H4387" t="s">
        <v>182</v>
      </c>
      <c r="I4387">
        <v>15</v>
      </c>
      <c r="J4387">
        <v>12</v>
      </c>
      <c r="K4387">
        <v>1</v>
      </c>
      <c r="L4387">
        <v>87431</v>
      </c>
      <c r="M4387" t="str">
        <f t="shared" si="636"/>
        <v>13</v>
      </c>
      <c r="N4387" t="s">
        <v>3370</v>
      </c>
      <c r="O4387" t="str">
        <f t="shared" si="632"/>
        <v>65011</v>
      </c>
      <c r="P4387" t="str">
        <f t="shared" si="637"/>
        <v>2100L</v>
      </c>
      <c r="Q4387" t="str">
        <f t="shared" si="635"/>
        <v>0101</v>
      </c>
      <c r="R4387">
        <v>2100</v>
      </c>
      <c r="S4387" t="str">
        <f t="shared" si="634"/>
        <v>6500</v>
      </c>
      <c r="T4387" t="s">
        <v>3966</v>
      </c>
      <c r="U4387" t="s">
        <v>94</v>
      </c>
    </row>
    <row r="4388" spans="1:21" ht="15" customHeight="1" x14ac:dyDescent="0.3">
      <c r="A4388" t="s">
        <v>179</v>
      </c>
      <c r="B4388" t="str">
        <f>"00061419"</f>
        <v>00061419</v>
      </c>
      <c r="C4388" t="s">
        <v>4253</v>
      </c>
      <c r="D4388" t="s">
        <v>2506</v>
      </c>
      <c r="E4388" t="str">
        <f>"00049415"</f>
        <v>00049415</v>
      </c>
      <c r="F4388">
        <v>0</v>
      </c>
      <c r="G4388" s="243">
        <v>39321</v>
      </c>
      <c r="H4388" t="s">
        <v>182</v>
      </c>
      <c r="I4388">
        <v>15</v>
      </c>
      <c r="J4388">
        <v>5</v>
      </c>
      <c r="K4388">
        <v>1</v>
      </c>
      <c r="L4388">
        <v>63611</v>
      </c>
      <c r="M4388" t="str">
        <f t="shared" si="636"/>
        <v>13</v>
      </c>
      <c r="N4388" t="s">
        <v>3323</v>
      </c>
      <c r="O4388" t="str">
        <f t="shared" si="632"/>
        <v>65011</v>
      </c>
      <c r="P4388" t="str">
        <f t="shared" si="637"/>
        <v>2100L</v>
      </c>
      <c r="Q4388" t="str">
        <f t="shared" si="635"/>
        <v>0101</v>
      </c>
      <c r="R4388">
        <v>2100</v>
      </c>
      <c r="S4388" t="str">
        <f t="shared" si="634"/>
        <v>6500</v>
      </c>
      <c r="T4388" t="s">
        <v>3966</v>
      </c>
      <c r="U4388" t="s">
        <v>94</v>
      </c>
    </row>
    <row r="4389" spans="1:21" ht="15" customHeight="1" x14ac:dyDescent="0.3">
      <c r="A4389" t="s">
        <v>179</v>
      </c>
      <c r="B4389" t="str">
        <f>"00061967"</f>
        <v>00061967</v>
      </c>
      <c r="C4389" t="s">
        <v>4253</v>
      </c>
      <c r="D4389" t="s">
        <v>5631</v>
      </c>
      <c r="E4389" t="str">
        <f>"00069709"</f>
        <v>00069709</v>
      </c>
      <c r="F4389">
        <v>0</v>
      </c>
      <c r="G4389" s="243">
        <v>41133</v>
      </c>
      <c r="H4389" t="s">
        <v>182</v>
      </c>
      <c r="I4389">
        <v>15</v>
      </c>
      <c r="J4389">
        <v>10</v>
      </c>
      <c r="K4389">
        <v>1</v>
      </c>
      <c r="L4389">
        <v>78273</v>
      </c>
      <c r="M4389" t="str">
        <f t="shared" si="636"/>
        <v>13</v>
      </c>
      <c r="N4389" t="s">
        <v>3370</v>
      </c>
      <c r="O4389" t="str">
        <f t="shared" si="632"/>
        <v>65011</v>
      </c>
      <c r="P4389" t="str">
        <f t="shared" si="637"/>
        <v>2100L</v>
      </c>
      <c r="Q4389" t="str">
        <f t="shared" si="635"/>
        <v>0101</v>
      </c>
      <c r="R4389">
        <v>2100</v>
      </c>
      <c r="S4389" t="str">
        <f t="shared" si="634"/>
        <v>6500</v>
      </c>
      <c r="T4389" t="s">
        <v>3966</v>
      </c>
      <c r="U4389" t="s">
        <v>94</v>
      </c>
    </row>
    <row r="4390" spans="1:21" ht="15" customHeight="1" x14ac:dyDescent="0.3">
      <c r="A4390" t="s">
        <v>179</v>
      </c>
      <c r="B4390" t="str">
        <f>"00062031"</f>
        <v>00062031</v>
      </c>
      <c r="C4390" t="s">
        <v>4260</v>
      </c>
      <c r="D4390" t="s">
        <v>5632</v>
      </c>
      <c r="E4390" t="str">
        <f>"00045095"</f>
        <v>00045095</v>
      </c>
      <c r="F4390">
        <v>0</v>
      </c>
      <c r="G4390" s="243">
        <v>41133</v>
      </c>
      <c r="H4390" t="s">
        <v>182</v>
      </c>
      <c r="I4390">
        <v>15</v>
      </c>
      <c r="J4390">
        <v>8</v>
      </c>
      <c r="K4390">
        <v>1</v>
      </c>
      <c r="L4390">
        <v>72171</v>
      </c>
      <c r="M4390" t="str">
        <f t="shared" si="636"/>
        <v>13</v>
      </c>
      <c r="N4390" t="s">
        <v>3370</v>
      </c>
      <c r="O4390" t="str">
        <f t="shared" si="632"/>
        <v>65011</v>
      </c>
      <c r="P4390" t="str">
        <f t="shared" si="637"/>
        <v>2100L</v>
      </c>
      <c r="Q4390" t="str">
        <f t="shared" si="635"/>
        <v>0101</v>
      </c>
      <c r="R4390">
        <v>2100</v>
      </c>
      <c r="S4390" t="str">
        <f t="shared" si="634"/>
        <v>6500</v>
      </c>
      <c r="T4390" t="s">
        <v>3966</v>
      </c>
      <c r="U4390" t="s">
        <v>94</v>
      </c>
    </row>
    <row r="4391" spans="1:21" ht="15" customHeight="1" x14ac:dyDescent="0.3">
      <c r="A4391" t="s">
        <v>179</v>
      </c>
      <c r="B4391" t="str">
        <f>"00062921"</f>
        <v>00062921</v>
      </c>
      <c r="C4391" t="s">
        <v>4341</v>
      </c>
      <c r="D4391" t="s">
        <v>2508</v>
      </c>
      <c r="E4391" t="str">
        <f>"00055094"</f>
        <v>00055094</v>
      </c>
      <c r="F4391">
        <v>0</v>
      </c>
      <c r="G4391" s="243">
        <v>38836</v>
      </c>
      <c r="H4391" t="s">
        <v>182</v>
      </c>
      <c r="I4391">
        <v>10</v>
      </c>
      <c r="J4391">
        <v>9</v>
      </c>
      <c r="K4391">
        <v>1</v>
      </c>
      <c r="L4391">
        <v>84226</v>
      </c>
      <c r="M4391" t="str">
        <f t="shared" si="636"/>
        <v>13</v>
      </c>
      <c r="N4391" t="s">
        <v>3323</v>
      </c>
      <c r="O4391" t="str">
        <f t="shared" si="632"/>
        <v>65011</v>
      </c>
      <c r="P4391" t="str">
        <f t="shared" si="637"/>
        <v>2100L</v>
      </c>
      <c r="Q4391" t="str">
        <f t="shared" si="635"/>
        <v>0101</v>
      </c>
      <c r="R4391">
        <v>2100</v>
      </c>
      <c r="S4391" t="str">
        <f t="shared" si="634"/>
        <v>6500</v>
      </c>
      <c r="T4391" t="s">
        <v>3966</v>
      </c>
      <c r="U4391" t="s">
        <v>94</v>
      </c>
    </row>
    <row r="4392" spans="1:21" ht="15" customHeight="1" x14ac:dyDescent="0.3">
      <c r="A4392" t="s">
        <v>179</v>
      </c>
      <c r="B4392" t="str">
        <f>"00065260"</f>
        <v>00065260</v>
      </c>
      <c r="C4392" t="s">
        <v>5495</v>
      </c>
      <c r="D4392" t="s">
        <v>2509</v>
      </c>
      <c r="E4392" t="str">
        <f>"00056645"</f>
        <v>00056645</v>
      </c>
      <c r="F4392">
        <v>0</v>
      </c>
      <c r="G4392" s="243">
        <v>40000</v>
      </c>
      <c r="H4392" t="s">
        <v>182</v>
      </c>
      <c r="I4392">
        <v>8</v>
      </c>
      <c r="J4392">
        <v>3</v>
      </c>
      <c r="K4392">
        <v>1</v>
      </c>
      <c r="L4392">
        <v>87160</v>
      </c>
      <c r="M4392" t="str">
        <f t="shared" si="636"/>
        <v>13</v>
      </c>
      <c r="N4392" t="s">
        <v>3323</v>
      </c>
      <c r="O4392" t="str">
        <f t="shared" si="632"/>
        <v>65011</v>
      </c>
      <c r="P4392" t="str">
        <f>"1501L"</f>
        <v>1501L</v>
      </c>
      <c r="Q4392" t="str">
        <f t="shared" si="635"/>
        <v>0101</v>
      </c>
      <c r="R4392">
        <v>1501</v>
      </c>
      <c r="S4392" t="str">
        <f t="shared" si="634"/>
        <v>6500</v>
      </c>
      <c r="T4392" t="s">
        <v>3966</v>
      </c>
      <c r="U4392" t="s">
        <v>94</v>
      </c>
    </row>
    <row r="4393" spans="1:21" ht="15" customHeight="1" x14ac:dyDescent="0.3">
      <c r="A4393" t="s">
        <v>179</v>
      </c>
      <c r="B4393" t="str">
        <f>"00067055"</f>
        <v>00067055</v>
      </c>
      <c r="C4393" t="s">
        <v>3670</v>
      </c>
      <c r="D4393" t="s">
        <v>5633</v>
      </c>
      <c r="E4393" t="str">
        <f>"00069386"</f>
        <v>00069386</v>
      </c>
      <c r="F4393">
        <v>0</v>
      </c>
      <c r="G4393" s="243">
        <v>41092</v>
      </c>
      <c r="H4393" t="s">
        <v>182</v>
      </c>
      <c r="I4393">
        <v>8</v>
      </c>
      <c r="J4393">
        <v>1</v>
      </c>
      <c r="K4393">
        <v>1</v>
      </c>
      <c r="L4393">
        <v>82397</v>
      </c>
      <c r="M4393" t="str">
        <f t="shared" si="636"/>
        <v>13</v>
      </c>
      <c r="N4393" t="s">
        <v>3323</v>
      </c>
      <c r="O4393" t="str">
        <f t="shared" si="632"/>
        <v>65011</v>
      </c>
      <c r="P4393" t="str">
        <f>"1501L"</f>
        <v>1501L</v>
      </c>
      <c r="Q4393" t="str">
        <f t="shared" si="635"/>
        <v>0101</v>
      </c>
      <c r="R4393">
        <v>1501</v>
      </c>
      <c r="S4393" t="str">
        <f t="shared" si="634"/>
        <v>6500</v>
      </c>
      <c r="T4393" t="s">
        <v>3966</v>
      </c>
      <c r="U4393" t="s">
        <v>94</v>
      </c>
    </row>
    <row r="4394" spans="1:21" ht="15" customHeight="1" x14ac:dyDescent="0.3">
      <c r="A4394" t="s">
        <v>179</v>
      </c>
      <c r="B4394" t="str">
        <f>"00067454"</f>
        <v>00067454</v>
      </c>
      <c r="C4394" t="s">
        <v>4255</v>
      </c>
      <c r="D4394" t="s">
        <v>2511</v>
      </c>
      <c r="E4394" t="str">
        <f>"00057291"</f>
        <v>00057291</v>
      </c>
      <c r="F4394">
        <v>0</v>
      </c>
      <c r="G4394" s="243">
        <v>40042</v>
      </c>
      <c r="H4394" t="s">
        <v>182</v>
      </c>
      <c r="I4394">
        <v>15</v>
      </c>
      <c r="J4394">
        <v>4</v>
      </c>
      <c r="K4394">
        <v>1</v>
      </c>
      <c r="L4394">
        <v>61158</v>
      </c>
      <c r="M4394" t="str">
        <f t="shared" si="636"/>
        <v>13</v>
      </c>
      <c r="N4394" t="s">
        <v>3323</v>
      </c>
      <c r="O4394" t="str">
        <f t="shared" si="632"/>
        <v>65011</v>
      </c>
      <c r="P4394" t="str">
        <f>"2100L"</f>
        <v>2100L</v>
      </c>
      <c r="Q4394" t="str">
        <f t="shared" si="635"/>
        <v>0101</v>
      </c>
      <c r="R4394">
        <v>2100</v>
      </c>
      <c r="S4394" t="str">
        <f t="shared" si="634"/>
        <v>6500</v>
      </c>
      <c r="T4394" t="s">
        <v>3966</v>
      </c>
      <c r="U4394" t="s">
        <v>94</v>
      </c>
    </row>
    <row r="4395" spans="1:21" ht="15" customHeight="1" x14ac:dyDescent="0.3">
      <c r="A4395" t="s">
        <v>179</v>
      </c>
      <c r="B4395" t="str">
        <f>"00067455"</f>
        <v>00067455</v>
      </c>
      <c r="C4395" t="s">
        <v>4263</v>
      </c>
      <c r="D4395" t="s">
        <v>5634</v>
      </c>
      <c r="E4395" t="str">
        <f>"00069803"</f>
        <v>00069803</v>
      </c>
      <c r="F4395">
        <v>0</v>
      </c>
      <c r="G4395" s="243">
        <v>41133</v>
      </c>
      <c r="H4395" t="s">
        <v>182</v>
      </c>
      <c r="I4395">
        <v>15</v>
      </c>
      <c r="J4395">
        <v>10</v>
      </c>
      <c r="K4395">
        <v>1</v>
      </c>
      <c r="L4395">
        <v>78273</v>
      </c>
      <c r="M4395" t="str">
        <f t="shared" si="636"/>
        <v>13</v>
      </c>
      <c r="N4395" t="s">
        <v>3370</v>
      </c>
      <c r="O4395" t="str">
        <f t="shared" si="632"/>
        <v>65011</v>
      </c>
      <c r="P4395" t="str">
        <f>"2100L"</f>
        <v>2100L</v>
      </c>
      <c r="Q4395" t="str">
        <f t="shared" si="635"/>
        <v>0101</v>
      </c>
      <c r="R4395">
        <v>2100</v>
      </c>
      <c r="S4395" t="str">
        <f t="shared" si="634"/>
        <v>6500</v>
      </c>
      <c r="T4395" t="s">
        <v>3966</v>
      </c>
      <c r="U4395" t="s">
        <v>94</v>
      </c>
    </row>
    <row r="4396" spans="1:21" ht="15" customHeight="1" x14ac:dyDescent="0.3">
      <c r="A4396" t="s">
        <v>179</v>
      </c>
      <c r="B4396" t="str">
        <f>"00067456"</f>
        <v>00067456</v>
      </c>
      <c r="C4396" t="s">
        <v>4260</v>
      </c>
      <c r="D4396" t="s">
        <v>5635</v>
      </c>
      <c r="E4396" t="str">
        <f>"00057334"</f>
        <v>00057334</v>
      </c>
      <c r="F4396">
        <v>0</v>
      </c>
      <c r="G4396" s="243">
        <v>41133</v>
      </c>
      <c r="H4396" t="s">
        <v>182</v>
      </c>
      <c r="I4396">
        <v>15</v>
      </c>
      <c r="J4396">
        <v>3</v>
      </c>
      <c r="K4396">
        <v>1</v>
      </c>
      <c r="L4396">
        <v>58699</v>
      </c>
      <c r="M4396" t="str">
        <f t="shared" si="636"/>
        <v>13</v>
      </c>
      <c r="N4396" t="s">
        <v>3370</v>
      </c>
      <c r="O4396" t="str">
        <f t="shared" si="632"/>
        <v>65011</v>
      </c>
      <c r="P4396" t="str">
        <f>"3030L"</f>
        <v>3030L</v>
      </c>
      <c r="Q4396" t="str">
        <f t="shared" si="635"/>
        <v>0101</v>
      </c>
      <c r="R4396">
        <v>3030</v>
      </c>
      <c r="S4396" t="str">
        <f t="shared" si="634"/>
        <v>6500</v>
      </c>
      <c r="T4396" t="s">
        <v>3966</v>
      </c>
      <c r="U4396" t="s">
        <v>94</v>
      </c>
    </row>
    <row r="4397" spans="1:21" ht="15" customHeight="1" x14ac:dyDescent="0.3">
      <c r="A4397" t="s">
        <v>179</v>
      </c>
      <c r="B4397" t="str">
        <f>"00068181"</f>
        <v>00068181</v>
      </c>
      <c r="C4397" t="s">
        <v>4267</v>
      </c>
      <c r="H4397" t="s">
        <v>170</v>
      </c>
      <c r="I4397">
        <v>15</v>
      </c>
      <c r="J4397">
        <v>1</v>
      </c>
      <c r="K4397">
        <v>1</v>
      </c>
      <c r="L4397">
        <v>56693</v>
      </c>
      <c r="M4397" t="str">
        <f t="shared" si="636"/>
        <v>13</v>
      </c>
      <c r="N4397" t="s">
        <v>3370</v>
      </c>
      <c r="O4397" t="str">
        <f t="shared" si="632"/>
        <v>65011</v>
      </c>
      <c r="P4397" t="str">
        <f>"3030L"</f>
        <v>3030L</v>
      </c>
      <c r="Q4397" t="str">
        <f t="shared" si="635"/>
        <v>0101</v>
      </c>
      <c r="R4397">
        <v>3030</v>
      </c>
      <c r="S4397" t="str">
        <f t="shared" si="634"/>
        <v>6500</v>
      </c>
      <c r="T4397" t="s">
        <v>3966</v>
      </c>
      <c r="U4397" t="s">
        <v>94</v>
      </c>
    </row>
    <row r="4398" spans="1:21" ht="15" customHeight="1" x14ac:dyDescent="0.3">
      <c r="A4398" t="s">
        <v>179</v>
      </c>
      <c r="B4398" t="str">
        <f>"00072400"</f>
        <v>00072400</v>
      </c>
      <c r="C4398" t="s">
        <v>4257</v>
      </c>
      <c r="D4398" t="s">
        <v>2513</v>
      </c>
      <c r="E4398" t="str">
        <f>"00062764"</f>
        <v>00062764</v>
      </c>
      <c r="F4398">
        <v>0</v>
      </c>
      <c r="G4398" s="243">
        <v>40406</v>
      </c>
      <c r="H4398" t="s">
        <v>182</v>
      </c>
      <c r="I4398">
        <v>15</v>
      </c>
      <c r="J4398">
        <v>12</v>
      </c>
      <c r="K4398">
        <v>1</v>
      </c>
      <c r="L4398">
        <v>92613</v>
      </c>
      <c r="M4398" t="str">
        <f t="shared" si="636"/>
        <v>13</v>
      </c>
      <c r="N4398" t="s">
        <v>3323</v>
      </c>
      <c r="O4398" t="str">
        <f t="shared" ref="O4398:O4414" si="638">"65011"</f>
        <v>65011</v>
      </c>
      <c r="P4398" t="str">
        <f>"2100L"</f>
        <v>2100L</v>
      </c>
      <c r="Q4398" t="str">
        <f t="shared" si="635"/>
        <v>0101</v>
      </c>
      <c r="R4398">
        <v>2100</v>
      </c>
      <c r="S4398" t="str">
        <f t="shared" ref="S4398:S4414" si="639">"6500"</f>
        <v>6500</v>
      </c>
      <c r="T4398" t="s">
        <v>3966</v>
      </c>
      <c r="U4398" t="s">
        <v>94</v>
      </c>
    </row>
    <row r="4399" spans="1:21" ht="15" customHeight="1" x14ac:dyDescent="0.3">
      <c r="A4399" t="s">
        <v>179</v>
      </c>
      <c r="B4399" t="str">
        <f>"00072627"</f>
        <v>00072627</v>
      </c>
      <c r="C4399" t="s">
        <v>4290</v>
      </c>
      <c r="D4399" t="s">
        <v>5636</v>
      </c>
      <c r="E4399" t="str">
        <f>"00018939"</f>
        <v>00018939</v>
      </c>
      <c r="F4399">
        <v>0</v>
      </c>
      <c r="G4399" s="243">
        <v>40413</v>
      </c>
      <c r="H4399" t="s">
        <v>182</v>
      </c>
      <c r="I4399">
        <v>4</v>
      </c>
      <c r="J4399">
        <v>8</v>
      </c>
      <c r="K4399">
        <v>0.71</v>
      </c>
      <c r="L4399">
        <v>27329.75</v>
      </c>
      <c r="M4399" t="str">
        <f t="shared" si="636"/>
        <v>13</v>
      </c>
      <c r="N4399" t="s">
        <v>3323</v>
      </c>
      <c r="O4399" t="str">
        <f t="shared" si="638"/>
        <v>65011</v>
      </c>
      <c r="P4399" t="str">
        <f>"2100L"</f>
        <v>2100L</v>
      </c>
      <c r="Q4399" t="str">
        <f t="shared" si="635"/>
        <v>0101</v>
      </c>
      <c r="R4399">
        <v>2100</v>
      </c>
      <c r="S4399" t="str">
        <f t="shared" si="639"/>
        <v>6500</v>
      </c>
      <c r="T4399" t="s">
        <v>3966</v>
      </c>
      <c r="U4399" t="s">
        <v>94</v>
      </c>
    </row>
    <row r="4400" spans="1:21" ht="15" customHeight="1" x14ac:dyDescent="0.3">
      <c r="A4400" t="s">
        <v>179</v>
      </c>
      <c r="B4400" t="str">
        <f>"00074423"</f>
        <v>00074423</v>
      </c>
      <c r="C4400" t="s">
        <v>4360</v>
      </c>
      <c r="D4400" t="s">
        <v>5637</v>
      </c>
      <c r="E4400" t="str">
        <f>"00055092"</f>
        <v>00055092</v>
      </c>
      <c r="F4400">
        <v>0</v>
      </c>
      <c r="G4400" s="243">
        <v>39685</v>
      </c>
      <c r="H4400" t="s">
        <v>182</v>
      </c>
      <c r="I4400">
        <v>7</v>
      </c>
      <c r="J4400">
        <v>6</v>
      </c>
      <c r="K4400">
        <v>1</v>
      </c>
      <c r="L4400">
        <v>40407</v>
      </c>
      <c r="M4400" t="str">
        <f t="shared" si="636"/>
        <v>13</v>
      </c>
      <c r="N4400" t="s">
        <v>3323</v>
      </c>
      <c r="O4400" t="str">
        <f t="shared" si="638"/>
        <v>65011</v>
      </c>
      <c r="P4400" t="str">
        <f>"1502L"</f>
        <v>1502L</v>
      </c>
      <c r="Q4400" t="str">
        <f t="shared" si="635"/>
        <v>0101</v>
      </c>
      <c r="R4400">
        <v>1502</v>
      </c>
      <c r="S4400" t="str">
        <f t="shared" si="639"/>
        <v>6500</v>
      </c>
      <c r="T4400" t="s">
        <v>3966</v>
      </c>
      <c r="U4400" t="s">
        <v>94</v>
      </c>
    </row>
    <row r="4401" spans="1:21" ht="15" customHeight="1" x14ac:dyDescent="0.3">
      <c r="A4401" t="s">
        <v>179</v>
      </c>
      <c r="B4401" t="str">
        <f>"00074424"</f>
        <v>00074424</v>
      </c>
      <c r="C4401" t="s">
        <v>4381</v>
      </c>
      <c r="D4401" t="s">
        <v>3967</v>
      </c>
      <c r="E4401" t="str">
        <f>"00066500"</f>
        <v>00066500</v>
      </c>
      <c r="F4401">
        <v>0</v>
      </c>
      <c r="G4401" s="243">
        <v>40783</v>
      </c>
      <c r="H4401" t="s">
        <v>182</v>
      </c>
      <c r="I4401">
        <v>9</v>
      </c>
      <c r="J4401">
        <v>8</v>
      </c>
      <c r="K4401">
        <v>1</v>
      </c>
      <c r="L4401">
        <v>40604</v>
      </c>
      <c r="M4401" t="str">
        <f t="shared" si="636"/>
        <v>13</v>
      </c>
      <c r="N4401" t="s">
        <v>3323</v>
      </c>
      <c r="O4401" t="str">
        <f t="shared" si="638"/>
        <v>65011</v>
      </c>
      <c r="P4401" t="str">
        <f t="shared" ref="P4401:P4410" si="640">"2100L"</f>
        <v>2100L</v>
      </c>
      <c r="Q4401" t="str">
        <f t="shared" si="635"/>
        <v>0101</v>
      </c>
      <c r="R4401">
        <v>2100</v>
      </c>
      <c r="S4401" t="str">
        <f t="shared" si="639"/>
        <v>6500</v>
      </c>
      <c r="T4401" t="s">
        <v>3966</v>
      </c>
      <c r="U4401" t="s">
        <v>94</v>
      </c>
    </row>
    <row r="4402" spans="1:21" ht="15" customHeight="1" x14ac:dyDescent="0.3">
      <c r="A4402" t="s">
        <v>179</v>
      </c>
      <c r="B4402" t="str">
        <f>"00074425"</f>
        <v>00074425</v>
      </c>
      <c r="C4402" t="s">
        <v>4262</v>
      </c>
      <c r="D4402" t="s">
        <v>3969</v>
      </c>
      <c r="E4402" t="str">
        <f>"00044573"</f>
        <v>00044573</v>
      </c>
      <c r="F4402">
        <v>0</v>
      </c>
      <c r="G4402" s="243">
        <v>40755</v>
      </c>
      <c r="H4402" t="s">
        <v>182</v>
      </c>
      <c r="I4402">
        <v>15</v>
      </c>
      <c r="J4402">
        <v>3</v>
      </c>
      <c r="K4402">
        <v>1</v>
      </c>
      <c r="L4402">
        <v>58699</v>
      </c>
      <c r="M4402" t="str">
        <f t="shared" si="636"/>
        <v>13</v>
      </c>
      <c r="N4402" t="s">
        <v>3323</v>
      </c>
      <c r="O4402" t="str">
        <f t="shared" si="638"/>
        <v>65011</v>
      </c>
      <c r="P4402" t="str">
        <f t="shared" si="640"/>
        <v>2100L</v>
      </c>
      <c r="Q4402" t="str">
        <f t="shared" si="635"/>
        <v>0101</v>
      </c>
      <c r="R4402">
        <v>2100</v>
      </c>
      <c r="S4402" t="str">
        <f t="shared" si="639"/>
        <v>6500</v>
      </c>
      <c r="T4402" t="s">
        <v>3966</v>
      </c>
      <c r="U4402" t="s">
        <v>94</v>
      </c>
    </row>
    <row r="4403" spans="1:21" ht="15" customHeight="1" x14ac:dyDescent="0.3">
      <c r="A4403" t="s">
        <v>179</v>
      </c>
      <c r="B4403" t="str">
        <f>"00074426"</f>
        <v>00074426</v>
      </c>
      <c r="C4403" t="s">
        <v>200</v>
      </c>
      <c r="D4403" t="s">
        <v>3968</v>
      </c>
      <c r="E4403" t="str">
        <f>"00049601"</f>
        <v>00049601</v>
      </c>
      <c r="F4403">
        <v>0</v>
      </c>
      <c r="G4403" s="243">
        <v>33042</v>
      </c>
      <c r="H4403" t="s">
        <v>182</v>
      </c>
      <c r="I4403">
        <v>15</v>
      </c>
      <c r="J4403">
        <v>11</v>
      </c>
      <c r="K4403">
        <v>1</v>
      </c>
      <c r="L4403">
        <v>81335</v>
      </c>
      <c r="M4403" t="str">
        <f t="shared" si="636"/>
        <v>13</v>
      </c>
      <c r="N4403" t="s">
        <v>3323</v>
      </c>
      <c r="O4403" t="str">
        <f t="shared" si="638"/>
        <v>65011</v>
      </c>
      <c r="P4403" t="str">
        <f t="shared" si="640"/>
        <v>2100L</v>
      </c>
      <c r="Q4403" t="str">
        <f t="shared" ref="Q4403:Q4429" si="641">"0101"</f>
        <v>0101</v>
      </c>
      <c r="R4403">
        <v>2100</v>
      </c>
      <c r="S4403" t="str">
        <f t="shared" si="639"/>
        <v>6500</v>
      </c>
      <c r="T4403" t="s">
        <v>3966</v>
      </c>
      <c r="U4403" t="s">
        <v>94</v>
      </c>
    </row>
    <row r="4404" spans="1:21" ht="15" customHeight="1" x14ac:dyDescent="0.3">
      <c r="A4404" t="s">
        <v>179</v>
      </c>
      <c r="B4404" t="str">
        <f>"00076345"</f>
        <v>00076345</v>
      </c>
      <c r="C4404" t="s">
        <v>4410</v>
      </c>
      <c r="D4404" t="s">
        <v>5638</v>
      </c>
      <c r="E4404" t="str">
        <f>"00045843"</f>
        <v>00045843</v>
      </c>
      <c r="F4404">
        <v>0</v>
      </c>
      <c r="G4404" s="243">
        <v>41133</v>
      </c>
      <c r="H4404" t="s">
        <v>182</v>
      </c>
      <c r="I4404">
        <v>5</v>
      </c>
      <c r="J4404">
        <v>10</v>
      </c>
      <c r="K4404">
        <v>1</v>
      </c>
      <c r="L4404">
        <v>36549</v>
      </c>
      <c r="M4404" t="str">
        <f t="shared" si="636"/>
        <v>13</v>
      </c>
      <c r="N4404" t="s">
        <v>3323</v>
      </c>
      <c r="O4404" t="str">
        <f t="shared" si="638"/>
        <v>65011</v>
      </c>
      <c r="P4404" t="str">
        <f t="shared" si="640"/>
        <v>2100L</v>
      </c>
      <c r="Q4404" t="str">
        <f t="shared" si="641"/>
        <v>0101</v>
      </c>
      <c r="R4404">
        <v>2100</v>
      </c>
      <c r="S4404" t="str">
        <f t="shared" si="639"/>
        <v>6500</v>
      </c>
      <c r="T4404" t="s">
        <v>3966</v>
      </c>
      <c r="U4404" t="s">
        <v>94</v>
      </c>
    </row>
    <row r="4405" spans="1:21" ht="15" customHeight="1" x14ac:dyDescent="0.3">
      <c r="A4405" t="s">
        <v>179</v>
      </c>
      <c r="B4405" t="str">
        <f>"00076346"</f>
        <v>00076346</v>
      </c>
      <c r="C4405" t="s">
        <v>4253</v>
      </c>
      <c r="D4405" t="s">
        <v>5639</v>
      </c>
      <c r="E4405" t="str">
        <f>"00069722"</f>
        <v>00069722</v>
      </c>
      <c r="F4405">
        <v>0</v>
      </c>
      <c r="G4405" s="243">
        <v>41133</v>
      </c>
      <c r="H4405" t="s">
        <v>182</v>
      </c>
      <c r="I4405">
        <v>15</v>
      </c>
      <c r="J4405">
        <v>10</v>
      </c>
      <c r="K4405">
        <v>1</v>
      </c>
      <c r="L4405">
        <v>78273</v>
      </c>
      <c r="M4405" t="str">
        <f t="shared" si="636"/>
        <v>13</v>
      </c>
      <c r="N4405" t="s">
        <v>3370</v>
      </c>
      <c r="O4405" t="str">
        <f t="shared" si="638"/>
        <v>65011</v>
      </c>
      <c r="P4405" t="str">
        <f t="shared" si="640"/>
        <v>2100L</v>
      </c>
      <c r="Q4405" t="str">
        <f t="shared" si="641"/>
        <v>0101</v>
      </c>
      <c r="R4405">
        <v>2100</v>
      </c>
      <c r="S4405" t="str">
        <f t="shared" si="639"/>
        <v>6500</v>
      </c>
      <c r="T4405" t="s">
        <v>3966</v>
      </c>
      <c r="U4405" t="s">
        <v>94</v>
      </c>
    </row>
    <row r="4406" spans="1:21" ht="15" customHeight="1" x14ac:dyDescent="0.3">
      <c r="A4406" t="s">
        <v>179</v>
      </c>
      <c r="B4406" t="str">
        <f>"00076347"</f>
        <v>00076347</v>
      </c>
      <c r="C4406" t="s">
        <v>4253</v>
      </c>
      <c r="H4406" t="s">
        <v>170</v>
      </c>
      <c r="I4406">
        <v>15</v>
      </c>
      <c r="J4406">
        <v>0</v>
      </c>
      <c r="K4406">
        <v>1</v>
      </c>
      <c r="L4406">
        <v>51539</v>
      </c>
      <c r="M4406" t="str">
        <f t="shared" si="636"/>
        <v>13</v>
      </c>
      <c r="N4406" t="s">
        <v>3370</v>
      </c>
      <c r="O4406" t="str">
        <f t="shared" si="638"/>
        <v>65011</v>
      </c>
      <c r="P4406" t="str">
        <f t="shared" si="640"/>
        <v>2100L</v>
      </c>
      <c r="Q4406" t="str">
        <f t="shared" si="641"/>
        <v>0101</v>
      </c>
      <c r="R4406">
        <v>2100</v>
      </c>
      <c r="S4406" t="str">
        <f t="shared" si="639"/>
        <v>6500</v>
      </c>
      <c r="T4406" t="s">
        <v>3966</v>
      </c>
      <c r="U4406" t="s">
        <v>94</v>
      </c>
    </row>
    <row r="4407" spans="1:21" ht="15" customHeight="1" x14ac:dyDescent="0.3">
      <c r="A4407" t="s">
        <v>179</v>
      </c>
      <c r="B4407" t="str">
        <f>"00076348"</f>
        <v>00076348</v>
      </c>
      <c r="C4407" t="s">
        <v>4253</v>
      </c>
      <c r="H4407" t="s">
        <v>170</v>
      </c>
      <c r="I4407">
        <v>15</v>
      </c>
      <c r="J4407">
        <v>0</v>
      </c>
      <c r="K4407">
        <v>0.5</v>
      </c>
      <c r="L4407">
        <v>51539</v>
      </c>
      <c r="M4407" t="str">
        <f t="shared" si="636"/>
        <v>13</v>
      </c>
      <c r="N4407" t="s">
        <v>3370</v>
      </c>
      <c r="O4407" t="str">
        <f t="shared" si="638"/>
        <v>65011</v>
      </c>
      <c r="P4407" t="str">
        <f t="shared" si="640"/>
        <v>2100L</v>
      </c>
      <c r="Q4407" t="str">
        <f t="shared" si="641"/>
        <v>0101</v>
      </c>
      <c r="R4407">
        <v>2100</v>
      </c>
      <c r="S4407" t="str">
        <f t="shared" si="639"/>
        <v>6500</v>
      </c>
      <c r="T4407" t="s">
        <v>3966</v>
      </c>
      <c r="U4407" t="s">
        <v>94</v>
      </c>
    </row>
    <row r="4408" spans="1:21" ht="15" customHeight="1" x14ac:dyDescent="0.3">
      <c r="A4408" t="s">
        <v>179</v>
      </c>
      <c r="B4408" t="str">
        <f>"00076349"</f>
        <v>00076349</v>
      </c>
      <c r="C4408" t="s">
        <v>4395</v>
      </c>
      <c r="D4408" t="s">
        <v>4239</v>
      </c>
      <c r="E4408" t="str">
        <f>"00054923"</f>
        <v>00054923</v>
      </c>
      <c r="F4408">
        <v>0</v>
      </c>
      <c r="G4408" s="243">
        <v>38587</v>
      </c>
      <c r="H4408" t="s">
        <v>182</v>
      </c>
      <c r="I4408">
        <v>10</v>
      </c>
      <c r="J4408">
        <v>9</v>
      </c>
      <c r="K4408">
        <v>1</v>
      </c>
      <c r="L4408">
        <v>84226</v>
      </c>
      <c r="M4408" t="str">
        <f t="shared" si="636"/>
        <v>13</v>
      </c>
      <c r="N4408" t="s">
        <v>3323</v>
      </c>
      <c r="O4408" t="str">
        <f t="shared" si="638"/>
        <v>65011</v>
      </c>
      <c r="P4408" t="str">
        <f t="shared" si="640"/>
        <v>2100L</v>
      </c>
      <c r="Q4408" t="str">
        <f t="shared" si="641"/>
        <v>0101</v>
      </c>
      <c r="R4408">
        <v>2100</v>
      </c>
      <c r="S4408" t="str">
        <f t="shared" si="639"/>
        <v>6500</v>
      </c>
      <c r="T4408" t="s">
        <v>3966</v>
      </c>
      <c r="U4408" t="s">
        <v>94</v>
      </c>
    </row>
    <row r="4409" spans="1:21" ht="15" customHeight="1" x14ac:dyDescent="0.3">
      <c r="A4409" t="s">
        <v>179</v>
      </c>
      <c r="B4409" t="str">
        <f>"00076351"</f>
        <v>00076351</v>
      </c>
      <c r="C4409" t="s">
        <v>4253</v>
      </c>
      <c r="D4409" t="s">
        <v>3336</v>
      </c>
      <c r="E4409" t="str">
        <f>"00058105"</f>
        <v>00058105</v>
      </c>
      <c r="F4409">
        <v>0</v>
      </c>
      <c r="G4409" s="243">
        <v>40056</v>
      </c>
      <c r="H4409" t="s">
        <v>182</v>
      </c>
      <c r="I4409">
        <v>15</v>
      </c>
      <c r="J4409">
        <v>1</v>
      </c>
      <c r="K4409">
        <v>1</v>
      </c>
      <c r="L4409">
        <v>51539</v>
      </c>
      <c r="M4409" t="str">
        <f t="shared" si="636"/>
        <v>13</v>
      </c>
      <c r="N4409" t="s">
        <v>3370</v>
      </c>
      <c r="O4409" t="str">
        <f t="shared" si="638"/>
        <v>65011</v>
      </c>
      <c r="P4409" t="str">
        <f t="shared" si="640"/>
        <v>2100L</v>
      </c>
      <c r="Q4409" t="str">
        <f t="shared" si="641"/>
        <v>0101</v>
      </c>
      <c r="R4409">
        <v>2100</v>
      </c>
      <c r="S4409" t="str">
        <f t="shared" si="639"/>
        <v>6500</v>
      </c>
      <c r="T4409" t="s">
        <v>3966</v>
      </c>
      <c r="U4409" t="s">
        <v>94</v>
      </c>
    </row>
    <row r="4410" spans="1:21" ht="15" customHeight="1" x14ac:dyDescent="0.3">
      <c r="A4410" t="s">
        <v>179</v>
      </c>
      <c r="B4410" t="str">
        <f>"00076352"</f>
        <v>00076352</v>
      </c>
      <c r="C4410" t="s">
        <v>4262</v>
      </c>
      <c r="H4410" t="s">
        <v>170</v>
      </c>
      <c r="I4410">
        <v>15</v>
      </c>
      <c r="J4410">
        <v>0</v>
      </c>
      <c r="K4410">
        <v>0.5</v>
      </c>
      <c r="L4410">
        <v>51539</v>
      </c>
      <c r="M4410" t="str">
        <f t="shared" si="636"/>
        <v>13</v>
      </c>
      <c r="N4410" t="s">
        <v>3370</v>
      </c>
      <c r="O4410" t="str">
        <f t="shared" si="638"/>
        <v>65011</v>
      </c>
      <c r="P4410" t="str">
        <f t="shared" si="640"/>
        <v>2100L</v>
      </c>
      <c r="Q4410" t="str">
        <f t="shared" si="641"/>
        <v>0101</v>
      </c>
      <c r="R4410">
        <v>2100</v>
      </c>
      <c r="S4410" t="str">
        <f t="shared" si="639"/>
        <v>6500</v>
      </c>
      <c r="T4410" t="s">
        <v>3966</v>
      </c>
      <c r="U4410" t="s">
        <v>94</v>
      </c>
    </row>
    <row r="4411" spans="1:21" ht="15" customHeight="1" x14ac:dyDescent="0.3">
      <c r="A4411" t="s">
        <v>179</v>
      </c>
      <c r="B4411" t="str">
        <f>"00076566"</f>
        <v>00076566</v>
      </c>
      <c r="C4411" t="s">
        <v>4290</v>
      </c>
      <c r="D4411" t="s">
        <v>5640</v>
      </c>
      <c r="E4411" t="str">
        <f>"00069761"</f>
        <v>00069761</v>
      </c>
      <c r="F4411">
        <v>0</v>
      </c>
      <c r="G4411" s="243">
        <v>41133</v>
      </c>
      <c r="H4411" t="s">
        <v>182</v>
      </c>
      <c r="I4411">
        <v>4</v>
      </c>
      <c r="J4411">
        <v>5</v>
      </c>
      <c r="K4411">
        <v>0.71</v>
      </c>
      <c r="L4411">
        <v>25239.37</v>
      </c>
      <c r="M4411" t="str">
        <f t="shared" si="636"/>
        <v>13</v>
      </c>
      <c r="N4411" t="s">
        <v>3370</v>
      </c>
      <c r="O4411" t="str">
        <f t="shared" si="638"/>
        <v>65011</v>
      </c>
      <c r="P4411" t="str">
        <f>"3030L"</f>
        <v>3030L</v>
      </c>
      <c r="Q4411" t="str">
        <f t="shared" si="641"/>
        <v>0101</v>
      </c>
      <c r="R4411">
        <v>3030</v>
      </c>
      <c r="S4411" t="str">
        <f t="shared" si="639"/>
        <v>6500</v>
      </c>
      <c r="T4411" t="s">
        <v>3966</v>
      </c>
      <c r="U4411" t="s">
        <v>94</v>
      </c>
    </row>
    <row r="4412" spans="1:21" ht="15" customHeight="1" x14ac:dyDescent="0.3">
      <c r="A4412" t="s">
        <v>179</v>
      </c>
      <c r="B4412" t="str">
        <f>"00076567"</f>
        <v>00076567</v>
      </c>
      <c r="C4412" t="s">
        <v>4290</v>
      </c>
      <c r="D4412" t="s">
        <v>5641</v>
      </c>
      <c r="E4412" t="str">
        <f>"00069980"</f>
        <v>00069980</v>
      </c>
      <c r="F4412">
        <v>0</v>
      </c>
      <c r="G4412" s="243">
        <v>41133</v>
      </c>
      <c r="H4412" t="s">
        <v>182</v>
      </c>
      <c r="I4412">
        <v>4</v>
      </c>
      <c r="J4412">
        <v>4</v>
      </c>
      <c r="K4412">
        <v>0.71</v>
      </c>
      <c r="L4412">
        <v>24543.75</v>
      </c>
      <c r="M4412" t="str">
        <f t="shared" si="636"/>
        <v>13</v>
      </c>
      <c r="N4412" t="s">
        <v>3323</v>
      </c>
      <c r="O4412" t="str">
        <f t="shared" si="638"/>
        <v>65011</v>
      </c>
      <c r="P4412" t="str">
        <f>"3030L"</f>
        <v>3030L</v>
      </c>
      <c r="Q4412" t="str">
        <f t="shared" si="641"/>
        <v>0101</v>
      </c>
      <c r="R4412">
        <v>3030</v>
      </c>
      <c r="S4412" t="str">
        <f t="shared" si="639"/>
        <v>6500</v>
      </c>
      <c r="T4412" t="s">
        <v>3966</v>
      </c>
      <c r="U4412" t="s">
        <v>94</v>
      </c>
    </row>
    <row r="4413" spans="1:21" ht="15" customHeight="1" x14ac:dyDescent="0.3">
      <c r="A4413" t="s">
        <v>179</v>
      </c>
      <c r="B4413" t="str">
        <f>"00076818"</f>
        <v>00076818</v>
      </c>
      <c r="C4413" t="s">
        <v>4260</v>
      </c>
      <c r="D4413" t="s">
        <v>2711</v>
      </c>
      <c r="E4413" t="str">
        <f>"00049924"</f>
        <v>00049924</v>
      </c>
      <c r="F4413">
        <v>0</v>
      </c>
      <c r="G4413" s="243">
        <v>39679</v>
      </c>
      <c r="H4413" t="s">
        <v>182</v>
      </c>
      <c r="I4413">
        <v>15</v>
      </c>
      <c r="J4413">
        <v>5</v>
      </c>
      <c r="K4413">
        <v>1</v>
      </c>
      <c r="L4413">
        <v>63611</v>
      </c>
      <c r="M4413" t="str">
        <f t="shared" si="636"/>
        <v>13</v>
      </c>
      <c r="N4413" t="s">
        <v>3370</v>
      </c>
      <c r="O4413" t="str">
        <f t="shared" si="638"/>
        <v>65011</v>
      </c>
      <c r="P4413" t="str">
        <f t="shared" ref="P4413:P4420" si="642">"2100L"</f>
        <v>2100L</v>
      </c>
      <c r="Q4413" t="str">
        <f t="shared" si="641"/>
        <v>0101</v>
      </c>
      <c r="R4413">
        <v>2100</v>
      </c>
      <c r="S4413" t="str">
        <f t="shared" si="639"/>
        <v>6500</v>
      </c>
      <c r="T4413" t="s">
        <v>3966</v>
      </c>
      <c r="U4413" t="s">
        <v>94</v>
      </c>
    </row>
    <row r="4414" spans="1:21" ht="15" customHeight="1" x14ac:dyDescent="0.3">
      <c r="A4414" t="s">
        <v>179</v>
      </c>
      <c r="B4414" t="str">
        <f>"00076850"</f>
        <v>00076850</v>
      </c>
      <c r="C4414" t="s">
        <v>4253</v>
      </c>
      <c r="H4414" t="s">
        <v>170</v>
      </c>
      <c r="I4414">
        <v>15</v>
      </c>
      <c r="J4414">
        <v>0</v>
      </c>
      <c r="K4414">
        <v>1</v>
      </c>
      <c r="L4414">
        <v>54975</v>
      </c>
      <c r="M4414" t="str">
        <f t="shared" si="636"/>
        <v>13</v>
      </c>
      <c r="N4414" t="s">
        <v>3370</v>
      </c>
      <c r="O4414" t="str">
        <f t="shared" si="638"/>
        <v>65011</v>
      </c>
      <c r="P4414" t="str">
        <f t="shared" si="642"/>
        <v>2100L</v>
      </c>
      <c r="Q4414" t="str">
        <f t="shared" si="641"/>
        <v>0101</v>
      </c>
      <c r="R4414">
        <v>2100</v>
      </c>
      <c r="S4414" t="str">
        <f t="shared" si="639"/>
        <v>6500</v>
      </c>
      <c r="T4414" t="s">
        <v>3966</v>
      </c>
      <c r="U4414" t="s">
        <v>94</v>
      </c>
    </row>
    <row r="4415" spans="1:21" ht="15" customHeight="1" x14ac:dyDescent="0.3">
      <c r="A4415" t="s">
        <v>179</v>
      </c>
      <c r="B4415" t="str">
        <f>"00052118"</f>
        <v>00052118</v>
      </c>
      <c r="C4415" t="s">
        <v>4254</v>
      </c>
      <c r="D4415" t="s">
        <v>3982</v>
      </c>
      <c r="E4415" t="str">
        <f>"00066451"</f>
        <v>00066451</v>
      </c>
      <c r="F4415">
        <v>0</v>
      </c>
      <c r="G4415" s="243">
        <v>40755</v>
      </c>
      <c r="H4415" t="s">
        <v>182</v>
      </c>
      <c r="I4415">
        <v>15</v>
      </c>
      <c r="J4415">
        <v>3</v>
      </c>
      <c r="K4415">
        <v>1</v>
      </c>
      <c r="L4415">
        <v>52777</v>
      </c>
      <c r="M4415" t="str">
        <f t="shared" si="636"/>
        <v>13</v>
      </c>
      <c r="N4415" t="s">
        <v>3323</v>
      </c>
      <c r="O4415" t="str">
        <f t="shared" ref="O4415:O4442" si="643">"65811"</f>
        <v>65811</v>
      </c>
      <c r="P4415" t="str">
        <f t="shared" si="642"/>
        <v>2100L</v>
      </c>
      <c r="Q4415" t="str">
        <f t="shared" si="641"/>
        <v>0101</v>
      </c>
      <c r="R4415">
        <v>2100</v>
      </c>
      <c r="S4415" t="str">
        <f t="shared" ref="S4415:S4442" si="644">"6580"</f>
        <v>6580</v>
      </c>
      <c r="T4415" t="s">
        <v>3852</v>
      </c>
      <c r="U4415" t="s">
        <v>88</v>
      </c>
    </row>
    <row r="4416" spans="1:21" ht="15" customHeight="1" x14ac:dyDescent="0.3">
      <c r="A4416" t="s">
        <v>179</v>
      </c>
      <c r="B4416" t="str">
        <f>"00052198"</f>
        <v>00052198</v>
      </c>
      <c r="C4416" t="s">
        <v>4253</v>
      </c>
      <c r="H4416" t="s">
        <v>170</v>
      </c>
      <c r="I4416">
        <v>15</v>
      </c>
      <c r="J4416">
        <v>1</v>
      </c>
      <c r="K4416">
        <v>1</v>
      </c>
      <c r="L4416">
        <v>54975</v>
      </c>
      <c r="M4416" t="str">
        <f t="shared" si="636"/>
        <v>13</v>
      </c>
      <c r="N4416" t="s">
        <v>3370</v>
      </c>
      <c r="O4416" t="str">
        <f t="shared" si="643"/>
        <v>65811</v>
      </c>
      <c r="P4416" t="str">
        <f t="shared" si="642"/>
        <v>2100L</v>
      </c>
      <c r="Q4416" t="str">
        <f t="shared" si="641"/>
        <v>0101</v>
      </c>
      <c r="R4416">
        <v>2100</v>
      </c>
      <c r="S4416" t="str">
        <f t="shared" si="644"/>
        <v>6580</v>
      </c>
      <c r="T4416" t="s">
        <v>3852</v>
      </c>
      <c r="U4416" t="s">
        <v>88</v>
      </c>
    </row>
    <row r="4417" spans="1:21" ht="15" customHeight="1" x14ac:dyDescent="0.3">
      <c r="A4417" t="s">
        <v>179</v>
      </c>
      <c r="B4417" t="str">
        <f>"00052832"</f>
        <v>00052832</v>
      </c>
      <c r="C4417" t="s">
        <v>4262</v>
      </c>
      <c r="D4417" t="s">
        <v>5642</v>
      </c>
      <c r="E4417" t="str">
        <f>"00069503"</f>
        <v>00069503</v>
      </c>
      <c r="F4417">
        <v>0</v>
      </c>
      <c r="G4417" s="243">
        <v>41133</v>
      </c>
      <c r="H4417" t="s">
        <v>182</v>
      </c>
      <c r="I4417">
        <v>15</v>
      </c>
      <c r="J4417">
        <v>1</v>
      </c>
      <c r="K4417">
        <v>1</v>
      </c>
      <c r="L4417">
        <v>51539</v>
      </c>
      <c r="M4417" t="str">
        <f t="shared" si="636"/>
        <v>13</v>
      </c>
      <c r="N4417" t="s">
        <v>3370</v>
      </c>
      <c r="O4417" t="str">
        <f t="shared" si="643"/>
        <v>65811</v>
      </c>
      <c r="P4417" t="str">
        <f t="shared" si="642"/>
        <v>2100L</v>
      </c>
      <c r="Q4417" t="str">
        <f t="shared" si="641"/>
        <v>0101</v>
      </c>
      <c r="R4417">
        <v>2100</v>
      </c>
      <c r="S4417" t="str">
        <f t="shared" si="644"/>
        <v>6580</v>
      </c>
      <c r="T4417" t="s">
        <v>3852</v>
      </c>
      <c r="U4417" t="s">
        <v>88</v>
      </c>
    </row>
    <row r="4418" spans="1:21" ht="15" customHeight="1" x14ac:dyDescent="0.3">
      <c r="A4418" t="s">
        <v>179</v>
      </c>
      <c r="B4418" t="str">
        <f>"00052835"</f>
        <v>00052835</v>
      </c>
      <c r="C4418" t="s">
        <v>4253</v>
      </c>
      <c r="D4418" t="s">
        <v>1316</v>
      </c>
      <c r="E4418" t="str">
        <f>"00060215"</f>
        <v>00060215</v>
      </c>
      <c r="F4418">
        <v>0</v>
      </c>
      <c r="G4418" s="243">
        <v>40182</v>
      </c>
      <c r="H4418" t="s">
        <v>182</v>
      </c>
      <c r="I4418">
        <v>15</v>
      </c>
      <c r="J4418">
        <v>3</v>
      </c>
      <c r="K4418">
        <v>1</v>
      </c>
      <c r="L4418">
        <v>52777</v>
      </c>
      <c r="M4418" t="str">
        <f t="shared" si="636"/>
        <v>13</v>
      </c>
      <c r="N4418" t="s">
        <v>3323</v>
      </c>
      <c r="O4418" t="str">
        <f t="shared" si="643"/>
        <v>65811</v>
      </c>
      <c r="P4418" t="str">
        <f t="shared" si="642"/>
        <v>2100L</v>
      </c>
      <c r="Q4418" t="str">
        <f t="shared" si="641"/>
        <v>0101</v>
      </c>
      <c r="R4418">
        <v>2100</v>
      </c>
      <c r="S4418" t="str">
        <f t="shared" si="644"/>
        <v>6580</v>
      </c>
      <c r="T4418" t="s">
        <v>3852</v>
      </c>
      <c r="U4418" t="s">
        <v>88</v>
      </c>
    </row>
    <row r="4419" spans="1:21" ht="15" customHeight="1" x14ac:dyDescent="0.3">
      <c r="A4419" t="s">
        <v>179</v>
      </c>
      <c r="B4419" t="str">
        <f>"00053177"</f>
        <v>00053177</v>
      </c>
      <c r="C4419" t="s">
        <v>4258</v>
      </c>
      <c r="D4419" t="s">
        <v>1317</v>
      </c>
      <c r="E4419" t="str">
        <f>"00051064"</f>
        <v>00051064</v>
      </c>
      <c r="F4419">
        <v>0</v>
      </c>
      <c r="G4419" s="243">
        <v>32050</v>
      </c>
      <c r="H4419" t="s">
        <v>182</v>
      </c>
      <c r="I4419">
        <v>15</v>
      </c>
      <c r="J4419">
        <v>16</v>
      </c>
      <c r="K4419">
        <v>1</v>
      </c>
      <c r="L4419">
        <v>106540</v>
      </c>
      <c r="M4419" t="str">
        <f t="shared" si="636"/>
        <v>13</v>
      </c>
      <c r="N4419" t="s">
        <v>3323</v>
      </c>
      <c r="O4419" t="str">
        <f t="shared" si="643"/>
        <v>65811</v>
      </c>
      <c r="P4419" t="str">
        <f t="shared" si="642"/>
        <v>2100L</v>
      </c>
      <c r="Q4419" t="str">
        <f t="shared" si="641"/>
        <v>0101</v>
      </c>
      <c r="R4419">
        <v>2100</v>
      </c>
      <c r="S4419" t="str">
        <f t="shared" si="644"/>
        <v>6580</v>
      </c>
      <c r="T4419" t="s">
        <v>3852</v>
      </c>
      <c r="U4419" t="s">
        <v>88</v>
      </c>
    </row>
    <row r="4420" spans="1:21" ht="15" customHeight="1" x14ac:dyDescent="0.3">
      <c r="A4420" t="s">
        <v>179</v>
      </c>
      <c r="B4420" t="str">
        <f>"00053363"</f>
        <v>00053363</v>
      </c>
      <c r="C4420" t="s">
        <v>4253</v>
      </c>
      <c r="D4420" t="s">
        <v>3980</v>
      </c>
      <c r="E4420" t="str">
        <f>"00065898"</f>
        <v>00065898</v>
      </c>
      <c r="F4420">
        <v>0</v>
      </c>
      <c r="G4420" s="243">
        <v>40755</v>
      </c>
      <c r="H4420" t="s">
        <v>182</v>
      </c>
      <c r="I4420">
        <v>15</v>
      </c>
      <c r="J4420">
        <v>2</v>
      </c>
      <c r="K4420">
        <v>1</v>
      </c>
      <c r="L4420">
        <v>51716</v>
      </c>
      <c r="M4420" t="str">
        <f t="shared" si="636"/>
        <v>13</v>
      </c>
      <c r="N4420" t="s">
        <v>3323</v>
      </c>
      <c r="O4420" t="str">
        <f t="shared" si="643"/>
        <v>65811</v>
      </c>
      <c r="P4420" t="str">
        <f t="shared" si="642"/>
        <v>2100L</v>
      </c>
      <c r="Q4420" t="str">
        <f t="shared" si="641"/>
        <v>0101</v>
      </c>
      <c r="R4420">
        <v>2100</v>
      </c>
      <c r="S4420" t="str">
        <f t="shared" si="644"/>
        <v>6580</v>
      </c>
      <c r="T4420" t="s">
        <v>3852</v>
      </c>
      <c r="U4420" t="s">
        <v>88</v>
      </c>
    </row>
    <row r="4421" spans="1:21" ht="15" customHeight="1" x14ac:dyDescent="0.3">
      <c r="A4421" t="s">
        <v>179</v>
      </c>
      <c r="B4421" t="str">
        <f>"00053369"</f>
        <v>00053369</v>
      </c>
      <c r="C4421" t="s">
        <v>4260</v>
      </c>
      <c r="D4421" t="s">
        <v>1318</v>
      </c>
      <c r="E4421" t="str">
        <f>"00048702"</f>
        <v>00048702</v>
      </c>
      <c r="F4421">
        <v>0</v>
      </c>
      <c r="G4421" s="243">
        <v>40210</v>
      </c>
      <c r="H4421" t="s">
        <v>182</v>
      </c>
      <c r="I4421">
        <v>15</v>
      </c>
      <c r="J4421">
        <v>16</v>
      </c>
      <c r="K4421">
        <v>1</v>
      </c>
      <c r="L4421">
        <v>106540</v>
      </c>
      <c r="M4421" t="str">
        <f t="shared" si="636"/>
        <v>13</v>
      </c>
      <c r="N4421" t="s">
        <v>3323</v>
      </c>
      <c r="O4421" t="str">
        <f t="shared" si="643"/>
        <v>65811</v>
      </c>
      <c r="P4421" t="str">
        <f>"3030L"</f>
        <v>3030L</v>
      </c>
      <c r="Q4421" t="str">
        <f t="shared" si="641"/>
        <v>0101</v>
      </c>
      <c r="R4421">
        <v>3030</v>
      </c>
      <c r="S4421" t="str">
        <f t="shared" si="644"/>
        <v>6580</v>
      </c>
      <c r="T4421" t="s">
        <v>3852</v>
      </c>
      <c r="U4421" t="s">
        <v>88</v>
      </c>
    </row>
    <row r="4422" spans="1:21" ht="15" customHeight="1" x14ac:dyDescent="0.3">
      <c r="A4422" t="s">
        <v>179</v>
      </c>
      <c r="B4422" t="str">
        <f>"00054810"</f>
        <v>00054810</v>
      </c>
      <c r="C4422" t="s">
        <v>4253</v>
      </c>
      <c r="D4422" t="s">
        <v>3981</v>
      </c>
      <c r="E4422" t="str">
        <f>"00066189"</f>
        <v>00066189</v>
      </c>
      <c r="F4422">
        <v>0</v>
      </c>
      <c r="G4422" s="243">
        <v>40755</v>
      </c>
      <c r="H4422" t="s">
        <v>182</v>
      </c>
      <c r="I4422">
        <v>15</v>
      </c>
      <c r="J4422">
        <v>5</v>
      </c>
      <c r="K4422">
        <v>1</v>
      </c>
      <c r="L4422">
        <v>63611</v>
      </c>
      <c r="M4422" t="str">
        <f t="shared" si="636"/>
        <v>13</v>
      </c>
      <c r="N4422" t="s">
        <v>3323</v>
      </c>
      <c r="O4422" t="str">
        <f t="shared" si="643"/>
        <v>65811</v>
      </c>
      <c r="P4422" t="str">
        <f t="shared" ref="P4422:P4429" si="645">"2100L"</f>
        <v>2100L</v>
      </c>
      <c r="Q4422" t="str">
        <f t="shared" si="641"/>
        <v>0101</v>
      </c>
      <c r="R4422">
        <v>2100</v>
      </c>
      <c r="S4422" t="str">
        <f t="shared" si="644"/>
        <v>6580</v>
      </c>
      <c r="T4422" t="s">
        <v>3852</v>
      </c>
      <c r="U4422" t="s">
        <v>88</v>
      </c>
    </row>
    <row r="4423" spans="1:21" ht="15" customHeight="1" x14ac:dyDescent="0.3">
      <c r="A4423" t="s">
        <v>179</v>
      </c>
      <c r="B4423" t="str">
        <f>"00054934"</f>
        <v>00054934</v>
      </c>
      <c r="C4423" t="s">
        <v>4253</v>
      </c>
      <c r="D4423" t="s">
        <v>3983</v>
      </c>
      <c r="E4423" t="str">
        <f>"00065564"</f>
        <v>00065564</v>
      </c>
      <c r="F4423">
        <v>0</v>
      </c>
      <c r="G4423" s="243">
        <v>40755</v>
      </c>
      <c r="H4423" t="s">
        <v>182</v>
      </c>
      <c r="I4423">
        <v>15</v>
      </c>
      <c r="J4423">
        <v>4</v>
      </c>
      <c r="K4423">
        <v>1</v>
      </c>
      <c r="L4423">
        <v>61158</v>
      </c>
      <c r="M4423" t="str">
        <f t="shared" si="636"/>
        <v>13</v>
      </c>
      <c r="N4423" t="s">
        <v>3323</v>
      </c>
      <c r="O4423" t="str">
        <f t="shared" si="643"/>
        <v>65811</v>
      </c>
      <c r="P4423" t="str">
        <f t="shared" si="645"/>
        <v>2100L</v>
      </c>
      <c r="Q4423" t="str">
        <f t="shared" si="641"/>
        <v>0101</v>
      </c>
      <c r="R4423">
        <v>2100</v>
      </c>
      <c r="S4423" t="str">
        <f t="shared" si="644"/>
        <v>6580</v>
      </c>
      <c r="T4423" t="s">
        <v>3852</v>
      </c>
      <c r="U4423" t="s">
        <v>88</v>
      </c>
    </row>
    <row r="4424" spans="1:21" ht="15" customHeight="1" x14ac:dyDescent="0.3">
      <c r="A4424" t="s">
        <v>179</v>
      </c>
      <c r="B4424" t="str">
        <f>"00057393"</f>
        <v>00057393</v>
      </c>
      <c r="C4424" t="s">
        <v>4253</v>
      </c>
      <c r="D4424" t="s">
        <v>5643</v>
      </c>
      <c r="E4424" t="str">
        <f>"00069883"</f>
        <v>00069883</v>
      </c>
      <c r="F4424">
        <v>0</v>
      </c>
      <c r="G4424" s="243">
        <v>41133</v>
      </c>
      <c r="H4424" t="s">
        <v>182</v>
      </c>
      <c r="I4424">
        <v>15</v>
      </c>
      <c r="J4424">
        <v>8</v>
      </c>
      <c r="K4424">
        <v>1</v>
      </c>
      <c r="L4424">
        <v>74640</v>
      </c>
      <c r="M4424" t="str">
        <f t="shared" si="636"/>
        <v>13</v>
      </c>
      <c r="N4424" t="s">
        <v>3370</v>
      </c>
      <c r="O4424" t="str">
        <f t="shared" si="643"/>
        <v>65811</v>
      </c>
      <c r="P4424" t="str">
        <f t="shared" si="645"/>
        <v>2100L</v>
      </c>
      <c r="Q4424" t="str">
        <f t="shared" si="641"/>
        <v>0101</v>
      </c>
      <c r="R4424">
        <v>2100</v>
      </c>
      <c r="S4424" t="str">
        <f t="shared" si="644"/>
        <v>6580</v>
      </c>
      <c r="T4424" t="s">
        <v>3852</v>
      </c>
      <c r="U4424" t="s">
        <v>88</v>
      </c>
    </row>
    <row r="4425" spans="1:21" ht="15" customHeight="1" x14ac:dyDescent="0.3">
      <c r="A4425" t="s">
        <v>179</v>
      </c>
      <c r="B4425" t="str">
        <f>"00057622"</f>
        <v>00057622</v>
      </c>
      <c r="C4425" t="s">
        <v>4260</v>
      </c>
      <c r="D4425" t="s">
        <v>5644</v>
      </c>
      <c r="E4425" t="str">
        <f>"00067970"</f>
        <v>00067970</v>
      </c>
      <c r="F4425">
        <v>0</v>
      </c>
      <c r="G4425" s="243">
        <v>40987</v>
      </c>
      <c r="H4425" t="s">
        <v>182</v>
      </c>
      <c r="I4425">
        <v>15</v>
      </c>
      <c r="J4425">
        <v>10</v>
      </c>
      <c r="K4425">
        <v>1</v>
      </c>
      <c r="L4425">
        <v>83199</v>
      </c>
      <c r="M4425" t="str">
        <f t="shared" si="636"/>
        <v>13</v>
      </c>
      <c r="N4425" t="s">
        <v>3323</v>
      </c>
      <c r="O4425" t="str">
        <f t="shared" si="643"/>
        <v>65811</v>
      </c>
      <c r="P4425" t="str">
        <f t="shared" si="645"/>
        <v>2100L</v>
      </c>
      <c r="Q4425" t="str">
        <f t="shared" si="641"/>
        <v>0101</v>
      </c>
      <c r="R4425">
        <v>2100</v>
      </c>
      <c r="S4425" t="str">
        <f t="shared" si="644"/>
        <v>6580</v>
      </c>
      <c r="T4425" t="s">
        <v>3852</v>
      </c>
      <c r="U4425" t="s">
        <v>88</v>
      </c>
    </row>
    <row r="4426" spans="1:21" ht="15" customHeight="1" x14ac:dyDescent="0.3">
      <c r="A4426" t="s">
        <v>179</v>
      </c>
      <c r="B4426" t="str">
        <f>"00058123"</f>
        <v>00058123</v>
      </c>
      <c r="C4426" t="s">
        <v>4253</v>
      </c>
      <c r="D4426" t="s">
        <v>3984</v>
      </c>
      <c r="E4426" t="str">
        <f>"00066319"</f>
        <v>00066319</v>
      </c>
      <c r="F4426">
        <v>0</v>
      </c>
      <c r="G4426" s="243">
        <v>40755</v>
      </c>
      <c r="H4426" t="s">
        <v>182</v>
      </c>
      <c r="I4426">
        <v>15</v>
      </c>
      <c r="J4426">
        <v>2</v>
      </c>
      <c r="K4426">
        <v>1</v>
      </c>
      <c r="L4426">
        <v>51716</v>
      </c>
      <c r="M4426" t="str">
        <f t="shared" si="636"/>
        <v>13</v>
      </c>
      <c r="N4426" t="s">
        <v>3323</v>
      </c>
      <c r="O4426" t="str">
        <f t="shared" si="643"/>
        <v>65811</v>
      </c>
      <c r="P4426" t="str">
        <f t="shared" si="645"/>
        <v>2100L</v>
      </c>
      <c r="Q4426" t="str">
        <f t="shared" si="641"/>
        <v>0101</v>
      </c>
      <c r="R4426">
        <v>2100</v>
      </c>
      <c r="S4426" t="str">
        <f t="shared" si="644"/>
        <v>6580</v>
      </c>
      <c r="T4426" t="s">
        <v>3852</v>
      </c>
      <c r="U4426" t="s">
        <v>88</v>
      </c>
    </row>
    <row r="4427" spans="1:21" ht="15" customHeight="1" x14ac:dyDescent="0.3">
      <c r="A4427" t="s">
        <v>179</v>
      </c>
      <c r="B4427" t="str">
        <f>"00058125"</f>
        <v>00058125</v>
      </c>
      <c r="C4427" t="s">
        <v>4253</v>
      </c>
      <c r="D4427" t="s">
        <v>3974</v>
      </c>
      <c r="E4427" t="str">
        <f>"00066430"</f>
        <v>00066430</v>
      </c>
      <c r="F4427">
        <v>0</v>
      </c>
      <c r="G4427" s="243">
        <v>40769</v>
      </c>
      <c r="H4427" t="s">
        <v>182</v>
      </c>
      <c r="I4427">
        <v>15</v>
      </c>
      <c r="J4427">
        <v>1</v>
      </c>
      <c r="K4427">
        <v>1</v>
      </c>
      <c r="L4427">
        <v>51539</v>
      </c>
      <c r="M4427" t="str">
        <f t="shared" si="636"/>
        <v>13</v>
      </c>
      <c r="N4427" t="s">
        <v>3323</v>
      </c>
      <c r="O4427" t="str">
        <f t="shared" si="643"/>
        <v>65811</v>
      </c>
      <c r="P4427" t="str">
        <f t="shared" si="645"/>
        <v>2100L</v>
      </c>
      <c r="Q4427" t="str">
        <f t="shared" si="641"/>
        <v>0101</v>
      </c>
      <c r="R4427">
        <v>2100</v>
      </c>
      <c r="S4427" t="str">
        <f t="shared" si="644"/>
        <v>6580</v>
      </c>
      <c r="T4427" t="s">
        <v>3852</v>
      </c>
      <c r="U4427" t="s">
        <v>88</v>
      </c>
    </row>
    <row r="4428" spans="1:21" ht="15" customHeight="1" x14ac:dyDescent="0.3">
      <c r="A4428" t="s">
        <v>179</v>
      </c>
      <c r="B4428" t="str">
        <f>"00058277"</f>
        <v>00058277</v>
      </c>
      <c r="C4428" t="s">
        <v>4253</v>
      </c>
      <c r="D4428" t="s">
        <v>3978</v>
      </c>
      <c r="E4428" t="str">
        <f>"00066459"</f>
        <v>00066459</v>
      </c>
      <c r="F4428">
        <v>0</v>
      </c>
      <c r="G4428" s="243">
        <v>40755</v>
      </c>
      <c r="H4428" t="s">
        <v>182</v>
      </c>
      <c r="I4428">
        <v>15</v>
      </c>
      <c r="J4428">
        <v>3</v>
      </c>
      <c r="K4428">
        <v>1</v>
      </c>
      <c r="L4428">
        <v>52777</v>
      </c>
      <c r="M4428" t="str">
        <f t="shared" si="636"/>
        <v>13</v>
      </c>
      <c r="N4428" t="s">
        <v>3323</v>
      </c>
      <c r="O4428" t="str">
        <f t="shared" si="643"/>
        <v>65811</v>
      </c>
      <c r="P4428" t="str">
        <f t="shared" si="645"/>
        <v>2100L</v>
      </c>
      <c r="Q4428" t="str">
        <f t="shared" si="641"/>
        <v>0101</v>
      </c>
      <c r="R4428">
        <v>2100</v>
      </c>
      <c r="S4428" t="str">
        <f t="shared" si="644"/>
        <v>6580</v>
      </c>
      <c r="T4428" t="s">
        <v>3852</v>
      </c>
      <c r="U4428" t="s">
        <v>88</v>
      </c>
    </row>
    <row r="4429" spans="1:21" ht="15" customHeight="1" x14ac:dyDescent="0.3">
      <c r="A4429" t="s">
        <v>179</v>
      </c>
      <c r="B4429" t="str">
        <f>"00058550"</f>
        <v>00058550</v>
      </c>
      <c r="C4429" t="s">
        <v>4253</v>
      </c>
      <c r="D4429" t="s">
        <v>1320</v>
      </c>
      <c r="E4429" t="str">
        <f>"00063208"</f>
        <v>00063208</v>
      </c>
      <c r="F4429">
        <v>0</v>
      </c>
      <c r="G4429" s="243">
        <v>40406</v>
      </c>
      <c r="H4429" t="s">
        <v>182</v>
      </c>
      <c r="I4429">
        <v>15</v>
      </c>
      <c r="J4429">
        <v>3</v>
      </c>
      <c r="K4429">
        <v>1</v>
      </c>
      <c r="L4429">
        <v>58699</v>
      </c>
      <c r="M4429" t="str">
        <f t="shared" si="636"/>
        <v>13</v>
      </c>
      <c r="N4429" t="s">
        <v>3323</v>
      </c>
      <c r="O4429" t="str">
        <f t="shared" si="643"/>
        <v>65811</v>
      </c>
      <c r="P4429" t="str">
        <f t="shared" si="645"/>
        <v>2100L</v>
      </c>
      <c r="Q4429" t="str">
        <f t="shared" si="641"/>
        <v>0101</v>
      </c>
      <c r="R4429">
        <v>2100</v>
      </c>
      <c r="S4429" t="str">
        <f t="shared" si="644"/>
        <v>6580</v>
      </c>
      <c r="T4429" t="s">
        <v>3852</v>
      </c>
      <c r="U4429" t="s">
        <v>88</v>
      </c>
    </row>
    <row r="4430" spans="1:21" ht="15" customHeight="1" x14ac:dyDescent="0.3">
      <c r="A4430" t="s">
        <v>179</v>
      </c>
      <c r="B4430" t="str">
        <f>"00059479"</f>
        <v>00059479</v>
      </c>
      <c r="C4430" t="s">
        <v>4260</v>
      </c>
      <c r="D4430" t="s">
        <v>1321</v>
      </c>
      <c r="E4430" t="str">
        <f>"00047384"</f>
        <v>00047384</v>
      </c>
      <c r="F4430">
        <v>0</v>
      </c>
      <c r="G4430" s="243">
        <v>37881</v>
      </c>
      <c r="H4430" t="s">
        <v>182</v>
      </c>
      <c r="I4430">
        <v>15</v>
      </c>
      <c r="J4430">
        <v>15</v>
      </c>
      <c r="K4430">
        <v>1</v>
      </c>
      <c r="L4430">
        <v>98285</v>
      </c>
      <c r="M4430" t="str">
        <f t="shared" si="636"/>
        <v>13</v>
      </c>
      <c r="N4430" t="s">
        <v>3323</v>
      </c>
      <c r="O4430" t="str">
        <f t="shared" si="643"/>
        <v>65811</v>
      </c>
      <c r="P4430" t="str">
        <f>"3030L"</f>
        <v>3030L</v>
      </c>
      <c r="Q4430" t="str">
        <f t="shared" ref="Q4430:Q4459" si="646">"0101"</f>
        <v>0101</v>
      </c>
      <c r="R4430">
        <v>3030</v>
      </c>
      <c r="S4430" t="str">
        <f t="shared" si="644"/>
        <v>6580</v>
      </c>
      <c r="T4430" t="s">
        <v>3852</v>
      </c>
      <c r="U4430" t="s">
        <v>88</v>
      </c>
    </row>
    <row r="4431" spans="1:21" ht="15" customHeight="1" x14ac:dyDescent="0.3">
      <c r="A4431" t="s">
        <v>179</v>
      </c>
      <c r="B4431" t="str">
        <f>"00059780"</f>
        <v>00059780</v>
      </c>
      <c r="C4431" t="s">
        <v>4253</v>
      </c>
      <c r="D4431" t="s">
        <v>5645</v>
      </c>
      <c r="E4431" t="str">
        <f>"00063537"</f>
        <v>00063537</v>
      </c>
      <c r="F4431">
        <v>0</v>
      </c>
      <c r="G4431" s="243">
        <v>40434</v>
      </c>
      <c r="H4431" t="s">
        <v>182</v>
      </c>
      <c r="I4431">
        <v>15</v>
      </c>
      <c r="J4431">
        <v>5</v>
      </c>
      <c r="K4431">
        <v>1</v>
      </c>
      <c r="L4431">
        <v>63611</v>
      </c>
      <c r="M4431" t="str">
        <f t="shared" si="636"/>
        <v>13</v>
      </c>
      <c r="N4431" t="s">
        <v>3323</v>
      </c>
      <c r="O4431" t="str">
        <f t="shared" si="643"/>
        <v>65811</v>
      </c>
      <c r="P4431" t="str">
        <f>"2100L"</f>
        <v>2100L</v>
      </c>
      <c r="Q4431" t="str">
        <f t="shared" si="646"/>
        <v>0101</v>
      </c>
      <c r="R4431">
        <v>2100</v>
      </c>
      <c r="S4431" t="str">
        <f t="shared" si="644"/>
        <v>6580</v>
      </c>
      <c r="T4431" t="s">
        <v>3852</v>
      </c>
      <c r="U4431" t="s">
        <v>88</v>
      </c>
    </row>
    <row r="4432" spans="1:21" ht="15" customHeight="1" x14ac:dyDescent="0.3">
      <c r="A4432" t="s">
        <v>179</v>
      </c>
      <c r="B4432" t="str">
        <f>"00059849"</f>
        <v>00059849</v>
      </c>
      <c r="C4432" t="s">
        <v>4262</v>
      </c>
      <c r="D4432" t="s">
        <v>3975</v>
      </c>
      <c r="E4432" t="str">
        <f>"00065867"</f>
        <v>00065867</v>
      </c>
      <c r="F4432">
        <v>0</v>
      </c>
      <c r="G4432" s="243">
        <v>40755</v>
      </c>
      <c r="H4432" t="s">
        <v>182</v>
      </c>
      <c r="I4432">
        <v>15</v>
      </c>
      <c r="J4432">
        <v>2</v>
      </c>
      <c r="K4432">
        <v>1</v>
      </c>
      <c r="L4432">
        <v>51716</v>
      </c>
      <c r="M4432" t="str">
        <f t="shared" si="636"/>
        <v>13</v>
      </c>
      <c r="N4432" t="s">
        <v>3323</v>
      </c>
      <c r="O4432" t="str">
        <f t="shared" si="643"/>
        <v>65811</v>
      </c>
      <c r="P4432" t="str">
        <f>"2100L"</f>
        <v>2100L</v>
      </c>
      <c r="Q4432" t="str">
        <f t="shared" si="646"/>
        <v>0101</v>
      </c>
      <c r="R4432">
        <v>2100</v>
      </c>
      <c r="S4432" t="str">
        <f t="shared" si="644"/>
        <v>6580</v>
      </c>
      <c r="T4432" t="s">
        <v>3852</v>
      </c>
      <c r="U4432" t="s">
        <v>88</v>
      </c>
    </row>
    <row r="4433" spans="1:21" ht="15" customHeight="1" x14ac:dyDescent="0.3">
      <c r="A4433" t="s">
        <v>179</v>
      </c>
      <c r="B4433" t="str">
        <f>"00061163"</f>
        <v>00061163</v>
      </c>
      <c r="C4433" t="s">
        <v>200</v>
      </c>
      <c r="D4433" t="s">
        <v>1323</v>
      </c>
      <c r="E4433" t="str">
        <f>"00034456"</f>
        <v>00034456</v>
      </c>
      <c r="F4433">
        <v>1</v>
      </c>
      <c r="G4433" s="243">
        <v>39000</v>
      </c>
      <c r="H4433" t="s">
        <v>182</v>
      </c>
      <c r="I4433">
        <v>15</v>
      </c>
      <c r="J4433">
        <v>12</v>
      </c>
      <c r="K4433">
        <v>1</v>
      </c>
      <c r="L4433">
        <v>87431</v>
      </c>
      <c r="M4433" t="str">
        <f t="shared" si="636"/>
        <v>13</v>
      </c>
      <c r="N4433" t="s">
        <v>3323</v>
      </c>
      <c r="O4433" t="str">
        <f t="shared" si="643"/>
        <v>65811</v>
      </c>
      <c r="P4433" t="str">
        <f>"3030L"</f>
        <v>3030L</v>
      </c>
      <c r="Q4433" t="str">
        <f t="shared" si="646"/>
        <v>0101</v>
      </c>
      <c r="R4433">
        <v>3030</v>
      </c>
      <c r="S4433" t="str">
        <f t="shared" si="644"/>
        <v>6580</v>
      </c>
      <c r="T4433" t="s">
        <v>3852</v>
      </c>
      <c r="U4433" t="s">
        <v>88</v>
      </c>
    </row>
    <row r="4434" spans="1:21" ht="15" customHeight="1" x14ac:dyDescent="0.3">
      <c r="A4434" t="s">
        <v>179</v>
      </c>
      <c r="B4434" t="str">
        <f>"00061225"</f>
        <v>00061225</v>
      </c>
      <c r="C4434" t="s">
        <v>4255</v>
      </c>
      <c r="H4434" t="s">
        <v>170</v>
      </c>
      <c r="I4434">
        <v>15</v>
      </c>
      <c r="J4434">
        <v>1</v>
      </c>
      <c r="K4434">
        <v>1</v>
      </c>
      <c r="L4434">
        <v>54975</v>
      </c>
      <c r="M4434" t="str">
        <f t="shared" si="636"/>
        <v>13</v>
      </c>
      <c r="N4434" t="s">
        <v>3323</v>
      </c>
      <c r="O4434" t="str">
        <f t="shared" si="643"/>
        <v>65811</v>
      </c>
      <c r="P4434" t="str">
        <f>"2100L"</f>
        <v>2100L</v>
      </c>
      <c r="Q4434" t="str">
        <f t="shared" si="646"/>
        <v>0101</v>
      </c>
      <c r="R4434">
        <v>2100</v>
      </c>
      <c r="S4434" t="str">
        <f t="shared" si="644"/>
        <v>6580</v>
      </c>
      <c r="T4434" t="s">
        <v>3852</v>
      </c>
      <c r="U4434" t="s">
        <v>88</v>
      </c>
    </row>
    <row r="4435" spans="1:21" ht="15" customHeight="1" x14ac:dyDescent="0.3">
      <c r="A4435" t="s">
        <v>179</v>
      </c>
      <c r="B4435" t="str">
        <f>"00061821"</f>
        <v>00061821</v>
      </c>
      <c r="C4435" t="s">
        <v>3798</v>
      </c>
      <c r="D4435" t="s">
        <v>1325</v>
      </c>
      <c r="E4435" t="str">
        <f>"00050248"</f>
        <v>00050248</v>
      </c>
      <c r="F4435">
        <v>0</v>
      </c>
      <c r="G4435" s="243">
        <v>36761</v>
      </c>
      <c r="H4435" t="s">
        <v>182</v>
      </c>
      <c r="I4435">
        <v>63</v>
      </c>
      <c r="J4435">
        <v>3</v>
      </c>
      <c r="K4435">
        <v>1</v>
      </c>
      <c r="L4435">
        <v>116000</v>
      </c>
      <c r="M4435" t="str">
        <f t="shared" ref="M4435:M4488" si="647">"13"</f>
        <v>13</v>
      </c>
      <c r="N4435" t="s">
        <v>3323</v>
      </c>
      <c r="O4435" t="str">
        <f t="shared" si="643"/>
        <v>65811</v>
      </c>
      <c r="P4435" t="str">
        <f>"1501L"</f>
        <v>1501L</v>
      </c>
      <c r="Q4435" t="str">
        <f t="shared" si="646"/>
        <v>0101</v>
      </c>
      <c r="R4435">
        <v>1501</v>
      </c>
      <c r="S4435" t="str">
        <f t="shared" si="644"/>
        <v>6580</v>
      </c>
      <c r="T4435" t="s">
        <v>3852</v>
      </c>
      <c r="U4435" t="s">
        <v>88</v>
      </c>
    </row>
    <row r="4436" spans="1:21" ht="15" customHeight="1" x14ac:dyDescent="0.3">
      <c r="A4436" t="s">
        <v>179</v>
      </c>
      <c r="B4436" t="str">
        <f>"00061952"</f>
        <v>00061952</v>
      </c>
      <c r="C4436" t="s">
        <v>5495</v>
      </c>
      <c r="D4436" t="s">
        <v>1326</v>
      </c>
      <c r="E4436" t="str">
        <f>"00062416"</f>
        <v>00062416</v>
      </c>
      <c r="F4436">
        <v>0</v>
      </c>
      <c r="G4436" s="243">
        <v>40385</v>
      </c>
      <c r="H4436" t="s">
        <v>182</v>
      </c>
      <c r="I4436">
        <v>8</v>
      </c>
      <c r="J4436">
        <v>3</v>
      </c>
      <c r="K4436">
        <v>1</v>
      </c>
      <c r="L4436">
        <v>88654</v>
      </c>
      <c r="M4436" t="str">
        <f t="shared" si="647"/>
        <v>13</v>
      </c>
      <c r="N4436" t="s">
        <v>3323</v>
      </c>
      <c r="O4436" t="str">
        <f t="shared" si="643"/>
        <v>65811</v>
      </c>
      <c r="P4436" t="str">
        <f>"1501L"</f>
        <v>1501L</v>
      </c>
      <c r="Q4436" t="str">
        <f t="shared" si="646"/>
        <v>0101</v>
      </c>
      <c r="R4436">
        <v>1501</v>
      </c>
      <c r="S4436" t="str">
        <f t="shared" si="644"/>
        <v>6580</v>
      </c>
      <c r="T4436" t="s">
        <v>3852</v>
      </c>
      <c r="U4436" t="s">
        <v>88</v>
      </c>
    </row>
    <row r="4437" spans="1:21" ht="15" customHeight="1" x14ac:dyDescent="0.3">
      <c r="A4437" t="s">
        <v>179</v>
      </c>
      <c r="B4437" t="str">
        <f>"00062135"</f>
        <v>00062135</v>
      </c>
      <c r="C4437" t="s">
        <v>4260</v>
      </c>
      <c r="D4437" t="s">
        <v>3985</v>
      </c>
      <c r="E4437" t="str">
        <f>"00066425"</f>
        <v>00066425</v>
      </c>
      <c r="F4437">
        <v>0</v>
      </c>
      <c r="G4437" s="243">
        <v>40755</v>
      </c>
      <c r="H4437" t="s">
        <v>182</v>
      </c>
      <c r="I4437">
        <v>15</v>
      </c>
      <c r="J4437">
        <v>2</v>
      </c>
      <c r="K4437">
        <v>1</v>
      </c>
      <c r="L4437">
        <v>56242</v>
      </c>
      <c r="M4437" t="str">
        <f t="shared" si="647"/>
        <v>13</v>
      </c>
      <c r="N4437" t="s">
        <v>3323</v>
      </c>
      <c r="O4437" t="str">
        <f t="shared" si="643"/>
        <v>65811</v>
      </c>
      <c r="P4437" t="str">
        <f>"3030L"</f>
        <v>3030L</v>
      </c>
      <c r="Q4437" t="str">
        <f t="shared" si="646"/>
        <v>0101</v>
      </c>
      <c r="R4437">
        <v>3030</v>
      </c>
      <c r="S4437" t="str">
        <f t="shared" si="644"/>
        <v>6580</v>
      </c>
      <c r="T4437" t="s">
        <v>3852</v>
      </c>
      <c r="U4437" t="s">
        <v>88</v>
      </c>
    </row>
    <row r="4438" spans="1:21" ht="15" customHeight="1" x14ac:dyDescent="0.3">
      <c r="A4438" t="s">
        <v>179</v>
      </c>
      <c r="B4438" t="str">
        <f>"00062528"</f>
        <v>00062528</v>
      </c>
      <c r="C4438" t="s">
        <v>4262</v>
      </c>
      <c r="D4438" t="s">
        <v>3979</v>
      </c>
      <c r="E4438" t="str">
        <f>"00066176"</f>
        <v>00066176</v>
      </c>
      <c r="F4438">
        <v>0</v>
      </c>
      <c r="G4438" s="243">
        <v>40755</v>
      </c>
      <c r="H4438" t="s">
        <v>182</v>
      </c>
      <c r="I4438">
        <v>15</v>
      </c>
      <c r="J4438">
        <v>5</v>
      </c>
      <c r="K4438">
        <v>1</v>
      </c>
      <c r="L4438">
        <v>59087</v>
      </c>
      <c r="M4438" t="str">
        <f t="shared" si="647"/>
        <v>13</v>
      </c>
      <c r="N4438" t="s">
        <v>3323</v>
      </c>
      <c r="O4438" t="str">
        <f t="shared" si="643"/>
        <v>65811</v>
      </c>
      <c r="P4438" t="str">
        <f>"2100L"</f>
        <v>2100L</v>
      </c>
      <c r="Q4438" t="str">
        <f t="shared" si="646"/>
        <v>0101</v>
      </c>
      <c r="R4438">
        <v>2100</v>
      </c>
      <c r="S4438" t="str">
        <f t="shared" si="644"/>
        <v>6580</v>
      </c>
      <c r="T4438" t="s">
        <v>3852</v>
      </c>
      <c r="U4438" t="s">
        <v>88</v>
      </c>
    </row>
    <row r="4439" spans="1:21" ht="15" customHeight="1" x14ac:dyDescent="0.3">
      <c r="A4439" t="s">
        <v>179</v>
      </c>
      <c r="B4439" t="str">
        <f>"00066926"</f>
        <v>00066926</v>
      </c>
      <c r="C4439" t="s">
        <v>4257</v>
      </c>
      <c r="D4439" t="s">
        <v>1328</v>
      </c>
      <c r="E4439" t="str">
        <f>"00057446"</f>
        <v>00057446</v>
      </c>
      <c r="F4439">
        <v>0</v>
      </c>
      <c r="G4439" s="243">
        <v>40042</v>
      </c>
      <c r="H4439" t="s">
        <v>182</v>
      </c>
      <c r="I4439">
        <v>15</v>
      </c>
      <c r="J4439">
        <v>12</v>
      </c>
      <c r="K4439">
        <v>1</v>
      </c>
      <c r="L4439">
        <v>87431</v>
      </c>
      <c r="M4439" t="str">
        <f t="shared" si="647"/>
        <v>13</v>
      </c>
      <c r="N4439" t="s">
        <v>3323</v>
      </c>
      <c r="O4439" t="str">
        <f t="shared" si="643"/>
        <v>65811</v>
      </c>
      <c r="P4439" t="str">
        <f>"2100L"</f>
        <v>2100L</v>
      </c>
      <c r="Q4439" t="str">
        <f t="shared" si="646"/>
        <v>0101</v>
      </c>
      <c r="R4439">
        <v>2100</v>
      </c>
      <c r="S4439" t="str">
        <f t="shared" si="644"/>
        <v>6580</v>
      </c>
      <c r="T4439" t="s">
        <v>3852</v>
      </c>
      <c r="U4439" t="s">
        <v>88</v>
      </c>
    </row>
    <row r="4440" spans="1:21" ht="15" customHeight="1" x14ac:dyDescent="0.3">
      <c r="A4440" t="s">
        <v>179</v>
      </c>
      <c r="B4440" t="str">
        <f>"00066927"</f>
        <v>00066927</v>
      </c>
      <c r="C4440" t="s">
        <v>4260</v>
      </c>
      <c r="D4440" t="s">
        <v>1329</v>
      </c>
      <c r="E4440" t="str">
        <f>"00057861"</f>
        <v>00057861</v>
      </c>
      <c r="F4440">
        <v>0</v>
      </c>
      <c r="G4440" s="243">
        <v>40042</v>
      </c>
      <c r="H4440" t="s">
        <v>182</v>
      </c>
      <c r="I4440">
        <v>15</v>
      </c>
      <c r="J4440">
        <v>4</v>
      </c>
      <c r="K4440">
        <v>1</v>
      </c>
      <c r="L4440">
        <v>54725</v>
      </c>
      <c r="M4440" t="str">
        <f t="shared" si="647"/>
        <v>13</v>
      </c>
      <c r="N4440" t="s">
        <v>3323</v>
      </c>
      <c r="O4440" t="str">
        <f t="shared" si="643"/>
        <v>65811</v>
      </c>
      <c r="P4440" t="str">
        <f t="shared" ref="P4440:P4445" si="648">"3030L"</f>
        <v>3030L</v>
      </c>
      <c r="Q4440" t="str">
        <f t="shared" si="646"/>
        <v>0101</v>
      </c>
      <c r="R4440">
        <v>3030</v>
      </c>
      <c r="S4440" t="str">
        <f t="shared" si="644"/>
        <v>6580</v>
      </c>
      <c r="T4440" t="s">
        <v>3852</v>
      </c>
      <c r="U4440" t="s">
        <v>88</v>
      </c>
    </row>
    <row r="4441" spans="1:21" ht="15" customHeight="1" x14ac:dyDescent="0.3">
      <c r="A4441" t="s">
        <v>179</v>
      </c>
      <c r="B4441" t="str">
        <f>"00066928"</f>
        <v>00066928</v>
      </c>
      <c r="C4441" t="s">
        <v>4260</v>
      </c>
      <c r="D4441" t="s">
        <v>3976</v>
      </c>
      <c r="E4441" t="str">
        <f>"00066408"</f>
        <v>00066408</v>
      </c>
      <c r="F4441">
        <v>0</v>
      </c>
      <c r="G4441" s="243">
        <v>40770</v>
      </c>
      <c r="H4441" t="s">
        <v>182</v>
      </c>
      <c r="I4441">
        <v>15</v>
      </c>
      <c r="J4441">
        <v>3</v>
      </c>
      <c r="K4441">
        <v>1</v>
      </c>
      <c r="L4441">
        <v>58699</v>
      </c>
      <c r="M4441" t="str">
        <f t="shared" si="647"/>
        <v>13</v>
      </c>
      <c r="N4441" t="s">
        <v>3323</v>
      </c>
      <c r="O4441" t="str">
        <f t="shared" si="643"/>
        <v>65811</v>
      </c>
      <c r="P4441" t="str">
        <f t="shared" si="648"/>
        <v>3030L</v>
      </c>
      <c r="Q4441" t="str">
        <f t="shared" si="646"/>
        <v>0101</v>
      </c>
      <c r="R4441">
        <v>3030</v>
      </c>
      <c r="S4441" t="str">
        <f t="shared" si="644"/>
        <v>6580</v>
      </c>
      <c r="T4441" t="s">
        <v>3852</v>
      </c>
      <c r="U4441" t="s">
        <v>88</v>
      </c>
    </row>
    <row r="4442" spans="1:21" ht="15" customHeight="1" x14ac:dyDescent="0.3">
      <c r="A4442" t="s">
        <v>179</v>
      </c>
      <c r="B4442" t="str">
        <f>"00066929"</f>
        <v>00066929</v>
      </c>
      <c r="C4442" t="s">
        <v>4260</v>
      </c>
      <c r="D4442" t="s">
        <v>5646</v>
      </c>
      <c r="E4442" t="str">
        <f>"00069591"</f>
        <v>00069591</v>
      </c>
      <c r="F4442">
        <v>0</v>
      </c>
      <c r="G4442" s="243">
        <v>41133</v>
      </c>
      <c r="H4442" t="s">
        <v>182</v>
      </c>
      <c r="I4442">
        <v>15</v>
      </c>
      <c r="J4442">
        <v>1</v>
      </c>
      <c r="K4442">
        <v>1</v>
      </c>
      <c r="L4442">
        <v>54975</v>
      </c>
      <c r="M4442" t="str">
        <f t="shared" si="647"/>
        <v>13</v>
      </c>
      <c r="N4442" t="s">
        <v>3370</v>
      </c>
      <c r="O4442" t="str">
        <f t="shared" si="643"/>
        <v>65811</v>
      </c>
      <c r="P4442" t="str">
        <f t="shared" si="648"/>
        <v>3030L</v>
      </c>
      <c r="Q4442" t="str">
        <f t="shared" si="646"/>
        <v>0101</v>
      </c>
      <c r="R4442">
        <v>3030</v>
      </c>
      <c r="S4442" t="str">
        <f t="shared" si="644"/>
        <v>6580</v>
      </c>
      <c r="T4442" t="s">
        <v>3852</v>
      </c>
      <c r="U4442" t="s">
        <v>88</v>
      </c>
    </row>
    <row r="4443" spans="1:21" ht="15" customHeight="1" x14ac:dyDescent="0.3">
      <c r="A4443" t="s">
        <v>179</v>
      </c>
      <c r="B4443" t="str">
        <f>"00067030"</f>
        <v>00067030</v>
      </c>
      <c r="C4443" t="s">
        <v>4341</v>
      </c>
      <c r="D4443" t="s">
        <v>2329</v>
      </c>
      <c r="E4443" t="str">
        <f>"00051798"</f>
        <v>00051798</v>
      </c>
      <c r="F4443">
        <v>0</v>
      </c>
      <c r="G4443" s="243">
        <v>31709</v>
      </c>
      <c r="H4443" t="s">
        <v>182</v>
      </c>
      <c r="I4443">
        <v>10</v>
      </c>
      <c r="J4443">
        <v>9</v>
      </c>
      <c r="K4443">
        <v>1</v>
      </c>
      <c r="L4443">
        <v>84226</v>
      </c>
      <c r="M4443" t="str">
        <f t="shared" si="647"/>
        <v>13</v>
      </c>
      <c r="N4443" t="s">
        <v>3323</v>
      </c>
      <c r="O4443" t="str">
        <f t="shared" ref="O4443:O4464" si="649">"65811"</f>
        <v>65811</v>
      </c>
      <c r="P4443" t="str">
        <f t="shared" si="648"/>
        <v>3030L</v>
      </c>
      <c r="Q4443" t="str">
        <f t="shared" si="646"/>
        <v>0101</v>
      </c>
      <c r="R4443">
        <v>3030</v>
      </c>
      <c r="S4443" t="str">
        <f t="shared" ref="S4443:S4464" si="650">"6580"</f>
        <v>6580</v>
      </c>
      <c r="T4443" t="s">
        <v>3852</v>
      </c>
      <c r="U4443" t="s">
        <v>88</v>
      </c>
    </row>
    <row r="4444" spans="1:21" ht="15" customHeight="1" x14ac:dyDescent="0.3">
      <c r="A4444" t="s">
        <v>179</v>
      </c>
      <c r="B4444" t="str">
        <f>"00067378"</f>
        <v>00067378</v>
      </c>
      <c r="C4444" t="s">
        <v>4290</v>
      </c>
      <c r="D4444" t="s">
        <v>5647</v>
      </c>
      <c r="E4444" t="str">
        <f>"00060313"</f>
        <v>00060313</v>
      </c>
      <c r="F4444">
        <v>0</v>
      </c>
      <c r="G4444" s="243">
        <v>40204</v>
      </c>
      <c r="H4444" t="s">
        <v>182</v>
      </c>
      <c r="I4444">
        <v>4</v>
      </c>
      <c r="J4444">
        <v>4</v>
      </c>
      <c r="K4444">
        <v>1</v>
      </c>
      <c r="L4444">
        <v>24543.75</v>
      </c>
      <c r="M4444" t="str">
        <f t="shared" si="647"/>
        <v>13</v>
      </c>
      <c r="N4444" t="s">
        <v>3323</v>
      </c>
      <c r="O4444" t="str">
        <f t="shared" si="649"/>
        <v>65811</v>
      </c>
      <c r="P4444" t="str">
        <f t="shared" si="648"/>
        <v>3030L</v>
      </c>
      <c r="Q4444" t="str">
        <f t="shared" si="646"/>
        <v>0101</v>
      </c>
      <c r="R4444">
        <v>3030</v>
      </c>
      <c r="S4444" t="str">
        <f t="shared" si="650"/>
        <v>6580</v>
      </c>
      <c r="T4444" t="s">
        <v>3852</v>
      </c>
      <c r="U4444" t="s">
        <v>88</v>
      </c>
    </row>
    <row r="4445" spans="1:21" ht="15" customHeight="1" x14ac:dyDescent="0.3">
      <c r="A4445" t="s">
        <v>179</v>
      </c>
      <c r="B4445" t="str">
        <f>"00067379"</f>
        <v>00067379</v>
      </c>
      <c r="C4445" t="s">
        <v>4290</v>
      </c>
      <c r="H4445" t="s">
        <v>170</v>
      </c>
      <c r="I4445">
        <v>4</v>
      </c>
      <c r="J4445">
        <v>1</v>
      </c>
      <c r="K4445">
        <v>1</v>
      </c>
      <c r="L4445">
        <v>25662</v>
      </c>
      <c r="M4445" t="str">
        <f t="shared" si="647"/>
        <v>13</v>
      </c>
      <c r="N4445" t="s">
        <v>3323</v>
      </c>
      <c r="O4445" t="str">
        <f t="shared" si="649"/>
        <v>65811</v>
      </c>
      <c r="P4445" t="str">
        <f t="shared" si="648"/>
        <v>3030L</v>
      </c>
      <c r="Q4445" t="str">
        <f t="shared" si="646"/>
        <v>0101</v>
      </c>
      <c r="R4445">
        <v>3030</v>
      </c>
      <c r="S4445" t="str">
        <f t="shared" si="650"/>
        <v>6580</v>
      </c>
      <c r="T4445" t="s">
        <v>3852</v>
      </c>
      <c r="U4445" t="s">
        <v>88</v>
      </c>
    </row>
    <row r="4446" spans="1:21" ht="15" customHeight="1" x14ac:dyDescent="0.3">
      <c r="A4446" t="s">
        <v>179</v>
      </c>
      <c r="B4446" t="str">
        <f>"00067380"</f>
        <v>00067380</v>
      </c>
      <c r="C4446" t="s">
        <v>4290</v>
      </c>
      <c r="D4446" t="s">
        <v>5648</v>
      </c>
      <c r="E4446" t="str">
        <f>"00067328"</f>
        <v>00067328</v>
      </c>
      <c r="F4446">
        <v>0</v>
      </c>
      <c r="G4446" s="243">
        <v>40882</v>
      </c>
      <c r="H4446" t="s">
        <v>182</v>
      </c>
      <c r="I4446">
        <v>4</v>
      </c>
      <c r="J4446">
        <v>7</v>
      </c>
      <c r="K4446">
        <v>1</v>
      </c>
      <c r="L4446">
        <v>26633.25</v>
      </c>
      <c r="M4446" t="str">
        <f t="shared" si="647"/>
        <v>13</v>
      </c>
      <c r="N4446" t="s">
        <v>3323</v>
      </c>
      <c r="O4446" t="str">
        <f t="shared" si="649"/>
        <v>65811</v>
      </c>
      <c r="P4446" t="str">
        <f>"2100L"</f>
        <v>2100L</v>
      </c>
      <c r="Q4446" t="str">
        <f t="shared" si="646"/>
        <v>0101</v>
      </c>
      <c r="R4446">
        <v>2100</v>
      </c>
      <c r="S4446" t="str">
        <f t="shared" si="650"/>
        <v>6580</v>
      </c>
      <c r="T4446" t="s">
        <v>3852</v>
      </c>
      <c r="U4446" t="s">
        <v>88</v>
      </c>
    </row>
    <row r="4447" spans="1:21" ht="15" customHeight="1" x14ac:dyDescent="0.3">
      <c r="A4447" t="s">
        <v>179</v>
      </c>
      <c r="B4447" t="str">
        <f>"00067384"</f>
        <v>00067384</v>
      </c>
      <c r="C4447" t="s">
        <v>4290</v>
      </c>
      <c r="D4447" t="s">
        <v>5649</v>
      </c>
      <c r="E4447" t="str">
        <f>"00066355"</f>
        <v>00066355</v>
      </c>
      <c r="F4447">
        <v>0</v>
      </c>
      <c r="G4447" s="243">
        <v>40770</v>
      </c>
      <c r="H4447" t="s">
        <v>182</v>
      </c>
      <c r="I4447">
        <v>4</v>
      </c>
      <c r="J4447">
        <v>4</v>
      </c>
      <c r="K4447">
        <v>1</v>
      </c>
      <c r="L4447">
        <v>24543.75</v>
      </c>
      <c r="M4447" t="str">
        <f t="shared" si="647"/>
        <v>13</v>
      </c>
      <c r="N4447" t="s">
        <v>3370</v>
      </c>
      <c r="O4447" t="str">
        <f t="shared" si="649"/>
        <v>65811</v>
      </c>
      <c r="P4447" t="str">
        <f>"3030L"</f>
        <v>3030L</v>
      </c>
      <c r="Q4447" t="str">
        <f t="shared" si="646"/>
        <v>0101</v>
      </c>
      <c r="R4447">
        <v>3030</v>
      </c>
      <c r="S4447" t="str">
        <f t="shared" si="650"/>
        <v>6580</v>
      </c>
      <c r="T4447" t="s">
        <v>3852</v>
      </c>
      <c r="U4447" t="s">
        <v>88</v>
      </c>
    </row>
    <row r="4448" spans="1:21" ht="15" customHeight="1" x14ac:dyDescent="0.3">
      <c r="A4448" t="s">
        <v>179</v>
      </c>
      <c r="B4448" t="str">
        <f>"00067385"</f>
        <v>00067385</v>
      </c>
      <c r="C4448" t="s">
        <v>4290</v>
      </c>
      <c r="D4448" t="s">
        <v>5650</v>
      </c>
      <c r="E4448" t="str">
        <f>"00057762"</f>
        <v>00057762</v>
      </c>
      <c r="F4448">
        <v>0</v>
      </c>
      <c r="G4448" s="243">
        <v>40042</v>
      </c>
      <c r="H4448" t="s">
        <v>182</v>
      </c>
      <c r="I4448">
        <v>4</v>
      </c>
      <c r="J4448">
        <v>10</v>
      </c>
      <c r="K4448">
        <v>1</v>
      </c>
      <c r="L4448">
        <v>28721</v>
      </c>
      <c r="M4448" t="str">
        <f t="shared" si="647"/>
        <v>13</v>
      </c>
      <c r="N4448" t="s">
        <v>3323</v>
      </c>
      <c r="O4448" t="str">
        <f t="shared" si="649"/>
        <v>65811</v>
      </c>
      <c r="P4448" t="str">
        <f>"3030L"</f>
        <v>3030L</v>
      </c>
      <c r="Q4448" t="str">
        <f t="shared" si="646"/>
        <v>0101</v>
      </c>
      <c r="R4448">
        <v>3030</v>
      </c>
      <c r="S4448" t="str">
        <f t="shared" si="650"/>
        <v>6580</v>
      </c>
      <c r="T4448" t="s">
        <v>3852</v>
      </c>
      <c r="U4448" t="s">
        <v>88</v>
      </c>
    </row>
    <row r="4449" spans="1:21" ht="15" customHeight="1" x14ac:dyDescent="0.3">
      <c r="A4449" t="s">
        <v>179</v>
      </c>
      <c r="B4449" t="str">
        <f>"00068068"</f>
        <v>00068068</v>
      </c>
      <c r="C4449" t="s">
        <v>4290</v>
      </c>
      <c r="D4449" t="s">
        <v>5651</v>
      </c>
      <c r="E4449" t="str">
        <f>"00057909"</f>
        <v>00057909</v>
      </c>
      <c r="F4449">
        <v>0</v>
      </c>
      <c r="G4449" s="243">
        <v>40042</v>
      </c>
      <c r="H4449" t="s">
        <v>182</v>
      </c>
      <c r="I4449">
        <v>4</v>
      </c>
      <c r="J4449">
        <v>4</v>
      </c>
      <c r="K4449">
        <v>1</v>
      </c>
      <c r="L4449">
        <v>24543.75</v>
      </c>
      <c r="M4449" t="str">
        <f t="shared" si="647"/>
        <v>13</v>
      </c>
      <c r="N4449" t="s">
        <v>3370</v>
      </c>
      <c r="O4449" t="str">
        <f t="shared" si="649"/>
        <v>65811</v>
      </c>
      <c r="P4449" t="str">
        <f>"3030L"</f>
        <v>3030L</v>
      </c>
      <c r="Q4449" t="str">
        <f t="shared" si="646"/>
        <v>0101</v>
      </c>
      <c r="R4449">
        <v>3030</v>
      </c>
      <c r="S4449" t="str">
        <f t="shared" si="650"/>
        <v>6580</v>
      </c>
      <c r="T4449" t="s">
        <v>3852</v>
      </c>
      <c r="U4449" t="s">
        <v>88</v>
      </c>
    </row>
    <row r="4450" spans="1:21" ht="15" customHeight="1" x14ac:dyDescent="0.3">
      <c r="A4450" t="s">
        <v>179</v>
      </c>
      <c r="B4450" t="str">
        <f>"00068262"</f>
        <v>00068262</v>
      </c>
      <c r="C4450" t="s">
        <v>4260</v>
      </c>
      <c r="H4450" t="s">
        <v>170</v>
      </c>
      <c r="I4450">
        <v>15</v>
      </c>
      <c r="J4450">
        <v>1</v>
      </c>
      <c r="K4450">
        <v>1</v>
      </c>
      <c r="L4450">
        <v>53256</v>
      </c>
      <c r="M4450" t="str">
        <f t="shared" si="647"/>
        <v>13</v>
      </c>
      <c r="N4450" t="s">
        <v>3323</v>
      </c>
      <c r="O4450" t="str">
        <f t="shared" si="649"/>
        <v>65811</v>
      </c>
      <c r="P4450" t="str">
        <f>"3030L"</f>
        <v>3030L</v>
      </c>
      <c r="Q4450" t="str">
        <f t="shared" si="646"/>
        <v>0101</v>
      </c>
      <c r="R4450">
        <v>3030</v>
      </c>
      <c r="S4450" t="str">
        <f t="shared" si="650"/>
        <v>6580</v>
      </c>
      <c r="T4450" t="s">
        <v>3852</v>
      </c>
      <c r="U4450" t="s">
        <v>88</v>
      </c>
    </row>
    <row r="4451" spans="1:21" ht="15" customHeight="1" x14ac:dyDescent="0.3">
      <c r="A4451" t="s">
        <v>179</v>
      </c>
      <c r="B4451" t="str">
        <f>"00072518"</f>
        <v>00072518</v>
      </c>
      <c r="C4451" t="s">
        <v>4333</v>
      </c>
      <c r="D4451" t="s">
        <v>5652</v>
      </c>
      <c r="E4451" t="str">
        <f>"00054912"</f>
        <v>00054912</v>
      </c>
      <c r="F4451">
        <v>0</v>
      </c>
      <c r="G4451" s="243">
        <v>39216</v>
      </c>
      <c r="H4451" t="s">
        <v>182</v>
      </c>
      <c r="I4451">
        <v>12</v>
      </c>
      <c r="J4451">
        <v>4</v>
      </c>
      <c r="K4451">
        <v>1</v>
      </c>
      <c r="L4451">
        <v>65427</v>
      </c>
      <c r="M4451" t="str">
        <f t="shared" si="647"/>
        <v>13</v>
      </c>
      <c r="N4451" t="s">
        <v>3323</v>
      </c>
      <c r="O4451" t="str">
        <f t="shared" si="649"/>
        <v>65811</v>
      </c>
      <c r="P4451" t="str">
        <f>"2100L"</f>
        <v>2100L</v>
      </c>
      <c r="Q4451" t="str">
        <f t="shared" si="646"/>
        <v>0101</v>
      </c>
      <c r="R4451">
        <v>2100</v>
      </c>
      <c r="S4451" t="str">
        <f t="shared" si="650"/>
        <v>6580</v>
      </c>
      <c r="T4451" t="s">
        <v>3852</v>
      </c>
      <c r="U4451" t="s">
        <v>88</v>
      </c>
    </row>
    <row r="4452" spans="1:21" ht="15" customHeight="1" x14ac:dyDescent="0.3">
      <c r="A4452" t="s">
        <v>179</v>
      </c>
      <c r="B4452" t="str">
        <f>"00072892"</f>
        <v>00072892</v>
      </c>
      <c r="C4452" t="s">
        <v>3670</v>
      </c>
      <c r="D4452" t="s">
        <v>1331</v>
      </c>
      <c r="E4452" t="str">
        <f>"00051378"</f>
        <v>00051378</v>
      </c>
      <c r="F4452">
        <v>0</v>
      </c>
      <c r="G4452" s="243">
        <v>33848</v>
      </c>
      <c r="H4452" t="s">
        <v>182</v>
      </c>
      <c r="I4452">
        <v>8</v>
      </c>
      <c r="J4452">
        <v>2</v>
      </c>
      <c r="K4452">
        <v>1</v>
      </c>
      <c r="L4452">
        <v>84746</v>
      </c>
      <c r="M4452" t="str">
        <f t="shared" si="647"/>
        <v>13</v>
      </c>
      <c r="N4452" t="s">
        <v>3323</v>
      </c>
      <c r="O4452" t="str">
        <f t="shared" si="649"/>
        <v>65811</v>
      </c>
      <c r="P4452" t="str">
        <f>"1501L"</f>
        <v>1501L</v>
      </c>
      <c r="Q4452" t="str">
        <f t="shared" si="646"/>
        <v>0101</v>
      </c>
      <c r="R4452">
        <v>1501</v>
      </c>
      <c r="S4452" t="str">
        <f t="shared" si="650"/>
        <v>6580</v>
      </c>
      <c r="T4452" t="s">
        <v>3852</v>
      </c>
      <c r="U4452" t="s">
        <v>88</v>
      </c>
    </row>
    <row r="4453" spans="1:21" ht="15" customHeight="1" x14ac:dyDescent="0.3">
      <c r="A4453" t="s">
        <v>179</v>
      </c>
      <c r="B4453" t="str">
        <f>"00073760"</f>
        <v>00073760</v>
      </c>
      <c r="C4453" t="s">
        <v>4267</v>
      </c>
      <c r="D4453" t="s">
        <v>1324</v>
      </c>
      <c r="E4453" t="str">
        <f>"00055033"</f>
        <v>00055033</v>
      </c>
      <c r="F4453">
        <v>0</v>
      </c>
      <c r="G4453" s="243">
        <v>39314</v>
      </c>
      <c r="H4453" t="s">
        <v>182</v>
      </c>
      <c r="I4453">
        <v>15</v>
      </c>
      <c r="J4453">
        <v>10</v>
      </c>
      <c r="K4453">
        <v>1</v>
      </c>
      <c r="L4453">
        <v>78273</v>
      </c>
      <c r="M4453" t="str">
        <f t="shared" si="647"/>
        <v>13</v>
      </c>
      <c r="N4453" t="s">
        <v>3370</v>
      </c>
      <c r="O4453" t="str">
        <f t="shared" si="649"/>
        <v>65811</v>
      </c>
      <c r="P4453" t="str">
        <f>"2100L"</f>
        <v>2100L</v>
      </c>
      <c r="Q4453" t="str">
        <f t="shared" si="646"/>
        <v>0101</v>
      </c>
      <c r="R4453">
        <v>2100</v>
      </c>
      <c r="S4453" t="str">
        <f t="shared" si="650"/>
        <v>6580</v>
      </c>
      <c r="T4453" t="s">
        <v>3852</v>
      </c>
      <c r="U4453" t="s">
        <v>88</v>
      </c>
    </row>
    <row r="4454" spans="1:21" ht="15" customHeight="1" x14ac:dyDescent="0.3">
      <c r="A4454" t="s">
        <v>179</v>
      </c>
      <c r="B4454" t="str">
        <f>"00073863"</f>
        <v>00073863</v>
      </c>
      <c r="C4454" t="s">
        <v>4253</v>
      </c>
      <c r="D4454" t="s">
        <v>1291</v>
      </c>
      <c r="E4454" t="str">
        <f>"00049990"</f>
        <v>00049990</v>
      </c>
      <c r="F4454">
        <v>0</v>
      </c>
      <c r="G4454" s="243">
        <v>36034</v>
      </c>
      <c r="H4454" t="s">
        <v>182</v>
      </c>
      <c r="I4454">
        <v>15</v>
      </c>
      <c r="J4454">
        <v>12</v>
      </c>
      <c r="K4454">
        <v>1</v>
      </c>
      <c r="L4454">
        <v>87431</v>
      </c>
      <c r="M4454" t="str">
        <f t="shared" si="647"/>
        <v>13</v>
      </c>
      <c r="N4454" t="s">
        <v>3323</v>
      </c>
      <c r="O4454" t="str">
        <f t="shared" si="649"/>
        <v>65811</v>
      </c>
      <c r="P4454" t="str">
        <f>"2100L"</f>
        <v>2100L</v>
      </c>
      <c r="Q4454" t="str">
        <f t="shared" si="646"/>
        <v>0101</v>
      </c>
      <c r="R4454">
        <v>2100</v>
      </c>
      <c r="S4454" t="str">
        <f t="shared" si="650"/>
        <v>6580</v>
      </c>
      <c r="T4454" t="s">
        <v>3852</v>
      </c>
      <c r="U4454" t="s">
        <v>88</v>
      </c>
    </row>
    <row r="4455" spans="1:21" ht="15" customHeight="1" x14ac:dyDescent="0.3">
      <c r="A4455" t="s">
        <v>179</v>
      </c>
      <c r="B4455" t="str">
        <f>"00074026"</f>
        <v>00074026</v>
      </c>
      <c r="C4455" t="s">
        <v>4260</v>
      </c>
      <c r="D4455" t="s">
        <v>1319</v>
      </c>
      <c r="E4455" t="str">
        <f>"00046822"</f>
        <v>00046822</v>
      </c>
      <c r="F4455">
        <v>0</v>
      </c>
      <c r="G4455" s="243">
        <v>37861</v>
      </c>
      <c r="H4455" t="s">
        <v>182</v>
      </c>
      <c r="I4455">
        <v>15</v>
      </c>
      <c r="J4455">
        <v>14</v>
      </c>
      <c r="K4455">
        <v>1</v>
      </c>
      <c r="L4455">
        <v>98967</v>
      </c>
      <c r="M4455" t="str">
        <f t="shared" si="647"/>
        <v>13</v>
      </c>
      <c r="N4455" t="s">
        <v>3323</v>
      </c>
      <c r="O4455" t="str">
        <f t="shared" si="649"/>
        <v>65811</v>
      </c>
      <c r="P4455" t="str">
        <f>"3030L"</f>
        <v>3030L</v>
      </c>
      <c r="Q4455" t="str">
        <f t="shared" si="646"/>
        <v>0101</v>
      </c>
      <c r="R4455">
        <v>3030</v>
      </c>
      <c r="S4455" t="str">
        <f t="shared" si="650"/>
        <v>6580</v>
      </c>
      <c r="T4455" t="s">
        <v>3852</v>
      </c>
      <c r="U4455" t="s">
        <v>88</v>
      </c>
    </row>
    <row r="4456" spans="1:21" ht="15" customHeight="1" x14ac:dyDescent="0.3">
      <c r="A4456" t="s">
        <v>179</v>
      </c>
      <c r="B4456" t="str">
        <f>"00074432"</f>
        <v>00074432</v>
      </c>
      <c r="C4456" t="s">
        <v>4263</v>
      </c>
      <c r="D4456" t="s">
        <v>3977</v>
      </c>
      <c r="E4456" t="str">
        <f>"00066361"</f>
        <v>00066361</v>
      </c>
      <c r="F4456">
        <v>0</v>
      </c>
      <c r="G4456" s="243">
        <v>40755</v>
      </c>
      <c r="H4456" t="s">
        <v>182</v>
      </c>
      <c r="I4456">
        <v>15</v>
      </c>
      <c r="J4456">
        <v>2</v>
      </c>
      <c r="K4456">
        <v>1</v>
      </c>
      <c r="L4456">
        <v>51716</v>
      </c>
      <c r="M4456" t="str">
        <f t="shared" si="647"/>
        <v>13</v>
      </c>
      <c r="N4456" t="s">
        <v>3323</v>
      </c>
      <c r="O4456" t="str">
        <f t="shared" si="649"/>
        <v>65811</v>
      </c>
      <c r="P4456" t="str">
        <f>"2100L"</f>
        <v>2100L</v>
      </c>
      <c r="Q4456" t="str">
        <f t="shared" si="646"/>
        <v>0101</v>
      </c>
      <c r="R4456">
        <v>2100</v>
      </c>
      <c r="S4456" t="str">
        <f t="shared" si="650"/>
        <v>6580</v>
      </c>
      <c r="T4456" t="s">
        <v>3852</v>
      </c>
      <c r="U4456" t="s">
        <v>88</v>
      </c>
    </row>
    <row r="4457" spans="1:21" ht="15" customHeight="1" x14ac:dyDescent="0.3">
      <c r="A4457" t="s">
        <v>179</v>
      </c>
      <c r="B4457" t="str">
        <f>"00074433"</f>
        <v>00074433</v>
      </c>
      <c r="C4457" t="s">
        <v>4372</v>
      </c>
      <c r="D4457" t="s">
        <v>5653</v>
      </c>
      <c r="E4457" t="str">
        <f>"00047884"</f>
        <v>00047884</v>
      </c>
      <c r="F4457">
        <v>0</v>
      </c>
      <c r="G4457" s="243">
        <v>40770</v>
      </c>
      <c r="H4457" t="s">
        <v>182</v>
      </c>
      <c r="I4457">
        <v>4</v>
      </c>
      <c r="J4457">
        <v>1</v>
      </c>
      <c r="K4457">
        <v>1</v>
      </c>
      <c r="L4457">
        <v>25662</v>
      </c>
      <c r="M4457" t="str">
        <f t="shared" si="647"/>
        <v>13</v>
      </c>
      <c r="N4457" t="s">
        <v>3323</v>
      </c>
      <c r="O4457" t="str">
        <f t="shared" si="649"/>
        <v>65811</v>
      </c>
      <c r="P4457" t="str">
        <f>"2100L"</f>
        <v>2100L</v>
      </c>
      <c r="Q4457" t="str">
        <f t="shared" si="646"/>
        <v>0101</v>
      </c>
      <c r="R4457">
        <v>2100</v>
      </c>
      <c r="S4457" t="str">
        <f t="shared" si="650"/>
        <v>6580</v>
      </c>
      <c r="T4457" t="s">
        <v>3852</v>
      </c>
      <c r="U4457" t="s">
        <v>88</v>
      </c>
    </row>
    <row r="4458" spans="1:21" ht="15" customHeight="1" x14ac:dyDescent="0.3">
      <c r="A4458" t="s">
        <v>179</v>
      </c>
      <c r="B4458" t="str">
        <f>"00074435"</f>
        <v>00074435</v>
      </c>
      <c r="C4458" t="s">
        <v>5537</v>
      </c>
      <c r="D4458" t="s">
        <v>1330</v>
      </c>
      <c r="E4458" t="str">
        <f>"00056381"</f>
        <v>00056381</v>
      </c>
      <c r="F4458">
        <v>0</v>
      </c>
      <c r="G4458" s="243">
        <v>40042</v>
      </c>
      <c r="H4458" t="s">
        <v>182</v>
      </c>
      <c r="I4458">
        <v>10</v>
      </c>
      <c r="J4458">
        <v>1</v>
      </c>
      <c r="K4458">
        <v>1</v>
      </c>
      <c r="L4458">
        <v>62794</v>
      </c>
      <c r="M4458" t="str">
        <f t="shared" si="647"/>
        <v>13</v>
      </c>
      <c r="N4458" t="s">
        <v>3323</v>
      </c>
      <c r="O4458" t="str">
        <f t="shared" si="649"/>
        <v>65811</v>
      </c>
      <c r="P4458" t="str">
        <f>"2100L"</f>
        <v>2100L</v>
      </c>
      <c r="Q4458" t="str">
        <f t="shared" si="646"/>
        <v>0101</v>
      </c>
      <c r="R4458">
        <v>2100</v>
      </c>
      <c r="S4458" t="str">
        <f t="shared" si="650"/>
        <v>6580</v>
      </c>
      <c r="T4458" t="s">
        <v>3852</v>
      </c>
      <c r="U4458" t="s">
        <v>88</v>
      </c>
    </row>
    <row r="4459" spans="1:21" ht="15" customHeight="1" x14ac:dyDescent="0.3">
      <c r="A4459" t="s">
        <v>179</v>
      </c>
      <c r="B4459" t="str">
        <f>"00074701"</f>
        <v>00074701</v>
      </c>
      <c r="C4459" t="s">
        <v>200</v>
      </c>
      <c r="D4459" t="s">
        <v>3973</v>
      </c>
      <c r="E4459" t="str">
        <f>"00039118"</f>
        <v>00039118</v>
      </c>
      <c r="F4459">
        <v>0</v>
      </c>
      <c r="G4459" s="243">
        <v>40755</v>
      </c>
      <c r="H4459" t="s">
        <v>182</v>
      </c>
      <c r="I4459">
        <v>15</v>
      </c>
      <c r="J4459">
        <v>4</v>
      </c>
      <c r="K4459">
        <v>1</v>
      </c>
      <c r="L4459">
        <v>61158</v>
      </c>
      <c r="M4459" t="str">
        <f t="shared" si="647"/>
        <v>13</v>
      </c>
      <c r="N4459" t="s">
        <v>3323</v>
      </c>
      <c r="O4459" t="str">
        <f t="shared" si="649"/>
        <v>65811</v>
      </c>
      <c r="P4459" t="str">
        <f>"2100L"</f>
        <v>2100L</v>
      </c>
      <c r="Q4459" t="str">
        <f t="shared" si="646"/>
        <v>0101</v>
      </c>
      <c r="R4459">
        <v>2100</v>
      </c>
      <c r="S4459" t="str">
        <f t="shared" si="650"/>
        <v>6580</v>
      </c>
      <c r="T4459" t="s">
        <v>3852</v>
      </c>
      <c r="U4459" t="s">
        <v>88</v>
      </c>
    </row>
    <row r="4460" spans="1:21" ht="15" customHeight="1" x14ac:dyDescent="0.3">
      <c r="A4460" t="s">
        <v>179</v>
      </c>
      <c r="B4460" t="str">
        <f>"00074739"</f>
        <v>00074739</v>
      </c>
      <c r="C4460" t="s">
        <v>4520</v>
      </c>
      <c r="H4460" t="s">
        <v>170</v>
      </c>
      <c r="I4460">
        <v>4</v>
      </c>
      <c r="J4460">
        <v>1</v>
      </c>
      <c r="K4460">
        <v>1</v>
      </c>
      <c r="L4460">
        <v>25662</v>
      </c>
      <c r="M4460" t="str">
        <f t="shared" si="647"/>
        <v>13</v>
      </c>
      <c r="N4460" t="s">
        <v>3323</v>
      </c>
      <c r="O4460" t="str">
        <f t="shared" si="649"/>
        <v>65811</v>
      </c>
      <c r="P4460" t="str">
        <f>"2100L"</f>
        <v>2100L</v>
      </c>
      <c r="Q4460" t="str">
        <f t="shared" ref="Q4460:Q4465" si="651">"0101"</f>
        <v>0101</v>
      </c>
      <c r="R4460">
        <v>2100</v>
      </c>
      <c r="S4460" t="str">
        <f t="shared" si="650"/>
        <v>6580</v>
      </c>
      <c r="T4460" t="s">
        <v>3852</v>
      </c>
      <c r="U4460" t="s">
        <v>88</v>
      </c>
    </row>
    <row r="4461" spans="1:21" ht="15" customHeight="1" x14ac:dyDescent="0.3">
      <c r="A4461" t="s">
        <v>179</v>
      </c>
      <c r="B4461" t="str">
        <f>"00075906"</f>
        <v>00075906</v>
      </c>
      <c r="C4461" t="s">
        <v>3670</v>
      </c>
      <c r="D4461" t="s">
        <v>5654</v>
      </c>
      <c r="E4461" t="str">
        <f>"00069799"</f>
        <v>00069799</v>
      </c>
      <c r="F4461">
        <v>0</v>
      </c>
      <c r="G4461" s="243">
        <v>41105</v>
      </c>
      <c r="H4461" t="s">
        <v>182</v>
      </c>
      <c r="I4461">
        <v>8</v>
      </c>
      <c r="J4461">
        <v>3</v>
      </c>
      <c r="K4461">
        <v>1</v>
      </c>
      <c r="L4461">
        <v>87160</v>
      </c>
      <c r="M4461" t="str">
        <f t="shared" si="647"/>
        <v>13</v>
      </c>
      <c r="N4461" t="s">
        <v>3370</v>
      </c>
      <c r="O4461" t="str">
        <f t="shared" si="649"/>
        <v>65811</v>
      </c>
      <c r="P4461" t="str">
        <f>"1501L"</f>
        <v>1501L</v>
      </c>
      <c r="Q4461" t="str">
        <f t="shared" si="651"/>
        <v>0101</v>
      </c>
      <c r="R4461">
        <v>1501</v>
      </c>
      <c r="S4461" t="str">
        <f t="shared" si="650"/>
        <v>6580</v>
      </c>
      <c r="T4461" t="s">
        <v>3852</v>
      </c>
      <c r="U4461" t="s">
        <v>88</v>
      </c>
    </row>
    <row r="4462" spans="1:21" ht="15" customHeight="1" x14ac:dyDescent="0.3">
      <c r="A4462" t="s">
        <v>179</v>
      </c>
      <c r="B4462" t="str">
        <f>"00076119"</f>
        <v>00076119</v>
      </c>
      <c r="C4462" t="s">
        <v>4253</v>
      </c>
      <c r="D4462" t="s">
        <v>5655</v>
      </c>
      <c r="E4462" t="str">
        <f>"00062578"</f>
        <v>00062578</v>
      </c>
      <c r="F4462">
        <v>0</v>
      </c>
      <c r="G4462" s="243">
        <v>41133</v>
      </c>
      <c r="H4462" t="s">
        <v>182</v>
      </c>
      <c r="I4462">
        <v>15</v>
      </c>
      <c r="J4462">
        <v>12</v>
      </c>
      <c r="K4462">
        <v>1</v>
      </c>
      <c r="L4462">
        <v>92613</v>
      </c>
      <c r="M4462" t="str">
        <f t="shared" si="647"/>
        <v>13</v>
      </c>
      <c r="N4462" t="s">
        <v>3323</v>
      </c>
      <c r="O4462" t="str">
        <f t="shared" si="649"/>
        <v>65811</v>
      </c>
      <c r="P4462" t="str">
        <f>"2100L"</f>
        <v>2100L</v>
      </c>
      <c r="Q4462" t="str">
        <f t="shared" si="651"/>
        <v>0101</v>
      </c>
      <c r="R4462">
        <v>2100</v>
      </c>
      <c r="S4462" t="str">
        <f t="shared" si="650"/>
        <v>6580</v>
      </c>
      <c r="T4462" t="s">
        <v>3852</v>
      </c>
      <c r="U4462" t="s">
        <v>88</v>
      </c>
    </row>
    <row r="4463" spans="1:21" ht="15" customHeight="1" x14ac:dyDescent="0.3">
      <c r="A4463" t="s">
        <v>179</v>
      </c>
      <c r="B4463" t="str">
        <f>"00076120"</f>
        <v>00076120</v>
      </c>
      <c r="C4463" t="s">
        <v>4438</v>
      </c>
      <c r="H4463" t="s">
        <v>170</v>
      </c>
      <c r="I4463">
        <v>11</v>
      </c>
      <c r="J4463">
        <v>0</v>
      </c>
      <c r="K4463">
        <v>0.5</v>
      </c>
      <c r="L4463">
        <v>60779</v>
      </c>
      <c r="M4463" t="str">
        <f t="shared" si="647"/>
        <v>13</v>
      </c>
      <c r="N4463" t="s">
        <v>3323</v>
      </c>
      <c r="O4463" t="str">
        <f t="shared" si="649"/>
        <v>65811</v>
      </c>
      <c r="P4463" t="str">
        <f>"2100L"</f>
        <v>2100L</v>
      </c>
      <c r="Q4463" t="str">
        <f t="shared" si="651"/>
        <v>0101</v>
      </c>
      <c r="R4463">
        <v>2100</v>
      </c>
      <c r="S4463" t="str">
        <f t="shared" si="650"/>
        <v>6580</v>
      </c>
      <c r="T4463" t="s">
        <v>3852</v>
      </c>
      <c r="U4463" t="s">
        <v>88</v>
      </c>
    </row>
    <row r="4464" spans="1:21" ht="15" customHeight="1" x14ac:dyDescent="0.3">
      <c r="A4464" t="s">
        <v>179</v>
      </c>
      <c r="B4464" t="str">
        <f>"00076821"</f>
        <v>00076821</v>
      </c>
      <c r="C4464" t="s">
        <v>4367</v>
      </c>
      <c r="D4464" t="s">
        <v>5656</v>
      </c>
      <c r="E4464" t="str">
        <f>"00070089"</f>
        <v>00070089</v>
      </c>
      <c r="F4464">
        <v>0</v>
      </c>
      <c r="G4464" s="243">
        <v>41133</v>
      </c>
      <c r="H4464" t="s">
        <v>182</v>
      </c>
      <c r="I4464">
        <v>9</v>
      </c>
      <c r="J4464">
        <v>5</v>
      </c>
      <c r="K4464">
        <v>1</v>
      </c>
      <c r="L4464">
        <v>41475</v>
      </c>
      <c r="M4464" t="str">
        <f t="shared" si="647"/>
        <v>13</v>
      </c>
      <c r="N4464" t="s">
        <v>3370</v>
      </c>
      <c r="O4464" t="str">
        <f t="shared" si="649"/>
        <v>65811</v>
      </c>
      <c r="P4464" t="str">
        <f>"2100L"</f>
        <v>2100L</v>
      </c>
      <c r="Q4464" t="str">
        <f t="shared" si="651"/>
        <v>0101</v>
      </c>
      <c r="R4464">
        <v>2100</v>
      </c>
      <c r="S4464" t="str">
        <f t="shared" si="650"/>
        <v>6580</v>
      </c>
      <c r="T4464" t="s">
        <v>3852</v>
      </c>
      <c r="U4464" t="s">
        <v>88</v>
      </c>
    </row>
    <row r="4465" spans="1:21" ht="15" customHeight="1" x14ac:dyDescent="0.3">
      <c r="A4465" t="s">
        <v>179</v>
      </c>
      <c r="B4465" t="str">
        <f>"00052519"</f>
        <v>00052519</v>
      </c>
      <c r="C4465" t="s">
        <v>5657</v>
      </c>
      <c r="D4465" t="s">
        <v>223</v>
      </c>
      <c r="E4465" t="str">
        <f>"00048471"</f>
        <v>00048471</v>
      </c>
      <c r="F4465">
        <v>0</v>
      </c>
      <c r="G4465" s="243">
        <v>26787</v>
      </c>
      <c r="H4465" t="s">
        <v>182</v>
      </c>
      <c r="I4465">
        <v>15</v>
      </c>
      <c r="J4465">
        <v>14</v>
      </c>
      <c r="K4465">
        <v>0.5</v>
      </c>
      <c r="L4465">
        <v>88427</v>
      </c>
      <c r="M4465" t="str">
        <f t="shared" si="647"/>
        <v>13</v>
      </c>
      <c r="N4465" t="s">
        <v>3323</v>
      </c>
      <c r="O4465" t="str">
        <f>"71111"</f>
        <v>71111</v>
      </c>
      <c r="P4465" t="str">
        <f>"5700L"</f>
        <v>5700L</v>
      </c>
      <c r="Q4465" t="str">
        <f t="shared" si="651"/>
        <v>0101</v>
      </c>
      <c r="R4465">
        <v>5700</v>
      </c>
      <c r="S4465" t="str">
        <f t="shared" ref="S4465:S4489" si="652">"7110"</f>
        <v>7110</v>
      </c>
      <c r="T4465" t="s">
        <v>3986</v>
      </c>
      <c r="U4465" t="s">
        <v>96</v>
      </c>
    </row>
    <row r="4466" spans="1:21" ht="15" customHeight="1" x14ac:dyDescent="0.3">
      <c r="A4466" t="s">
        <v>179</v>
      </c>
      <c r="B4466" t="str">
        <f>"00052519"</f>
        <v>00052519</v>
      </c>
      <c r="C4466" t="s">
        <v>5657</v>
      </c>
      <c r="D4466" t="s">
        <v>223</v>
      </c>
      <c r="E4466" t="str">
        <f>"00048471"</f>
        <v>00048471</v>
      </c>
      <c r="F4466">
        <v>0</v>
      </c>
      <c r="G4466" s="243">
        <v>26787</v>
      </c>
      <c r="H4466" t="s">
        <v>182</v>
      </c>
      <c r="I4466">
        <v>15</v>
      </c>
      <c r="J4466">
        <v>14</v>
      </c>
      <c r="K4466">
        <v>0.5</v>
      </c>
      <c r="L4466">
        <v>88427</v>
      </c>
      <c r="M4466" t="str">
        <f t="shared" si="647"/>
        <v>13</v>
      </c>
      <c r="N4466" t="s">
        <v>3323</v>
      </c>
      <c r="O4466" t="str">
        <f>"71182"</f>
        <v>71182</v>
      </c>
      <c r="P4466" t="str">
        <f>"5700S"</f>
        <v>5700S</v>
      </c>
      <c r="Q4466" t="str">
        <f>"0602"</f>
        <v>0602</v>
      </c>
      <c r="R4466">
        <v>5700</v>
      </c>
      <c r="S4466" t="str">
        <f t="shared" si="652"/>
        <v>7110</v>
      </c>
      <c r="T4466" t="s">
        <v>3986</v>
      </c>
      <c r="U4466" t="s">
        <v>96</v>
      </c>
    </row>
    <row r="4467" spans="1:21" ht="15" customHeight="1" x14ac:dyDescent="0.3">
      <c r="A4467" t="s">
        <v>179</v>
      </c>
      <c r="B4467" t="str">
        <f>"00053010"</f>
        <v>00053010</v>
      </c>
      <c r="C4467" t="s">
        <v>4360</v>
      </c>
      <c r="D4467" t="s">
        <v>5658</v>
      </c>
      <c r="E4467" t="str">
        <f>"00050792"</f>
        <v>00050792</v>
      </c>
      <c r="F4467">
        <v>0</v>
      </c>
      <c r="G4467" s="243">
        <v>26025</v>
      </c>
      <c r="H4467" t="s">
        <v>182</v>
      </c>
      <c r="I4467">
        <v>7</v>
      </c>
      <c r="J4467">
        <v>10</v>
      </c>
      <c r="K4467">
        <v>1</v>
      </c>
      <c r="L4467">
        <v>44837</v>
      </c>
      <c r="M4467" t="str">
        <f t="shared" si="647"/>
        <v>13</v>
      </c>
      <c r="N4467" t="s">
        <v>3323</v>
      </c>
      <c r="O4467" t="str">
        <f t="shared" ref="O4467:O4480" si="653">"71111"</f>
        <v>71111</v>
      </c>
      <c r="P4467" t="str">
        <f>"1502L"</f>
        <v>1502L</v>
      </c>
      <c r="Q4467" t="str">
        <f t="shared" ref="Q4467:Q4480" si="654">"0101"</f>
        <v>0101</v>
      </c>
      <c r="R4467">
        <v>1502</v>
      </c>
      <c r="S4467" t="str">
        <f t="shared" si="652"/>
        <v>7110</v>
      </c>
      <c r="T4467" t="s">
        <v>3986</v>
      </c>
      <c r="U4467" t="s">
        <v>96</v>
      </c>
    </row>
    <row r="4468" spans="1:21" ht="15" customHeight="1" x14ac:dyDescent="0.3">
      <c r="A4468" t="s">
        <v>179</v>
      </c>
      <c r="B4468" t="str">
        <f>"00053188"</f>
        <v>00053188</v>
      </c>
      <c r="C4468" t="s">
        <v>4254</v>
      </c>
      <c r="D4468" t="s">
        <v>4005</v>
      </c>
      <c r="E4468" t="str">
        <f>"00066109"</f>
        <v>00066109</v>
      </c>
      <c r="F4468">
        <v>0</v>
      </c>
      <c r="G4468" s="243">
        <v>40770</v>
      </c>
      <c r="H4468" t="s">
        <v>182</v>
      </c>
      <c r="I4468">
        <v>15</v>
      </c>
      <c r="J4468">
        <v>1</v>
      </c>
      <c r="K4468">
        <v>1</v>
      </c>
      <c r="L4468">
        <v>54975</v>
      </c>
      <c r="M4468" t="str">
        <f t="shared" si="647"/>
        <v>13</v>
      </c>
      <c r="N4468" t="s">
        <v>3323</v>
      </c>
      <c r="O4468" t="str">
        <f t="shared" si="653"/>
        <v>71111</v>
      </c>
      <c r="P4468" t="str">
        <f t="shared" ref="P4468:P4479" si="655">"2100L"</f>
        <v>2100L</v>
      </c>
      <c r="Q4468" t="str">
        <f t="shared" si="654"/>
        <v>0101</v>
      </c>
      <c r="R4468">
        <v>2100</v>
      </c>
      <c r="S4468" t="str">
        <f t="shared" si="652"/>
        <v>7110</v>
      </c>
      <c r="T4468" t="s">
        <v>3986</v>
      </c>
      <c r="U4468" t="s">
        <v>96</v>
      </c>
    </row>
    <row r="4469" spans="1:21" ht="15" customHeight="1" x14ac:dyDescent="0.3">
      <c r="A4469" t="s">
        <v>179</v>
      </c>
      <c r="B4469" t="str">
        <f>"00053407"</f>
        <v>00053407</v>
      </c>
      <c r="C4469" t="s">
        <v>4253</v>
      </c>
      <c r="D4469" t="s">
        <v>3990</v>
      </c>
      <c r="E4469" t="str">
        <f>"00066013"</f>
        <v>00066013</v>
      </c>
      <c r="F4469">
        <v>0</v>
      </c>
      <c r="G4469" s="243">
        <v>40755</v>
      </c>
      <c r="H4469" t="s">
        <v>182</v>
      </c>
      <c r="I4469">
        <v>15</v>
      </c>
      <c r="J4469">
        <v>11</v>
      </c>
      <c r="K4469">
        <v>1</v>
      </c>
      <c r="L4469">
        <v>86236</v>
      </c>
      <c r="M4469" t="str">
        <f t="shared" si="647"/>
        <v>13</v>
      </c>
      <c r="N4469" t="s">
        <v>3323</v>
      </c>
      <c r="O4469" t="str">
        <f t="shared" si="653"/>
        <v>71111</v>
      </c>
      <c r="P4469" t="str">
        <f t="shared" si="655"/>
        <v>2100L</v>
      </c>
      <c r="Q4469" t="str">
        <f t="shared" si="654"/>
        <v>0101</v>
      </c>
      <c r="R4469">
        <v>2100</v>
      </c>
      <c r="S4469" t="str">
        <f t="shared" si="652"/>
        <v>7110</v>
      </c>
      <c r="T4469" t="s">
        <v>3986</v>
      </c>
      <c r="U4469" t="s">
        <v>96</v>
      </c>
    </row>
    <row r="4470" spans="1:21" ht="15" customHeight="1" x14ac:dyDescent="0.3">
      <c r="A4470" t="s">
        <v>179</v>
      </c>
      <c r="B4470" t="str">
        <f>"00053634"</f>
        <v>00053634</v>
      </c>
      <c r="C4470" t="s">
        <v>4253</v>
      </c>
      <c r="D4470" t="s">
        <v>224</v>
      </c>
      <c r="E4470" t="str">
        <f>"00051977"</f>
        <v>00051977</v>
      </c>
      <c r="F4470">
        <v>0</v>
      </c>
      <c r="G4470" s="243">
        <v>32021</v>
      </c>
      <c r="H4470" t="s">
        <v>182</v>
      </c>
      <c r="I4470">
        <v>15</v>
      </c>
      <c r="J4470">
        <v>16</v>
      </c>
      <c r="K4470">
        <v>1</v>
      </c>
      <c r="L4470">
        <v>100839</v>
      </c>
      <c r="M4470" t="str">
        <f t="shared" si="647"/>
        <v>13</v>
      </c>
      <c r="N4470" t="s">
        <v>3323</v>
      </c>
      <c r="O4470" t="str">
        <f t="shared" si="653"/>
        <v>71111</v>
      </c>
      <c r="P4470" t="str">
        <f t="shared" si="655"/>
        <v>2100L</v>
      </c>
      <c r="Q4470" t="str">
        <f t="shared" si="654"/>
        <v>0101</v>
      </c>
      <c r="R4470">
        <v>2100</v>
      </c>
      <c r="S4470" t="str">
        <f t="shared" si="652"/>
        <v>7110</v>
      </c>
      <c r="T4470" t="s">
        <v>3986</v>
      </c>
      <c r="U4470" t="s">
        <v>96</v>
      </c>
    </row>
    <row r="4471" spans="1:21" ht="15" customHeight="1" x14ac:dyDescent="0.3">
      <c r="A4471" t="s">
        <v>179</v>
      </c>
      <c r="B4471" t="str">
        <f>"00054849"</f>
        <v>00054849</v>
      </c>
      <c r="C4471" t="s">
        <v>4290</v>
      </c>
      <c r="D4471" t="s">
        <v>5659</v>
      </c>
      <c r="E4471" t="str">
        <f>"00054770"</f>
        <v>00054770</v>
      </c>
      <c r="F4471">
        <v>0</v>
      </c>
      <c r="G4471" s="243">
        <v>35360</v>
      </c>
      <c r="H4471" t="s">
        <v>182</v>
      </c>
      <c r="I4471">
        <v>4</v>
      </c>
      <c r="J4471">
        <v>10</v>
      </c>
      <c r="K4471">
        <v>0.875</v>
      </c>
      <c r="L4471">
        <v>28721</v>
      </c>
      <c r="M4471" t="str">
        <f t="shared" si="647"/>
        <v>13</v>
      </c>
      <c r="N4471" t="s">
        <v>3323</v>
      </c>
      <c r="O4471" t="str">
        <f t="shared" si="653"/>
        <v>71111</v>
      </c>
      <c r="P4471" t="str">
        <f t="shared" si="655"/>
        <v>2100L</v>
      </c>
      <c r="Q4471" t="str">
        <f t="shared" si="654"/>
        <v>0101</v>
      </c>
      <c r="R4471">
        <v>2100</v>
      </c>
      <c r="S4471" t="str">
        <f t="shared" si="652"/>
        <v>7110</v>
      </c>
      <c r="T4471" t="s">
        <v>3986</v>
      </c>
      <c r="U4471" t="s">
        <v>96</v>
      </c>
    </row>
    <row r="4472" spans="1:21" ht="15" customHeight="1" x14ac:dyDescent="0.3">
      <c r="A4472" t="s">
        <v>179</v>
      </c>
      <c r="B4472" t="str">
        <f>"00054933"</f>
        <v>00054933</v>
      </c>
      <c r="C4472" t="s">
        <v>4255</v>
      </c>
      <c r="D4472" t="s">
        <v>225</v>
      </c>
      <c r="E4472" t="str">
        <f>"00055069"</f>
        <v>00055069</v>
      </c>
      <c r="F4472">
        <v>0</v>
      </c>
      <c r="G4472" s="243">
        <v>31699</v>
      </c>
      <c r="H4472" t="s">
        <v>182</v>
      </c>
      <c r="I4472">
        <v>15</v>
      </c>
      <c r="J4472">
        <v>16</v>
      </c>
      <c r="K4472">
        <v>1</v>
      </c>
      <c r="L4472">
        <v>100839</v>
      </c>
      <c r="M4472" t="str">
        <f t="shared" si="647"/>
        <v>13</v>
      </c>
      <c r="N4472" t="s">
        <v>3323</v>
      </c>
      <c r="O4472" t="str">
        <f t="shared" si="653"/>
        <v>71111</v>
      </c>
      <c r="P4472" t="str">
        <f t="shared" si="655"/>
        <v>2100L</v>
      </c>
      <c r="Q4472" t="str">
        <f t="shared" si="654"/>
        <v>0101</v>
      </c>
      <c r="R4472">
        <v>2100</v>
      </c>
      <c r="S4472" t="str">
        <f t="shared" si="652"/>
        <v>7110</v>
      </c>
      <c r="T4472" t="s">
        <v>3986</v>
      </c>
      <c r="U4472" t="s">
        <v>96</v>
      </c>
    </row>
    <row r="4473" spans="1:21" ht="15" customHeight="1" x14ac:dyDescent="0.3">
      <c r="A4473" t="s">
        <v>179</v>
      </c>
      <c r="B4473" t="str">
        <f>"00055174"</f>
        <v>00055174</v>
      </c>
      <c r="C4473" t="s">
        <v>4253</v>
      </c>
      <c r="D4473" t="s">
        <v>226</v>
      </c>
      <c r="E4473" t="str">
        <f>"00062809"</f>
        <v>00062809</v>
      </c>
      <c r="F4473">
        <v>0</v>
      </c>
      <c r="G4473" s="243">
        <v>40406</v>
      </c>
      <c r="H4473" t="s">
        <v>182</v>
      </c>
      <c r="I4473">
        <v>15</v>
      </c>
      <c r="J4473">
        <v>3</v>
      </c>
      <c r="K4473">
        <v>1</v>
      </c>
      <c r="L4473">
        <v>58699</v>
      </c>
      <c r="M4473" t="str">
        <f t="shared" si="647"/>
        <v>13</v>
      </c>
      <c r="N4473" t="s">
        <v>3323</v>
      </c>
      <c r="O4473" t="str">
        <f t="shared" si="653"/>
        <v>71111</v>
      </c>
      <c r="P4473" t="str">
        <f t="shared" si="655"/>
        <v>2100L</v>
      </c>
      <c r="Q4473" t="str">
        <f t="shared" si="654"/>
        <v>0101</v>
      </c>
      <c r="R4473">
        <v>2100</v>
      </c>
      <c r="S4473" t="str">
        <f t="shared" si="652"/>
        <v>7110</v>
      </c>
      <c r="T4473" t="s">
        <v>3986</v>
      </c>
      <c r="U4473" t="s">
        <v>96</v>
      </c>
    </row>
    <row r="4474" spans="1:21" ht="15" customHeight="1" x14ac:dyDescent="0.3">
      <c r="A4474" t="s">
        <v>179</v>
      </c>
      <c r="B4474" t="str">
        <f>"00055225"</f>
        <v>00055225</v>
      </c>
      <c r="C4474" t="s">
        <v>4290</v>
      </c>
      <c r="D4474" t="s">
        <v>5660</v>
      </c>
      <c r="E4474" t="str">
        <f>"00053060"</f>
        <v>00053060</v>
      </c>
      <c r="F4474">
        <v>0</v>
      </c>
      <c r="G4474" s="243">
        <v>37385</v>
      </c>
      <c r="H4474" t="s">
        <v>182</v>
      </c>
      <c r="J4474">
        <v>0</v>
      </c>
      <c r="K4474">
        <v>0.875</v>
      </c>
      <c r="L4474">
        <v>28721</v>
      </c>
      <c r="M4474" t="str">
        <f t="shared" si="647"/>
        <v>13</v>
      </c>
      <c r="N4474" t="s">
        <v>3323</v>
      </c>
      <c r="O4474" t="str">
        <f t="shared" si="653"/>
        <v>71111</v>
      </c>
      <c r="P4474" t="str">
        <f t="shared" si="655"/>
        <v>2100L</v>
      </c>
      <c r="Q4474" t="str">
        <f t="shared" si="654"/>
        <v>0101</v>
      </c>
      <c r="R4474">
        <v>2100</v>
      </c>
      <c r="S4474" t="str">
        <f t="shared" si="652"/>
        <v>7110</v>
      </c>
      <c r="T4474" t="s">
        <v>3986</v>
      </c>
      <c r="U4474" t="s">
        <v>96</v>
      </c>
    </row>
    <row r="4475" spans="1:21" ht="15" customHeight="1" x14ac:dyDescent="0.3">
      <c r="A4475" t="s">
        <v>179</v>
      </c>
      <c r="B4475" t="str">
        <f>"00057186"</f>
        <v>00057186</v>
      </c>
      <c r="C4475" t="s">
        <v>4261</v>
      </c>
      <c r="D4475" t="s">
        <v>3988</v>
      </c>
      <c r="E4475" t="str">
        <f>"00065741"</f>
        <v>00065741</v>
      </c>
      <c r="F4475">
        <v>0</v>
      </c>
      <c r="G4475" s="243">
        <v>40756</v>
      </c>
      <c r="H4475" t="s">
        <v>182</v>
      </c>
      <c r="I4475">
        <v>15</v>
      </c>
      <c r="J4475">
        <v>6</v>
      </c>
      <c r="K4475">
        <v>1</v>
      </c>
      <c r="L4475">
        <v>72685</v>
      </c>
      <c r="M4475" t="str">
        <f t="shared" si="647"/>
        <v>13</v>
      </c>
      <c r="N4475" t="s">
        <v>3323</v>
      </c>
      <c r="O4475" t="str">
        <f t="shared" si="653"/>
        <v>71111</v>
      </c>
      <c r="P4475" t="str">
        <f t="shared" si="655"/>
        <v>2100L</v>
      </c>
      <c r="Q4475" t="str">
        <f t="shared" si="654"/>
        <v>0101</v>
      </c>
      <c r="R4475">
        <v>2100</v>
      </c>
      <c r="S4475" t="str">
        <f t="shared" si="652"/>
        <v>7110</v>
      </c>
      <c r="T4475" t="s">
        <v>3986</v>
      </c>
      <c r="U4475" t="s">
        <v>96</v>
      </c>
    </row>
    <row r="4476" spans="1:21" ht="15" customHeight="1" x14ac:dyDescent="0.3">
      <c r="A4476" t="s">
        <v>179</v>
      </c>
      <c r="B4476" t="str">
        <f>"00059930"</f>
        <v>00059930</v>
      </c>
      <c r="C4476" t="s">
        <v>4253</v>
      </c>
      <c r="H4476" t="s">
        <v>170</v>
      </c>
      <c r="I4476">
        <v>15</v>
      </c>
      <c r="J4476">
        <v>1</v>
      </c>
      <c r="K4476">
        <v>1</v>
      </c>
      <c r="L4476">
        <v>53256</v>
      </c>
      <c r="M4476" t="str">
        <f t="shared" si="647"/>
        <v>13</v>
      </c>
      <c r="N4476" t="s">
        <v>3323</v>
      </c>
      <c r="O4476" t="str">
        <f t="shared" si="653"/>
        <v>71111</v>
      </c>
      <c r="P4476" t="str">
        <f t="shared" si="655"/>
        <v>2100L</v>
      </c>
      <c r="Q4476" t="str">
        <f t="shared" si="654"/>
        <v>0101</v>
      </c>
      <c r="R4476">
        <v>2100</v>
      </c>
      <c r="S4476" t="str">
        <f t="shared" si="652"/>
        <v>7110</v>
      </c>
      <c r="T4476" t="s">
        <v>3986</v>
      </c>
      <c r="U4476" t="s">
        <v>96</v>
      </c>
    </row>
    <row r="4477" spans="1:21" ht="15" customHeight="1" x14ac:dyDescent="0.3">
      <c r="A4477" t="s">
        <v>179</v>
      </c>
      <c r="B4477" t="str">
        <f>"00060577"</f>
        <v>00060577</v>
      </c>
      <c r="C4477" t="s">
        <v>4253</v>
      </c>
      <c r="H4477" t="s">
        <v>170</v>
      </c>
      <c r="I4477">
        <v>15</v>
      </c>
      <c r="J4477">
        <v>1</v>
      </c>
      <c r="K4477">
        <v>1</v>
      </c>
      <c r="L4477">
        <v>54975</v>
      </c>
      <c r="M4477" t="str">
        <f t="shared" si="647"/>
        <v>13</v>
      </c>
      <c r="N4477" t="s">
        <v>3323</v>
      </c>
      <c r="O4477" t="str">
        <f t="shared" si="653"/>
        <v>71111</v>
      </c>
      <c r="P4477" t="str">
        <f t="shared" si="655"/>
        <v>2100L</v>
      </c>
      <c r="Q4477" t="str">
        <f t="shared" si="654"/>
        <v>0101</v>
      </c>
      <c r="R4477">
        <v>2100</v>
      </c>
      <c r="S4477" t="str">
        <f t="shared" si="652"/>
        <v>7110</v>
      </c>
      <c r="T4477" t="s">
        <v>3986</v>
      </c>
      <c r="U4477" t="s">
        <v>96</v>
      </c>
    </row>
    <row r="4478" spans="1:21" ht="15" customHeight="1" x14ac:dyDescent="0.3">
      <c r="A4478" t="s">
        <v>179</v>
      </c>
      <c r="B4478" t="str">
        <f>"00060906"</f>
        <v>00060906</v>
      </c>
      <c r="C4478" t="s">
        <v>4260</v>
      </c>
      <c r="D4478" t="s">
        <v>5661</v>
      </c>
      <c r="E4478" t="str">
        <f>"00069863"</f>
        <v>00069863</v>
      </c>
      <c r="F4478">
        <v>0</v>
      </c>
      <c r="G4478" s="243">
        <v>41133</v>
      </c>
      <c r="H4478" t="s">
        <v>182</v>
      </c>
      <c r="I4478">
        <v>15</v>
      </c>
      <c r="J4478">
        <v>1</v>
      </c>
      <c r="K4478">
        <v>1</v>
      </c>
      <c r="L4478">
        <v>51539</v>
      </c>
      <c r="M4478" t="str">
        <f t="shared" si="647"/>
        <v>13</v>
      </c>
      <c r="N4478" t="s">
        <v>3370</v>
      </c>
      <c r="O4478" t="str">
        <f t="shared" si="653"/>
        <v>71111</v>
      </c>
      <c r="P4478" t="str">
        <f t="shared" si="655"/>
        <v>2100L</v>
      </c>
      <c r="Q4478" t="str">
        <f t="shared" si="654"/>
        <v>0101</v>
      </c>
      <c r="R4478">
        <v>2100</v>
      </c>
      <c r="S4478" t="str">
        <f t="shared" si="652"/>
        <v>7110</v>
      </c>
      <c r="T4478" t="s">
        <v>3986</v>
      </c>
      <c r="U4478" t="s">
        <v>96</v>
      </c>
    </row>
    <row r="4479" spans="1:21" ht="15" customHeight="1" x14ac:dyDescent="0.3">
      <c r="A4479" t="s">
        <v>179</v>
      </c>
      <c r="B4479" t="str">
        <f>"00061472"</f>
        <v>00061472</v>
      </c>
      <c r="C4479" t="s">
        <v>4260</v>
      </c>
      <c r="D4479" t="s">
        <v>241</v>
      </c>
      <c r="E4479" t="str">
        <f>"00057532"</f>
        <v>00057532</v>
      </c>
      <c r="F4479">
        <v>0</v>
      </c>
      <c r="G4479" s="243">
        <v>41133</v>
      </c>
      <c r="H4479" t="s">
        <v>182</v>
      </c>
      <c r="I4479">
        <v>15</v>
      </c>
      <c r="J4479">
        <v>4</v>
      </c>
      <c r="K4479">
        <v>1</v>
      </c>
      <c r="L4479">
        <v>54725</v>
      </c>
      <c r="M4479" t="str">
        <f t="shared" si="647"/>
        <v>13</v>
      </c>
      <c r="N4479" t="s">
        <v>3370</v>
      </c>
      <c r="O4479" t="str">
        <f t="shared" si="653"/>
        <v>71111</v>
      </c>
      <c r="P4479" t="str">
        <f t="shared" si="655"/>
        <v>2100L</v>
      </c>
      <c r="Q4479" t="str">
        <f t="shared" si="654"/>
        <v>0101</v>
      </c>
      <c r="R4479">
        <v>2100</v>
      </c>
      <c r="S4479" t="str">
        <f t="shared" si="652"/>
        <v>7110</v>
      </c>
      <c r="T4479" t="s">
        <v>3986</v>
      </c>
      <c r="U4479" t="s">
        <v>96</v>
      </c>
    </row>
    <row r="4480" spans="1:21" ht="15" customHeight="1" x14ac:dyDescent="0.3">
      <c r="A4480" t="s">
        <v>179</v>
      </c>
      <c r="B4480" t="str">
        <f>"00062589"</f>
        <v>00062589</v>
      </c>
      <c r="C4480" t="s">
        <v>5662</v>
      </c>
      <c r="D4480" t="s">
        <v>5663</v>
      </c>
      <c r="E4480" t="str">
        <f>"00070359"</f>
        <v>00070359</v>
      </c>
      <c r="F4480">
        <v>0</v>
      </c>
      <c r="G4480" s="243">
        <v>41162</v>
      </c>
      <c r="H4480" t="s">
        <v>182</v>
      </c>
      <c r="I4480">
        <v>9</v>
      </c>
      <c r="J4480">
        <v>13</v>
      </c>
      <c r="K4480">
        <v>0.5</v>
      </c>
      <c r="L4480">
        <v>72899</v>
      </c>
      <c r="M4480" t="str">
        <f t="shared" si="647"/>
        <v>13</v>
      </c>
      <c r="N4480" t="s">
        <v>3370</v>
      </c>
      <c r="O4480" t="str">
        <f t="shared" si="653"/>
        <v>71111</v>
      </c>
      <c r="P4480" t="str">
        <f>"5700L"</f>
        <v>5700L</v>
      </c>
      <c r="Q4480" t="str">
        <f t="shared" si="654"/>
        <v>0101</v>
      </c>
      <c r="R4480">
        <v>5700</v>
      </c>
      <c r="S4480" t="str">
        <f t="shared" si="652"/>
        <v>7110</v>
      </c>
      <c r="T4480" t="s">
        <v>3986</v>
      </c>
      <c r="U4480" t="s">
        <v>96</v>
      </c>
    </row>
    <row r="4481" spans="1:21" ht="15" customHeight="1" x14ac:dyDescent="0.3">
      <c r="A4481" t="s">
        <v>179</v>
      </c>
      <c r="B4481" t="str">
        <f>"00062589"</f>
        <v>00062589</v>
      </c>
      <c r="C4481" t="s">
        <v>5662</v>
      </c>
      <c r="D4481" t="s">
        <v>5663</v>
      </c>
      <c r="E4481" t="str">
        <f>"00070359"</f>
        <v>00070359</v>
      </c>
      <c r="F4481">
        <v>0</v>
      </c>
      <c r="G4481" s="243">
        <v>41162</v>
      </c>
      <c r="H4481" t="s">
        <v>182</v>
      </c>
      <c r="I4481">
        <v>9</v>
      </c>
      <c r="J4481">
        <v>13</v>
      </c>
      <c r="K4481">
        <v>0.5</v>
      </c>
      <c r="L4481">
        <v>72899</v>
      </c>
      <c r="M4481" t="str">
        <f t="shared" si="647"/>
        <v>13</v>
      </c>
      <c r="N4481" t="s">
        <v>3370</v>
      </c>
      <c r="O4481" t="str">
        <f>"71182"</f>
        <v>71182</v>
      </c>
      <c r="P4481" t="str">
        <f>"5700S"</f>
        <v>5700S</v>
      </c>
      <c r="Q4481" t="str">
        <f>"0602"</f>
        <v>0602</v>
      </c>
      <c r="R4481">
        <v>5700</v>
      </c>
      <c r="S4481" t="str">
        <f t="shared" si="652"/>
        <v>7110</v>
      </c>
      <c r="T4481" t="s">
        <v>3986</v>
      </c>
      <c r="U4481" t="s">
        <v>96</v>
      </c>
    </row>
    <row r="4482" spans="1:21" ht="15" customHeight="1" x14ac:dyDescent="0.3">
      <c r="A4482" t="s">
        <v>179</v>
      </c>
      <c r="B4482" t="str">
        <f>"00062616"</f>
        <v>00062616</v>
      </c>
      <c r="C4482" t="s">
        <v>4253</v>
      </c>
      <c r="D4482" t="s">
        <v>3995</v>
      </c>
      <c r="E4482" t="str">
        <f>"00066007"</f>
        <v>00066007</v>
      </c>
      <c r="F4482">
        <v>0</v>
      </c>
      <c r="G4482" s="243">
        <v>40755</v>
      </c>
      <c r="H4482" t="s">
        <v>182</v>
      </c>
      <c r="I4482">
        <v>15</v>
      </c>
      <c r="J4482">
        <v>2</v>
      </c>
      <c r="K4482">
        <v>1</v>
      </c>
      <c r="L4482">
        <v>56242</v>
      </c>
      <c r="M4482" t="str">
        <f t="shared" si="647"/>
        <v>13</v>
      </c>
      <c r="N4482" t="s">
        <v>3323</v>
      </c>
      <c r="O4482" t="str">
        <f t="shared" ref="O4482:O4511" si="656">"71111"</f>
        <v>71111</v>
      </c>
      <c r="P4482" t="str">
        <f>"2100L"</f>
        <v>2100L</v>
      </c>
      <c r="Q4482" t="str">
        <f t="shared" ref="Q4482:Q4511" si="657">"0101"</f>
        <v>0101</v>
      </c>
      <c r="R4482">
        <v>2100</v>
      </c>
      <c r="S4482" t="str">
        <f t="shared" si="652"/>
        <v>7110</v>
      </c>
      <c r="T4482" t="s">
        <v>3986</v>
      </c>
      <c r="U4482" t="s">
        <v>96</v>
      </c>
    </row>
    <row r="4483" spans="1:21" ht="15" customHeight="1" x14ac:dyDescent="0.3">
      <c r="A4483" t="s">
        <v>179</v>
      </c>
      <c r="B4483" t="str">
        <f>"00065342"</f>
        <v>00065342</v>
      </c>
      <c r="C4483" t="s">
        <v>3798</v>
      </c>
      <c r="D4483" t="s">
        <v>229</v>
      </c>
      <c r="E4483" t="str">
        <f>"00061729"</f>
        <v>00061729</v>
      </c>
      <c r="F4483">
        <v>0</v>
      </c>
      <c r="G4483" s="243">
        <v>40357</v>
      </c>
      <c r="H4483" t="s">
        <v>182</v>
      </c>
      <c r="I4483">
        <v>65</v>
      </c>
      <c r="J4483">
        <v>5</v>
      </c>
      <c r="K4483">
        <v>1</v>
      </c>
      <c r="L4483">
        <v>132000</v>
      </c>
      <c r="M4483" t="str">
        <f t="shared" si="647"/>
        <v>13</v>
      </c>
      <c r="N4483" t="s">
        <v>3370</v>
      </c>
      <c r="O4483" t="str">
        <f t="shared" si="656"/>
        <v>71111</v>
      </c>
      <c r="P4483" t="str">
        <f>"1501L"</f>
        <v>1501L</v>
      </c>
      <c r="Q4483" t="str">
        <f t="shared" si="657"/>
        <v>0101</v>
      </c>
      <c r="R4483">
        <v>1501</v>
      </c>
      <c r="S4483" t="str">
        <f t="shared" si="652"/>
        <v>7110</v>
      </c>
      <c r="T4483" t="s">
        <v>3986</v>
      </c>
      <c r="U4483" t="s">
        <v>96</v>
      </c>
    </row>
    <row r="4484" spans="1:21" ht="15" customHeight="1" x14ac:dyDescent="0.3">
      <c r="A4484" t="s">
        <v>179</v>
      </c>
      <c r="B4484" t="str">
        <f>"00065886"</f>
        <v>00065886</v>
      </c>
      <c r="C4484" t="s">
        <v>4253</v>
      </c>
      <c r="D4484" t="s">
        <v>230</v>
      </c>
      <c r="E4484" t="str">
        <f>"00056899"</f>
        <v>00056899</v>
      </c>
      <c r="F4484">
        <v>0</v>
      </c>
      <c r="G4484" s="243">
        <v>40042</v>
      </c>
      <c r="H4484" t="s">
        <v>182</v>
      </c>
      <c r="I4484">
        <v>15</v>
      </c>
      <c r="J4484">
        <v>4</v>
      </c>
      <c r="K4484">
        <v>1</v>
      </c>
      <c r="L4484">
        <v>54725</v>
      </c>
      <c r="M4484" t="str">
        <f t="shared" si="647"/>
        <v>13</v>
      </c>
      <c r="N4484" t="s">
        <v>3323</v>
      </c>
      <c r="O4484" t="str">
        <f t="shared" si="656"/>
        <v>71111</v>
      </c>
      <c r="P4484" t="str">
        <f t="shared" ref="P4484:P4510" si="658">"2100L"</f>
        <v>2100L</v>
      </c>
      <c r="Q4484" t="str">
        <f t="shared" si="657"/>
        <v>0101</v>
      </c>
      <c r="R4484">
        <v>2100</v>
      </c>
      <c r="S4484" t="str">
        <f t="shared" si="652"/>
        <v>7110</v>
      </c>
      <c r="T4484" t="s">
        <v>3986</v>
      </c>
      <c r="U4484" t="s">
        <v>96</v>
      </c>
    </row>
    <row r="4485" spans="1:21" ht="15" customHeight="1" x14ac:dyDescent="0.3">
      <c r="A4485" t="s">
        <v>179</v>
      </c>
      <c r="B4485" t="str">
        <f>"00065888"</f>
        <v>00065888</v>
      </c>
      <c r="C4485" t="s">
        <v>4253</v>
      </c>
      <c r="H4485" t="s">
        <v>170</v>
      </c>
      <c r="I4485">
        <v>15</v>
      </c>
      <c r="J4485">
        <v>1</v>
      </c>
      <c r="K4485">
        <v>1</v>
      </c>
      <c r="L4485">
        <v>54975</v>
      </c>
      <c r="M4485" t="str">
        <f t="shared" si="647"/>
        <v>13</v>
      </c>
      <c r="N4485" t="s">
        <v>3323</v>
      </c>
      <c r="O4485" t="str">
        <f t="shared" si="656"/>
        <v>71111</v>
      </c>
      <c r="P4485" t="str">
        <f t="shared" si="658"/>
        <v>2100L</v>
      </c>
      <c r="Q4485" t="str">
        <f t="shared" si="657"/>
        <v>0101</v>
      </c>
      <c r="R4485">
        <v>2100</v>
      </c>
      <c r="S4485" t="str">
        <f t="shared" si="652"/>
        <v>7110</v>
      </c>
      <c r="T4485" t="s">
        <v>3986</v>
      </c>
      <c r="U4485" t="s">
        <v>96</v>
      </c>
    </row>
    <row r="4486" spans="1:21" ht="15" customHeight="1" x14ac:dyDescent="0.3">
      <c r="A4486" t="s">
        <v>179</v>
      </c>
      <c r="B4486" t="str">
        <f>"00065890"</f>
        <v>00065890</v>
      </c>
      <c r="C4486" t="s">
        <v>4253</v>
      </c>
      <c r="D4486" t="s">
        <v>3996</v>
      </c>
      <c r="E4486" t="str">
        <f>"00066216"</f>
        <v>00066216</v>
      </c>
      <c r="F4486">
        <v>0</v>
      </c>
      <c r="G4486" s="243">
        <v>40755</v>
      </c>
      <c r="H4486" t="s">
        <v>182</v>
      </c>
      <c r="I4486">
        <v>15</v>
      </c>
      <c r="J4486">
        <v>6</v>
      </c>
      <c r="K4486">
        <v>1</v>
      </c>
      <c r="L4486">
        <v>58599</v>
      </c>
      <c r="M4486" t="str">
        <f t="shared" si="647"/>
        <v>13</v>
      </c>
      <c r="N4486" t="s">
        <v>3323</v>
      </c>
      <c r="O4486" t="str">
        <f t="shared" si="656"/>
        <v>71111</v>
      </c>
      <c r="P4486" t="str">
        <f t="shared" si="658"/>
        <v>2100L</v>
      </c>
      <c r="Q4486" t="str">
        <f t="shared" si="657"/>
        <v>0101</v>
      </c>
      <c r="R4486">
        <v>2100</v>
      </c>
      <c r="S4486" t="str">
        <f t="shared" si="652"/>
        <v>7110</v>
      </c>
      <c r="T4486" t="s">
        <v>3986</v>
      </c>
      <c r="U4486" t="s">
        <v>96</v>
      </c>
    </row>
    <row r="4487" spans="1:21" ht="15" customHeight="1" x14ac:dyDescent="0.3">
      <c r="A4487" t="s">
        <v>179</v>
      </c>
      <c r="B4487" t="str">
        <f>"00065891"</f>
        <v>00065891</v>
      </c>
      <c r="C4487" t="s">
        <v>4253</v>
      </c>
      <c r="D4487" t="s">
        <v>5664</v>
      </c>
      <c r="E4487" t="str">
        <f>"00069610"</f>
        <v>00069610</v>
      </c>
      <c r="F4487">
        <v>0</v>
      </c>
      <c r="G4487" s="243">
        <v>41133</v>
      </c>
      <c r="H4487" t="s">
        <v>182</v>
      </c>
      <c r="I4487">
        <v>15</v>
      </c>
      <c r="J4487">
        <v>8</v>
      </c>
      <c r="K4487">
        <v>1</v>
      </c>
      <c r="L4487">
        <v>72171</v>
      </c>
      <c r="M4487" t="str">
        <f t="shared" si="647"/>
        <v>13</v>
      </c>
      <c r="N4487" t="s">
        <v>3370</v>
      </c>
      <c r="O4487" t="str">
        <f t="shared" si="656"/>
        <v>71111</v>
      </c>
      <c r="P4487" t="str">
        <f t="shared" si="658"/>
        <v>2100L</v>
      </c>
      <c r="Q4487" t="str">
        <f t="shared" si="657"/>
        <v>0101</v>
      </c>
      <c r="R4487">
        <v>2100</v>
      </c>
      <c r="S4487" t="str">
        <f t="shared" si="652"/>
        <v>7110</v>
      </c>
      <c r="T4487" t="s">
        <v>3986</v>
      </c>
      <c r="U4487" t="s">
        <v>96</v>
      </c>
    </row>
    <row r="4488" spans="1:21" ht="15" customHeight="1" x14ac:dyDescent="0.3">
      <c r="A4488" t="s">
        <v>179</v>
      </c>
      <c r="B4488" t="str">
        <f>"00065892"</f>
        <v>00065892</v>
      </c>
      <c r="C4488" t="s">
        <v>4253</v>
      </c>
      <c r="D4488" t="s">
        <v>3997</v>
      </c>
      <c r="E4488" t="str">
        <f>"00060451"</f>
        <v>00060451</v>
      </c>
      <c r="F4488">
        <v>0</v>
      </c>
      <c r="G4488" s="243">
        <v>40596</v>
      </c>
      <c r="H4488" t="s">
        <v>182</v>
      </c>
      <c r="I4488">
        <v>15</v>
      </c>
      <c r="J4488">
        <v>11</v>
      </c>
      <c r="K4488">
        <v>1</v>
      </c>
      <c r="L4488">
        <v>73325</v>
      </c>
      <c r="M4488" t="str">
        <f t="shared" si="647"/>
        <v>13</v>
      </c>
      <c r="N4488" t="s">
        <v>3323</v>
      </c>
      <c r="O4488" t="str">
        <f t="shared" si="656"/>
        <v>71111</v>
      </c>
      <c r="P4488" t="str">
        <f t="shared" si="658"/>
        <v>2100L</v>
      </c>
      <c r="Q4488" t="str">
        <f t="shared" si="657"/>
        <v>0101</v>
      </c>
      <c r="R4488">
        <v>2100</v>
      </c>
      <c r="S4488" t="str">
        <f t="shared" si="652"/>
        <v>7110</v>
      </c>
      <c r="T4488" t="s">
        <v>3986</v>
      </c>
      <c r="U4488" t="s">
        <v>96</v>
      </c>
    </row>
    <row r="4489" spans="1:21" ht="15" customHeight="1" x14ac:dyDescent="0.3">
      <c r="A4489" t="s">
        <v>179</v>
      </c>
      <c r="B4489" t="str">
        <f>"00065893"</f>
        <v>00065893</v>
      </c>
      <c r="C4489" t="s">
        <v>4253</v>
      </c>
      <c r="H4489" t="s">
        <v>170</v>
      </c>
      <c r="I4489">
        <v>15</v>
      </c>
      <c r="J4489">
        <v>1</v>
      </c>
      <c r="K4489">
        <v>1</v>
      </c>
      <c r="L4489">
        <v>54975</v>
      </c>
      <c r="M4489" t="str">
        <f t="shared" ref="M4489:M4550" si="659">"13"</f>
        <v>13</v>
      </c>
      <c r="N4489" t="s">
        <v>3323</v>
      </c>
      <c r="O4489" t="str">
        <f t="shared" si="656"/>
        <v>71111</v>
      </c>
      <c r="P4489" t="str">
        <f t="shared" si="658"/>
        <v>2100L</v>
      </c>
      <c r="Q4489" t="str">
        <f t="shared" si="657"/>
        <v>0101</v>
      </c>
      <c r="R4489">
        <v>2100</v>
      </c>
      <c r="S4489" t="str">
        <f t="shared" si="652"/>
        <v>7110</v>
      </c>
      <c r="T4489" t="s">
        <v>3986</v>
      </c>
      <c r="U4489" t="s">
        <v>96</v>
      </c>
    </row>
    <row r="4490" spans="1:21" ht="15" customHeight="1" x14ac:dyDescent="0.3">
      <c r="A4490" t="s">
        <v>179</v>
      </c>
      <c r="B4490" t="str">
        <f>"00065894"</f>
        <v>00065894</v>
      </c>
      <c r="C4490" t="s">
        <v>4253</v>
      </c>
      <c r="D4490" t="s">
        <v>5665</v>
      </c>
      <c r="E4490" t="str">
        <f>"00045637"</f>
        <v>00045637</v>
      </c>
      <c r="F4490">
        <v>0</v>
      </c>
      <c r="G4490" s="243">
        <v>41022</v>
      </c>
      <c r="H4490" t="s">
        <v>182</v>
      </c>
      <c r="I4490">
        <v>15</v>
      </c>
      <c r="J4490">
        <v>7</v>
      </c>
      <c r="K4490">
        <v>1</v>
      </c>
      <c r="L4490">
        <v>63496</v>
      </c>
      <c r="M4490" t="str">
        <f t="shared" si="659"/>
        <v>13</v>
      </c>
      <c r="N4490" t="s">
        <v>3323</v>
      </c>
      <c r="O4490" t="str">
        <f t="shared" si="656"/>
        <v>71111</v>
      </c>
      <c r="P4490" t="str">
        <f t="shared" si="658"/>
        <v>2100L</v>
      </c>
      <c r="Q4490" t="str">
        <f t="shared" si="657"/>
        <v>0101</v>
      </c>
      <c r="R4490">
        <v>2100</v>
      </c>
      <c r="S4490" t="str">
        <f t="shared" ref="S4490:S4520" si="660">"7110"</f>
        <v>7110</v>
      </c>
      <c r="T4490" t="s">
        <v>3986</v>
      </c>
      <c r="U4490" t="s">
        <v>96</v>
      </c>
    </row>
    <row r="4491" spans="1:21" ht="15" customHeight="1" x14ac:dyDescent="0.3">
      <c r="A4491" t="s">
        <v>179</v>
      </c>
      <c r="B4491" t="str">
        <f>"00065896"</f>
        <v>00065896</v>
      </c>
      <c r="C4491" t="s">
        <v>4253</v>
      </c>
      <c r="D4491" t="s">
        <v>232</v>
      </c>
      <c r="E4491" t="str">
        <f>"00056896"</f>
        <v>00056896</v>
      </c>
      <c r="F4491">
        <v>0</v>
      </c>
      <c r="G4491" s="243">
        <v>40042</v>
      </c>
      <c r="H4491" t="s">
        <v>182</v>
      </c>
      <c r="I4491">
        <v>15</v>
      </c>
      <c r="J4491">
        <v>4</v>
      </c>
      <c r="K4491">
        <v>1</v>
      </c>
      <c r="L4491">
        <v>54725</v>
      </c>
      <c r="M4491" t="str">
        <f t="shared" si="659"/>
        <v>13</v>
      </c>
      <c r="N4491" t="s">
        <v>3323</v>
      </c>
      <c r="O4491" t="str">
        <f t="shared" si="656"/>
        <v>71111</v>
      </c>
      <c r="P4491" t="str">
        <f t="shared" si="658"/>
        <v>2100L</v>
      </c>
      <c r="Q4491" t="str">
        <f t="shared" si="657"/>
        <v>0101</v>
      </c>
      <c r="R4491">
        <v>2100</v>
      </c>
      <c r="S4491" t="str">
        <f t="shared" si="660"/>
        <v>7110</v>
      </c>
      <c r="T4491" t="s">
        <v>3986</v>
      </c>
      <c r="U4491" t="s">
        <v>96</v>
      </c>
    </row>
    <row r="4492" spans="1:21" ht="15" customHeight="1" x14ac:dyDescent="0.3">
      <c r="A4492" t="s">
        <v>179</v>
      </c>
      <c r="B4492" t="str">
        <f>"00065897"</f>
        <v>00065897</v>
      </c>
      <c r="C4492" t="s">
        <v>4253</v>
      </c>
      <c r="D4492" t="s">
        <v>233</v>
      </c>
      <c r="E4492" t="str">
        <f>"00057535"</f>
        <v>00057535</v>
      </c>
      <c r="F4492">
        <v>0</v>
      </c>
      <c r="G4492" s="243">
        <v>40042</v>
      </c>
      <c r="H4492" t="s">
        <v>182</v>
      </c>
      <c r="I4492">
        <v>15</v>
      </c>
      <c r="J4492">
        <v>4</v>
      </c>
      <c r="K4492">
        <v>1</v>
      </c>
      <c r="L4492">
        <v>61158</v>
      </c>
      <c r="M4492" t="str">
        <f t="shared" si="659"/>
        <v>13</v>
      </c>
      <c r="N4492" t="s">
        <v>3323</v>
      </c>
      <c r="O4492" t="str">
        <f t="shared" si="656"/>
        <v>71111</v>
      </c>
      <c r="P4492" t="str">
        <f t="shared" si="658"/>
        <v>2100L</v>
      </c>
      <c r="Q4492" t="str">
        <f t="shared" si="657"/>
        <v>0101</v>
      </c>
      <c r="R4492">
        <v>2100</v>
      </c>
      <c r="S4492" t="str">
        <f t="shared" si="660"/>
        <v>7110</v>
      </c>
      <c r="T4492" t="s">
        <v>3986</v>
      </c>
      <c r="U4492" t="s">
        <v>96</v>
      </c>
    </row>
    <row r="4493" spans="1:21" ht="15" customHeight="1" x14ac:dyDescent="0.3">
      <c r="A4493" t="s">
        <v>179</v>
      </c>
      <c r="B4493" t="str">
        <f>"00065899"</f>
        <v>00065899</v>
      </c>
      <c r="C4493" t="s">
        <v>4253</v>
      </c>
      <c r="D4493" t="s">
        <v>5666</v>
      </c>
      <c r="E4493" t="str">
        <f>"00069853"</f>
        <v>00069853</v>
      </c>
      <c r="F4493">
        <v>0</v>
      </c>
      <c r="G4493" s="243">
        <v>41133</v>
      </c>
      <c r="H4493" t="s">
        <v>182</v>
      </c>
      <c r="I4493">
        <v>15</v>
      </c>
      <c r="J4493">
        <v>10</v>
      </c>
      <c r="K4493">
        <v>1</v>
      </c>
      <c r="L4493">
        <v>78273</v>
      </c>
      <c r="M4493" t="str">
        <f t="shared" si="659"/>
        <v>13</v>
      </c>
      <c r="N4493" t="s">
        <v>3370</v>
      </c>
      <c r="O4493" t="str">
        <f t="shared" si="656"/>
        <v>71111</v>
      </c>
      <c r="P4493" t="str">
        <f t="shared" si="658"/>
        <v>2100L</v>
      </c>
      <c r="Q4493" t="str">
        <f t="shared" si="657"/>
        <v>0101</v>
      </c>
      <c r="R4493">
        <v>2100</v>
      </c>
      <c r="S4493" t="str">
        <f t="shared" si="660"/>
        <v>7110</v>
      </c>
      <c r="T4493" t="s">
        <v>3986</v>
      </c>
      <c r="U4493" t="s">
        <v>96</v>
      </c>
    </row>
    <row r="4494" spans="1:21" ht="15" customHeight="1" x14ac:dyDescent="0.3">
      <c r="A4494" t="s">
        <v>179</v>
      </c>
      <c r="B4494" t="str">
        <f>"00065900"</f>
        <v>00065900</v>
      </c>
      <c r="C4494" t="s">
        <v>4254</v>
      </c>
      <c r="D4494" t="s">
        <v>235</v>
      </c>
      <c r="E4494" t="str">
        <f>"00057701"</f>
        <v>00057701</v>
      </c>
      <c r="F4494">
        <v>0</v>
      </c>
      <c r="G4494" s="243">
        <v>40042</v>
      </c>
      <c r="H4494" t="s">
        <v>182</v>
      </c>
      <c r="I4494">
        <v>15</v>
      </c>
      <c r="J4494">
        <v>10</v>
      </c>
      <c r="K4494">
        <v>1</v>
      </c>
      <c r="L4494">
        <v>83199</v>
      </c>
      <c r="M4494" t="str">
        <f t="shared" si="659"/>
        <v>13</v>
      </c>
      <c r="N4494" t="s">
        <v>3323</v>
      </c>
      <c r="O4494" t="str">
        <f t="shared" si="656"/>
        <v>71111</v>
      </c>
      <c r="P4494" t="str">
        <f t="shared" si="658"/>
        <v>2100L</v>
      </c>
      <c r="Q4494" t="str">
        <f t="shared" si="657"/>
        <v>0101</v>
      </c>
      <c r="R4494">
        <v>2100</v>
      </c>
      <c r="S4494" t="str">
        <f t="shared" si="660"/>
        <v>7110</v>
      </c>
      <c r="T4494" t="s">
        <v>3986</v>
      </c>
      <c r="U4494" t="s">
        <v>96</v>
      </c>
    </row>
    <row r="4495" spans="1:21" ht="15" customHeight="1" x14ac:dyDescent="0.3">
      <c r="A4495" t="s">
        <v>179</v>
      </c>
      <c r="B4495" t="str">
        <f>"00065901"</f>
        <v>00065901</v>
      </c>
      <c r="C4495" t="s">
        <v>4260</v>
      </c>
      <c r="D4495" t="s">
        <v>3998</v>
      </c>
      <c r="E4495" t="str">
        <f>"00066047"</f>
        <v>00066047</v>
      </c>
      <c r="F4495">
        <v>0</v>
      </c>
      <c r="G4495" s="243">
        <v>40755</v>
      </c>
      <c r="H4495" t="s">
        <v>182</v>
      </c>
      <c r="I4495">
        <v>15</v>
      </c>
      <c r="J4495">
        <v>6</v>
      </c>
      <c r="K4495">
        <v>1</v>
      </c>
      <c r="L4495">
        <v>70997</v>
      </c>
      <c r="M4495" t="str">
        <f t="shared" si="659"/>
        <v>13</v>
      </c>
      <c r="N4495" t="s">
        <v>3323</v>
      </c>
      <c r="O4495" t="str">
        <f t="shared" si="656"/>
        <v>71111</v>
      </c>
      <c r="P4495" t="str">
        <f t="shared" si="658"/>
        <v>2100L</v>
      </c>
      <c r="Q4495" t="str">
        <f t="shared" si="657"/>
        <v>0101</v>
      </c>
      <c r="R4495">
        <v>2100</v>
      </c>
      <c r="S4495" t="str">
        <f t="shared" si="660"/>
        <v>7110</v>
      </c>
      <c r="T4495" t="s">
        <v>3986</v>
      </c>
      <c r="U4495" t="s">
        <v>96</v>
      </c>
    </row>
    <row r="4496" spans="1:21" ht="15" customHeight="1" x14ac:dyDescent="0.3">
      <c r="A4496" t="s">
        <v>179</v>
      </c>
      <c r="B4496" t="str">
        <f>"00065903"</f>
        <v>00065903</v>
      </c>
      <c r="C4496" t="s">
        <v>4253</v>
      </c>
      <c r="D4496" t="s">
        <v>236</v>
      </c>
      <c r="E4496" t="str">
        <f>"00062729"</f>
        <v>00062729</v>
      </c>
      <c r="F4496">
        <v>0</v>
      </c>
      <c r="G4496" s="243">
        <v>40406</v>
      </c>
      <c r="H4496" t="s">
        <v>182</v>
      </c>
      <c r="I4496">
        <v>15</v>
      </c>
      <c r="J4496">
        <v>5</v>
      </c>
      <c r="K4496">
        <v>1</v>
      </c>
      <c r="L4496">
        <v>63611</v>
      </c>
      <c r="M4496" t="str">
        <f t="shared" si="659"/>
        <v>13</v>
      </c>
      <c r="N4496" t="s">
        <v>3323</v>
      </c>
      <c r="O4496" t="str">
        <f t="shared" si="656"/>
        <v>71111</v>
      </c>
      <c r="P4496" t="str">
        <f t="shared" si="658"/>
        <v>2100L</v>
      </c>
      <c r="Q4496" t="str">
        <f t="shared" si="657"/>
        <v>0101</v>
      </c>
      <c r="R4496">
        <v>2100</v>
      </c>
      <c r="S4496" t="str">
        <f t="shared" si="660"/>
        <v>7110</v>
      </c>
      <c r="T4496" t="s">
        <v>3986</v>
      </c>
      <c r="U4496" t="s">
        <v>96</v>
      </c>
    </row>
    <row r="4497" spans="1:21" ht="15" customHeight="1" x14ac:dyDescent="0.3">
      <c r="A4497" t="s">
        <v>179</v>
      </c>
      <c r="B4497" t="str">
        <f>"00065904"</f>
        <v>00065904</v>
      </c>
      <c r="C4497" t="s">
        <v>4260</v>
      </c>
      <c r="D4497" t="s">
        <v>3999</v>
      </c>
      <c r="E4497" t="str">
        <f>"00066295"</f>
        <v>00066295</v>
      </c>
      <c r="F4497">
        <v>0</v>
      </c>
      <c r="G4497" s="243">
        <v>40755</v>
      </c>
      <c r="H4497" t="s">
        <v>182</v>
      </c>
      <c r="I4497">
        <v>15</v>
      </c>
      <c r="J4497">
        <v>2</v>
      </c>
      <c r="K4497">
        <v>1</v>
      </c>
      <c r="L4497">
        <v>51716</v>
      </c>
      <c r="M4497" t="str">
        <f t="shared" si="659"/>
        <v>13</v>
      </c>
      <c r="N4497" t="s">
        <v>3323</v>
      </c>
      <c r="O4497" t="str">
        <f t="shared" si="656"/>
        <v>71111</v>
      </c>
      <c r="P4497" t="str">
        <f t="shared" si="658"/>
        <v>2100L</v>
      </c>
      <c r="Q4497" t="str">
        <f t="shared" si="657"/>
        <v>0101</v>
      </c>
      <c r="R4497">
        <v>2100</v>
      </c>
      <c r="S4497" t="str">
        <f t="shared" si="660"/>
        <v>7110</v>
      </c>
      <c r="T4497" t="s">
        <v>3986</v>
      </c>
      <c r="U4497" t="s">
        <v>96</v>
      </c>
    </row>
    <row r="4498" spans="1:21" ht="15" customHeight="1" x14ac:dyDescent="0.3">
      <c r="A4498" t="s">
        <v>179</v>
      </c>
      <c r="B4498" t="str">
        <f>"00065906"</f>
        <v>00065906</v>
      </c>
      <c r="C4498" t="s">
        <v>4253</v>
      </c>
      <c r="D4498" t="s">
        <v>5667</v>
      </c>
      <c r="E4498" t="str">
        <f>"00069962"</f>
        <v>00069962</v>
      </c>
      <c r="F4498">
        <v>0</v>
      </c>
      <c r="G4498" s="243">
        <v>41133</v>
      </c>
      <c r="H4498" t="s">
        <v>182</v>
      </c>
      <c r="I4498">
        <v>15</v>
      </c>
      <c r="J4498">
        <v>1</v>
      </c>
      <c r="K4498">
        <v>1</v>
      </c>
      <c r="L4498">
        <v>60128</v>
      </c>
      <c r="M4498" t="str">
        <f t="shared" si="659"/>
        <v>13</v>
      </c>
      <c r="N4498" t="s">
        <v>3323</v>
      </c>
      <c r="O4498" t="str">
        <f t="shared" si="656"/>
        <v>71111</v>
      </c>
      <c r="P4498" t="str">
        <f t="shared" si="658"/>
        <v>2100L</v>
      </c>
      <c r="Q4498" t="str">
        <f t="shared" si="657"/>
        <v>0101</v>
      </c>
      <c r="R4498">
        <v>2100</v>
      </c>
      <c r="S4498" t="str">
        <f t="shared" si="660"/>
        <v>7110</v>
      </c>
      <c r="T4498" t="s">
        <v>3986</v>
      </c>
      <c r="U4498" t="s">
        <v>96</v>
      </c>
    </row>
    <row r="4499" spans="1:21" ht="15" customHeight="1" x14ac:dyDescent="0.3">
      <c r="A4499" t="s">
        <v>179</v>
      </c>
      <c r="B4499" t="str">
        <f>"00065907"</f>
        <v>00065907</v>
      </c>
      <c r="C4499" t="s">
        <v>4260</v>
      </c>
      <c r="D4499" t="s">
        <v>237</v>
      </c>
      <c r="E4499" t="str">
        <f>"00029505"</f>
        <v>00029505</v>
      </c>
      <c r="F4499">
        <v>0</v>
      </c>
      <c r="G4499" s="243">
        <v>40042</v>
      </c>
      <c r="H4499" t="s">
        <v>182</v>
      </c>
      <c r="I4499">
        <v>15</v>
      </c>
      <c r="J4499">
        <v>4</v>
      </c>
      <c r="K4499">
        <v>1</v>
      </c>
      <c r="L4499">
        <v>61158</v>
      </c>
      <c r="M4499" t="str">
        <f t="shared" si="659"/>
        <v>13</v>
      </c>
      <c r="N4499" t="s">
        <v>3323</v>
      </c>
      <c r="O4499" t="str">
        <f t="shared" si="656"/>
        <v>71111</v>
      </c>
      <c r="P4499" t="str">
        <f t="shared" si="658"/>
        <v>2100L</v>
      </c>
      <c r="Q4499" t="str">
        <f t="shared" si="657"/>
        <v>0101</v>
      </c>
      <c r="R4499">
        <v>2100</v>
      </c>
      <c r="S4499" t="str">
        <f t="shared" si="660"/>
        <v>7110</v>
      </c>
      <c r="T4499" t="s">
        <v>3986</v>
      </c>
      <c r="U4499" t="s">
        <v>96</v>
      </c>
    </row>
    <row r="4500" spans="1:21" ht="15" customHeight="1" x14ac:dyDescent="0.3">
      <c r="A4500" t="s">
        <v>179</v>
      </c>
      <c r="B4500" t="str">
        <f>"00065908"</f>
        <v>00065908</v>
      </c>
      <c r="C4500" t="s">
        <v>4260</v>
      </c>
      <c r="D4500" t="s">
        <v>5668</v>
      </c>
      <c r="E4500" t="str">
        <f>"00057502"</f>
        <v>00057502</v>
      </c>
      <c r="F4500">
        <v>0</v>
      </c>
      <c r="G4500" s="243">
        <v>40042</v>
      </c>
      <c r="H4500" t="s">
        <v>182</v>
      </c>
      <c r="I4500">
        <v>15</v>
      </c>
      <c r="J4500">
        <v>3</v>
      </c>
      <c r="K4500">
        <v>1</v>
      </c>
      <c r="L4500">
        <v>58699</v>
      </c>
      <c r="M4500" t="str">
        <f t="shared" si="659"/>
        <v>13</v>
      </c>
      <c r="N4500" t="s">
        <v>3323</v>
      </c>
      <c r="O4500" t="str">
        <f t="shared" si="656"/>
        <v>71111</v>
      </c>
      <c r="P4500" t="str">
        <f t="shared" si="658"/>
        <v>2100L</v>
      </c>
      <c r="Q4500" t="str">
        <f t="shared" si="657"/>
        <v>0101</v>
      </c>
      <c r="R4500">
        <v>2100</v>
      </c>
      <c r="S4500" t="str">
        <f t="shared" si="660"/>
        <v>7110</v>
      </c>
      <c r="T4500" t="s">
        <v>3986</v>
      </c>
      <c r="U4500" t="s">
        <v>96</v>
      </c>
    </row>
    <row r="4501" spans="1:21" ht="15" customHeight="1" x14ac:dyDescent="0.3">
      <c r="A4501" t="s">
        <v>179</v>
      </c>
      <c r="B4501" t="str">
        <f>"00065913"</f>
        <v>00065913</v>
      </c>
      <c r="C4501" t="s">
        <v>4253</v>
      </c>
      <c r="D4501" t="s">
        <v>238</v>
      </c>
      <c r="E4501" t="str">
        <f>"00057410"</f>
        <v>00057410</v>
      </c>
      <c r="F4501">
        <v>0</v>
      </c>
      <c r="G4501" s="243">
        <v>40042</v>
      </c>
      <c r="H4501" t="s">
        <v>182</v>
      </c>
      <c r="I4501">
        <v>15</v>
      </c>
      <c r="J4501">
        <v>3</v>
      </c>
      <c r="K4501">
        <v>1</v>
      </c>
      <c r="L4501">
        <v>58699</v>
      </c>
      <c r="M4501" t="str">
        <f t="shared" si="659"/>
        <v>13</v>
      </c>
      <c r="N4501" t="s">
        <v>3323</v>
      </c>
      <c r="O4501" t="str">
        <f t="shared" si="656"/>
        <v>71111</v>
      </c>
      <c r="P4501" t="str">
        <f t="shared" si="658"/>
        <v>2100L</v>
      </c>
      <c r="Q4501" t="str">
        <f t="shared" si="657"/>
        <v>0101</v>
      </c>
      <c r="R4501">
        <v>2100</v>
      </c>
      <c r="S4501" t="str">
        <f t="shared" si="660"/>
        <v>7110</v>
      </c>
      <c r="T4501" t="s">
        <v>3986</v>
      </c>
      <c r="U4501" t="s">
        <v>96</v>
      </c>
    </row>
    <row r="4502" spans="1:21" ht="15" customHeight="1" x14ac:dyDescent="0.3">
      <c r="A4502" t="s">
        <v>179</v>
      </c>
      <c r="B4502" t="str">
        <f>"00065914"</f>
        <v>00065914</v>
      </c>
      <c r="C4502" t="s">
        <v>4260</v>
      </c>
      <c r="D4502" t="s">
        <v>239</v>
      </c>
      <c r="E4502" t="str">
        <f>"00057204"</f>
        <v>00057204</v>
      </c>
      <c r="F4502">
        <v>0</v>
      </c>
      <c r="G4502" s="243">
        <v>40042</v>
      </c>
      <c r="H4502" t="s">
        <v>182</v>
      </c>
      <c r="I4502">
        <v>15</v>
      </c>
      <c r="J4502">
        <v>4</v>
      </c>
      <c r="K4502">
        <v>1</v>
      </c>
      <c r="L4502">
        <v>63611</v>
      </c>
      <c r="M4502" t="str">
        <f t="shared" si="659"/>
        <v>13</v>
      </c>
      <c r="N4502" t="s">
        <v>3323</v>
      </c>
      <c r="O4502" t="str">
        <f t="shared" si="656"/>
        <v>71111</v>
      </c>
      <c r="P4502" t="str">
        <f t="shared" si="658"/>
        <v>2100L</v>
      </c>
      <c r="Q4502" t="str">
        <f t="shared" si="657"/>
        <v>0101</v>
      </c>
      <c r="R4502">
        <v>2100</v>
      </c>
      <c r="S4502" t="str">
        <f t="shared" si="660"/>
        <v>7110</v>
      </c>
      <c r="T4502" t="s">
        <v>3986</v>
      </c>
      <c r="U4502" t="s">
        <v>96</v>
      </c>
    </row>
    <row r="4503" spans="1:21" ht="15" customHeight="1" x14ac:dyDescent="0.3">
      <c r="A4503" t="s">
        <v>179</v>
      </c>
      <c r="B4503" t="str">
        <f>"00065915"</f>
        <v>00065915</v>
      </c>
      <c r="C4503" t="s">
        <v>4260</v>
      </c>
      <c r="D4503" t="s">
        <v>240</v>
      </c>
      <c r="E4503" t="str">
        <f>"00057175"</f>
        <v>00057175</v>
      </c>
      <c r="F4503">
        <v>0</v>
      </c>
      <c r="G4503" s="243">
        <v>40042</v>
      </c>
      <c r="H4503" t="s">
        <v>182</v>
      </c>
      <c r="I4503">
        <v>15</v>
      </c>
      <c r="J4503">
        <v>3</v>
      </c>
      <c r="K4503">
        <v>1</v>
      </c>
      <c r="L4503">
        <v>58699</v>
      </c>
      <c r="M4503" t="str">
        <f t="shared" si="659"/>
        <v>13</v>
      </c>
      <c r="N4503" t="s">
        <v>3323</v>
      </c>
      <c r="O4503" t="str">
        <f t="shared" si="656"/>
        <v>71111</v>
      </c>
      <c r="P4503" t="str">
        <f t="shared" si="658"/>
        <v>2100L</v>
      </c>
      <c r="Q4503" t="str">
        <f t="shared" si="657"/>
        <v>0101</v>
      </c>
      <c r="R4503">
        <v>2100</v>
      </c>
      <c r="S4503" t="str">
        <f t="shared" si="660"/>
        <v>7110</v>
      </c>
      <c r="T4503" t="s">
        <v>3986</v>
      </c>
      <c r="U4503" t="s">
        <v>96</v>
      </c>
    </row>
    <row r="4504" spans="1:21" ht="15" customHeight="1" x14ac:dyDescent="0.3">
      <c r="A4504" t="s">
        <v>179</v>
      </c>
      <c r="B4504" t="str">
        <f>"00065918"</f>
        <v>00065918</v>
      </c>
      <c r="C4504" t="s">
        <v>4260</v>
      </c>
      <c r="D4504" t="s">
        <v>5669</v>
      </c>
      <c r="E4504" t="str">
        <f>"00069862"</f>
        <v>00069862</v>
      </c>
      <c r="F4504">
        <v>0</v>
      </c>
      <c r="G4504" s="243">
        <v>41133</v>
      </c>
      <c r="H4504" t="s">
        <v>182</v>
      </c>
      <c r="I4504">
        <v>15</v>
      </c>
      <c r="J4504">
        <v>1</v>
      </c>
      <c r="K4504">
        <v>1</v>
      </c>
      <c r="L4504">
        <v>56693</v>
      </c>
      <c r="M4504" t="str">
        <f t="shared" si="659"/>
        <v>13</v>
      </c>
      <c r="N4504" t="s">
        <v>3370</v>
      </c>
      <c r="O4504" t="str">
        <f t="shared" si="656"/>
        <v>71111</v>
      </c>
      <c r="P4504" t="str">
        <f t="shared" si="658"/>
        <v>2100L</v>
      </c>
      <c r="Q4504" t="str">
        <f t="shared" si="657"/>
        <v>0101</v>
      </c>
      <c r="R4504">
        <v>2100</v>
      </c>
      <c r="S4504" t="str">
        <f t="shared" si="660"/>
        <v>7110</v>
      </c>
      <c r="T4504" t="s">
        <v>3986</v>
      </c>
      <c r="U4504" t="s">
        <v>96</v>
      </c>
    </row>
    <row r="4505" spans="1:21" ht="15" customHeight="1" x14ac:dyDescent="0.3">
      <c r="A4505" t="s">
        <v>179</v>
      </c>
      <c r="B4505" t="str">
        <f>"00065919"</f>
        <v>00065919</v>
      </c>
      <c r="C4505" t="s">
        <v>4260</v>
      </c>
      <c r="D4505" t="s">
        <v>5670</v>
      </c>
      <c r="E4505" t="str">
        <f>"00069603"</f>
        <v>00069603</v>
      </c>
      <c r="F4505">
        <v>0</v>
      </c>
      <c r="G4505" s="243">
        <v>41133</v>
      </c>
      <c r="H4505" t="s">
        <v>182</v>
      </c>
      <c r="I4505">
        <v>15</v>
      </c>
      <c r="J4505">
        <v>1</v>
      </c>
      <c r="K4505">
        <v>1</v>
      </c>
      <c r="L4505">
        <v>51539</v>
      </c>
      <c r="M4505" t="str">
        <f t="shared" si="659"/>
        <v>13</v>
      </c>
      <c r="N4505" t="s">
        <v>3370</v>
      </c>
      <c r="O4505" t="str">
        <f t="shared" si="656"/>
        <v>71111</v>
      </c>
      <c r="P4505" t="str">
        <f t="shared" si="658"/>
        <v>2100L</v>
      </c>
      <c r="Q4505" t="str">
        <f t="shared" si="657"/>
        <v>0101</v>
      </c>
      <c r="R4505">
        <v>2100</v>
      </c>
      <c r="S4505" t="str">
        <f t="shared" si="660"/>
        <v>7110</v>
      </c>
      <c r="T4505" t="s">
        <v>3986</v>
      </c>
      <c r="U4505" t="s">
        <v>96</v>
      </c>
    </row>
    <row r="4506" spans="1:21" ht="15" customHeight="1" x14ac:dyDescent="0.3">
      <c r="A4506" t="s">
        <v>179</v>
      </c>
      <c r="B4506" t="str">
        <f>"00065920"</f>
        <v>00065920</v>
      </c>
      <c r="C4506" t="s">
        <v>4253</v>
      </c>
      <c r="D4506" t="s">
        <v>242</v>
      </c>
      <c r="E4506" t="str">
        <f>"00057155"</f>
        <v>00057155</v>
      </c>
      <c r="F4506">
        <v>0</v>
      </c>
      <c r="G4506" s="243">
        <v>40042</v>
      </c>
      <c r="H4506" t="s">
        <v>182</v>
      </c>
      <c r="I4506">
        <v>15</v>
      </c>
      <c r="J4506">
        <v>4</v>
      </c>
      <c r="K4506">
        <v>1</v>
      </c>
      <c r="L4506">
        <v>61158</v>
      </c>
      <c r="M4506" t="str">
        <f t="shared" si="659"/>
        <v>13</v>
      </c>
      <c r="N4506" t="s">
        <v>3323</v>
      </c>
      <c r="O4506" t="str">
        <f t="shared" si="656"/>
        <v>71111</v>
      </c>
      <c r="P4506" t="str">
        <f t="shared" si="658"/>
        <v>2100L</v>
      </c>
      <c r="Q4506" t="str">
        <f t="shared" si="657"/>
        <v>0101</v>
      </c>
      <c r="R4506">
        <v>2100</v>
      </c>
      <c r="S4506" t="str">
        <f t="shared" si="660"/>
        <v>7110</v>
      </c>
      <c r="T4506" t="s">
        <v>3986</v>
      </c>
      <c r="U4506" t="s">
        <v>96</v>
      </c>
    </row>
    <row r="4507" spans="1:21" ht="15" customHeight="1" x14ac:dyDescent="0.3">
      <c r="A4507" t="s">
        <v>179</v>
      </c>
      <c r="B4507" t="str">
        <f>"00065924"</f>
        <v>00065924</v>
      </c>
      <c r="C4507" t="s">
        <v>4253</v>
      </c>
      <c r="H4507" t="s">
        <v>170</v>
      </c>
      <c r="I4507">
        <v>15</v>
      </c>
      <c r="J4507">
        <v>1</v>
      </c>
      <c r="K4507">
        <v>1</v>
      </c>
      <c r="L4507">
        <v>54975</v>
      </c>
      <c r="M4507" t="str">
        <f t="shared" si="659"/>
        <v>13</v>
      </c>
      <c r="N4507" t="s">
        <v>3323</v>
      </c>
      <c r="O4507" t="str">
        <f t="shared" si="656"/>
        <v>71111</v>
      </c>
      <c r="P4507" t="str">
        <f t="shared" si="658"/>
        <v>2100L</v>
      </c>
      <c r="Q4507" t="str">
        <f t="shared" si="657"/>
        <v>0101</v>
      </c>
      <c r="R4507">
        <v>2100</v>
      </c>
      <c r="S4507" t="str">
        <f t="shared" si="660"/>
        <v>7110</v>
      </c>
      <c r="T4507" t="s">
        <v>3986</v>
      </c>
      <c r="U4507" t="s">
        <v>96</v>
      </c>
    </row>
    <row r="4508" spans="1:21" ht="15" customHeight="1" x14ac:dyDescent="0.3">
      <c r="A4508" t="s">
        <v>179</v>
      </c>
      <c r="B4508" t="str">
        <f>"00066220"</f>
        <v>00066220</v>
      </c>
      <c r="C4508" t="s">
        <v>4290</v>
      </c>
      <c r="D4508" t="s">
        <v>5671</v>
      </c>
      <c r="E4508" t="str">
        <f>"00050847"</f>
        <v>00050847</v>
      </c>
      <c r="F4508">
        <v>0</v>
      </c>
      <c r="G4508" s="243">
        <v>41016</v>
      </c>
      <c r="H4508" t="s">
        <v>182</v>
      </c>
      <c r="I4508">
        <v>4</v>
      </c>
      <c r="J4508">
        <v>10</v>
      </c>
      <c r="K4508">
        <v>1</v>
      </c>
      <c r="L4508">
        <v>28721</v>
      </c>
      <c r="M4508" t="str">
        <f t="shared" si="659"/>
        <v>13</v>
      </c>
      <c r="N4508" t="s">
        <v>3323</v>
      </c>
      <c r="O4508" t="str">
        <f t="shared" si="656"/>
        <v>71111</v>
      </c>
      <c r="P4508" t="str">
        <f t="shared" si="658"/>
        <v>2100L</v>
      </c>
      <c r="Q4508" t="str">
        <f t="shared" si="657"/>
        <v>0101</v>
      </c>
      <c r="R4508">
        <v>2100</v>
      </c>
      <c r="S4508" t="str">
        <f t="shared" si="660"/>
        <v>7110</v>
      </c>
      <c r="T4508" t="s">
        <v>3986</v>
      </c>
      <c r="U4508" t="s">
        <v>96</v>
      </c>
    </row>
    <row r="4509" spans="1:21" ht="15" customHeight="1" x14ac:dyDescent="0.3">
      <c r="A4509" t="s">
        <v>179</v>
      </c>
      <c r="B4509" t="str">
        <f>"00066221"</f>
        <v>00066221</v>
      </c>
      <c r="C4509" t="s">
        <v>4290</v>
      </c>
      <c r="D4509" t="s">
        <v>5672</v>
      </c>
      <c r="E4509" t="str">
        <f>"00060465"</f>
        <v>00060465</v>
      </c>
      <c r="F4509">
        <v>0</v>
      </c>
      <c r="G4509" s="243">
        <v>40231</v>
      </c>
      <c r="H4509" t="s">
        <v>182</v>
      </c>
      <c r="I4509">
        <v>4</v>
      </c>
      <c r="J4509">
        <v>9</v>
      </c>
      <c r="K4509">
        <v>1</v>
      </c>
      <c r="L4509">
        <v>28025.38</v>
      </c>
      <c r="M4509" t="str">
        <f t="shared" si="659"/>
        <v>13</v>
      </c>
      <c r="N4509" t="s">
        <v>3323</v>
      </c>
      <c r="O4509" t="str">
        <f t="shared" si="656"/>
        <v>71111</v>
      </c>
      <c r="P4509" t="str">
        <f t="shared" si="658"/>
        <v>2100L</v>
      </c>
      <c r="Q4509" t="str">
        <f t="shared" si="657"/>
        <v>0101</v>
      </c>
      <c r="R4509">
        <v>2100</v>
      </c>
      <c r="S4509" t="str">
        <f t="shared" si="660"/>
        <v>7110</v>
      </c>
      <c r="T4509" t="s">
        <v>3986</v>
      </c>
      <c r="U4509" t="s">
        <v>96</v>
      </c>
    </row>
    <row r="4510" spans="1:21" ht="15" customHeight="1" x14ac:dyDescent="0.3">
      <c r="A4510" t="s">
        <v>179</v>
      </c>
      <c r="B4510" t="str">
        <f>"00066222"</f>
        <v>00066222</v>
      </c>
      <c r="C4510" t="s">
        <v>4290</v>
      </c>
      <c r="D4510" t="s">
        <v>5673</v>
      </c>
      <c r="E4510" t="str">
        <f>"00070394"</f>
        <v>00070394</v>
      </c>
      <c r="F4510">
        <v>0</v>
      </c>
      <c r="G4510" s="243">
        <v>41183</v>
      </c>
      <c r="H4510" t="s">
        <v>182</v>
      </c>
      <c r="I4510">
        <v>4</v>
      </c>
      <c r="J4510">
        <v>1</v>
      </c>
      <c r="K4510">
        <v>1</v>
      </c>
      <c r="L4510">
        <v>22454.25</v>
      </c>
      <c r="M4510" t="str">
        <f t="shared" si="659"/>
        <v>13</v>
      </c>
      <c r="N4510" t="s">
        <v>3370</v>
      </c>
      <c r="O4510" t="str">
        <f t="shared" si="656"/>
        <v>71111</v>
      </c>
      <c r="P4510" t="str">
        <f t="shared" si="658"/>
        <v>2100L</v>
      </c>
      <c r="Q4510" t="str">
        <f t="shared" si="657"/>
        <v>0101</v>
      </c>
      <c r="R4510">
        <v>2100</v>
      </c>
      <c r="S4510" t="str">
        <f t="shared" si="660"/>
        <v>7110</v>
      </c>
      <c r="T4510" t="s">
        <v>3986</v>
      </c>
      <c r="U4510" t="s">
        <v>96</v>
      </c>
    </row>
    <row r="4511" spans="1:21" ht="15" customHeight="1" x14ac:dyDescent="0.3">
      <c r="A4511" t="s">
        <v>179</v>
      </c>
      <c r="B4511" t="str">
        <f>"00066352"</f>
        <v>00066352</v>
      </c>
      <c r="C4511" t="s">
        <v>4261</v>
      </c>
      <c r="D4511" t="s">
        <v>243</v>
      </c>
      <c r="E4511" t="str">
        <f>"00057237"</f>
        <v>00057237</v>
      </c>
      <c r="F4511">
        <v>0</v>
      </c>
      <c r="G4511" s="243">
        <v>40042</v>
      </c>
      <c r="H4511" t="s">
        <v>182</v>
      </c>
      <c r="I4511">
        <v>15</v>
      </c>
      <c r="J4511">
        <v>13</v>
      </c>
      <c r="K4511">
        <v>1</v>
      </c>
      <c r="L4511">
        <v>111172</v>
      </c>
      <c r="M4511" t="str">
        <f t="shared" si="659"/>
        <v>13</v>
      </c>
      <c r="N4511" t="s">
        <v>3323</v>
      </c>
      <c r="O4511" t="str">
        <f t="shared" si="656"/>
        <v>71111</v>
      </c>
      <c r="P4511" t="str">
        <f t="shared" ref="P4511:P4526" si="661">"2100L"</f>
        <v>2100L</v>
      </c>
      <c r="Q4511" t="str">
        <f t="shared" si="657"/>
        <v>0101</v>
      </c>
      <c r="R4511">
        <v>2100</v>
      </c>
      <c r="S4511" t="str">
        <f t="shared" si="660"/>
        <v>7110</v>
      </c>
      <c r="T4511" t="s">
        <v>3986</v>
      </c>
      <c r="U4511" t="s">
        <v>96</v>
      </c>
    </row>
    <row r="4512" spans="1:21" ht="15" customHeight="1" x14ac:dyDescent="0.3">
      <c r="A4512" t="s">
        <v>179</v>
      </c>
      <c r="B4512" t="str">
        <f>"00066353"</f>
        <v>00066353</v>
      </c>
      <c r="C4512" t="s">
        <v>4261</v>
      </c>
      <c r="D4512" t="s">
        <v>244</v>
      </c>
      <c r="E4512" t="str">
        <f>"00052132"</f>
        <v>00052132</v>
      </c>
      <c r="F4512">
        <v>0</v>
      </c>
      <c r="G4512" s="243">
        <v>39594</v>
      </c>
      <c r="H4512" t="s">
        <v>182</v>
      </c>
      <c r="I4512">
        <v>15</v>
      </c>
      <c r="J4512">
        <v>3</v>
      </c>
      <c r="K4512">
        <v>1</v>
      </c>
      <c r="L4512">
        <v>64569</v>
      </c>
      <c r="M4512" t="str">
        <f t="shared" si="659"/>
        <v>13</v>
      </c>
      <c r="N4512" t="s">
        <v>3323</v>
      </c>
      <c r="O4512" t="str">
        <f t="shared" ref="O4512:O4543" si="662">"71111"</f>
        <v>71111</v>
      </c>
      <c r="P4512" t="str">
        <f t="shared" si="661"/>
        <v>2100L</v>
      </c>
      <c r="Q4512" t="str">
        <f t="shared" ref="Q4512:Q4543" si="663">"0101"</f>
        <v>0101</v>
      </c>
      <c r="R4512">
        <v>2100</v>
      </c>
      <c r="S4512" t="str">
        <f t="shared" si="660"/>
        <v>7110</v>
      </c>
      <c r="T4512" t="s">
        <v>3986</v>
      </c>
      <c r="U4512" t="s">
        <v>96</v>
      </c>
    </row>
    <row r="4513" spans="1:21" ht="15" customHeight="1" x14ac:dyDescent="0.3">
      <c r="A4513" t="s">
        <v>179</v>
      </c>
      <c r="B4513" t="str">
        <f>"00066354"</f>
        <v>00066354</v>
      </c>
      <c r="C4513" t="s">
        <v>4261</v>
      </c>
      <c r="D4513" t="s">
        <v>245</v>
      </c>
      <c r="E4513" t="str">
        <f>"00056034"</f>
        <v>00056034</v>
      </c>
      <c r="F4513">
        <v>0</v>
      </c>
      <c r="G4513" s="243">
        <v>40064</v>
      </c>
      <c r="H4513" t="s">
        <v>182</v>
      </c>
      <c r="I4513">
        <v>15</v>
      </c>
      <c r="J4513">
        <v>3</v>
      </c>
      <c r="K4513">
        <v>1</v>
      </c>
      <c r="L4513">
        <v>64569</v>
      </c>
      <c r="M4513" t="str">
        <f t="shared" si="659"/>
        <v>13</v>
      </c>
      <c r="N4513" t="s">
        <v>3323</v>
      </c>
      <c r="O4513" t="str">
        <f t="shared" si="662"/>
        <v>71111</v>
      </c>
      <c r="P4513" t="str">
        <f t="shared" si="661"/>
        <v>2100L</v>
      </c>
      <c r="Q4513" t="str">
        <f t="shared" si="663"/>
        <v>0101</v>
      </c>
      <c r="R4513">
        <v>2100</v>
      </c>
      <c r="S4513" t="str">
        <f t="shared" si="660"/>
        <v>7110</v>
      </c>
      <c r="T4513" t="s">
        <v>3986</v>
      </c>
      <c r="U4513" t="s">
        <v>96</v>
      </c>
    </row>
    <row r="4514" spans="1:21" ht="15" customHeight="1" x14ac:dyDescent="0.3">
      <c r="A4514" t="s">
        <v>179</v>
      </c>
      <c r="B4514" t="str">
        <f>"00066848"</f>
        <v>00066848</v>
      </c>
      <c r="C4514" t="s">
        <v>4260</v>
      </c>
      <c r="D4514" t="s">
        <v>4000</v>
      </c>
      <c r="E4514" t="str">
        <f>"00064400"</f>
        <v>00064400</v>
      </c>
      <c r="F4514">
        <v>0</v>
      </c>
      <c r="G4514" s="243">
        <v>40546</v>
      </c>
      <c r="H4514" t="s">
        <v>182</v>
      </c>
      <c r="I4514">
        <v>15</v>
      </c>
      <c r="J4514">
        <v>3</v>
      </c>
      <c r="K4514">
        <v>1</v>
      </c>
      <c r="L4514">
        <v>55210</v>
      </c>
      <c r="M4514" t="str">
        <f t="shared" si="659"/>
        <v>13</v>
      </c>
      <c r="N4514" t="s">
        <v>3323</v>
      </c>
      <c r="O4514" t="str">
        <f t="shared" si="662"/>
        <v>71111</v>
      </c>
      <c r="P4514" t="str">
        <f t="shared" si="661"/>
        <v>2100L</v>
      </c>
      <c r="Q4514" t="str">
        <f t="shared" si="663"/>
        <v>0101</v>
      </c>
      <c r="R4514">
        <v>2100</v>
      </c>
      <c r="S4514" t="str">
        <f t="shared" si="660"/>
        <v>7110</v>
      </c>
      <c r="T4514" t="s">
        <v>3986</v>
      </c>
      <c r="U4514" t="s">
        <v>96</v>
      </c>
    </row>
    <row r="4515" spans="1:21" ht="15" customHeight="1" x14ac:dyDescent="0.3">
      <c r="A4515" t="s">
        <v>179</v>
      </c>
      <c r="B4515" t="str">
        <f>"00066908"</f>
        <v>00066908</v>
      </c>
      <c r="C4515" t="s">
        <v>4253</v>
      </c>
      <c r="D4515" t="s">
        <v>5674</v>
      </c>
      <c r="E4515" t="str">
        <f>"00069751"</f>
        <v>00069751</v>
      </c>
      <c r="F4515">
        <v>0</v>
      </c>
      <c r="G4515" s="243">
        <v>41133</v>
      </c>
      <c r="H4515" t="s">
        <v>182</v>
      </c>
      <c r="I4515">
        <v>15</v>
      </c>
      <c r="J4515">
        <v>1</v>
      </c>
      <c r="K4515">
        <v>1</v>
      </c>
      <c r="L4515">
        <v>51539</v>
      </c>
      <c r="M4515" t="str">
        <f t="shared" si="659"/>
        <v>13</v>
      </c>
      <c r="N4515" t="s">
        <v>3370</v>
      </c>
      <c r="O4515" t="str">
        <f t="shared" si="662"/>
        <v>71111</v>
      </c>
      <c r="P4515" t="str">
        <f t="shared" si="661"/>
        <v>2100L</v>
      </c>
      <c r="Q4515" t="str">
        <f t="shared" si="663"/>
        <v>0101</v>
      </c>
      <c r="R4515">
        <v>2100</v>
      </c>
      <c r="S4515" t="str">
        <f t="shared" si="660"/>
        <v>7110</v>
      </c>
      <c r="T4515" t="s">
        <v>3986</v>
      </c>
      <c r="U4515" t="s">
        <v>96</v>
      </c>
    </row>
    <row r="4516" spans="1:21" ht="15" customHeight="1" x14ac:dyDescent="0.3">
      <c r="A4516" t="s">
        <v>179</v>
      </c>
      <c r="B4516" t="str">
        <f>"00066909"</f>
        <v>00066909</v>
      </c>
      <c r="C4516" t="s">
        <v>4253</v>
      </c>
      <c r="D4516" t="s">
        <v>246</v>
      </c>
      <c r="E4516" t="str">
        <f>"00056867"</f>
        <v>00056867</v>
      </c>
      <c r="F4516">
        <v>0</v>
      </c>
      <c r="G4516" s="243">
        <v>40042</v>
      </c>
      <c r="H4516" t="s">
        <v>182</v>
      </c>
      <c r="I4516">
        <v>15</v>
      </c>
      <c r="J4516">
        <v>4</v>
      </c>
      <c r="K4516">
        <v>1</v>
      </c>
      <c r="L4516">
        <v>61158</v>
      </c>
      <c r="M4516" t="str">
        <f t="shared" si="659"/>
        <v>13</v>
      </c>
      <c r="N4516" t="s">
        <v>3323</v>
      </c>
      <c r="O4516" t="str">
        <f t="shared" si="662"/>
        <v>71111</v>
      </c>
      <c r="P4516" t="str">
        <f t="shared" si="661"/>
        <v>2100L</v>
      </c>
      <c r="Q4516" t="str">
        <f t="shared" si="663"/>
        <v>0101</v>
      </c>
      <c r="R4516">
        <v>2100</v>
      </c>
      <c r="S4516" t="str">
        <f t="shared" si="660"/>
        <v>7110</v>
      </c>
      <c r="T4516" t="s">
        <v>3986</v>
      </c>
      <c r="U4516" t="s">
        <v>96</v>
      </c>
    </row>
    <row r="4517" spans="1:21" ht="15" customHeight="1" x14ac:dyDescent="0.3">
      <c r="A4517" t="s">
        <v>179</v>
      </c>
      <c r="B4517" t="str">
        <f>"00066910"</f>
        <v>00066910</v>
      </c>
      <c r="C4517" t="s">
        <v>4260</v>
      </c>
      <c r="D4517" t="s">
        <v>4001</v>
      </c>
      <c r="E4517" t="str">
        <f>"00065944"</f>
        <v>00065944</v>
      </c>
      <c r="F4517">
        <v>0</v>
      </c>
      <c r="G4517" s="243">
        <v>40755</v>
      </c>
      <c r="H4517" t="s">
        <v>182</v>
      </c>
      <c r="I4517">
        <v>15</v>
      </c>
      <c r="J4517">
        <v>4</v>
      </c>
      <c r="K4517">
        <v>1</v>
      </c>
      <c r="L4517">
        <v>61158</v>
      </c>
      <c r="M4517" t="str">
        <f t="shared" si="659"/>
        <v>13</v>
      </c>
      <c r="N4517" t="s">
        <v>3323</v>
      </c>
      <c r="O4517" t="str">
        <f t="shared" si="662"/>
        <v>71111</v>
      </c>
      <c r="P4517" t="str">
        <f t="shared" si="661"/>
        <v>2100L</v>
      </c>
      <c r="Q4517" t="str">
        <f t="shared" si="663"/>
        <v>0101</v>
      </c>
      <c r="R4517">
        <v>2100</v>
      </c>
      <c r="S4517" t="str">
        <f t="shared" si="660"/>
        <v>7110</v>
      </c>
      <c r="T4517" t="s">
        <v>3986</v>
      </c>
      <c r="U4517" t="s">
        <v>96</v>
      </c>
    </row>
    <row r="4518" spans="1:21" ht="15" customHeight="1" x14ac:dyDescent="0.3">
      <c r="A4518" t="s">
        <v>179</v>
      </c>
      <c r="B4518" t="str">
        <f>"00066911"</f>
        <v>00066911</v>
      </c>
      <c r="C4518" t="s">
        <v>4257</v>
      </c>
      <c r="D4518" t="s">
        <v>247</v>
      </c>
      <c r="E4518" t="str">
        <f>"00051108"</f>
        <v>00051108</v>
      </c>
      <c r="F4518">
        <v>0</v>
      </c>
      <c r="G4518" s="243">
        <v>40042</v>
      </c>
      <c r="H4518" t="s">
        <v>182</v>
      </c>
      <c r="I4518">
        <v>15</v>
      </c>
      <c r="J4518">
        <v>12</v>
      </c>
      <c r="K4518">
        <v>1</v>
      </c>
      <c r="L4518">
        <v>87431</v>
      </c>
      <c r="M4518" t="str">
        <f t="shared" si="659"/>
        <v>13</v>
      </c>
      <c r="N4518" t="s">
        <v>3323</v>
      </c>
      <c r="O4518" t="str">
        <f t="shared" si="662"/>
        <v>71111</v>
      </c>
      <c r="P4518" t="str">
        <f t="shared" si="661"/>
        <v>2100L</v>
      </c>
      <c r="Q4518" t="str">
        <f t="shared" si="663"/>
        <v>0101</v>
      </c>
      <c r="R4518">
        <v>2100</v>
      </c>
      <c r="S4518" t="str">
        <f t="shared" si="660"/>
        <v>7110</v>
      </c>
      <c r="T4518" t="s">
        <v>3986</v>
      </c>
      <c r="U4518" t="s">
        <v>96</v>
      </c>
    </row>
    <row r="4519" spans="1:21" ht="15" customHeight="1" x14ac:dyDescent="0.3">
      <c r="A4519" t="s">
        <v>179</v>
      </c>
      <c r="B4519" t="str">
        <f>"00066912"</f>
        <v>00066912</v>
      </c>
      <c r="C4519" t="s">
        <v>4253</v>
      </c>
      <c r="H4519" t="s">
        <v>170</v>
      </c>
      <c r="I4519">
        <v>15</v>
      </c>
      <c r="J4519">
        <v>1</v>
      </c>
      <c r="K4519">
        <v>1</v>
      </c>
      <c r="L4519">
        <v>60128</v>
      </c>
      <c r="M4519" t="str">
        <f t="shared" si="659"/>
        <v>13</v>
      </c>
      <c r="N4519" t="s">
        <v>3323</v>
      </c>
      <c r="O4519" t="str">
        <f t="shared" si="662"/>
        <v>71111</v>
      </c>
      <c r="P4519" t="str">
        <f t="shared" si="661"/>
        <v>2100L</v>
      </c>
      <c r="Q4519" t="str">
        <f t="shared" si="663"/>
        <v>0101</v>
      </c>
      <c r="R4519">
        <v>2100</v>
      </c>
      <c r="S4519" t="str">
        <f t="shared" si="660"/>
        <v>7110</v>
      </c>
      <c r="T4519" t="s">
        <v>3986</v>
      </c>
      <c r="U4519" t="s">
        <v>96</v>
      </c>
    </row>
    <row r="4520" spans="1:21" ht="15" customHeight="1" x14ac:dyDescent="0.3">
      <c r="A4520" t="s">
        <v>179</v>
      </c>
      <c r="B4520" t="str">
        <f>"00066913"</f>
        <v>00066913</v>
      </c>
      <c r="C4520" t="s">
        <v>4253</v>
      </c>
      <c r="H4520" t="s">
        <v>170</v>
      </c>
      <c r="I4520">
        <v>15</v>
      </c>
      <c r="J4520">
        <v>1</v>
      </c>
      <c r="K4520">
        <v>1</v>
      </c>
      <c r="L4520">
        <v>54975</v>
      </c>
      <c r="M4520" t="str">
        <f t="shared" si="659"/>
        <v>13</v>
      </c>
      <c r="N4520" t="s">
        <v>3323</v>
      </c>
      <c r="O4520" t="str">
        <f t="shared" si="662"/>
        <v>71111</v>
      </c>
      <c r="P4520" t="str">
        <f t="shared" si="661"/>
        <v>2100L</v>
      </c>
      <c r="Q4520" t="str">
        <f t="shared" si="663"/>
        <v>0101</v>
      </c>
      <c r="R4520">
        <v>2100</v>
      </c>
      <c r="S4520" t="str">
        <f t="shared" si="660"/>
        <v>7110</v>
      </c>
      <c r="T4520" t="s">
        <v>3986</v>
      </c>
      <c r="U4520" t="s">
        <v>96</v>
      </c>
    </row>
    <row r="4521" spans="1:21" ht="15" customHeight="1" x14ac:dyDescent="0.3">
      <c r="A4521" t="s">
        <v>179</v>
      </c>
      <c r="B4521" t="str">
        <f>"00066914"</f>
        <v>00066914</v>
      </c>
      <c r="C4521" t="s">
        <v>4253</v>
      </c>
      <c r="D4521" t="s">
        <v>4002</v>
      </c>
      <c r="E4521" t="str">
        <f>"00066428"</f>
        <v>00066428</v>
      </c>
      <c r="F4521">
        <v>0</v>
      </c>
      <c r="G4521" s="243">
        <v>40770</v>
      </c>
      <c r="H4521" t="s">
        <v>182</v>
      </c>
      <c r="I4521">
        <v>15</v>
      </c>
      <c r="J4521">
        <v>6</v>
      </c>
      <c r="K4521">
        <v>1</v>
      </c>
      <c r="L4521">
        <v>61032</v>
      </c>
      <c r="M4521" t="str">
        <f t="shared" si="659"/>
        <v>13</v>
      </c>
      <c r="N4521" t="s">
        <v>3323</v>
      </c>
      <c r="O4521" t="str">
        <f t="shared" si="662"/>
        <v>71111</v>
      </c>
      <c r="P4521" t="str">
        <f t="shared" si="661"/>
        <v>2100L</v>
      </c>
      <c r="Q4521" t="str">
        <f t="shared" si="663"/>
        <v>0101</v>
      </c>
      <c r="R4521">
        <v>2100</v>
      </c>
      <c r="S4521" t="str">
        <f t="shared" ref="S4521:S4551" si="664">"7110"</f>
        <v>7110</v>
      </c>
      <c r="T4521" t="s">
        <v>3986</v>
      </c>
      <c r="U4521" t="s">
        <v>96</v>
      </c>
    </row>
    <row r="4522" spans="1:21" ht="15" customHeight="1" x14ac:dyDescent="0.3">
      <c r="A4522" t="s">
        <v>179</v>
      </c>
      <c r="B4522" t="str">
        <f>"00066915"</f>
        <v>00066915</v>
      </c>
      <c r="C4522" t="s">
        <v>4263</v>
      </c>
      <c r="D4522" t="s">
        <v>248</v>
      </c>
      <c r="E4522" t="str">
        <f>"00060773"</f>
        <v>00060773</v>
      </c>
      <c r="F4522">
        <v>0</v>
      </c>
      <c r="G4522" s="243">
        <v>40274</v>
      </c>
      <c r="H4522" t="s">
        <v>182</v>
      </c>
      <c r="I4522">
        <v>15</v>
      </c>
      <c r="J4522">
        <v>7</v>
      </c>
      <c r="K4522">
        <v>1</v>
      </c>
      <c r="L4522">
        <v>69132</v>
      </c>
      <c r="M4522" t="str">
        <f t="shared" si="659"/>
        <v>13</v>
      </c>
      <c r="N4522" t="s">
        <v>3323</v>
      </c>
      <c r="O4522" t="str">
        <f t="shared" si="662"/>
        <v>71111</v>
      </c>
      <c r="P4522" t="str">
        <f t="shared" si="661"/>
        <v>2100L</v>
      </c>
      <c r="Q4522" t="str">
        <f t="shared" si="663"/>
        <v>0101</v>
      </c>
      <c r="R4522">
        <v>2100</v>
      </c>
      <c r="S4522" t="str">
        <f t="shared" si="664"/>
        <v>7110</v>
      </c>
      <c r="T4522" t="s">
        <v>3986</v>
      </c>
      <c r="U4522" t="s">
        <v>96</v>
      </c>
    </row>
    <row r="4523" spans="1:21" ht="15" customHeight="1" x14ac:dyDescent="0.3">
      <c r="A4523" t="s">
        <v>179</v>
      </c>
      <c r="B4523" t="str">
        <f>"00066917"</f>
        <v>00066917</v>
      </c>
      <c r="C4523" t="s">
        <v>4253</v>
      </c>
      <c r="D4523" t="s">
        <v>4003</v>
      </c>
      <c r="E4523" t="str">
        <f>"00029618"</f>
        <v>00029618</v>
      </c>
      <c r="F4523">
        <v>0</v>
      </c>
      <c r="G4523" s="243">
        <v>40816</v>
      </c>
      <c r="H4523" t="s">
        <v>182</v>
      </c>
      <c r="I4523">
        <v>15</v>
      </c>
      <c r="J4523">
        <v>11</v>
      </c>
      <c r="K4523">
        <v>1</v>
      </c>
      <c r="L4523">
        <v>81335</v>
      </c>
      <c r="M4523" t="str">
        <f t="shared" si="659"/>
        <v>13</v>
      </c>
      <c r="N4523" t="s">
        <v>3323</v>
      </c>
      <c r="O4523" t="str">
        <f t="shared" si="662"/>
        <v>71111</v>
      </c>
      <c r="P4523" t="str">
        <f t="shared" si="661"/>
        <v>2100L</v>
      </c>
      <c r="Q4523" t="str">
        <f t="shared" si="663"/>
        <v>0101</v>
      </c>
      <c r="R4523">
        <v>2100</v>
      </c>
      <c r="S4523" t="str">
        <f t="shared" si="664"/>
        <v>7110</v>
      </c>
      <c r="T4523" t="s">
        <v>3986</v>
      </c>
      <c r="U4523" t="s">
        <v>96</v>
      </c>
    </row>
    <row r="4524" spans="1:21" ht="15" customHeight="1" x14ac:dyDescent="0.3">
      <c r="A4524" t="s">
        <v>179</v>
      </c>
      <c r="B4524" t="str">
        <f>"00066918"</f>
        <v>00066918</v>
      </c>
      <c r="C4524" t="s">
        <v>4253</v>
      </c>
      <c r="D4524" t="s">
        <v>5675</v>
      </c>
      <c r="E4524" t="str">
        <f>"00055911"</f>
        <v>00055911</v>
      </c>
      <c r="F4524">
        <v>0</v>
      </c>
      <c r="G4524" s="243">
        <v>41133</v>
      </c>
      <c r="H4524" t="s">
        <v>182</v>
      </c>
      <c r="I4524">
        <v>15</v>
      </c>
      <c r="J4524">
        <v>10</v>
      </c>
      <c r="K4524">
        <v>1</v>
      </c>
      <c r="L4524">
        <v>78273</v>
      </c>
      <c r="M4524" t="str">
        <f t="shared" si="659"/>
        <v>13</v>
      </c>
      <c r="N4524" t="s">
        <v>3323</v>
      </c>
      <c r="O4524" t="str">
        <f t="shared" si="662"/>
        <v>71111</v>
      </c>
      <c r="P4524" t="str">
        <f t="shared" si="661"/>
        <v>2100L</v>
      </c>
      <c r="Q4524" t="str">
        <f t="shared" si="663"/>
        <v>0101</v>
      </c>
      <c r="R4524">
        <v>2100</v>
      </c>
      <c r="S4524" t="str">
        <f t="shared" si="664"/>
        <v>7110</v>
      </c>
      <c r="T4524" t="s">
        <v>3986</v>
      </c>
      <c r="U4524" t="s">
        <v>96</v>
      </c>
    </row>
    <row r="4525" spans="1:21" ht="15" customHeight="1" x14ac:dyDescent="0.3">
      <c r="A4525" t="s">
        <v>179</v>
      </c>
      <c r="B4525" t="str">
        <f>"00066920"</f>
        <v>00066920</v>
      </c>
      <c r="C4525" t="s">
        <v>4253</v>
      </c>
      <c r="D4525" t="s">
        <v>249</v>
      </c>
      <c r="E4525" t="str">
        <f>"00057440"</f>
        <v>00057440</v>
      </c>
      <c r="F4525">
        <v>0</v>
      </c>
      <c r="G4525" s="243">
        <v>40042</v>
      </c>
      <c r="H4525" t="s">
        <v>182</v>
      </c>
      <c r="I4525">
        <v>15</v>
      </c>
      <c r="J4525">
        <v>6</v>
      </c>
      <c r="K4525">
        <v>1</v>
      </c>
      <c r="L4525">
        <v>66078</v>
      </c>
      <c r="M4525" t="str">
        <f t="shared" si="659"/>
        <v>13</v>
      </c>
      <c r="N4525" t="s">
        <v>3323</v>
      </c>
      <c r="O4525" t="str">
        <f t="shared" si="662"/>
        <v>71111</v>
      </c>
      <c r="P4525" t="str">
        <f t="shared" si="661"/>
        <v>2100L</v>
      </c>
      <c r="Q4525" t="str">
        <f t="shared" si="663"/>
        <v>0101</v>
      </c>
      <c r="R4525">
        <v>2100</v>
      </c>
      <c r="S4525" t="str">
        <f t="shared" si="664"/>
        <v>7110</v>
      </c>
      <c r="T4525" t="s">
        <v>3986</v>
      </c>
      <c r="U4525" t="s">
        <v>96</v>
      </c>
    </row>
    <row r="4526" spans="1:21" ht="15" customHeight="1" x14ac:dyDescent="0.3">
      <c r="A4526" t="s">
        <v>179</v>
      </c>
      <c r="B4526" t="str">
        <f>"00066921"</f>
        <v>00066921</v>
      </c>
      <c r="C4526" t="s">
        <v>4258</v>
      </c>
      <c r="D4526" t="s">
        <v>5676</v>
      </c>
      <c r="E4526" t="str">
        <f>"00069936"</f>
        <v>00069936</v>
      </c>
      <c r="F4526">
        <v>0</v>
      </c>
      <c r="G4526" s="243">
        <v>41133</v>
      </c>
      <c r="H4526" t="s">
        <v>182</v>
      </c>
      <c r="I4526">
        <v>15</v>
      </c>
      <c r="J4526">
        <v>1</v>
      </c>
      <c r="K4526">
        <v>1</v>
      </c>
      <c r="L4526">
        <v>51539</v>
      </c>
      <c r="M4526" t="str">
        <f t="shared" si="659"/>
        <v>13</v>
      </c>
      <c r="N4526" t="s">
        <v>3323</v>
      </c>
      <c r="O4526" t="str">
        <f t="shared" si="662"/>
        <v>71111</v>
      </c>
      <c r="P4526" t="str">
        <f t="shared" si="661"/>
        <v>2100L</v>
      </c>
      <c r="Q4526" t="str">
        <f t="shared" si="663"/>
        <v>0101</v>
      </c>
      <c r="R4526">
        <v>2100</v>
      </c>
      <c r="S4526" t="str">
        <f t="shared" si="664"/>
        <v>7110</v>
      </c>
      <c r="T4526" t="s">
        <v>3986</v>
      </c>
      <c r="U4526" t="s">
        <v>96</v>
      </c>
    </row>
    <row r="4527" spans="1:21" ht="15" customHeight="1" x14ac:dyDescent="0.3">
      <c r="A4527" t="s">
        <v>179</v>
      </c>
      <c r="B4527" t="str">
        <f>"00066990"</f>
        <v>00066990</v>
      </c>
      <c r="C4527" t="s">
        <v>4395</v>
      </c>
      <c r="D4527" t="s">
        <v>250</v>
      </c>
      <c r="E4527" t="str">
        <f>"00060101"</f>
        <v>00060101</v>
      </c>
      <c r="F4527">
        <v>0</v>
      </c>
      <c r="G4527" s="243">
        <v>40182</v>
      </c>
      <c r="H4527" t="s">
        <v>182</v>
      </c>
      <c r="I4527">
        <v>10</v>
      </c>
      <c r="J4527">
        <v>7</v>
      </c>
      <c r="K4527">
        <v>1</v>
      </c>
      <c r="L4527">
        <v>77822</v>
      </c>
      <c r="M4527" t="str">
        <f t="shared" si="659"/>
        <v>13</v>
      </c>
      <c r="N4527" t="s">
        <v>3323</v>
      </c>
      <c r="O4527" t="str">
        <f t="shared" si="662"/>
        <v>71111</v>
      </c>
      <c r="P4527" t="str">
        <f>"1502L"</f>
        <v>1502L</v>
      </c>
      <c r="Q4527" t="str">
        <f t="shared" si="663"/>
        <v>0101</v>
      </c>
      <c r="R4527">
        <v>1502</v>
      </c>
      <c r="S4527" t="str">
        <f t="shared" si="664"/>
        <v>7110</v>
      </c>
      <c r="T4527" t="s">
        <v>3986</v>
      </c>
      <c r="U4527" t="s">
        <v>96</v>
      </c>
    </row>
    <row r="4528" spans="1:21" ht="15" customHeight="1" x14ac:dyDescent="0.3">
      <c r="A4528" t="s">
        <v>179</v>
      </c>
      <c r="B4528" t="str">
        <f>"00066992"</f>
        <v>00066992</v>
      </c>
      <c r="C4528" t="s">
        <v>4395</v>
      </c>
      <c r="D4528" t="s">
        <v>251</v>
      </c>
      <c r="E4528" t="str">
        <f>"00057668"</f>
        <v>00057668</v>
      </c>
      <c r="F4528">
        <v>0</v>
      </c>
      <c r="G4528" s="243">
        <v>40049</v>
      </c>
      <c r="H4528" t="s">
        <v>182</v>
      </c>
      <c r="I4528">
        <v>10</v>
      </c>
      <c r="J4528">
        <v>7</v>
      </c>
      <c r="K4528">
        <v>1</v>
      </c>
      <c r="L4528">
        <v>77822</v>
      </c>
      <c r="M4528" t="str">
        <f t="shared" si="659"/>
        <v>13</v>
      </c>
      <c r="N4528" t="s">
        <v>3323</v>
      </c>
      <c r="O4528" t="str">
        <f t="shared" si="662"/>
        <v>71111</v>
      </c>
      <c r="P4528" t="str">
        <f>"1502L"</f>
        <v>1502L</v>
      </c>
      <c r="Q4528" t="str">
        <f t="shared" si="663"/>
        <v>0101</v>
      </c>
      <c r="R4528">
        <v>1502</v>
      </c>
      <c r="S4528" t="str">
        <f t="shared" si="664"/>
        <v>7110</v>
      </c>
      <c r="T4528" t="s">
        <v>3986</v>
      </c>
      <c r="U4528" t="s">
        <v>96</v>
      </c>
    </row>
    <row r="4529" spans="1:21" ht="15" customHeight="1" x14ac:dyDescent="0.3">
      <c r="A4529" t="s">
        <v>179</v>
      </c>
      <c r="B4529" t="str">
        <f>"00067028"</f>
        <v>00067028</v>
      </c>
      <c r="C4529" t="s">
        <v>4341</v>
      </c>
      <c r="D4529" t="s">
        <v>252</v>
      </c>
      <c r="E4529" t="str">
        <f>"00060577"</f>
        <v>00060577</v>
      </c>
      <c r="F4529">
        <v>0</v>
      </c>
      <c r="G4529" s="243">
        <v>40252</v>
      </c>
      <c r="H4529" t="s">
        <v>182</v>
      </c>
      <c r="I4529">
        <v>10</v>
      </c>
      <c r="J4529">
        <v>3</v>
      </c>
      <c r="K4529">
        <v>1</v>
      </c>
      <c r="L4529">
        <v>67198</v>
      </c>
      <c r="M4529" t="str">
        <f t="shared" si="659"/>
        <v>13</v>
      </c>
      <c r="N4529" t="s">
        <v>3323</v>
      </c>
      <c r="O4529" t="str">
        <f t="shared" si="662"/>
        <v>71111</v>
      </c>
      <c r="P4529" t="str">
        <f>"2100L"</f>
        <v>2100L</v>
      </c>
      <c r="Q4529" t="str">
        <f t="shared" si="663"/>
        <v>0101</v>
      </c>
      <c r="R4529">
        <v>2100</v>
      </c>
      <c r="S4529" t="str">
        <f t="shared" si="664"/>
        <v>7110</v>
      </c>
      <c r="T4529" t="s">
        <v>3986</v>
      </c>
      <c r="U4529" t="s">
        <v>96</v>
      </c>
    </row>
    <row r="4530" spans="1:21" ht="15" customHeight="1" x14ac:dyDescent="0.3">
      <c r="A4530" t="s">
        <v>179</v>
      </c>
      <c r="B4530" t="str">
        <f>"00067301"</f>
        <v>00067301</v>
      </c>
      <c r="C4530" t="s">
        <v>4360</v>
      </c>
      <c r="D4530" t="s">
        <v>5677</v>
      </c>
      <c r="E4530" t="str">
        <f>"00052115"</f>
        <v>00052115</v>
      </c>
      <c r="F4530">
        <v>0</v>
      </c>
      <c r="G4530" s="243">
        <v>36493</v>
      </c>
      <c r="H4530" t="s">
        <v>182</v>
      </c>
      <c r="I4530">
        <v>7</v>
      </c>
      <c r="J4530">
        <v>6</v>
      </c>
      <c r="K4530">
        <v>1</v>
      </c>
      <c r="L4530">
        <v>40407</v>
      </c>
      <c r="M4530" t="str">
        <f t="shared" si="659"/>
        <v>13</v>
      </c>
      <c r="N4530" t="s">
        <v>3323</v>
      </c>
      <c r="O4530" t="str">
        <f t="shared" si="662"/>
        <v>71111</v>
      </c>
      <c r="P4530" t="str">
        <f>"1502L"</f>
        <v>1502L</v>
      </c>
      <c r="Q4530" t="str">
        <f t="shared" si="663"/>
        <v>0101</v>
      </c>
      <c r="R4530">
        <v>1502</v>
      </c>
      <c r="S4530" t="str">
        <f t="shared" si="664"/>
        <v>7110</v>
      </c>
      <c r="T4530" t="s">
        <v>3986</v>
      </c>
      <c r="U4530" t="s">
        <v>96</v>
      </c>
    </row>
    <row r="4531" spans="1:21" ht="15" customHeight="1" x14ac:dyDescent="0.3">
      <c r="A4531" t="s">
        <v>179</v>
      </c>
      <c r="B4531" t="str">
        <f>"00067312"</f>
        <v>00067312</v>
      </c>
      <c r="C4531" t="s">
        <v>4299</v>
      </c>
      <c r="D4531" t="s">
        <v>5678</v>
      </c>
      <c r="E4531" t="str">
        <f>"00054497"</f>
        <v>00054497</v>
      </c>
      <c r="F4531">
        <v>0</v>
      </c>
      <c r="G4531" s="243">
        <v>36150</v>
      </c>
      <c r="H4531" t="s">
        <v>182</v>
      </c>
      <c r="I4531">
        <v>7</v>
      </c>
      <c r="J4531">
        <v>6</v>
      </c>
      <c r="K4531">
        <v>1</v>
      </c>
      <c r="L4531">
        <v>41513</v>
      </c>
      <c r="M4531" t="str">
        <f t="shared" si="659"/>
        <v>13</v>
      </c>
      <c r="N4531" t="s">
        <v>3323</v>
      </c>
      <c r="O4531" t="str">
        <f t="shared" si="662"/>
        <v>71111</v>
      </c>
      <c r="P4531" t="str">
        <f>"1502L"</f>
        <v>1502L</v>
      </c>
      <c r="Q4531" t="str">
        <f t="shared" si="663"/>
        <v>0101</v>
      </c>
      <c r="R4531">
        <v>1502</v>
      </c>
      <c r="S4531" t="str">
        <f t="shared" si="664"/>
        <v>7110</v>
      </c>
      <c r="T4531" t="s">
        <v>3986</v>
      </c>
      <c r="U4531" t="s">
        <v>96</v>
      </c>
    </row>
    <row r="4532" spans="1:21" ht="15" customHeight="1" x14ac:dyDescent="0.3">
      <c r="A4532" t="s">
        <v>179</v>
      </c>
      <c r="B4532" t="str">
        <f>"00068267"</f>
        <v>00068267</v>
      </c>
      <c r="C4532" t="s">
        <v>4253</v>
      </c>
      <c r="D4532" t="s">
        <v>253</v>
      </c>
      <c r="E4532" t="str">
        <f>"00057994"</f>
        <v>00057994</v>
      </c>
      <c r="F4532">
        <v>0</v>
      </c>
      <c r="G4532" s="243">
        <v>40042</v>
      </c>
      <c r="H4532" t="s">
        <v>182</v>
      </c>
      <c r="I4532">
        <v>15</v>
      </c>
      <c r="J4532">
        <v>9</v>
      </c>
      <c r="K4532">
        <v>1</v>
      </c>
      <c r="L4532">
        <v>77687</v>
      </c>
      <c r="M4532" t="str">
        <f t="shared" si="659"/>
        <v>13</v>
      </c>
      <c r="N4532" t="s">
        <v>3323</v>
      </c>
      <c r="O4532" t="str">
        <f t="shared" si="662"/>
        <v>71111</v>
      </c>
      <c r="P4532" t="str">
        <f t="shared" ref="P4532:P4547" si="665">"2100L"</f>
        <v>2100L</v>
      </c>
      <c r="Q4532" t="str">
        <f t="shared" si="663"/>
        <v>0101</v>
      </c>
      <c r="R4532">
        <v>2100</v>
      </c>
      <c r="S4532" t="str">
        <f t="shared" si="664"/>
        <v>7110</v>
      </c>
      <c r="T4532" t="s">
        <v>3986</v>
      </c>
      <c r="U4532" t="s">
        <v>96</v>
      </c>
    </row>
    <row r="4533" spans="1:21" ht="15" customHeight="1" x14ac:dyDescent="0.3">
      <c r="A4533" t="s">
        <v>179</v>
      </c>
      <c r="B4533" t="str">
        <f>"00072254"</f>
        <v>00072254</v>
      </c>
      <c r="C4533" t="s">
        <v>4260</v>
      </c>
      <c r="D4533" t="s">
        <v>254</v>
      </c>
      <c r="E4533" t="str">
        <f>"00057409"</f>
        <v>00057409</v>
      </c>
      <c r="F4533">
        <v>0</v>
      </c>
      <c r="G4533" s="243">
        <v>40042</v>
      </c>
      <c r="H4533" t="s">
        <v>182</v>
      </c>
      <c r="I4533">
        <v>15</v>
      </c>
      <c r="J4533">
        <v>3</v>
      </c>
      <c r="K4533">
        <v>1</v>
      </c>
      <c r="L4533">
        <v>52777</v>
      </c>
      <c r="M4533" t="str">
        <f t="shared" si="659"/>
        <v>13</v>
      </c>
      <c r="N4533" t="s">
        <v>3323</v>
      </c>
      <c r="O4533" t="str">
        <f t="shared" si="662"/>
        <v>71111</v>
      </c>
      <c r="P4533" t="str">
        <f t="shared" si="665"/>
        <v>2100L</v>
      </c>
      <c r="Q4533" t="str">
        <f t="shared" si="663"/>
        <v>0101</v>
      </c>
      <c r="R4533">
        <v>2100</v>
      </c>
      <c r="S4533" t="str">
        <f t="shared" si="664"/>
        <v>7110</v>
      </c>
      <c r="T4533" t="s">
        <v>3986</v>
      </c>
      <c r="U4533" t="s">
        <v>96</v>
      </c>
    </row>
    <row r="4534" spans="1:21" ht="15" customHeight="1" x14ac:dyDescent="0.3">
      <c r="A4534" t="s">
        <v>179</v>
      </c>
      <c r="B4534" t="str">
        <f>"00072285"</f>
        <v>00072285</v>
      </c>
      <c r="C4534" t="s">
        <v>4263</v>
      </c>
      <c r="D4534" t="s">
        <v>5679</v>
      </c>
      <c r="E4534" t="str">
        <f>"00069959"</f>
        <v>00069959</v>
      </c>
      <c r="F4534">
        <v>0</v>
      </c>
      <c r="G4534" s="243">
        <v>41133</v>
      </c>
      <c r="H4534" t="s">
        <v>182</v>
      </c>
      <c r="I4534">
        <v>15</v>
      </c>
      <c r="J4534">
        <v>1</v>
      </c>
      <c r="K4534">
        <v>1</v>
      </c>
      <c r="L4534">
        <v>51539</v>
      </c>
      <c r="M4534" t="str">
        <f t="shared" si="659"/>
        <v>13</v>
      </c>
      <c r="N4534" t="s">
        <v>3370</v>
      </c>
      <c r="O4534" t="str">
        <f t="shared" si="662"/>
        <v>71111</v>
      </c>
      <c r="P4534" t="str">
        <f t="shared" si="665"/>
        <v>2100L</v>
      </c>
      <c r="Q4534" t="str">
        <f t="shared" si="663"/>
        <v>0101</v>
      </c>
      <c r="R4534">
        <v>2100</v>
      </c>
      <c r="S4534" t="str">
        <f t="shared" si="664"/>
        <v>7110</v>
      </c>
      <c r="T4534" t="s">
        <v>3986</v>
      </c>
      <c r="U4534" t="s">
        <v>96</v>
      </c>
    </row>
    <row r="4535" spans="1:21" ht="15" customHeight="1" x14ac:dyDescent="0.3">
      <c r="A4535" t="s">
        <v>179</v>
      </c>
      <c r="B4535" t="str">
        <f>"00072286"</f>
        <v>00072286</v>
      </c>
      <c r="C4535" t="s">
        <v>4260</v>
      </c>
      <c r="D4535" t="s">
        <v>4004</v>
      </c>
      <c r="E4535" t="str">
        <f>"00065848"</f>
        <v>00065848</v>
      </c>
      <c r="F4535">
        <v>0</v>
      </c>
      <c r="G4535" s="243">
        <v>40755</v>
      </c>
      <c r="H4535" t="s">
        <v>182</v>
      </c>
      <c r="I4535">
        <v>15</v>
      </c>
      <c r="J4535">
        <v>2</v>
      </c>
      <c r="K4535">
        <v>1</v>
      </c>
      <c r="L4535">
        <v>56242</v>
      </c>
      <c r="M4535" t="str">
        <f t="shared" si="659"/>
        <v>13</v>
      </c>
      <c r="N4535" t="s">
        <v>3323</v>
      </c>
      <c r="O4535" t="str">
        <f t="shared" si="662"/>
        <v>71111</v>
      </c>
      <c r="P4535" t="str">
        <f t="shared" si="665"/>
        <v>2100L</v>
      </c>
      <c r="Q4535" t="str">
        <f t="shared" si="663"/>
        <v>0101</v>
      </c>
      <c r="R4535">
        <v>2100</v>
      </c>
      <c r="S4535" t="str">
        <f t="shared" si="664"/>
        <v>7110</v>
      </c>
      <c r="T4535" t="s">
        <v>3986</v>
      </c>
      <c r="U4535" t="s">
        <v>96</v>
      </c>
    </row>
    <row r="4536" spans="1:21" ht="15" customHeight="1" x14ac:dyDescent="0.3">
      <c r="A4536" t="s">
        <v>179</v>
      </c>
      <c r="B4536" t="str">
        <f>"00072287"</f>
        <v>00072287</v>
      </c>
      <c r="C4536" t="s">
        <v>4260</v>
      </c>
      <c r="D4536" t="s">
        <v>255</v>
      </c>
      <c r="E4536" t="str">
        <f>"00062853"</f>
        <v>00062853</v>
      </c>
      <c r="F4536">
        <v>0</v>
      </c>
      <c r="G4536" s="243">
        <v>40406</v>
      </c>
      <c r="H4536" t="s">
        <v>182</v>
      </c>
      <c r="I4536">
        <v>15</v>
      </c>
      <c r="J4536">
        <v>4</v>
      </c>
      <c r="K4536">
        <v>1</v>
      </c>
      <c r="L4536">
        <v>61158</v>
      </c>
      <c r="M4536" t="str">
        <f t="shared" si="659"/>
        <v>13</v>
      </c>
      <c r="N4536" t="s">
        <v>3323</v>
      </c>
      <c r="O4536" t="str">
        <f t="shared" si="662"/>
        <v>71111</v>
      </c>
      <c r="P4536" t="str">
        <f t="shared" si="665"/>
        <v>2100L</v>
      </c>
      <c r="Q4536" t="str">
        <f t="shared" si="663"/>
        <v>0101</v>
      </c>
      <c r="R4536">
        <v>2100</v>
      </c>
      <c r="S4536" t="str">
        <f t="shared" si="664"/>
        <v>7110</v>
      </c>
      <c r="T4536" t="s">
        <v>3986</v>
      </c>
      <c r="U4536" t="s">
        <v>96</v>
      </c>
    </row>
    <row r="4537" spans="1:21" ht="15" customHeight="1" x14ac:dyDescent="0.3">
      <c r="A4537" t="s">
        <v>179</v>
      </c>
      <c r="B4537" t="str">
        <f>"00072372"</f>
        <v>00072372</v>
      </c>
      <c r="C4537" t="s">
        <v>4260</v>
      </c>
      <c r="D4537" t="s">
        <v>5680</v>
      </c>
      <c r="E4537" t="str">
        <f>"00067617"</f>
        <v>00067617</v>
      </c>
      <c r="F4537">
        <v>0</v>
      </c>
      <c r="G4537" s="243">
        <v>40931</v>
      </c>
      <c r="H4537" t="s">
        <v>182</v>
      </c>
      <c r="I4537">
        <v>15</v>
      </c>
      <c r="J4537">
        <v>9</v>
      </c>
      <c r="K4537">
        <v>1</v>
      </c>
      <c r="L4537">
        <v>77687</v>
      </c>
      <c r="M4537" t="str">
        <f t="shared" si="659"/>
        <v>13</v>
      </c>
      <c r="N4537" t="s">
        <v>3323</v>
      </c>
      <c r="O4537" t="str">
        <f t="shared" si="662"/>
        <v>71111</v>
      </c>
      <c r="P4537" t="str">
        <f t="shared" si="665"/>
        <v>2100L</v>
      </c>
      <c r="Q4537" t="str">
        <f t="shared" si="663"/>
        <v>0101</v>
      </c>
      <c r="R4537">
        <v>2100</v>
      </c>
      <c r="S4537" t="str">
        <f t="shared" si="664"/>
        <v>7110</v>
      </c>
      <c r="T4537" t="s">
        <v>3986</v>
      </c>
      <c r="U4537" t="s">
        <v>96</v>
      </c>
    </row>
    <row r="4538" spans="1:21" ht="15" customHeight="1" x14ac:dyDescent="0.3">
      <c r="A4538" t="s">
        <v>179</v>
      </c>
      <c r="B4538" t="str">
        <f>"00072583"</f>
        <v>00072583</v>
      </c>
      <c r="C4538" t="s">
        <v>4290</v>
      </c>
      <c r="D4538" t="s">
        <v>5681</v>
      </c>
      <c r="E4538" t="str">
        <f>"00070483"</f>
        <v>00070483</v>
      </c>
      <c r="F4538">
        <v>0</v>
      </c>
      <c r="G4538" s="243">
        <v>41183</v>
      </c>
      <c r="H4538" t="s">
        <v>182</v>
      </c>
      <c r="I4538">
        <v>4</v>
      </c>
      <c r="J4538">
        <v>6</v>
      </c>
      <c r="K4538">
        <v>0.71</v>
      </c>
      <c r="L4538">
        <v>25935.88</v>
      </c>
      <c r="M4538" t="str">
        <f t="shared" si="659"/>
        <v>13</v>
      </c>
      <c r="N4538" t="s">
        <v>3323</v>
      </c>
      <c r="O4538" t="str">
        <f t="shared" si="662"/>
        <v>71111</v>
      </c>
      <c r="P4538" t="str">
        <f t="shared" si="665"/>
        <v>2100L</v>
      </c>
      <c r="Q4538" t="str">
        <f t="shared" si="663"/>
        <v>0101</v>
      </c>
      <c r="R4538">
        <v>2100</v>
      </c>
      <c r="S4538" t="str">
        <f t="shared" si="664"/>
        <v>7110</v>
      </c>
      <c r="T4538" t="s">
        <v>3986</v>
      </c>
      <c r="U4538" t="s">
        <v>96</v>
      </c>
    </row>
    <row r="4539" spans="1:21" ht="15" customHeight="1" x14ac:dyDescent="0.3">
      <c r="A4539" t="s">
        <v>179</v>
      </c>
      <c r="B4539" t="str">
        <f>"00072651"</f>
        <v>00072651</v>
      </c>
      <c r="C4539" t="s">
        <v>4367</v>
      </c>
      <c r="D4539" t="s">
        <v>5682</v>
      </c>
      <c r="E4539" t="str">
        <f>"00052992"</f>
        <v>00052992</v>
      </c>
      <c r="F4539">
        <v>0</v>
      </c>
      <c r="G4539" s="243">
        <v>31608</v>
      </c>
      <c r="H4539" t="s">
        <v>182</v>
      </c>
      <c r="I4539">
        <v>9</v>
      </c>
      <c r="J4539">
        <v>9</v>
      </c>
      <c r="K4539">
        <v>1</v>
      </c>
      <c r="L4539">
        <v>46173</v>
      </c>
      <c r="M4539" t="str">
        <f t="shared" si="659"/>
        <v>13</v>
      </c>
      <c r="N4539" t="s">
        <v>3323</v>
      </c>
      <c r="O4539" t="str">
        <f t="shared" si="662"/>
        <v>71111</v>
      </c>
      <c r="P4539" t="str">
        <f t="shared" si="665"/>
        <v>2100L</v>
      </c>
      <c r="Q4539" t="str">
        <f t="shared" si="663"/>
        <v>0101</v>
      </c>
      <c r="R4539">
        <v>2100</v>
      </c>
      <c r="S4539" t="str">
        <f t="shared" si="664"/>
        <v>7110</v>
      </c>
      <c r="T4539" t="s">
        <v>3986</v>
      </c>
      <c r="U4539" t="s">
        <v>96</v>
      </c>
    </row>
    <row r="4540" spans="1:21" ht="15" customHeight="1" x14ac:dyDescent="0.3">
      <c r="A4540" t="s">
        <v>179</v>
      </c>
      <c r="B4540" t="str">
        <f>"00072658"</f>
        <v>00072658</v>
      </c>
      <c r="C4540" t="s">
        <v>200</v>
      </c>
      <c r="D4540" t="s">
        <v>3991</v>
      </c>
      <c r="E4540" t="str">
        <f>"00001323"</f>
        <v>00001323</v>
      </c>
      <c r="F4540">
        <v>0</v>
      </c>
      <c r="G4540" s="243">
        <v>37494</v>
      </c>
      <c r="H4540" t="s">
        <v>182</v>
      </c>
      <c r="I4540">
        <v>15</v>
      </c>
      <c r="J4540">
        <v>11</v>
      </c>
      <c r="K4540">
        <v>1</v>
      </c>
      <c r="L4540">
        <v>81335</v>
      </c>
      <c r="M4540" t="str">
        <f t="shared" si="659"/>
        <v>13</v>
      </c>
      <c r="N4540" t="s">
        <v>3323</v>
      </c>
      <c r="O4540" t="str">
        <f t="shared" si="662"/>
        <v>71111</v>
      </c>
      <c r="P4540" t="str">
        <f t="shared" si="665"/>
        <v>2100L</v>
      </c>
      <c r="Q4540" t="str">
        <f t="shared" si="663"/>
        <v>0101</v>
      </c>
      <c r="R4540">
        <v>2100</v>
      </c>
      <c r="S4540" t="str">
        <f t="shared" si="664"/>
        <v>7110</v>
      </c>
      <c r="T4540" t="s">
        <v>3986</v>
      </c>
      <c r="U4540" t="s">
        <v>96</v>
      </c>
    </row>
    <row r="4541" spans="1:21" ht="15" customHeight="1" x14ac:dyDescent="0.3">
      <c r="A4541" t="s">
        <v>179</v>
      </c>
      <c r="B4541" t="str">
        <f>"00072660"</f>
        <v>00072660</v>
      </c>
      <c r="C4541" t="s">
        <v>4256</v>
      </c>
      <c r="D4541" t="s">
        <v>258</v>
      </c>
      <c r="E4541" t="str">
        <f>"00051517"</f>
        <v>00051517</v>
      </c>
      <c r="F4541">
        <v>0</v>
      </c>
      <c r="G4541" s="243">
        <v>40042</v>
      </c>
      <c r="H4541" t="s">
        <v>182</v>
      </c>
      <c r="I4541">
        <v>15</v>
      </c>
      <c r="J4541">
        <v>12</v>
      </c>
      <c r="K4541">
        <v>1</v>
      </c>
      <c r="L4541">
        <v>89887</v>
      </c>
      <c r="M4541" t="str">
        <f t="shared" si="659"/>
        <v>13</v>
      </c>
      <c r="N4541" t="s">
        <v>3323</v>
      </c>
      <c r="O4541" t="str">
        <f t="shared" si="662"/>
        <v>71111</v>
      </c>
      <c r="P4541" t="str">
        <f t="shared" si="665"/>
        <v>2100L</v>
      </c>
      <c r="Q4541" t="str">
        <f t="shared" si="663"/>
        <v>0101</v>
      </c>
      <c r="R4541">
        <v>2100</v>
      </c>
      <c r="S4541" t="str">
        <f t="shared" si="664"/>
        <v>7110</v>
      </c>
      <c r="T4541" t="s">
        <v>3986</v>
      </c>
      <c r="U4541" t="s">
        <v>96</v>
      </c>
    </row>
    <row r="4542" spans="1:21" ht="15" customHeight="1" x14ac:dyDescent="0.3">
      <c r="A4542" t="s">
        <v>179</v>
      </c>
      <c r="B4542" t="str">
        <f>"00072661"</f>
        <v>00072661</v>
      </c>
      <c r="C4542" t="s">
        <v>4260</v>
      </c>
      <c r="D4542" t="s">
        <v>5683</v>
      </c>
      <c r="E4542" t="str">
        <f>"00070044"</f>
        <v>00070044</v>
      </c>
      <c r="F4542">
        <v>0</v>
      </c>
      <c r="G4542" s="243">
        <v>41133</v>
      </c>
      <c r="H4542" t="s">
        <v>182</v>
      </c>
      <c r="I4542">
        <v>15</v>
      </c>
      <c r="J4542">
        <v>8</v>
      </c>
      <c r="K4542">
        <v>1</v>
      </c>
      <c r="L4542">
        <v>65957</v>
      </c>
      <c r="M4542" t="str">
        <f t="shared" si="659"/>
        <v>13</v>
      </c>
      <c r="N4542" t="s">
        <v>3370</v>
      </c>
      <c r="O4542" t="str">
        <f t="shared" si="662"/>
        <v>71111</v>
      </c>
      <c r="P4542" t="str">
        <f t="shared" si="665"/>
        <v>2100L</v>
      </c>
      <c r="Q4542" t="str">
        <f t="shared" si="663"/>
        <v>0101</v>
      </c>
      <c r="R4542">
        <v>2100</v>
      </c>
      <c r="S4542" t="str">
        <f t="shared" si="664"/>
        <v>7110</v>
      </c>
      <c r="T4542" t="s">
        <v>3986</v>
      </c>
      <c r="U4542" t="s">
        <v>96</v>
      </c>
    </row>
    <row r="4543" spans="1:21" ht="15" customHeight="1" x14ac:dyDescent="0.3">
      <c r="A4543" t="s">
        <v>179</v>
      </c>
      <c r="B4543" t="str">
        <f>"00072664"</f>
        <v>00072664</v>
      </c>
      <c r="C4543" t="s">
        <v>4253</v>
      </c>
      <c r="D4543" t="s">
        <v>4195</v>
      </c>
      <c r="E4543" t="str">
        <f>"00051742"</f>
        <v>00051742</v>
      </c>
      <c r="F4543">
        <v>0</v>
      </c>
      <c r="G4543" s="243">
        <v>40980</v>
      </c>
      <c r="H4543" t="s">
        <v>182</v>
      </c>
      <c r="I4543">
        <v>15</v>
      </c>
      <c r="J4543">
        <v>7</v>
      </c>
      <c r="K4543">
        <v>1</v>
      </c>
      <c r="L4543">
        <v>61068</v>
      </c>
      <c r="M4543" t="str">
        <f t="shared" si="659"/>
        <v>13</v>
      </c>
      <c r="N4543" t="s">
        <v>3323</v>
      </c>
      <c r="O4543" t="str">
        <f t="shared" si="662"/>
        <v>71111</v>
      </c>
      <c r="P4543" t="str">
        <f t="shared" si="665"/>
        <v>2100L</v>
      </c>
      <c r="Q4543" t="str">
        <f t="shared" si="663"/>
        <v>0101</v>
      </c>
      <c r="R4543">
        <v>2100</v>
      </c>
      <c r="S4543" t="str">
        <f t="shared" si="664"/>
        <v>7110</v>
      </c>
      <c r="T4543" t="s">
        <v>3986</v>
      </c>
      <c r="U4543" t="s">
        <v>96</v>
      </c>
    </row>
    <row r="4544" spans="1:21" ht="15" customHeight="1" x14ac:dyDescent="0.3">
      <c r="A4544" t="s">
        <v>179</v>
      </c>
      <c r="B4544" t="str">
        <f>"00072898"</f>
        <v>00072898</v>
      </c>
      <c r="C4544" t="s">
        <v>4341</v>
      </c>
      <c r="D4544" t="s">
        <v>256</v>
      </c>
      <c r="E4544" t="str">
        <f>"00049277"</f>
        <v>00049277</v>
      </c>
      <c r="F4544">
        <v>0</v>
      </c>
      <c r="G4544" s="243">
        <v>40409</v>
      </c>
      <c r="H4544" t="s">
        <v>182</v>
      </c>
      <c r="I4544">
        <v>10</v>
      </c>
      <c r="J4544">
        <v>9</v>
      </c>
      <c r="K4544">
        <v>1</v>
      </c>
      <c r="L4544">
        <v>88084</v>
      </c>
      <c r="M4544" t="str">
        <f t="shared" si="659"/>
        <v>13</v>
      </c>
      <c r="N4544" t="s">
        <v>3323</v>
      </c>
      <c r="O4544" t="str">
        <f t="shared" ref="O4544:O4567" si="666">"71111"</f>
        <v>71111</v>
      </c>
      <c r="P4544" t="str">
        <f t="shared" si="665"/>
        <v>2100L</v>
      </c>
      <c r="Q4544" t="str">
        <f t="shared" ref="Q4544:Q4567" si="667">"0101"</f>
        <v>0101</v>
      </c>
      <c r="R4544">
        <v>2100</v>
      </c>
      <c r="S4544" t="str">
        <f t="shared" si="664"/>
        <v>7110</v>
      </c>
      <c r="T4544" t="s">
        <v>3986</v>
      </c>
      <c r="U4544" t="s">
        <v>96</v>
      </c>
    </row>
    <row r="4545" spans="1:21" ht="15" customHeight="1" x14ac:dyDescent="0.3">
      <c r="A4545" t="s">
        <v>179</v>
      </c>
      <c r="B4545" t="str">
        <f>"00072916"</f>
        <v>00072916</v>
      </c>
      <c r="C4545" t="s">
        <v>4260</v>
      </c>
      <c r="D4545" t="s">
        <v>257</v>
      </c>
      <c r="E4545" t="str">
        <f>"00062855"</f>
        <v>00062855</v>
      </c>
      <c r="F4545">
        <v>0</v>
      </c>
      <c r="G4545" s="243">
        <v>40406</v>
      </c>
      <c r="H4545" t="s">
        <v>182</v>
      </c>
      <c r="I4545">
        <v>15</v>
      </c>
      <c r="J4545">
        <v>7</v>
      </c>
      <c r="K4545">
        <v>1</v>
      </c>
      <c r="L4545">
        <v>69132</v>
      </c>
      <c r="M4545" t="str">
        <f t="shared" si="659"/>
        <v>13</v>
      </c>
      <c r="N4545" t="s">
        <v>3323</v>
      </c>
      <c r="O4545" t="str">
        <f t="shared" si="666"/>
        <v>71111</v>
      </c>
      <c r="P4545" t="str">
        <f t="shared" si="665"/>
        <v>2100L</v>
      </c>
      <c r="Q4545" t="str">
        <f t="shared" si="667"/>
        <v>0101</v>
      </c>
      <c r="R4545">
        <v>2100</v>
      </c>
      <c r="S4545" t="str">
        <f t="shared" si="664"/>
        <v>7110</v>
      </c>
      <c r="T4545" t="s">
        <v>3986</v>
      </c>
      <c r="U4545" t="s">
        <v>96</v>
      </c>
    </row>
    <row r="4546" spans="1:21" ht="15" customHeight="1" x14ac:dyDescent="0.3">
      <c r="A4546" t="s">
        <v>179</v>
      </c>
      <c r="B4546" t="str">
        <f>"00073874"</f>
        <v>00073874</v>
      </c>
      <c r="C4546" t="s">
        <v>200</v>
      </c>
      <c r="D4546" t="s">
        <v>3992</v>
      </c>
      <c r="E4546" t="str">
        <f>"00045471"</f>
        <v>00045471</v>
      </c>
      <c r="F4546">
        <v>0</v>
      </c>
      <c r="G4546" s="243">
        <v>37060</v>
      </c>
      <c r="H4546" t="s">
        <v>182</v>
      </c>
      <c r="I4546">
        <v>15</v>
      </c>
      <c r="J4546">
        <v>12</v>
      </c>
      <c r="K4546">
        <v>1</v>
      </c>
      <c r="L4546">
        <v>87431</v>
      </c>
      <c r="M4546" t="str">
        <f t="shared" si="659"/>
        <v>13</v>
      </c>
      <c r="N4546" t="s">
        <v>3323</v>
      </c>
      <c r="O4546" t="str">
        <f t="shared" si="666"/>
        <v>71111</v>
      </c>
      <c r="P4546" t="str">
        <f t="shared" si="665"/>
        <v>2100L</v>
      </c>
      <c r="Q4546" t="str">
        <f t="shared" si="667"/>
        <v>0101</v>
      </c>
      <c r="R4546">
        <v>2100</v>
      </c>
      <c r="S4546" t="str">
        <f t="shared" si="664"/>
        <v>7110</v>
      </c>
      <c r="T4546" t="s">
        <v>3986</v>
      </c>
      <c r="U4546" t="s">
        <v>96</v>
      </c>
    </row>
    <row r="4547" spans="1:21" ht="15" customHeight="1" x14ac:dyDescent="0.3">
      <c r="A4547" t="s">
        <v>179</v>
      </c>
      <c r="B4547" t="str">
        <f>"00074027"</f>
        <v>00074027</v>
      </c>
      <c r="C4547" t="s">
        <v>200</v>
      </c>
      <c r="D4547" t="s">
        <v>3993</v>
      </c>
      <c r="E4547" t="str">
        <f>"00046852"</f>
        <v>00046852</v>
      </c>
      <c r="F4547">
        <v>0</v>
      </c>
      <c r="G4547" s="243">
        <v>37154</v>
      </c>
      <c r="H4547" t="s">
        <v>182</v>
      </c>
      <c r="I4547">
        <v>15</v>
      </c>
      <c r="J4547">
        <v>14</v>
      </c>
      <c r="K4547">
        <v>1</v>
      </c>
      <c r="L4547">
        <v>96460</v>
      </c>
      <c r="M4547" t="str">
        <f t="shared" si="659"/>
        <v>13</v>
      </c>
      <c r="N4547" t="s">
        <v>3323</v>
      </c>
      <c r="O4547" t="str">
        <f t="shared" si="666"/>
        <v>71111</v>
      </c>
      <c r="P4547" t="str">
        <f t="shared" si="665"/>
        <v>2100L</v>
      </c>
      <c r="Q4547" t="str">
        <f t="shared" si="667"/>
        <v>0101</v>
      </c>
      <c r="R4547">
        <v>2100</v>
      </c>
      <c r="S4547" t="str">
        <f t="shared" si="664"/>
        <v>7110</v>
      </c>
      <c r="T4547" t="s">
        <v>3986</v>
      </c>
      <c r="U4547" t="s">
        <v>96</v>
      </c>
    </row>
    <row r="4548" spans="1:21" ht="15" customHeight="1" x14ac:dyDescent="0.3">
      <c r="A4548" t="s">
        <v>179</v>
      </c>
      <c r="B4548" t="str">
        <f>"00074436"</f>
        <v>00074436</v>
      </c>
      <c r="C4548" t="s">
        <v>3670</v>
      </c>
      <c r="D4548" t="s">
        <v>951</v>
      </c>
      <c r="E4548" t="str">
        <f>"00049407"</f>
        <v>00049407</v>
      </c>
      <c r="F4548">
        <v>0</v>
      </c>
      <c r="G4548" s="243">
        <v>36761</v>
      </c>
      <c r="H4548" t="s">
        <v>182</v>
      </c>
      <c r="I4548">
        <v>8</v>
      </c>
      <c r="J4548">
        <v>3</v>
      </c>
      <c r="K4548">
        <v>1</v>
      </c>
      <c r="L4548">
        <v>88654</v>
      </c>
      <c r="M4548" t="str">
        <f t="shared" si="659"/>
        <v>13</v>
      </c>
      <c r="N4548" t="s">
        <v>3323</v>
      </c>
      <c r="O4548" t="str">
        <f t="shared" si="666"/>
        <v>71111</v>
      </c>
      <c r="P4548" t="str">
        <f>"1501L"</f>
        <v>1501L</v>
      </c>
      <c r="Q4548" t="str">
        <f t="shared" si="667"/>
        <v>0101</v>
      </c>
      <c r="R4548">
        <v>1501</v>
      </c>
      <c r="S4548" t="str">
        <f t="shared" si="664"/>
        <v>7110</v>
      </c>
      <c r="T4548" t="s">
        <v>3986</v>
      </c>
      <c r="U4548" t="s">
        <v>96</v>
      </c>
    </row>
    <row r="4549" spans="1:21" ht="15" customHeight="1" x14ac:dyDescent="0.3">
      <c r="A4549" t="s">
        <v>179</v>
      </c>
      <c r="B4549" t="str">
        <f>"00074437"</f>
        <v>00074437</v>
      </c>
      <c r="C4549" t="s">
        <v>200</v>
      </c>
      <c r="H4549" t="s">
        <v>170</v>
      </c>
      <c r="I4549">
        <v>15</v>
      </c>
      <c r="J4549">
        <v>1</v>
      </c>
      <c r="K4549">
        <v>1</v>
      </c>
      <c r="L4549">
        <v>54975</v>
      </c>
      <c r="M4549" t="str">
        <f t="shared" si="659"/>
        <v>13</v>
      </c>
      <c r="N4549" t="s">
        <v>3323</v>
      </c>
      <c r="O4549" t="str">
        <f t="shared" si="666"/>
        <v>71111</v>
      </c>
      <c r="P4549" t="str">
        <f>"2100L"</f>
        <v>2100L</v>
      </c>
      <c r="Q4549" t="str">
        <f t="shared" si="667"/>
        <v>0101</v>
      </c>
      <c r="R4549">
        <v>2100</v>
      </c>
      <c r="S4549" t="str">
        <f t="shared" si="664"/>
        <v>7110</v>
      </c>
      <c r="T4549" t="s">
        <v>3986</v>
      </c>
      <c r="U4549" t="s">
        <v>96</v>
      </c>
    </row>
    <row r="4550" spans="1:21" ht="15" customHeight="1" x14ac:dyDescent="0.3">
      <c r="A4550" t="s">
        <v>179</v>
      </c>
      <c r="B4550" t="str">
        <f>"00074439"</f>
        <v>00074439</v>
      </c>
      <c r="C4550" t="s">
        <v>200</v>
      </c>
      <c r="D4550" t="s">
        <v>3994</v>
      </c>
      <c r="E4550" t="str">
        <f>"00045075"</f>
        <v>00045075</v>
      </c>
      <c r="F4550">
        <v>0</v>
      </c>
      <c r="G4550" s="243">
        <v>36390</v>
      </c>
      <c r="H4550" t="s">
        <v>182</v>
      </c>
      <c r="I4550">
        <v>15</v>
      </c>
      <c r="J4550">
        <v>16</v>
      </c>
      <c r="K4550">
        <v>1</v>
      </c>
      <c r="L4550">
        <v>106540</v>
      </c>
      <c r="M4550" t="str">
        <f t="shared" si="659"/>
        <v>13</v>
      </c>
      <c r="N4550" t="s">
        <v>3323</v>
      </c>
      <c r="O4550" t="str">
        <f t="shared" si="666"/>
        <v>71111</v>
      </c>
      <c r="P4550" t="str">
        <f>"2100L"</f>
        <v>2100L</v>
      </c>
      <c r="Q4550" t="str">
        <f t="shared" si="667"/>
        <v>0101</v>
      </c>
      <c r="R4550">
        <v>2100</v>
      </c>
      <c r="S4550" t="str">
        <f t="shared" si="664"/>
        <v>7110</v>
      </c>
      <c r="T4550" t="s">
        <v>3986</v>
      </c>
      <c r="U4550" t="s">
        <v>96</v>
      </c>
    </row>
    <row r="4551" spans="1:21" ht="15" customHeight="1" x14ac:dyDescent="0.3">
      <c r="A4551" t="s">
        <v>179</v>
      </c>
      <c r="B4551" t="str">
        <f>"00074591"</f>
        <v>00074591</v>
      </c>
      <c r="C4551" t="s">
        <v>3670</v>
      </c>
      <c r="D4551" t="s">
        <v>3987</v>
      </c>
      <c r="E4551" t="str">
        <f>"00065423"</f>
        <v>00065423</v>
      </c>
      <c r="F4551">
        <v>0</v>
      </c>
      <c r="G4551" s="243">
        <v>40729</v>
      </c>
      <c r="H4551" t="s">
        <v>182</v>
      </c>
      <c r="I4551">
        <v>8</v>
      </c>
      <c r="J4551">
        <v>3</v>
      </c>
      <c r="K4551">
        <v>1</v>
      </c>
      <c r="L4551">
        <v>87160</v>
      </c>
      <c r="M4551" t="str">
        <f t="shared" ref="M4551:M4611" si="668">"13"</f>
        <v>13</v>
      </c>
      <c r="N4551" t="s">
        <v>3323</v>
      </c>
      <c r="O4551" t="str">
        <f t="shared" si="666"/>
        <v>71111</v>
      </c>
      <c r="P4551" t="str">
        <f>"1501L"</f>
        <v>1501L</v>
      </c>
      <c r="Q4551" t="str">
        <f t="shared" si="667"/>
        <v>0101</v>
      </c>
      <c r="R4551">
        <v>1501</v>
      </c>
      <c r="S4551" t="str">
        <f t="shared" si="664"/>
        <v>7110</v>
      </c>
      <c r="T4551" t="s">
        <v>3986</v>
      </c>
      <c r="U4551" t="s">
        <v>96</v>
      </c>
    </row>
    <row r="4552" spans="1:21" ht="15" customHeight="1" x14ac:dyDescent="0.3">
      <c r="A4552" t="s">
        <v>179</v>
      </c>
      <c r="B4552" t="str">
        <f>"00074594"</f>
        <v>00074594</v>
      </c>
      <c r="C4552" t="s">
        <v>4266</v>
      </c>
      <c r="D4552" t="s">
        <v>5684</v>
      </c>
      <c r="E4552" t="str">
        <f>"00049909"</f>
        <v>00049909</v>
      </c>
      <c r="F4552">
        <v>0</v>
      </c>
      <c r="G4552" s="243">
        <v>40959</v>
      </c>
      <c r="H4552" t="s">
        <v>182</v>
      </c>
      <c r="I4552">
        <v>15</v>
      </c>
      <c r="J4552">
        <v>2</v>
      </c>
      <c r="K4552">
        <v>1</v>
      </c>
      <c r="L4552">
        <v>51716</v>
      </c>
      <c r="M4552" t="str">
        <f t="shared" si="668"/>
        <v>13</v>
      </c>
      <c r="N4552" t="s">
        <v>3323</v>
      </c>
      <c r="O4552" t="str">
        <f t="shared" si="666"/>
        <v>71111</v>
      </c>
      <c r="P4552" t="str">
        <f>"2100L"</f>
        <v>2100L</v>
      </c>
      <c r="Q4552" t="str">
        <f t="shared" si="667"/>
        <v>0101</v>
      </c>
      <c r="R4552">
        <v>2100</v>
      </c>
      <c r="S4552" t="str">
        <f t="shared" ref="S4552:S4569" si="669">"7110"</f>
        <v>7110</v>
      </c>
      <c r="T4552" t="s">
        <v>3986</v>
      </c>
      <c r="U4552" t="s">
        <v>96</v>
      </c>
    </row>
    <row r="4553" spans="1:21" ht="15" customHeight="1" x14ac:dyDescent="0.3">
      <c r="A4553" t="s">
        <v>179</v>
      </c>
      <c r="B4553" t="str">
        <f>"00074595"</f>
        <v>00074595</v>
      </c>
      <c r="C4553" t="s">
        <v>4290</v>
      </c>
      <c r="H4553" t="s">
        <v>170</v>
      </c>
      <c r="I4553">
        <v>4</v>
      </c>
      <c r="J4553">
        <v>1</v>
      </c>
      <c r="K4553">
        <v>0.71</v>
      </c>
      <c r="L4553">
        <v>25662</v>
      </c>
      <c r="M4553" t="str">
        <f t="shared" si="668"/>
        <v>13</v>
      </c>
      <c r="N4553" t="s">
        <v>3323</v>
      </c>
      <c r="O4553" t="str">
        <f t="shared" si="666"/>
        <v>71111</v>
      </c>
      <c r="P4553" t="str">
        <f>"2100L"</f>
        <v>2100L</v>
      </c>
      <c r="Q4553" t="str">
        <f t="shared" si="667"/>
        <v>0101</v>
      </c>
      <c r="R4553">
        <v>2100</v>
      </c>
      <c r="S4553" t="str">
        <f t="shared" si="669"/>
        <v>7110</v>
      </c>
      <c r="T4553" t="s">
        <v>3986</v>
      </c>
      <c r="U4553" t="s">
        <v>96</v>
      </c>
    </row>
    <row r="4554" spans="1:21" ht="15" customHeight="1" x14ac:dyDescent="0.3">
      <c r="A4554" t="s">
        <v>179</v>
      </c>
      <c r="B4554" t="str">
        <f>"00074719"</f>
        <v>00074719</v>
      </c>
      <c r="C4554" t="s">
        <v>4614</v>
      </c>
      <c r="H4554" t="s">
        <v>170</v>
      </c>
      <c r="I4554">
        <v>7</v>
      </c>
      <c r="J4554">
        <v>1</v>
      </c>
      <c r="K4554">
        <v>1</v>
      </c>
      <c r="L4554">
        <v>34871</v>
      </c>
      <c r="M4554" t="str">
        <f t="shared" si="668"/>
        <v>13</v>
      </c>
      <c r="N4554" t="s">
        <v>3323</v>
      </c>
      <c r="O4554" t="str">
        <f t="shared" si="666"/>
        <v>71111</v>
      </c>
      <c r="P4554" t="str">
        <f>"2100L"</f>
        <v>2100L</v>
      </c>
      <c r="Q4554" t="str">
        <f t="shared" si="667"/>
        <v>0101</v>
      </c>
      <c r="R4554">
        <v>2100</v>
      </c>
      <c r="S4554" t="str">
        <f t="shared" si="669"/>
        <v>7110</v>
      </c>
      <c r="T4554" t="s">
        <v>3986</v>
      </c>
      <c r="U4554" t="s">
        <v>96</v>
      </c>
    </row>
    <row r="4555" spans="1:21" ht="15" customHeight="1" x14ac:dyDescent="0.3">
      <c r="A4555" t="s">
        <v>179</v>
      </c>
      <c r="B4555" t="str">
        <f>"00074720"</f>
        <v>00074720</v>
      </c>
      <c r="C4555" t="s">
        <v>4614</v>
      </c>
      <c r="D4555" t="s">
        <v>3989</v>
      </c>
      <c r="E4555" t="str">
        <f>"00066682"</f>
        <v>00066682</v>
      </c>
      <c r="F4555">
        <v>0</v>
      </c>
      <c r="G4555" s="243">
        <v>40770</v>
      </c>
      <c r="H4555" t="s">
        <v>182</v>
      </c>
      <c r="I4555">
        <v>7</v>
      </c>
      <c r="J4555">
        <v>4</v>
      </c>
      <c r="K4555">
        <v>1</v>
      </c>
      <c r="L4555">
        <v>38191</v>
      </c>
      <c r="M4555" t="str">
        <f t="shared" si="668"/>
        <v>13</v>
      </c>
      <c r="N4555" t="s">
        <v>3323</v>
      </c>
      <c r="O4555" t="str">
        <f t="shared" si="666"/>
        <v>71111</v>
      </c>
      <c r="P4555" t="str">
        <f>"1502L"</f>
        <v>1502L</v>
      </c>
      <c r="Q4555" t="str">
        <f t="shared" si="667"/>
        <v>0101</v>
      </c>
      <c r="R4555">
        <v>1502</v>
      </c>
      <c r="S4555" t="str">
        <f t="shared" si="669"/>
        <v>7110</v>
      </c>
      <c r="T4555" t="s">
        <v>3986</v>
      </c>
      <c r="U4555" t="s">
        <v>96</v>
      </c>
    </row>
    <row r="4556" spans="1:21" ht="15" customHeight="1" x14ac:dyDescent="0.3">
      <c r="A4556" t="s">
        <v>179</v>
      </c>
      <c r="B4556" t="str">
        <f>"00074857"</f>
        <v>00074857</v>
      </c>
      <c r="C4556" t="s">
        <v>4367</v>
      </c>
      <c r="D4556" t="s">
        <v>5685</v>
      </c>
      <c r="E4556" t="str">
        <f>"00054454"</f>
        <v>00054454</v>
      </c>
      <c r="F4556">
        <v>0</v>
      </c>
      <c r="G4556" s="243">
        <v>32538</v>
      </c>
      <c r="H4556" t="s">
        <v>182</v>
      </c>
      <c r="I4556">
        <v>9</v>
      </c>
      <c r="J4556">
        <v>9</v>
      </c>
      <c r="K4556">
        <v>1</v>
      </c>
      <c r="L4556">
        <v>46173</v>
      </c>
      <c r="M4556" t="str">
        <f t="shared" si="668"/>
        <v>13</v>
      </c>
      <c r="N4556" t="s">
        <v>3323</v>
      </c>
      <c r="O4556" t="str">
        <f t="shared" si="666"/>
        <v>71111</v>
      </c>
      <c r="P4556" t="str">
        <f>"2100L"</f>
        <v>2100L</v>
      </c>
      <c r="Q4556" t="str">
        <f t="shared" si="667"/>
        <v>0101</v>
      </c>
      <c r="R4556">
        <v>2100</v>
      </c>
      <c r="S4556" t="str">
        <f t="shared" si="669"/>
        <v>7110</v>
      </c>
      <c r="T4556" t="s">
        <v>3986</v>
      </c>
      <c r="U4556" t="s">
        <v>96</v>
      </c>
    </row>
    <row r="4557" spans="1:21" ht="15" customHeight="1" x14ac:dyDescent="0.3">
      <c r="A4557" t="s">
        <v>179</v>
      </c>
      <c r="B4557" t="str">
        <f>"00074907"</f>
        <v>00074907</v>
      </c>
      <c r="C4557" t="s">
        <v>4255</v>
      </c>
      <c r="D4557" t="s">
        <v>5686</v>
      </c>
      <c r="E4557" t="str">
        <f>"00070252"</f>
        <v>00070252</v>
      </c>
      <c r="F4557">
        <v>0</v>
      </c>
      <c r="G4557" s="243">
        <v>41155</v>
      </c>
      <c r="H4557" t="s">
        <v>182</v>
      </c>
      <c r="I4557">
        <v>15</v>
      </c>
      <c r="J4557">
        <v>3</v>
      </c>
      <c r="K4557">
        <v>1</v>
      </c>
      <c r="L4557">
        <v>52777</v>
      </c>
      <c r="M4557" t="str">
        <f t="shared" si="668"/>
        <v>13</v>
      </c>
      <c r="N4557" t="s">
        <v>3323</v>
      </c>
      <c r="O4557" t="str">
        <f t="shared" si="666"/>
        <v>71111</v>
      </c>
      <c r="P4557" t="str">
        <f>"2100L"</f>
        <v>2100L</v>
      </c>
      <c r="Q4557" t="str">
        <f t="shared" si="667"/>
        <v>0101</v>
      </c>
      <c r="R4557">
        <v>2100</v>
      </c>
      <c r="S4557" t="str">
        <f t="shared" si="669"/>
        <v>7110</v>
      </c>
      <c r="T4557" t="s">
        <v>3986</v>
      </c>
      <c r="U4557" t="s">
        <v>96</v>
      </c>
    </row>
    <row r="4558" spans="1:21" ht="15" customHeight="1" x14ac:dyDescent="0.3">
      <c r="A4558" t="s">
        <v>179</v>
      </c>
      <c r="B4558" t="str">
        <f>"00075106"</f>
        <v>00075106</v>
      </c>
      <c r="C4558" t="s">
        <v>3670</v>
      </c>
      <c r="D4558" t="s">
        <v>1694</v>
      </c>
      <c r="E4558" t="str">
        <f>"00057508"</f>
        <v>00057508</v>
      </c>
      <c r="F4558">
        <v>0</v>
      </c>
      <c r="G4558" s="243">
        <v>40042</v>
      </c>
      <c r="H4558" t="s">
        <v>182</v>
      </c>
      <c r="I4558">
        <v>8</v>
      </c>
      <c r="J4558">
        <v>1</v>
      </c>
      <c r="K4558">
        <v>1</v>
      </c>
      <c r="L4558">
        <v>82397</v>
      </c>
      <c r="M4558" t="str">
        <f t="shared" si="668"/>
        <v>13</v>
      </c>
      <c r="N4558" t="s">
        <v>3370</v>
      </c>
      <c r="O4558" t="str">
        <f t="shared" si="666"/>
        <v>71111</v>
      </c>
      <c r="P4558" t="str">
        <f>"1501L"</f>
        <v>1501L</v>
      </c>
      <c r="Q4558" t="str">
        <f t="shared" si="667"/>
        <v>0101</v>
      </c>
      <c r="R4558">
        <v>1501</v>
      </c>
      <c r="S4558" t="str">
        <f t="shared" si="669"/>
        <v>7110</v>
      </c>
      <c r="T4558" t="s">
        <v>3986</v>
      </c>
      <c r="U4558" t="s">
        <v>96</v>
      </c>
    </row>
    <row r="4559" spans="1:21" ht="15" customHeight="1" x14ac:dyDescent="0.3">
      <c r="A4559" t="s">
        <v>179</v>
      </c>
      <c r="B4559" t="str">
        <f>"00076143"</f>
        <v>00076143</v>
      </c>
      <c r="C4559" t="s">
        <v>4294</v>
      </c>
      <c r="D4559" t="s">
        <v>5687</v>
      </c>
      <c r="E4559" t="str">
        <f>"00057717"</f>
        <v>00057717</v>
      </c>
      <c r="F4559">
        <v>0</v>
      </c>
      <c r="G4559" s="243">
        <v>40042</v>
      </c>
      <c r="H4559" t="s">
        <v>182</v>
      </c>
      <c r="I4559">
        <v>7</v>
      </c>
      <c r="J4559">
        <v>7</v>
      </c>
      <c r="K4559">
        <v>1</v>
      </c>
      <c r="L4559">
        <v>41514</v>
      </c>
      <c r="M4559" t="str">
        <f t="shared" si="668"/>
        <v>13</v>
      </c>
      <c r="N4559" t="s">
        <v>3370</v>
      </c>
      <c r="O4559" t="str">
        <f t="shared" si="666"/>
        <v>71111</v>
      </c>
      <c r="P4559" t="str">
        <f>"1502L"</f>
        <v>1502L</v>
      </c>
      <c r="Q4559" t="str">
        <f t="shared" si="667"/>
        <v>0101</v>
      </c>
      <c r="R4559">
        <v>1502</v>
      </c>
      <c r="S4559" t="str">
        <f t="shared" si="669"/>
        <v>7110</v>
      </c>
      <c r="T4559" t="s">
        <v>3986</v>
      </c>
      <c r="U4559" t="s">
        <v>96</v>
      </c>
    </row>
    <row r="4560" spans="1:21" ht="15" customHeight="1" x14ac:dyDescent="0.3">
      <c r="A4560" t="s">
        <v>179</v>
      </c>
      <c r="B4560" t="str">
        <f>"00076636"</f>
        <v>00076636</v>
      </c>
      <c r="C4560" t="s">
        <v>4614</v>
      </c>
      <c r="D4560" t="s">
        <v>5688</v>
      </c>
      <c r="E4560" t="str">
        <f>"00069780"</f>
        <v>00069780</v>
      </c>
      <c r="F4560">
        <v>0</v>
      </c>
      <c r="G4560" s="243">
        <v>41133</v>
      </c>
      <c r="H4560" t="s">
        <v>182</v>
      </c>
      <c r="I4560">
        <v>7</v>
      </c>
      <c r="J4560">
        <v>2</v>
      </c>
      <c r="K4560">
        <v>1</v>
      </c>
      <c r="L4560">
        <v>35977</v>
      </c>
      <c r="M4560" t="str">
        <f t="shared" si="668"/>
        <v>13</v>
      </c>
      <c r="N4560" t="s">
        <v>3370</v>
      </c>
      <c r="O4560" t="str">
        <f t="shared" si="666"/>
        <v>71111</v>
      </c>
      <c r="P4560" t="str">
        <f t="shared" ref="P4560:P4567" si="670">"2100L"</f>
        <v>2100L</v>
      </c>
      <c r="Q4560" t="str">
        <f t="shared" si="667"/>
        <v>0101</v>
      </c>
      <c r="R4560">
        <v>2100</v>
      </c>
      <c r="S4560" t="str">
        <f t="shared" si="669"/>
        <v>7110</v>
      </c>
      <c r="T4560" t="s">
        <v>3986</v>
      </c>
      <c r="U4560" t="s">
        <v>96</v>
      </c>
    </row>
    <row r="4561" spans="1:21" ht="15" customHeight="1" x14ac:dyDescent="0.3">
      <c r="A4561" t="s">
        <v>179</v>
      </c>
      <c r="B4561" t="str">
        <f>"00076637"</f>
        <v>00076637</v>
      </c>
      <c r="C4561" t="s">
        <v>4253</v>
      </c>
      <c r="D4561" t="s">
        <v>5689</v>
      </c>
      <c r="E4561" t="str">
        <f>"00069711"</f>
        <v>00069711</v>
      </c>
      <c r="F4561">
        <v>0</v>
      </c>
      <c r="G4561" s="243">
        <v>41133</v>
      </c>
      <c r="H4561" t="s">
        <v>182</v>
      </c>
      <c r="I4561">
        <v>15</v>
      </c>
      <c r="J4561">
        <v>1</v>
      </c>
      <c r="K4561">
        <v>1</v>
      </c>
      <c r="L4561">
        <v>51539</v>
      </c>
      <c r="M4561" t="str">
        <f t="shared" si="668"/>
        <v>13</v>
      </c>
      <c r="N4561" t="s">
        <v>3370</v>
      </c>
      <c r="O4561" t="str">
        <f t="shared" si="666"/>
        <v>71111</v>
      </c>
      <c r="P4561" t="str">
        <f t="shared" si="670"/>
        <v>2100L</v>
      </c>
      <c r="Q4561" t="str">
        <f t="shared" si="667"/>
        <v>0101</v>
      </c>
      <c r="R4561">
        <v>2100</v>
      </c>
      <c r="S4561" t="str">
        <f t="shared" si="669"/>
        <v>7110</v>
      </c>
      <c r="T4561" t="s">
        <v>3986</v>
      </c>
      <c r="U4561" t="s">
        <v>96</v>
      </c>
    </row>
    <row r="4562" spans="1:21" ht="15" customHeight="1" x14ac:dyDescent="0.3">
      <c r="A4562" t="s">
        <v>179</v>
      </c>
      <c r="B4562" t="str">
        <f>"00076639"</f>
        <v>00076639</v>
      </c>
      <c r="C4562" t="s">
        <v>4253</v>
      </c>
      <c r="D4562" t="s">
        <v>1819</v>
      </c>
      <c r="E4562" t="str">
        <f>"00046339"</f>
        <v>00046339</v>
      </c>
      <c r="F4562">
        <v>0</v>
      </c>
      <c r="G4562" s="243">
        <v>36761</v>
      </c>
      <c r="H4562" t="s">
        <v>182</v>
      </c>
      <c r="I4562">
        <v>15</v>
      </c>
      <c r="J4562">
        <v>14</v>
      </c>
      <c r="K4562">
        <v>1</v>
      </c>
      <c r="L4562">
        <v>96460</v>
      </c>
      <c r="M4562" t="str">
        <f t="shared" si="668"/>
        <v>13</v>
      </c>
      <c r="N4562" t="s">
        <v>3370</v>
      </c>
      <c r="O4562" t="str">
        <f t="shared" si="666"/>
        <v>71111</v>
      </c>
      <c r="P4562" t="str">
        <f t="shared" si="670"/>
        <v>2100L</v>
      </c>
      <c r="Q4562" t="str">
        <f t="shared" si="667"/>
        <v>0101</v>
      </c>
      <c r="R4562">
        <v>2100</v>
      </c>
      <c r="S4562" t="str">
        <f t="shared" si="669"/>
        <v>7110</v>
      </c>
      <c r="T4562" t="s">
        <v>3986</v>
      </c>
      <c r="U4562" t="s">
        <v>96</v>
      </c>
    </row>
    <row r="4563" spans="1:21" ht="15" customHeight="1" x14ac:dyDescent="0.3">
      <c r="A4563" t="s">
        <v>179</v>
      </c>
      <c r="B4563" t="str">
        <f>"00076640"</f>
        <v>00076640</v>
      </c>
      <c r="C4563" t="s">
        <v>4438</v>
      </c>
      <c r="H4563" t="s">
        <v>170</v>
      </c>
      <c r="I4563">
        <v>11</v>
      </c>
      <c r="J4563">
        <v>0</v>
      </c>
      <c r="K4563">
        <v>1</v>
      </c>
      <c r="L4563">
        <v>62505</v>
      </c>
      <c r="M4563" t="str">
        <f t="shared" si="668"/>
        <v>13</v>
      </c>
      <c r="N4563" t="s">
        <v>3370</v>
      </c>
      <c r="O4563" t="str">
        <f t="shared" si="666"/>
        <v>71111</v>
      </c>
      <c r="P4563" t="str">
        <f t="shared" si="670"/>
        <v>2100L</v>
      </c>
      <c r="Q4563" t="str">
        <f t="shared" si="667"/>
        <v>0101</v>
      </c>
      <c r="R4563">
        <v>2100</v>
      </c>
      <c r="S4563" t="str">
        <f t="shared" si="669"/>
        <v>7110</v>
      </c>
      <c r="T4563" t="s">
        <v>3986</v>
      </c>
      <c r="U4563" t="s">
        <v>96</v>
      </c>
    </row>
    <row r="4564" spans="1:21" ht="15" customHeight="1" x14ac:dyDescent="0.3">
      <c r="A4564" t="s">
        <v>179</v>
      </c>
      <c r="B4564" t="str">
        <f>"00076641"</f>
        <v>00076641</v>
      </c>
      <c r="C4564" t="s">
        <v>4395</v>
      </c>
      <c r="D4564" t="s">
        <v>234</v>
      </c>
      <c r="E4564" t="str">
        <f>"00057169"</f>
        <v>00057169</v>
      </c>
      <c r="F4564">
        <v>0</v>
      </c>
      <c r="G4564" s="243">
        <v>40042</v>
      </c>
      <c r="H4564" t="s">
        <v>182</v>
      </c>
      <c r="I4564">
        <v>10</v>
      </c>
      <c r="J4564">
        <v>3</v>
      </c>
      <c r="K4564">
        <v>1</v>
      </c>
      <c r="L4564">
        <v>67198</v>
      </c>
      <c r="M4564" t="str">
        <f t="shared" si="668"/>
        <v>13</v>
      </c>
      <c r="N4564" t="s">
        <v>3370</v>
      </c>
      <c r="O4564" t="str">
        <f t="shared" si="666"/>
        <v>71111</v>
      </c>
      <c r="P4564" t="str">
        <f t="shared" si="670"/>
        <v>2100L</v>
      </c>
      <c r="Q4564" t="str">
        <f t="shared" si="667"/>
        <v>0101</v>
      </c>
      <c r="R4564">
        <v>2100</v>
      </c>
      <c r="S4564" t="str">
        <f t="shared" si="669"/>
        <v>7110</v>
      </c>
      <c r="T4564" t="s">
        <v>3986</v>
      </c>
      <c r="U4564" t="s">
        <v>96</v>
      </c>
    </row>
    <row r="4565" spans="1:21" ht="15" customHeight="1" x14ac:dyDescent="0.3">
      <c r="A4565" t="s">
        <v>179</v>
      </c>
      <c r="B4565" t="str">
        <f>"00076642"</f>
        <v>00076642</v>
      </c>
      <c r="C4565" t="s">
        <v>4395</v>
      </c>
      <c r="D4565" t="s">
        <v>5690</v>
      </c>
      <c r="E4565" t="str">
        <f>"00064870"</f>
        <v>00064870</v>
      </c>
      <c r="F4565">
        <v>0</v>
      </c>
      <c r="G4565" s="243">
        <v>40651</v>
      </c>
      <c r="H4565" t="s">
        <v>182</v>
      </c>
      <c r="I4565">
        <v>10</v>
      </c>
      <c r="J4565">
        <v>6</v>
      </c>
      <c r="K4565">
        <v>1</v>
      </c>
      <c r="L4565">
        <v>75087</v>
      </c>
      <c r="M4565" t="str">
        <f t="shared" si="668"/>
        <v>13</v>
      </c>
      <c r="N4565" t="s">
        <v>3370</v>
      </c>
      <c r="O4565" t="str">
        <f t="shared" si="666"/>
        <v>71111</v>
      </c>
      <c r="P4565" t="str">
        <f t="shared" si="670"/>
        <v>2100L</v>
      </c>
      <c r="Q4565" t="str">
        <f t="shared" si="667"/>
        <v>0101</v>
      </c>
      <c r="R4565">
        <v>2100</v>
      </c>
      <c r="S4565" t="str">
        <f t="shared" si="669"/>
        <v>7110</v>
      </c>
      <c r="T4565" t="s">
        <v>3986</v>
      </c>
      <c r="U4565" t="s">
        <v>96</v>
      </c>
    </row>
    <row r="4566" spans="1:21" ht="15" customHeight="1" x14ac:dyDescent="0.3">
      <c r="A4566" t="s">
        <v>179</v>
      </c>
      <c r="B4566" t="str">
        <f>"00076643"</f>
        <v>00076643</v>
      </c>
      <c r="C4566" t="s">
        <v>4395</v>
      </c>
      <c r="D4566" t="s">
        <v>231</v>
      </c>
      <c r="E4566" t="str">
        <f>"00057171"</f>
        <v>00057171</v>
      </c>
      <c r="F4566">
        <v>0</v>
      </c>
      <c r="G4566" s="243">
        <v>40042</v>
      </c>
      <c r="H4566" t="s">
        <v>182</v>
      </c>
      <c r="I4566">
        <v>10</v>
      </c>
      <c r="J4566">
        <v>3</v>
      </c>
      <c r="K4566">
        <v>1</v>
      </c>
      <c r="L4566">
        <v>67198</v>
      </c>
      <c r="M4566" t="str">
        <f t="shared" si="668"/>
        <v>13</v>
      </c>
      <c r="N4566" t="s">
        <v>3370</v>
      </c>
      <c r="O4566" t="str">
        <f t="shared" si="666"/>
        <v>71111</v>
      </c>
      <c r="P4566" t="str">
        <f t="shared" si="670"/>
        <v>2100L</v>
      </c>
      <c r="Q4566" t="str">
        <f t="shared" si="667"/>
        <v>0101</v>
      </c>
      <c r="R4566">
        <v>2100</v>
      </c>
      <c r="S4566" t="str">
        <f t="shared" si="669"/>
        <v>7110</v>
      </c>
      <c r="T4566" t="s">
        <v>3986</v>
      </c>
      <c r="U4566" t="s">
        <v>96</v>
      </c>
    </row>
    <row r="4567" spans="1:21" ht="15" customHeight="1" x14ac:dyDescent="0.3">
      <c r="A4567" t="s">
        <v>179</v>
      </c>
      <c r="B4567" t="str">
        <f>"00076783"</f>
        <v>00076783</v>
      </c>
      <c r="C4567" t="s">
        <v>5691</v>
      </c>
      <c r="H4567" t="s">
        <v>170</v>
      </c>
      <c r="I4567">
        <v>15</v>
      </c>
      <c r="J4567">
        <v>0</v>
      </c>
      <c r="K4567">
        <v>1</v>
      </c>
      <c r="L4567">
        <v>51539</v>
      </c>
      <c r="M4567" t="str">
        <f t="shared" si="668"/>
        <v>13</v>
      </c>
      <c r="N4567" t="s">
        <v>3370</v>
      </c>
      <c r="O4567" t="str">
        <f t="shared" si="666"/>
        <v>71111</v>
      </c>
      <c r="P4567" t="str">
        <f t="shared" si="670"/>
        <v>2100L</v>
      </c>
      <c r="Q4567" t="str">
        <f t="shared" si="667"/>
        <v>0101</v>
      </c>
      <c r="R4567">
        <v>2100</v>
      </c>
      <c r="S4567" t="str">
        <f t="shared" si="669"/>
        <v>7110</v>
      </c>
      <c r="T4567" t="s">
        <v>3986</v>
      </c>
      <c r="U4567" t="s">
        <v>96</v>
      </c>
    </row>
    <row r="4568" spans="1:21" ht="15" customHeight="1" x14ac:dyDescent="0.3">
      <c r="A4568" t="s">
        <v>179</v>
      </c>
      <c r="B4568" t="str">
        <f>"00076793"</f>
        <v>00076793</v>
      </c>
      <c r="C4568" t="s">
        <v>200</v>
      </c>
      <c r="D4568" t="s">
        <v>5692</v>
      </c>
      <c r="E4568" t="str">
        <f>"00070112"</f>
        <v>00070112</v>
      </c>
      <c r="F4568">
        <v>0</v>
      </c>
      <c r="G4568" s="243">
        <v>41133</v>
      </c>
      <c r="H4568" t="s">
        <v>182</v>
      </c>
      <c r="I4568">
        <v>15</v>
      </c>
      <c r="J4568">
        <v>9</v>
      </c>
      <c r="K4568">
        <v>1</v>
      </c>
      <c r="L4568">
        <v>75232</v>
      </c>
      <c r="M4568" t="str">
        <f t="shared" si="668"/>
        <v>13</v>
      </c>
      <c r="N4568" t="s">
        <v>3370</v>
      </c>
      <c r="O4568" t="str">
        <f>"7110G"</f>
        <v>7110G</v>
      </c>
      <c r="P4568" t="str">
        <f>"5600F"</f>
        <v>5600F</v>
      </c>
      <c r="Q4568" t="str">
        <f>"8200"</f>
        <v>8200</v>
      </c>
      <c r="R4568">
        <v>5600</v>
      </c>
      <c r="S4568" t="str">
        <f t="shared" si="669"/>
        <v>7110</v>
      </c>
      <c r="T4568" t="s">
        <v>3986</v>
      </c>
      <c r="U4568" t="s">
        <v>96</v>
      </c>
    </row>
    <row r="4569" spans="1:21" ht="15" customHeight="1" x14ac:dyDescent="0.3">
      <c r="A4569" t="s">
        <v>179</v>
      </c>
      <c r="B4569" t="str">
        <f>"00076831"</f>
        <v>00076831</v>
      </c>
      <c r="C4569" t="s">
        <v>4253</v>
      </c>
      <c r="D4569" t="s">
        <v>5693</v>
      </c>
      <c r="E4569" t="str">
        <f>"00053044"</f>
        <v>00053044</v>
      </c>
      <c r="F4569">
        <v>0</v>
      </c>
      <c r="G4569" s="243">
        <v>39679</v>
      </c>
      <c r="H4569" t="s">
        <v>182</v>
      </c>
      <c r="I4569">
        <v>15</v>
      </c>
      <c r="J4569">
        <v>7</v>
      </c>
      <c r="K4569">
        <v>1</v>
      </c>
      <c r="L4569">
        <v>69132</v>
      </c>
      <c r="M4569" t="str">
        <f t="shared" si="668"/>
        <v>13</v>
      </c>
      <c r="N4569" t="s">
        <v>3370</v>
      </c>
      <c r="O4569" t="str">
        <f>"71111"</f>
        <v>71111</v>
      </c>
      <c r="P4569" t="str">
        <f t="shared" ref="P4569:P4581" si="671">"2100L"</f>
        <v>2100L</v>
      </c>
      <c r="Q4569" t="str">
        <f t="shared" ref="Q4569:Q4598" si="672">"0101"</f>
        <v>0101</v>
      </c>
      <c r="R4569">
        <v>2100</v>
      </c>
      <c r="S4569" t="str">
        <f t="shared" si="669"/>
        <v>7110</v>
      </c>
      <c r="T4569" t="s">
        <v>3986</v>
      </c>
      <c r="U4569" t="s">
        <v>96</v>
      </c>
    </row>
    <row r="4570" spans="1:21" ht="15" customHeight="1" x14ac:dyDescent="0.3">
      <c r="A4570" t="s">
        <v>179</v>
      </c>
      <c r="B4570" t="str">
        <f>"00052128"</f>
        <v>00052128</v>
      </c>
      <c r="C4570" t="s">
        <v>4260</v>
      </c>
      <c r="H4570" t="s">
        <v>170</v>
      </c>
      <c r="I4570">
        <v>15</v>
      </c>
      <c r="J4570">
        <v>1</v>
      </c>
      <c r="K4570">
        <v>1</v>
      </c>
      <c r="L4570">
        <v>51539</v>
      </c>
      <c r="M4570" t="str">
        <f t="shared" si="668"/>
        <v>13</v>
      </c>
      <c r="N4570" t="s">
        <v>3323</v>
      </c>
      <c r="O4570" t="str">
        <f t="shared" ref="O4570:O4599" si="673">"71211"</f>
        <v>71211</v>
      </c>
      <c r="P4570" t="str">
        <f t="shared" si="671"/>
        <v>2100L</v>
      </c>
      <c r="Q4570" t="str">
        <f t="shared" si="672"/>
        <v>0101</v>
      </c>
      <c r="R4570">
        <v>2100</v>
      </c>
      <c r="S4570" t="str">
        <f t="shared" ref="S4570:S4599" si="674">"7120"</f>
        <v>7120</v>
      </c>
      <c r="T4570" t="s">
        <v>3834</v>
      </c>
      <c r="U4570" t="s">
        <v>98</v>
      </c>
    </row>
    <row r="4571" spans="1:21" ht="15" customHeight="1" x14ac:dyDescent="0.3">
      <c r="A4571" t="s">
        <v>179</v>
      </c>
      <c r="B4571" t="str">
        <f>"00053318"</f>
        <v>00053318</v>
      </c>
      <c r="C4571" t="s">
        <v>4260</v>
      </c>
      <c r="D4571" t="s">
        <v>259</v>
      </c>
      <c r="E4571" t="str">
        <f>"00051290"</f>
        <v>00051290</v>
      </c>
      <c r="F4571">
        <v>0</v>
      </c>
      <c r="G4571" s="243">
        <v>32050</v>
      </c>
      <c r="H4571" t="s">
        <v>182</v>
      </c>
      <c r="I4571">
        <v>15</v>
      </c>
      <c r="J4571">
        <v>16</v>
      </c>
      <c r="K4571">
        <v>1</v>
      </c>
      <c r="L4571">
        <v>100839</v>
      </c>
      <c r="M4571" t="str">
        <f t="shared" si="668"/>
        <v>13</v>
      </c>
      <c r="N4571" t="s">
        <v>3323</v>
      </c>
      <c r="O4571" t="str">
        <f t="shared" si="673"/>
        <v>71211</v>
      </c>
      <c r="P4571" t="str">
        <f t="shared" si="671"/>
        <v>2100L</v>
      </c>
      <c r="Q4571" t="str">
        <f t="shared" si="672"/>
        <v>0101</v>
      </c>
      <c r="R4571">
        <v>2100</v>
      </c>
      <c r="S4571" t="str">
        <f t="shared" si="674"/>
        <v>7120</v>
      </c>
      <c r="T4571" t="s">
        <v>3834</v>
      </c>
      <c r="U4571" t="s">
        <v>98</v>
      </c>
    </row>
    <row r="4572" spans="1:21" ht="15" customHeight="1" x14ac:dyDescent="0.3">
      <c r="A4572" t="s">
        <v>179</v>
      </c>
      <c r="B4572" t="str">
        <f>"00053465"</f>
        <v>00053465</v>
      </c>
      <c r="C4572" t="s">
        <v>4257</v>
      </c>
      <c r="D4572" t="s">
        <v>1486</v>
      </c>
      <c r="E4572" t="str">
        <f>"00063472"</f>
        <v>00063472</v>
      </c>
      <c r="F4572">
        <v>0</v>
      </c>
      <c r="G4572" s="243">
        <v>40448</v>
      </c>
      <c r="H4572" t="s">
        <v>182</v>
      </c>
      <c r="I4572">
        <v>15</v>
      </c>
      <c r="J4572">
        <v>3</v>
      </c>
      <c r="K4572">
        <v>1</v>
      </c>
      <c r="L4572">
        <v>52777</v>
      </c>
      <c r="M4572" t="str">
        <f t="shared" si="668"/>
        <v>13</v>
      </c>
      <c r="N4572" t="s">
        <v>3323</v>
      </c>
      <c r="O4572" t="str">
        <f t="shared" si="673"/>
        <v>71211</v>
      </c>
      <c r="P4572" t="str">
        <f t="shared" si="671"/>
        <v>2100L</v>
      </c>
      <c r="Q4572" t="str">
        <f t="shared" si="672"/>
        <v>0101</v>
      </c>
      <c r="R4572">
        <v>2100</v>
      </c>
      <c r="S4572" t="str">
        <f t="shared" si="674"/>
        <v>7120</v>
      </c>
      <c r="T4572" t="s">
        <v>3834</v>
      </c>
      <c r="U4572" t="s">
        <v>98</v>
      </c>
    </row>
    <row r="4573" spans="1:21" ht="15" customHeight="1" x14ac:dyDescent="0.3">
      <c r="A4573" t="s">
        <v>179</v>
      </c>
      <c r="B4573" t="str">
        <f>"00053547"</f>
        <v>00053547</v>
      </c>
      <c r="C4573" t="s">
        <v>4857</v>
      </c>
      <c r="D4573" t="s">
        <v>260</v>
      </c>
      <c r="E4573" t="str">
        <f>"00051705"</f>
        <v>00051705</v>
      </c>
      <c r="F4573">
        <v>0</v>
      </c>
      <c r="G4573" s="243">
        <v>31848</v>
      </c>
      <c r="H4573" t="s">
        <v>182</v>
      </c>
      <c r="I4573">
        <v>9</v>
      </c>
      <c r="J4573">
        <v>13</v>
      </c>
      <c r="K4573">
        <v>1</v>
      </c>
      <c r="L4573">
        <v>78934</v>
      </c>
      <c r="M4573" t="str">
        <f t="shared" si="668"/>
        <v>13</v>
      </c>
      <c r="N4573" t="s">
        <v>3323</v>
      </c>
      <c r="O4573" t="str">
        <f t="shared" si="673"/>
        <v>71211</v>
      </c>
      <c r="P4573" t="str">
        <f t="shared" si="671"/>
        <v>2100L</v>
      </c>
      <c r="Q4573" t="str">
        <f t="shared" si="672"/>
        <v>0101</v>
      </c>
      <c r="R4573">
        <v>2100</v>
      </c>
      <c r="S4573" t="str">
        <f t="shared" si="674"/>
        <v>7120</v>
      </c>
      <c r="T4573" t="s">
        <v>3834</v>
      </c>
      <c r="U4573" t="s">
        <v>98</v>
      </c>
    </row>
    <row r="4574" spans="1:21" ht="15" customHeight="1" x14ac:dyDescent="0.3">
      <c r="A4574" t="s">
        <v>179</v>
      </c>
      <c r="B4574" t="str">
        <f>"00053856"</f>
        <v>00053856</v>
      </c>
      <c r="C4574" t="s">
        <v>4263</v>
      </c>
      <c r="D4574" t="s">
        <v>261</v>
      </c>
      <c r="E4574" t="str">
        <f>"00055843"</f>
        <v>00055843</v>
      </c>
      <c r="F4574">
        <v>0</v>
      </c>
      <c r="G4574" s="243">
        <v>40406</v>
      </c>
      <c r="H4574" t="s">
        <v>182</v>
      </c>
      <c r="I4574">
        <v>15</v>
      </c>
      <c r="J4574">
        <v>2</v>
      </c>
      <c r="K4574">
        <v>1</v>
      </c>
      <c r="L4574">
        <v>51716</v>
      </c>
      <c r="M4574" t="str">
        <f t="shared" si="668"/>
        <v>13</v>
      </c>
      <c r="N4574" t="s">
        <v>3323</v>
      </c>
      <c r="O4574" t="str">
        <f t="shared" si="673"/>
        <v>71211</v>
      </c>
      <c r="P4574" t="str">
        <f t="shared" si="671"/>
        <v>2100L</v>
      </c>
      <c r="Q4574" t="str">
        <f t="shared" si="672"/>
        <v>0101</v>
      </c>
      <c r="R4574">
        <v>2100</v>
      </c>
      <c r="S4574" t="str">
        <f t="shared" si="674"/>
        <v>7120</v>
      </c>
      <c r="T4574" t="s">
        <v>3834</v>
      </c>
      <c r="U4574" t="s">
        <v>98</v>
      </c>
    </row>
    <row r="4575" spans="1:21" ht="15" customHeight="1" x14ac:dyDescent="0.3">
      <c r="A4575" t="s">
        <v>179</v>
      </c>
      <c r="B4575" t="str">
        <f>"00053868"</f>
        <v>00053868</v>
      </c>
      <c r="C4575" t="s">
        <v>4367</v>
      </c>
      <c r="D4575" t="s">
        <v>703</v>
      </c>
      <c r="E4575" t="str">
        <f>"00052667"</f>
        <v>00052667</v>
      </c>
      <c r="F4575">
        <v>0</v>
      </c>
      <c r="G4575" s="243">
        <v>30864</v>
      </c>
      <c r="H4575" t="s">
        <v>182</v>
      </c>
      <c r="I4575">
        <v>9</v>
      </c>
      <c r="J4575">
        <v>13</v>
      </c>
      <c r="K4575">
        <v>1</v>
      </c>
      <c r="L4575">
        <v>78934</v>
      </c>
      <c r="M4575" t="str">
        <f t="shared" si="668"/>
        <v>13</v>
      </c>
      <c r="N4575" t="s">
        <v>3323</v>
      </c>
      <c r="O4575" t="str">
        <f t="shared" si="673"/>
        <v>71211</v>
      </c>
      <c r="P4575" t="str">
        <f t="shared" si="671"/>
        <v>2100L</v>
      </c>
      <c r="Q4575" t="str">
        <f t="shared" si="672"/>
        <v>0101</v>
      </c>
      <c r="R4575">
        <v>2100</v>
      </c>
      <c r="S4575" t="str">
        <f t="shared" si="674"/>
        <v>7120</v>
      </c>
      <c r="T4575" t="s">
        <v>3834</v>
      </c>
      <c r="U4575" t="s">
        <v>98</v>
      </c>
    </row>
    <row r="4576" spans="1:21" ht="15" customHeight="1" x14ac:dyDescent="0.3">
      <c r="A4576" t="s">
        <v>179</v>
      </c>
      <c r="B4576" t="str">
        <f>"00053872"</f>
        <v>00053872</v>
      </c>
      <c r="C4576" t="s">
        <v>4253</v>
      </c>
      <c r="D4576" t="s">
        <v>274</v>
      </c>
      <c r="E4576" t="str">
        <f>"00050753"</f>
        <v>00050753</v>
      </c>
      <c r="F4576">
        <v>0</v>
      </c>
      <c r="G4576" s="243">
        <v>37910</v>
      </c>
      <c r="H4576" t="s">
        <v>182</v>
      </c>
      <c r="I4576">
        <v>15</v>
      </c>
      <c r="J4576">
        <v>12</v>
      </c>
      <c r="K4576">
        <v>1</v>
      </c>
      <c r="L4576">
        <v>87431</v>
      </c>
      <c r="M4576" t="str">
        <f t="shared" si="668"/>
        <v>13</v>
      </c>
      <c r="N4576" t="s">
        <v>3370</v>
      </c>
      <c r="O4576" t="str">
        <f t="shared" si="673"/>
        <v>71211</v>
      </c>
      <c r="P4576" t="str">
        <f t="shared" si="671"/>
        <v>2100L</v>
      </c>
      <c r="Q4576" t="str">
        <f t="shared" si="672"/>
        <v>0101</v>
      </c>
      <c r="R4576">
        <v>2100</v>
      </c>
      <c r="S4576" t="str">
        <f t="shared" si="674"/>
        <v>7120</v>
      </c>
      <c r="T4576" t="s">
        <v>3834</v>
      </c>
      <c r="U4576" t="s">
        <v>98</v>
      </c>
    </row>
    <row r="4577" spans="1:21" ht="15" customHeight="1" x14ac:dyDescent="0.3">
      <c r="A4577" t="s">
        <v>179</v>
      </c>
      <c r="B4577" t="str">
        <f>"00054140"</f>
        <v>00054140</v>
      </c>
      <c r="C4577" t="s">
        <v>4260</v>
      </c>
      <c r="D4577" t="s">
        <v>262</v>
      </c>
      <c r="E4577" t="str">
        <f>"00053101"</f>
        <v>00053101</v>
      </c>
      <c r="F4577">
        <v>0</v>
      </c>
      <c r="G4577" s="243">
        <v>29111</v>
      </c>
      <c r="H4577" t="s">
        <v>182</v>
      </c>
      <c r="I4577">
        <v>15</v>
      </c>
      <c r="J4577">
        <v>16</v>
      </c>
      <c r="K4577">
        <v>1</v>
      </c>
      <c r="L4577">
        <v>100839</v>
      </c>
      <c r="M4577" t="str">
        <f t="shared" si="668"/>
        <v>13</v>
      </c>
      <c r="N4577" t="s">
        <v>3323</v>
      </c>
      <c r="O4577" t="str">
        <f t="shared" si="673"/>
        <v>71211</v>
      </c>
      <c r="P4577" t="str">
        <f t="shared" si="671"/>
        <v>2100L</v>
      </c>
      <c r="Q4577" t="str">
        <f t="shared" si="672"/>
        <v>0101</v>
      </c>
      <c r="R4577">
        <v>2100</v>
      </c>
      <c r="S4577" t="str">
        <f t="shared" si="674"/>
        <v>7120</v>
      </c>
      <c r="T4577" t="s">
        <v>3834</v>
      </c>
      <c r="U4577" t="s">
        <v>98</v>
      </c>
    </row>
    <row r="4578" spans="1:21" ht="15" customHeight="1" x14ac:dyDescent="0.3">
      <c r="A4578" t="s">
        <v>179</v>
      </c>
      <c r="B4578" t="str">
        <f>"00054214"</f>
        <v>00054214</v>
      </c>
      <c r="C4578" t="s">
        <v>4257</v>
      </c>
      <c r="D4578" t="s">
        <v>263</v>
      </c>
      <c r="E4578" t="str">
        <f>"00053279"</f>
        <v>00053279</v>
      </c>
      <c r="F4578">
        <v>0</v>
      </c>
      <c r="G4578" s="243">
        <v>34350</v>
      </c>
      <c r="H4578" t="s">
        <v>182</v>
      </c>
      <c r="I4578">
        <v>15</v>
      </c>
      <c r="J4578">
        <v>13</v>
      </c>
      <c r="K4578">
        <v>1</v>
      </c>
      <c r="L4578">
        <v>81724</v>
      </c>
      <c r="M4578" t="str">
        <f t="shared" si="668"/>
        <v>13</v>
      </c>
      <c r="N4578" t="s">
        <v>3323</v>
      </c>
      <c r="O4578" t="str">
        <f t="shared" si="673"/>
        <v>71211</v>
      </c>
      <c r="P4578" t="str">
        <f t="shared" si="671"/>
        <v>2100L</v>
      </c>
      <c r="Q4578" t="str">
        <f t="shared" si="672"/>
        <v>0101</v>
      </c>
      <c r="R4578">
        <v>2100</v>
      </c>
      <c r="S4578" t="str">
        <f t="shared" si="674"/>
        <v>7120</v>
      </c>
      <c r="T4578" t="s">
        <v>3834</v>
      </c>
      <c r="U4578" t="s">
        <v>98</v>
      </c>
    </row>
    <row r="4579" spans="1:21" ht="15" customHeight="1" x14ac:dyDescent="0.3">
      <c r="A4579" t="s">
        <v>179</v>
      </c>
      <c r="B4579" t="str">
        <f>"00054331"</f>
        <v>00054331</v>
      </c>
      <c r="C4579" t="s">
        <v>4255</v>
      </c>
      <c r="D4579" t="s">
        <v>264</v>
      </c>
      <c r="E4579" t="str">
        <f>"00053649"</f>
        <v>00053649</v>
      </c>
      <c r="F4579">
        <v>0</v>
      </c>
      <c r="G4579" s="243">
        <v>35488</v>
      </c>
      <c r="H4579" t="s">
        <v>182</v>
      </c>
      <c r="I4579">
        <v>15</v>
      </c>
      <c r="J4579">
        <v>13</v>
      </c>
      <c r="K4579">
        <v>1</v>
      </c>
      <c r="L4579">
        <v>81724</v>
      </c>
      <c r="M4579" t="str">
        <f t="shared" si="668"/>
        <v>13</v>
      </c>
      <c r="N4579" t="s">
        <v>3323</v>
      </c>
      <c r="O4579" t="str">
        <f t="shared" si="673"/>
        <v>71211</v>
      </c>
      <c r="P4579" t="str">
        <f t="shared" si="671"/>
        <v>2100L</v>
      </c>
      <c r="Q4579" t="str">
        <f t="shared" si="672"/>
        <v>0101</v>
      </c>
      <c r="R4579">
        <v>2100</v>
      </c>
      <c r="S4579" t="str">
        <f t="shared" si="674"/>
        <v>7120</v>
      </c>
      <c r="T4579" t="s">
        <v>3834</v>
      </c>
      <c r="U4579" t="s">
        <v>98</v>
      </c>
    </row>
    <row r="4580" spans="1:21" ht="15" customHeight="1" x14ac:dyDescent="0.3">
      <c r="A4580" t="s">
        <v>179</v>
      </c>
      <c r="B4580" t="str">
        <f>"00054567"</f>
        <v>00054567</v>
      </c>
      <c r="C4580" t="s">
        <v>4260</v>
      </c>
      <c r="D4580" t="s">
        <v>265</v>
      </c>
      <c r="E4580" t="str">
        <f>"00054212"</f>
        <v>00054212</v>
      </c>
      <c r="F4580">
        <v>0</v>
      </c>
      <c r="G4580" s="243">
        <v>31677</v>
      </c>
      <c r="H4580" t="s">
        <v>182</v>
      </c>
      <c r="I4580">
        <v>15</v>
      </c>
      <c r="J4580">
        <v>16</v>
      </c>
      <c r="K4580">
        <v>1</v>
      </c>
      <c r="L4580">
        <v>103347</v>
      </c>
      <c r="M4580" t="str">
        <f t="shared" si="668"/>
        <v>13</v>
      </c>
      <c r="N4580" t="s">
        <v>3323</v>
      </c>
      <c r="O4580" t="str">
        <f t="shared" si="673"/>
        <v>71211</v>
      </c>
      <c r="P4580" t="str">
        <f t="shared" si="671"/>
        <v>2100L</v>
      </c>
      <c r="Q4580" t="str">
        <f t="shared" si="672"/>
        <v>0101</v>
      </c>
      <c r="R4580">
        <v>2100</v>
      </c>
      <c r="S4580" t="str">
        <f t="shared" si="674"/>
        <v>7120</v>
      </c>
      <c r="T4580" t="s">
        <v>3834</v>
      </c>
      <c r="U4580" t="s">
        <v>98</v>
      </c>
    </row>
    <row r="4581" spans="1:21" ht="15" customHeight="1" x14ac:dyDescent="0.3">
      <c r="A4581" t="s">
        <v>179</v>
      </c>
      <c r="B4581" t="str">
        <f>"00054726"</f>
        <v>00054726</v>
      </c>
      <c r="C4581" t="s">
        <v>4253</v>
      </c>
      <c r="D4581" t="s">
        <v>266</v>
      </c>
      <c r="E4581" t="str">
        <f>"00054490"</f>
        <v>00054490</v>
      </c>
      <c r="F4581">
        <v>0</v>
      </c>
      <c r="G4581" s="243">
        <v>32050</v>
      </c>
      <c r="H4581" t="s">
        <v>182</v>
      </c>
      <c r="I4581">
        <v>15</v>
      </c>
      <c r="J4581">
        <v>16</v>
      </c>
      <c r="K4581">
        <v>1</v>
      </c>
      <c r="L4581">
        <v>100839</v>
      </c>
      <c r="M4581" t="str">
        <f t="shared" si="668"/>
        <v>13</v>
      </c>
      <c r="N4581" t="s">
        <v>3323</v>
      </c>
      <c r="O4581" t="str">
        <f t="shared" si="673"/>
        <v>71211</v>
      </c>
      <c r="P4581" t="str">
        <f t="shared" si="671"/>
        <v>2100L</v>
      </c>
      <c r="Q4581" t="str">
        <f t="shared" si="672"/>
        <v>0101</v>
      </c>
      <c r="R4581">
        <v>2100</v>
      </c>
      <c r="S4581" t="str">
        <f t="shared" si="674"/>
        <v>7120</v>
      </c>
      <c r="T4581" t="s">
        <v>3834</v>
      </c>
      <c r="U4581" t="s">
        <v>98</v>
      </c>
    </row>
    <row r="4582" spans="1:21" ht="15" customHeight="1" x14ac:dyDescent="0.3">
      <c r="A4582" t="s">
        <v>179</v>
      </c>
      <c r="B4582" t="str">
        <f>"00056883"</f>
        <v>00056883</v>
      </c>
      <c r="C4582" t="s">
        <v>4260</v>
      </c>
      <c r="D4582" t="s">
        <v>5694</v>
      </c>
      <c r="E4582" t="str">
        <f>"00069742"</f>
        <v>00069742</v>
      </c>
      <c r="F4582">
        <v>0</v>
      </c>
      <c r="G4582" s="243">
        <v>41133</v>
      </c>
      <c r="H4582" t="s">
        <v>182</v>
      </c>
      <c r="I4582">
        <v>15</v>
      </c>
      <c r="J4582">
        <v>1</v>
      </c>
      <c r="K4582">
        <v>1</v>
      </c>
      <c r="L4582">
        <v>51539</v>
      </c>
      <c r="M4582" t="str">
        <f t="shared" si="668"/>
        <v>13</v>
      </c>
      <c r="N4582" t="s">
        <v>3370</v>
      </c>
      <c r="O4582" t="str">
        <f t="shared" si="673"/>
        <v>71211</v>
      </c>
      <c r="P4582" t="str">
        <f>"2100L"</f>
        <v>2100L</v>
      </c>
      <c r="Q4582" t="str">
        <f t="shared" si="672"/>
        <v>0101</v>
      </c>
      <c r="R4582">
        <v>2100</v>
      </c>
      <c r="S4582" t="str">
        <f t="shared" si="674"/>
        <v>7120</v>
      </c>
      <c r="T4582" t="s">
        <v>3834</v>
      </c>
      <c r="U4582" t="s">
        <v>98</v>
      </c>
    </row>
    <row r="4583" spans="1:21" ht="15" customHeight="1" x14ac:dyDescent="0.3">
      <c r="A4583" t="s">
        <v>179</v>
      </c>
      <c r="B4583" t="str">
        <f>"00057045"</f>
        <v>00057045</v>
      </c>
      <c r="C4583" t="s">
        <v>4253</v>
      </c>
      <c r="D4583" t="s">
        <v>267</v>
      </c>
      <c r="E4583" t="str">
        <f>"00054218"</f>
        <v>00054218</v>
      </c>
      <c r="F4583">
        <v>0</v>
      </c>
      <c r="G4583" s="243">
        <v>36434</v>
      </c>
      <c r="H4583" t="s">
        <v>182</v>
      </c>
      <c r="I4583">
        <v>15</v>
      </c>
      <c r="J4583">
        <v>12</v>
      </c>
      <c r="K4583">
        <v>1</v>
      </c>
      <c r="L4583">
        <v>89887</v>
      </c>
      <c r="M4583" t="str">
        <f t="shared" si="668"/>
        <v>13</v>
      </c>
      <c r="N4583" t="s">
        <v>3323</v>
      </c>
      <c r="O4583" t="str">
        <f t="shared" si="673"/>
        <v>71211</v>
      </c>
      <c r="P4583" t="str">
        <f>"2100L"</f>
        <v>2100L</v>
      </c>
      <c r="Q4583" t="str">
        <f t="shared" si="672"/>
        <v>0101</v>
      </c>
      <c r="R4583">
        <v>2100</v>
      </c>
      <c r="S4583" t="str">
        <f t="shared" si="674"/>
        <v>7120</v>
      </c>
      <c r="T4583" t="s">
        <v>3834</v>
      </c>
      <c r="U4583" t="s">
        <v>98</v>
      </c>
    </row>
    <row r="4584" spans="1:21" ht="15" customHeight="1" x14ac:dyDescent="0.3">
      <c r="A4584" t="s">
        <v>179</v>
      </c>
      <c r="B4584" t="str">
        <f>"00057251"</f>
        <v>00057251</v>
      </c>
      <c r="C4584" t="s">
        <v>3670</v>
      </c>
      <c r="H4584" t="s">
        <v>170</v>
      </c>
      <c r="I4584">
        <v>8</v>
      </c>
      <c r="J4584">
        <v>1</v>
      </c>
      <c r="K4584">
        <v>1</v>
      </c>
      <c r="L4584">
        <v>82397</v>
      </c>
      <c r="M4584" t="str">
        <f t="shared" si="668"/>
        <v>13</v>
      </c>
      <c r="N4584" t="s">
        <v>3323</v>
      </c>
      <c r="O4584" t="str">
        <f t="shared" si="673"/>
        <v>71211</v>
      </c>
      <c r="P4584" t="str">
        <f>"1502L"</f>
        <v>1502L</v>
      </c>
      <c r="Q4584" t="str">
        <f t="shared" si="672"/>
        <v>0101</v>
      </c>
      <c r="R4584">
        <v>1502</v>
      </c>
      <c r="S4584" t="str">
        <f t="shared" si="674"/>
        <v>7120</v>
      </c>
      <c r="T4584" t="s">
        <v>3834</v>
      </c>
      <c r="U4584" t="s">
        <v>98</v>
      </c>
    </row>
    <row r="4585" spans="1:21" ht="15" customHeight="1" x14ac:dyDescent="0.3">
      <c r="A4585" t="s">
        <v>179</v>
      </c>
      <c r="B4585" t="str">
        <f>"00057704"</f>
        <v>00057704</v>
      </c>
      <c r="C4585" t="s">
        <v>4253</v>
      </c>
      <c r="D4585" t="s">
        <v>269</v>
      </c>
      <c r="E4585" t="str">
        <f>"00051772"</f>
        <v>00051772</v>
      </c>
      <c r="F4585">
        <v>0</v>
      </c>
      <c r="G4585" s="243">
        <v>32050</v>
      </c>
      <c r="H4585" t="s">
        <v>182</v>
      </c>
      <c r="I4585">
        <v>15</v>
      </c>
      <c r="J4585">
        <v>16</v>
      </c>
      <c r="K4585">
        <v>1</v>
      </c>
      <c r="L4585">
        <v>100839</v>
      </c>
      <c r="M4585" t="str">
        <f t="shared" si="668"/>
        <v>13</v>
      </c>
      <c r="N4585" t="s">
        <v>3323</v>
      </c>
      <c r="O4585" t="str">
        <f t="shared" si="673"/>
        <v>71211</v>
      </c>
      <c r="P4585" t="str">
        <f>"2100L"</f>
        <v>2100L</v>
      </c>
      <c r="Q4585" t="str">
        <f t="shared" si="672"/>
        <v>0101</v>
      </c>
      <c r="R4585">
        <v>2100</v>
      </c>
      <c r="S4585" t="str">
        <f t="shared" si="674"/>
        <v>7120</v>
      </c>
      <c r="T4585" t="s">
        <v>3834</v>
      </c>
      <c r="U4585" t="s">
        <v>98</v>
      </c>
    </row>
    <row r="4586" spans="1:21" ht="15" customHeight="1" x14ac:dyDescent="0.3">
      <c r="A4586" t="s">
        <v>179</v>
      </c>
      <c r="B4586" t="str">
        <f>"00057984"</f>
        <v>00057984</v>
      </c>
      <c r="C4586" t="s">
        <v>4258</v>
      </c>
      <c r="D4586" t="s">
        <v>5695</v>
      </c>
      <c r="E4586" t="str">
        <f>"00070560"</f>
        <v>00070560</v>
      </c>
      <c r="F4586">
        <v>0</v>
      </c>
      <c r="G4586" s="243">
        <v>41148</v>
      </c>
      <c r="H4586" t="s">
        <v>182</v>
      </c>
      <c r="I4586">
        <v>15</v>
      </c>
      <c r="J4586">
        <v>10</v>
      </c>
      <c r="K4586">
        <v>1</v>
      </c>
      <c r="L4586">
        <v>68431</v>
      </c>
      <c r="M4586" t="str">
        <f t="shared" si="668"/>
        <v>13</v>
      </c>
      <c r="N4586" t="s">
        <v>3323</v>
      </c>
      <c r="O4586" t="str">
        <f t="shared" si="673"/>
        <v>71211</v>
      </c>
      <c r="P4586" t="str">
        <f>"2100L"</f>
        <v>2100L</v>
      </c>
      <c r="Q4586" t="str">
        <f t="shared" si="672"/>
        <v>0101</v>
      </c>
      <c r="R4586">
        <v>2100</v>
      </c>
      <c r="S4586" t="str">
        <f t="shared" si="674"/>
        <v>7120</v>
      </c>
      <c r="T4586" t="s">
        <v>3834</v>
      </c>
      <c r="U4586" t="s">
        <v>98</v>
      </c>
    </row>
    <row r="4587" spans="1:21" ht="15" customHeight="1" x14ac:dyDescent="0.3">
      <c r="A4587" t="s">
        <v>179</v>
      </c>
      <c r="B4587" t="str">
        <f>"00058062"</f>
        <v>00058062</v>
      </c>
      <c r="C4587" t="s">
        <v>4253</v>
      </c>
      <c r="D4587" t="s">
        <v>5696</v>
      </c>
      <c r="E4587" t="str">
        <f>"00047311"</f>
        <v>00047311</v>
      </c>
      <c r="F4587">
        <v>0</v>
      </c>
      <c r="G4587" s="243">
        <v>37124</v>
      </c>
      <c r="H4587" t="s">
        <v>182</v>
      </c>
      <c r="I4587">
        <v>15</v>
      </c>
      <c r="J4587">
        <v>12</v>
      </c>
      <c r="K4587">
        <v>1</v>
      </c>
      <c r="L4587">
        <v>78261</v>
      </c>
      <c r="M4587" t="str">
        <f t="shared" si="668"/>
        <v>13</v>
      </c>
      <c r="N4587" t="s">
        <v>3323</v>
      </c>
      <c r="O4587" t="str">
        <f t="shared" si="673"/>
        <v>71211</v>
      </c>
      <c r="P4587" t="str">
        <f>"2100L"</f>
        <v>2100L</v>
      </c>
      <c r="Q4587" t="str">
        <f t="shared" si="672"/>
        <v>0101</v>
      </c>
      <c r="R4587">
        <v>2100</v>
      </c>
      <c r="S4587" t="str">
        <f t="shared" si="674"/>
        <v>7120</v>
      </c>
      <c r="T4587" t="s">
        <v>3834</v>
      </c>
      <c r="U4587" t="s">
        <v>98</v>
      </c>
    </row>
    <row r="4588" spans="1:21" ht="15" customHeight="1" x14ac:dyDescent="0.3">
      <c r="A4588" t="s">
        <v>179</v>
      </c>
      <c r="B4588" t="str">
        <f>"00058521"</f>
        <v>00058521</v>
      </c>
      <c r="C4588" t="s">
        <v>3670</v>
      </c>
      <c r="D4588" t="s">
        <v>272</v>
      </c>
      <c r="E4588" t="str">
        <f>"00050117"</f>
        <v>00050117</v>
      </c>
      <c r="F4588">
        <v>0</v>
      </c>
      <c r="G4588" s="243">
        <v>36436</v>
      </c>
      <c r="H4588" t="s">
        <v>182</v>
      </c>
      <c r="I4588">
        <v>8</v>
      </c>
      <c r="J4588">
        <v>3</v>
      </c>
      <c r="K4588">
        <v>1</v>
      </c>
      <c r="L4588">
        <v>88654</v>
      </c>
      <c r="M4588" t="str">
        <f t="shared" si="668"/>
        <v>13</v>
      </c>
      <c r="N4588" t="s">
        <v>3323</v>
      </c>
      <c r="O4588" t="str">
        <f t="shared" si="673"/>
        <v>71211</v>
      </c>
      <c r="P4588" t="str">
        <f>"1501L"</f>
        <v>1501L</v>
      </c>
      <c r="Q4588" t="str">
        <f t="shared" si="672"/>
        <v>0101</v>
      </c>
      <c r="R4588">
        <v>1501</v>
      </c>
      <c r="S4588" t="str">
        <f t="shared" si="674"/>
        <v>7120</v>
      </c>
      <c r="T4588" t="s">
        <v>3834</v>
      </c>
      <c r="U4588" t="s">
        <v>98</v>
      </c>
    </row>
    <row r="4589" spans="1:21" ht="15" customHeight="1" x14ac:dyDescent="0.3">
      <c r="A4589" t="s">
        <v>179</v>
      </c>
      <c r="B4589" t="str">
        <f>"00058666"</f>
        <v>00058666</v>
      </c>
      <c r="C4589" t="s">
        <v>4260</v>
      </c>
      <c r="D4589" t="s">
        <v>273</v>
      </c>
      <c r="E4589" t="str">
        <f>"00045817"</f>
        <v>00045817</v>
      </c>
      <c r="F4589">
        <v>0</v>
      </c>
      <c r="G4589" s="243">
        <v>38951</v>
      </c>
      <c r="H4589" t="s">
        <v>182</v>
      </c>
      <c r="I4589">
        <v>15</v>
      </c>
      <c r="J4589">
        <v>7</v>
      </c>
      <c r="K4589">
        <v>1</v>
      </c>
      <c r="L4589">
        <v>69132</v>
      </c>
      <c r="M4589" t="str">
        <f t="shared" si="668"/>
        <v>13</v>
      </c>
      <c r="N4589" t="s">
        <v>3323</v>
      </c>
      <c r="O4589" t="str">
        <f t="shared" si="673"/>
        <v>71211</v>
      </c>
      <c r="P4589" t="str">
        <f>"2100L"</f>
        <v>2100L</v>
      </c>
      <c r="Q4589" t="str">
        <f t="shared" si="672"/>
        <v>0101</v>
      </c>
      <c r="R4589">
        <v>2100</v>
      </c>
      <c r="S4589" t="str">
        <f t="shared" si="674"/>
        <v>7120</v>
      </c>
      <c r="T4589" t="s">
        <v>3834</v>
      </c>
      <c r="U4589" t="s">
        <v>98</v>
      </c>
    </row>
    <row r="4590" spans="1:21" ht="15" customHeight="1" x14ac:dyDescent="0.3">
      <c r="A4590" t="s">
        <v>179</v>
      </c>
      <c r="B4590" t="str">
        <f>"00059536"</f>
        <v>00059536</v>
      </c>
      <c r="C4590" t="s">
        <v>4260</v>
      </c>
      <c r="D4590" t="s">
        <v>5697</v>
      </c>
      <c r="E4590" t="str">
        <f>"00070001"</f>
        <v>00070001</v>
      </c>
      <c r="F4590">
        <v>0</v>
      </c>
      <c r="G4590" s="243">
        <v>41133</v>
      </c>
      <c r="H4590" t="s">
        <v>182</v>
      </c>
      <c r="I4590">
        <v>15</v>
      </c>
      <c r="J4590">
        <v>1</v>
      </c>
      <c r="K4590">
        <v>1</v>
      </c>
      <c r="L4590">
        <v>51539</v>
      </c>
      <c r="M4590" t="str">
        <f t="shared" si="668"/>
        <v>13</v>
      </c>
      <c r="N4590" t="s">
        <v>3370</v>
      </c>
      <c r="O4590" t="str">
        <f t="shared" si="673"/>
        <v>71211</v>
      </c>
      <c r="P4590" t="str">
        <f>"2100L"</f>
        <v>2100L</v>
      </c>
      <c r="Q4590" t="str">
        <f t="shared" si="672"/>
        <v>0101</v>
      </c>
      <c r="R4590">
        <v>2100</v>
      </c>
      <c r="S4590" t="str">
        <f t="shared" si="674"/>
        <v>7120</v>
      </c>
      <c r="T4590" t="s">
        <v>3834</v>
      </c>
      <c r="U4590" t="s">
        <v>98</v>
      </c>
    </row>
    <row r="4591" spans="1:21" ht="15" customHeight="1" x14ac:dyDescent="0.3">
      <c r="A4591" t="s">
        <v>179</v>
      </c>
      <c r="B4591" t="str">
        <f>"00059665"</f>
        <v>00059665</v>
      </c>
      <c r="C4591" t="s">
        <v>4367</v>
      </c>
      <c r="H4591" t="s">
        <v>170</v>
      </c>
      <c r="I4591">
        <v>9</v>
      </c>
      <c r="J4591">
        <v>0</v>
      </c>
      <c r="K4591">
        <v>1</v>
      </c>
      <c r="L4591">
        <v>36775</v>
      </c>
      <c r="M4591" t="str">
        <f t="shared" si="668"/>
        <v>13</v>
      </c>
      <c r="N4591" t="s">
        <v>3370</v>
      </c>
      <c r="O4591" t="str">
        <f t="shared" si="673"/>
        <v>71211</v>
      </c>
      <c r="P4591" t="str">
        <f>"2100L"</f>
        <v>2100L</v>
      </c>
      <c r="Q4591" t="str">
        <f t="shared" si="672"/>
        <v>0101</v>
      </c>
      <c r="R4591">
        <v>2100</v>
      </c>
      <c r="S4591" t="str">
        <f t="shared" si="674"/>
        <v>7120</v>
      </c>
      <c r="T4591" t="s">
        <v>3834</v>
      </c>
      <c r="U4591" t="s">
        <v>98</v>
      </c>
    </row>
    <row r="4592" spans="1:21" ht="15" customHeight="1" x14ac:dyDescent="0.3">
      <c r="A4592" t="s">
        <v>179</v>
      </c>
      <c r="B4592" t="str">
        <f>"00060247"</f>
        <v>00060247</v>
      </c>
      <c r="C4592" t="s">
        <v>3798</v>
      </c>
      <c r="D4592" t="s">
        <v>275</v>
      </c>
      <c r="E4592" t="str">
        <f>"00045865"</f>
        <v>00045865</v>
      </c>
      <c r="F4592">
        <v>0</v>
      </c>
      <c r="G4592" s="243">
        <v>38534</v>
      </c>
      <c r="H4592" t="s">
        <v>182</v>
      </c>
      <c r="I4592">
        <v>66</v>
      </c>
      <c r="J4592">
        <v>6</v>
      </c>
      <c r="K4592">
        <v>1</v>
      </c>
      <c r="L4592">
        <v>140000</v>
      </c>
      <c r="M4592" t="str">
        <f t="shared" si="668"/>
        <v>13</v>
      </c>
      <c r="N4592" t="s">
        <v>3323</v>
      </c>
      <c r="O4592" t="str">
        <f t="shared" si="673"/>
        <v>71211</v>
      </c>
      <c r="P4592" t="str">
        <f>"1501L"</f>
        <v>1501L</v>
      </c>
      <c r="Q4592" t="str">
        <f t="shared" si="672"/>
        <v>0101</v>
      </c>
      <c r="R4592">
        <v>1501</v>
      </c>
      <c r="S4592" t="str">
        <f t="shared" si="674"/>
        <v>7120</v>
      </c>
      <c r="T4592" t="s">
        <v>3834</v>
      </c>
      <c r="U4592" t="s">
        <v>98</v>
      </c>
    </row>
    <row r="4593" spans="1:21" ht="15" customHeight="1" x14ac:dyDescent="0.3">
      <c r="A4593" t="s">
        <v>179</v>
      </c>
      <c r="B4593" t="str">
        <f>"00060317"</f>
        <v>00060317</v>
      </c>
      <c r="C4593" t="s">
        <v>3670</v>
      </c>
      <c r="D4593" t="s">
        <v>4006</v>
      </c>
      <c r="E4593" t="str">
        <f>"00065930"</f>
        <v>00065930</v>
      </c>
      <c r="F4593">
        <v>0</v>
      </c>
      <c r="G4593" s="243">
        <v>40755</v>
      </c>
      <c r="H4593" t="s">
        <v>182</v>
      </c>
      <c r="I4593">
        <v>8</v>
      </c>
      <c r="J4593">
        <v>5</v>
      </c>
      <c r="K4593">
        <v>1</v>
      </c>
      <c r="L4593">
        <v>92198</v>
      </c>
      <c r="M4593" t="str">
        <f t="shared" si="668"/>
        <v>13</v>
      </c>
      <c r="N4593" t="s">
        <v>3323</v>
      </c>
      <c r="O4593" t="str">
        <f t="shared" si="673"/>
        <v>71211</v>
      </c>
      <c r="P4593" t="str">
        <f>"1501L"</f>
        <v>1501L</v>
      </c>
      <c r="Q4593" t="str">
        <f t="shared" si="672"/>
        <v>0101</v>
      </c>
      <c r="R4593">
        <v>1501</v>
      </c>
      <c r="S4593" t="str">
        <f t="shared" si="674"/>
        <v>7120</v>
      </c>
      <c r="T4593" t="s">
        <v>3834</v>
      </c>
      <c r="U4593" t="s">
        <v>98</v>
      </c>
    </row>
    <row r="4594" spans="1:21" ht="15" customHeight="1" x14ac:dyDescent="0.3">
      <c r="A4594" t="s">
        <v>179</v>
      </c>
      <c r="B4594" t="str">
        <f>"00060914"</f>
        <v>00060914</v>
      </c>
      <c r="C4594" t="s">
        <v>4253</v>
      </c>
      <c r="D4594" t="s">
        <v>276</v>
      </c>
      <c r="E4594" t="str">
        <f>"00044796"</f>
        <v>00044796</v>
      </c>
      <c r="F4594">
        <v>0</v>
      </c>
      <c r="G4594" s="243">
        <v>39314</v>
      </c>
      <c r="H4594" t="s">
        <v>182</v>
      </c>
      <c r="I4594">
        <v>15</v>
      </c>
      <c r="J4594">
        <v>6</v>
      </c>
      <c r="K4594">
        <v>1</v>
      </c>
      <c r="L4594">
        <v>66078</v>
      </c>
      <c r="M4594" t="str">
        <f t="shared" si="668"/>
        <v>13</v>
      </c>
      <c r="N4594" t="s">
        <v>3323</v>
      </c>
      <c r="O4594" t="str">
        <f t="shared" si="673"/>
        <v>71211</v>
      </c>
      <c r="P4594" t="str">
        <f t="shared" ref="P4594:P4599" si="675">"2100L"</f>
        <v>2100L</v>
      </c>
      <c r="Q4594" t="str">
        <f t="shared" si="672"/>
        <v>0101</v>
      </c>
      <c r="R4594">
        <v>2100</v>
      </c>
      <c r="S4594" t="str">
        <f t="shared" si="674"/>
        <v>7120</v>
      </c>
      <c r="T4594" t="s">
        <v>3834</v>
      </c>
      <c r="U4594" t="s">
        <v>98</v>
      </c>
    </row>
    <row r="4595" spans="1:21" ht="15" customHeight="1" x14ac:dyDescent="0.3">
      <c r="A4595" t="s">
        <v>179</v>
      </c>
      <c r="B4595" t="str">
        <f>"00060936"</f>
        <v>00060936</v>
      </c>
      <c r="C4595" t="s">
        <v>4253</v>
      </c>
      <c r="D4595" t="s">
        <v>277</v>
      </c>
      <c r="E4595" t="str">
        <f>"00062874"</f>
        <v>00062874</v>
      </c>
      <c r="F4595">
        <v>0</v>
      </c>
      <c r="G4595" s="243">
        <v>40406</v>
      </c>
      <c r="H4595" t="s">
        <v>182</v>
      </c>
      <c r="I4595">
        <v>15</v>
      </c>
      <c r="J4595">
        <v>2</v>
      </c>
      <c r="K4595">
        <v>1</v>
      </c>
      <c r="L4595">
        <v>51716</v>
      </c>
      <c r="M4595" t="str">
        <f t="shared" si="668"/>
        <v>13</v>
      </c>
      <c r="N4595" t="s">
        <v>3323</v>
      </c>
      <c r="O4595" t="str">
        <f t="shared" si="673"/>
        <v>71211</v>
      </c>
      <c r="P4595" t="str">
        <f t="shared" si="675"/>
        <v>2100L</v>
      </c>
      <c r="Q4595" t="str">
        <f t="shared" si="672"/>
        <v>0101</v>
      </c>
      <c r="R4595">
        <v>2100</v>
      </c>
      <c r="S4595" t="str">
        <f t="shared" si="674"/>
        <v>7120</v>
      </c>
      <c r="T4595" t="s">
        <v>3834</v>
      </c>
      <c r="U4595" t="s">
        <v>98</v>
      </c>
    </row>
    <row r="4596" spans="1:21" ht="15" customHeight="1" x14ac:dyDescent="0.3">
      <c r="A4596" t="s">
        <v>179</v>
      </c>
      <c r="B4596" t="str">
        <f>"00061072"</f>
        <v>00061072</v>
      </c>
      <c r="C4596" t="s">
        <v>4260</v>
      </c>
      <c r="D4596" t="s">
        <v>278</v>
      </c>
      <c r="E4596" t="str">
        <f>"00062750"</f>
        <v>00062750</v>
      </c>
      <c r="F4596">
        <v>0</v>
      </c>
      <c r="G4596" s="243">
        <v>40406</v>
      </c>
      <c r="H4596" t="s">
        <v>182</v>
      </c>
      <c r="I4596">
        <v>15</v>
      </c>
      <c r="J4596">
        <v>3</v>
      </c>
      <c r="K4596">
        <v>1</v>
      </c>
      <c r="L4596">
        <v>52777</v>
      </c>
      <c r="M4596" t="str">
        <f t="shared" si="668"/>
        <v>13</v>
      </c>
      <c r="N4596" t="s">
        <v>3323</v>
      </c>
      <c r="O4596" t="str">
        <f t="shared" si="673"/>
        <v>71211</v>
      </c>
      <c r="P4596" t="str">
        <f t="shared" si="675"/>
        <v>2100L</v>
      </c>
      <c r="Q4596" t="str">
        <f t="shared" si="672"/>
        <v>0101</v>
      </c>
      <c r="R4596">
        <v>2100</v>
      </c>
      <c r="S4596" t="str">
        <f t="shared" si="674"/>
        <v>7120</v>
      </c>
      <c r="T4596" t="s">
        <v>3834</v>
      </c>
      <c r="U4596" t="s">
        <v>98</v>
      </c>
    </row>
    <row r="4597" spans="1:21" ht="15" customHeight="1" x14ac:dyDescent="0.3">
      <c r="A4597" t="s">
        <v>179</v>
      </c>
      <c r="B4597" t="str">
        <f>"00061185"</f>
        <v>00061185</v>
      </c>
      <c r="C4597" t="s">
        <v>4260</v>
      </c>
      <c r="D4597" t="s">
        <v>5698</v>
      </c>
      <c r="E4597" t="str">
        <f>"00069910"</f>
        <v>00069910</v>
      </c>
      <c r="F4597">
        <v>0</v>
      </c>
      <c r="G4597" s="243">
        <v>41133</v>
      </c>
      <c r="H4597" t="s">
        <v>182</v>
      </c>
      <c r="I4597">
        <v>15</v>
      </c>
      <c r="J4597">
        <v>1</v>
      </c>
      <c r="K4597">
        <v>1</v>
      </c>
      <c r="L4597">
        <v>51539</v>
      </c>
      <c r="M4597" t="str">
        <f t="shared" si="668"/>
        <v>13</v>
      </c>
      <c r="N4597" t="s">
        <v>3370</v>
      </c>
      <c r="O4597" t="str">
        <f t="shared" si="673"/>
        <v>71211</v>
      </c>
      <c r="P4597" t="str">
        <f t="shared" si="675"/>
        <v>2100L</v>
      </c>
      <c r="Q4597" t="str">
        <f t="shared" si="672"/>
        <v>0101</v>
      </c>
      <c r="R4597">
        <v>2100</v>
      </c>
      <c r="S4597" t="str">
        <f t="shared" si="674"/>
        <v>7120</v>
      </c>
      <c r="T4597" t="s">
        <v>3834</v>
      </c>
      <c r="U4597" t="s">
        <v>98</v>
      </c>
    </row>
    <row r="4598" spans="1:21" ht="15" customHeight="1" x14ac:dyDescent="0.3">
      <c r="A4598" t="s">
        <v>179</v>
      </c>
      <c r="B4598" t="str">
        <f>"00061333"</f>
        <v>00061333</v>
      </c>
      <c r="C4598" t="s">
        <v>4253</v>
      </c>
      <c r="H4598" t="s">
        <v>170</v>
      </c>
      <c r="I4598">
        <v>15</v>
      </c>
      <c r="J4598">
        <v>1</v>
      </c>
      <c r="K4598">
        <v>1</v>
      </c>
      <c r="L4598">
        <v>54975</v>
      </c>
      <c r="M4598" t="str">
        <f t="shared" si="668"/>
        <v>13</v>
      </c>
      <c r="N4598" t="s">
        <v>3323</v>
      </c>
      <c r="O4598" t="str">
        <f t="shared" si="673"/>
        <v>71211</v>
      </c>
      <c r="P4598" t="str">
        <f t="shared" si="675"/>
        <v>2100L</v>
      </c>
      <c r="Q4598" t="str">
        <f t="shared" si="672"/>
        <v>0101</v>
      </c>
      <c r="R4598">
        <v>2100</v>
      </c>
      <c r="S4598" t="str">
        <f t="shared" si="674"/>
        <v>7120</v>
      </c>
      <c r="T4598" t="s">
        <v>3834</v>
      </c>
      <c r="U4598" t="s">
        <v>98</v>
      </c>
    </row>
    <row r="4599" spans="1:21" ht="15" customHeight="1" x14ac:dyDescent="0.3">
      <c r="A4599" t="s">
        <v>179</v>
      </c>
      <c r="B4599" t="str">
        <f>"00061343"</f>
        <v>00061343</v>
      </c>
      <c r="C4599" t="s">
        <v>4253</v>
      </c>
      <c r="D4599" t="s">
        <v>279</v>
      </c>
      <c r="E4599" t="str">
        <f>"00050692"</f>
        <v>00050692</v>
      </c>
      <c r="F4599">
        <v>0</v>
      </c>
      <c r="G4599" s="243">
        <v>39315</v>
      </c>
      <c r="H4599" t="s">
        <v>182</v>
      </c>
      <c r="I4599">
        <v>15</v>
      </c>
      <c r="J4599">
        <v>12</v>
      </c>
      <c r="K4599">
        <v>1</v>
      </c>
      <c r="L4599">
        <v>87431</v>
      </c>
      <c r="M4599" t="str">
        <f t="shared" si="668"/>
        <v>13</v>
      </c>
      <c r="N4599" t="s">
        <v>3323</v>
      </c>
      <c r="O4599" t="str">
        <f t="shared" si="673"/>
        <v>71211</v>
      </c>
      <c r="P4599" t="str">
        <f t="shared" si="675"/>
        <v>2100L</v>
      </c>
      <c r="Q4599" t="str">
        <f t="shared" ref="Q4599:Q4627" si="676">"0101"</f>
        <v>0101</v>
      </c>
      <c r="R4599">
        <v>2100</v>
      </c>
      <c r="S4599" t="str">
        <f t="shared" si="674"/>
        <v>7120</v>
      </c>
      <c r="T4599" t="s">
        <v>3834</v>
      </c>
      <c r="U4599" t="s">
        <v>98</v>
      </c>
    </row>
    <row r="4600" spans="1:21" ht="15" customHeight="1" x14ac:dyDescent="0.3">
      <c r="A4600" t="s">
        <v>179</v>
      </c>
      <c r="B4600" t="str">
        <f>"00061875"</f>
        <v>00061875</v>
      </c>
      <c r="C4600" t="s">
        <v>3670</v>
      </c>
      <c r="H4600" t="s">
        <v>170</v>
      </c>
      <c r="I4600">
        <v>8</v>
      </c>
      <c r="J4600">
        <v>1</v>
      </c>
      <c r="K4600">
        <v>1</v>
      </c>
      <c r="L4600">
        <v>85222</v>
      </c>
      <c r="M4600" t="str">
        <f t="shared" si="668"/>
        <v>13</v>
      </c>
      <c r="N4600" t="s">
        <v>3323</v>
      </c>
      <c r="O4600" t="str">
        <f t="shared" ref="O4600:O4628" si="677">"71211"</f>
        <v>71211</v>
      </c>
      <c r="P4600" t="str">
        <f>"1501L"</f>
        <v>1501L</v>
      </c>
      <c r="Q4600" t="str">
        <f t="shared" si="676"/>
        <v>0101</v>
      </c>
      <c r="R4600">
        <v>1501</v>
      </c>
      <c r="S4600" t="str">
        <f t="shared" ref="S4600:S4628" si="678">"7120"</f>
        <v>7120</v>
      </c>
      <c r="T4600" t="s">
        <v>3834</v>
      </c>
      <c r="U4600" t="s">
        <v>98</v>
      </c>
    </row>
    <row r="4601" spans="1:21" ht="15" customHeight="1" x14ac:dyDescent="0.3">
      <c r="A4601" t="s">
        <v>179</v>
      </c>
      <c r="B4601" t="str">
        <f>"00061962"</f>
        <v>00061962</v>
      </c>
      <c r="C4601" t="s">
        <v>4253</v>
      </c>
      <c r="H4601" t="s">
        <v>170</v>
      </c>
      <c r="I4601">
        <v>15</v>
      </c>
      <c r="J4601">
        <v>1</v>
      </c>
      <c r="K4601">
        <v>1</v>
      </c>
      <c r="L4601">
        <v>54975</v>
      </c>
      <c r="M4601" t="str">
        <f t="shared" si="668"/>
        <v>13</v>
      </c>
      <c r="N4601" t="s">
        <v>3323</v>
      </c>
      <c r="O4601" t="str">
        <f t="shared" si="677"/>
        <v>71211</v>
      </c>
      <c r="P4601" t="str">
        <f t="shared" ref="P4601:P4614" si="679">"2100L"</f>
        <v>2100L</v>
      </c>
      <c r="Q4601" t="str">
        <f t="shared" si="676"/>
        <v>0101</v>
      </c>
      <c r="R4601">
        <v>2100</v>
      </c>
      <c r="S4601" t="str">
        <f t="shared" si="678"/>
        <v>7120</v>
      </c>
      <c r="T4601" t="s">
        <v>3834</v>
      </c>
      <c r="U4601" t="s">
        <v>98</v>
      </c>
    </row>
    <row r="4602" spans="1:21" ht="15" customHeight="1" x14ac:dyDescent="0.3">
      <c r="A4602" t="s">
        <v>179</v>
      </c>
      <c r="B4602" t="str">
        <f>"00061964"</f>
        <v>00061964</v>
      </c>
      <c r="C4602" t="s">
        <v>4253</v>
      </c>
      <c r="D4602" t="s">
        <v>1410</v>
      </c>
      <c r="E4602" t="str">
        <f>"00055259"</f>
        <v>00055259</v>
      </c>
      <c r="F4602">
        <v>0</v>
      </c>
      <c r="G4602" s="243">
        <v>38597</v>
      </c>
      <c r="H4602" t="s">
        <v>182</v>
      </c>
      <c r="I4602">
        <v>15</v>
      </c>
      <c r="J4602">
        <v>14</v>
      </c>
      <c r="K4602">
        <v>1</v>
      </c>
      <c r="L4602">
        <v>98967</v>
      </c>
      <c r="M4602" t="str">
        <f t="shared" si="668"/>
        <v>13</v>
      </c>
      <c r="N4602" t="s">
        <v>3323</v>
      </c>
      <c r="O4602" t="str">
        <f t="shared" si="677"/>
        <v>71211</v>
      </c>
      <c r="P4602" t="str">
        <f t="shared" si="679"/>
        <v>2100L</v>
      </c>
      <c r="Q4602" t="str">
        <f t="shared" si="676"/>
        <v>0101</v>
      </c>
      <c r="R4602">
        <v>2100</v>
      </c>
      <c r="S4602" t="str">
        <f t="shared" si="678"/>
        <v>7120</v>
      </c>
      <c r="T4602" t="s">
        <v>3834</v>
      </c>
      <c r="U4602" t="s">
        <v>98</v>
      </c>
    </row>
    <row r="4603" spans="1:21" ht="15" customHeight="1" x14ac:dyDescent="0.3">
      <c r="A4603" t="s">
        <v>179</v>
      </c>
      <c r="B4603" t="str">
        <f>"00062005"</f>
        <v>00062005</v>
      </c>
      <c r="C4603" t="s">
        <v>4263</v>
      </c>
      <c r="D4603" t="s">
        <v>281</v>
      </c>
      <c r="E4603" t="str">
        <f>"00045799"</f>
        <v>00045799</v>
      </c>
      <c r="F4603">
        <v>0</v>
      </c>
      <c r="G4603" s="243">
        <v>39679</v>
      </c>
      <c r="H4603" t="s">
        <v>182</v>
      </c>
      <c r="I4603">
        <v>15</v>
      </c>
      <c r="J4603">
        <v>5</v>
      </c>
      <c r="K4603">
        <v>1</v>
      </c>
      <c r="L4603">
        <v>63611</v>
      </c>
      <c r="M4603" t="str">
        <f t="shared" si="668"/>
        <v>13</v>
      </c>
      <c r="N4603" t="s">
        <v>3323</v>
      </c>
      <c r="O4603" t="str">
        <f t="shared" si="677"/>
        <v>71211</v>
      </c>
      <c r="P4603" t="str">
        <f t="shared" si="679"/>
        <v>2100L</v>
      </c>
      <c r="Q4603" t="str">
        <f t="shared" si="676"/>
        <v>0101</v>
      </c>
      <c r="R4603">
        <v>2100</v>
      </c>
      <c r="S4603" t="str">
        <f t="shared" si="678"/>
        <v>7120</v>
      </c>
      <c r="T4603" t="s">
        <v>3834</v>
      </c>
      <c r="U4603" t="s">
        <v>98</v>
      </c>
    </row>
    <row r="4604" spans="1:21" ht="15" customHeight="1" x14ac:dyDescent="0.3">
      <c r="A4604" t="s">
        <v>179</v>
      </c>
      <c r="B4604" t="str">
        <f>"00062006"</f>
        <v>00062006</v>
      </c>
      <c r="C4604" t="s">
        <v>4253</v>
      </c>
      <c r="D4604" t="s">
        <v>4017</v>
      </c>
      <c r="E4604" t="str">
        <f>"00066241"</f>
        <v>00066241</v>
      </c>
      <c r="F4604">
        <v>0</v>
      </c>
      <c r="G4604" s="243">
        <v>40755</v>
      </c>
      <c r="H4604" t="s">
        <v>182</v>
      </c>
      <c r="I4604">
        <v>15</v>
      </c>
      <c r="J4604">
        <v>2</v>
      </c>
      <c r="K4604">
        <v>1</v>
      </c>
      <c r="L4604">
        <v>51716</v>
      </c>
      <c r="M4604" t="str">
        <f t="shared" si="668"/>
        <v>13</v>
      </c>
      <c r="N4604" t="s">
        <v>3323</v>
      </c>
      <c r="O4604" t="str">
        <f t="shared" si="677"/>
        <v>71211</v>
      </c>
      <c r="P4604" t="str">
        <f t="shared" si="679"/>
        <v>2100L</v>
      </c>
      <c r="Q4604" t="str">
        <f t="shared" si="676"/>
        <v>0101</v>
      </c>
      <c r="R4604">
        <v>2100</v>
      </c>
      <c r="S4604" t="str">
        <f t="shared" si="678"/>
        <v>7120</v>
      </c>
      <c r="T4604" t="s">
        <v>3834</v>
      </c>
      <c r="U4604" t="s">
        <v>98</v>
      </c>
    </row>
    <row r="4605" spans="1:21" ht="15" customHeight="1" x14ac:dyDescent="0.3">
      <c r="A4605" t="s">
        <v>179</v>
      </c>
      <c r="B4605" t="str">
        <f>"00062009"</f>
        <v>00062009</v>
      </c>
      <c r="C4605" t="s">
        <v>4253</v>
      </c>
      <c r="D4605" t="s">
        <v>5699</v>
      </c>
      <c r="E4605" t="str">
        <f>"00047572"</f>
        <v>00047572</v>
      </c>
      <c r="F4605">
        <v>0</v>
      </c>
      <c r="G4605" s="243">
        <v>41133</v>
      </c>
      <c r="H4605" t="s">
        <v>182</v>
      </c>
      <c r="J4605">
        <v>7</v>
      </c>
      <c r="K4605">
        <v>1</v>
      </c>
      <c r="L4605">
        <v>69132</v>
      </c>
      <c r="M4605" t="str">
        <f t="shared" si="668"/>
        <v>13</v>
      </c>
      <c r="N4605" t="s">
        <v>3323</v>
      </c>
      <c r="O4605" t="str">
        <f t="shared" si="677"/>
        <v>71211</v>
      </c>
      <c r="P4605" t="str">
        <f t="shared" si="679"/>
        <v>2100L</v>
      </c>
      <c r="Q4605" t="str">
        <f t="shared" si="676"/>
        <v>0101</v>
      </c>
      <c r="R4605">
        <v>2100</v>
      </c>
      <c r="S4605" t="str">
        <f t="shared" si="678"/>
        <v>7120</v>
      </c>
      <c r="T4605" t="s">
        <v>3834</v>
      </c>
      <c r="U4605" t="s">
        <v>98</v>
      </c>
    </row>
    <row r="4606" spans="1:21" ht="15" customHeight="1" x14ac:dyDescent="0.3">
      <c r="A4606" t="s">
        <v>179</v>
      </c>
      <c r="B4606" t="str">
        <f>"00062095"</f>
        <v>00062095</v>
      </c>
      <c r="C4606" t="s">
        <v>4253</v>
      </c>
      <c r="D4606" t="s">
        <v>282</v>
      </c>
      <c r="E4606" t="str">
        <f>"00047282"</f>
        <v>00047282</v>
      </c>
      <c r="F4606">
        <v>0</v>
      </c>
      <c r="G4606" s="243">
        <v>39600</v>
      </c>
      <c r="H4606" t="s">
        <v>182</v>
      </c>
      <c r="I4606">
        <v>15</v>
      </c>
      <c r="J4606">
        <v>4</v>
      </c>
      <c r="K4606">
        <v>1</v>
      </c>
      <c r="L4606">
        <v>61158</v>
      </c>
      <c r="M4606" t="str">
        <f t="shared" si="668"/>
        <v>13</v>
      </c>
      <c r="N4606" t="s">
        <v>3323</v>
      </c>
      <c r="O4606" t="str">
        <f t="shared" si="677"/>
        <v>71211</v>
      </c>
      <c r="P4606" t="str">
        <f t="shared" si="679"/>
        <v>2100L</v>
      </c>
      <c r="Q4606" t="str">
        <f t="shared" si="676"/>
        <v>0101</v>
      </c>
      <c r="R4606">
        <v>2100</v>
      </c>
      <c r="S4606" t="str">
        <f t="shared" si="678"/>
        <v>7120</v>
      </c>
      <c r="T4606" t="s">
        <v>3834</v>
      </c>
      <c r="U4606" t="s">
        <v>98</v>
      </c>
    </row>
    <row r="4607" spans="1:21" ht="15" customHeight="1" x14ac:dyDescent="0.3">
      <c r="A4607" t="s">
        <v>179</v>
      </c>
      <c r="B4607" t="str">
        <f>"00062100"</f>
        <v>00062100</v>
      </c>
      <c r="C4607" t="s">
        <v>4260</v>
      </c>
      <c r="H4607" t="s">
        <v>170</v>
      </c>
      <c r="I4607">
        <v>15</v>
      </c>
      <c r="J4607">
        <v>1</v>
      </c>
      <c r="K4607">
        <v>1</v>
      </c>
      <c r="L4607">
        <v>54975</v>
      </c>
      <c r="M4607" t="str">
        <f t="shared" si="668"/>
        <v>13</v>
      </c>
      <c r="N4607" t="s">
        <v>3323</v>
      </c>
      <c r="O4607" t="str">
        <f t="shared" si="677"/>
        <v>71211</v>
      </c>
      <c r="P4607" t="str">
        <f t="shared" si="679"/>
        <v>2100L</v>
      </c>
      <c r="Q4607" t="str">
        <f t="shared" si="676"/>
        <v>0101</v>
      </c>
      <c r="R4607">
        <v>2100</v>
      </c>
      <c r="S4607" t="str">
        <f t="shared" si="678"/>
        <v>7120</v>
      </c>
      <c r="T4607" t="s">
        <v>3834</v>
      </c>
      <c r="U4607" t="s">
        <v>98</v>
      </c>
    </row>
    <row r="4608" spans="1:21" ht="15" customHeight="1" x14ac:dyDescent="0.3">
      <c r="A4608" t="s">
        <v>179</v>
      </c>
      <c r="B4608" t="str">
        <f>"00062144"</f>
        <v>00062144</v>
      </c>
      <c r="C4608" t="s">
        <v>4253</v>
      </c>
      <c r="H4608" t="s">
        <v>170</v>
      </c>
      <c r="I4608">
        <v>15</v>
      </c>
      <c r="J4608">
        <v>1</v>
      </c>
      <c r="K4608">
        <v>1</v>
      </c>
      <c r="L4608">
        <v>54975</v>
      </c>
      <c r="M4608" t="str">
        <f t="shared" si="668"/>
        <v>13</v>
      </c>
      <c r="N4608" t="s">
        <v>3323</v>
      </c>
      <c r="O4608" t="str">
        <f t="shared" si="677"/>
        <v>71211</v>
      </c>
      <c r="P4608" t="str">
        <f t="shared" si="679"/>
        <v>2100L</v>
      </c>
      <c r="Q4608" t="str">
        <f t="shared" si="676"/>
        <v>0101</v>
      </c>
      <c r="R4608">
        <v>2100</v>
      </c>
      <c r="S4608" t="str">
        <f t="shared" si="678"/>
        <v>7120</v>
      </c>
      <c r="T4608" t="s">
        <v>3834</v>
      </c>
      <c r="U4608" t="s">
        <v>98</v>
      </c>
    </row>
    <row r="4609" spans="1:21" ht="15" customHeight="1" x14ac:dyDescent="0.3">
      <c r="A4609" t="s">
        <v>179</v>
      </c>
      <c r="B4609" t="str">
        <f>"00062209"</f>
        <v>00062209</v>
      </c>
      <c r="C4609" t="s">
        <v>4253</v>
      </c>
      <c r="D4609" t="s">
        <v>4027</v>
      </c>
      <c r="E4609" t="str">
        <f>"00065952"</f>
        <v>00065952</v>
      </c>
      <c r="F4609">
        <v>0</v>
      </c>
      <c r="G4609" s="243">
        <v>40755</v>
      </c>
      <c r="H4609" t="s">
        <v>182</v>
      </c>
      <c r="I4609">
        <v>15</v>
      </c>
      <c r="J4609">
        <v>10</v>
      </c>
      <c r="K4609">
        <v>1</v>
      </c>
      <c r="L4609">
        <v>70879</v>
      </c>
      <c r="M4609" t="str">
        <f t="shared" si="668"/>
        <v>13</v>
      </c>
      <c r="N4609" t="s">
        <v>3323</v>
      </c>
      <c r="O4609" t="str">
        <f t="shared" si="677"/>
        <v>71211</v>
      </c>
      <c r="P4609" t="str">
        <f t="shared" si="679"/>
        <v>2100L</v>
      </c>
      <c r="Q4609" t="str">
        <f t="shared" si="676"/>
        <v>0101</v>
      </c>
      <c r="R4609">
        <v>2100</v>
      </c>
      <c r="S4609" t="str">
        <f t="shared" si="678"/>
        <v>7120</v>
      </c>
      <c r="T4609" t="s">
        <v>3834</v>
      </c>
      <c r="U4609" t="s">
        <v>98</v>
      </c>
    </row>
    <row r="4610" spans="1:21" ht="15" customHeight="1" x14ac:dyDescent="0.3">
      <c r="A4610" t="s">
        <v>179</v>
      </c>
      <c r="B4610" t="str">
        <f>"00062362"</f>
        <v>00062362</v>
      </c>
      <c r="C4610" t="s">
        <v>4253</v>
      </c>
      <c r="D4610" t="s">
        <v>284</v>
      </c>
      <c r="E4610" t="str">
        <f>"00055298"</f>
        <v>00055298</v>
      </c>
      <c r="F4610">
        <v>0</v>
      </c>
      <c r="G4610" s="243">
        <v>39679</v>
      </c>
      <c r="H4610" t="s">
        <v>182</v>
      </c>
      <c r="I4610">
        <v>15</v>
      </c>
      <c r="J4610">
        <v>12</v>
      </c>
      <c r="K4610">
        <v>1</v>
      </c>
      <c r="L4610">
        <v>87431</v>
      </c>
      <c r="M4610" t="str">
        <f t="shared" si="668"/>
        <v>13</v>
      </c>
      <c r="N4610" t="s">
        <v>3323</v>
      </c>
      <c r="O4610" t="str">
        <f t="shared" si="677"/>
        <v>71211</v>
      </c>
      <c r="P4610" t="str">
        <f t="shared" si="679"/>
        <v>2100L</v>
      </c>
      <c r="Q4610" t="str">
        <f t="shared" si="676"/>
        <v>0101</v>
      </c>
      <c r="R4610">
        <v>2100</v>
      </c>
      <c r="S4610" t="str">
        <f t="shared" si="678"/>
        <v>7120</v>
      </c>
      <c r="T4610" t="s">
        <v>3834</v>
      </c>
      <c r="U4610" t="s">
        <v>98</v>
      </c>
    </row>
    <row r="4611" spans="1:21" ht="15" customHeight="1" x14ac:dyDescent="0.3">
      <c r="A4611" t="s">
        <v>179</v>
      </c>
      <c r="B4611" t="str">
        <f>"00062375"</f>
        <v>00062375</v>
      </c>
      <c r="C4611" t="s">
        <v>4253</v>
      </c>
      <c r="D4611" t="s">
        <v>4029</v>
      </c>
      <c r="E4611" t="str">
        <f>"00044543"</f>
        <v>00044543</v>
      </c>
      <c r="F4611">
        <v>0</v>
      </c>
      <c r="G4611" s="243">
        <v>39679</v>
      </c>
      <c r="H4611" t="s">
        <v>182</v>
      </c>
      <c r="I4611">
        <v>15</v>
      </c>
      <c r="J4611">
        <v>5</v>
      </c>
      <c r="K4611">
        <v>1</v>
      </c>
      <c r="L4611">
        <v>63611</v>
      </c>
      <c r="M4611" t="str">
        <f t="shared" si="668"/>
        <v>13</v>
      </c>
      <c r="N4611" t="s">
        <v>3323</v>
      </c>
      <c r="O4611" t="str">
        <f t="shared" si="677"/>
        <v>71211</v>
      </c>
      <c r="P4611" t="str">
        <f t="shared" si="679"/>
        <v>2100L</v>
      </c>
      <c r="Q4611" t="str">
        <f t="shared" si="676"/>
        <v>0101</v>
      </c>
      <c r="R4611">
        <v>2100</v>
      </c>
      <c r="S4611" t="str">
        <f t="shared" si="678"/>
        <v>7120</v>
      </c>
      <c r="T4611" t="s">
        <v>3834</v>
      </c>
      <c r="U4611" t="s">
        <v>98</v>
      </c>
    </row>
    <row r="4612" spans="1:21" ht="15" customHeight="1" x14ac:dyDescent="0.3">
      <c r="A4612" t="s">
        <v>179</v>
      </c>
      <c r="B4612" t="str">
        <f>"00062379"</f>
        <v>00062379</v>
      </c>
      <c r="C4612" t="s">
        <v>4260</v>
      </c>
      <c r="D4612" t="s">
        <v>285</v>
      </c>
      <c r="E4612" t="str">
        <f>"00048857"</f>
        <v>00048857</v>
      </c>
      <c r="F4612">
        <v>0</v>
      </c>
      <c r="G4612" s="243">
        <v>39679</v>
      </c>
      <c r="H4612" t="s">
        <v>182</v>
      </c>
      <c r="I4612">
        <v>15</v>
      </c>
      <c r="J4612">
        <v>4</v>
      </c>
      <c r="K4612">
        <v>1</v>
      </c>
      <c r="L4612">
        <v>61158</v>
      </c>
      <c r="M4612" t="str">
        <f t="shared" ref="M4612:M4667" si="680">"13"</f>
        <v>13</v>
      </c>
      <c r="N4612" t="s">
        <v>3323</v>
      </c>
      <c r="O4612" t="str">
        <f t="shared" si="677"/>
        <v>71211</v>
      </c>
      <c r="P4612" t="str">
        <f t="shared" si="679"/>
        <v>2100L</v>
      </c>
      <c r="Q4612" t="str">
        <f t="shared" si="676"/>
        <v>0101</v>
      </c>
      <c r="R4612">
        <v>2100</v>
      </c>
      <c r="S4612" t="str">
        <f t="shared" si="678"/>
        <v>7120</v>
      </c>
      <c r="T4612" t="s">
        <v>3834</v>
      </c>
      <c r="U4612" t="s">
        <v>98</v>
      </c>
    </row>
    <row r="4613" spans="1:21" ht="15" customHeight="1" x14ac:dyDescent="0.3">
      <c r="A4613" t="s">
        <v>179</v>
      </c>
      <c r="B4613" t="str">
        <f>"00062503"</f>
        <v>00062503</v>
      </c>
      <c r="C4613" t="s">
        <v>4255</v>
      </c>
      <c r="D4613" t="s">
        <v>4030</v>
      </c>
      <c r="E4613" t="str">
        <f>"00065926"</f>
        <v>00065926</v>
      </c>
      <c r="F4613">
        <v>0</v>
      </c>
      <c r="G4613" s="243">
        <v>40755</v>
      </c>
      <c r="H4613" t="s">
        <v>182</v>
      </c>
      <c r="I4613">
        <v>15</v>
      </c>
      <c r="J4613">
        <v>2</v>
      </c>
      <c r="K4613">
        <v>1</v>
      </c>
      <c r="L4613">
        <v>51716</v>
      </c>
      <c r="M4613" t="str">
        <f t="shared" si="680"/>
        <v>13</v>
      </c>
      <c r="N4613" t="s">
        <v>3323</v>
      </c>
      <c r="O4613" t="str">
        <f t="shared" si="677"/>
        <v>71211</v>
      </c>
      <c r="P4613" t="str">
        <f t="shared" si="679"/>
        <v>2100L</v>
      </c>
      <c r="Q4613" t="str">
        <f t="shared" si="676"/>
        <v>0101</v>
      </c>
      <c r="R4613">
        <v>2100</v>
      </c>
      <c r="S4613" t="str">
        <f t="shared" si="678"/>
        <v>7120</v>
      </c>
      <c r="T4613" t="s">
        <v>3834</v>
      </c>
      <c r="U4613" t="s">
        <v>98</v>
      </c>
    </row>
    <row r="4614" spans="1:21" ht="15" customHeight="1" x14ac:dyDescent="0.3">
      <c r="A4614" t="s">
        <v>179</v>
      </c>
      <c r="B4614" t="str">
        <f>"00062693"</f>
        <v>00062693</v>
      </c>
      <c r="C4614" t="s">
        <v>200</v>
      </c>
      <c r="D4614" t="s">
        <v>4012</v>
      </c>
      <c r="E4614" t="str">
        <f>"00033744"</f>
        <v>00033744</v>
      </c>
      <c r="F4614">
        <v>0</v>
      </c>
      <c r="G4614" s="243">
        <v>40756</v>
      </c>
      <c r="H4614" t="s">
        <v>182</v>
      </c>
      <c r="I4614">
        <v>15</v>
      </c>
      <c r="J4614">
        <v>7</v>
      </c>
      <c r="K4614">
        <v>1</v>
      </c>
      <c r="L4614">
        <v>69132</v>
      </c>
      <c r="M4614" t="str">
        <f t="shared" si="680"/>
        <v>13</v>
      </c>
      <c r="N4614" t="s">
        <v>3323</v>
      </c>
      <c r="O4614" t="str">
        <f t="shared" si="677"/>
        <v>71211</v>
      </c>
      <c r="P4614" t="str">
        <f t="shared" si="679"/>
        <v>2100L</v>
      </c>
      <c r="Q4614" t="str">
        <f t="shared" si="676"/>
        <v>0101</v>
      </c>
      <c r="R4614">
        <v>2100</v>
      </c>
      <c r="S4614" t="str">
        <f t="shared" si="678"/>
        <v>7120</v>
      </c>
      <c r="T4614" t="s">
        <v>3834</v>
      </c>
      <c r="U4614" t="s">
        <v>98</v>
      </c>
    </row>
    <row r="4615" spans="1:21" ht="15" customHeight="1" x14ac:dyDescent="0.3">
      <c r="A4615" t="s">
        <v>179</v>
      </c>
      <c r="B4615" t="str">
        <f>"00062771"</f>
        <v>00062771</v>
      </c>
      <c r="C4615" t="s">
        <v>4395</v>
      </c>
      <c r="D4615" t="s">
        <v>287</v>
      </c>
      <c r="E4615" t="str">
        <f>"00023360"</f>
        <v>00023360</v>
      </c>
      <c r="F4615">
        <v>3</v>
      </c>
      <c r="G4615" s="243">
        <v>39738</v>
      </c>
      <c r="H4615" t="s">
        <v>182</v>
      </c>
      <c r="I4615">
        <v>10</v>
      </c>
      <c r="J4615">
        <v>9</v>
      </c>
      <c r="K4615">
        <v>1</v>
      </c>
      <c r="L4615">
        <v>84226</v>
      </c>
      <c r="M4615" t="str">
        <f t="shared" si="680"/>
        <v>13</v>
      </c>
      <c r="N4615" t="s">
        <v>3323</v>
      </c>
      <c r="O4615" t="str">
        <f t="shared" si="677"/>
        <v>71211</v>
      </c>
      <c r="P4615" t="str">
        <f>"1502L"</f>
        <v>1502L</v>
      </c>
      <c r="Q4615" t="str">
        <f t="shared" si="676"/>
        <v>0101</v>
      </c>
      <c r="R4615">
        <v>1502</v>
      </c>
      <c r="S4615" t="str">
        <f t="shared" si="678"/>
        <v>7120</v>
      </c>
      <c r="T4615" t="s">
        <v>3834</v>
      </c>
      <c r="U4615" t="s">
        <v>98</v>
      </c>
    </row>
    <row r="4616" spans="1:21" ht="15" customHeight="1" x14ac:dyDescent="0.3">
      <c r="A4616" t="s">
        <v>179</v>
      </c>
      <c r="B4616" t="str">
        <f>"00062893"</f>
        <v>00062893</v>
      </c>
      <c r="C4616" t="s">
        <v>3670</v>
      </c>
      <c r="D4616" t="s">
        <v>288</v>
      </c>
      <c r="E4616" t="str">
        <f>"00044512"</f>
        <v>00044512</v>
      </c>
      <c r="F4616">
        <v>0</v>
      </c>
      <c r="G4616" s="243">
        <v>39790</v>
      </c>
      <c r="H4616" t="s">
        <v>182</v>
      </c>
      <c r="I4616">
        <v>8</v>
      </c>
      <c r="J4616">
        <v>6</v>
      </c>
      <c r="K4616">
        <v>1</v>
      </c>
      <c r="L4616">
        <v>94825</v>
      </c>
      <c r="M4616" t="str">
        <f t="shared" si="680"/>
        <v>13</v>
      </c>
      <c r="N4616" t="s">
        <v>3323</v>
      </c>
      <c r="O4616" t="str">
        <f t="shared" si="677"/>
        <v>71211</v>
      </c>
      <c r="P4616" t="str">
        <f>"2100L"</f>
        <v>2100L</v>
      </c>
      <c r="Q4616" t="str">
        <f t="shared" si="676"/>
        <v>0101</v>
      </c>
      <c r="R4616">
        <v>2100</v>
      </c>
      <c r="S4616" t="str">
        <f t="shared" si="678"/>
        <v>7120</v>
      </c>
      <c r="T4616" t="s">
        <v>3834</v>
      </c>
      <c r="U4616" t="s">
        <v>98</v>
      </c>
    </row>
    <row r="4617" spans="1:21" ht="15" customHeight="1" x14ac:dyDescent="0.3">
      <c r="A4617" t="s">
        <v>179</v>
      </c>
      <c r="B4617" t="str">
        <f>"00062990"</f>
        <v>00062990</v>
      </c>
      <c r="C4617" t="s">
        <v>4290</v>
      </c>
      <c r="D4617" t="s">
        <v>5700</v>
      </c>
      <c r="E4617" t="str">
        <f>"00052233"</f>
        <v>00052233</v>
      </c>
      <c r="F4617">
        <v>0</v>
      </c>
      <c r="G4617" s="243">
        <v>39821</v>
      </c>
      <c r="H4617" t="s">
        <v>182</v>
      </c>
      <c r="I4617">
        <v>4</v>
      </c>
      <c r="J4617">
        <v>5</v>
      </c>
      <c r="K4617">
        <v>0.875</v>
      </c>
      <c r="L4617">
        <v>25239.37</v>
      </c>
      <c r="M4617" t="str">
        <f t="shared" si="680"/>
        <v>13</v>
      </c>
      <c r="N4617" t="s">
        <v>3323</v>
      </c>
      <c r="O4617" t="str">
        <f t="shared" si="677"/>
        <v>71211</v>
      </c>
      <c r="P4617" t="str">
        <f>"2100L"</f>
        <v>2100L</v>
      </c>
      <c r="Q4617" t="str">
        <f t="shared" si="676"/>
        <v>0101</v>
      </c>
      <c r="R4617">
        <v>2100</v>
      </c>
      <c r="S4617" t="str">
        <f t="shared" si="678"/>
        <v>7120</v>
      </c>
      <c r="T4617" t="s">
        <v>3834</v>
      </c>
      <c r="U4617" t="s">
        <v>98</v>
      </c>
    </row>
    <row r="4618" spans="1:21" ht="15" customHeight="1" x14ac:dyDescent="0.3">
      <c r="A4618" t="s">
        <v>179</v>
      </c>
      <c r="B4618" t="str">
        <f>"00066005"</f>
        <v>00066005</v>
      </c>
      <c r="C4618" t="s">
        <v>4258</v>
      </c>
      <c r="D4618" t="s">
        <v>289</v>
      </c>
      <c r="E4618" t="str">
        <f>"00058738"</f>
        <v>00058738</v>
      </c>
      <c r="F4618">
        <v>0</v>
      </c>
      <c r="G4618" s="243">
        <v>40112</v>
      </c>
      <c r="H4618" t="s">
        <v>182</v>
      </c>
      <c r="I4618">
        <v>15</v>
      </c>
      <c r="J4618">
        <v>3</v>
      </c>
      <c r="K4618">
        <v>1</v>
      </c>
      <c r="L4618">
        <v>58699</v>
      </c>
      <c r="M4618" t="str">
        <f t="shared" si="680"/>
        <v>13</v>
      </c>
      <c r="N4618" t="s">
        <v>3323</v>
      </c>
      <c r="O4618" t="str">
        <f t="shared" si="677"/>
        <v>71211</v>
      </c>
      <c r="P4618" t="str">
        <f>"2100L"</f>
        <v>2100L</v>
      </c>
      <c r="Q4618" t="str">
        <f t="shared" si="676"/>
        <v>0101</v>
      </c>
      <c r="R4618">
        <v>2100</v>
      </c>
      <c r="S4618" t="str">
        <f t="shared" si="678"/>
        <v>7120</v>
      </c>
      <c r="T4618" t="s">
        <v>3834</v>
      </c>
      <c r="U4618" t="s">
        <v>98</v>
      </c>
    </row>
    <row r="4619" spans="1:21" ht="15" customHeight="1" x14ac:dyDescent="0.3">
      <c r="A4619" t="s">
        <v>179</v>
      </c>
      <c r="B4619" t="str">
        <f>"00066717"</f>
        <v>00066717</v>
      </c>
      <c r="C4619" t="s">
        <v>4253</v>
      </c>
      <c r="D4619" t="s">
        <v>4018</v>
      </c>
      <c r="E4619" t="str">
        <f>"00065956"</f>
        <v>00065956</v>
      </c>
      <c r="F4619">
        <v>0</v>
      </c>
      <c r="G4619" s="243">
        <v>40755</v>
      </c>
      <c r="H4619" t="s">
        <v>182</v>
      </c>
      <c r="I4619">
        <v>15</v>
      </c>
      <c r="J4619">
        <v>1</v>
      </c>
      <c r="K4619">
        <v>1</v>
      </c>
      <c r="L4619">
        <v>51539</v>
      </c>
      <c r="M4619" t="str">
        <f t="shared" si="680"/>
        <v>13</v>
      </c>
      <c r="N4619" t="s">
        <v>3323</v>
      </c>
      <c r="O4619" t="str">
        <f t="shared" si="677"/>
        <v>71211</v>
      </c>
      <c r="P4619" t="str">
        <f t="shared" ref="P4619:P4625" si="681">"2100L"</f>
        <v>2100L</v>
      </c>
      <c r="Q4619" t="str">
        <f t="shared" si="676"/>
        <v>0101</v>
      </c>
      <c r="R4619">
        <v>2100</v>
      </c>
      <c r="S4619" t="str">
        <f t="shared" si="678"/>
        <v>7120</v>
      </c>
      <c r="T4619" t="s">
        <v>3834</v>
      </c>
      <c r="U4619" t="s">
        <v>98</v>
      </c>
    </row>
    <row r="4620" spans="1:21" ht="15" customHeight="1" x14ac:dyDescent="0.3">
      <c r="A4620" t="s">
        <v>179</v>
      </c>
      <c r="B4620" t="str">
        <f>"00066719"</f>
        <v>00066719</v>
      </c>
      <c r="C4620" t="s">
        <v>4258</v>
      </c>
      <c r="D4620" t="s">
        <v>5701</v>
      </c>
      <c r="E4620" t="str">
        <f>"00069816"</f>
        <v>00069816</v>
      </c>
      <c r="F4620">
        <v>0</v>
      </c>
      <c r="G4620" s="243">
        <v>41133</v>
      </c>
      <c r="H4620" t="s">
        <v>182</v>
      </c>
      <c r="I4620">
        <v>15</v>
      </c>
      <c r="J4620">
        <v>1</v>
      </c>
      <c r="K4620">
        <v>1</v>
      </c>
      <c r="L4620">
        <v>54975</v>
      </c>
      <c r="M4620" t="str">
        <f t="shared" si="680"/>
        <v>13</v>
      </c>
      <c r="N4620" t="s">
        <v>3370</v>
      </c>
      <c r="O4620" t="str">
        <f t="shared" si="677"/>
        <v>71211</v>
      </c>
      <c r="P4620" t="str">
        <f t="shared" si="681"/>
        <v>2100L</v>
      </c>
      <c r="Q4620" t="str">
        <f t="shared" si="676"/>
        <v>0101</v>
      </c>
      <c r="R4620">
        <v>2100</v>
      </c>
      <c r="S4620" t="str">
        <f t="shared" si="678"/>
        <v>7120</v>
      </c>
      <c r="T4620" t="s">
        <v>3834</v>
      </c>
      <c r="U4620" t="s">
        <v>98</v>
      </c>
    </row>
    <row r="4621" spans="1:21" ht="15" customHeight="1" x14ac:dyDescent="0.3">
      <c r="A4621" t="s">
        <v>179</v>
      </c>
      <c r="B4621" t="str">
        <f>"00066721"</f>
        <v>00066721</v>
      </c>
      <c r="C4621" t="s">
        <v>4253</v>
      </c>
      <c r="D4621" t="s">
        <v>4019</v>
      </c>
      <c r="E4621" t="str">
        <f>"00065990"</f>
        <v>00065990</v>
      </c>
      <c r="F4621">
        <v>0</v>
      </c>
      <c r="G4621" s="243">
        <v>40755</v>
      </c>
      <c r="H4621" t="s">
        <v>182</v>
      </c>
      <c r="I4621">
        <v>15</v>
      </c>
      <c r="J4621">
        <v>2</v>
      </c>
      <c r="K4621">
        <v>1</v>
      </c>
      <c r="L4621">
        <v>51716</v>
      </c>
      <c r="M4621" t="str">
        <f t="shared" si="680"/>
        <v>13</v>
      </c>
      <c r="N4621" t="s">
        <v>3323</v>
      </c>
      <c r="O4621" t="str">
        <f t="shared" si="677"/>
        <v>71211</v>
      </c>
      <c r="P4621" t="str">
        <f t="shared" si="681"/>
        <v>2100L</v>
      </c>
      <c r="Q4621" t="str">
        <f t="shared" si="676"/>
        <v>0101</v>
      </c>
      <c r="R4621">
        <v>2100</v>
      </c>
      <c r="S4621" t="str">
        <f t="shared" si="678"/>
        <v>7120</v>
      </c>
      <c r="T4621" t="s">
        <v>3834</v>
      </c>
      <c r="U4621" t="s">
        <v>98</v>
      </c>
    </row>
    <row r="4622" spans="1:21" ht="15" customHeight="1" x14ac:dyDescent="0.3">
      <c r="A4622" t="s">
        <v>179</v>
      </c>
      <c r="B4622" t="str">
        <f>"00066722"</f>
        <v>00066722</v>
      </c>
      <c r="C4622" t="s">
        <v>4253</v>
      </c>
      <c r="D4622" t="s">
        <v>4020</v>
      </c>
      <c r="E4622" t="str">
        <f>"00066156"</f>
        <v>00066156</v>
      </c>
      <c r="F4622">
        <v>0</v>
      </c>
      <c r="G4622" s="243">
        <v>40755</v>
      </c>
      <c r="H4622" t="s">
        <v>182</v>
      </c>
      <c r="I4622">
        <v>15</v>
      </c>
      <c r="J4622">
        <v>2</v>
      </c>
      <c r="K4622">
        <v>1</v>
      </c>
      <c r="L4622">
        <v>51716</v>
      </c>
      <c r="M4622" t="str">
        <f t="shared" si="680"/>
        <v>13</v>
      </c>
      <c r="N4622" t="s">
        <v>3323</v>
      </c>
      <c r="O4622" t="str">
        <f t="shared" si="677"/>
        <v>71211</v>
      </c>
      <c r="P4622" t="str">
        <f t="shared" si="681"/>
        <v>2100L</v>
      </c>
      <c r="Q4622" t="str">
        <f t="shared" si="676"/>
        <v>0101</v>
      </c>
      <c r="R4622">
        <v>2100</v>
      </c>
      <c r="S4622" t="str">
        <f t="shared" si="678"/>
        <v>7120</v>
      </c>
      <c r="T4622" t="s">
        <v>3834</v>
      </c>
      <c r="U4622" t="s">
        <v>98</v>
      </c>
    </row>
    <row r="4623" spans="1:21" ht="15" customHeight="1" x14ac:dyDescent="0.3">
      <c r="A4623" t="s">
        <v>179</v>
      </c>
      <c r="B4623" t="str">
        <f>"00066726"</f>
        <v>00066726</v>
      </c>
      <c r="C4623" t="s">
        <v>4260</v>
      </c>
      <c r="D4623" t="s">
        <v>290</v>
      </c>
      <c r="E4623" t="str">
        <f>"00057433"</f>
        <v>00057433</v>
      </c>
      <c r="F4623">
        <v>0</v>
      </c>
      <c r="G4623" s="243">
        <v>41133</v>
      </c>
      <c r="H4623" t="s">
        <v>182</v>
      </c>
      <c r="I4623">
        <v>15</v>
      </c>
      <c r="J4623">
        <v>12</v>
      </c>
      <c r="K4623">
        <v>1</v>
      </c>
      <c r="L4623">
        <v>87431</v>
      </c>
      <c r="M4623" t="str">
        <f t="shared" si="680"/>
        <v>13</v>
      </c>
      <c r="N4623" t="s">
        <v>3323</v>
      </c>
      <c r="O4623" t="str">
        <f t="shared" si="677"/>
        <v>71211</v>
      </c>
      <c r="P4623" t="str">
        <f t="shared" si="681"/>
        <v>2100L</v>
      </c>
      <c r="Q4623" t="str">
        <f t="shared" si="676"/>
        <v>0101</v>
      </c>
      <c r="R4623">
        <v>2100</v>
      </c>
      <c r="S4623" t="str">
        <f t="shared" si="678"/>
        <v>7120</v>
      </c>
      <c r="T4623" t="s">
        <v>3834</v>
      </c>
      <c r="U4623" t="s">
        <v>98</v>
      </c>
    </row>
    <row r="4624" spans="1:21" ht="15" customHeight="1" x14ac:dyDescent="0.3">
      <c r="A4624" t="s">
        <v>179</v>
      </c>
      <c r="B4624" t="str">
        <f>"00066726"</f>
        <v>00066726</v>
      </c>
      <c r="C4624" t="s">
        <v>4260</v>
      </c>
      <c r="D4624" t="s">
        <v>5702</v>
      </c>
      <c r="E4624" t="str">
        <f>"00065498"</f>
        <v>00065498</v>
      </c>
      <c r="F4624">
        <v>0</v>
      </c>
      <c r="G4624" s="243">
        <v>41133</v>
      </c>
      <c r="H4624" t="s">
        <v>182</v>
      </c>
      <c r="I4624">
        <v>15</v>
      </c>
      <c r="J4624">
        <v>1</v>
      </c>
      <c r="K4624">
        <v>1</v>
      </c>
      <c r="L4624">
        <v>54975</v>
      </c>
      <c r="M4624" t="str">
        <f t="shared" si="680"/>
        <v>13</v>
      </c>
      <c r="N4624" t="s">
        <v>3370</v>
      </c>
      <c r="O4624" t="str">
        <f t="shared" si="677"/>
        <v>71211</v>
      </c>
      <c r="P4624" t="str">
        <f t="shared" si="681"/>
        <v>2100L</v>
      </c>
      <c r="Q4624" t="str">
        <f t="shared" si="676"/>
        <v>0101</v>
      </c>
      <c r="R4624">
        <v>2100</v>
      </c>
      <c r="S4624" t="str">
        <f t="shared" si="678"/>
        <v>7120</v>
      </c>
      <c r="T4624" t="s">
        <v>3834</v>
      </c>
      <c r="U4624" t="s">
        <v>98</v>
      </c>
    </row>
    <row r="4625" spans="1:21" ht="15" customHeight="1" x14ac:dyDescent="0.3">
      <c r="A4625" t="s">
        <v>179</v>
      </c>
      <c r="B4625" t="str">
        <f>"00066934"</f>
        <v>00066934</v>
      </c>
      <c r="C4625" t="s">
        <v>4263</v>
      </c>
      <c r="D4625" t="s">
        <v>311</v>
      </c>
      <c r="E4625" t="str">
        <f>"00057704"</f>
        <v>00057704</v>
      </c>
      <c r="F4625">
        <v>0</v>
      </c>
      <c r="G4625" s="243">
        <v>40414</v>
      </c>
      <c r="H4625" t="s">
        <v>182</v>
      </c>
      <c r="I4625">
        <v>15</v>
      </c>
      <c r="J4625">
        <v>12</v>
      </c>
      <c r="K4625">
        <v>1</v>
      </c>
      <c r="L4625">
        <v>87431</v>
      </c>
      <c r="M4625" t="str">
        <f t="shared" si="680"/>
        <v>13</v>
      </c>
      <c r="N4625" t="s">
        <v>3323</v>
      </c>
      <c r="O4625" t="str">
        <f t="shared" si="677"/>
        <v>71211</v>
      </c>
      <c r="P4625" t="str">
        <f t="shared" si="681"/>
        <v>2100L</v>
      </c>
      <c r="Q4625" t="str">
        <f t="shared" si="676"/>
        <v>0101</v>
      </c>
      <c r="R4625">
        <v>2100</v>
      </c>
      <c r="S4625" t="str">
        <f t="shared" si="678"/>
        <v>7120</v>
      </c>
      <c r="T4625" t="s">
        <v>3834</v>
      </c>
      <c r="U4625" t="s">
        <v>98</v>
      </c>
    </row>
    <row r="4626" spans="1:21" ht="15" customHeight="1" x14ac:dyDescent="0.3">
      <c r="A4626" t="s">
        <v>179</v>
      </c>
      <c r="B4626" t="str">
        <f>"00066978"</f>
        <v>00066978</v>
      </c>
      <c r="C4626" t="s">
        <v>4800</v>
      </c>
      <c r="H4626" t="s">
        <v>170</v>
      </c>
      <c r="I4626">
        <v>10</v>
      </c>
      <c r="J4626">
        <v>1</v>
      </c>
      <c r="K4626">
        <v>1</v>
      </c>
      <c r="L4626">
        <v>64547</v>
      </c>
      <c r="M4626" t="str">
        <f t="shared" si="680"/>
        <v>13</v>
      </c>
      <c r="N4626" t="s">
        <v>3323</v>
      </c>
      <c r="O4626" t="str">
        <f t="shared" si="677"/>
        <v>71211</v>
      </c>
      <c r="P4626" t="str">
        <f>"1502L"</f>
        <v>1502L</v>
      </c>
      <c r="Q4626" t="str">
        <f t="shared" si="676"/>
        <v>0101</v>
      </c>
      <c r="R4626">
        <v>1502</v>
      </c>
      <c r="S4626" t="str">
        <f t="shared" si="678"/>
        <v>7120</v>
      </c>
      <c r="T4626" t="s">
        <v>3834</v>
      </c>
      <c r="U4626" t="s">
        <v>98</v>
      </c>
    </row>
    <row r="4627" spans="1:21" ht="15" customHeight="1" x14ac:dyDescent="0.3">
      <c r="A4627" t="s">
        <v>179</v>
      </c>
      <c r="B4627" t="str">
        <f>"00067015"</f>
        <v>00067015</v>
      </c>
      <c r="C4627" t="s">
        <v>4518</v>
      </c>
      <c r="D4627" t="s">
        <v>5703</v>
      </c>
      <c r="E4627" t="str">
        <f>"00069993"</f>
        <v>00069993</v>
      </c>
      <c r="F4627">
        <v>0</v>
      </c>
      <c r="G4627" s="243">
        <v>41133</v>
      </c>
      <c r="H4627" t="s">
        <v>182</v>
      </c>
      <c r="I4627">
        <v>10</v>
      </c>
      <c r="J4627">
        <v>7</v>
      </c>
      <c r="K4627">
        <v>1</v>
      </c>
      <c r="L4627">
        <v>77822</v>
      </c>
      <c r="M4627" t="str">
        <f t="shared" si="680"/>
        <v>13</v>
      </c>
      <c r="N4627" t="s">
        <v>3323</v>
      </c>
      <c r="O4627" t="str">
        <f t="shared" si="677"/>
        <v>71211</v>
      </c>
      <c r="P4627" t="str">
        <f>"2100L"</f>
        <v>2100L</v>
      </c>
      <c r="Q4627" t="str">
        <f t="shared" si="676"/>
        <v>0101</v>
      </c>
      <c r="R4627">
        <v>2100</v>
      </c>
      <c r="S4627" t="str">
        <f t="shared" si="678"/>
        <v>7120</v>
      </c>
      <c r="T4627" t="s">
        <v>3834</v>
      </c>
      <c r="U4627" t="s">
        <v>98</v>
      </c>
    </row>
    <row r="4628" spans="1:21" ht="15" customHeight="1" x14ac:dyDescent="0.3">
      <c r="A4628" t="s">
        <v>179</v>
      </c>
      <c r="B4628" t="str">
        <f>"00067412"</f>
        <v>00067412</v>
      </c>
      <c r="C4628" t="s">
        <v>4614</v>
      </c>
      <c r="H4628" t="s">
        <v>170</v>
      </c>
      <c r="I4628">
        <v>7</v>
      </c>
      <c r="J4628">
        <v>1</v>
      </c>
      <c r="K4628">
        <v>1</v>
      </c>
      <c r="L4628">
        <v>34871</v>
      </c>
      <c r="M4628" t="str">
        <f t="shared" si="680"/>
        <v>13</v>
      </c>
      <c r="N4628" t="s">
        <v>3323</v>
      </c>
      <c r="O4628" t="str">
        <f t="shared" si="677"/>
        <v>71211</v>
      </c>
      <c r="P4628" t="str">
        <f>"1502L"</f>
        <v>1502L</v>
      </c>
      <c r="Q4628" t="str">
        <f t="shared" ref="Q4628:Q4654" si="682">"0101"</f>
        <v>0101</v>
      </c>
      <c r="R4628">
        <v>1502</v>
      </c>
      <c r="S4628" t="str">
        <f t="shared" si="678"/>
        <v>7120</v>
      </c>
      <c r="T4628" t="s">
        <v>3834</v>
      </c>
      <c r="U4628" t="s">
        <v>98</v>
      </c>
    </row>
    <row r="4629" spans="1:21" ht="15" customHeight="1" x14ac:dyDescent="0.3">
      <c r="A4629" t="s">
        <v>179</v>
      </c>
      <c r="B4629" t="str">
        <f>"00067547"</f>
        <v>00067547</v>
      </c>
      <c r="C4629" t="s">
        <v>4253</v>
      </c>
      <c r="D4629" t="s">
        <v>291</v>
      </c>
      <c r="E4629" t="str">
        <f>"00058751"</f>
        <v>00058751</v>
      </c>
      <c r="F4629">
        <v>0</v>
      </c>
      <c r="G4629" s="243">
        <v>40153</v>
      </c>
      <c r="H4629" t="s">
        <v>182</v>
      </c>
      <c r="I4629">
        <v>15</v>
      </c>
      <c r="J4629">
        <v>4</v>
      </c>
      <c r="K4629">
        <v>1</v>
      </c>
      <c r="L4629">
        <v>54725</v>
      </c>
      <c r="M4629" t="str">
        <f t="shared" si="680"/>
        <v>13</v>
      </c>
      <c r="N4629" t="s">
        <v>3323</v>
      </c>
      <c r="O4629" t="str">
        <f t="shared" ref="O4629:O4654" si="683">"71211"</f>
        <v>71211</v>
      </c>
      <c r="P4629" t="str">
        <f t="shared" ref="P4629:P4640" si="684">"2100L"</f>
        <v>2100L</v>
      </c>
      <c r="Q4629" t="str">
        <f t="shared" si="682"/>
        <v>0101</v>
      </c>
      <c r="R4629">
        <v>2100</v>
      </c>
      <c r="S4629" t="str">
        <f t="shared" ref="S4629:S4654" si="685">"7120"</f>
        <v>7120</v>
      </c>
      <c r="T4629" t="s">
        <v>3834</v>
      </c>
      <c r="U4629" t="s">
        <v>98</v>
      </c>
    </row>
    <row r="4630" spans="1:21" ht="15" customHeight="1" x14ac:dyDescent="0.3">
      <c r="A4630" t="s">
        <v>179</v>
      </c>
      <c r="B4630" t="str">
        <f>"00067639"</f>
        <v>00067639</v>
      </c>
      <c r="C4630" t="s">
        <v>4260</v>
      </c>
      <c r="D4630" t="s">
        <v>306</v>
      </c>
      <c r="E4630" t="str">
        <f>"00063179"</f>
        <v>00063179</v>
      </c>
      <c r="F4630">
        <v>0</v>
      </c>
      <c r="G4630" s="243">
        <v>40421</v>
      </c>
      <c r="H4630" t="s">
        <v>182</v>
      </c>
      <c r="I4630">
        <v>15</v>
      </c>
      <c r="J4630">
        <v>11</v>
      </c>
      <c r="K4630">
        <v>1</v>
      </c>
      <c r="L4630">
        <v>81335</v>
      </c>
      <c r="M4630" t="str">
        <f t="shared" si="680"/>
        <v>13</v>
      </c>
      <c r="N4630" t="s">
        <v>3323</v>
      </c>
      <c r="O4630" t="str">
        <f t="shared" si="683"/>
        <v>71211</v>
      </c>
      <c r="P4630" t="str">
        <f t="shared" si="684"/>
        <v>2100L</v>
      </c>
      <c r="Q4630" t="str">
        <f t="shared" si="682"/>
        <v>0101</v>
      </c>
      <c r="R4630">
        <v>2100</v>
      </c>
      <c r="S4630" t="str">
        <f t="shared" si="685"/>
        <v>7120</v>
      </c>
      <c r="T4630" t="s">
        <v>3834</v>
      </c>
      <c r="U4630" t="s">
        <v>98</v>
      </c>
    </row>
    <row r="4631" spans="1:21" ht="15" customHeight="1" x14ac:dyDescent="0.3">
      <c r="A4631" t="s">
        <v>179</v>
      </c>
      <c r="B4631" t="str">
        <f>"00067640"</f>
        <v>00067640</v>
      </c>
      <c r="C4631" t="s">
        <v>4260</v>
      </c>
      <c r="D4631" t="s">
        <v>5704</v>
      </c>
      <c r="E4631" t="str">
        <f>"00069772"</f>
        <v>00069772</v>
      </c>
      <c r="F4631">
        <v>0</v>
      </c>
      <c r="G4631" s="243">
        <v>41133</v>
      </c>
      <c r="H4631" t="s">
        <v>182</v>
      </c>
      <c r="I4631">
        <v>15</v>
      </c>
      <c r="J4631">
        <v>1</v>
      </c>
      <c r="K4631">
        <v>1</v>
      </c>
      <c r="L4631">
        <v>54975</v>
      </c>
      <c r="M4631" t="str">
        <f t="shared" si="680"/>
        <v>13</v>
      </c>
      <c r="N4631" t="s">
        <v>3370</v>
      </c>
      <c r="O4631" t="str">
        <f t="shared" si="683"/>
        <v>71211</v>
      </c>
      <c r="P4631" t="str">
        <f t="shared" si="684"/>
        <v>2100L</v>
      </c>
      <c r="Q4631" t="str">
        <f t="shared" si="682"/>
        <v>0101</v>
      </c>
      <c r="R4631">
        <v>2100</v>
      </c>
      <c r="S4631" t="str">
        <f t="shared" si="685"/>
        <v>7120</v>
      </c>
      <c r="T4631" t="s">
        <v>3834</v>
      </c>
      <c r="U4631" t="s">
        <v>98</v>
      </c>
    </row>
    <row r="4632" spans="1:21" ht="15" customHeight="1" x14ac:dyDescent="0.3">
      <c r="A4632" t="s">
        <v>179</v>
      </c>
      <c r="B4632" t="str">
        <f>"00067908"</f>
        <v>00067908</v>
      </c>
      <c r="C4632" t="s">
        <v>4253</v>
      </c>
      <c r="D4632" t="s">
        <v>294</v>
      </c>
      <c r="E4632" t="str">
        <f>"00046013"</f>
        <v>00046013</v>
      </c>
      <c r="F4632">
        <v>0</v>
      </c>
      <c r="G4632" s="243">
        <v>40042</v>
      </c>
      <c r="H4632" t="s">
        <v>182</v>
      </c>
      <c r="I4632">
        <v>15</v>
      </c>
      <c r="J4632">
        <v>11</v>
      </c>
      <c r="K4632">
        <v>1</v>
      </c>
      <c r="L4632">
        <v>81335</v>
      </c>
      <c r="M4632" t="str">
        <f t="shared" si="680"/>
        <v>13</v>
      </c>
      <c r="N4632" t="s">
        <v>3323</v>
      </c>
      <c r="O4632" t="str">
        <f t="shared" si="683"/>
        <v>71211</v>
      </c>
      <c r="P4632" t="str">
        <f t="shared" si="684"/>
        <v>2100L</v>
      </c>
      <c r="Q4632" t="str">
        <f t="shared" si="682"/>
        <v>0101</v>
      </c>
      <c r="R4632">
        <v>2100</v>
      </c>
      <c r="S4632" t="str">
        <f t="shared" si="685"/>
        <v>7120</v>
      </c>
      <c r="T4632" t="s">
        <v>3834</v>
      </c>
      <c r="U4632" t="s">
        <v>98</v>
      </c>
    </row>
    <row r="4633" spans="1:21" ht="15" customHeight="1" x14ac:dyDescent="0.3">
      <c r="A4633" t="s">
        <v>179</v>
      </c>
      <c r="B4633" t="str">
        <f>"00067978"</f>
        <v>00067978</v>
      </c>
      <c r="C4633" t="s">
        <v>4260</v>
      </c>
      <c r="D4633" t="s">
        <v>295</v>
      </c>
      <c r="E4633" t="str">
        <f>"00062755"</f>
        <v>00062755</v>
      </c>
      <c r="F4633">
        <v>0</v>
      </c>
      <c r="G4633" s="243">
        <v>40406</v>
      </c>
      <c r="H4633" t="s">
        <v>182</v>
      </c>
      <c r="I4633">
        <v>15</v>
      </c>
      <c r="J4633">
        <v>3</v>
      </c>
      <c r="K4633">
        <v>1</v>
      </c>
      <c r="L4633">
        <v>52777</v>
      </c>
      <c r="M4633" t="str">
        <f t="shared" si="680"/>
        <v>13</v>
      </c>
      <c r="N4633" t="s">
        <v>3323</v>
      </c>
      <c r="O4633" t="str">
        <f t="shared" si="683"/>
        <v>71211</v>
      </c>
      <c r="P4633" t="str">
        <f t="shared" si="684"/>
        <v>2100L</v>
      </c>
      <c r="Q4633" t="str">
        <f t="shared" si="682"/>
        <v>0101</v>
      </c>
      <c r="R4633">
        <v>2100</v>
      </c>
      <c r="S4633" t="str">
        <f t="shared" si="685"/>
        <v>7120</v>
      </c>
      <c r="T4633" t="s">
        <v>3834</v>
      </c>
      <c r="U4633" t="s">
        <v>98</v>
      </c>
    </row>
    <row r="4634" spans="1:21" ht="15" customHeight="1" x14ac:dyDescent="0.3">
      <c r="A4634" t="s">
        <v>179</v>
      </c>
      <c r="B4634" t="str">
        <f>"00067987"</f>
        <v>00067987</v>
      </c>
      <c r="C4634" t="s">
        <v>4395</v>
      </c>
      <c r="D4634" t="s">
        <v>297</v>
      </c>
      <c r="E4634" t="str">
        <f>"00057884"</f>
        <v>00057884</v>
      </c>
      <c r="F4634">
        <v>0</v>
      </c>
      <c r="G4634" s="243">
        <v>40049</v>
      </c>
      <c r="H4634" t="s">
        <v>182</v>
      </c>
      <c r="I4634">
        <v>10</v>
      </c>
      <c r="J4634">
        <v>8</v>
      </c>
      <c r="K4634">
        <v>1</v>
      </c>
      <c r="L4634">
        <v>80981</v>
      </c>
      <c r="M4634" t="str">
        <f t="shared" si="680"/>
        <v>13</v>
      </c>
      <c r="N4634" t="s">
        <v>3323</v>
      </c>
      <c r="O4634" t="str">
        <f t="shared" si="683"/>
        <v>71211</v>
      </c>
      <c r="P4634" t="str">
        <f t="shared" si="684"/>
        <v>2100L</v>
      </c>
      <c r="Q4634" t="str">
        <f t="shared" si="682"/>
        <v>0101</v>
      </c>
      <c r="R4634">
        <v>2100</v>
      </c>
      <c r="S4634" t="str">
        <f t="shared" si="685"/>
        <v>7120</v>
      </c>
      <c r="T4634" t="s">
        <v>3834</v>
      </c>
      <c r="U4634" t="s">
        <v>98</v>
      </c>
    </row>
    <row r="4635" spans="1:21" ht="15" customHeight="1" x14ac:dyDescent="0.3">
      <c r="A4635" t="s">
        <v>179</v>
      </c>
      <c r="B4635" t="str">
        <f>"00067988"</f>
        <v>00067988</v>
      </c>
      <c r="C4635" t="s">
        <v>4800</v>
      </c>
      <c r="D4635" t="s">
        <v>283</v>
      </c>
      <c r="E4635" t="str">
        <f>"00050141"</f>
        <v>00050141</v>
      </c>
      <c r="F4635">
        <v>0</v>
      </c>
      <c r="G4635" s="243">
        <v>39679</v>
      </c>
      <c r="H4635" t="s">
        <v>182</v>
      </c>
      <c r="I4635">
        <v>10</v>
      </c>
      <c r="J4635">
        <v>5</v>
      </c>
      <c r="K4635">
        <v>1</v>
      </c>
      <c r="L4635">
        <v>72387</v>
      </c>
      <c r="M4635" t="str">
        <f t="shared" si="680"/>
        <v>13</v>
      </c>
      <c r="N4635" t="s">
        <v>3323</v>
      </c>
      <c r="O4635" t="str">
        <f t="shared" si="683"/>
        <v>71211</v>
      </c>
      <c r="P4635" t="str">
        <f t="shared" si="684"/>
        <v>2100L</v>
      </c>
      <c r="Q4635" t="str">
        <f t="shared" si="682"/>
        <v>0101</v>
      </c>
      <c r="R4635">
        <v>2100</v>
      </c>
      <c r="S4635" t="str">
        <f t="shared" si="685"/>
        <v>7120</v>
      </c>
      <c r="T4635" t="s">
        <v>3834</v>
      </c>
      <c r="U4635" t="s">
        <v>98</v>
      </c>
    </row>
    <row r="4636" spans="1:21" ht="15" customHeight="1" x14ac:dyDescent="0.3">
      <c r="A4636" t="s">
        <v>179</v>
      </c>
      <c r="B4636" t="str">
        <f>"00070722"</f>
        <v>00070722</v>
      </c>
      <c r="C4636" t="s">
        <v>4253</v>
      </c>
      <c r="H4636" t="s">
        <v>170</v>
      </c>
      <c r="I4636">
        <v>15</v>
      </c>
      <c r="J4636">
        <v>1</v>
      </c>
      <c r="K4636">
        <v>1</v>
      </c>
      <c r="L4636">
        <v>54975</v>
      </c>
      <c r="M4636" t="str">
        <f t="shared" si="680"/>
        <v>13</v>
      </c>
      <c r="N4636" t="s">
        <v>3370</v>
      </c>
      <c r="O4636" t="str">
        <f t="shared" si="683"/>
        <v>71211</v>
      </c>
      <c r="P4636" t="str">
        <f t="shared" si="684"/>
        <v>2100L</v>
      </c>
      <c r="Q4636" t="str">
        <f t="shared" si="682"/>
        <v>0101</v>
      </c>
      <c r="R4636">
        <v>2100</v>
      </c>
      <c r="S4636" t="str">
        <f t="shared" si="685"/>
        <v>7120</v>
      </c>
      <c r="T4636" t="s">
        <v>3834</v>
      </c>
      <c r="U4636" t="s">
        <v>98</v>
      </c>
    </row>
    <row r="4637" spans="1:21" ht="15" customHeight="1" x14ac:dyDescent="0.3">
      <c r="A4637" t="s">
        <v>179</v>
      </c>
      <c r="B4637" t="str">
        <f>"00072255"</f>
        <v>00072255</v>
      </c>
      <c r="C4637" t="s">
        <v>4260</v>
      </c>
      <c r="D4637" t="s">
        <v>298</v>
      </c>
      <c r="E4637" t="str">
        <f>"00062493"</f>
        <v>00062493</v>
      </c>
      <c r="F4637">
        <v>0</v>
      </c>
      <c r="G4637" s="243">
        <v>40406</v>
      </c>
      <c r="H4637" t="s">
        <v>182</v>
      </c>
      <c r="I4637">
        <v>15</v>
      </c>
      <c r="J4637">
        <v>3</v>
      </c>
      <c r="K4637">
        <v>1</v>
      </c>
      <c r="L4637">
        <v>52777</v>
      </c>
      <c r="M4637" t="str">
        <f t="shared" si="680"/>
        <v>13</v>
      </c>
      <c r="N4637" t="s">
        <v>3323</v>
      </c>
      <c r="O4637" t="str">
        <f t="shared" si="683"/>
        <v>71211</v>
      </c>
      <c r="P4637" t="str">
        <f t="shared" si="684"/>
        <v>2100L</v>
      </c>
      <c r="Q4637" t="str">
        <f t="shared" si="682"/>
        <v>0101</v>
      </c>
      <c r="R4637">
        <v>2100</v>
      </c>
      <c r="S4637" t="str">
        <f t="shared" si="685"/>
        <v>7120</v>
      </c>
      <c r="T4637" t="s">
        <v>3834</v>
      </c>
      <c r="U4637" t="s">
        <v>98</v>
      </c>
    </row>
    <row r="4638" spans="1:21" ht="15" customHeight="1" x14ac:dyDescent="0.3">
      <c r="A4638" t="s">
        <v>179</v>
      </c>
      <c r="B4638" t="str">
        <f>"00072256"</f>
        <v>00072256</v>
      </c>
      <c r="C4638" t="s">
        <v>4253</v>
      </c>
      <c r="D4638" t="s">
        <v>299</v>
      </c>
      <c r="E4638" t="str">
        <f>"00062579"</f>
        <v>00062579</v>
      </c>
      <c r="F4638">
        <v>0</v>
      </c>
      <c r="G4638" s="243">
        <v>40406</v>
      </c>
      <c r="H4638" t="s">
        <v>182</v>
      </c>
      <c r="I4638">
        <v>15</v>
      </c>
      <c r="J4638">
        <v>3</v>
      </c>
      <c r="K4638">
        <v>1</v>
      </c>
      <c r="L4638">
        <v>55210</v>
      </c>
      <c r="M4638" t="str">
        <f t="shared" si="680"/>
        <v>13</v>
      </c>
      <c r="N4638" t="s">
        <v>3323</v>
      </c>
      <c r="O4638" t="str">
        <f t="shared" si="683"/>
        <v>71211</v>
      </c>
      <c r="P4638" t="str">
        <f t="shared" si="684"/>
        <v>2100L</v>
      </c>
      <c r="Q4638" t="str">
        <f t="shared" si="682"/>
        <v>0101</v>
      </c>
      <c r="R4638">
        <v>2100</v>
      </c>
      <c r="S4638" t="str">
        <f t="shared" si="685"/>
        <v>7120</v>
      </c>
      <c r="T4638" t="s">
        <v>3834</v>
      </c>
      <c r="U4638" t="s">
        <v>98</v>
      </c>
    </row>
    <row r="4639" spans="1:21" ht="15" customHeight="1" x14ac:dyDescent="0.3">
      <c r="A4639" t="s">
        <v>179</v>
      </c>
      <c r="B4639" t="str">
        <f>"00072257"</f>
        <v>00072257</v>
      </c>
      <c r="C4639" t="s">
        <v>4253</v>
      </c>
      <c r="D4639" t="s">
        <v>300</v>
      </c>
      <c r="E4639" t="str">
        <f>"00062498"</f>
        <v>00062498</v>
      </c>
      <c r="F4639">
        <v>0</v>
      </c>
      <c r="G4639" s="243">
        <v>40406</v>
      </c>
      <c r="H4639" t="s">
        <v>182</v>
      </c>
      <c r="I4639">
        <v>15</v>
      </c>
      <c r="J4639">
        <v>2</v>
      </c>
      <c r="K4639">
        <v>1</v>
      </c>
      <c r="L4639">
        <v>51716</v>
      </c>
      <c r="M4639" t="str">
        <f t="shared" si="680"/>
        <v>13</v>
      </c>
      <c r="N4639" t="s">
        <v>3323</v>
      </c>
      <c r="O4639" t="str">
        <f t="shared" si="683"/>
        <v>71211</v>
      </c>
      <c r="P4639" t="str">
        <f t="shared" si="684"/>
        <v>2100L</v>
      </c>
      <c r="Q4639" t="str">
        <f t="shared" si="682"/>
        <v>0101</v>
      </c>
      <c r="R4639">
        <v>2100</v>
      </c>
      <c r="S4639" t="str">
        <f t="shared" si="685"/>
        <v>7120</v>
      </c>
      <c r="T4639" t="s">
        <v>3834</v>
      </c>
      <c r="U4639" t="s">
        <v>98</v>
      </c>
    </row>
    <row r="4640" spans="1:21" ht="15" customHeight="1" x14ac:dyDescent="0.3">
      <c r="A4640" t="s">
        <v>179</v>
      </c>
      <c r="B4640" t="str">
        <f>"00072258"</f>
        <v>00072258</v>
      </c>
      <c r="C4640" t="s">
        <v>4253</v>
      </c>
      <c r="D4640" t="s">
        <v>5705</v>
      </c>
      <c r="E4640" t="str">
        <f>"00069832"</f>
        <v>00069832</v>
      </c>
      <c r="F4640">
        <v>0</v>
      </c>
      <c r="G4640" s="243">
        <v>41133</v>
      </c>
      <c r="H4640" t="s">
        <v>182</v>
      </c>
      <c r="I4640">
        <v>15</v>
      </c>
      <c r="J4640">
        <v>4</v>
      </c>
      <c r="K4640">
        <v>1</v>
      </c>
      <c r="L4640">
        <v>61158</v>
      </c>
      <c r="M4640" t="str">
        <f t="shared" si="680"/>
        <v>13</v>
      </c>
      <c r="N4640" t="s">
        <v>3323</v>
      </c>
      <c r="O4640" t="str">
        <f t="shared" si="683"/>
        <v>71211</v>
      </c>
      <c r="P4640" t="str">
        <f t="shared" si="684"/>
        <v>2100L</v>
      </c>
      <c r="Q4640" t="str">
        <f t="shared" si="682"/>
        <v>0101</v>
      </c>
      <c r="R4640">
        <v>2100</v>
      </c>
      <c r="S4640" t="str">
        <f t="shared" si="685"/>
        <v>7120</v>
      </c>
      <c r="T4640" t="s">
        <v>3834</v>
      </c>
      <c r="U4640" t="s">
        <v>98</v>
      </c>
    </row>
    <row r="4641" spans="1:21" ht="15" customHeight="1" x14ac:dyDescent="0.3">
      <c r="A4641" t="s">
        <v>179</v>
      </c>
      <c r="B4641" t="str">
        <f>"00072260"</f>
        <v>00072260</v>
      </c>
      <c r="C4641" t="s">
        <v>4260</v>
      </c>
      <c r="H4641" t="s">
        <v>170</v>
      </c>
      <c r="I4641">
        <v>15</v>
      </c>
      <c r="J4641">
        <v>1</v>
      </c>
      <c r="K4641">
        <v>1</v>
      </c>
      <c r="L4641">
        <v>51539</v>
      </c>
      <c r="M4641" t="str">
        <f t="shared" si="680"/>
        <v>13</v>
      </c>
      <c r="N4641" t="s">
        <v>3323</v>
      </c>
      <c r="O4641" t="str">
        <f t="shared" si="683"/>
        <v>71211</v>
      </c>
      <c r="P4641" t="str">
        <f t="shared" ref="P4641:P4649" si="686">"2100L"</f>
        <v>2100L</v>
      </c>
      <c r="Q4641" t="str">
        <f t="shared" si="682"/>
        <v>0101</v>
      </c>
      <c r="R4641">
        <v>2100</v>
      </c>
      <c r="S4641" t="str">
        <f t="shared" si="685"/>
        <v>7120</v>
      </c>
      <c r="T4641" t="s">
        <v>3834</v>
      </c>
      <c r="U4641" t="s">
        <v>98</v>
      </c>
    </row>
    <row r="4642" spans="1:21" ht="15" customHeight="1" x14ac:dyDescent="0.3">
      <c r="A4642" t="s">
        <v>179</v>
      </c>
      <c r="B4642" t="str">
        <f>"00072261"</f>
        <v>00072261</v>
      </c>
      <c r="C4642" t="s">
        <v>4254</v>
      </c>
      <c r="D4642" t="s">
        <v>301</v>
      </c>
      <c r="E4642" t="str">
        <f>"00046897"</f>
        <v>00046897</v>
      </c>
      <c r="F4642">
        <v>0</v>
      </c>
      <c r="G4642" s="243">
        <v>39679</v>
      </c>
      <c r="H4642" t="s">
        <v>182</v>
      </c>
      <c r="I4642">
        <v>15</v>
      </c>
      <c r="J4642">
        <v>5</v>
      </c>
      <c r="K4642">
        <v>1</v>
      </c>
      <c r="L4642">
        <v>59087</v>
      </c>
      <c r="M4642" t="str">
        <f t="shared" si="680"/>
        <v>13</v>
      </c>
      <c r="N4642" t="s">
        <v>3323</v>
      </c>
      <c r="O4642" t="str">
        <f t="shared" si="683"/>
        <v>71211</v>
      </c>
      <c r="P4642" t="str">
        <f t="shared" si="686"/>
        <v>2100L</v>
      </c>
      <c r="Q4642" t="str">
        <f t="shared" si="682"/>
        <v>0101</v>
      </c>
      <c r="R4642">
        <v>2100</v>
      </c>
      <c r="S4642" t="str">
        <f t="shared" si="685"/>
        <v>7120</v>
      </c>
      <c r="T4642" t="s">
        <v>3834</v>
      </c>
      <c r="U4642" t="s">
        <v>98</v>
      </c>
    </row>
    <row r="4643" spans="1:21" ht="15" customHeight="1" x14ac:dyDescent="0.3">
      <c r="A4643" t="s">
        <v>179</v>
      </c>
      <c r="B4643" t="str">
        <f>"00072262"</f>
        <v>00072262</v>
      </c>
      <c r="C4643" t="s">
        <v>4253</v>
      </c>
      <c r="H4643" t="s">
        <v>170</v>
      </c>
      <c r="I4643">
        <v>15</v>
      </c>
      <c r="J4643">
        <v>1</v>
      </c>
      <c r="K4643">
        <v>1</v>
      </c>
      <c r="L4643">
        <v>54975</v>
      </c>
      <c r="M4643" t="str">
        <f t="shared" si="680"/>
        <v>13</v>
      </c>
      <c r="N4643" t="s">
        <v>3323</v>
      </c>
      <c r="O4643" t="str">
        <f t="shared" si="683"/>
        <v>71211</v>
      </c>
      <c r="P4643" t="str">
        <f t="shared" si="686"/>
        <v>2100L</v>
      </c>
      <c r="Q4643" t="str">
        <f t="shared" si="682"/>
        <v>0101</v>
      </c>
      <c r="R4643">
        <v>2100</v>
      </c>
      <c r="S4643" t="str">
        <f t="shared" si="685"/>
        <v>7120</v>
      </c>
      <c r="T4643" t="s">
        <v>3834</v>
      </c>
      <c r="U4643" t="s">
        <v>98</v>
      </c>
    </row>
    <row r="4644" spans="1:21" ht="15" customHeight="1" x14ac:dyDescent="0.3">
      <c r="A4644" t="s">
        <v>179</v>
      </c>
      <c r="B4644" t="str">
        <f>"00072288"</f>
        <v>00072288</v>
      </c>
      <c r="C4644" t="s">
        <v>4261</v>
      </c>
      <c r="D4644" t="s">
        <v>302</v>
      </c>
      <c r="E4644" t="str">
        <f>"00061113"</f>
        <v>00061113</v>
      </c>
      <c r="F4644">
        <v>0</v>
      </c>
      <c r="G4644" s="243">
        <v>40406</v>
      </c>
      <c r="H4644" t="s">
        <v>182</v>
      </c>
      <c r="I4644">
        <v>15</v>
      </c>
      <c r="J4644">
        <v>3</v>
      </c>
      <c r="K4644">
        <v>1</v>
      </c>
      <c r="L4644">
        <v>64569</v>
      </c>
      <c r="M4644" t="str">
        <f t="shared" si="680"/>
        <v>13</v>
      </c>
      <c r="N4644" t="s">
        <v>3323</v>
      </c>
      <c r="O4644" t="str">
        <f t="shared" si="683"/>
        <v>71211</v>
      </c>
      <c r="P4644" t="str">
        <f t="shared" si="686"/>
        <v>2100L</v>
      </c>
      <c r="Q4644" t="str">
        <f t="shared" si="682"/>
        <v>0101</v>
      </c>
      <c r="R4644">
        <v>2100</v>
      </c>
      <c r="S4644" t="str">
        <f t="shared" si="685"/>
        <v>7120</v>
      </c>
      <c r="T4644" t="s">
        <v>3834</v>
      </c>
      <c r="U4644" t="s">
        <v>98</v>
      </c>
    </row>
    <row r="4645" spans="1:21" ht="15" customHeight="1" x14ac:dyDescent="0.3">
      <c r="A4645" t="s">
        <v>179</v>
      </c>
      <c r="B4645" t="str">
        <f>"00072289"</f>
        <v>00072289</v>
      </c>
      <c r="C4645" t="s">
        <v>4253</v>
      </c>
      <c r="D4645" t="s">
        <v>303</v>
      </c>
      <c r="E4645" t="str">
        <f>"00046606"</f>
        <v>00046606</v>
      </c>
      <c r="F4645">
        <v>0</v>
      </c>
      <c r="G4645" s="243">
        <v>40406</v>
      </c>
      <c r="H4645" t="s">
        <v>182</v>
      </c>
      <c r="I4645">
        <v>15</v>
      </c>
      <c r="J4645">
        <v>7</v>
      </c>
      <c r="K4645">
        <v>1</v>
      </c>
      <c r="L4645">
        <v>69132</v>
      </c>
      <c r="M4645" t="str">
        <f t="shared" si="680"/>
        <v>13</v>
      </c>
      <c r="N4645" t="s">
        <v>3323</v>
      </c>
      <c r="O4645" t="str">
        <f t="shared" si="683"/>
        <v>71211</v>
      </c>
      <c r="P4645" t="str">
        <f t="shared" si="686"/>
        <v>2100L</v>
      </c>
      <c r="Q4645" t="str">
        <f t="shared" si="682"/>
        <v>0101</v>
      </c>
      <c r="R4645">
        <v>2100</v>
      </c>
      <c r="S4645" t="str">
        <f t="shared" si="685"/>
        <v>7120</v>
      </c>
      <c r="T4645" t="s">
        <v>3834</v>
      </c>
      <c r="U4645" t="s">
        <v>98</v>
      </c>
    </row>
    <row r="4646" spans="1:21" ht="15" customHeight="1" x14ac:dyDescent="0.3">
      <c r="A4646" t="s">
        <v>179</v>
      </c>
      <c r="B4646" t="str">
        <f>"00072290"</f>
        <v>00072290</v>
      </c>
      <c r="C4646" t="s">
        <v>4258</v>
      </c>
      <c r="D4646" t="s">
        <v>1816</v>
      </c>
      <c r="E4646" t="str">
        <f>"00046232"</f>
        <v>00046232</v>
      </c>
      <c r="F4646">
        <v>0</v>
      </c>
      <c r="G4646" s="243">
        <v>41133</v>
      </c>
      <c r="H4646" t="s">
        <v>182</v>
      </c>
      <c r="I4646">
        <v>15</v>
      </c>
      <c r="J4646">
        <v>15</v>
      </c>
      <c r="K4646">
        <v>1</v>
      </c>
      <c r="L4646">
        <v>100792</v>
      </c>
      <c r="M4646" t="str">
        <f t="shared" si="680"/>
        <v>13</v>
      </c>
      <c r="N4646" t="s">
        <v>3370</v>
      </c>
      <c r="O4646" t="str">
        <f t="shared" si="683"/>
        <v>71211</v>
      </c>
      <c r="P4646" t="str">
        <f t="shared" si="686"/>
        <v>2100L</v>
      </c>
      <c r="Q4646" t="str">
        <f t="shared" si="682"/>
        <v>0101</v>
      </c>
      <c r="R4646">
        <v>2100</v>
      </c>
      <c r="S4646" t="str">
        <f t="shared" si="685"/>
        <v>7120</v>
      </c>
      <c r="T4646" t="s">
        <v>3834</v>
      </c>
      <c r="U4646" t="s">
        <v>98</v>
      </c>
    </row>
    <row r="4647" spans="1:21" ht="15" customHeight="1" x14ac:dyDescent="0.3">
      <c r="A4647" t="s">
        <v>179</v>
      </c>
      <c r="B4647" t="str">
        <f>"00072373"</f>
        <v>00072373</v>
      </c>
      <c r="C4647" t="s">
        <v>4253</v>
      </c>
      <c r="D4647" t="s">
        <v>5706</v>
      </c>
      <c r="E4647" t="str">
        <f>"00069683"</f>
        <v>00069683</v>
      </c>
      <c r="F4647">
        <v>0</v>
      </c>
      <c r="G4647" s="243">
        <v>41133</v>
      </c>
      <c r="H4647" t="s">
        <v>182</v>
      </c>
      <c r="I4647">
        <v>15</v>
      </c>
      <c r="J4647">
        <v>1</v>
      </c>
      <c r="K4647">
        <v>1</v>
      </c>
      <c r="L4647">
        <v>51539</v>
      </c>
      <c r="M4647" t="str">
        <f t="shared" si="680"/>
        <v>13</v>
      </c>
      <c r="N4647" t="s">
        <v>3370</v>
      </c>
      <c r="O4647" t="str">
        <f t="shared" si="683"/>
        <v>71211</v>
      </c>
      <c r="P4647" t="str">
        <f t="shared" si="686"/>
        <v>2100L</v>
      </c>
      <c r="Q4647" t="str">
        <f t="shared" si="682"/>
        <v>0101</v>
      </c>
      <c r="R4647">
        <v>2100</v>
      </c>
      <c r="S4647" t="str">
        <f t="shared" si="685"/>
        <v>7120</v>
      </c>
      <c r="T4647" t="s">
        <v>3834</v>
      </c>
      <c r="U4647" t="s">
        <v>98</v>
      </c>
    </row>
    <row r="4648" spans="1:21" ht="15" customHeight="1" x14ac:dyDescent="0.3">
      <c r="A4648" t="s">
        <v>179</v>
      </c>
      <c r="B4648" t="str">
        <f>"00072374"</f>
        <v>00072374</v>
      </c>
      <c r="C4648" t="s">
        <v>4260</v>
      </c>
      <c r="D4648" t="s">
        <v>304</v>
      </c>
      <c r="E4648" t="str">
        <f>"00063013"</f>
        <v>00063013</v>
      </c>
      <c r="F4648">
        <v>0</v>
      </c>
      <c r="G4648" s="243">
        <v>40406</v>
      </c>
      <c r="H4648" t="s">
        <v>182</v>
      </c>
      <c r="I4648">
        <v>15</v>
      </c>
      <c r="J4648">
        <v>3</v>
      </c>
      <c r="K4648">
        <v>1</v>
      </c>
      <c r="L4648">
        <v>55210</v>
      </c>
      <c r="M4648" t="str">
        <f t="shared" si="680"/>
        <v>13</v>
      </c>
      <c r="N4648" t="s">
        <v>3323</v>
      </c>
      <c r="O4648" t="str">
        <f t="shared" si="683"/>
        <v>71211</v>
      </c>
      <c r="P4648" t="str">
        <f t="shared" si="686"/>
        <v>2100L</v>
      </c>
      <c r="Q4648" t="str">
        <f t="shared" si="682"/>
        <v>0101</v>
      </c>
      <c r="R4648">
        <v>2100</v>
      </c>
      <c r="S4648" t="str">
        <f t="shared" si="685"/>
        <v>7120</v>
      </c>
      <c r="T4648" t="s">
        <v>3834</v>
      </c>
      <c r="U4648" t="s">
        <v>98</v>
      </c>
    </row>
    <row r="4649" spans="1:21" ht="15" customHeight="1" x14ac:dyDescent="0.3">
      <c r="A4649" t="s">
        <v>179</v>
      </c>
      <c r="B4649" t="str">
        <f>"00072393"</f>
        <v>00072393</v>
      </c>
      <c r="C4649" t="s">
        <v>4253</v>
      </c>
      <c r="D4649" t="s">
        <v>305</v>
      </c>
      <c r="E4649" t="str">
        <f>"00062803"</f>
        <v>00062803</v>
      </c>
      <c r="F4649">
        <v>0</v>
      </c>
      <c r="G4649" s="243">
        <v>40406</v>
      </c>
      <c r="H4649" t="s">
        <v>182</v>
      </c>
      <c r="I4649">
        <v>15</v>
      </c>
      <c r="J4649">
        <v>6</v>
      </c>
      <c r="K4649">
        <v>1</v>
      </c>
      <c r="L4649">
        <v>68537</v>
      </c>
      <c r="M4649" t="str">
        <f t="shared" si="680"/>
        <v>13</v>
      </c>
      <c r="N4649" t="s">
        <v>3323</v>
      </c>
      <c r="O4649" t="str">
        <f t="shared" si="683"/>
        <v>71211</v>
      </c>
      <c r="P4649" t="str">
        <f t="shared" si="686"/>
        <v>2100L</v>
      </c>
      <c r="Q4649" t="str">
        <f t="shared" si="682"/>
        <v>0101</v>
      </c>
      <c r="R4649">
        <v>2100</v>
      </c>
      <c r="S4649" t="str">
        <f t="shared" si="685"/>
        <v>7120</v>
      </c>
      <c r="T4649" t="s">
        <v>3834</v>
      </c>
      <c r="U4649" t="s">
        <v>98</v>
      </c>
    </row>
    <row r="4650" spans="1:21" ht="15" customHeight="1" x14ac:dyDescent="0.3">
      <c r="A4650" t="s">
        <v>179</v>
      </c>
      <c r="B4650" t="str">
        <f>"00072442"</f>
        <v>00072442</v>
      </c>
      <c r="C4650" t="s">
        <v>5707</v>
      </c>
      <c r="D4650" t="s">
        <v>5708</v>
      </c>
      <c r="E4650" t="str">
        <f>"00057121"</f>
        <v>00057121</v>
      </c>
      <c r="F4650">
        <v>0</v>
      </c>
      <c r="G4650" s="243">
        <v>41175</v>
      </c>
      <c r="H4650" t="s">
        <v>182</v>
      </c>
      <c r="I4650">
        <v>4</v>
      </c>
      <c r="J4650">
        <v>10</v>
      </c>
      <c r="K4650">
        <v>0.71</v>
      </c>
      <c r="L4650">
        <v>28721</v>
      </c>
      <c r="M4650" t="str">
        <f t="shared" si="680"/>
        <v>13</v>
      </c>
      <c r="N4650" t="s">
        <v>3323</v>
      </c>
      <c r="O4650" t="str">
        <f t="shared" si="683"/>
        <v>71211</v>
      </c>
      <c r="P4650" t="str">
        <f>"3030L"</f>
        <v>3030L</v>
      </c>
      <c r="Q4650" t="str">
        <f t="shared" si="682"/>
        <v>0101</v>
      </c>
      <c r="R4650">
        <v>3030</v>
      </c>
      <c r="S4650" t="str">
        <f t="shared" si="685"/>
        <v>7120</v>
      </c>
      <c r="T4650" t="s">
        <v>3834</v>
      </c>
      <c r="U4650" t="s">
        <v>98</v>
      </c>
    </row>
    <row r="4651" spans="1:21" ht="15" customHeight="1" x14ac:dyDescent="0.3">
      <c r="A4651" t="s">
        <v>179</v>
      </c>
      <c r="B4651" t="str">
        <f>"00072543"</f>
        <v>00072543</v>
      </c>
      <c r="C4651" t="s">
        <v>4410</v>
      </c>
      <c r="D4651" t="s">
        <v>4007</v>
      </c>
      <c r="E4651" t="str">
        <f>"00064539"</f>
        <v>00064539</v>
      </c>
      <c r="F4651">
        <v>0</v>
      </c>
      <c r="G4651" s="243">
        <v>40575</v>
      </c>
      <c r="H4651" t="s">
        <v>182</v>
      </c>
      <c r="I4651">
        <v>5</v>
      </c>
      <c r="J4651">
        <v>5</v>
      </c>
      <c r="K4651">
        <v>1</v>
      </c>
      <c r="L4651">
        <v>32070</v>
      </c>
      <c r="M4651" t="str">
        <f t="shared" si="680"/>
        <v>13</v>
      </c>
      <c r="N4651" t="s">
        <v>3323</v>
      </c>
      <c r="O4651" t="str">
        <f t="shared" si="683"/>
        <v>71211</v>
      </c>
      <c r="P4651" t="str">
        <f>"2100L"</f>
        <v>2100L</v>
      </c>
      <c r="Q4651" t="str">
        <f t="shared" si="682"/>
        <v>0101</v>
      </c>
      <c r="R4651">
        <v>2100</v>
      </c>
      <c r="S4651" t="str">
        <f t="shared" si="685"/>
        <v>7120</v>
      </c>
      <c r="T4651" t="s">
        <v>3834</v>
      </c>
      <c r="U4651" t="s">
        <v>98</v>
      </c>
    </row>
    <row r="4652" spans="1:21" ht="15" customHeight="1" x14ac:dyDescent="0.3">
      <c r="A4652" t="s">
        <v>179</v>
      </c>
      <c r="B4652" t="str">
        <f>"00072544"</f>
        <v>00072544</v>
      </c>
      <c r="C4652" t="s">
        <v>4410</v>
      </c>
      <c r="H4652" t="s">
        <v>170</v>
      </c>
      <c r="I4652">
        <v>5</v>
      </c>
      <c r="J4652">
        <v>1</v>
      </c>
      <c r="K4652">
        <v>1</v>
      </c>
      <c r="L4652">
        <v>28486</v>
      </c>
      <c r="M4652" t="str">
        <f t="shared" si="680"/>
        <v>13</v>
      </c>
      <c r="N4652" t="s">
        <v>3323</v>
      </c>
      <c r="O4652" t="str">
        <f t="shared" si="683"/>
        <v>71211</v>
      </c>
      <c r="P4652" t="str">
        <f>"2100L"</f>
        <v>2100L</v>
      </c>
      <c r="Q4652" t="str">
        <f t="shared" si="682"/>
        <v>0101</v>
      </c>
      <c r="R4652">
        <v>2100</v>
      </c>
      <c r="S4652" t="str">
        <f t="shared" si="685"/>
        <v>7120</v>
      </c>
      <c r="T4652" t="s">
        <v>3834</v>
      </c>
      <c r="U4652" t="s">
        <v>98</v>
      </c>
    </row>
    <row r="4653" spans="1:21" ht="15" customHeight="1" x14ac:dyDescent="0.3">
      <c r="A4653" t="s">
        <v>179</v>
      </c>
      <c r="B4653" t="str">
        <f>"00072545"</f>
        <v>00072545</v>
      </c>
      <c r="C4653" t="s">
        <v>4410</v>
      </c>
      <c r="H4653" t="s">
        <v>170</v>
      </c>
      <c r="I4653">
        <v>5</v>
      </c>
      <c r="J4653">
        <v>1</v>
      </c>
      <c r="K4653">
        <v>1</v>
      </c>
      <c r="L4653">
        <v>28486</v>
      </c>
      <c r="M4653" t="str">
        <f t="shared" si="680"/>
        <v>13</v>
      </c>
      <c r="N4653" t="s">
        <v>3323</v>
      </c>
      <c r="O4653" t="str">
        <f t="shared" si="683"/>
        <v>71211</v>
      </c>
      <c r="P4653" t="str">
        <f>"2100L"</f>
        <v>2100L</v>
      </c>
      <c r="Q4653" t="str">
        <f t="shared" si="682"/>
        <v>0101</v>
      </c>
      <c r="R4653">
        <v>2100</v>
      </c>
      <c r="S4653" t="str">
        <f t="shared" si="685"/>
        <v>7120</v>
      </c>
      <c r="T4653" t="s">
        <v>3834</v>
      </c>
      <c r="U4653" t="s">
        <v>98</v>
      </c>
    </row>
    <row r="4654" spans="1:21" ht="15" customHeight="1" x14ac:dyDescent="0.3">
      <c r="A4654" t="s">
        <v>179</v>
      </c>
      <c r="B4654" t="str">
        <f>"00072546"</f>
        <v>00072546</v>
      </c>
      <c r="C4654" t="s">
        <v>4372</v>
      </c>
      <c r="H4654" t="s">
        <v>170</v>
      </c>
      <c r="I4654">
        <v>4</v>
      </c>
      <c r="J4654">
        <v>1</v>
      </c>
      <c r="K4654">
        <v>1</v>
      </c>
      <c r="L4654">
        <v>25662</v>
      </c>
      <c r="M4654" t="str">
        <f t="shared" si="680"/>
        <v>13</v>
      </c>
      <c r="N4654" t="s">
        <v>3323</v>
      </c>
      <c r="O4654" t="str">
        <f t="shared" si="683"/>
        <v>71211</v>
      </c>
      <c r="P4654" t="str">
        <f>"2100L"</f>
        <v>2100L</v>
      </c>
      <c r="Q4654" t="str">
        <f t="shared" si="682"/>
        <v>0101</v>
      </c>
      <c r="R4654">
        <v>2100</v>
      </c>
      <c r="S4654" t="str">
        <f t="shared" si="685"/>
        <v>7120</v>
      </c>
      <c r="T4654" t="s">
        <v>3834</v>
      </c>
      <c r="U4654" t="s">
        <v>98</v>
      </c>
    </row>
    <row r="4655" spans="1:21" ht="15" customHeight="1" x14ac:dyDescent="0.3">
      <c r="A4655" t="s">
        <v>179</v>
      </c>
      <c r="B4655" t="str">
        <f>"00072584"</f>
        <v>00072584</v>
      </c>
      <c r="C4655" t="s">
        <v>4290</v>
      </c>
      <c r="D4655" t="s">
        <v>5709</v>
      </c>
      <c r="E4655" t="str">
        <f>"00058542"</f>
        <v>00058542</v>
      </c>
      <c r="F4655">
        <v>0</v>
      </c>
      <c r="G4655" s="243">
        <v>40072</v>
      </c>
      <c r="H4655" t="s">
        <v>182</v>
      </c>
      <c r="I4655">
        <v>4</v>
      </c>
      <c r="J4655">
        <v>10</v>
      </c>
      <c r="K4655">
        <v>0.71</v>
      </c>
      <c r="L4655">
        <v>28721</v>
      </c>
      <c r="M4655" t="str">
        <f t="shared" si="680"/>
        <v>13</v>
      </c>
      <c r="N4655" t="s">
        <v>3323</v>
      </c>
      <c r="O4655" t="str">
        <f t="shared" ref="O4655:O4675" si="687">"71211"</f>
        <v>71211</v>
      </c>
      <c r="P4655" t="str">
        <f t="shared" ref="P4655:P4667" si="688">"2100L"</f>
        <v>2100L</v>
      </c>
      <c r="Q4655" t="str">
        <f t="shared" ref="Q4655:Q4675" si="689">"0101"</f>
        <v>0101</v>
      </c>
      <c r="R4655">
        <v>2100</v>
      </c>
      <c r="S4655" t="str">
        <f t="shared" ref="S4655:S4683" si="690">"7120"</f>
        <v>7120</v>
      </c>
      <c r="T4655" t="s">
        <v>3834</v>
      </c>
      <c r="U4655" t="s">
        <v>98</v>
      </c>
    </row>
    <row r="4656" spans="1:21" ht="15" customHeight="1" x14ac:dyDescent="0.3">
      <c r="A4656" t="s">
        <v>179</v>
      </c>
      <c r="B4656" t="str">
        <f>"00072586"</f>
        <v>00072586</v>
      </c>
      <c r="C4656" t="s">
        <v>4290</v>
      </c>
      <c r="D4656" t="s">
        <v>5710</v>
      </c>
      <c r="E4656" t="str">
        <f>"00066990"</f>
        <v>00066990</v>
      </c>
      <c r="F4656">
        <v>0</v>
      </c>
      <c r="G4656" s="243">
        <v>40834</v>
      </c>
      <c r="H4656" t="s">
        <v>182</v>
      </c>
      <c r="I4656">
        <v>4</v>
      </c>
      <c r="J4656">
        <v>10</v>
      </c>
      <c r="K4656">
        <v>0.71</v>
      </c>
      <c r="L4656">
        <v>28721</v>
      </c>
      <c r="M4656" t="str">
        <f t="shared" si="680"/>
        <v>13</v>
      </c>
      <c r="N4656" t="s">
        <v>3323</v>
      </c>
      <c r="O4656" t="str">
        <f t="shared" si="687"/>
        <v>71211</v>
      </c>
      <c r="P4656" t="str">
        <f t="shared" si="688"/>
        <v>2100L</v>
      </c>
      <c r="Q4656" t="str">
        <f t="shared" si="689"/>
        <v>0101</v>
      </c>
      <c r="R4656">
        <v>2100</v>
      </c>
      <c r="S4656" t="str">
        <f t="shared" si="690"/>
        <v>7120</v>
      </c>
      <c r="T4656" t="s">
        <v>3834</v>
      </c>
      <c r="U4656" t="s">
        <v>98</v>
      </c>
    </row>
    <row r="4657" spans="1:21" ht="15" customHeight="1" x14ac:dyDescent="0.3">
      <c r="A4657" t="s">
        <v>179</v>
      </c>
      <c r="B4657" t="str">
        <f>"00072652"</f>
        <v>00072652</v>
      </c>
      <c r="C4657" t="s">
        <v>4367</v>
      </c>
      <c r="H4657" t="s">
        <v>170</v>
      </c>
      <c r="I4657">
        <v>9</v>
      </c>
      <c r="J4657">
        <v>0</v>
      </c>
      <c r="K4657">
        <v>1</v>
      </c>
      <c r="L4657">
        <v>36775</v>
      </c>
      <c r="M4657" t="str">
        <f t="shared" si="680"/>
        <v>13</v>
      </c>
      <c r="N4657" t="s">
        <v>3323</v>
      </c>
      <c r="O4657" t="str">
        <f t="shared" si="687"/>
        <v>71211</v>
      </c>
      <c r="P4657" t="str">
        <f t="shared" si="688"/>
        <v>2100L</v>
      </c>
      <c r="Q4657" t="str">
        <f t="shared" si="689"/>
        <v>0101</v>
      </c>
      <c r="R4657">
        <v>2100</v>
      </c>
      <c r="S4657" t="str">
        <f t="shared" si="690"/>
        <v>7120</v>
      </c>
      <c r="T4657" t="s">
        <v>3834</v>
      </c>
      <c r="U4657" t="s">
        <v>98</v>
      </c>
    </row>
    <row r="4658" spans="1:21" ht="15" customHeight="1" x14ac:dyDescent="0.3">
      <c r="A4658" t="s">
        <v>179</v>
      </c>
      <c r="B4658" t="str">
        <f>"00072667"</f>
        <v>00072667</v>
      </c>
      <c r="C4658" t="s">
        <v>4256</v>
      </c>
      <c r="D4658" t="s">
        <v>307</v>
      </c>
      <c r="E4658" t="str">
        <f>"00051515"</f>
        <v>00051515</v>
      </c>
      <c r="F4658">
        <v>0</v>
      </c>
      <c r="G4658" s="243">
        <v>31686</v>
      </c>
      <c r="H4658" t="s">
        <v>182</v>
      </c>
      <c r="I4658">
        <v>15</v>
      </c>
      <c r="J4658">
        <v>16</v>
      </c>
      <c r="K4658">
        <v>1</v>
      </c>
      <c r="L4658">
        <v>106540</v>
      </c>
      <c r="M4658" t="str">
        <f t="shared" si="680"/>
        <v>13</v>
      </c>
      <c r="N4658" t="s">
        <v>3323</v>
      </c>
      <c r="O4658" t="str">
        <f t="shared" si="687"/>
        <v>71211</v>
      </c>
      <c r="P4658" t="str">
        <f t="shared" si="688"/>
        <v>2100L</v>
      </c>
      <c r="Q4658" t="str">
        <f t="shared" si="689"/>
        <v>0101</v>
      </c>
      <c r="R4658">
        <v>2100</v>
      </c>
      <c r="S4658" t="str">
        <f t="shared" si="690"/>
        <v>7120</v>
      </c>
      <c r="T4658" t="s">
        <v>3834</v>
      </c>
      <c r="U4658" t="s">
        <v>98</v>
      </c>
    </row>
    <row r="4659" spans="1:21" ht="15" customHeight="1" x14ac:dyDescent="0.3">
      <c r="A4659" t="s">
        <v>179</v>
      </c>
      <c r="B4659" t="str">
        <f>"00072668"</f>
        <v>00072668</v>
      </c>
      <c r="C4659" t="s">
        <v>200</v>
      </c>
      <c r="D4659" t="s">
        <v>4013</v>
      </c>
      <c r="E4659" t="str">
        <f>"00033233"</f>
        <v>00033233</v>
      </c>
      <c r="F4659">
        <v>0</v>
      </c>
      <c r="G4659" s="243">
        <v>40497</v>
      </c>
      <c r="H4659" t="s">
        <v>182</v>
      </c>
      <c r="I4659">
        <v>15</v>
      </c>
      <c r="J4659">
        <v>12</v>
      </c>
      <c r="K4659">
        <v>1</v>
      </c>
      <c r="L4659">
        <v>87431</v>
      </c>
      <c r="M4659" t="str">
        <f t="shared" si="680"/>
        <v>13</v>
      </c>
      <c r="N4659" t="s">
        <v>3323</v>
      </c>
      <c r="O4659" t="str">
        <f t="shared" si="687"/>
        <v>71211</v>
      </c>
      <c r="P4659" t="str">
        <f t="shared" si="688"/>
        <v>2100L</v>
      </c>
      <c r="Q4659" t="str">
        <f t="shared" si="689"/>
        <v>0101</v>
      </c>
      <c r="R4659">
        <v>2100</v>
      </c>
      <c r="S4659" t="str">
        <f t="shared" si="690"/>
        <v>7120</v>
      </c>
      <c r="T4659" t="s">
        <v>3834</v>
      </c>
      <c r="U4659" t="s">
        <v>98</v>
      </c>
    </row>
    <row r="4660" spans="1:21" ht="15" customHeight="1" x14ac:dyDescent="0.3">
      <c r="A4660" t="s">
        <v>179</v>
      </c>
      <c r="B4660" t="str">
        <f>"00072669"</f>
        <v>00072669</v>
      </c>
      <c r="C4660" t="s">
        <v>4253</v>
      </c>
      <c r="H4660" t="s">
        <v>170</v>
      </c>
      <c r="I4660">
        <v>15</v>
      </c>
      <c r="J4660">
        <v>1</v>
      </c>
      <c r="K4660">
        <v>1</v>
      </c>
      <c r="L4660">
        <v>54975</v>
      </c>
      <c r="M4660" t="str">
        <f t="shared" si="680"/>
        <v>13</v>
      </c>
      <c r="N4660" t="s">
        <v>3323</v>
      </c>
      <c r="O4660" t="str">
        <f t="shared" si="687"/>
        <v>71211</v>
      </c>
      <c r="P4660" t="str">
        <f t="shared" si="688"/>
        <v>2100L</v>
      </c>
      <c r="Q4660" t="str">
        <f t="shared" si="689"/>
        <v>0101</v>
      </c>
      <c r="R4660">
        <v>2100</v>
      </c>
      <c r="S4660" t="str">
        <f t="shared" si="690"/>
        <v>7120</v>
      </c>
      <c r="T4660" t="s">
        <v>3834</v>
      </c>
      <c r="U4660" t="s">
        <v>98</v>
      </c>
    </row>
    <row r="4661" spans="1:21" ht="15" customHeight="1" x14ac:dyDescent="0.3">
      <c r="A4661" t="s">
        <v>179</v>
      </c>
      <c r="B4661" t="str">
        <f>"00072671"</f>
        <v>00072671</v>
      </c>
      <c r="C4661" t="s">
        <v>4253</v>
      </c>
      <c r="D4661" t="s">
        <v>308</v>
      </c>
      <c r="E4661" t="str">
        <f>"00047268"</f>
        <v>00047268</v>
      </c>
      <c r="F4661">
        <v>0</v>
      </c>
      <c r="G4661" s="243">
        <v>38226</v>
      </c>
      <c r="H4661" t="s">
        <v>182</v>
      </c>
      <c r="I4661">
        <v>15</v>
      </c>
      <c r="J4661">
        <v>9</v>
      </c>
      <c r="K4661">
        <v>1</v>
      </c>
      <c r="L4661">
        <v>77687</v>
      </c>
      <c r="M4661" t="str">
        <f t="shared" si="680"/>
        <v>13</v>
      </c>
      <c r="N4661" t="s">
        <v>3323</v>
      </c>
      <c r="O4661" t="str">
        <f t="shared" si="687"/>
        <v>71211</v>
      </c>
      <c r="P4661" t="str">
        <f t="shared" si="688"/>
        <v>2100L</v>
      </c>
      <c r="Q4661" t="str">
        <f t="shared" si="689"/>
        <v>0101</v>
      </c>
      <c r="R4661">
        <v>2100</v>
      </c>
      <c r="S4661" t="str">
        <f t="shared" si="690"/>
        <v>7120</v>
      </c>
      <c r="T4661" t="s">
        <v>3834</v>
      </c>
      <c r="U4661" t="s">
        <v>98</v>
      </c>
    </row>
    <row r="4662" spans="1:21" ht="15" customHeight="1" x14ac:dyDescent="0.3">
      <c r="A4662" t="s">
        <v>179</v>
      </c>
      <c r="B4662" t="str">
        <f>"00072672"</f>
        <v>00072672</v>
      </c>
      <c r="C4662" t="s">
        <v>4253</v>
      </c>
      <c r="D4662" t="s">
        <v>5711</v>
      </c>
      <c r="E4662" t="str">
        <f>"00069646"</f>
        <v>00069646</v>
      </c>
      <c r="F4662">
        <v>0</v>
      </c>
      <c r="G4662" s="243">
        <v>41133</v>
      </c>
      <c r="H4662" t="s">
        <v>182</v>
      </c>
      <c r="I4662">
        <v>15</v>
      </c>
      <c r="J4662">
        <v>1</v>
      </c>
      <c r="K4662">
        <v>1</v>
      </c>
      <c r="L4662">
        <v>51539</v>
      </c>
      <c r="M4662" t="str">
        <f t="shared" si="680"/>
        <v>13</v>
      </c>
      <c r="N4662" t="s">
        <v>3370</v>
      </c>
      <c r="O4662" t="str">
        <f t="shared" si="687"/>
        <v>71211</v>
      </c>
      <c r="P4662" t="str">
        <f t="shared" si="688"/>
        <v>2100L</v>
      </c>
      <c r="Q4662" t="str">
        <f t="shared" si="689"/>
        <v>0101</v>
      </c>
      <c r="R4662">
        <v>2100</v>
      </c>
      <c r="S4662" t="str">
        <f t="shared" si="690"/>
        <v>7120</v>
      </c>
      <c r="T4662" t="s">
        <v>3834</v>
      </c>
      <c r="U4662" t="s">
        <v>98</v>
      </c>
    </row>
    <row r="4663" spans="1:21" ht="15" customHeight="1" x14ac:dyDescent="0.3">
      <c r="A4663" t="s">
        <v>179</v>
      </c>
      <c r="B4663" t="str">
        <f>"00072673"</f>
        <v>00072673</v>
      </c>
      <c r="C4663" t="s">
        <v>4260</v>
      </c>
      <c r="H4663" t="s">
        <v>170</v>
      </c>
      <c r="I4663">
        <v>15</v>
      </c>
      <c r="J4663">
        <v>1</v>
      </c>
      <c r="K4663">
        <v>1</v>
      </c>
      <c r="L4663">
        <v>51539</v>
      </c>
      <c r="M4663" t="str">
        <f t="shared" si="680"/>
        <v>13</v>
      </c>
      <c r="N4663" t="s">
        <v>3370</v>
      </c>
      <c r="O4663" t="str">
        <f t="shared" si="687"/>
        <v>71211</v>
      </c>
      <c r="P4663" t="str">
        <f t="shared" si="688"/>
        <v>2100L</v>
      </c>
      <c r="Q4663" t="str">
        <f t="shared" si="689"/>
        <v>0101</v>
      </c>
      <c r="R4663">
        <v>2100</v>
      </c>
      <c r="S4663" t="str">
        <f t="shared" si="690"/>
        <v>7120</v>
      </c>
      <c r="T4663" t="s">
        <v>3834</v>
      </c>
      <c r="U4663" t="s">
        <v>98</v>
      </c>
    </row>
    <row r="4664" spans="1:21" ht="15" customHeight="1" x14ac:dyDescent="0.3">
      <c r="A4664" t="s">
        <v>179</v>
      </c>
      <c r="B4664" t="str">
        <f>"00072674"</f>
        <v>00072674</v>
      </c>
      <c r="C4664" t="s">
        <v>4254</v>
      </c>
      <c r="D4664" t="s">
        <v>309</v>
      </c>
      <c r="E4664" t="str">
        <f>"00055210"</f>
        <v>00055210</v>
      </c>
      <c r="F4664">
        <v>0</v>
      </c>
      <c r="G4664" s="243">
        <v>39820</v>
      </c>
      <c r="H4664" t="s">
        <v>182</v>
      </c>
      <c r="I4664">
        <v>15</v>
      </c>
      <c r="J4664">
        <v>6</v>
      </c>
      <c r="K4664">
        <v>1</v>
      </c>
      <c r="L4664">
        <v>66078</v>
      </c>
      <c r="M4664" t="str">
        <f t="shared" si="680"/>
        <v>13</v>
      </c>
      <c r="N4664" t="s">
        <v>3323</v>
      </c>
      <c r="O4664" t="str">
        <f t="shared" si="687"/>
        <v>71211</v>
      </c>
      <c r="P4664" t="str">
        <f t="shared" si="688"/>
        <v>2100L</v>
      </c>
      <c r="Q4664" t="str">
        <f t="shared" si="689"/>
        <v>0101</v>
      </c>
      <c r="R4664">
        <v>2100</v>
      </c>
      <c r="S4664" t="str">
        <f t="shared" si="690"/>
        <v>7120</v>
      </c>
      <c r="T4664" t="s">
        <v>3834</v>
      </c>
      <c r="U4664" t="s">
        <v>98</v>
      </c>
    </row>
    <row r="4665" spans="1:21" ht="15" customHeight="1" x14ac:dyDescent="0.3">
      <c r="A4665" t="s">
        <v>179</v>
      </c>
      <c r="B4665" t="str">
        <f>"00072675"</f>
        <v>00072675</v>
      </c>
      <c r="C4665" t="s">
        <v>4254</v>
      </c>
      <c r="D4665" t="s">
        <v>5712</v>
      </c>
      <c r="E4665" t="str">
        <f>"00070194"</f>
        <v>00070194</v>
      </c>
      <c r="F4665">
        <v>0</v>
      </c>
      <c r="G4665" s="243">
        <v>41158</v>
      </c>
      <c r="H4665" t="s">
        <v>182</v>
      </c>
      <c r="I4665">
        <v>15</v>
      </c>
      <c r="J4665">
        <v>1</v>
      </c>
      <c r="K4665">
        <v>1</v>
      </c>
      <c r="L4665">
        <v>51539</v>
      </c>
      <c r="M4665" t="str">
        <f t="shared" si="680"/>
        <v>13</v>
      </c>
      <c r="N4665" t="s">
        <v>3323</v>
      </c>
      <c r="O4665" t="str">
        <f t="shared" si="687"/>
        <v>71211</v>
      </c>
      <c r="P4665" t="str">
        <f t="shared" si="688"/>
        <v>2100L</v>
      </c>
      <c r="Q4665" t="str">
        <f t="shared" si="689"/>
        <v>0101</v>
      </c>
      <c r="R4665">
        <v>2100</v>
      </c>
      <c r="S4665" t="str">
        <f t="shared" si="690"/>
        <v>7120</v>
      </c>
      <c r="T4665" t="s">
        <v>3834</v>
      </c>
      <c r="U4665" t="s">
        <v>98</v>
      </c>
    </row>
    <row r="4666" spans="1:21" ht="15" customHeight="1" x14ac:dyDescent="0.3">
      <c r="A4666" t="s">
        <v>179</v>
      </c>
      <c r="B4666" t="str">
        <f>"00073474"</f>
        <v>00073474</v>
      </c>
      <c r="C4666" t="s">
        <v>4260</v>
      </c>
      <c r="H4666" t="s">
        <v>170</v>
      </c>
      <c r="I4666">
        <v>15</v>
      </c>
      <c r="J4666">
        <v>1</v>
      </c>
      <c r="K4666">
        <v>1</v>
      </c>
      <c r="L4666">
        <v>54975</v>
      </c>
      <c r="M4666" t="str">
        <f t="shared" si="680"/>
        <v>13</v>
      </c>
      <c r="N4666" t="s">
        <v>3323</v>
      </c>
      <c r="O4666" t="str">
        <f t="shared" si="687"/>
        <v>71211</v>
      </c>
      <c r="P4666" t="str">
        <f t="shared" si="688"/>
        <v>2100L</v>
      </c>
      <c r="Q4666" t="str">
        <f t="shared" si="689"/>
        <v>0101</v>
      </c>
      <c r="R4666">
        <v>2100</v>
      </c>
      <c r="S4666" t="str">
        <f t="shared" si="690"/>
        <v>7120</v>
      </c>
      <c r="T4666" t="s">
        <v>3834</v>
      </c>
      <c r="U4666" t="s">
        <v>98</v>
      </c>
    </row>
    <row r="4667" spans="1:21" ht="15" customHeight="1" x14ac:dyDescent="0.3">
      <c r="A4667" t="s">
        <v>179</v>
      </c>
      <c r="B4667" t="str">
        <f>"00073746"</f>
        <v>00073746</v>
      </c>
      <c r="C4667" t="s">
        <v>200</v>
      </c>
      <c r="D4667" t="s">
        <v>4014</v>
      </c>
      <c r="E4667" t="str">
        <f>"00018031"</f>
        <v>00018031</v>
      </c>
      <c r="F4667">
        <v>1</v>
      </c>
      <c r="G4667" s="243">
        <v>36081</v>
      </c>
      <c r="H4667" t="s">
        <v>182</v>
      </c>
      <c r="I4667">
        <v>15</v>
      </c>
      <c r="J4667">
        <v>11</v>
      </c>
      <c r="K4667">
        <v>1</v>
      </c>
      <c r="L4667">
        <v>81335</v>
      </c>
      <c r="M4667" t="str">
        <f t="shared" si="680"/>
        <v>13</v>
      </c>
      <c r="N4667" t="s">
        <v>3323</v>
      </c>
      <c r="O4667" t="str">
        <f t="shared" si="687"/>
        <v>71211</v>
      </c>
      <c r="P4667" t="str">
        <f t="shared" si="688"/>
        <v>2100L</v>
      </c>
      <c r="Q4667" t="str">
        <f t="shared" si="689"/>
        <v>0101</v>
      </c>
      <c r="R4667">
        <v>2100</v>
      </c>
      <c r="S4667" t="str">
        <f t="shared" si="690"/>
        <v>7120</v>
      </c>
      <c r="T4667" t="s">
        <v>3834</v>
      </c>
      <c r="U4667" t="s">
        <v>98</v>
      </c>
    </row>
    <row r="4668" spans="1:21" ht="15" customHeight="1" x14ac:dyDescent="0.3">
      <c r="A4668" t="s">
        <v>179</v>
      </c>
      <c r="B4668" t="str">
        <f>"00074441"</f>
        <v>00074441</v>
      </c>
      <c r="C4668" t="s">
        <v>4395</v>
      </c>
      <c r="D4668" t="s">
        <v>4010</v>
      </c>
      <c r="E4668" t="str">
        <f>"00066108"</f>
        <v>00066108</v>
      </c>
      <c r="F4668">
        <v>0</v>
      </c>
      <c r="G4668" s="243">
        <v>40770</v>
      </c>
      <c r="H4668" t="s">
        <v>182</v>
      </c>
      <c r="I4668">
        <v>10</v>
      </c>
      <c r="J4668">
        <v>6</v>
      </c>
      <c r="K4668">
        <v>1</v>
      </c>
      <c r="L4668">
        <v>75087</v>
      </c>
      <c r="M4668" t="str">
        <f t="shared" ref="M4668:M4724" si="691">"13"</f>
        <v>13</v>
      </c>
      <c r="N4668" t="s">
        <v>3323</v>
      </c>
      <c r="O4668" t="str">
        <f t="shared" si="687"/>
        <v>71211</v>
      </c>
      <c r="P4668" t="str">
        <f>"1502L"</f>
        <v>1502L</v>
      </c>
      <c r="Q4668" t="str">
        <f t="shared" si="689"/>
        <v>0101</v>
      </c>
      <c r="R4668">
        <v>1502</v>
      </c>
      <c r="S4668" t="str">
        <f t="shared" si="690"/>
        <v>7120</v>
      </c>
      <c r="T4668" t="s">
        <v>3834</v>
      </c>
      <c r="U4668" t="s">
        <v>98</v>
      </c>
    </row>
    <row r="4669" spans="1:21" ht="15" customHeight="1" x14ac:dyDescent="0.3">
      <c r="A4669" t="s">
        <v>179</v>
      </c>
      <c r="B4669" t="str">
        <f>"00074442"</f>
        <v>00074442</v>
      </c>
      <c r="C4669" t="s">
        <v>4333</v>
      </c>
      <c r="D4669" t="s">
        <v>5713</v>
      </c>
      <c r="E4669" t="str">
        <f>"00060069"</f>
        <v>00060069</v>
      </c>
      <c r="F4669">
        <v>0</v>
      </c>
      <c r="G4669" s="243">
        <v>40168</v>
      </c>
      <c r="H4669" t="s">
        <v>182</v>
      </c>
      <c r="I4669">
        <v>12</v>
      </c>
      <c r="J4669">
        <v>4</v>
      </c>
      <c r="K4669">
        <v>1</v>
      </c>
      <c r="L4669">
        <v>65427</v>
      </c>
      <c r="M4669" t="str">
        <f t="shared" si="691"/>
        <v>13</v>
      </c>
      <c r="N4669" t="s">
        <v>3323</v>
      </c>
      <c r="O4669" t="str">
        <f t="shared" si="687"/>
        <v>71211</v>
      </c>
      <c r="P4669" t="str">
        <f>"1502L"</f>
        <v>1502L</v>
      </c>
      <c r="Q4669" t="str">
        <f t="shared" si="689"/>
        <v>0101</v>
      </c>
      <c r="R4669">
        <v>1502</v>
      </c>
      <c r="S4669" t="str">
        <f t="shared" si="690"/>
        <v>7120</v>
      </c>
      <c r="T4669" t="s">
        <v>3834</v>
      </c>
      <c r="U4669" t="s">
        <v>98</v>
      </c>
    </row>
    <row r="4670" spans="1:21" ht="15" customHeight="1" x14ac:dyDescent="0.3">
      <c r="A4670" t="s">
        <v>179</v>
      </c>
      <c r="B4670" t="str">
        <f>"00074443"</f>
        <v>00074443</v>
      </c>
      <c r="C4670" t="s">
        <v>200</v>
      </c>
      <c r="D4670" t="s">
        <v>4015</v>
      </c>
      <c r="E4670" t="str">
        <f>"00066245"</f>
        <v>00066245</v>
      </c>
      <c r="F4670">
        <v>0</v>
      </c>
      <c r="G4670" s="243">
        <v>40755</v>
      </c>
      <c r="H4670" t="s">
        <v>182</v>
      </c>
      <c r="I4670">
        <v>15</v>
      </c>
      <c r="J4670">
        <v>9</v>
      </c>
      <c r="K4670">
        <v>1</v>
      </c>
      <c r="L4670">
        <v>75232</v>
      </c>
      <c r="M4670" t="str">
        <f t="shared" si="691"/>
        <v>13</v>
      </c>
      <c r="N4670" t="s">
        <v>3323</v>
      </c>
      <c r="O4670" t="str">
        <f t="shared" si="687"/>
        <v>71211</v>
      </c>
      <c r="P4670" t="str">
        <f>"2100L"</f>
        <v>2100L</v>
      </c>
      <c r="Q4670" t="str">
        <f t="shared" si="689"/>
        <v>0101</v>
      </c>
      <c r="R4670">
        <v>2100</v>
      </c>
      <c r="S4670" t="str">
        <f t="shared" si="690"/>
        <v>7120</v>
      </c>
      <c r="T4670" t="s">
        <v>3834</v>
      </c>
      <c r="U4670" t="s">
        <v>98</v>
      </c>
    </row>
    <row r="4671" spans="1:21" ht="15" customHeight="1" x14ac:dyDescent="0.3">
      <c r="A4671" t="s">
        <v>179</v>
      </c>
      <c r="B4671" t="str">
        <f>"00074444"</f>
        <v>00074444</v>
      </c>
      <c r="C4671" t="s">
        <v>200</v>
      </c>
      <c r="D4671" t="s">
        <v>4016</v>
      </c>
      <c r="E4671" t="str">
        <f>"00047907"</f>
        <v>00047907</v>
      </c>
      <c r="F4671">
        <v>0</v>
      </c>
      <c r="G4671" s="243">
        <v>38852</v>
      </c>
      <c r="H4671" t="s">
        <v>182</v>
      </c>
      <c r="I4671">
        <v>15</v>
      </c>
      <c r="J4671">
        <v>12</v>
      </c>
      <c r="K4671">
        <v>1</v>
      </c>
      <c r="L4671">
        <v>87431</v>
      </c>
      <c r="M4671" t="str">
        <f t="shared" si="691"/>
        <v>13</v>
      </c>
      <c r="N4671" t="s">
        <v>3323</v>
      </c>
      <c r="O4671" t="str">
        <f t="shared" si="687"/>
        <v>71211</v>
      </c>
      <c r="P4671" t="str">
        <f>"2100L"</f>
        <v>2100L</v>
      </c>
      <c r="Q4671" t="str">
        <f t="shared" si="689"/>
        <v>0101</v>
      </c>
      <c r="R4671">
        <v>2100</v>
      </c>
      <c r="S4671" t="str">
        <f t="shared" si="690"/>
        <v>7120</v>
      </c>
      <c r="T4671" t="s">
        <v>3834</v>
      </c>
      <c r="U4671" t="s">
        <v>98</v>
      </c>
    </row>
    <row r="4672" spans="1:21" ht="15" customHeight="1" x14ac:dyDescent="0.3">
      <c r="A4672" t="s">
        <v>179</v>
      </c>
      <c r="B4672" t="str">
        <f>"00074723"</f>
        <v>00074723</v>
      </c>
      <c r="C4672" t="s">
        <v>4261</v>
      </c>
      <c r="D4672" t="s">
        <v>296</v>
      </c>
      <c r="E4672" t="str">
        <f>"00054550"</f>
        <v>00054550</v>
      </c>
      <c r="F4672">
        <v>0</v>
      </c>
      <c r="G4672" s="243">
        <v>35675</v>
      </c>
      <c r="H4672" t="s">
        <v>182</v>
      </c>
      <c r="I4672">
        <v>15</v>
      </c>
      <c r="J4672">
        <v>11</v>
      </c>
      <c r="K4672">
        <v>1</v>
      </c>
      <c r="L4672">
        <v>89469</v>
      </c>
      <c r="M4672" t="str">
        <f t="shared" si="691"/>
        <v>13</v>
      </c>
      <c r="N4672" t="s">
        <v>3323</v>
      </c>
      <c r="O4672" t="str">
        <f t="shared" si="687"/>
        <v>71211</v>
      </c>
      <c r="P4672" t="str">
        <f>"2100L"</f>
        <v>2100L</v>
      </c>
      <c r="Q4672" t="str">
        <f t="shared" si="689"/>
        <v>0101</v>
      </c>
      <c r="R4672">
        <v>2100</v>
      </c>
      <c r="S4672" t="str">
        <f t="shared" si="690"/>
        <v>7120</v>
      </c>
      <c r="T4672" t="s">
        <v>3834</v>
      </c>
      <c r="U4672" t="s">
        <v>98</v>
      </c>
    </row>
    <row r="4673" spans="1:21" ht="15" customHeight="1" x14ac:dyDescent="0.3">
      <c r="A4673" t="s">
        <v>179</v>
      </c>
      <c r="B4673" t="str">
        <f>"00074728"</f>
        <v>00074728</v>
      </c>
      <c r="C4673" t="s">
        <v>4410</v>
      </c>
      <c r="D4673" t="s">
        <v>5714</v>
      </c>
      <c r="E4673" t="str">
        <f>"00070506"</f>
        <v>00070506</v>
      </c>
      <c r="F4673">
        <v>0</v>
      </c>
      <c r="G4673" s="243">
        <v>41162</v>
      </c>
      <c r="H4673" t="s">
        <v>182</v>
      </c>
      <c r="I4673">
        <v>5</v>
      </c>
      <c r="J4673">
        <v>6</v>
      </c>
      <c r="K4673">
        <v>1</v>
      </c>
      <c r="L4673">
        <v>32965</v>
      </c>
      <c r="M4673" t="str">
        <f t="shared" si="691"/>
        <v>13</v>
      </c>
      <c r="N4673" t="s">
        <v>3323</v>
      </c>
      <c r="O4673" t="str">
        <f t="shared" si="687"/>
        <v>71211</v>
      </c>
      <c r="P4673" t="str">
        <f>"2100L"</f>
        <v>2100L</v>
      </c>
      <c r="Q4673" t="str">
        <f t="shared" si="689"/>
        <v>0101</v>
      </c>
      <c r="R4673">
        <v>2100</v>
      </c>
      <c r="S4673" t="str">
        <f t="shared" si="690"/>
        <v>7120</v>
      </c>
      <c r="T4673" t="s">
        <v>3834</v>
      </c>
      <c r="U4673" t="s">
        <v>98</v>
      </c>
    </row>
    <row r="4674" spans="1:21" ht="15" customHeight="1" x14ac:dyDescent="0.3">
      <c r="A4674" t="s">
        <v>179</v>
      </c>
      <c r="B4674" t="str">
        <f>"00074730"</f>
        <v>00074730</v>
      </c>
      <c r="C4674" t="s">
        <v>4333</v>
      </c>
      <c r="D4674" t="s">
        <v>5715</v>
      </c>
      <c r="E4674" t="str">
        <f>"00067977"</f>
        <v>00067977</v>
      </c>
      <c r="F4674">
        <v>0</v>
      </c>
      <c r="G4674" s="243">
        <v>40973</v>
      </c>
      <c r="H4674" t="s">
        <v>182</v>
      </c>
      <c r="I4674">
        <v>12</v>
      </c>
      <c r="J4674">
        <v>4</v>
      </c>
      <c r="K4674">
        <v>1</v>
      </c>
      <c r="L4674">
        <v>65427</v>
      </c>
      <c r="M4674" t="str">
        <f t="shared" si="691"/>
        <v>13</v>
      </c>
      <c r="N4674" t="s">
        <v>3323</v>
      </c>
      <c r="O4674" t="str">
        <f t="shared" si="687"/>
        <v>71211</v>
      </c>
      <c r="P4674" t="str">
        <f>"1502L"</f>
        <v>1502L</v>
      </c>
      <c r="Q4674" t="str">
        <f t="shared" si="689"/>
        <v>0101</v>
      </c>
      <c r="R4674">
        <v>1502</v>
      </c>
      <c r="S4674" t="str">
        <f t="shared" si="690"/>
        <v>7120</v>
      </c>
      <c r="T4674" t="s">
        <v>3834</v>
      </c>
      <c r="U4674" t="s">
        <v>98</v>
      </c>
    </row>
    <row r="4675" spans="1:21" ht="15" customHeight="1" x14ac:dyDescent="0.3">
      <c r="A4675" t="s">
        <v>179</v>
      </c>
      <c r="B4675" t="str">
        <f>"00074731"</f>
        <v>00074731</v>
      </c>
      <c r="C4675" t="s">
        <v>4253</v>
      </c>
      <c r="D4675" t="s">
        <v>4021</v>
      </c>
      <c r="E4675" t="str">
        <f>"00066213"</f>
        <v>00066213</v>
      </c>
      <c r="F4675">
        <v>0</v>
      </c>
      <c r="G4675" s="243">
        <v>40755</v>
      </c>
      <c r="H4675" t="s">
        <v>182</v>
      </c>
      <c r="I4675">
        <v>15</v>
      </c>
      <c r="J4675">
        <v>2</v>
      </c>
      <c r="K4675">
        <v>1</v>
      </c>
      <c r="L4675">
        <v>56242</v>
      </c>
      <c r="M4675" t="str">
        <f t="shared" si="691"/>
        <v>13</v>
      </c>
      <c r="N4675" t="s">
        <v>3323</v>
      </c>
      <c r="O4675" t="str">
        <f t="shared" si="687"/>
        <v>71211</v>
      </c>
      <c r="P4675" t="str">
        <f>"2100L"</f>
        <v>2100L</v>
      </c>
      <c r="Q4675" t="str">
        <f t="shared" si="689"/>
        <v>0101</v>
      </c>
      <c r="R4675">
        <v>2100</v>
      </c>
      <c r="S4675" t="str">
        <f t="shared" si="690"/>
        <v>7120</v>
      </c>
      <c r="T4675" t="s">
        <v>3834</v>
      </c>
      <c r="U4675" t="s">
        <v>98</v>
      </c>
    </row>
    <row r="4676" spans="1:21" ht="15" customHeight="1" x14ac:dyDescent="0.3">
      <c r="A4676" t="s">
        <v>179</v>
      </c>
      <c r="B4676" t="str">
        <f>"00074783"</f>
        <v>00074783</v>
      </c>
      <c r="C4676" t="s">
        <v>4800</v>
      </c>
      <c r="H4676" t="s">
        <v>170</v>
      </c>
      <c r="I4676">
        <v>10</v>
      </c>
      <c r="J4676">
        <v>1</v>
      </c>
      <c r="K4676">
        <v>1</v>
      </c>
      <c r="L4676">
        <v>62794</v>
      </c>
      <c r="M4676" t="str">
        <f t="shared" si="691"/>
        <v>13</v>
      </c>
      <c r="N4676" t="s">
        <v>3323</v>
      </c>
      <c r="O4676" t="str">
        <f t="shared" ref="O4676:O4681" si="692">"71256"</f>
        <v>71256</v>
      </c>
      <c r="P4676" t="str">
        <f t="shared" ref="P4676:P4681" si="693">"3030I"</f>
        <v>3030I</v>
      </c>
      <c r="Q4676" t="str">
        <f t="shared" ref="Q4676:Q4681" si="694">"0756"</f>
        <v>0756</v>
      </c>
      <c r="R4676">
        <v>3030</v>
      </c>
      <c r="S4676" t="str">
        <f t="shared" si="690"/>
        <v>7120</v>
      </c>
      <c r="T4676" t="s">
        <v>3841</v>
      </c>
      <c r="U4676" t="s">
        <v>98</v>
      </c>
    </row>
    <row r="4677" spans="1:21" ht="15" customHeight="1" x14ac:dyDescent="0.3">
      <c r="A4677" t="s">
        <v>179</v>
      </c>
      <c r="B4677" t="str">
        <f>"00074784"</f>
        <v>00074784</v>
      </c>
      <c r="C4677" t="s">
        <v>4260</v>
      </c>
      <c r="D4677" t="s">
        <v>4022</v>
      </c>
      <c r="E4677" t="str">
        <f>"00066222"</f>
        <v>00066222</v>
      </c>
      <c r="F4677">
        <v>0</v>
      </c>
      <c r="G4677" s="243">
        <v>40755</v>
      </c>
      <c r="H4677" t="s">
        <v>182</v>
      </c>
      <c r="I4677">
        <v>15</v>
      </c>
      <c r="J4677">
        <v>3</v>
      </c>
      <c r="K4677">
        <v>1</v>
      </c>
      <c r="L4677">
        <v>58699</v>
      </c>
      <c r="M4677" t="str">
        <f t="shared" si="691"/>
        <v>13</v>
      </c>
      <c r="N4677" t="s">
        <v>3323</v>
      </c>
      <c r="O4677" t="str">
        <f t="shared" si="692"/>
        <v>71256</v>
      </c>
      <c r="P4677" t="str">
        <f t="shared" si="693"/>
        <v>3030I</v>
      </c>
      <c r="Q4677" t="str">
        <f t="shared" si="694"/>
        <v>0756</v>
      </c>
      <c r="R4677">
        <v>3030</v>
      </c>
      <c r="S4677" t="str">
        <f t="shared" si="690"/>
        <v>7120</v>
      </c>
      <c r="T4677" t="s">
        <v>3834</v>
      </c>
      <c r="U4677" t="s">
        <v>98</v>
      </c>
    </row>
    <row r="4678" spans="1:21" ht="15" customHeight="1" x14ac:dyDescent="0.3">
      <c r="A4678" t="s">
        <v>179</v>
      </c>
      <c r="B4678" t="str">
        <f>"00074785"</f>
        <v>00074785</v>
      </c>
      <c r="C4678" t="s">
        <v>4260</v>
      </c>
      <c r="D4678" t="s">
        <v>4023</v>
      </c>
      <c r="E4678" t="str">
        <f>"00066214"</f>
        <v>00066214</v>
      </c>
      <c r="F4678">
        <v>0</v>
      </c>
      <c r="G4678" s="243">
        <v>40755</v>
      </c>
      <c r="H4678" t="s">
        <v>182</v>
      </c>
      <c r="I4678">
        <v>15</v>
      </c>
      <c r="J4678">
        <v>2</v>
      </c>
      <c r="K4678">
        <v>1</v>
      </c>
      <c r="L4678">
        <v>51716</v>
      </c>
      <c r="M4678" t="str">
        <f t="shared" si="691"/>
        <v>13</v>
      </c>
      <c r="N4678" t="s">
        <v>3323</v>
      </c>
      <c r="O4678" t="str">
        <f t="shared" si="692"/>
        <v>71256</v>
      </c>
      <c r="P4678" t="str">
        <f t="shared" si="693"/>
        <v>3030I</v>
      </c>
      <c r="Q4678" t="str">
        <f t="shared" si="694"/>
        <v>0756</v>
      </c>
      <c r="R4678">
        <v>3030</v>
      </c>
      <c r="S4678" t="str">
        <f t="shared" si="690"/>
        <v>7120</v>
      </c>
      <c r="T4678" t="s">
        <v>3841</v>
      </c>
      <c r="U4678" t="s">
        <v>98</v>
      </c>
    </row>
    <row r="4679" spans="1:21" ht="15" customHeight="1" x14ac:dyDescent="0.3">
      <c r="A4679" t="s">
        <v>179</v>
      </c>
      <c r="B4679" t="str">
        <f>"00074786"</f>
        <v>00074786</v>
      </c>
      <c r="C4679" t="s">
        <v>4260</v>
      </c>
      <c r="D4679" t="s">
        <v>4024</v>
      </c>
      <c r="E4679" t="str">
        <f>"00066897"</f>
        <v>00066897</v>
      </c>
      <c r="F4679">
        <v>0</v>
      </c>
      <c r="G4679" s="243">
        <v>40805</v>
      </c>
      <c r="H4679" t="s">
        <v>182</v>
      </c>
      <c r="I4679">
        <v>15</v>
      </c>
      <c r="J4679">
        <v>11</v>
      </c>
      <c r="K4679">
        <v>1</v>
      </c>
      <c r="L4679">
        <v>83774</v>
      </c>
      <c r="M4679" t="str">
        <f t="shared" si="691"/>
        <v>13</v>
      </c>
      <c r="N4679" t="s">
        <v>3323</v>
      </c>
      <c r="O4679" t="str">
        <f t="shared" si="692"/>
        <v>71256</v>
      </c>
      <c r="P4679" t="str">
        <f t="shared" si="693"/>
        <v>3030I</v>
      </c>
      <c r="Q4679" t="str">
        <f t="shared" si="694"/>
        <v>0756</v>
      </c>
      <c r="R4679">
        <v>3030</v>
      </c>
      <c r="S4679" t="str">
        <f t="shared" si="690"/>
        <v>7120</v>
      </c>
      <c r="T4679" t="s">
        <v>3841</v>
      </c>
      <c r="U4679" t="s">
        <v>98</v>
      </c>
    </row>
    <row r="4680" spans="1:21" ht="15" customHeight="1" x14ac:dyDescent="0.3">
      <c r="A4680" t="s">
        <v>179</v>
      </c>
      <c r="B4680" t="str">
        <f>"00074787"</f>
        <v>00074787</v>
      </c>
      <c r="C4680" t="s">
        <v>4260</v>
      </c>
      <c r="D4680" t="s">
        <v>4025</v>
      </c>
      <c r="E4680" t="str">
        <f>"00051612"</f>
        <v>00051612</v>
      </c>
      <c r="F4680">
        <v>0</v>
      </c>
      <c r="G4680" s="243">
        <v>39650</v>
      </c>
      <c r="H4680" t="s">
        <v>182</v>
      </c>
      <c r="I4680">
        <v>15</v>
      </c>
      <c r="J4680">
        <v>11</v>
      </c>
      <c r="K4680">
        <v>1</v>
      </c>
      <c r="L4680">
        <v>81335</v>
      </c>
      <c r="M4680" t="str">
        <f t="shared" si="691"/>
        <v>13</v>
      </c>
      <c r="N4680" t="s">
        <v>3323</v>
      </c>
      <c r="O4680" t="str">
        <f t="shared" si="692"/>
        <v>71256</v>
      </c>
      <c r="P4680" t="str">
        <f t="shared" si="693"/>
        <v>3030I</v>
      </c>
      <c r="Q4680" t="str">
        <f t="shared" si="694"/>
        <v>0756</v>
      </c>
      <c r="R4680">
        <v>3030</v>
      </c>
      <c r="S4680" t="str">
        <f t="shared" si="690"/>
        <v>7120</v>
      </c>
      <c r="T4680" t="s">
        <v>3841</v>
      </c>
      <c r="U4680" t="s">
        <v>98</v>
      </c>
    </row>
    <row r="4681" spans="1:21" ht="15" customHeight="1" x14ac:dyDescent="0.3">
      <c r="A4681" t="s">
        <v>179</v>
      </c>
      <c r="B4681" t="str">
        <f>"00074788"</f>
        <v>00074788</v>
      </c>
      <c r="C4681" t="s">
        <v>4260</v>
      </c>
      <c r="D4681" t="s">
        <v>4026</v>
      </c>
      <c r="E4681" t="str">
        <f>"00066604"</f>
        <v>00066604</v>
      </c>
      <c r="F4681">
        <v>0</v>
      </c>
      <c r="G4681" s="243">
        <v>40786</v>
      </c>
      <c r="H4681" t="s">
        <v>182</v>
      </c>
      <c r="I4681">
        <v>15</v>
      </c>
      <c r="J4681">
        <v>11</v>
      </c>
      <c r="K4681">
        <v>1</v>
      </c>
      <c r="L4681">
        <v>81335</v>
      </c>
      <c r="M4681" t="str">
        <f t="shared" si="691"/>
        <v>13</v>
      </c>
      <c r="N4681" t="s">
        <v>3323</v>
      </c>
      <c r="O4681" t="str">
        <f t="shared" si="692"/>
        <v>71256</v>
      </c>
      <c r="P4681" t="str">
        <f t="shared" si="693"/>
        <v>3030I</v>
      </c>
      <c r="Q4681" t="str">
        <f t="shared" si="694"/>
        <v>0756</v>
      </c>
      <c r="R4681">
        <v>3030</v>
      </c>
      <c r="S4681" t="str">
        <f t="shared" si="690"/>
        <v>7120</v>
      </c>
      <c r="T4681" t="s">
        <v>3841</v>
      </c>
      <c r="U4681" t="s">
        <v>98</v>
      </c>
    </row>
    <row r="4682" spans="1:21" ht="15" customHeight="1" x14ac:dyDescent="0.3">
      <c r="A4682" t="s">
        <v>179</v>
      </c>
      <c r="B4682" t="str">
        <f>"00076254"</f>
        <v>00076254</v>
      </c>
      <c r="C4682" t="s">
        <v>4294</v>
      </c>
      <c r="D4682" t="s">
        <v>4085</v>
      </c>
      <c r="E4682" t="str">
        <f>"00018913"</f>
        <v>00018913</v>
      </c>
      <c r="F4682">
        <v>1</v>
      </c>
      <c r="H4682" t="s">
        <v>182</v>
      </c>
      <c r="I4682">
        <v>7</v>
      </c>
      <c r="J4682">
        <v>9</v>
      </c>
      <c r="K4682">
        <v>1</v>
      </c>
      <c r="L4682">
        <v>43728</v>
      </c>
      <c r="M4682" t="str">
        <f t="shared" si="691"/>
        <v>13</v>
      </c>
      <c r="N4682" t="s">
        <v>3323</v>
      </c>
      <c r="O4682" t="str">
        <f t="shared" ref="O4682:O4693" si="695">"71211"</f>
        <v>71211</v>
      </c>
      <c r="P4682" t="str">
        <f>"1502L"</f>
        <v>1502L</v>
      </c>
      <c r="Q4682" t="str">
        <f t="shared" ref="Q4682:Q4693" si="696">"0101"</f>
        <v>0101</v>
      </c>
      <c r="R4682">
        <v>1502</v>
      </c>
      <c r="S4682" t="str">
        <f t="shared" si="690"/>
        <v>7120</v>
      </c>
      <c r="T4682" t="s">
        <v>3834</v>
      </c>
      <c r="U4682" t="s">
        <v>98</v>
      </c>
    </row>
    <row r="4683" spans="1:21" ht="15" customHeight="1" x14ac:dyDescent="0.3">
      <c r="A4683" t="s">
        <v>179</v>
      </c>
      <c r="B4683" t="str">
        <f>"00076365"</f>
        <v>00076365</v>
      </c>
      <c r="C4683" t="s">
        <v>4294</v>
      </c>
      <c r="D4683" t="s">
        <v>5716</v>
      </c>
      <c r="E4683" t="str">
        <f>"00053065"</f>
        <v>00053065</v>
      </c>
      <c r="F4683">
        <v>0</v>
      </c>
      <c r="G4683" s="243">
        <v>40808</v>
      </c>
      <c r="H4683" t="s">
        <v>182</v>
      </c>
      <c r="I4683">
        <v>7</v>
      </c>
      <c r="J4683">
        <v>1</v>
      </c>
      <c r="K4683">
        <v>1</v>
      </c>
      <c r="L4683">
        <v>34871</v>
      </c>
      <c r="M4683" t="str">
        <f t="shared" si="691"/>
        <v>13</v>
      </c>
      <c r="N4683" t="s">
        <v>3370</v>
      </c>
      <c r="O4683" t="str">
        <f t="shared" si="695"/>
        <v>71211</v>
      </c>
      <c r="P4683" t="str">
        <f>"1502L"</f>
        <v>1502L</v>
      </c>
      <c r="Q4683" t="str">
        <f t="shared" si="696"/>
        <v>0101</v>
      </c>
      <c r="R4683">
        <v>1502</v>
      </c>
      <c r="S4683" t="str">
        <f t="shared" si="690"/>
        <v>7120</v>
      </c>
      <c r="T4683" t="s">
        <v>3834</v>
      </c>
      <c r="U4683" t="s">
        <v>98</v>
      </c>
    </row>
    <row r="4684" spans="1:21" ht="15" customHeight="1" x14ac:dyDescent="0.3">
      <c r="A4684" t="s">
        <v>179</v>
      </c>
      <c r="B4684" t="str">
        <f>"00076476"</f>
        <v>00076476</v>
      </c>
      <c r="C4684" t="s">
        <v>4333</v>
      </c>
      <c r="D4684" t="s">
        <v>292</v>
      </c>
      <c r="E4684" t="str">
        <f>"00057907"</f>
        <v>00057907</v>
      </c>
      <c r="F4684">
        <v>0</v>
      </c>
      <c r="G4684" s="243">
        <v>41133</v>
      </c>
      <c r="H4684" t="s">
        <v>182</v>
      </c>
      <c r="I4684">
        <v>12</v>
      </c>
      <c r="J4684">
        <v>9</v>
      </c>
      <c r="K4684">
        <v>1</v>
      </c>
      <c r="L4684">
        <v>75339</v>
      </c>
      <c r="M4684" t="str">
        <f t="shared" si="691"/>
        <v>13</v>
      </c>
      <c r="N4684" t="s">
        <v>3323</v>
      </c>
      <c r="O4684" t="str">
        <f t="shared" si="695"/>
        <v>71211</v>
      </c>
      <c r="P4684" t="str">
        <f>"1502L"</f>
        <v>1502L</v>
      </c>
      <c r="Q4684" t="str">
        <f t="shared" si="696"/>
        <v>0101</v>
      </c>
      <c r="R4684">
        <v>1502</v>
      </c>
      <c r="S4684" t="str">
        <f t="shared" ref="S4684:S4695" si="697">"7120"</f>
        <v>7120</v>
      </c>
      <c r="T4684" t="s">
        <v>3834</v>
      </c>
      <c r="U4684" t="s">
        <v>98</v>
      </c>
    </row>
    <row r="4685" spans="1:21" ht="15" customHeight="1" x14ac:dyDescent="0.3">
      <c r="A4685" t="s">
        <v>179</v>
      </c>
      <c r="B4685" t="str">
        <f>"00076586"</f>
        <v>00076586</v>
      </c>
      <c r="C4685" t="s">
        <v>4333</v>
      </c>
      <c r="D4685" t="s">
        <v>5717</v>
      </c>
      <c r="E4685" t="str">
        <f>"00063457"</f>
        <v>00063457</v>
      </c>
      <c r="F4685">
        <v>0</v>
      </c>
      <c r="G4685" s="243">
        <v>40455</v>
      </c>
      <c r="H4685" t="s">
        <v>182</v>
      </c>
      <c r="I4685">
        <v>12</v>
      </c>
      <c r="J4685">
        <v>4</v>
      </c>
      <c r="K4685">
        <v>1</v>
      </c>
      <c r="L4685">
        <v>65427</v>
      </c>
      <c r="M4685" t="str">
        <f t="shared" si="691"/>
        <v>13</v>
      </c>
      <c r="N4685" t="s">
        <v>3370</v>
      </c>
      <c r="O4685" t="str">
        <f t="shared" si="695"/>
        <v>71211</v>
      </c>
      <c r="P4685" t="str">
        <f>"1502L"</f>
        <v>1502L</v>
      </c>
      <c r="Q4685" t="str">
        <f t="shared" si="696"/>
        <v>0101</v>
      </c>
      <c r="R4685">
        <v>1502</v>
      </c>
      <c r="S4685" t="str">
        <f t="shared" si="697"/>
        <v>7120</v>
      </c>
      <c r="T4685" t="s">
        <v>3834</v>
      </c>
      <c r="U4685" t="s">
        <v>98</v>
      </c>
    </row>
    <row r="4686" spans="1:21" ht="15" customHeight="1" x14ac:dyDescent="0.3">
      <c r="A4686" t="s">
        <v>179</v>
      </c>
      <c r="B4686" t="str">
        <f>"00076644"</f>
        <v>00076644</v>
      </c>
      <c r="C4686" t="s">
        <v>4253</v>
      </c>
      <c r="H4686" t="s">
        <v>170</v>
      </c>
      <c r="I4686">
        <v>15</v>
      </c>
      <c r="J4686">
        <v>0</v>
      </c>
      <c r="K4686">
        <v>1</v>
      </c>
      <c r="L4686">
        <v>51539</v>
      </c>
      <c r="M4686" t="str">
        <f t="shared" si="691"/>
        <v>13</v>
      </c>
      <c r="N4686" t="s">
        <v>3370</v>
      </c>
      <c r="O4686" t="str">
        <f t="shared" si="695"/>
        <v>71211</v>
      </c>
      <c r="P4686" t="str">
        <f t="shared" ref="P4686:P4693" si="698">"2100L"</f>
        <v>2100L</v>
      </c>
      <c r="Q4686" t="str">
        <f t="shared" si="696"/>
        <v>0101</v>
      </c>
      <c r="R4686">
        <v>2100</v>
      </c>
      <c r="S4686" t="str">
        <f t="shared" si="697"/>
        <v>7120</v>
      </c>
      <c r="T4686" t="s">
        <v>3834</v>
      </c>
      <c r="U4686" t="s">
        <v>98</v>
      </c>
    </row>
    <row r="4687" spans="1:21" ht="15" customHeight="1" x14ac:dyDescent="0.3">
      <c r="A4687" t="s">
        <v>179</v>
      </c>
      <c r="B4687" t="str">
        <f>"00076645"</f>
        <v>00076645</v>
      </c>
      <c r="C4687" t="s">
        <v>4259</v>
      </c>
      <c r="D4687" t="s">
        <v>5718</v>
      </c>
      <c r="E4687" t="str">
        <f>"00069771"</f>
        <v>00069771</v>
      </c>
      <c r="F4687">
        <v>0</v>
      </c>
      <c r="G4687" s="243">
        <v>41133</v>
      </c>
      <c r="H4687" t="s">
        <v>182</v>
      </c>
      <c r="I4687">
        <v>15</v>
      </c>
      <c r="J4687">
        <v>7</v>
      </c>
      <c r="K4687">
        <v>1</v>
      </c>
      <c r="L4687">
        <v>69132</v>
      </c>
      <c r="M4687" t="str">
        <f t="shared" si="691"/>
        <v>13</v>
      </c>
      <c r="N4687" t="s">
        <v>3370</v>
      </c>
      <c r="O4687" t="str">
        <f t="shared" si="695"/>
        <v>71211</v>
      </c>
      <c r="P4687" t="str">
        <f t="shared" si="698"/>
        <v>2100L</v>
      </c>
      <c r="Q4687" t="str">
        <f t="shared" si="696"/>
        <v>0101</v>
      </c>
      <c r="R4687">
        <v>2100</v>
      </c>
      <c r="S4687" t="str">
        <f t="shared" si="697"/>
        <v>7120</v>
      </c>
      <c r="T4687" t="s">
        <v>3834</v>
      </c>
      <c r="U4687" t="s">
        <v>98</v>
      </c>
    </row>
    <row r="4688" spans="1:21" ht="15" customHeight="1" x14ac:dyDescent="0.3">
      <c r="A4688" t="s">
        <v>179</v>
      </c>
      <c r="B4688" t="str">
        <f>"00076646"</f>
        <v>00076646</v>
      </c>
      <c r="C4688" t="s">
        <v>4857</v>
      </c>
      <c r="D4688" t="s">
        <v>5719</v>
      </c>
      <c r="E4688" t="str">
        <f>"00070490"</f>
        <v>00070490</v>
      </c>
      <c r="F4688">
        <v>0</v>
      </c>
      <c r="G4688" s="243">
        <v>41162</v>
      </c>
      <c r="H4688" t="s">
        <v>182</v>
      </c>
      <c r="I4688">
        <v>9</v>
      </c>
      <c r="J4688">
        <v>1</v>
      </c>
      <c r="K4688">
        <v>1</v>
      </c>
      <c r="L4688">
        <v>56461</v>
      </c>
      <c r="M4688" t="str">
        <f t="shared" si="691"/>
        <v>13</v>
      </c>
      <c r="N4688" t="s">
        <v>3323</v>
      </c>
      <c r="O4688" t="str">
        <f t="shared" si="695"/>
        <v>71211</v>
      </c>
      <c r="P4688" t="str">
        <f t="shared" si="698"/>
        <v>2100L</v>
      </c>
      <c r="Q4688" t="str">
        <f t="shared" si="696"/>
        <v>0101</v>
      </c>
      <c r="R4688">
        <v>2100</v>
      </c>
      <c r="S4688" t="str">
        <f t="shared" si="697"/>
        <v>7120</v>
      </c>
      <c r="T4688" t="s">
        <v>3834</v>
      </c>
      <c r="U4688" t="s">
        <v>98</v>
      </c>
    </row>
    <row r="4689" spans="1:21" ht="15" customHeight="1" x14ac:dyDescent="0.3">
      <c r="A4689" t="s">
        <v>179</v>
      </c>
      <c r="B4689" t="str">
        <f>"00076647"</f>
        <v>00076647</v>
      </c>
      <c r="C4689" t="s">
        <v>4395</v>
      </c>
      <c r="D4689" t="s">
        <v>5720</v>
      </c>
      <c r="E4689" t="str">
        <f>"00066175"</f>
        <v>00066175</v>
      </c>
      <c r="F4689">
        <v>0</v>
      </c>
      <c r="G4689" s="243">
        <v>40755</v>
      </c>
      <c r="H4689" t="s">
        <v>182</v>
      </c>
      <c r="I4689">
        <v>10</v>
      </c>
      <c r="J4689">
        <v>9</v>
      </c>
      <c r="K4689">
        <v>1</v>
      </c>
      <c r="L4689">
        <v>84226</v>
      </c>
      <c r="M4689" t="str">
        <f t="shared" si="691"/>
        <v>13</v>
      </c>
      <c r="N4689" t="s">
        <v>3370</v>
      </c>
      <c r="O4689" t="str">
        <f t="shared" si="695"/>
        <v>71211</v>
      </c>
      <c r="P4689" t="str">
        <f t="shared" si="698"/>
        <v>2100L</v>
      </c>
      <c r="Q4689" t="str">
        <f t="shared" si="696"/>
        <v>0101</v>
      </c>
      <c r="R4689">
        <v>2100</v>
      </c>
      <c r="S4689" t="str">
        <f t="shared" si="697"/>
        <v>7120</v>
      </c>
      <c r="T4689" t="s">
        <v>3834</v>
      </c>
      <c r="U4689" t="s">
        <v>98</v>
      </c>
    </row>
    <row r="4690" spans="1:21" ht="15" customHeight="1" x14ac:dyDescent="0.3">
      <c r="A4690" t="s">
        <v>179</v>
      </c>
      <c r="B4690" t="str">
        <f>"00076648"</f>
        <v>00076648</v>
      </c>
      <c r="C4690" t="s">
        <v>4395</v>
      </c>
      <c r="D4690" t="s">
        <v>4009</v>
      </c>
      <c r="E4690" t="str">
        <f>"00066911"</f>
        <v>00066911</v>
      </c>
      <c r="F4690">
        <v>0</v>
      </c>
      <c r="G4690" s="243">
        <v>40819</v>
      </c>
      <c r="H4690" t="s">
        <v>182</v>
      </c>
      <c r="I4690">
        <v>10</v>
      </c>
      <c r="J4690">
        <v>9</v>
      </c>
      <c r="K4690">
        <v>1</v>
      </c>
      <c r="L4690">
        <v>88084</v>
      </c>
      <c r="M4690" t="str">
        <f t="shared" si="691"/>
        <v>13</v>
      </c>
      <c r="N4690" t="s">
        <v>3370</v>
      </c>
      <c r="O4690" t="str">
        <f t="shared" si="695"/>
        <v>71211</v>
      </c>
      <c r="P4690" t="str">
        <f t="shared" si="698"/>
        <v>2100L</v>
      </c>
      <c r="Q4690" t="str">
        <f t="shared" si="696"/>
        <v>0101</v>
      </c>
      <c r="R4690">
        <v>2100</v>
      </c>
      <c r="S4690" t="str">
        <f t="shared" si="697"/>
        <v>7120</v>
      </c>
      <c r="T4690" t="s">
        <v>3834</v>
      </c>
      <c r="U4690" t="s">
        <v>98</v>
      </c>
    </row>
    <row r="4691" spans="1:21" ht="15" customHeight="1" x14ac:dyDescent="0.3">
      <c r="A4691" t="s">
        <v>179</v>
      </c>
      <c r="B4691" t="str">
        <f>"00076650"</f>
        <v>00076650</v>
      </c>
      <c r="C4691" t="s">
        <v>4438</v>
      </c>
      <c r="D4691" t="s">
        <v>5721</v>
      </c>
      <c r="E4691" t="str">
        <f>"00057899"</f>
        <v>00057899</v>
      </c>
      <c r="F4691">
        <v>0</v>
      </c>
      <c r="G4691" s="243">
        <v>41133</v>
      </c>
      <c r="H4691" t="s">
        <v>182</v>
      </c>
      <c r="I4691">
        <v>11</v>
      </c>
      <c r="J4691">
        <v>8</v>
      </c>
      <c r="K4691">
        <v>1</v>
      </c>
      <c r="L4691">
        <v>82125</v>
      </c>
      <c r="M4691" t="str">
        <f t="shared" si="691"/>
        <v>13</v>
      </c>
      <c r="N4691" t="s">
        <v>3323</v>
      </c>
      <c r="O4691" t="str">
        <f t="shared" si="695"/>
        <v>71211</v>
      </c>
      <c r="P4691" t="str">
        <f t="shared" si="698"/>
        <v>2100L</v>
      </c>
      <c r="Q4691" t="str">
        <f t="shared" si="696"/>
        <v>0101</v>
      </c>
      <c r="R4691">
        <v>2100</v>
      </c>
      <c r="S4691" t="str">
        <f t="shared" si="697"/>
        <v>7120</v>
      </c>
      <c r="T4691" t="s">
        <v>3834</v>
      </c>
      <c r="U4691" t="s">
        <v>98</v>
      </c>
    </row>
    <row r="4692" spans="1:21" ht="15" customHeight="1" x14ac:dyDescent="0.3">
      <c r="A4692" t="s">
        <v>179</v>
      </c>
      <c r="B4692" t="str">
        <f>"00076651"</f>
        <v>00076651</v>
      </c>
      <c r="C4692" t="s">
        <v>4381</v>
      </c>
      <c r="D4692" t="s">
        <v>3380</v>
      </c>
      <c r="E4692" t="str">
        <f>"00066945"</f>
        <v>00066945</v>
      </c>
      <c r="F4692">
        <v>0</v>
      </c>
      <c r="G4692" s="243">
        <v>40833</v>
      </c>
      <c r="H4692" t="s">
        <v>182</v>
      </c>
      <c r="I4692">
        <v>9</v>
      </c>
      <c r="J4692">
        <v>5</v>
      </c>
      <c r="K4692">
        <v>1</v>
      </c>
      <c r="L4692">
        <v>37415</v>
      </c>
      <c r="M4692" t="str">
        <f t="shared" si="691"/>
        <v>13</v>
      </c>
      <c r="N4692" t="s">
        <v>3370</v>
      </c>
      <c r="O4692" t="str">
        <f t="shared" si="695"/>
        <v>71211</v>
      </c>
      <c r="P4692" t="str">
        <f t="shared" si="698"/>
        <v>2100L</v>
      </c>
      <c r="Q4692" t="str">
        <f t="shared" si="696"/>
        <v>0101</v>
      </c>
      <c r="R4692">
        <v>2100</v>
      </c>
      <c r="S4692" t="str">
        <f t="shared" si="697"/>
        <v>7120</v>
      </c>
      <c r="T4692" t="s">
        <v>3834</v>
      </c>
      <c r="U4692" t="s">
        <v>98</v>
      </c>
    </row>
    <row r="4693" spans="1:21" ht="15" customHeight="1" x14ac:dyDescent="0.3">
      <c r="A4693" t="s">
        <v>179</v>
      </c>
      <c r="B4693" t="str">
        <f>"00076652"</f>
        <v>00076652</v>
      </c>
      <c r="C4693" t="s">
        <v>4261</v>
      </c>
      <c r="D4693" t="s">
        <v>5722</v>
      </c>
      <c r="E4693" t="str">
        <f>"00069506"</f>
        <v>00069506</v>
      </c>
      <c r="F4693">
        <v>0</v>
      </c>
      <c r="G4693" s="243">
        <v>41120</v>
      </c>
      <c r="H4693" t="s">
        <v>182</v>
      </c>
      <c r="I4693">
        <v>15</v>
      </c>
      <c r="J4693">
        <v>2</v>
      </c>
      <c r="K4693">
        <v>1</v>
      </c>
      <c r="L4693">
        <v>61866</v>
      </c>
      <c r="M4693" t="str">
        <f t="shared" si="691"/>
        <v>13</v>
      </c>
      <c r="N4693" t="s">
        <v>3323</v>
      </c>
      <c r="O4693" t="str">
        <f t="shared" si="695"/>
        <v>71211</v>
      </c>
      <c r="P4693" t="str">
        <f t="shared" si="698"/>
        <v>2100L</v>
      </c>
      <c r="Q4693" t="str">
        <f t="shared" si="696"/>
        <v>0101</v>
      </c>
      <c r="R4693">
        <v>2100</v>
      </c>
      <c r="S4693" t="str">
        <f t="shared" si="697"/>
        <v>7120</v>
      </c>
      <c r="T4693" t="s">
        <v>3834</v>
      </c>
      <c r="U4693" t="s">
        <v>98</v>
      </c>
    </row>
    <row r="4694" spans="1:21" ht="15" customHeight="1" x14ac:dyDescent="0.3">
      <c r="A4694" t="s">
        <v>179</v>
      </c>
      <c r="B4694" t="str">
        <f>"00076792"</f>
        <v>00076792</v>
      </c>
      <c r="C4694" t="s">
        <v>200</v>
      </c>
      <c r="D4694" t="s">
        <v>5723</v>
      </c>
      <c r="E4694" t="str">
        <f>"00070129"</f>
        <v>00070129</v>
      </c>
      <c r="F4694">
        <v>0</v>
      </c>
      <c r="G4694" s="243">
        <v>41133</v>
      </c>
      <c r="H4694" t="s">
        <v>182</v>
      </c>
      <c r="I4694">
        <v>15</v>
      </c>
      <c r="J4694">
        <v>10</v>
      </c>
      <c r="K4694">
        <v>1</v>
      </c>
      <c r="L4694">
        <v>78273</v>
      </c>
      <c r="M4694" t="str">
        <f t="shared" si="691"/>
        <v>13</v>
      </c>
      <c r="N4694" t="s">
        <v>3370</v>
      </c>
      <c r="O4694" t="str">
        <f>"7120G"</f>
        <v>7120G</v>
      </c>
      <c r="P4694" t="str">
        <f>"5600F"</f>
        <v>5600F</v>
      </c>
      <c r="Q4694" t="str">
        <f>"8200"</f>
        <v>8200</v>
      </c>
      <c r="R4694">
        <v>5600</v>
      </c>
      <c r="S4694" t="str">
        <f t="shared" si="697"/>
        <v>7120</v>
      </c>
      <c r="T4694" t="s">
        <v>3834</v>
      </c>
      <c r="U4694" t="s">
        <v>98</v>
      </c>
    </row>
    <row r="4695" spans="1:21" ht="15" customHeight="1" x14ac:dyDescent="0.3">
      <c r="A4695" t="s">
        <v>179</v>
      </c>
      <c r="B4695" t="str">
        <f>"00076823"</f>
        <v>00076823</v>
      </c>
      <c r="C4695" t="s">
        <v>4333</v>
      </c>
      <c r="D4695" t="s">
        <v>293</v>
      </c>
      <c r="E4695" t="str">
        <f>"00057857"</f>
        <v>00057857</v>
      </c>
      <c r="F4695">
        <v>0</v>
      </c>
      <c r="G4695" s="243">
        <v>41133</v>
      </c>
      <c r="H4695" t="s">
        <v>182</v>
      </c>
      <c r="I4695">
        <v>12</v>
      </c>
      <c r="J4695">
        <v>10</v>
      </c>
      <c r="K4695">
        <v>1</v>
      </c>
      <c r="L4695">
        <v>77322</v>
      </c>
      <c r="M4695" t="str">
        <f t="shared" si="691"/>
        <v>13</v>
      </c>
      <c r="N4695" t="s">
        <v>3370</v>
      </c>
      <c r="O4695" t="str">
        <f>"71211"</f>
        <v>71211</v>
      </c>
      <c r="P4695" t="str">
        <f>"2100L"</f>
        <v>2100L</v>
      </c>
      <c r="Q4695" t="str">
        <f t="shared" ref="Q4695:Q4722" si="699">"0101"</f>
        <v>0101</v>
      </c>
      <c r="R4695">
        <v>2100</v>
      </c>
      <c r="S4695" t="str">
        <f t="shared" si="697"/>
        <v>7120</v>
      </c>
      <c r="T4695" t="s">
        <v>3834</v>
      </c>
      <c r="U4695" t="s">
        <v>98</v>
      </c>
    </row>
    <row r="4696" spans="1:21" ht="15" customHeight="1" x14ac:dyDescent="0.3">
      <c r="A4696" t="s">
        <v>179</v>
      </c>
      <c r="B4696" t="str">
        <f>"00052638"</f>
        <v>00052638</v>
      </c>
      <c r="C4696" t="s">
        <v>4263</v>
      </c>
      <c r="D4696" t="s">
        <v>386</v>
      </c>
      <c r="E4696" t="str">
        <f>"00063020"</f>
        <v>00063020</v>
      </c>
      <c r="F4696">
        <v>0</v>
      </c>
      <c r="G4696" s="243">
        <v>40417</v>
      </c>
      <c r="H4696" t="s">
        <v>182</v>
      </c>
      <c r="I4696">
        <v>15</v>
      </c>
      <c r="J4696">
        <v>6</v>
      </c>
      <c r="K4696">
        <v>1</v>
      </c>
      <c r="L4696">
        <v>66078</v>
      </c>
      <c r="M4696" t="str">
        <f t="shared" si="691"/>
        <v>13</v>
      </c>
      <c r="N4696" t="s">
        <v>3323</v>
      </c>
      <c r="O4696" t="str">
        <f t="shared" ref="O4696:O4723" si="700">"71411"</f>
        <v>71411</v>
      </c>
      <c r="P4696" t="str">
        <f>"2100L"</f>
        <v>2100L</v>
      </c>
      <c r="Q4696" t="str">
        <f t="shared" si="699"/>
        <v>0101</v>
      </c>
      <c r="R4696">
        <v>2100</v>
      </c>
      <c r="S4696" t="str">
        <f t="shared" ref="S4696:S4723" si="701">"7140"</f>
        <v>7140</v>
      </c>
      <c r="T4696" t="s">
        <v>4031</v>
      </c>
      <c r="U4696" t="s">
        <v>97</v>
      </c>
    </row>
    <row r="4697" spans="1:21" ht="15" customHeight="1" x14ac:dyDescent="0.3">
      <c r="A4697" t="s">
        <v>179</v>
      </c>
      <c r="B4697" t="str">
        <f>"00052682"</f>
        <v>00052682</v>
      </c>
      <c r="C4697" t="s">
        <v>4263</v>
      </c>
      <c r="D4697" t="s">
        <v>387</v>
      </c>
      <c r="E4697" t="str">
        <f>"00048897"</f>
        <v>00048897</v>
      </c>
      <c r="F4697">
        <v>0</v>
      </c>
      <c r="G4697" s="243">
        <v>35709</v>
      </c>
      <c r="H4697" t="s">
        <v>182</v>
      </c>
      <c r="I4697">
        <v>15</v>
      </c>
      <c r="J4697">
        <v>16</v>
      </c>
      <c r="K4697">
        <v>1</v>
      </c>
      <c r="L4697">
        <v>103347</v>
      </c>
      <c r="M4697" t="str">
        <f t="shared" si="691"/>
        <v>13</v>
      </c>
      <c r="N4697" t="s">
        <v>3323</v>
      </c>
      <c r="O4697" t="str">
        <f t="shared" si="700"/>
        <v>71411</v>
      </c>
      <c r="P4697" t="str">
        <f>"2100L"</f>
        <v>2100L</v>
      </c>
      <c r="Q4697" t="str">
        <f t="shared" si="699"/>
        <v>0101</v>
      </c>
      <c r="R4697">
        <v>2100</v>
      </c>
      <c r="S4697" t="str">
        <f t="shared" si="701"/>
        <v>7140</v>
      </c>
      <c r="T4697" t="s">
        <v>4031</v>
      </c>
      <c r="U4697" t="s">
        <v>97</v>
      </c>
    </row>
    <row r="4698" spans="1:21" ht="15" customHeight="1" x14ac:dyDescent="0.3">
      <c r="A4698" t="s">
        <v>179</v>
      </c>
      <c r="B4698" t="str">
        <f>"00052992"</f>
        <v>00052992</v>
      </c>
      <c r="C4698" t="s">
        <v>4253</v>
      </c>
      <c r="D4698" t="s">
        <v>388</v>
      </c>
      <c r="E4698" t="str">
        <f>"00050603"</f>
        <v>00050603</v>
      </c>
      <c r="F4698">
        <v>0</v>
      </c>
      <c r="G4698" s="243">
        <v>32640</v>
      </c>
      <c r="H4698" t="s">
        <v>182</v>
      </c>
      <c r="I4698">
        <v>15</v>
      </c>
      <c r="J4698">
        <v>16</v>
      </c>
      <c r="K4698">
        <v>1</v>
      </c>
      <c r="L4698">
        <v>106540</v>
      </c>
      <c r="M4698" t="str">
        <f t="shared" si="691"/>
        <v>13</v>
      </c>
      <c r="N4698" t="s">
        <v>3323</v>
      </c>
      <c r="O4698" t="str">
        <f t="shared" si="700"/>
        <v>71411</v>
      </c>
      <c r="P4698" t="str">
        <f>"2100L"</f>
        <v>2100L</v>
      </c>
      <c r="Q4698" t="str">
        <f t="shared" si="699"/>
        <v>0101</v>
      </c>
      <c r="R4698">
        <v>2100</v>
      </c>
      <c r="S4698" t="str">
        <f t="shared" si="701"/>
        <v>7140</v>
      </c>
      <c r="T4698" t="s">
        <v>4031</v>
      </c>
      <c r="U4698" t="s">
        <v>97</v>
      </c>
    </row>
    <row r="4699" spans="1:21" ht="15" customHeight="1" x14ac:dyDescent="0.3">
      <c r="A4699" t="s">
        <v>179</v>
      </c>
      <c r="B4699" t="str">
        <f>"00053767"</f>
        <v>00053767</v>
      </c>
      <c r="C4699" t="s">
        <v>4261</v>
      </c>
      <c r="D4699" t="s">
        <v>389</v>
      </c>
      <c r="E4699" t="str">
        <f>"00052504"</f>
        <v>00052504</v>
      </c>
      <c r="F4699">
        <v>0</v>
      </c>
      <c r="G4699" s="243">
        <v>25665</v>
      </c>
      <c r="H4699" t="s">
        <v>182</v>
      </c>
      <c r="I4699">
        <v>15</v>
      </c>
      <c r="J4699">
        <v>16</v>
      </c>
      <c r="K4699">
        <v>1</v>
      </c>
      <c r="L4699">
        <v>110923</v>
      </c>
      <c r="M4699" t="str">
        <f t="shared" si="691"/>
        <v>13</v>
      </c>
      <c r="N4699" t="s">
        <v>3323</v>
      </c>
      <c r="O4699" t="str">
        <f t="shared" si="700"/>
        <v>71411</v>
      </c>
      <c r="P4699" t="str">
        <f>"2100L"</f>
        <v>2100L</v>
      </c>
      <c r="Q4699" t="str">
        <f t="shared" si="699"/>
        <v>0101</v>
      </c>
      <c r="R4699">
        <v>2100</v>
      </c>
      <c r="S4699" t="str">
        <f t="shared" si="701"/>
        <v>7140</v>
      </c>
      <c r="T4699" t="s">
        <v>4031</v>
      </c>
      <c r="U4699" t="s">
        <v>97</v>
      </c>
    </row>
    <row r="4700" spans="1:21" ht="15" customHeight="1" x14ac:dyDescent="0.3">
      <c r="A4700" t="s">
        <v>179</v>
      </c>
      <c r="B4700" t="str">
        <f>"00053830"</f>
        <v>00053830</v>
      </c>
      <c r="C4700" t="s">
        <v>3670</v>
      </c>
      <c r="D4700" t="s">
        <v>390</v>
      </c>
      <c r="E4700" t="str">
        <f>"00052600"</f>
        <v>00052600</v>
      </c>
      <c r="F4700">
        <v>0</v>
      </c>
      <c r="G4700" s="243">
        <v>26852</v>
      </c>
      <c r="H4700" t="s">
        <v>182</v>
      </c>
      <c r="I4700">
        <v>8</v>
      </c>
      <c r="J4700">
        <v>8</v>
      </c>
      <c r="K4700">
        <v>1</v>
      </c>
      <c r="L4700">
        <v>99453</v>
      </c>
      <c r="M4700" t="str">
        <f t="shared" si="691"/>
        <v>13</v>
      </c>
      <c r="N4700" t="s">
        <v>3323</v>
      </c>
      <c r="O4700" t="str">
        <f t="shared" si="700"/>
        <v>71411</v>
      </c>
      <c r="P4700" t="str">
        <f>"1501L"</f>
        <v>1501L</v>
      </c>
      <c r="Q4700" t="str">
        <f t="shared" si="699"/>
        <v>0101</v>
      </c>
      <c r="R4700">
        <v>1501</v>
      </c>
      <c r="S4700" t="str">
        <f t="shared" si="701"/>
        <v>7140</v>
      </c>
      <c r="T4700" t="s">
        <v>4031</v>
      </c>
      <c r="U4700" t="s">
        <v>97</v>
      </c>
    </row>
    <row r="4701" spans="1:21" ht="15" customHeight="1" x14ac:dyDescent="0.3">
      <c r="A4701" t="s">
        <v>179</v>
      </c>
      <c r="B4701" t="str">
        <f>"00053908"</f>
        <v>00053908</v>
      </c>
      <c r="C4701" t="s">
        <v>4253</v>
      </c>
      <c r="D4701" t="s">
        <v>391</v>
      </c>
      <c r="E4701" t="str">
        <f>"00052727"</f>
        <v>00052727</v>
      </c>
      <c r="F4701">
        <v>0</v>
      </c>
      <c r="G4701" s="243">
        <v>30713</v>
      </c>
      <c r="H4701" t="s">
        <v>182</v>
      </c>
      <c r="I4701">
        <v>15</v>
      </c>
      <c r="J4701">
        <v>16</v>
      </c>
      <c r="K4701">
        <v>1</v>
      </c>
      <c r="L4701">
        <v>103347</v>
      </c>
      <c r="M4701" t="str">
        <f t="shared" si="691"/>
        <v>13</v>
      </c>
      <c r="N4701" t="s">
        <v>3323</v>
      </c>
      <c r="O4701" t="str">
        <f t="shared" si="700"/>
        <v>71411</v>
      </c>
      <c r="P4701" t="str">
        <f>"2100L"</f>
        <v>2100L</v>
      </c>
      <c r="Q4701" t="str">
        <f t="shared" si="699"/>
        <v>0101</v>
      </c>
      <c r="R4701">
        <v>2100</v>
      </c>
      <c r="S4701" t="str">
        <f t="shared" si="701"/>
        <v>7140</v>
      </c>
      <c r="T4701" t="s">
        <v>4031</v>
      </c>
      <c r="U4701" t="s">
        <v>97</v>
      </c>
    </row>
    <row r="4702" spans="1:21" ht="15" customHeight="1" x14ac:dyDescent="0.3">
      <c r="A4702" t="s">
        <v>179</v>
      </c>
      <c r="B4702" t="str">
        <f>"00054915"</f>
        <v>00054915</v>
      </c>
      <c r="C4702" t="s">
        <v>4299</v>
      </c>
      <c r="D4702" t="s">
        <v>5724</v>
      </c>
      <c r="E4702" t="str">
        <f>"00054987"</f>
        <v>00054987</v>
      </c>
      <c r="F4702">
        <v>0</v>
      </c>
      <c r="G4702" s="243">
        <v>36174</v>
      </c>
      <c r="H4702" t="s">
        <v>182</v>
      </c>
      <c r="I4702">
        <v>7</v>
      </c>
      <c r="J4702">
        <v>8</v>
      </c>
      <c r="K4702">
        <v>1</v>
      </c>
      <c r="L4702">
        <v>43727</v>
      </c>
      <c r="M4702" t="str">
        <f t="shared" si="691"/>
        <v>13</v>
      </c>
      <c r="N4702" t="s">
        <v>3323</v>
      </c>
      <c r="O4702" t="str">
        <f t="shared" si="700"/>
        <v>71411</v>
      </c>
      <c r="P4702" t="str">
        <f>"1502L"</f>
        <v>1502L</v>
      </c>
      <c r="Q4702" t="str">
        <f t="shared" si="699"/>
        <v>0101</v>
      </c>
      <c r="R4702">
        <v>1502</v>
      </c>
      <c r="S4702" t="str">
        <f t="shared" si="701"/>
        <v>7140</v>
      </c>
      <c r="T4702" t="s">
        <v>4031</v>
      </c>
      <c r="U4702" t="s">
        <v>97</v>
      </c>
    </row>
    <row r="4703" spans="1:21" ht="15" customHeight="1" x14ac:dyDescent="0.3">
      <c r="A4703" t="s">
        <v>179</v>
      </c>
      <c r="B4703" t="str">
        <f>"00056887"</f>
        <v>00056887</v>
      </c>
      <c r="C4703" t="s">
        <v>4253</v>
      </c>
      <c r="H4703" t="s">
        <v>170</v>
      </c>
      <c r="I4703">
        <v>15</v>
      </c>
      <c r="J4703">
        <v>1</v>
      </c>
      <c r="K4703">
        <v>1</v>
      </c>
      <c r="L4703">
        <v>60128</v>
      </c>
      <c r="M4703" t="str">
        <f t="shared" si="691"/>
        <v>13</v>
      </c>
      <c r="N4703" t="s">
        <v>3323</v>
      </c>
      <c r="O4703" t="str">
        <f t="shared" si="700"/>
        <v>71411</v>
      </c>
      <c r="P4703" t="str">
        <f t="shared" ref="P4703:P4712" si="702">"2100L"</f>
        <v>2100L</v>
      </c>
      <c r="Q4703" t="str">
        <f t="shared" si="699"/>
        <v>0101</v>
      </c>
      <c r="R4703">
        <v>2100</v>
      </c>
      <c r="S4703" t="str">
        <f t="shared" si="701"/>
        <v>7140</v>
      </c>
      <c r="T4703" t="s">
        <v>4031</v>
      </c>
      <c r="U4703" t="s">
        <v>97</v>
      </c>
    </row>
    <row r="4704" spans="1:21" ht="15" customHeight="1" x14ac:dyDescent="0.3">
      <c r="A4704" t="s">
        <v>179</v>
      </c>
      <c r="B4704" t="str">
        <f>"00057030"</f>
        <v>00057030</v>
      </c>
      <c r="C4704" t="s">
        <v>4256</v>
      </c>
      <c r="H4704" t="s">
        <v>170</v>
      </c>
      <c r="I4704">
        <v>15</v>
      </c>
      <c r="J4704">
        <v>1</v>
      </c>
      <c r="K4704">
        <v>1</v>
      </c>
      <c r="L4704">
        <v>54975</v>
      </c>
      <c r="M4704" t="str">
        <f t="shared" si="691"/>
        <v>13</v>
      </c>
      <c r="N4704" t="s">
        <v>3323</v>
      </c>
      <c r="O4704" t="str">
        <f t="shared" si="700"/>
        <v>71411</v>
      </c>
      <c r="P4704" t="str">
        <f t="shared" si="702"/>
        <v>2100L</v>
      </c>
      <c r="Q4704" t="str">
        <f t="shared" si="699"/>
        <v>0101</v>
      </c>
      <c r="R4704">
        <v>2100</v>
      </c>
      <c r="S4704" t="str">
        <f t="shared" si="701"/>
        <v>7140</v>
      </c>
      <c r="T4704" t="s">
        <v>4031</v>
      </c>
      <c r="U4704" t="s">
        <v>97</v>
      </c>
    </row>
    <row r="4705" spans="1:21" ht="15" customHeight="1" x14ac:dyDescent="0.3">
      <c r="A4705" t="s">
        <v>179</v>
      </c>
      <c r="B4705" t="str">
        <f>"00057160"</f>
        <v>00057160</v>
      </c>
      <c r="C4705" t="s">
        <v>4367</v>
      </c>
      <c r="D4705" t="s">
        <v>5725</v>
      </c>
      <c r="E4705" t="str">
        <f>"00064772"</f>
        <v>00064772</v>
      </c>
      <c r="F4705">
        <v>0</v>
      </c>
      <c r="G4705" s="243">
        <v>40623</v>
      </c>
      <c r="H4705" t="s">
        <v>182</v>
      </c>
      <c r="I4705">
        <v>9</v>
      </c>
      <c r="J4705">
        <v>2</v>
      </c>
      <c r="K4705">
        <v>1</v>
      </c>
      <c r="L4705">
        <v>37949</v>
      </c>
      <c r="M4705" t="str">
        <f t="shared" si="691"/>
        <v>13</v>
      </c>
      <c r="N4705" t="s">
        <v>3323</v>
      </c>
      <c r="O4705" t="str">
        <f t="shared" si="700"/>
        <v>71411</v>
      </c>
      <c r="P4705" t="str">
        <f t="shared" si="702"/>
        <v>2100L</v>
      </c>
      <c r="Q4705" t="str">
        <f t="shared" si="699"/>
        <v>0101</v>
      </c>
      <c r="R4705">
        <v>2100</v>
      </c>
      <c r="S4705" t="str">
        <f t="shared" si="701"/>
        <v>7140</v>
      </c>
      <c r="T4705" t="s">
        <v>4031</v>
      </c>
      <c r="U4705" t="s">
        <v>97</v>
      </c>
    </row>
    <row r="4706" spans="1:21" ht="15" customHeight="1" x14ac:dyDescent="0.3">
      <c r="A4706" t="s">
        <v>179</v>
      </c>
      <c r="B4706" t="str">
        <f>"00057478"</f>
        <v>00057478</v>
      </c>
      <c r="C4706" t="s">
        <v>4253</v>
      </c>
      <c r="D4706" t="s">
        <v>392</v>
      </c>
      <c r="E4706" t="str">
        <f>"00047974"</f>
        <v>00047974</v>
      </c>
      <c r="F4706">
        <v>0</v>
      </c>
      <c r="G4706" s="243">
        <v>36768</v>
      </c>
      <c r="H4706" t="s">
        <v>182</v>
      </c>
      <c r="I4706">
        <v>15</v>
      </c>
      <c r="J4706">
        <v>15</v>
      </c>
      <c r="K4706">
        <v>1</v>
      </c>
      <c r="L4706">
        <v>98285</v>
      </c>
      <c r="M4706" t="str">
        <f t="shared" si="691"/>
        <v>13</v>
      </c>
      <c r="N4706" t="s">
        <v>3323</v>
      </c>
      <c r="O4706" t="str">
        <f t="shared" si="700"/>
        <v>71411</v>
      </c>
      <c r="P4706" t="str">
        <f t="shared" si="702"/>
        <v>2100L</v>
      </c>
      <c r="Q4706" t="str">
        <f t="shared" si="699"/>
        <v>0101</v>
      </c>
      <c r="R4706">
        <v>2100</v>
      </c>
      <c r="S4706" t="str">
        <f t="shared" si="701"/>
        <v>7140</v>
      </c>
      <c r="T4706" t="s">
        <v>4031</v>
      </c>
      <c r="U4706" t="s">
        <v>97</v>
      </c>
    </row>
    <row r="4707" spans="1:21" ht="15" customHeight="1" x14ac:dyDescent="0.3">
      <c r="A4707" t="s">
        <v>179</v>
      </c>
      <c r="B4707" t="str">
        <f>"00057687"</f>
        <v>00057687</v>
      </c>
      <c r="C4707" t="s">
        <v>4263</v>
      </c>
      <c r="D4707" t="s">
        <v>5726</v>
      </c>
      <c r="E4707" t="str">
        <f>"00069698"</f>
        <v>00069698</v>
      </c>
      <c r="F4707">
        <v>0</v>
      </c>
      <c r="G4707" s="243">
        <v>41133</v>
      </c>
      <c r="H4707" t="s">
        <v>182</v>
      </c>
      <c r="I4707">
        <v>15</v>
      </c>
      <c r="J4707">
        <v>1</v>
      </c>
      <c r="K4707">
        <v>1</v>
      </c>
      <c r="L4707">
        <v>53256</v>
      </c>
      <c r="M4707" t="str">
        <f t="shared" si="691"/>
        <v>13</v>
      </c>
      <c r="N4707" t="s">
        <v>3370</v>
      </c>
      <c r="O4707" t="str">
        <f t="shared" si="700"/>
        <v>71411</v>
      </c>
      <c r="P4707" t="str">
        <f t="shared" si="702"/>
        <v>2100L</v>
      </c>
      <c r="Q4707" t="str">
        <f t="shared" si="699"/>
        <v>0101</v>
      </c>
      <c r="R4707">
        <v>2100</v>
      </c>
      <c r="S4707" t="str">
        <f t="shared" si="701"/>
        <v>7140</v>
      </c>
      <c r="T4707" t="s">
        <v>4031</v>
      </c>
      <c r="U4707" t="s">
        <v>97</v>
      </c>
    </row>
    <row r="4708" spans="1:21" ht="15" customHeight="1" x14ac:dyDescent="0.3">
      <c r="A4708" t="s">
        <v>179</v>
      </c>
      <c r="B4708" t="str">
        <f>"00058072"</f>
        <v>00058072</v>
      </c>
      <c r="C4708" t="s">
        <v>4253</v>
      </c>
      <c r="D4708" t="s">
        <v>393</v>
      </c>
      <c r="E4708" t="str">
        <f>"00045605"</f>
        <v>00045605</v>
      </c>
      <c r="F4708">
        <v>0</v>
      </c>
      <c r="G4708" s="243">
        <v>37124</v>
      </c>
      <c r="H4708" t="s">
        <v>182</v>
      </c>
      <c r="I4708">
        <v>15</v>
      </c>
      <c r="J4708">
        <v>16</v>
      </c>
      <c r="K4708">
        <v>1</v>
      </c>
      <c r="L4708">
        <v>106540</v>
      </c>
      <c r="M4708" t="str">
        <f t="shared" si="691"/>
        <v>13</v>
      </c>
      <c r="N4708" t="s">
        <v>3323</v>
      </c>
      <c r="O4708" t="str">
        <f t="shared" si="700"/>
        <v>71411</v>
      </c>
      <c r="P4708" t="str">
        <f t="shared" si="702"/>
        <v>2100L</v>
      </c>
      <c r="Q4708" t="str">
        <f t="shared" si="699"/>
        <v>0101</v>
      </c>
      <c r="R4708">
        <v>2100</v>
      </c>
      <c r="S4708" t="str">
        <f t="shared" si="701"/>
        <v>7140</v>
      </c>
      <c r="T4708" t="s">
        <v>4031</v>
      </c>
      <c r="U4708" t="s">
        <v>97</v>
      </c>
    </row>
    <row r="4709" spans="1:21" ht="15" customHeight="1" x14ac:dyDescent="0.3">
      <c r="A4709" t="s">
        <v>179</v>
      </c>
      <c r="B4709" t="str">
        <f>"00058439"</f>
        <v>00058439</v>
      </c>
      <c r="C4709" t="s">
        <v>4518</v>
      </c>
      <c r="D4709" t="s">
        <v>394</v>
      </c>
      <c r="E4709" t="str">
        <f>"00049376"</f>
        <v>00049376</v>
      </c>
      <c r="F4709">
        <v>0</v>
      </c>
      <c r="G4709" s="243">
        <v>38951</v>
      </c>
      <c r="H4709" t="s">
        <v>182</v>
      </c>
      <c r="I4709">
        <v>10</v>
      </c>
      <c r="J4709">
        <v>9</v>
      </c>
      <c r="K4709">
        <v>1</v>
      </c>
      <c r="L4709">
        <v>86183</v>
      </c>
      <c r="M4709" t="str">
        <f t="shared" si="691"/>
        <v>13</v>
      </c>
      <c r="N4709" t="s">
        <v>3323</v>
      </c>
      <c r="O4709" t="str">
        <f t="shared" si="700"/>
        <v>71411</v>
      </c>
      <c r="P4709" t="str">
        <f t="shared" si="702"/>
        <v>2100L</v>
      </c>
      <c r="Q4709" t="str">
        <f t="shared" si="699"/>
        <v>0101</v>
      </c>
      <c r="R4709">
        <v>2100</v>
      </c>
      <c r="S4709" t="str">
        <f t="shared" si="701"/>
        <v>7140</v>
      </c>
      <c r="T4709" t="s">
        <v>4031</v>
      </c>
      <c r="U4709" t="s">
        <v>97</v>
      </c>
    </row>
    <row r="4710" spans="1:21" ht="15" customHeight="1" x14ac:dyDescent="0.3">
      <c r="A4710" t="s">
        <v>179</v>
      </c>
      <c r="B4710" t="str">
        <f>"00058532"</f>
        <v>00058532</v>
      </c>
      <c r="C4710" t="s">
        <v>4254</v>
      </c>
      <c r="H4710" t="s">
        <v>170</v>
      </c>
      <c r="I4710">
        <v>15</v>
      </c>
      <c r="J4710">
        <v>1</v>
      </c>
      <c r="K4710">
        <v>1</v>
      </c>
      <c r="L4710">
        <v>51539</v>
      </c>
      <c r="M4710" t="str">
        <f t="shared" si="691"/>
        <v>13</v>
      </c>
      <c r="N4710" t="s">
        <v>3323</v>
      </c>
      <c r="O4710" t="str">
        <f t="shared" si="700"/>
        <v>71411</v>
      </c>
      <c r="P4710" t="str">
        <f t="shared" si="702"/>
        <v>2100L</v>
      </c>
      <c r="Q4710" t="str">
        <f t="shared" si="699"/>
        <v>0101</v>
      </c>
      <c r="R4710">
        <v>2100</v>
      </c>
      <c r="S4710" t="str">
        <f t="shared" si="701"/>
        <v>7140</v>
      </c>
      <c r="T4710" t="s">
        <v>4031</v>
      </c>
      <c r="U4710" t="s">
        <v>97</v>
      </c>
    </row>
    <row r="4711" spans="1:21" ht="15" customHeight="1" x14ac:dyDescent="0.3">
      <c r="A4711" t="s">
        <v>179</v>
      </c>
      <c r="B4711" t="str">
        <f>"00058555"</f>
        <v>00058555</v>
      </c>
      <c r="C4711" t="s">
        <v>4253</v>
      </c>
      <c r="D4711" t="s">
        <v>395</v>
      </c>
      <c r="E4711" t="str">
        <f>"00049508"</f>
        <v>00049508</v>
      </c>
      <c r="F4711">
        <v>0</v>
      </c>
      <c r="G4711" s="243">
        <v>38951</v>
      </c>
      <c r="H4711" t="s">
        <v>182</v>
      </c>
      <c r="I4711">
        <v>15</v>
      </c>
      <c r="J4711">
        <v>9</v>
      </c>
      <c r="K4711">
        <v>1</v>
      </c>
      <c r="L4711">
        <v>75232</v>
      </c>
      <c r="M4711" t="str">
        <f t="shared" si="691"/>
        <v>13</v>
      </c>
      <c r="N4711" t="s">
        <v>3323</v>
      </c>
      <c r="O4711" t="str">
        <f t="shared" si="700"/>
        <v>71411</v>
      </c>
      <c r="P4711" t="str">
        <f t="shared" si="702"/>
        <v>2100L</v>
      </c>
      <c r="Q4711" t="str">
        <f t="shared" si="699"/>
        <v>0101</v>
      </c>
      <c r="R4711">
        <v>2100</v>
      </c>
      <c r="S4711" t="str">
        <f t="shared" si="701"/>
        <v>7140</v>
      </c>
      <c r="T4711" t="s">
        <v>4031</v>
      </c>
      <c r="U4711" t="s">
        <v>97</v>
      </c>
    </row>
    <row r="4712" spans="1:21" ht="15" customHeight="1" x14ac:dyDescent="0.3">
      <c r="A4712" t="s">
        <v>179</v>
      </c>
      <c r="B4712" t="str">
        <f>"00058940"</f>
        <v>00058940</v>
      </c>
      <c r="C4712" t="s">
        <v>4253</v>
      </c>
      <c r="D4712" t="s">
        <v>396</v>
      </c>
      <c r="E4712" t="str">
        <f>"00045945"</f>
        <v>00045945</v>
      </c>
      <c r="F4712">
        <v>0</v>
      </c>
      <c r="G4712" s="243">
        <v>36397</v>
      </c>
      <c r="H4712" t="s">
        <v>182</v>
      </c>
      <c r="I4712">
        <v>15</v>
      </c>
      <c r="J4712">
        <v>11</v>
      </c>
      <c r="K4712">
        <v>1</v>
      </c>
      <c r="L4712">
        <v>83774</v>
      </c>
      <c r="M4712" t="str">
        <f t="shared" si="691"/>
        <v>13</v>
      </c>
      <c r="N4712" t="s">
        <v>3323</v>
      </c>
      <c r="O4712" t="str">
        <f t="shared" si="700"/>
        <v>71411</v>
      </c>
      <c r="P4712" t="str">
        <f t="shared" si="702"/>
        <v>2100L</v>
      </c>
      <c r="Q4712" t="str">
        <f t="shared" si="699"/>
        <v>0101</v>
      </c>
      <c r="R4712">
        <v>2100</v>
      </c>
      <c r="S4712" t="str">
        <f t="shared" si="701"/>
        <v>7140</v>
      </c>
      <c r="T4712" t="s">
        <v>4031</v>
      </c>
      <c r="U4712" t="s">
        <v>97</v>
      </c>
    </row>
    <row r="4713" spans="1:21" ht="15" customHeight="1" x14ac:dyDescent="0.3">
      <c r="A4713" t="s">
        <v>179</v>
      </c>
      <c r="B4713" t="str">
        <f>"00059074"</f>
        <v>00059074</v>
      </c>
      <c r="C4713" t="s">
        <v>3798</v>
      </c>
      <c r="D4713" t="s">
        <v>397</v>
      </c>
      <c r="E4713" t="str">
        <f>"00052763"</f>
        <v>00052763</v>
      </c>
      <c r="F4713">
        <v>0</v>
      </c>
      <c r="G4713" s="243">
        <v>34262</v>
      </c>
      <c r="H4713" t="s">
        <v>182</v>
      </c>
      <c r="I4713">
        <v>65</v>
      </c>
      <c r="J4713">
        <v>7</v>
      </c>
      <c r="K4713">
        <v>1</v>
      </c>
      <c r="L4713">
        <v>140000</v>
      </c>
      <c r="M4713" t="str">
        <f t="shared" si="691"/>
        <v>13</v>
      </c>
      <c r="N4713" t="s">
        <v>3323</v>
      </c>
      <c r="O4713" t="str">
        <f t="shared" si="700"/>
        <v>71411</v>
      </c>
      <c r="P4713" t="str">
        <f>"1501L"</f>
        <v>1501L</v>
      </c>
      <c r="Q4713" t="str">
        <f t="shared" si="699"/>
        <v>0101</v>
      </c>
      <c r="R4713">
        <v>1501</v>
      </c>
      <c r="S4713" t="str">
        <f t="shared" si="701"/>
        <v>7140</v>
      </c>
      <c r="T4713" t="s">
        <v>4031</v>
      </c>
      <c r="U4713" t="s">
        <v>97</v>
      </c>
    </row>
    <row r="4714" spans="1:21" ht="15" customHeight="1" x14ac:dyDescent="0.3">
      <c r="A4714" t="s">
        <v>179</v>
      </c>
      <c r="B4714" t="str">
        <f>"00059239"</f>
        <v>00059239</v>
      </c>
      <c r="C4714" t="s">
        <v>4258</v>
      </c>
      <c r="D4714" t="s">
        <v>398</v>
      </c>
      <c r="E4714" t="str">
        <f>"00047597"</f>
        <v>00047597</v>
      </c>
      <c r="F4714">
        <v>0</v>
      </c>
      <c r="G4714" s="243">
        <v>38587</v>
      </c>
      <c r="H4714" t="s">
        <v>182</v>
      </c>
      <c r="I4714">
        <v>15</v>
      </c>
      <c r="J4714">
        <v>14</v>
      </c>
      <c r="K4714">
        <v>1</v>
      </c>
      <c r="L4714">
        <v>102160</v>
      </c>
      <c r="M4714" t="str">
        <f t="shared" si="691"/>
        <v>13</v>
      </c>
      <c r="N4714" t="s">
        <v>3323</v>
      </c>
      <c r="O4714" t="str">
        <f t="shared" si="700"/>
        <v>71411</v>
      </c>
      <c r="P4714" t="str">
        <f t="shared" ref="P4714:P4721" si="703">"2100L"</f>
        <v>2100L</v>
      </c>
      <c r="Q4714" t="str">
        <f t="shared" si="699"/>
        <v>0101</v>
      </c>
      <c r="R4714">
        <v>2100</v>
      </c>
      <c r="S4714" t="str">
        <f t="shared" si="701"/>
        <v>7140</v>
      </c>
      <c r="T4714" t="s">
        <v>4031</v>
      </c>
      <c r="U4714" t="s">
        <v>97</v>
      </c>
    </row>
    <row r="4715" spans="1:21" ht="15" customHeight="1" x14ac:dyDescent="0.3">
      <c r="A4715" t="s">
        <v>179</v>
      </c>
      <c r="B4715" t="str">
        <f>"00059240"</f>
        <v>00059240</v>
      </c>
      <c r="C4715" t="s">
        <v>4257</v>
      </c>
      <c r="D4715" t="s">
        <v>4034</v>
      </c>
      <c r="E4715" t="str">
        <f>"00046050"</f>
        <v>00046050</v>
      </c>
      <c r="F4715">
        <v>0</v>
      </c>
      <c r="G4715" s="243">
        <v>38587</v>
      </c>
      <c r="H4715" t="s">
        <v>182</v>
      </c>
      <c r="I4715">
        <v>15</v>
      </c>
      <c r="J4715">
        <v>8</v>
      </c>
      <c r="K4715">
        <v>1</v>
      </c>
      <c r="L4715">
        <v>72171</v>
      </c>
      <c r="M4715" t="str">
        <f t="shared" si="691"/>
        <v>13</v>
      </c>
      <c r="N4715" t="s">
        <v>3323</v>
      </c>
      <c r="O4715" t="str">
        <f t="shared" si="700"/>
        <v>71411</v>
      </c>
      <c r="P4715" t="str">
        <f t="shared" si="703"/>
        <v>2100L</v>
      </c>
      <c r="Q4715" t="str">
        <f t="shared" si="699"/>
        <v>0101</v>
      </c>
      <c r="R4715">
        <v>2100</v>
      </c>
      <c r="S4715" t="str">
        <f t="shared" si="701"/>
        <v>7140</v>
      </c>
      <c r="T4715" t="s">
        <v>4031</v>
      </c>
      <c r="U4715" t="s">
        <v>97</v>
      </c>
    </row>
    <row r="4716" spans="1:21" ht="15" customHeight="1" x14ac:dyDescent="0.3">
      <c r="A4716" t="s">
        <v>179</v>
      </c>
      <c r="B4716" t="str">
        <f>"00059435"</f>
        <v>00059435</v>
      </c>
      <c r="C4716" t="s">
        <v>4261</v>
      </c>
      <c r="D4716" t="s">
        <v>399</v>
      </c>
      <c r="E4716" t="str">
        <f>"00047929"</f>
        <v>00047929</v>
      </c>
      <c r="F4716">
        <v>0</v>
      </c>
      <c r="G4716" s="243">
        <v>37861</v>
      </c>
      <c r="H4716" t="s">
        <v>182</v>
      </c>
      <c r="I4716">
        <v>15</v>
      </c>
      <c r="J4716">
        <v>15</v>
      </c>
      <c r="K4716">
        <v>1</v>
      </c>
      <c r="L4716">
        <v>108113</v>
      </c>
      <c r="M4716" t="str">
        <f t="shared" si="691"/>
        <v>13</v>
      </c>
      <c r="N4716" t="s">
        <v>3323</v>
      </c>
      <c r="O4716" t="str">
        <f t="shared" si="700"/>
        <v>71411</v>
      </c>
      <c r="P4716" t="str">
        <f t="shared" si="703"/>
        <v>2100L</v>
      </c>
      <c r="Q4716" t="str">
        <f t="shared" si="699"/>
        <v>0101</v>
      </c>
      <c r="R4716">
        <v>2100</v>
      </c>
      <c r="S4716" t="str">
        <f t="shared" si="701"/>
        <v>7140</v>
      </c>
      <c r="T4716" t="s">
        <v>4031</v>
      </c>
      <c r="U4716" t="s">
        <v>97</v>
      </c>
    </row>
    <row r="4717" spans="1:21" ht="15" customHeight="1" x14ac:dyDescent="0.3">
      <c r="A4717" t="s">
        <v>179</v>
      </c>
      <c r="B4717" t="str">
        <f>"00059469"</f>
        <v>00059469</v>
      </c>
      <c r="C4717" t="s">
        <v>203</v>
      </c>
      <c r="D4717" t="s">
        <v>400</v>
      </c>
      <c r="E4717" t="str">
        <f>"00050735"</f>
        <v>00050735</v>
      </c>
      <c r="F4717">
        <v>0</v>
      </c>
      <c r="G4717" s="243">
        <v>37211</v>
      </c>
      <c r="H4717" t="s">
        <v>182</v>
      </c>
      <c r="I4717">
        <v>9</v>
      </c>
      <c r="J4717">
        <v>6</v>
      </c>
      <c r="K4717">
        <v>1</v>
      </c>
      <c r="L4717">
        <v>38478</v>
      </c>
      <c r="M4717" t="str">
        <f t="shared" si="691"/>
        <v>13</v>
      </c>
      <c r="N4717" t="s">
        <v>3323</v>
      </c>
      <c r="O4717" t="str">
        <f t="shared" si="700"/>
        <v>71411</v>
      </c>
      <c r="P4717" t="str">
        <f t="shared" si="703"/>
        <v>2100L</v>
      </c>
      <c r="Q4717" t="str">
        <f t="shared" si="699"/>
        <v>0101</v>
      </c>
      <c r="R4717">
        <v>2100</v>
      </c>
      <c r="S4717" t="str">
        <f t="shared" si="701"/>
        <v>7140</v>
      </c>
      <c r="T4717" t="s">
        <v>4031</v>
      </c>
      <c r="U4717" t="s">
        <v>97</v>
      </c>
    </row>
    <row r="4718" spans="1:21" ht="15" customHeight="1" x14ac:dyDescent="0.3">
      <c r="A4718" t="s">
        <v>179</v>
      </c>
      <c r="B4718" t="str">
        <f>"00059489"</f>
        <v>00059489</v>
      </c>
      <c r="C4718" t="s">
        <v>4255</v>
      </c>
      <c r="D4718" t="s">
        <v>401</v>
      </c>
      <c r="E4718" t="str">
        <f>"00046629"</f>
        <v>00046629</v>
      </c>
      <c r="F4718">
        <v>0</v>
      </c>
      <c r="G4718" s="243">
        <v>37914</v>
      </c>
      <c r="H4718" t="s">
        <v>182</v>
      </c>
      <c r="I4718">
        <v>15</v>
      </c>
      <c r="J4718">
        <v>14</v>
      </c>
      <c r="K4718">
        <v>1</v>
      </c>
      <c r="L4718">
        <v>96460</v>
      </c>
      <c r="M4718" t="str">
        <f t="shared" si="691"/>
        <v>13</v>
      </c>
      <c r="N4718" t="s">
        <v>3323</v>
      </c>
      <c r="O4718" t="str">
        <f t="shared" si="700"/>
        <v>71411</v>
      </c>
      <c r="P4718" t="str">
        <f t="shared" si="703"/>
        <v>2100L</v>
      </c>
      <c r="Q4718" t="str">
        <f t="shared" si="699"/>
        <v>0101</v>
      </c>
      <c r="R4718">
        <v>2100</v>
      </c>
      <c r="S4718" t="str">
        <f t="shared" si="701"/>
        <v>7140</v>
      </c>
      <c r="T4718" t="s">
        <v>4031</v>
      </c>
      <c r="U4718" t="s">
        <v>97</v>
      </c>
    </row>
    <row r="4719" spans="1:21" ht="15" customHeight="1" x14ac:dyDescent="0.3">
      <c r="A4719" t="s">
        <v>179</v>
      </c>
      <c r="B4719" t="str">
        <f>"00059514"</f>
        <v>00059514</v>
      </c>
      <c r="C4719" t="s">
        <v>4253</v>
      </c>
      <c r="D4719" t="s">
        <v>402</v>
      </c>
      <c r="E4719" t="str">
        <f>"00045073"</f>
        <v>00045073</v>
      </c>
      <c r="F4719">
        <v>0</v>
      </c>
      <c r="G4719" s="243">
        <v>37916</v>
      </c>
      <c r="H4719" t="s">
        <v>182</v>
      </c>
      <c r="I4719">
        <v>15</v>
      </c>
      <c r="J4719">
        <v>9</v>
      </c>
      <c r="K4719">
        <v>1</v>
      </c>
      <c r="L4719">
        <v>65985</v>
      </c>
      <c r="M4719" t="str">
        <f t="shared" si="691"/>
        <v>13</v>
      </c>
      <c r="N4719" t="s">
        <v>3323</v>
      </c>
      <c r="O4719" t="str">
        <f t="shared" si="700"/>
        <v>71411</v>
      </c>
      <c r="P4719" t="str">
        <f t="shared" si="703"/>
        <v>2100L</v>
      </c>
      <c r="Q4719" t="str">
        <f t="shared" si="699"/>
        <v>0101</v>
      </c>
      <c r="R4719">
        <v>2100</v>
      </c>
      <c r="S4719" t="str">
        <f t="shared" si="701"/>
        <v>7140</v>
      </c>
      <c r="T4719" t="s">
        <v>4031</v>
      </c>
      <c r="U4719" t="s">
        <v>97</v>
      </c>
    </row>
    <row r="4720" spans="1:21" ht="15" customHeight="1" x14ac:dyDescent="0.3">
      <c r="A4720" t="s">
        <v>179</v>
      </c>
      <c r="B4720" t="str">
        <f>"00059556"</f>
        <v>00059556</v>
      </c>
      <c r="C4720" t="s">
        <v>4253</v>
      </c>
      <c r="D4720" t="s">
        <v>403</v>
      </c>
      <c r="E4720" t="str">
        <f>"00046697"</f>
        <v>00046697</v>
      </c>
      <c r="F4720">
        <v>0</v>
      </c>
      <c r="G4720" s="243">
        <v>37914</v>
      </c>
      <c r="H4720" t="s">
        <v>182</v>
      </c>
      <c r="I4720">
        <v>15</v>
      </c>
      <c r="J4720">
        <v>16</v>
      </c>
      <c r="K4720">
        <v>1</v>
      </c>
      <c r="L4720">
        <v>106540</v>
      </c>
      <c r="M4720" t="str">
        <f t="shared" si="691"/>
        <v>13</v>
      </c>
      <c r="N4720" t="s">
        <v>3323</v>
      </c>
      <c r="O4720" t="str">
        <f t="shared" si="700"/>
        <v>71411</v>
      </c>
      <c r="P4720" t="str">
        <f t="shared" si="703"/>
        <v>2100L</v>
      </c>
      <c r="Q4720" t="str">
        <f t="shared" si="699"/>
        <v>0101</v>
      </c>
      <c r="R4720">
        <v>2100</v>
      </c>
      <c r="S4720" t="str">
        <f t="shared" si="701"/>
        <v>7140</v>
      </c>
      <c r="T4720" t="s">
        <v>4031</v>
      </c>
      <c r="U4720" t="s">
        <v>97</v>
      </c>
    </row>
    <row r="4721" spans="1:21" ht="15" customHeight="1" x14ac:dyDescent="0.3">
      <c r="A4721" t="s">
        <v>179</v>
      </c>
      <c r="B4721" t="str">
        <f>"00059843"</f>
        <v>00059843</v>
      </c>
      <c r="C4721" t="s">
        <v>4253</v>
      </c>
      <c r="D4721" t="s">
        <v>404</v>
      </c>
      <c r="E4721" t="str">
        <f>"00044592"</f>
        <v>00044592</v>
      </c>
      <c r="F4721">
        <v>0</v>
      </c>
      <c r="G4721" s="243">
        <v>38226</v>
      </c>
      <c r="H4721" t="s">
        <v>182</v>
      </c>
      <c r="I4721">
        <v>15</v>
      </c>
      <c r="J4721">
        <v>14</v>
      </c>
      <c r="K4721">
        <v>1</v>
      </c>
      <c r="L4721">
        <v>102160</v>
      </c>
      <c r="M4721" t="str">
        <f t="shared" si="691"/>
        <v>13</v>
      </c>
      <c r="N4721" t="s">
        <v>3323</v>
      </c>
      <c r="O4721" t="str">
        <f t="shared" si="700"/>
        <v>71411</v>
      </c>
      <c r="P4721" t="str">
        <f t="shared" si="703"/>
        <v>2100L</v>
      </c>
      <c r="Q4721" t="str">
        <f t="shared" si="699"/>
        <v>0101</v>
      </c>
      <c r="R4721">
        <v>2100</v>
      </c>
      <c r="S4721" t="str">
        <f t="shared" si="701"/>
        <v>7140</v>
      </c>
      <c r="T4721" t="s">
        <v>4031</v>
      </c>
      <c r="U4721" t="s">
        <v>97</v>
      </c>
    </row>
    <row r="4722" spans="1:21" ht="15" customHeight="1" x14ac:dyDescent="0.3">
      <c r="A4722" t="s">
        <v>179</v>
      </c>
      <c r="B4722" t="str">
        <f>"00059860"</f>
        <v>00059860</v>
      </c>
      <c r="C4722" t="s">
        <v>3670</v>
      </c>
      <c r="D4722" t="s">
        <v>4011</v>
      </c>
      <c r="E4722" t="str">
        <f>"00065949"</f>
        <v>00065949</v>
      </c>
      <c r="F4722">
        <v>0</v>
      </c>
      <c r="G4722" s="243">
        <v>40763</v>
      </c>
      <c r="H4722" t="s">
        <v>182</v>
      </c>
      <c r="I4722">
        <v>8</v>
      </c>
      <c r="J4722">
        <v>3</v>
      </c>
      <c r="K4722">
        <v>1</v>
      </c>
      <c r="L4722">
        <v>87160</v>
      </c>
      <c r="M4722" t="str">
        <f t="shared" si="691"/>
        <v>13</v>
      </c>
      <c r="N4722" t="s">
        <v>3370</v>
      </c>
      <c r="O4722" t="str">
        <f t="shared" si="700"/>
        <v>71411</v>
      </c>
      <c r="P4722" t="str">
        <f>"1501L"</f>
        <v>1501L</v>
      </c>
      <c r="Q4722" t="str">
        <f t="shared" si="699"/>
        <v>0101</v>
      </c>
      <c r="R4722">
        <v>1501</v>
      </c>
      <c r="S4722" t="str">
        <f t="shared" si="701"/>
        <v>7140</v>
      </c>
      <c r="T4722" t="s">
        <v>4031</v>
      </c>
      <c r="U4722" t="s">
        <v>97</v>
      </c>
    </row>
    <row r="4723" spans="1:21" ht="15" customHeight="1" x14ac:dyDescent="0.3">
      <c r="A4723" t="s">
        <v>179</v>
      </c>
      <c r="B4723" t="str">
        <f>"00060919"</f>
        <v>00060919</v>
      </c>
      <c r="C4723" t="s">
        <v>4263</v>
      </c>
      <c r="D4723" t="s">
        <v>405</v>
      </c>
      <c r="E4723" t="str">
        <f>"00049273"</f>
        <v>00049273</v>
      </c>
      <c r="F4723">
        <v>0</v>
      </c>
      <c r="G4723" s="243">
        <v>38975</v>
      </c>
      <c r="H4723" t="s">
        <v>182</v>
      </c>
      <c r="I4723">
        <v>15</v>
      </c>
      <c r="J4723">
        <v>7</v>
      </c>
      <c r="K4723">
        <v>1</v>
      </c>
      <c r="L4723">
        <v>69132</v>
      </c>
      <c r="M4723" t="str">
        <f t="shared" si="691"/>
        <v>13</v>
      </c>
      <c r="N4723" t="s">
        <v>3323</v>
      </c>
      <c r="O4723" t="str">
        <f t="shared" si="700"/>
        <v>71411</v>
      </c>
      <c r="P4723" t="str">
        <f t="shared" ref="P4723:P4735" si="704">"2100L"</f>
        <v>2100L</v>
      </c>
      <c r="Q4723" t="str">
        <f t="shared" ref="Q4723:Q4748" si="705">"0101"</f>
        <v>0101</v>
      </c>
      <c r="R4723">
        <v>2100</v>
      </c>
      <c r="S4723" t="str">
        <f t="shared" si="701"/>
        <v>7140</v>
      </c>
      <c r="T4723" t="s">
        <v>4031</v>
      </c>
      <c r="U4723" t="s">
        <v>97</v>
      </c>
    </row>
    <row r="4724" spans="1:21" ht="15" customHeight="1" x14ac:dyDescent="0.3">
      <c r="A4724" t="s">
        <v>179</v>
      </c>
      <c r="B4724" t="str">
        <f>"00061081"</f>
        <v>00061081</v>
      </c>
      <c r="C4724" t="s">
        <v>4253</v>
      </c>
      <c r="D4724" t="s">
        <v>406</v>
      </c>
      <c r="E4724" t="str">
        <f>"00053474"</f>
        <v>00053474</v>
      </c>
      <c r="F4724">
        <v>0</v>
      </c>
      <c r="G4724" s="243">
        <v>39315</v>
      </c>
      <c r="H4724" t="s">
        <v>182</v>
      </c>
      <c r="I4724">
        <v>15</v>
      </c>
      <c r="J4724">
        <v>6</v>
      </c>
      <c r="K4724">
        <v>1</v>
      </c>
      <c r="L4724">
        <v>61032</v>
      </c>
      <c r="M4724" t="str">
        <f t="shared" si="691"/>
        <v>13</v>
      </c>
      <c r="N4724" t="s">
        <v>3323</v>
      </c>
      <c r="O4724" t="str">
        <f t="shared" ref="O4724:O4742" si="706">"71411"</f>
        <v>71411</v>
      </c>
      <c r="P4724" t="str">
        <f t="shared" si="704"/>
        <v>2100L</v>
      </c>
      <c r="Q4724" t="str">
        <f t="shared" si="705"/>
        <v>0101</v>
      </c>
      <c r="R4724">
        <v>2100</v>
      </c>
      <c r="S4724" t="str">
        <f t="shared" ref="S4724:S4742" si="707">"7140"</f>
        <v>7140</v>
      </c>
      <c r="T4724" t="s">
        <v>4031</v>
      </c>
      <c r="U4724" t="s">
        <v>97</v>
      </c>
    </row>
    <row r="4725" spans="1:21" ht="15" customHeight="1" x14ac:dyDescent="0.3">
      <c r="A4725" t="s">
        <v>179</v>
      </c>
      <c r="B4725" t="str">
        <f>"00061474"</f>
        <v>00061474</v>
      </c>
      <c r="C4725" t="s">
        <v>4253</v>
      </c>
      <c r="D4725" t="s">
        <v>407</v>
      </c>
      <c r="E4725" t="str">
        <f>"00048907"</f>
        <v>00048907</v>
      </c>
      <c r="F4725">
        <v>0</v>
      </c>
      <c r="G4725" s="243">
        <v>39315</v>
      </c>
      <c r="H4725" t="s">
        <v>182</v>
      </c>
      <c r="I4725">
        <v>15</v>
      </c>
      <c r="J4725">
        <v>14</v>
      </c>
      <c r="K4725">
        <v>1</v>
      </c>
      <c r="L4725">
        <v>96460</v>
      </c>
      <c r="M4725" t="str">
        <f t="shared" ref="M4725:M4777" si="708">"13"</f>
        <v>13</v>
      </c>
      <c r="N4725" t="s">
        <v>3323</v>
      </c>
      <c r="O4725" t="str">
        <f t="shared" si="706"/>
        <v>71411</v>
      </c>
      <c r="P4725" t="str">
        <f t="shared" si="704"/>
        <v>2100L</v>
      </c>
      <c r="Q4725" t="str">
        <f t="shared" si="705"/>
        <v>0101</v>
      </c>
      <c r="R4725">
        <v>2100</v>
      </c>
      <c r="S4725" t="str">
        <f t="shared" si="707"/>
        <v>7140</v>
      </c>
      <c r="T4725" t="s">
        <v>4031</v>
      </c>
      <c r="U4725" t="s">
        <v>97</v>
      </c>
    </row>
    <row r="4726" spans="1:21" ht="15" customHeight="1" x14ac:dyDescent="0.3">
      <c r="A4726" t="s">
        <v>179</v>
      </c>
      <c r="B4726" t="str">
        <f>"00062183"</f>
        <v>00062183</v>
      </c>
      <c r="C4726" t="s">
        <v>4253</v>
      </c>
      <c r="D4726" t="s">
        <v>408</v>
      </c>
      <c r="E4726" t="str">
        <f>"00047507"</f>
        <v>00047507</v>
      </c>
      <c r="F4726">
        <v>0</v>
      </c>
      <c r="G4726" s="243">
        <v>39679</v>
      </c>
      <c r="H4726" t="s">
        <v>182</v>
      </c>
      <c r="I4726">
        <v>15</v>
      </c>
      <c r="J4726">
        <v>8</v>
      </c>
      <c r="K4726">
        <v>1</v>
      </c>
      <c r="L4726">
        <v>72171</v>
      </c>
      <c r="M4726" t="str">
        <f t="shared" si="708"/>
        <v>13</v>
      </c>
      <c r="N4726" t="s">
        <v>3323</v>
      </c>
      <c r="O4726" t="str">
        <f t="shared" si="706"/>
        <v>71411</v>
      </c>
      <c r="P4726" t="str">
        <f t="shared" si="704"/>
        <v>2100L</v>
      </c>
      <c r="Q4726" t="str">
        <f t="shared" si="705"/>
        <v>0101</v>
      </c>
      <c r="R4726">
        <v>2100</v>
      </c>
      <c r="S4726" t="str">
        <f t="shared" si="707"/>
        <v>7140</v>
      </c>
      <c r="T4726" t="s">
        <v>4031</v>
      </c>
      <c r="U4726" t="s">
        <v>97</v>
      </c>
    </row>
    <row r="4727" spans="1:21" ht="15" customHeight="1" x14ac:dyDescent="0.3">
      <c r="A4727" t="s">
        <v>179</v>
      </c>
      <c r="B4727" t="str">
        <f>"00062186"</f>
        <v>00062186</v>
      </c>
      <c r="C4727" t="s">
        <v>4253</v>
      </c>
      <c r="D4727" t="s">
        <v>2980</v>
      </c>
      <c r="E4727" t="str">
        <f>"00055258"</f>
        <v>00055258</v>
      </c>
      <c r="F4727">
        <v>0</v>
      </c>
      <c r="G4727" s="243">
        <v>37916</v>
      </c>
      <c r="H4727" t="s">
        <v>182</v>
      </c>
      <c r="I4727">
        <v>15</v>
      </c>
      <c r="J4727">
        <v>14</v>
      </c>
      <c r="K4727">
        <v>1</v>
      </c>
      <c r="L4727">
        <v>96460</v>
      </c>
      <c r="M4727" t="str">
        <f t="shared" si="708"/>
        <v>13</v>
      </c>
      <c r="N4727" t="s">
        <v>3370</v>
      </c>
      <c r="O4727" t="str">
        <f t="shared" si="706"/>
        <v>71411</v>
      </c>
      <c r="P4727" t="str">
        <f t="shared" si="704"/>
        <v>2100L</v>
      </c>
      <c r="Q4727" t="str">
        <f t="shared" si="705"/>
        <v>0101</v>
      </c>
      <c r="R4727">
        <v>2100</v>
      </c>
      <c r="S4727" t="str">
        <f t="shared" si="707"/>
        <v>7140</v>
      </c>
      <c r="T4727" t="s">
        <v>4031</v>
      </c>
      <c r="U4727" t="s">
        <v>97</v>
      </c>
    </row>
    <row r="4728" spans="1:21" ht="15" customHeight="1" x14ac:dyDescent="0.3">
      <c r="A4728" t="s">
        <v>179</v>
      </c>
      <c r="B4728" t="str">
        <f>"00062338"</f>
        <v>00062338</v>
      </c>
      <c r="C4728" t="s">
        <v>4253</v>
      </c>
      <c r="D4728" t="s">
        <v>409</v>
      </c>
      <c r="E4728" t="str">
        <f>"00050222"</f>
        <v>00050222</v>
      </c>
      <c r="F4728">
        <v>0</v>
      </c>
      <c r="G4728" s="243">
        <v>39693</v>
      </c>
      <c r="H4728" t="s">
        <v>182</v>
      </c>
      <c r="I4728">
        <v>15</v>
      </c>
      <c r="J4728">
        <v>5</v>
      </c>
      <c r="K4728">
        <v>1</v>
      </c>
      <c r="L4728">
        <v>63611</v>
      </c>
      <c r="M4728" t="str">
        <f t="shared" si="708"/>
        <v>13</v>
      </c>
      <c r="N4728" t="s">
        <v>3323</v>
      </c>
      <c r="O4728" t="str">
        <f t="shared" si="706"/>
        <v>71411</v>
      </c>
      <c r="P4728" t="str">
        <f t="shared" si="704"/>
        <v>2100L</v>
      </c>
      <c r="Q4728" t="str">
        <f t="shared" si="705"/>
        <v>0101</v>
      </c>
      <c r="R4728">
        <v>2100</v>
      </c>
      <c r="S4728" t="str">
        <f t="shared" si="707"/>
        <v>7140</v>
      </c>
      <c r="T4728" t="s">
        <v>4031</v>
      </c>
      <c r="U4728" t="s">
        <v>97</v>
      </c>
    </row>
    <row r="4729" spans="1:21" ht="15" customHeight="1" x14ac:dyDescent="0.3">
      <c r="A4729" t="s">
        <v>179</v>
      </c>
      <c r="B4729" t="str">
        <f>"00062444"</f>
        <v>00062444</v>
      </c>
      <c r="C4729" t="s">
        <v>4253</v>
      </c>
      <c r="D4729" t="s">
        <v>410</v>
      </c>
      <c r="E4729" t="str">
        <f>"00055306"</f>
        <v>00055306</v>
      </c>
      <c r="F4729">
        <v>0</v>
      </c>
      <c r="G4729" s="243">
        <v>39679</v>
      </c>
      <c r="H4729" t="s">
        <v>182</v>
      </c>
      <c r="I4729">
        <v>15</v>
      </c>
      <c r="J4729">
        <v>12</v>
      </c>
      <c r="K4729">
        <v>1</v>
      </c>
      <c r="L4729">
        <v>89887</v>
      </c>
      <c r="M4729" t="str">
        <f t="shared" si="708"/>
        <v>13</v>
      </c>
      <c r="N4729" t="s">
        <v>3323</v>
      </c>
      <c r="O4729" t="str">
        <f t="shared" si="706"/>
        <v>71411</v>
      </c>
      <c r="P4729" t="str">
        <f t="shared" si="704"/>
        <v>2100L</v>
      </c>
      <c r="Q4729" t="str">
        <f t="shared" si="705"/>
        <v>0101</v>
      </c>
      <c r="R4729">
        <v>2100</v>
      </c>
      <c r="S4729" t="str">
        <f t="shared" si="707"/>
        <v>7140</v>
      </c>
      <c r="T4729" t="s">
        <v>4031</v>
      </c>
      <c r="U4729" t="s">
        <v>97</v>
      </c>
    </row>
    <row r="4730" spans="1:21" ht="15" customHeight="1" x14ac:dyDescent="0.3">
      <c r="A4730" t="s">
        <v>179</v>
      </c>
      <c r="B4730" t="str">
        <f>"00062481"</f>
        <v>00062481</v>
      </c>
      <c r="C4730" t="s">
        <v>411</v>
      </c>
      <c r="D4730" t="s">
        <v>412</v>
      </c>
      <c r="E4730" t="str">
        <f>"00052501"</f>
        <v>00052501</v>
      </c>
      <c r="F4730">
        <v>0</v>
      </c>
      <c r="G4730" s="243">
        <v>41133</v>
      </c>
      <c r="H4730" t="s">
        <v>182</v>
      </c>
      <c r="I4730">
        <v>16</v>
      </c>
      <c r="J4730">
        <v>1</v>
      </c>
      <c r="K4730">
        <v>0.5</v>
      </c>
      <c r="L4730">
        <v>24377.599999999999</v>
      </c>
      <c r="M4730" t="str">
        <f t="shared" si="708"/>
        <v>13</v>
      </c>
      <c r="N4730" t="s">
        <v>3323</v>
      </c>
      <c r="O4730" t="str">
        <f t="shared" si="706"/>
        <v>71411</v>
      </c>
      <c r="P4730" t="str">
        <f t="shared" si="704"/>
        <v>2100L</v>
      </c>
      <c r="Q4730" t="str">
        <f t="shared" si="705"/>
        <v>0101</v>
      </c>
      <c r="R4730">
        <v>2100</v>
      </c>
      <c r="S4730" t="str">
        <f t="shared" si="707"/>
        <v>7140</v>
      </c>
      <c r="T4730" t="s">
        <v>4031</v>
      </c>
      <c r="U4730" t="s">
        <v>97</v>
      </c>
    </row>
    <row r="4731" spans="1:21" ht="15" customHeight="1" x14ac:dyDescent="0.3">
      <c r="A4731" t="s">
        <v>179</v>
      </c>
      <c r="B4731" t="str">
        <f>"00063114"</f>
        <v>00063114</v>
      </c>
      <c r="C4731" t="s">
        <v>4253</v>
      </c>
      <c r="H4731" t="s">
        <v>170</v>
      </c>
      <c r="I4731">
        <v>15</v>
      </c>
      <c r="J4731">
        <v>1</v>
      </c>
      <c r="K4731">
        <v>1</v>
      </c>
      <c r="L4731">
        <v>51539</v>
      </c>
      <c r="M4731" t="str">
        <f t="shared" si="708"/>
        <v>13</v>
      </c>
      <c r="N4731" t="s">
        <v>3323</v>
      </c>
      <c r="O4731" t="str">
        <f t="shared" si="706"/>
        <v>71411</v>
      </c>
      <c r="P4731" t="str">
        <f t="shared" si="704"/>
        <v>2100L</v>
      </c>
      <c r="Q4731" t="str">
        <f t="shared" si="705"/>
        <v>0101</v>
      </c>
      <c r="R4731">
        <v>2100</v>
      </c>
      <c r="S4731" t="str">
        <f t="shared" si="707"/>
        <v>7140</v>
      </c>
      <c r="T4731" t="s">
        <v>4031</v>
      </c>
      <c r="U4731" t="s">
        <v>97</v>
      </c>
    </row>
    <row r="4732" spans="1:21" ht="15" customHeight="1" x14ac:dyDescent="0.3">
      <c r="A4732" t="s">
        <v>179</v>
      </c>
      <c r="B4732" t="str">
        <f>"00065843"</f>
        <v>00065843</v>
      </c>
      <c r="C4732" t="s">
        <v>4253</v>
      </c>
      <c r="D4732" t="s">
        <v>5727</v>
      </c>
      <c r="E4732" t="str">
        <f>"00069484"</f>
        <v>00069484</v>
      </c>
      <c r="F4732">
        <v>0</v>
      </c>
      <c r="G4732" s="243">
        <v>41133</v>
      </c>
      <c r="H4732" t="s">
        <v>182</v>
      </c>
      <c r="I4732">
        <v>15</v>
      </c>
      <c r="J4732">
        <v>1</v>
      </c>
      <c r="K4732">
        <v>1</v>
      </c>
      <c r="L4732">
        <v>51539</v>
      </c>
      <c r="M4732" t="str">
        <f t="shared" si="708"/>
        <v>13</v>
      </c>
      <c r="N4732" t="s">
        <v>3370</v>
      </c>
      <c r="O4732" t="str">
        <f t="shared" si="706"/>
        <v>71411</v>
      </c>
      <c r="P4732" t="str">
        <f t="shared" si="704"/>
        <v>2100L</v>
      </c>
      <c r="Q4732" t="str">
        <f t="shared" si="705"/>
        <v>0101</v>
      </c>
      <c r="R4732">
        <v>2100</v>
      </c>
      <c r="S4732" t="str">
        <f t="shared" si="707"/>
        <v>7140</v>
      </c>
      <c r="T4732" t="s">
        <v>4031</v>
      </c>
      <c r="U4732" t="s">
        <v>97</v>
      </c>
    </row>
    <row r="4733" spans="1:21" ht="15" customHeight="1" x14ac:dyDescent="0.3">
      <c r="A4733" t="s">
        <v>179</v>
      </c>
      <c r="B4733" t="str">
        <f>"00065844"</f>
        <v>00065844</v>
      </c>
      <c r="C4733" t="s">
        <v>4263</v>
      </c>
      <c r="D4733" t="s">
        <v>413</v>
      </c>
      <c r="E4733" t="str">
        <f>"00057115"</f>
        <v>00057115</v>
      </c>
      <c r="F4733">
        <v>0</v>
      </c>
      <c r="G4733" s="243">
        <v>40042</v>
      </c>
      <c r="H4733" t="s">
        <v>182</v>
      </c>
      <c r="I4733">
        <v>15</v>
      </c>
      <c r="J4733">
        <v>5</v>
      </c>
      <c r="K4733">
        <v>1</v>
      </c>
      <c r="L4733">
        <v>63611</v>
      </c>
      <c r="M4733" t="str">
        <f t="shared" si="708"/>
        <v>13</v>
      </c>
      <c r="N4733" t="s">
        <v>3323</v>
      </c>
      <c r="O4733" t="str">
        <f t="shared" si="706"/>
        <v>71411</v>
      </c>
      <c r="P4733" t="str">
        <f t="shared" si="704"/>
        <v>2100L</v>
      </c>
      <c r="Q4733" t="str">
        <f t="shared" si="705"/>
        <v>0101</v>
      </c>
      <c r="R4733">
        <v>2100</v>
      </c>
      <c r="S4733" t="str">
        <f t="shared" si="707"/>
        <v>7140</v>
      </c>
      <c r="T4733" t="s">
        <v>4031</v>
      </c>
      <c r="U4733" t="s">
        <v>97</v>
      </c>
    </row>
    <row r="4734" spans="1:21" ht="15" customHeight="1" x14ac:dyDescent="0.3">
      <c r="A4734" t="s">
        <v>179</v>
      </c>
      <c r="B4734" t="str">
        <f>"00066349"</f>
        <v>00066349</v>
      </c>
      <c r="C4734" t="s">
        <v>4261</v>
      </c>
      <c r="H4734" t="s">
        <v>170</v>
      </c>
      <c r="I4734">
        <v>15</v>
      </c>
      <c r="J4734">
        <v>1</v>
      </c>
      <c r="K4734">
        <v>1</v>
      </c>
      <c r="L4734">
        <v>60473</v>
      </c>
      <c r="M4734" t="str">
        <f t="shared" si="708"/>
        <v>13</v>
      </c>
      <c r="N4734" t="s">
        <v>3323</v>
      </c>
      <c r="O4734" t="str">
        <f t="shared" si="706"/>
        <v>71411</v>
      </c>
      <c r="P4734" t="str">
        <f t="shared" si="704"/>
        <v>2100L</v>
      </c>
      <c r="Q4734" t="str">
        <f t="shared" si="705"/>
        <v>0101</v>
      </c>
      <c r="R4734">
        <v>2100</v>
      </c>
      <c r="S4734" t="str">
        <f t="shared" si="707"/>
        <v>7140</v>
      </c>
      <c r="T4734" t="s">
        <v>4031</v>
      </c>
      <c r="U4734" t="s">
        <v>97</v>
      </c>
    </row>
    <row r="4735" spans="1:21" ht="15" customHeight="1" x14ac:dyDescent="0.3">
      <c r="A4735" t="s">
        <v>179</v>
      </c>
      <c r="B4735" t="str">
        <f>"00070823"</f>
        <v>00070823</v>
      </c>
      <c r="C4735" t="s">
        <v>4253</v>
      </c>
      <c r="D4735" t="s">
        <v>4033</v>
      </c>
      <c r="E4735" t="str">
        <f>"00066271"</f>
        <v>00066271</v>
      </c>
      <c r="F4735">
        <v>0</v>
      </c>
      <c r="G4735" s="243">
        <v>40755</v>
      </c>
      <c r="H4735" t="s">
        <v>182</v>
      </c>
      <c r="I4735">
        <v>15</v>
      </c>
      <c r="J4735">
        <v>1</v>
      </c>
      <c r="K4735">
        <v>1</v>
      </c>
      <c r="L4735">
        <v>54975</v>
      </c>
      <c r="M4735" t="str">
        <f t="shared" si="708"/>
        <v>13</v>
      </c>
      <c r="N4735" t="s">
        <v>3323</v>
      </c>
      <c r="O4735" t="str">
        <f t="shared" si="706"/>
        <v>71411</v>
      </c>
      <c r="P4735" t="str">
        <f t="shared" si="704"/>
        <v>2100L</v>
      </c>
      <c r="Q4735" t="str">
        <f t="shared" si="705"/>
        <v>0101</v>
      </c>
      <c r="R4735">
        <v>2100</v>
      </c>
      <c r="S4735" t="str">
        <f t="shared" si="707"/>
        <v>7140</v>
      </c>
      <c r="T4735" t="s">
        <v>4031</v>
      </c>
      <c r="U4735" t="s">
        <v>97</v>
      </c>
    </row>
    <row r="4736" spans="1:21" ht="15" customHeight="1" x14ac:dyDescent="0.3">
      <c r="A4736" t="s">
        <v>179</v>
      </c>
      <c r="B4736" t="str">
        <f>"00074072"</f>
        <v>00074072</v>
      </c>
      <c r="C4736" t="s">
        <v>4265</v>
      </c>
      <c r="H4736" t="s">
        <v>170</v>
      </c>
      <c r="I4736">
        <v>15</v>
      </c>
      <c r="J4736">
        <v>1</v>
      </c>
      <c r="K4736">
        <v>1</v>
      </c>
      <c r="L4736">
        <v>56693</v>
      </c>
      <c r="M4736" t="str">
        <f t="shared" si="708"/>
        <v>13</v>
      </c>
      <c r="N4736" t="s">
        <v>3323</v>
      </c>
      <c r="O4736" t="str">
        <f t="shared" si="706"/>
        <v>71411</v>
      </c>
      <c r="P4736" t="str">
        <f t="shared" ref="P4736:P4743" si="709">"2100L"</f>
        <v>2100L</v>
      </c>
      <c r="Q4736" t="str">
        <f t="shared" si="705"/>
        <v>0101</v>
      </c>
      <c r="R4736">
        <v>2100</v>
      </c>
      <c r="S4736" t="str">
        <f t="shared" si="707"/>
        <v>7140</v>
      </c>
      <c r="T4736" t="s">
        <v>4031</v>
      </c>
      <c r="U4736" t="s">
        <v>97</v>
      </c>
    </row>
    <row r="4737" spans="1:21" ht="15" customHeight="1" x14ac:dyDescent="0.3">
      <c r="A4737" t="s">
        <v>179</v>
      </c>
      <c r="B4737" t="str">
        <f>"00075937"</f>
        <v>00075937</v>
      </c>
      <c r="C4737" t="s">
        <v>4253</v>
      </c>
      <c r="H4737" t="s">
        <v>170</v>
      </c>
      <c r="I4737">
        <v>15</v>
      </c>
      <c r="J4737">
        <v>0</v>
      </c>
      <c r="K4737">
        <v>1</v>
      </c>
      <c r="L4737">
        <v>51539</v>
      </c>
      <c r="M4737" t="str">
        <f t="shared" si="708"/>
        <v>13</v>
      </c>
      <c r="N4737" t="s">
        <v>3323</v>
      </c>
      <c r="O4737" t="str">
        <f t="shared" si="706"/>
        <v>71411</v>
      </c>
      <c r="P4737" t="str">
        <f t="shared" si="709"/>
        <v>2100L</v>
      </c>
      <c r="Q4737" t="str">
        <f t="shared" si="705"/>
        <v>0101</v>
      </c>
      <c r="R4737">
        <v>2100</v>
      </c>
      <c r="S4737" t="str">
        <f t="shared" si="707"/>
        <v>7140</v>
      </c>
      <c r="T4737" t="s">
        <v>4031</v>
      </c>
      <c r="U4737" t="s">
        <v>97</v>
      </c>
    </row>
    <row r="4738" spans="1:21" ht="15" customHeight="1" x14ac:dyDescent="0.3">
      <c r="A4738" t="s">
        <v>179</v>
      </c>
      <c r="B4738" t="str">
        <f>"00075938"</f>
        <v>00075938</v>
      </c>
      <c r="C4738" t="s">
        <v>4256</v>
      </c>
      <c r="D4738" t="s">
        <v>2051</v>
      </c>
      <c r="E4738" t="str">
        <f>"00048779"</f>
        <v>00048779</v>
      </c>
      <c r="F4738">
        <v>0</v>
      </c>
      <c r="G4738" s="243">
        <v>36390</v>
      </c>
      <c r="H4738" t="s">
        <v>182</v>
      </c>
      <c r="I4738">
        <v>15</v>
      </c>
      <c r="J4738">
        <v>14</v>
      </c>
      <c r="K4738">
        <v>0.5</v>
      </c>
      <c r="L4738">
        <v>49483.5</v>
      </c>
      <c r="M4738" t="str">
        <f t="shared" si="708"/>
        <v>13</v>
      </c>
      <c r="N4738" t="s">
        <v>3370</v>
      </c>
      <c r="O4738" t="str">
        <f t="shared" si="706"/>
        <v>71411</v>
      </c>
      <c r="P4738" t="str">
        <f t="shared" si="709"/>
        <v>2100L</v>
      </c>
      <c r="Q4738" t="str">
        <f t="shared" si="705"/>
        <v>0101</v>
      </c>
      <c r="R4738">
        <v>2100</v>
      </c>
      <c r="S4738" t="str">
        <f t="shared" si="707"/>
        <v>7140</v>
      </c>
      <c r="T4738" t="s">
        <v>4031</v>
      </c>
      <c r="U4738" t="s">
        <v>97</v>
      </c>
    </row>
    <row r="4739" spans="1:21" ht="15" customHeight="1" x14ac:dyDescent="0.3">
      <c r="A4739" t="s">
        <v>179</v>
      </c>
      <c r="B4739" t="str">
        <f>"00075939"</f>
        <v>00075939</v>
      </c>
      <c r="C4739" t="s">
        <v>4998</v>
      </c>
      <c r="D4739" t="s">
        <v>4237</v>
      </c>
      <c r="E4739" t="str">
        <f>"00066305"</f>
        <v>00066305</v>
      </c>
      <c r="F4739">
        <v>0</v>
      </c>
      <c r="G4739" s="243">
        <v>41119</v>
      </c>
      <c r="H4739" t="s">
        <v>182</v>
      </c>
      <c r="I4739">
        <v>15</v>
      </c>
      <c r="J4739">
        <v>1</v>
      </c>
      <c r="K4739">
        <v>0.5</v>
      </c>
      <c r="L4739">
        <v>25769.5</v>
      </c>
      <c r="M4739" t="str">
        <f t="shared" si="708"/>
        <v>13</v>
      </c>
      <c r="N4739" t="s">
        <v>3323</v>
      </c>
      <c r="O4739" t="str">
        <f t="shared" si="706"/>
        <v>71411</v>
      </c>
      <c r="P4739" t="str">
        <f t="shared" si="709"/>
        <v>2100L</v>
      </c>
      <c r="Q4739" t="str">
        <f t="shared" si="705"/>
        <v>0101</v>
      </c>
      <c r="R4739">
        <v>2100</v>
      </c>
      <c r="S4739" t="str">
        <f t="shared" si="707"/>
        <v>7140</v>
      </c>
      <c r="T4739" t="s">
        <v>4031</v>
      </c>
      <c r="U4739" t="s">
        <v>97</v>
      </c>
    </row>
    <row r="4740" spans="1:21" ht="15" customHeight="1" x14ac:dyDescent="0.3">
      <c r="A4740" t="s">
        <v>179</v>
      </c>
      <c r="B4740" t="str">
        <f>"00075940"</f>
        <v>00075940</v>
      </c>
      <c r="C4740" t="s">
        <v>4271</v>
      </c>
      <c r="D4740" t="s">
        <v>5728</v>
      </c>
      <c r="E4740" t="str">
        <f>"00048746"</f>
        <v>00048746</v>
      </c>
      <c r="F4740">
        <v>0</v>
      </c>
      <c r="G4740" s="243">
        <v>33700</v>
      </c>
      <c r="H4740" t="s">
        <v>182</v>
      </c>
      <c r="I4740">
        <v>15</v>
      </c>
      <c r="J4740">
        <v>16</v>
      </c>
      <c r="K4740">
        <v>0.5</v>
      </c>
      <c r="L4740">
        <v>106540</v>
      </c>
      <c r="M4740" t="str">
        <f t="shared" si="708"/>
        <v>13</v>
      </c>
      <c r="N4740" t="s">
        <v>3370</v>
      </c>
      <c r="O4740" t="str">
        <f t="shared" si="706"/>
        <v>71411</v>
      </c>
      <c r="P4740" t="str">
        <f t="shared" si="709"/>
        <v>2100L</v>
      </c>
      <c r="Q4740" t="str">
        <f t="shared" si="705"/>
        <v>0101</v>
      </c>
      <c r="R4740">
        <v>2100</v>
      </c>
      <c r="S4740" t="str">
        <f t="shared" si="707"/>
        <v>7140</v>
      </c>
      <c r="T4740" t="s">
        <v>4031</v>
      </c>
      <c r="U4740" t="s">
        <v>97</v>
      </c>
    </row>
    <row r="4741" spans="1:21" ht="15" customHeight="1" x14ac:dyDescent="0.3">
      <c r="A4741" t="s">
        <v>179</v>
      </c>
      <c r="B4741" t="str">
        <f>"00075941"</f>
        <v>00075941</v>
      </c>
      <c r="C4741" t="s">
        <v>4261</v>
      </c>
      <c r="D4741" t="s">
        <v>414</v>
      </c>
      <c r="E4741" t="str">
        <f>"00053584"</f>
        <v>00053584</v>
      </c>
      <c r="F4741">
        <v>0</v>
      </c>
      <c r="G4741" s="243">
        <v>40042</v>
      </c>
      <c r="H4741" t="s">
        <v>182</v>
      </c>
      <c r="J4741">
        <v>0</v>
      </c>
      <c r="K4741">
        <v>0.5</v>
      </c>
      <c r="L4741">
        <v>72685</v>
      </c>
      <c r="M4741" t="str">
        <f t="shared" si="708"/>
        <v>13</v>
      </c>
      <c r="N4741" t="s">
        <v>3323</v>
      </c>
      <c r="O4741" t="str">
        <f t="shared" si="706"/>
        <v>71411</v>
      </c>
      <c r="P4741" t="str">
        <f t="shared" si="709"/>
        <v>2100L</v>
      </c>
      <c r="Q4741" t="str">
        <f t="shared" si="705"/>
        <v>0101</v>
      </c>
      <c r="R4741">
        <v>2100</v>
      </c>
      <c r="S4741" t="str">
        <f t="shared" si="707"/>
        <v>7140</v>
      </c>
      <c r="T4741" t="s">
        <v>4031</v>
      </c>
      <c r="U4741" t="s">
        <v>97</v>
      </c>
    </row>
    <row r="4742" spans="1:21" ht="15" customHeight="1" x14ac:dyDescent="0.3">
      <c r="A4742" t="s">
        <v>179</v>
      </c>
      <c r="B4742" t="str">
        <f>"00075942"</f>
        <v>00075942</v>
      </c>
      <c r="C4742" t="s">
        <v>4253</v>
      </c>
      <c r="H4742" t="s">
        <v>170</v>
      </c>
      <c r="I4742">
        <v>15</v>
      </c>
      <c r="J4742">
        <v>0</v>
      </c>
      <c r="K4742">
        <v>1</v>
      </c>
      <c r="L4742">
        <v>51539</v>
      </c>
      <c r="M4742" t="str">
        <f t="shared" si="708"/>
        <v>13</v>
      </c>
      <c r="N4742" t="s">
        <v>3323</v>
      </c>
      <c r="O4742" t="str">
        <f t="shared" si="706"/>
        <v>71411</v>
      </c>
      <c r="P4742" t="str">
        <f t="shared" si="709"/>
        <v>2100L</v>
      </c>
      <c r="Q4742" t="str">
        <f t="shared" si="705"/>
        <v>0101</v>
      </c>
      <c r="R4742">
        <v>2100</v>
      </c>
      <c r="S4742" t="str">
        <f t="shared" si="707"/>
        <v>7140</v>
      </c>
      <c r="T4742" t="s">
        <v>4031</v>
      </c>
      <c r="U4742" t="s">
        <v>97</v>
      </c>
    </row>
    <row r="4743" spans="1:21" ht="15" customHeight="1" x14ac:dyDescent="0.3">
      <c r="A4743" t="s">
        <v>179</v>
      </c>
      <c r="B4743" t="str">
        <f>"00051714"</f>
        <v>00051714</v>
      </c>
      <c r="C4743" t="s">
        <v>4261</v>
      </c>
      <c r="D4743" t="s">
        <v>743</v>
      </c>
      <c r="E4743" t="str">
        <f>"00045606"</f>
        <v>00045606</v>
      </c>
      <c r="F4743">
        <v>0</v>
      </c>
      <c r="G4743" s="243">
        <v>32050</v>
      </c>
      <c r="H4743" t="s">
        <v>182</v>
      </c>
      <c r="I4743">
        <v>15</v>
      </c>
      <c r="J4743">
        <v>16</v>
      </c>
      <c r="K4743">
        <v>1</v>
      </c>
      <c r="L4743">
        <v>110923</v>
      </c>
      <c r="M4743" t="str">
        <f t="shared" si="708"/>
        <v>13</v>
      </c>
      <c r="N4743" t="s">
        <v>3323</v>
      </c>
      <c r="O4743" t="str">
        <f t="shared" ref="O4743:O4748" si="710">"71511"</f>
        <v>71511</v>
      </c>
      <c r="P4743" t="str">
        <f t="shared" si="709"/>
        <v>2100L</v>
      </c>
      <c r="Q4743" t="str">
        <f t="shared" si="705"/>
        <v>0101</v>
      </c>
      <c r="R4743">
        <v>2100</v>
      </c>
      <c r="S4743" t="str">
        <f t="shared" ref="S4743:S4767" si="711">"7150"</f>
        <v>7150</v>
      </c>
      <c r="T4743" t="s">
        <v>4035</v>
      </c>
      <c r="U4743" t="s">
        <v>99</v>
      </c>
    </row>
    <row r="4744" spans="1:21" ht="15" customHeight="1" x14ac:dyDescent="0.3">
      <c r="A4744" t="s">
        <v>179</v>
      </c>
      <c r="B4744" t="str">
        <f>"00051769"</f>
        <v>00051769</v>
      </c>
      <c r="C4744" t="s">
        <v>4266</v>
      </c>
      <c r="D4744" t="s">
        <v>5729</v>
      </c>
      <c r="E4744" t="str">
        <f>"00067621"</f>
        <v>00067621</v>
      </c>
      <c r="F4744">
        <v>0</v>
      </c>
      <c r="G4744" s="243">
        <v>40931</v>
      </c>
      <c r="H4744" t="s">
        <v>182</v>
      </c>
      <c r="I4744">
        <v>15</v>
      </c>
      <c r="J4744">
        <v>10</v>
      </c>
      <c r="K4744">
        <v>1</v>
      </c>
      <c r="L4744">
        <v>78273</v>
      </c>
      <c r="M4744" t="str">
        <f t="shared" si="708"/>
        <v>13</v>
      </c>
      <c r="N4744" t="s">
        <v>3323</v>
      </c>
      <c r="O4744" t="str">
        <f t="shared" si="710"/>
        <v>71511</v>
      </c>
      <c r="P4744" t="str">
        <f>"2300L"</f>
        <v>2300L</v>
      </c>
      <c r="Q4744" t="str">
        <f t="shared" si="705"/>
        <v>0101</v>
      </c>
      <c r="R4744">
        <v>2300</v>
      </c>
      <c r="S4744" t="str">
        <f t="shared" si="711"/>
        <v>7150</v>
      </c>
      <c r="T4744" t="s">
        <v>4035</v>
      </c>
      <c r="U4744" t="s">
        <v>99</v>
      </c>
    </row>
    <row r="4745" spans="1:21" ht="15" customHeight="1" x14ac:dyDescent="0.3">
      <c r="A4745" t="s">
        <v>179</v>
      </c>
      <c r="B4745" t="str">
        <f>"00052065"</f>
        <v>00052065</v>
      </c>
      <c r="C4745" t="s">
        <v>744</v>
      </c>
      <c r="D4745" t="s">
        <v>745</v>
      </c>
      <c r="E4745" t="str">
        <f>"00047193"</f>
        <v>00047193</v>
      </c>
      <c r="F4745">
        <v>0</v>
      </c>
      <c r="G4745" s="243">
        <v>41091</v>
      </c>
      <c r="H4745" t="s">
        <v>182</v>
      </c>
      <c r="I4745">
        <v>20</v>
      </c>
      <c r="J4745">
        <v>3</v>
      </c>
      <c r="K4745">
        <v>0.5</v>
      </c>
      <c r="L4745">
        <v>41756</v>
      </c>
      <c r="M4745" t="str">
        <f t="shared" si="708"/>
        <v>13</v>
      </c>
      <c r="N4745" t="s">
        <v>3323</v>
      </c>
      <c r="O4745" t="str">
        <f t="shared" si="710"/>
        <v>71511</v>
      </c>
      <c r="P4745" t="str">
        <f>"2100L"</f>
        <v>2100L</v>
      </c>
      <c r="Q4745" t="str">
        <f t="shared" si="705"/>
        <v>0101</v>
      </c>
      <c r="R4745">
        <v>2100</v>
      </c>
      <c r="S4745" t="str">
        <f t="shared" si="711"/>
        <v>7150</v>
      </c>
      <c r="T4745" t="s">
        <v>4035</v>
      </c>
      <c r="U4745" t="s">
        <v>99</v>
      </c>
    </row>
    <row r="4746" spans="1:21" ht="15" customHeight="1" x14ac:dyDescent="0.3">
      <c r="A4746" t="s">
        <v>179</v>
      </c>
      <c r="B4746" t="str">
        <f>"00052067"</f>
        <v>00052067</v>
      </c>
      <c r="C4746" t="s">
        <v>4255</v>
      </c>
      <c r="D4746" t="s">
        <v>5730</v>
      </c>
      <c r="E4746" t="str">
        <f>"00069788"</f>
        <v>00069788</v>
      </c>
      <c r="F4746">
        <v>0</v>
      </c>
      <c r="G4746" s="243">
        <v>41133</v>
      </c>
      <c r="H4746" t="s">
        <v>182</v>
      </c>
      <c r="I4746">
        <v>15</v>
      </c>
      <c r="J4746">
        <v>1</v>
      </c>
      <c r="K4746">
        <v>1</v>
      </c>
      <c r="L4746">
        <v>54975</v>
      </c>
      <c r="M4746" t="str">
        <f t="shared" si="708"/>
        <v>13</v>
      </c>
      <c r="N4746" t="s">
        <v>3370</v>
      </c>
      <c r="O4746" t="str">
        <f t="shared" si="710"/>
        <v>71511</v>
      </c>
      <c r="P4746" t="str">
        <f>"2100L"</f>
        <v>2100L</v>
      </c>
      <c r="Q4746" t="str">
        <f t="shared" si="705"/>
        <v>0101</v>
      </c>
      <c r="R4746">
        <v>2100</v>
      </c>
      <c r="S4746" t="str">
        <f t="shared" si="711"/>
        <v>7150</v>
      </c>
      <c r="T4746" t="s">
        <v>4035</v>
      </c>
      <c r="U4746" t="s">
        <v>99</v>
      </c>
    </row>
    <row r="4747" spans="1:21" ht="15" customHeight="1" x14ac:dyDescent="0.3">
      <c r="A4747" t="s">
        <v>179</v>
      </c>
      <c r="B4747" t="str">
        <f>"00052204"</f>
        <v>00052204</v>
      </c>
      <c r="C4747" t="s">
        <v>4306</v>
      </c>
      <c r="D4747" t="s">
        <v>5731</v>
      </c>
      <c r="E4747" t="str">
        <f>"00047638"</f>
        <v>00047638</v>
      </c>
      <c r="F4747">
        <v>0</v>
      </c>
      <c r="G4747" s="243">
        <v>32041</v>
      </c>
      <c r="H4747" t="s">
        <v>182</v>
      </c>
      <c r="I4747">
        <v>9</v>
      </c>
      <c r="J4747">
        <v>5</v>
      </c>
      <c r="K4747">
        <v>1</v>
      </c>
      <c r="L4747">
        <v>37415</v>
      </c>
      <c r="M4747" t="str">
        <f t="shared" si="708"/>
        <v>13</v>
      </c>
      <c r="N4747" t="s">
        <v>3323</v>
      </c>
      <c r="O4747" t="str">
        <f t="shared" si="710"/>
        <v>71511</v>
      </c>
      <c r="P4747" t="str">
        <f>"1502L"</f>
        <v>1502L</v>
      </c>
      <c r="Q4747" t="str">
        <f t="shared" si="705"/>
        <v>0101</v>
      </c>
      <c r="R4747">
        <v>1502</v>
      </c>
      <c r="S4747" t="str">
        <f t="shared" si="711"/>
        <v>7150</v>
      </c>
      <c r="T4747" t="s">
        <v>4035</v>
      </c>
      <c r="U4747" t="s">
        <v>99</v>
      </c>
    </row>
    <row r="4748" spans="1:21" ht="15" customHeight="1" x14ac:dyDescent="0.3">
      <c r="A4748" t="s">
        <v>179</v>
      </c>
      <c r="B4748" t="str">
        <f>"00052381"</f>
        <v>00052381</v>
      </c>
      <c r="C4748" t="s">
        <v>4306</v>
      </c>
      <c r="D4748" t="s">
        <v>5732</v>
      </c>
      <c r="E4748" t="str">
        <f>"00048149"</f>
        <v>00048149</v>
      </c>
      <c r="F4748">
        <v>0</v>
      </c>
      <c r="G4748" s="243">
        <v>30942</v>
      </c>
      <c r="H4748" t="s">
        <v>182</v>
      </c>
      <c r="I4748">
        <v>9</v>
      </c>
      <c r="J4748">
        <v>9</v>
      </c>
      <c r="K4748">
        <v>1</v>
      </c>
      <c r="L4748">
        <v>41667</v>
      </c>
      <c r="M4748" t="str">
        <f t="shared" si="708"/>
        <v>13</v>
      </c>
      <c r="N4748" t="s">
        <v>3323</v>
      </c>
      <c r="O4748" t="str">
        <f t="shared" si="710"/>
        <v>71511</v>
      </c>
      <c r="P4748" t="str">
        <f>"1502L"</f>
        <v>1502L</v>
      </c>
      <c r="Q4748" t="str">
        <f t="shared" si="705"/>
        <v>0101</v>
      </c>
      <c r="R4748">
        <v>1502</v>
      </c>
      <c r="S4748" t="str">
        <f t="shared" si="711"/>
        <v>7150</v>
      </c>
      <c r="T4748" t="s">
        <v>4035</v>
      </c>
      <c r="U4748" t="s">
        <v>99</v>
      </c>
    </row>
    <row r="4749" spans="1:21" ht="15" customHeight="1" x14ac:dyDescent="0.3">
      <c r="A4749" t="s">
        <v>179</v>
      </c>
      <c r="B4749" t="str">
        <f>"00052721"</f>
        <v>00052721</v>
      </c>
      <c r="C4749" t="s">
        <v>5662</v>
      </c>
      <c r="D4749" t="s">
        <v>5733</v>
      </c>
      <c r="E4749" t="str">
        <f>"00070323"</f>
        <v>00070323</v>
      </c>
      <c r="F4749">
        <v>0</v>
      </c>
      <c r="G4749" s="243">
        <v>41148</v>
      </c>
      <c r="H4749" t="s">
        <v>182</v>
      </c>
      <c r="I4749">
        <v>9</v>
      </c>
      <c r="J4749">
        <v>11</v>
      </c>
      <c r="K4749">
        <v>0.5</v>
      </c>
      <c r="L4749">
        <v>61854</v>
      </c>
      <c r="M4749" t="str">
        <f t="shared" si="708"/>
        <v>13</v>
      </c>
      <c r="N4749" t="s">
        <v>3323</v>
      </c>
      <c r="O4749" t="str">
        <f>"71582"</f>
        <v>71582</v>
      </c>
      <c r="P4749" t="str">
        <f>"5700S"</f>
        <v>5700S</v>
      </c>
      <c r="Q4749" t="str">
        <f>"0602"</f>
        <v>0602</v>
      </c>
      <c r="R4749">
        <v>5700</v>
      </c>
      <c r="S4749" t="str">
        <f t="shared" si="711"/>
        <v>7150</v>
      </c>
      <c r="T4749" t="s">
        <v>4035</v>
      </c>
      <c r="U4749" t="s">
        <v>99</v>
      </c>
    </row>
    <row r="4750" spans="1:21" ht="15" customHeight="1" x14ac:dyDescent="0.3">
      <c r="A4750" t="s">
        <v>179</v>
      </c>
      <c r="B4750" t="str">
        <f>"00052721"</f>
        <v>00052721</v>
      </c>
      <c r="C4750" t="s">
        <v>5662</v>
      </c>
      <c r="D4750" t="s">
        <v>5733</v>
      </c>
      <c r="E4750" t="str">
        <f>"00070323"</f>
        <v>00070323</v>
      </c>
      <c r="F4750">
        <v>0</v>
      </c>
      <c r="G4750" s="243">
        <v>41148</v>
      </c>
      <c r="H4750" t="s">
        <v>182</v>
      </c>
      <c r="I4750">
        <v>9</v>
      </c>
      <c r="J4750">
        <v>11</v>
      </c>
      <c r="K4750">
        <v>0.5</v>
      </c>
      <c r="L4750">
        <v>61854</v>
      </c>
      <c r="M4750" t="str">
        <f t="shared" si="708"/>
        <v>13</v>
      </c>
      <c r="N4750" t="s">
        <v>3323</v>
      </c>
      <c r="O4750" t="str">
        <f t="shared" ref="O4750:O4773" si="712">"71511"</f>
        <v>71511</v>
      </c>
      <c r="P4750" t="str">
        <f>"5700L"</f>
        <v>5700L</v>
      </c>
      <c r="Q4750" t="str">
        <f t="shared" ref="Q4750:Q4773" si="713">"0101"</f>
        <v>0101</v>
      </c>
      <c r="R4750">
        <v>5700</v>
      </c>
      <c r="S4750" t="str">
        <f t="shared" si="711"/>
        <v>7150</v>
      </c>
      <c r="T4750" t="s">
        <v>4035</v>
      </c>
      <c r="U4750" t="s">
        <v>99</v>
      </c>
    </row>
    <row r="4751" spans="1:21" ht="15" customHeight="1" x14ac:dyDescent="0.3">
      <c r="A4751" t="s">
        <v>179</v>
      </c>
      <c r="B4751" t="str">
        <f>"00053940"</f>
        <v>00053940</v>
      </c>
      <c r="C4751" t="s">
        <v>4306</v>
      </c>
      <c r="D4751" t="s">
        <v>5734</v>
      </c>
      <c r="E4751" t="str">
        <f>"00052772"</f>
        <v>00052772</v>
      </c>
      <c r="F4751">
        <v>0</v>
      </c>
      <c r="G4751" s="243">
        <v>32076</v>
      </c>
      <c r="H4751" t="s">
        <v>182</v>
      </c>
      <c r="I4751">
        <v>9</v>
      </c>
      <c r="J4751">
        <v>6</v>
      </c>
      <c r="K4751">
        <v>1</v>
      </c>
      <c r="L4751">
        <v>38478</v>
      </c>
      <c r="M4751" t="str">
        <f t="shared" si="708"/>
        <v>13</v>
      </c>
      <c r="N4751" t="s">
        <v>3323</v>
      </c>
      <c r="O4751" t="str">
        <f t="shared" si="712"/>
        <v>71511</v>
      </c>
      <c r="P4751" t="str">
        <f>"1502L"</f>
        <v>1502L</v>
      </c>
      <c r="Q4751" t="str">
        <f t="shared" si="713"/>
        <v>0101</v>
      </c>
      <c r="R4751">
        <v>1502</v>
      </c>
      <c r="S4751" t="str">
        <f t="shared" si="711"/>
        <v>7150</v>
      </c>
      <c r="T4751" t="s">
        <v>4035</v>
      </c>
      <c r="U4751" t="s">
        <v>99</v>
      </c>
    </row>
    <row r="4752" spans="1:21" ht="15" customHeight="1" x14ac:dyDescent="0.3">
      <c r="A4752" t="s">
        <v>179</v>
      </c>
      <c r="B4752" t="str">
        <f>"00054073"</f>
        <v>00054073</v>
      </c>
      <c r="C4752" t="s">
        <v>4253</v>
      </c>
      <c r="D4752" t="s">
        <v>746</v>
      </c>
      <c r="E4752" t="str">
        <f>"00052977"</f>
        <v>00052977</v>
      </c>
      <c r="F4752">
        <v>0</v>
      </c>
      <c r="G4752" s="243">
        <v>33055</v>
      </c>
      <c r="H4752" t="s">
        <v>182</v>
      </c>
      <c r="I4752">
        <v>15</v>
      </c>
      <c r="J4752">
        <v>16</v>
      </c>
      <c r="K4752">
        <v>1</v>
      </c>
      <c r="L4752">
        <v>106540</v>
      </c>
      <c r="M4752" t="str">
        <f t="shared" si="708"/>
        <v>13</v>
      </c>
      <c r="N4752" t="s">
        <v>3323</v>
      </c>
      <c r="O4752" t="str">
        <f t="shared" si="712"/>
        <v>71511</v>
      </c>
      <c r="P4752" t="str">
        <f>"2100L"</f>
        <v>2100L</v>
      </c>
      <c r="Q4752" t="str">
        <f t="shared" si="713"/>
        <v>0101</v>
      </c>
      <c r="R4752">
        <v>2100</v>
      </c>
      <c r="S4752" t="str">
        <f t="shared" si="711"/>
        <v>7150</v>
      </c>
      <c r="T4752" t="s">
        <v>4035</v>
      </c>
      <c r="U4752" t="s">
        <v>99</v>
      </c>
    </row>
    <row r="4753" spans="1:21" ht="15" customHeight="1" x14ac:dyDescent="0.3">
      <c r="A4753" t="s">
        <v>179</v>
      </c>
      <c r="B4753" t="str">
        <f>"00054210"</f>
        <v>00054210</v>
      </c>
      <c r="C4753" t="s">
        <v>4253</v>
      </c>
      <c r="D4753" t="s">
        <v>747</v>
      </c>
      <c r="E4753" t="str">
        <f>"00053267"</f>
        <v>00053267</v>
      </c>
      <c r="F4753">
        <v>0</v>
      </c>
      <c r="G4753" s="243">
        <v>33055</v>
      </c>
      <c r="H4753" t="s">
        <v>182</v>
      </c>
      <c r="I4753">
        <v>15</v>
      </c>
      <c r="J4753">
        <v>16</v>
      </c>
      <c r="K4753">
        <v>1</v>
      </c>
      <c r="L4753">
        <v>103347</v>
      </c>
      <c r="M4753" t="str">
        <f t="shared" si="708"/>
        <v>13</v>
      </c>
      <c r="N4753" t="s">
        <v>3323</v>
      </c>
      <c r="O4753" t="str">
        <f t="shared" si="712"/>
        <v>71511</v>
      </c>
      <c r="P4753" t="str">
        <f>"2100L"</f>
        <v>2100L</v>
      </c>
      <c r="Q4753" t="str">
        <f t="shared" si="713"/>
        <v>0101</v>
      </c>
      <c r="R4753">
        <v>2100</v>
      </c>
      <c r="S4753" t="str">
        <f t="shared" si="711"/>
        <v>7150</v>
      </c>
      <c r="T4753" t="s">
        <v>4035</v>
      </c>
      <c r="U4753" t="s">
        <v>99</v>
      </c>
    </row>
    <row r="4754" spans="1:21" ht="15" customHeight="1" x14ac:dyDescent="0.3">
      <c r="A4754" t="s">
        <v>179</v>
      </c>
      <c r="B4754" t="str">
        <f>"00054335"</f>
        <v>00054335</v>
      </c>
      <c r="C4754" t="s">
        <v>4253</v>
      </c>
      <c r="D4754" t="s">
        <v>5735</v>
      </c>
      <c r="E4754" t="str">
        <f>"00069684"</f>
        <v>00069684</v>
      </c>
      <c r="F4754">
        <v>0</v>
      </c>
      <c r="G4754" s="243">
        <v>41133</v>
      </c>
      <c r="H4754" t="s">
        <v>182</v>
      </c>
      <c r="I4754">
        <v>15</v>
      </c>
      <c r="J4754">
        <v>1</v>
      </c>
      <c r="K4754">
        <v>1</v>
      </c>
      <c r="L4754">
        <v>51539</v>
      </c>
      <c r="M4754" t="str">
        <f t="shared" si="708"/>
        <v>13</v>
      </c>
      <c r="N4754" t="s">
        <v>3370</v>
      </c>
      <c r="O4754" t="str">
        <f t="shared" si="712"/>
        <v>71511</v>
      </c>
      <c r="P4754" t="str">
        <f>"2100L"</f>
        <v>2100L</v>
      </c>
      <c r="Q4754" t="str">
        <f t="shared" si="713"/>
        <v>0101</v>
      </c>
      <c r="R4754">
        <v>2100</v>
      </c>
      <c r="S4754" t="str">
        <f t="shared" si="711"/>
        <v>7150</v>
      </c>
      <c r="T4754" t="s">
        <v>4035</v>
      </c>
      <c r="U4754" t="s">
        <v>99</v>
      </c>
    </row>
    <row r="4755" spans="1:21" ht="15" customHeight="1" x14ac:dyDescent="0.3">
      <c r="A4755" t="s">
        <v>179</v>
      </c>
      <c r="B4755" t="str">
        <f>"00054440"</f>
        <v>00054440</v>
      </c>
      <c r="C4755" t="s">
        <v>4261</v>
      </c>
      <c r="D4755" t="s">
        <v>748</v>
      </c>
      <c r="E4755" t="str">
        <f>"00054027"</f>
        <v>00054027</v>
      </c>
      <c r="F4755">
        <v>0</v>
      </c>
      <c r="G4755" s="243">
        <v>32050</v>
      </c>
      <c r="H4755" t="s">
        <v>182</v>
      </c>
      <c r="I4755">
        <v>15</v>
      </c>
      <c r="J4755">
        <v>15</v>
      </c>
      <c r="K4755">
        <v>1</v>
      </c>
      <c r="L4755">
        <v>108113</v>
      </c>
      <c r="M4755" t="str">
        <f t="shared" si="708"/>
        <v>13</v>
      </c>
      <c r="N4755" t="s">
        <v>3323</v>
      </c>
      <c r="O4755" t="str">
        <f t="shared" si="712"/>
        <v>71511</v>
      </c>
      <c r="P4755" t="str">
        <f>"2100L"</f>
        <v>2100L</v>
      </c>
      <c r="Q4755" t="str">
        <f t="shared" si="713"/>
        <v>0101</v>
      </c>
      <c r="R4755">
        <v>2100</v>
      </c>
      <c r="S4755" t="str">
        <f t="shared" si="711"/>
        <v>7150</v>
      </c>
      <c r="T4755" t="s">
        <v>4035</v>
      </c>
      <c r="U4755" t="s">
        <v>99</v>
      </c>
    </row>
    <row r="4756" spans="1:21" ht="15" customHeight="1" x14ac:dyDescent="0.3">
      <c r="A4756" t="s">
        <v>179</v>
      </c>
      <c r="B4756" t="str">
        <f>"00054848"</f>
        <v>00054848</v>
      </c>
      <c r="C4756" t="s">
        <v>4253</v>
      </c>
      <c r="D4756" t="s">
        <v>749</v>
      </c>
      <c r="E4756" t="str">
        <f>"00054768"</f>
        <v>00054768</v>
      </c>
      <c r="F4756">
        <v>0</v>
      </c>
      <c r="G4756" s="243">
        <v>35279</v>
      </c>
      <c r="H4756" t="s">
        <v>182</v>
      </c>
      <c r="I4756">
        <v>15</v>
      </c>
      <c r="J4756">
        <v>14</v>
      </c>
      <c r="K4756">
        <v>1</v>
      </c>
      <c r="L4756">
        <v>96460</v>
      </c>
      <c r="M4756" t="str">
        <f t="shared" si="708"/>
        <v>13</v>
      </c>
      <c r="N4756" t="s">
        <v>3323</v>
      </c>
      <c r="O4756" t="str">
        <f t="shared" si="712"/>
        <v>71511</v>
      </c>
      <c r="P4756" t="str">
        <f>"2100L"</f>
        <v>2100L</v>
      </c>
      <c r="Q4756" t="str">
        <f t="shared" si="713"/>
        <v>0101</v>
      </c>
      <c r="R4756">
        <v>2100</v>
      </c>
      <c r="S4756" t="str">
        <f t="shared" si="711"/>
        <v>7150</v>
      </c>
      <c r="T4756" t="s">
        <v>4035</v>
      </c>
      <c r="U4756" t="s">
        <v>99</v>
      </c>
    </row>
    <row r="4757" spans="1:21" ht="15" customHeight="1" x14ac:dyDescent="0.3">
      <c r="A4757" t="s">
        <v>179</v>
      </c>
      <c r="B4757" t="str">
        <f>"00054895"</f>
        <v>00054895</v>
      </c>
      <c r="C4757" t="s">
        <v>4333</v>
      </c>
      <c r="D4757" t="s">
        <v>5736</v>
      </c>
      <c r="E4757" t="str">
        <f>"00054893"</f>
        <v>00054893</v>
      </c>
      <c r="F4757">
        <v>0</v>
      </c>
      <c r="G4757" s="243">
        <v>31327</v>
      </c>
      <c r="H4757" t="s">
        <v>182</v>
      </c>
      <c r="I4757">
        <v>12</v>
      </c>
      <c r="J4757">
        <v>6</v>
      </c>
      <c r="K4757">
        <v>1</v>
      </c>
      <c r="L4757">
        <v>69393</v>
      </c>
      <c r="M4757" t="str">
        <f t="shared" si="708"/>
        <v>13</v>
      </c>
      <c r="N4757" t="s">
        <v>3323</v>
      </c>
      <c r="O4757" t="str">
        <f t="shared" si="712"/>
        <v>71511</v>
      </c>
      <c r="P4757" t="str">
        <f>"1502L"</f>
        <v>1502L</v>
      </c>
      <c r="Q4757" t="str">
        <f t="shared" si="713"/>
        <v>0101</v>
      </c>
      <c r="R4757">
        <v>1502</v>
      </c>
      <c r="S4757" t="str">
        <f t="shared" si="711"/>
        <v>7150</v>
      </c>
      <c r="T4757" t="s">
        <v>4035</v>
      </c>
      <c r="U4757" t="s">
        <v>99</v>
      </c>
    </row>
    <row r="4758" spans="1:21" ht="15" customHeight="1" x14ac:dyDescent="0.3">
      <c r="A4758" t="s">
        <v>179</v>
      </c>
      <c r="B4758" t="str">
        <f>"00054925"</f>
        <v>00054925</v>
      </c>
      <c r="C4758" t="s">
        <v>4254</v>
      </c>
      <c r="D4758" t="s">
        <v>750</v>
      </c>
      <c r="E4758" t="str">
        <f>"00055014"</f>
        <v>00055014</v>
      </c>
      <c r="F4758">
        <v>0</v>
      </c>
      <c r="G4758" s="243">
        <v>32756</v>
      </c>
      <c r="H4758" t="s">
        <v>182</v>
      </c>
      <c r="I4758">
        <v>15</v>
      </c>
      <c r="J4758">
        <v>16</v>
      </c>
      <c r="K4758">
        <v>1</v>
      </c>
      <c r="L4758">
        <v>100839</v>
      </c>
      <c r="M4758" t="str">
        <f t="shared" si="708"/>
        <v>13</v>
      </c>
      <c r="N4758" t="s">
        <v>3323</v>
      </c>
      <c r="O4758" t="str">
        <f t="shared" si="712"/>
        <v>71511</v>
      </c>
      <c r="P4758" t="str">
        <f>"2100L"</f>
        <v>2100L</v>
      </c>
      <c r="Q4758" t="str">
        <f t="shared" si="713"/>
        <v>0101</v>
      </c>
      <c r="R4758">
        <v>2100</v>
      </c>
      <c r="S4758" t="str">
        <f t="shared" si="711"/>
        <v>7150</v>
      </c>
      <c r="T4758" t="s">
        <v>4035</v>
      </c>
      <c r="U4758" t="s">
        <v>99</v>
      </c>
    </row>
    <row r="4759" spans="1:21" ht="15" customHeight="1" x14ac:dyDescent="0.3">
      <c r="A4759" t="s">
        <v>179</v>
      </c>
      <c r="B4759" t="str">
        <f>"00054928"</f>
        <v>00054928</v>
      </c>
      <c r="C4759" t="s">
        <v>4266</v>
      </c>
      <c r="D4759" t="s">
        <v>751</v>
      </c>
      <c r="E4759" t="str">
        <f>"00055045"</f>
        <v>00055045</v>
      </c>
      <c r="F4759">
        <v>0</v>
      </c>
      <c r="G4759" s="243">
        <v>32778</v>
      </c>
      <c r="H4759" t="s">
        <v>182</v>
      </c>
      <c r="I4759">
        <v>15</v>
      </c>
      <c r="J4759">
        <v>16</v>
      </c>
      <c r="K4759">
        <v>1</v>
      </c>
      <c r="L4759">
        <v>100839</v>
      </c>
      <c r="M4759" t="str">
        <f t="shared" si="708"/>
        <v>13</v>
      </c>
      <c r="N4759" t="s">
        <v>3323</v>
      </c>
      <c r="O4759" t="str">
        <f t="shared" si="712"/>
        <v>71511</v>
      </c>
      <c r="P4759" t="str">
        <f>"2300L"</f>
        <v>2300L</v>
      </c>
      <c r="Q4759" t="str">
        <f t="shared" si="713"/>
        <v>0101</v>
      </c>
      <c r="R4759">
        <v>2300</v>
      </c>
      <c r="S4759" t="str">
        <f t="shared" si="711"/>
        <v>7150</v>
      </c>
      <c r="T4759" t="s">
        <v>4035</v>
      </c>
      <c r="U4759" t="s">
        <v>99</v>
      </c>
    </row>
    <row r="4760" spans="1:21" ht="15" customHeight="1" x14ac:dyDescent="0.3">
      <c r="A4760" t="s">
        <v>179</v>
      </c>
      <c r="B4760" t="str">
        <f>"00054941"</f>
        <v>00054941</v>
      </c>
      <c r="C4760" t="s">
        <v>4367</v>
      </c>
      <c r="D4760" t="s">
        <v>5737</v>
      </c>
      <c r="E4760" t="str">
        <f>"00055107"</f>
        <v>00055107</v>
      </c>
      <c r="F4760">
        <v>0</v>
      </c>
      <c r="G4760" s="243">
        <v>32013</v>
      </c>
      <c r="H4760" t="s">
        <v>182</v>
      </c>
      <c r="I4760">
        <v>9</v>
      </c>
      <c r="J4760">
        <v>7</v>
      </c>
      <c r="K4760">
        <v>1</v>
      </c>
      <c r="L4760">
        <v>43824</v>
      </c>
      <c r="M4760" t="str">
        <f t="shared" si="708"/>
        <v>13</v>
      </c>
      <c r="N4760" t="s">
        <v>3323</v>
      </c>
      <c r="O4760" t="str">
        <f t="shared" si="712"/>
        <v>71511</v>
      </c>
      <c r="P4760" t="str">
        <f>"2100L"</f>
        <v>2100L</v>
      </c>
      <c r="Q4760" t="str">
        <f t="shared" si="713"/>
        <v>0101</v>
      </c>
      <c r="R4760">
        <v>2100</v>
      </c>
      <c r="S4760" t="str">
        <f t="shared" si="711"/>
        <v>7150</v>
      </c>
      <c r="T4760" t="s">
        <v>4035</v>
      </c>
      <c r="U4760" t="s">
        <v>99</v>
      </c>
    </row>
    <row r="4761" spans="1:21" ht="15" customHeight="1" x14ac:dyDescent="0.3">
      <c r="A4761" t="s">
        <v>179</v>
      </c>
      <c r="B4761" t="str">
        <f>"00055126"</f>
        <v>00055126</v>
      </c>
      <c r="C4761" t="s">
        <v>4253</v>
      </c>
      <c r="D4761" t="s">
        <v>752</v>
      </c>
      <c r="E4761" t="str">
        <f>"00062560"</f>
        <v>00062560</v>
      </c>
      <c r="F4761">
        <v>0</v>
      </c>
      <c r="G4761" s="243">
        <v>40415</v>
      </c>
      <c r="H4761" t="s">
        <v>182</v>
      </c>
      <c r="I4761">
        <v>15</v>
      </c>
      <c r="J4761">
        <v>3</v>
      </c>
      <c r="K4761">
        <v>1</v>
      </c>
      <c r="L4761">
        <v>61159</v>
      </c>
      <c r="M4761" t="str">
        <f t="shared" si="708"/>
        <v>13</v>
      </c>
      <c r="N4761" t="s">
        <v>3323</v>
      </c>
      <c r="O4761" t="str">
        <f t="shared" si="712"/>
        <v>71511</v>
      </c>
      <c r="P4761" t="str">
        <f t="shared" ref="P4761:P4766" si="714">"2100L"</f>
        <v>2100L</v>
      </c>
      <c r="Q4761" t="str">
        <f t="shared" si="713"/>
        <v>0101</v>
      </c>
      <c r="R4761">
        <v>2100</v>
      </c>
      <c r="S4761" t="str">
        <f t="shared" si="711"/>
        <v>7150</v>
      </c>
      <c r="T4761" t="s">
        <v>4035</v>
      </c>
      <c r="U4761" t="s">
        <v>99</v>
      </c>
    </row>
    <row r="4762" spans="1:21" ht="15" customHeight="1" x14ac:dyDescent="0.3">
      <c r="A4762" t="s">
        <v>179</v>
      </c>
      <c r="B4762" t="str">
        <f>"00055133"</f>
        <v>00055133</v>
      </c>
      <c r="C4762" t="s">
        <v>4253</v>
      </c>
      <c r="D4762" t="s">
        <v>753</v>
      </c>
      <c r="E4762" t="str">
        <f>"00049245"</f>
        <v>00049245</v>
      </c>
      <c r="F4762">
        <v>0</v>
      </c>
      <c r="G4762" s="243">
        <v>36390</v>
      </c>
      <c r="H4762" t="s">
        <v>182</v>
      </c>
      <c r="I4762">
        <v>15</v>
      </c>
      <c r="J4762">
        <v>16</v>
      </c>
      <c r="K4762">
        <v>1</v>
      </c>
      <c r="L4762">
        <v>100839</v>
      </c>
      <c r="M4762" t="str">
        <f t="shared" si="708"/>
        <v>13</v>
      </c>
      <c r="N4762" t="s">
        <v>3323</v>
      </c>
      <c r="O4762" t="str">
        <f t="shared" si="712"/>
        <v>71511</v>
      </c>
      <c r="P4762" t="str">
        <f t="shared" si="714"/>
        <v>2100L</v>
      </c>
      <c r="Q4762" t="str">
        <f t="shared" si="713"/>
        <v>0101</v>
      </c>
      <c r="R4762">
        <v>2100</v>
      </c>
      <c r="S4762" t="str">
        <f t="shared" si="711"/>
        <v>7150</v>
      </c>
      <c r="T4762" t="s">
        <v>4035</v>
      </c>
      <c r="U4762" t="s">
        <v>99</v>
      </c>
    </row>
    <row r="4763" spans="1:21" ht="15" customHeight="1" x14ac:dyDescent="0.3">
      <c r="A4763" t="s">
        <v>179</v>
      </c>
      <c r="B4763" t="str">
        <f>"00055230"</f>
        <v>00055230</v>
      </c>
      <c r="C4763" t="s">
        <v>4857</v>
      </c>
      <c r="D4763" t="s">
        <v>754</v>
      </c>
      <c r="E4763" t="str">
        <f>"00052917"</f>
        <v>00052917</v>
      </c>
      <c r="F4763">
        <v>0</v>
      </c>
      <c r="G4763" s="243">
        <v>36397</v>
      </c>
      <c r="H4763" t="s">
        <v>182</v>
      </c>
      <c r="I4763">
        <v>9</v>
      </c>
      <c r="J4763">
        <v>10</v>
      </c>
      <c r="K4763">
        <v>1</v>
      </c>
      <c r="L4763">
        <v>73460</v>
      </c>
      <c r="M4763" t="str">
        <f t="shared" si="708"/>
        <v>13</v>
      </c>
      <c r="N4763" t="s">
        <v>3323</v>
      </c>
      <c r="O4763" t="str">
        <f t="shared" si="712"/>
        <v>71511</v>
      </c>
      <c r="P4763" t="str">
        <f t="shared" si="714"/>
        <v>2100L</v>
      </c>
      <c r="Q4763" t="str">
        <f t="shared" si="713"/>
        <v>0101</v>
      </c>
      <c r="R4763">
        <v>2100</v>
      </c>
      <c r="S4763" t="str">
        <f t="shared" si="711"/>
        <v>7150</v>
      </c>
      <c r="T4763" t="s">
        <v>4035</v>
      </c>
      <c r="U4763" t="s">
        <v>99</v>
      </c>
    </row>
    <row r="4764" spans="1:21" ht="15" customHeight="1" x14ac:dyDescent="0.3">
      <c r="A4764" t="s">
        <v>179</v>
      </c>
      <c r="B4764" t="str">
        <f>"00055294"</f>
        <v>00055294</v>
      </c>
      <c r="C4764" t="s">
        <v>4253</v>
      </c>
      <c r="D4764" t="s">
        <v>5738</v>
      </c>
      <c r="E4764" t="str">
        <f>"00069979"</f>
        <v>00069979</v>
      </c>
      <c r="F4764">
        <v>0</v>
      </c>
      <c r="G4764" s="243">
        <v>41133</v>
      </c>
      <c r="H4764" t="s">
        <v>182</v>
      </c>
      <c r="I4764">
        <v>15</v>
      </c>
      <c r="J4764">
        <v>8</v>
      </c>
      <c r="K4764">
        <v>1</v>
      </c>
      <c r="L4764">
        <v>77101</v>
      </c>
      <c r="M4764" t="str">
        <f t="shared" si="708"/>
        <v>13</v>
      </c>
      <c r="N4764" t="s">
        <v>3323</v>
      </c>
      <c r="O4764" t="str">
        <f t="shared" si="712"/>
        <v>71511</v>
      </c>
      <c r="P4764" t="str">
        <f t="shared" si="714"/>
        <v>2100L</v>
      </c>
      <c r="Q4764" t="str">
        <f t="shared" si="713"/>
        <v>0101</v>
      </c>
      <c r="R4764">
        <v>2100</v>
      </c>
      <c r="S4764" t="str">
        <f t="shared" si="711"/>
        <v>7150</v>
      </c>
      <c r="T4764" t="s">
        <v>4035</v>
      </c>
      <c r="U4764" t="s">
        <v>99</v>
      </c>
    </row>
    <row r="4765" spans="1:21" ht="15" customHeight="1" x14ac:dyDescent="0.3">
      <c r="A4765" t="s">
        <v>179</v>
      </c>
      <c r="B4765" t="str">
        <f>"00055325"</f>
        <v>00055325</v>
      </c>
      <c r="C4765" t="s">
        <v>4259</v>
      </c>
      <c r="D4765" t="s">
        <v>755</v>
      </c>
      <c r="E4765" t="str">
        <f>"00049811"</f>
        <v>00049811</v>
      </c>
      <c r="F4765">
        <v>0</v>
      </c>
      <c r="G4765" s="243">
        <v>38587</v>
      </c>
      <c r="H4765" t="s">
        <v>182</v>
      </c>
      <c r="I4765">
        <v>15</v>
      </c>
      <c r="J4765">
        <v>12</v>
      </c>
      <c r="K4765">
        <v>1</v>
      </c>
      <c r="L4765">
        <v>87431</v>
      </c>
      <c r="M4765" t="str">
        <f t="shared" si="708"/>
        <v>13</v>
      </c>
      <c r="N4765" t="s">
        <v>3323</v>
      </c>
      <c r="O4765" t="str">
        <f t="shared" si="712"/>
        <v>71511</v>
      </c>
      <c r="P4765" t="str">
        <f t="shared" si="714"/>
        <v>2100L</v>
      </c>
      <c r="Q4765" t="str">
        <f t="shared" si="713"/>
        <v>0101</v>
      </c>
      <c r="R4765">
        <v>2100</v>
      </c>
      <c r="S4765" t="str">
        <f t="shared" si="711"/>
        <v>7150</v>
      </c>
      <c r="T4765" t="s">
        <v>4035</v>
      </c>
      <c r="U4765" t="s">
        <v>99</v>
      </c>
    </row>
    <row r="4766" spans="1:21" ht="15" customHeight="1" x14ac:dyDescent="0.3">
      <c r="A4766" t="s">
        <v>179</v>
      </c>
      <c r="B4766" t="str">
        <f>"00056527"</f>
        <v>00056527</v>
      </c>
      <c r="C4766" t="s">
        <v>4381</v>
      </c>
      <c r="D4766" t="s">
        <v>756</v>
      </c>
      <c r="E4766" t="str">
        <f>"00046188"</f>
        <v>00046188</v>
      </c>
      <c r="F4766">
        <v>0</v>
      </c>
      <c r="G4766" s="243">
        <v>36397</v>
      </c>
      <c r="H4766" t="s">
        <v>182</v>
      </c>
      <c r="I4766">
        <v>9</v>
      </c>
      <c r="J4766">
        <v>10</v>
      </c>
      <c r="K4766">
        <v>1</v>
      </c>
      <c r="L4766">
        <v>42730</v>
      </c>
      <c r="M4766" t="str">
        <f t="shared" si="708"/>
        <v>13</v>
      </c>
      <c r="N4766" t="s">
        <v>3323</v>
      </c>
      <c r="O4766" t="str">
        <f t="shared" si="712"/>
        <v>71511</v>
      </c>
      <c r="P4766" t="str">
        <f t="shared" si="714"/>
        <v>2100L</v>
      </c>
      <c r="Q4766" t="str">
        <f t="shared" si="713"/>
        <v>0101</v>
      </c>
      <c r="R4766">
        <v>2100</v>
      </c>
      <c r="S4766" t="str">
        <f t="shared" si="711"/>
        <v>7150</v>
      </c>
      <c r="T4766" t="s">
        <v>4035</v>
      </c>
      <c r="U4766" t="s">
        <v>99</v>
      </c>
    </row>
    <row r="4767" spans="1:21" ht="15" customHeight="1" x14ac:dyDescent="0.3">
      <c r="A4767" t="s">
        <v>179</v>
      </c>
      <c r="B4767" t="str">
        <f>"00057510"</f>
        <v>00057510</v>
      </c>
      <c r="C4767" t="s">
        <v>4256</v>
      </c>
      <c r="D4767" t="s">
        <v>5739</v>
      </c>
      <c r="E4767" t="str">
        <f>"00069783"</f>
        <v>00069783</v>
      </c>
      <c r="F4767">
        <v>0</v>
      </c>
      <c r="G4767" s="243">
        <v>41133</v>
      </c>
      <c r="H4767" t="s">
        <v>182</v>
      </c>
      <c r="I4767">
        <v>15</v>
      </c>
      <c r="J4767">
        <v>4</v>
      </c>
      <c r="K4767">
        <v>1</v>
      </c>
      <c r="L4767">
        <v>54725</v>
      </c>
      <c r="M4767" t="str">
        <f t="shared" si="708"/>
        <v>13</v>
      </c>
      <c r="N4767" t="s">
        <v>3370</v>
      </c>
      <c r="O4767" t="str">
        <f t="shared" si="712"/>
        <v>71511</v>
      </c>
      <c r="P4767" t="str">
        <f>"2100L"</f>
        <v>2100L</v>
      </c>
      <c r="Q4767" t="str">
        <f t="shared" si="713"/>
        <v>0101</v>
      </c>
      <c r="R4767">
        <v>2100</v>
      </c>
      <c r="S4767" t="str">
        <f t="shared" si="711"/>
        <v>7150</v>
      </c>
      <c r="T4767" t="s">
        <v>4035</v>
      </c>
      <c r="U4767" t="s">
        <v>99</v>
      </c>
    </row>
    <row r="4768" spans="1:21" ht="15" customHeight="1" x14ac:dyDescent="0.3">
      <c r="A4768" t="s">
        <v>179</v>
      </c>
      <c r="B4768" t="str">
        <f>"00057660"</f>
        <v>00057660</v>
      </c>
      <c r="C4768" t="s">
        <v>4333</v>
      </c>
      <c r="D4768" t="s">
        <v>5740</v>
      </c>
      <c r="E4768" t="str">
        <f>"00059787"</f>
        <v>00059787</v>
      </c>
      <c r="F4768">
        <v>0</v>
      </c>
      <c r="G4768" s="243">
        <v>40755</v>
      </c>
      <c r="H4768" t="s">
        <v>182</v>
      </c>
      <c r="I4768">
        <v>12</v>
      </c>
      <c r="J4768">
        <v>5</v>
      </c>
      <c r="K4768">
        <v>1</v>
      </c>
      <c r="L4768">
        <v>67408</v>
      </c>
      <c r="M4768" t="str">
        <f t="shared" si="708"/>
        <v>13</v>
      </c>
      <c r="N4768" t="s">
        <v>3323</v>
      </c>
      <c r="O4768" t="str">
        <f t="shared" si="712"/>
        <v>71511</v>
      </c>
      <c r="P4768" t="str">
        <f>"1502L"</f>
        <v>1502L</v>
      </c>
      <c r="Q4768" t="str">
        <f t="shared" si="713"/>
        <v>0101</v>
      </c>
      <c r="R4768">
        <v>1502</v>
      </c>
      <c r="S4768" t="str">
        <f t="shared" ref="S4768:S4794" si="715">"7150"</f>
        <v>7150</v>
      </c>
      <c r="T4768" t="s">
        <v>4035</v>
      </c>
      <c r="U4768" t="s">
        <v>99</v>
      </c>
    </row>
    <row r="4769" spans="1:21" ht="15" customHeight="1" x14ac:dyDescent="0.3">
      <c r="A4769" t="s">
        <v>179</v>
      </c>
      <c r="B4769" t="str">
        <f>"00057798"</f>
        <v>00057798</v>
      </c>
      <c r="C4769" t="s">
        <v>4266</v>
      </c>
      <c r="D4769" t="s">
        <v>758</v>
      </c>
      <c r="E4769" t="str">
        <f>"00053588"</f>
        <v>00053588</v>
      </c>
      <c r="F4769">
        <v>0</v>
      </c>
      <c r="G4769" s="243">
        <v>35675</v>
      </c>
      <c r="H4769" t="s">
        <v>182</v>
      </c>
      <c r="I4769">
        <v>15</v>
      </c>
      <c r="J4769">
        <v>13</v>
      </c>
      <c r="K4769">
        <v>1</v>
      </c>
      <c r="L4769">
        <v>81724</v>
      </c>
      <c r="M4769" t="str">
        <f t="shared" si="708"/>
        <v>13</v>
      </c>
      <c r="N4769" t="s">
        <v>3323</v>
      </c>
      <c r="O4769" t="str">
        <f t="shared" si="712"/>
        <v>71511</v>
      </c>
      <c r="P4769" t="str">
        <f>"2300L"</f>
        <v>2300L</v>
      </c>
      <c r="Q4769" t="str">
        <f t="shared" si="713"/>
        <v>0101</v>
      </c>
      <c r="R4769">
        <v>2300</v>
      </c>
      <c r="S4769" t="str">
        <f t="shared" si="715"/>
        <v>7150</v>
      </c>
      <c r="T4769" t="s">
        <v>4035</v>
      </c>
      <c r="U4769" t="s">
        <v>99</v>
      </c>
    </row>
    <row r="4770" spans="1:21" ht="15" customHeight="1" x14ac:dyDescent="0.3">
      <c r="A4770" t="s">
        <v>179</v>
      </c>
      <c r="B4770" t="str">
        <f>"00057814"</f>
        <v>00057814</v>
      </c>
      <c r="C4770" t="s">
        <v>4255</v>
      </c>
      <c r="D4770" t="s">
        <v>759</v>
      </c>
      <c r="E4770" t="str">
        <f>"00051383"</f>
        <v>00051383</v>
      </c>
      <c r="F4770">
        <v>0</v>
      </c>
      <c r="G4770" s="243">
        <v>35707</v>
      </c>
      <c r="H4770" t="s">
        <v>182</v>
      </c>
      <c r="I4770">
        <v>15</v>
      </c>
      <c r="J4770">
        <v>13</v>
      </c>
      <c r="K4770">
        <v>1</v>
      </c>
      <c r="L4770">
        <v>81724</v>
      </c>
      <c r="M4770" t="str">
        <f t="shared" si="708"/>
        <v>13</v>
      </c>
      <c r="N4770" t="s">
        <v>3323</v>
      </c>
      <c r="O4770" t="str">
        <f t="shared" si="712"/>
        <v>71511</v>
      </c>
      <c r="P4770" t="str">
        <f>"2100L"</f>
        <v>2100L</v>
      </c>
      <c r="Q4770" t="str">
        <f t="shared" si="713"/>
        <v>0101</v>
      </c>
      <c r="R4770">
        <v>2100</v>
      </c>
      <c r="S4770" t="str">
        <f t="shared" si="715"/>
        <v>7150</v>
      </c>
      <c r="T4770" t="s">
        <v>4035</v>
      </c>
      <c r="U4770" t="s">
        <v>99</v>
      </c>
    </row>
    <row r="4771" spans="1:21" ht="15" customHeight="1" x14ac:dyDescent="0.3">
      <c r="A4771" t="s">
        <v>179</v>
      </c>
      <c r="B4771" t="str">
        <f>"00057993"</f>
        <v>00057993</v>
      </c>
      <c r="C4771" t="s">
        <v>4266</v>
      </c>
      <c r="D4771" t="s">
        <v>4058</v>
      </c>
      <c r="E4771" t="str">
        <f>"00065851"</f>
        <v>00065851</v>
      </c>
      <c r="F4771">
        <v>0</v>
      </c>
      <c r="G4771" s="243">
        <v>40755</v>
      </c>
      <c r="H4771" t="s">
        <v>182</v>
      </c>
      <c r="I4771">
        <v>15</v>
      </c>
      <c r="J4771">
        <v>2</v>
      </c>
      <c r="K4771">
        <v>1</v>
      </c>
      <c r="L4771">
        <v>56242</v>
      </c>
      <c r="M4771" t="str">
        <f t="shared" si="708"/>
        <v>13</v>
      </c>
      <c r="N4771" t="s">
        <v>3323</v>
      </c>
      <c r="O4771" t="str">
        <f t="shared" si="712"/>
        <v>71511</v>
      </c>
      <c r="P4771" t="str">
        <f>"2300L"</f>
        <v>2300L</v>
      </c>
      <c r="Q4771" t="str">
        <f t="shared" si="713"/>
        <v>0101</v>
      </c>
      <c r="R4771">
        <v>2300</v>
      </c>
      <c r="S4771" t="str">
        <f t="shared" si="715"/>
        <v>7150</v>
      </c>
      <c r="T4771" t="s">
        <v>4035</v>
      </c>
      <c r="U4771" t="s">
        <v>99</v>
      </c>
    </row>
    <row r="4772" spans="1:21" ht="15" customHeight="1" x14ac:dyDescent="0.3">
      <c r="A4772" t="s">
        <v>179</v>
      </c>
      <c r="B4772" t="str">
        <f>"00058695"</f>
        <v>00058695</v>
      </c>
      <c r="C4772" t="s">
        <v>4253</v>
      </c>
      <c r="H4772" t="s">
        <v>170</v>
      </c>
      <c r="I4772">
        <v>15</v>
      </c>
      <c r="J4772">
        <v>1</v>
      </c>
      <c r="K4772">
        <v>1</v>
      </c>
      <c r="L4772">
        <v>56693</v>
      </c>
      <c r="M4772" t="str">
        <f t="shared" si="708"/>
        <v>13</v>
      </c>
      <c r="N4772" t="s">
        <v>3323</v>
      </c>
      <c r="O4772" t="str">
        <f t="shared" si="712"/>
        <v>71511</v>
      </c>
      <c r="P4772" t="str">
        <f t="shared" ref="P4772:P4777" si="716">"2100L"</f>
        <v>2100L</v>
      </c>
      <c r="Q4772" t="str">
        <f t="shared" si="713"/>
        <v>0101</v>
      </c>
      <c r="R4772">
        <v>2100</v>
      </c>
      <c r="S4772" t="str">
        <f t="shared" si="715"/>
        <v>7150</v>
      </c>
      <c r="T4772" t="s">
        <v>4035</v>
      </c>
      <c r="U4772" t="s">
        <v>99</v>
      </c>
    </row>
    <row r="4773" spans="1:21" ht="15" customHeight="1" x14ac:dyDescent="0.3">
      <c r="A4773" t="s">
        <v>179</v>
      </c>
      <c r="B4773" t="str">
        <f>"00058956"</f>
        <v>00058956</v>
      </c>
      <c r="C4773" t="s">
        <v>4259</v>
      </c>
      <c r="D4773" t="s">
        <v>808</v>
      </c>
      <c r="E4773" t="str">
        <f>"00050212"</f>
        <v>00050212</v>
      </c>
      <c r="F4773">
        <v>0</v>
      </c>
      <c r="G4773" s="243">
        <v>40042</v>
      </c>
      <c r="H4773" t="s">
        <v>182</v>
      </c>
      <c r="I4773">
        <v>15</v>
      </c>
      <c r="J4773">
        <v>4</v>
      </c>
      <c r="K4773">
        <v>1</v>
      </c>
      <c r="L4773">
        <v>61158</v>
      </c>
      <c r="M4773" t="str">
        <f t="shared" si="708"/>
        <v>13</v>
      </c>
      <c r="N4773" t="s">
        <v>3370</v>
      </c>
      <c r="O4773" t="str">
        <f t="shared" si="712"/>
        <v>71511</v>
      </c>
      <c r="P4773" t="str">
        <f t="shared" si="716"/>
        <v>2100L</v>
      </c>
      <c r="Q4773" t="str">
        <f t="shared" si="713"/>
        <v>0101</v>
      </c>
      <c r="R4773">
        <v>2100</v>
      </c>
      <c r="S4773" t="str">
        <f t="shared" si="715"/>
        <v>7150</v>
      </c>
      <c r="T4773" t="s">
        <v>4035</v>
      </c>
      <c r="U4773" t="s">
        <v>99</v>
      </c>
    </row>
    <row r="4774" spans="1:21" ht="15" customHeight="1" x14ac:dyDescent="0.3">
      <c r="A4774" t="s">
        <v>179</v>
      </c>
      <c r="B4774" t="str">
        <f>"00059181"</f>
        <v>00059181</v>
      </c>
      <c r="C4774" t="s">
        <v>4253</v>
      </c>
      <c r="D4774" t="s">
        <v>761</v>
      </c>
      <c r="E4774" t="str">
        <f>"00047746"</f>
        <v>00047746</v>
      </c>
      <c r="F4774">
        <v>0</v>
      </c>
      <c r="G4774" s="243">
        <v>40406</v>
      </c>
      <c r="H4774" t="s">
        <v>182</v>
      </c>
      <c r="I4774">
        <v>15</v>
      </c>
      <c r="J4774">
        <v>3</v>
      </c>
      <c r="K4774">
        <v>1</v>
      </c>
      <c r="L4774">
        <v>52777</v>
      </c>
      <c r="M4774" t="str">
        <f t="shared" si="708"/>
        <v>13</v>
      </c>
      <c r="N4774" t="s">
        <v>3323</v>
      </c>
      <c r="O4774" t="str">
        <f t="shared" ref="O4774:O4802" si="717">"71511"</f>
        <v>71511</v>
      </c>
      <c r="P4774" t="str">
        <f t="shared" si="716"/>
        <v>2100L</v>
      </c>
      <c r="Q4774" t="str">
        <f t="shared" ref="Q4774:Q4802" si="718">"0101"</f>
        <v>0101</v>
      </c>
      <c r="R4774">
        <v>2100</v>
      </c>
      <c r="S4774" t="str">
        <f t="shared" si="715"/>
        <v>7150</v>
      </c>
      <c r="T4774" t="s">
        <v>4035</v>
      </c>
      <c r="U4774" t="s">
        <v>99</v>
      </c>
    </row>
    <row r="4775" spans="1:21" ht="15" customHeight="1" x14ac:dyDescent="0.3">
      <c r="A4775" t="s">
        <v>179</v>
      </c>
      <c r="B4775" t="str">
        <f>"00059245"</f>
        <v>00059245</v>
      </c>
      <c r="C4775" t="s">
        <v>4258</v>
      </c>
      <c r="D4775" t="s">
        <v>762</v>
      </c>
      <c r="E4775" t="str">
        <f>"00048940"</f>
        <v>00048940</v>
      </c>
      <c r="F4775">
        <v>0</v>
      </c>
      <c r="G4775" s="243">
        <v>38587</v>
      </c>
      <c r="H4775" t="s">
        <v>182</v>
      </c>
      <c r="I4775">
        <v>15</v>
      </c>
      <c r="J4775">
        <v>9</v>
      </c>
      <c r="K4775">
        <v>1</v>
      </c>
      <c r="L4775">
        <v>75232</v>
      </c>
      <c r="M4775" t="str">
        <f t="shared" si="708"/>
        <v>13</v>
      </c>
      <c r="N4775" t="s">
        <v>3323</v>
      </c>
      <c r="O4775" t="str">
        <f t="shared" si="717"/>
        <v>71511</v>
      </c>
      <c r="P4775" t="str">
        <f t="shared" si="716"/>
        <v>2100L</v>
      </c>
      <c r="Q4775" t="str">
        <f t="shared" si="718"/>
        <v>0101</v>
      </c>
      <c r="R4775">
        <v>2100</v>
      </c>
      <c r="S4775" t="str">
        <f t="shared" si="715"/>
        <v>7150</v>
      </c>
      <c r="T4775" t="s">
        <v>4035</v>
      </c>
      <c r="U4775" t="s">
        <v>99</v>
      </c>
    </row>
    <row r="4776" spans="1:21" ht="15" customHeight="1" x14ac:dyDescent="0.3">
      <c r="A4776" t="s">
        <v>179</v>
      </c>
      <c r="B4776" t="str">
        <f>"00059317"</f>
        <v>00059317</v>
      </c>
      <c r="C4776" t="s">
        <v>4253</v>
      </c>
      <c r="D4776" t="s">
        <v>763</v>
      </c>
      <c r="E4776" t="str">
        <f>"00045279"</f>
        <v>00045279</v>
      </c>
      <c r="F4776">
        <v>0</v>
      </c>
      <c r="G4776" s="243">
        <v>37861</v>
      </c>
      <c r="H4776" t="s">
        <v>182</v>
      </c>
      <c r="I4776">
        <v>15</v>
      </c>
      <c r="J4776">
        <v>10</v>
      </c>
      <c r="K4776">
        <v>1</v>
      </c>
      <c r="L4776">
        <v>78273</v>
      </c>
      <c r="M4776" t="str">
        <f t="shared" si="708"/>
        <v>13</v>
      </c>
      <c r="N4776" t="s">
        <v>3323</v>
      </c>
      <c r="O4776" t="str">
        <f t="shared" si="717"/>
        <v>71511</v>
      </c>
      <c r="P4776" t="str">
        <f t="shared" si="716"/>
        <v>2100L</v>
      </c>
      <c r="Q4776" t="str">
        <f t="shared" si="718"/>
        <v>0101</v>
      </c>
      <c r="R4776">
        <v>2100</v>
      </c>
      <c r="S4776" t="str">
        <f t="shared" si="715"/>
        <v>7150</v>
      </c>
      <c r="T4776" t="s">
        <v>4035</v>
      </c>
      <c r="U4776" t="s">
        <v>99</v>
      </c>
    </row>
    <row r="4777" spans="1:21" ht="15" customHeight="1" x14ac:dyDescent="0.3">
      <c r="A4777" t="s">
        <v>179</v>
      </c>
      <c r="B4777" t="str">
        <f>"00059387"</f>
        <v>00059387</v>
      </c>
      <c r="C4777" t="s">
        <v>4253</v>
      </c>
      <c r="D4777" t="s">
        <v>764</v>
      </c>
      <c r="E4777" t="str">
        <f>"00051948"</f>
        <v>00051948</v>
      </c>
      <c r="F4777">
        <v>0</v>
      </c>
      <c r="G4777" s="243">
        <v>37861</v>
      </c>
      <c r="H4777" t="s">
        <v>182</v>
      </c>
      <c r="I4777">
        <v>15</v>
      </c>
      <c r="J4777">
        <v>9</v>
      </c>
      <c r="K4777">
        <v>1</v>
      </c>
      <c r="L4777">
        <v>75232</v>
      </c>
      <c r="M4777" t="str">
        <f t="shared" si="708"/>
        <v>13</v>
      </c>
      <c r="N4777" t="s">
        <v>3323</v>
      </c>
      <c r="O4777" t="str">
        <f t="shared" si="717"/>
        <v>71511</v>
      </c>
      <c r="P4777" t="str">
        <f t="shared" si="716"/>
        <v>2100L</v>
      </c>
      <c r="Q4777" t="str">
        <f t="shared" si="718"/>
        <v>0101</v>
      </c>
      <c r="R4777">
        <v>2100</v>
      </c>
      <c r="S4777" t="str">
        <f t="shared" si="715"/>
        <v>7150</v>
      </c>
      <c r="T4777" t="s">
        <v>4035</v>
      </c>
      <c r="U4777" t="s">
        <v>99</v>
      </c>
    </row>
    <row r="4778" spans="1:21" ht="15" customHeight="1" x14ac:dyDescent="0.3">
      <c r="A4778" t="s">
        <v>179</v>
      </c>
      <c r="B4778" t="str">
        <f>"00059707"</f>
        <v>00059707</v>
      </c>
      <c r="C4778" t="s">
        <v>3670</v>
      </c>
      <c r="D4778" t="s">
        <v>760</v>
      </c>
      <c r="E4778" t="str">
        <f>"00048226"</f>
        <v>00048226</v>
      </c>
      <c r="F4778">
        <v>0</v>
      </c>
      <c r="G4778" s="243">
        <v>39909</v>
      </c>
      <c r="H4778" t="s">
        <v>182</v>
      </c>
      <c r="I4778">
        <v>8</v>
      </c>
      <c r="J4778">
        <v>5</v>
      </c>
      <c r="K4778">
        <v>1</v>
      </c>
      <c r="L4778">
        <v>92198</v>
      </c>
      <c r="M4778" t="str">
        <f t="shared" ref="M4778:M4839" si="719">"13"</f>
        <v>13</v>
      </c>
      <c r="N4778" t="s">
        <v>3323</v>
      </c>
      <c r="O4778" t="str">
        <f t="shared" si="717"/>
        <v>71511</v>
      </c>
      <c r="P4778" t="str">
        <f>"1501L"</f>
        <v>1501L</v>
      </c>
      <c r="Q4778" t="str">
        <f t="shared" si="718"/>
        <v>0101</v>
      </c>
      <c r="R4778">
        <v>1501</v>
      </c>
      <c r="S4778" t="str">
        <f t="shared" si="715"/>
        <v>7150</v>
      </c>
      <c r="T4778" t="s">
        <v>4035</v>
      </c>
      <c r="U4778" t="s">
        <v>99</v>
      </c>
    </row>
    <row r="4779" spans="1:21" ht="15" customHeight="1" x14ac:dyDescent="0.3">
      <c r="A4779" t="s">
        <v>179</v>
      </c>
      <c r="B4779" t="str">
        <f>"00059712"</f>
        <v>00059712</v>
      </c>
      <c r="C4779" t="s">
        <v>3670</v>
      </c>
      <c r="D4779" t="s">
        <v>770</v>
      </c>
      <c r="E4779" t="str">
        <f>"00048081"</f>
        <v>00048081</v>
      </c>
      <c r="F4779">
        <v>0</v>
      </c>
      <c r="G4779" s="243">
        <v>40042</v>
      </c>
      <c r="H4779" t="s">
        <v>182</v>
      </c>
      <c r="I4779">
        <v>8</v>
      </c>
      <c r="J4779">
        <v>1</v>
      </c>
      <c r="K4779">
        <v>1</v>
      </c>
      <c r="L4779">
        <v>82397</v>
      </c>
      <c r="M4779" t="str">
        <f t="shared" si="719"/>
        <v>13</v>
      </c>
      <c r="N4779" t="s">
        <v>3370</v>
      </c>
      <c r="O4779" t="str">
        <f t="shared" si="717"/>
        <v>71511</v>
      </c>
      <c r="P4779" t="str">
        <f>"1501L"</f>
        <v>1501L</v>
      </c>
      <c r="Q4779" t="str">
        <f t="shared" si="718"/>
        <v>0101</v>
      </c>
      <c r="R4779">
        <v>1501</v>
      </c>
      <c r="S4779" t="str">
        <f t="shared" si="715"/>
        <v>7150</v>
      </c>
      <c r="T4779" t="s">
        <v>4035</v>
      </c>
      <c r="U4779" t="s">
        <v>99</v>
      </c>
    </row>
    <row r="4780" spans="1:21" ht="15" customHeight="1" x14ac:dyDescent="0.3">
      <c r="A4780" t="s">
        <v>179</v>
      </c>
      <c r="B4780" t="str">
        <f>"00060161"</f>
        <v>00060161</v>
      </c>
      <c r="C4780" t="s">
        <v>4253</v>
      </c>
      <c r="D4780" t="s">
        <v>5741</v>
      </c>
      <c r="E4780" t="str">
        <f>"00069985"</f>
        <v>00069985</v>
      </c>
      <c r="F4780">
        <v>0</v>
      </c>
      <c r="G4780" s="243">
        <v>41133</v>
      </c>
      <c r="H4780" t="s">
        <v>182</v>
      </c>
      <c r="I4780">
        <v>15</v>
      </c>
      <c r="J4780">
        <v>10</v>
      </c>
      <c r="K4780">
        <v>1</v>
      </c>
      <c r="L4780">
        <v>83199</v>
      </c>
      <c r="M4780" t="str">
        <f t="shared" si="719"/>
        <v>13</v>
      </c>
      <c r="N4780" t="s">
        <v>3323</v>
      </c>
      <c r="O4780" t="str">
        <f t="shared" si="717"/>
        <v>71511</v>
      </c>
      <c r="P4780" t="str">
        <f>"2100L"</f>
        <v>2100L</v>
      </c>
      <c r="Q4780" t="str">
        <f t="shared" si="718"/>
        <v>0101</v>
      </c>
      <c r="R4780">
        <v>2100</v>
      </c>
      <c r="S4780" t="str">
        <f t="shared" si="715"/>
        <v>7150</v>
      </c>
      <c r="T4780" t="s">
        <v>4035</v>
      </c>
      <c r="U4780" t="s">
        <v>99</v>
      </c>
    </row>
    <row r="4781" spans="1:21" ht="15" customHeight="1" x14ac:dyDescent="0.3">
      <c r="A4781" t="s">
        <v>179</v>
      </c>
      <c r="B4781" t="str">
        <f>"00060242"</f>
        <v>00060242</v>
      </c>
      <c r="C4781" t="s">
        <v>3798</v>
      </c>
      <c r="D4781" t="s">
        <v>765</v>
      </c>
      <c r="E4781" t="str">
        <f>"00045997"</f>
        <v>00045997</v>
      </c>
      <c r="F4781">
        <v>0</v>
      </c>
      <c r="G4781" s="243">
        <v>30865</v>
      </c>
      <c r="H4781" t="s">
        <v>182</v>
      </c>
      <c r="I4781">
        <v>66</v>
      </c>
      <c r="J4781">
        <v>10</v>
      </c>
      <c r="K4781">
        <v>1</v>
      </c>
      <c r="L4781">
        <v>152000</v>
      </c>
      <c r="M4781" t="str">
        <f t="shared" si="719"/>
        <v>13</v>
      </c>
      <c r="N4781" t="s">
        <v>3323</v>
      </c>
      <c r="O4781" t="str">
        <f t="shared" si="717"/>
        <v>71511</v>
      </c>
      <c r="P4781" t="str">
        <f>"1501L"</f>
        <v>1501L</v>
      </c>
      <c r="Q4781" t="str">
        <f t="shared" si="718"/>
        <v>0101</v>
      </c>
      <c r="R4781">
        <v>1501</v>
      </c>
      <c r="S4781" t="str">
        <f t="shared" si="715"/>
        <v>7150</v>
      </c>
      <c r="T4781" t="s">
        <v>4035</v>
      </c>
      <c r="U4781" t="s">
        <v>99</v>
      </c>
    </row>
    <row r="4782" spans="1:21" ht="15" customHeight="1" x14ac:dyDescent="0.3">
      <c r="A4782" t="s">
        <v>179</v>
      </c>
      <c r="B4782" t="str">
        <f>"00060587"</f>
        <v>00060587</v>
      </c>
      <c r="C4782" t="s">
        <v>4343</v>
      </c>
      <c r="D4782" t="s">
        <v>766</v>
      </c>
      <c r="E4782" t="str">
        <f>"00055027"</f>
        <v>00055027</v>
      </c>
      <c r="F4782">
        <v>0</v>
      </c>
      <c r="G4782" s="243">
        <v>38951</v>
      </c>
      <c r="H4782" t="s">
        <v>182</v>
      </c>
      <c r="I4782">
        <v>15</v>
      </c>
      <c r="J4782">
        <v>12</v>
      </c>
      <c r="K4782">
        <v>1</v>
      </c>
      <c r="L4782">
        <v>96174</v>
      </c>
      <c r="M4782" t="str">
        <f t="shared" si="719"/>
        <v>13</v>
      </c>
      <c r="N4782" t="s">
        <v>3323</v>
      </c>
      <c r="O4782" t="str">
        <f t="shared" si="717"/>
        <v>71511</v>
      </c>
      <c r="P4782" t="str">
        <f>"2300L"</f>
        <v>2300L</v>
      </c>
      <c r="Q4782" t="str">
        <f t="shared" si="718"/>
        <v>0101</v>
      </c>
      <c r="R4782">
        <v>2300</v>
      </c>
      <c r="S4782" t="str">
        <f t="shared" si="715"/>
        <v>7150</v>
      </c>
      <c r="T4782" t="s">
        <v>4035</v>
      </c>
      <c r="U4782" t="s">
        <v>99</v>
      </c>
    </row>
    <row r="4783" spans="1:21" ht="15" customHeight="1" x14ac:dyDescent="0.3">
      <c r="A4783" t="s">
        <v>179</v>
      </c>
      <c r="B4783" t="str">
        <f>"00060850"</f>
        <v>00060850</v>
      </c>
      <c r="C4783" t="s">
        <v>3670</v>
      </c>
      <c r="D4783" t="s">
        <v>767</v>
      </c>
      <c r="E4783" t="str">
        <f>"00062363"</f>
        <v>00062363</v>
      </c>
      <c r="F4783">
        <v>0</v>
      </c>
      <c r="G4783" s="243">
        <v>40385</v>
      </c>
      <c r="H4783" t="s">
        <v>182</v>
      </c>
      <c r="I4783">
        <v>8</v>
      </c>
      <c r="J4783">
        <v>4</v>
      </c>
      <c r="K4783">
        <v>1</v>
      </c>
      <c r="L4783">
        <v>89645</v>
      </c>
      <c r="M4783" t="str">
        <f t="shared" si="719"/>
        <v>13</v>
      </c>
      <c r="N4783" t="s">
        <v>3323</v>
      </c>
      <c r="O4783" t="str">
        <f t="shared" si="717"/>
        <v>71511</v>
      </c>
      <c r="P4783" t="str">
        <f>"1501L"</f>
        <v>1501L</v>
      </c>
      <c r="Q4783" t="str">
        <f t="shared" si="718"/>
        <v>0101</v>
      </c>
      <c r="R4783">
        <v>1501</v>
      </c>
      <c r="S4783" t="str">
        <f t="shared" si="715"/>
        <v>7150</v>
      </c>
      <c r="T4783" t="s">
        <v>4035</v>
      </c>
      <c r="U4783" t="s">
        <v>99</v>
      </c>
    </row>
    <row r="4784" spans="1:21" ht="15" customHeight="1" x14ac:dyDescent="0.3">
      <c r="A4784" t="s">
        <v>179</v>
      </c>
      <c r="B4784" t="str">
        <f>"00060981"</f>
        <v>00060981</v>
      </c>
      <c r="C4784" t="s">
        <v>4266</v>
      </c>
      <c r="D4784" t="s">
        <v>768</v>
      </c>
      <c r="E4784" t="str">
        <f>"00055169"</f>
        <v>00055169</v>
      </c>
      <c r="F4784">
        <v>0</v>
      </c>
      <c r="G4784" s="243">
        <v>39314</v>
      </c>
      <c r="H4784" t="s">
        <v>182</v>
      </c>
      <c r="I4784">
        <v>15</v>
      </c>
      <c r="J4784">
        <v>6</v>
      </c>
      <c r="K4784">
        <v>1</v>
      </c>
      <c r="L4784">
        <v>66078</v>
      </c>
      <c r="M4784" t="str">
        <f t="shared" si="719"/>
        <v>13</v>
      </c>
      <c r="N4784" t="s">
        <v>3323</v>
      </c>
      <c r="O4784" t="str">
        <f t="shared" si="717"/>
        <v>71511</v>
      </c>
      <c r="P4784" t="str">
        <f>"2300L"</f>
        <v>2300L</v>
      </c>
      <c r="Q4784" t="str">
        <f t="shared" si="718"/>
        <v>0101</v>
      </c>
      <c r="R4784">
        <v>2300</v>
      </c>
      <c r="S4784" t="str">
        <f t="shared" si="715"/>
        <v>7150</v>
      </c>
      <c r="T4784" t="s">
        <v>4035</v>
      </c>
      <c r="U4784" t="s">
        <v>99</v>
      </c>
    </row>
    <row r="4785" spans="1:21" ht="15" customHeight="1" x14ac:dyDescent="0.3">
      <c r="A4785" t="s">
        <v>179</v>
      </c>
      <c r="B4785" t="str">
        <f>"00060990"</f>
        <v>00060990</v>
      </c>
      <c r="C4785" t="s">
        <v>4266</v>
      </c>
      <c r="D4785" t="s">
        <v>769</v>
      </c>
      <c r="E4785" t="str">
        <f>"00063325"</f>
        <v>00063325</v>
      </c>
      <c r="F4785">
        <v>0</v>
      </c>
      <c r="G4785" s="243">
        <v>40448</v>
      </c>
      <c r="H4785" t="s">
        <v>182</v>
      </c>
      <c r="I4785">
        <v>15</v>
      </c>
      <c r="J4785">
        <v>4</v>
      </c>
      <c r="K4785">
        <v>1</v>
      </c>
      <c r="L4785">
        <v>61158</v>
      </c>
      <c r="M4785" t="str">
        <f t="shared" si="719"/>
        <v>13</v>
      </c>
      <c r="N4785" t="s">
        <v>3323</v>
      </c>
      <c r="O4785" t="str">
        <f t="shared" si="717"/>
        <v>71511</v>
      </c>
      <c r="P4785" t="str">
        <f>"2300L"</f>
        <v>2300L</v>
      </c>
      <c r="Q4785" t="str">
        <f t="shared" si="718"/>
        <v>0101</v>
      </c>
      <c r="R4785">
        <v>2300</v>
      </c>
      <c r="S4785" t="str">
        <f t="shared" si="715"/>
        <v>7150</v>
      </c>
      <c r="T4785" t="s">
        <v>4035</v>
      </c>
      <c r="U4785" t="s">
        <v>99</v>
      </c>
    </row>
    <row r="4786" spans="1:21" ht="15" customHeight="1" x14ac:dyDescent="0.3">
      <c r="A4786" t="s">
        <v>179</v>
      </c>
      <c r="B4786" t="str">
        <f>"00060992"</f>
        <v>00060992</v>
      </c>
      <c r="C4786" t="s">
        <v>4266</v>
      </c>
      <c r="D4786" t="s">
        <v>4061</v>
      </c>
      <c r="E4786" t="str">
        <f>"00065876"</f>
        <v>00065876</v>
      </c>
      <c r="F4786">
        <v>0</v>
      </c>
      <c r="G4786" s="243">
        <v>40755</v>
      </c>
      <c r="H4786" t="s">
        <v>182</v>
      </c>
      <c r="I4786">
        <v>15</v>
      </c>
      <c r="J4786">
        <v>2</v>
      </c>
      <c r="K4786">
        <v>1</v>
      </c>
      <c r="L4786">
        <v>51716</v>
      </c>
      <c r="M4786" t="str">
        <f t="shared" si="719"/>
        <v>13</v>
      </c>
      <c r="N4786" t="s">
        <v>3323</v>
      </c>
      <c r="O4786" t="str">
        <f t="shared" si="717"/>
        <v>71511</v>
      </c>
      <c r="P4786" t="str">
        <f>"2300L"</f>
        <v>2300L</v>
      </c>
      <c r="Q4786" t="str">
        <f t="shared" si="718"/>
        <v>0101</v>
      </c>
      <c r="R4786">
        <v>2300</v>
      </c>
      <c r="S4786" t="str">
        <f t="shared" si="715"/>
        <v>7150</v>
      </c>
      <c r="T4786" t="s">
        <v>4035</v>
      </c>
      <c r="U4786" t="s">
        <v>99</v>
      </c>
    </row>
    <row r="4787" spans="1:21" ht="15" customHeight="1" x14ac:dyDescent="0.3">
      <c r="A4787" t="s">
        <v>179</v>
      </c>
      <c r="B4787" t="str">
        <f>"00061009"</f>
        <v>00061009</v>
      </c>
      <c r="C4787" t="s">
        <v>4266</v>
      </c>
      <c r="D4787" t="s">
        <v>4036</v>
      </c>
      <c r="E4787" t="str">
        <f>"00065894"</f>
        <v>00065894</v>
      </c>
      <c r="F4787">
        <v>0</v>
      </c>
      <c r="G4787" s="243">
        <v>40755</v>
      </c>
      <c r="H4787" t="s">
        <v>182</v>
      </c>
      <c r="I4787">
        <v>15</v>
      </c>
      <c r="J4787">
        <v>2</v>
      </c>
      <c r="K4787">
        <v>1</v>
      </c>
      <c r="L4787">
        <v>58699</v>
      </c>
      <c r="M4787" t="str">
        <f t="shared" si="719"/>
        <v>13</v>
      </c>
      <c r="N4787" t="s">
        <v>3323</v>
      </c>
      <c r="O4787" t="str">
        <f t="shared" si="717"/>
        <v>71511</v>
      </c>
      <c r="P4787" t="str">
        <f>"2300L"</f>
        <v>2300L</v>
      </c>
      <c r="Q4787" t="str">
        <f t="shared" si="718"/>
        <v>0101</v>
      </c>
      <c r="R4787">
        <v>2300</v>
      </c>
      <c r="S4787" t="str">
        <f t="shared" si="715"/>
        <v>7150</v>
      </c>
      <c r="T4787" t="s">
        <v>4035</v>
      </c>
      <c r="U4787" t="s">
        <v>99</v>
      </c>
    </row>
    <row r="4788" spans="1:21" ht="15" customHeight="1" x14ac:dyDescent="0.3">
      <c r="A4788" t="s">
        <v>179</v>
      </c>
      <c r="B4788" t="str">
        <f>"00061130"</f>
        <v>00061130</v>
      </c>
      <c r="C4788" t="s">
        <v>3670</v>
      </c>
      <c r="D4788" t="s">
        <v>772</v>
      </c>
      <c r="E4788" t="str">
        <f>"00045453"</f>
        <v>00045453</v>
      </c>
      <c r="F4788">
        <v>0</v>
      </c>
      <c r="G4788" s="243">
        <v>39314</v>
      </c>
      <c r="H4788" t="s">
        <v>182</v>
      </c>
      <c r="I4788">
        <v>8</v>
      </c>
      <c r="J4788">
        <v>3</v>
      </c>
      <c r="K4788">
        <v>1</v>
      </c>
      <c r="L4788">
        <v>87160</v>
      </c>
      <c r="M4788" t="str">
        <f t="shared" si="719"/>
        <v>13</v>
      </c>
      <c r="N4788" t="s">
        <v>3323</v>
      </c>
      <c r="O4788" t="str">
        <f t="shared" si="717"/>
        <v>71511</v>
      </c>
      <c r="P4788" t="str">
        <f>"2100L"</f>
        <v>2100L</v>
      </c>
      <c r="Q4788" t="str">
        <f t="shared" si="718"/>
        <v>0101</v>
      </c>
      <c r="R4788">
        <v>2100</v>
      </c>
      <c r="S4788" t="str">
        <f t="shared" si="715"/>
        <v>7150</v>
      </c>
      <c r="T4788" t="s">
        <v>4035</v>
      </c>
      <c r="U4788" t="s">
        <v>99</v>
      </c>
    </row>
    <row r="4789" spans="1:21" ht="15" customHeight="1" x14ac:dyDescent="0.3">
      <c r="A4789" t="s">
        <v>179</v>
      </c>
      <c r="B4789" t="str">
        <f>"00061131"</f>
        <v>00061131</v>
      </c>
      <c r="C4789" t="s">
        <v>200</v>
      </c>
      <c r="D4789" t="s">
        <v>773</v>
      </c>
      <c r="E4789" t="str">
        <f>"00045218"</f>
        <v>00045218</v>
      </c>
      <c r="F4789">
        <v>0</v>
      </c>
      <c r="G4789" s="243">
        <v>39314</v>
      </c>
      <c r="H4789" t="s">
        <v>182</v>
      </c>
      <c r="I4789">
        <v>15</v>
      </c>
      <c r="J4789">
        <v>10</v>
      </c>
      <c r="K4789">
        <v>1</v>
      </c>
      <c r="L4789">
        <v>78273</v>
      </c>
      <c r="M4789" t="str">
        <f t="shared" si="719"/>
        <v>13</v>
      </c>
      <c r="N4789" t="s">
        <v>3323</v>
      </c>
      <c r="O4789" t="str">
        <f t="shared" si="717"/>
        <v>71511</v>
      </c>
      <c r="P4789" t="str">
        <f>"3030L"</f>
        <v>3030L</v>
      </c>
      <c r="Q4789" t="str">
        <f t="shared" si="718"/>
        <v>0101</v>
      </c>
      <c r="R4789">
        <v>3030</v>
      </c>
      <c r="S4789" t="str">
        <f t="shared" si="715"/>
        <v>7150</v>
      </c>
      <c r="T4789" t="s">
        <v>4035</v>
      </c>
      <c r="U4789" t="s">
        <v>99</v>
      </c>
    </row>
    <row r="4790" spans="1:21" ht="15" customHeight="1" x14ac:dyDescent="0.3">
      <c r="A4790" t="s">
        <v>179</v>
      </c>
      <c r="B4790" t="str">
        <f>"00061137"</f>
        <v>00061137</v>
      </c>
      <c r="C4790" t="s">
        <v>4261</v>
      </c>
      <c r="D4790" t="s">
        <v>5742</v>
      </c>
      <c r="E4790" t="str">
        <f>"00070076"</f>
        <v>00070076</v>
      </c>
      <c r="F4790">
        <v>0</v>
      </c>
      <c r="G4790" s="243">
        <v>41133</v>
      </c>
      <c r="H4790" t="s">
        <v>182</v>
      </c>
      <c r="I4790">
        <v>15</v>
      </c>
      <c r="J4790">
        <v>1</v>
      </c>
      <c r="K4790">
        <v>1</v>
      </c>
      <c r="L4790">
        <v>60473</v>
      </c>
      <c r="M4790" t="str">
        <f t="shared" si="719"/>
        <v>13</v>
      </c>
      <c r="N4790" t="s">
        <v>3370</v>
      </c>
      <c r="O4790" t="str">
        <f t="shared" si="717"/>
        <v>71511</v>
      </c>
      <c r="P4790" t="str">
        <f t="shared" ref="P4790:P4801" si="720">"2100L"</f>
        <v>2100L</v>
      </c>
      <c r="Q4790" t="str">
        <f t="shared" si="718"/>
        <v>0101</v>
      </c>
      <c r="R4790">
        <v>2100</v>
      </c>
      <c r="S4790" t="str">
        <f t="shared" si="715"/>
        <v>7150</v>
      </c>
      <c r="T4790" t="s">
        <v>4035</v>
      </c>
      <c r="U4790" t="s">
        <v>99</v>
      </c>
    </row>
    <row r="4791" spans="1:21" ht="15" customHeight="1" x14ac:dyDescent="0.3">
      <c r="A4791" t="s">
        <v>179</v>
      </c>
      <c r="B4791" t="str">
        <f>"00061293"</f>
        <v>00061293</v>
      </c>
      <c r="C4791" t="s">
        <v>4263</v>
      </c>
      <c r="D4791" t="s">
        <v>3462</v>
      </c>
      <c r="E4791" t="str">
        <f>"00065612"</f>
        <v>00065612</v>
      </c>
      <c r="F4791">
        <v>0</v>
      </c>
      <c r="G4791" s="243">
        <v>40755</v>
      </c>
      <c r="H4791" t="s">
        <v>182</v>
      </c>
      <c r="I4791">
        <v>15</v>
      </c>
      <c r="J4791">
        <v>2</v>
      </c>
      <c r="K4791">
        <v>1</v>
      </c>
      <c r="L4791">
        <v>56242</v>
      </c>
      <c r="M4791" t="str">
        <f t="shared" si="719"/>
        <v>13</v>
      </c>
      <c r="N4791" t="s">
        <v>3323</v>
      </c>
      <c r="O4791" t="str">
        <f t="shared" si="717"/>
        <v>71511</v>
      </c>
      <c r="P4791" t="str">
        <f t="shared" si="720"/>
        <v>2100L</v>
      </c>
      <c r="Q4791" t="str">
        <f t="shared" si="718"/>
        <v>0101</v>
      </c>
      <c r="R4791">
        <v>2100</v>
      </c>
      <c r="S4791" t="str">
        <f t="shared" si="715"/>
        <v>7150</v>
      </c>
      <c r="T4791" t="s">
        <v>4035</v>
      </c>
      <c r="U4791" t="s">
        <v>99</v>
      </c>
    </row>
    <row r="4792" spans="1:21" ht="15" customHeight="1" x14ac:dyDescent="0.3">
      <c r="A4792" t="s">
        <v>179</v>
      </c>
      <c r="B4792" t="str">
        <f>"00061303"</f>
        <v>00061303</v>
      </c>
      <c r="C4792" t="s">
        <v>4253</v>
      </c>
      <c r="D4792" t="s">
        <v>5743</v>
      </c>
      <c r="E4792" t="str">
        <f>"00069978"</f>
        <v>00069978</v>
      </c>
      <c r="F4792">
        <v>0</v>
      </c>
      <c r="G4792" s="243">
        <v>41133</v>
      </c>
      <c r="H4792" t="s">
        <v>182</v>
      </c>
      <c r="I4792">
        <v>15</v>
      </c>
      <c r="J4792">
        <v>1</v>
      </c>
      <c r="K4792">
        <v>1</v>
      </c>
      <c r="L4792">
        <v>54975</v>
      </c>
      <c r="M4792" t="str">
        <f t="shared" si="719"/>
        <v>13</v>
      </c>
      <c r="N4792" t="s">
        <v>3370</v>
      </c>
      <c r="O4792" t="str">
        <f t="shared" si="717"/>
        <v>71511</v>
      </c>
      <c r="P4792" t="str">
        <f t="shared" si="720"/>
        <v>2100L</v>
      </c>
      <c r="Q4792" t="str">
        <f t="shared" si="718"/>
        <v>0101</v>
      </c>
      <c r="R4792">
        <v>2100</v>
      </c>
      <c r="S4792" t="str">
        <f t="shared" si="715"/>
        <v>7150</v>
      </c>
      <c r="T4792" t="s">
        <v>4035</v>
      </c>
      <c r="U4792" t="s">
        <v>99</v>
      </c>
    </row>
    <row r="4793" spans="1:21" ht="15" customHeight="1" x14ac:dyDescent="0.3">
      <c r="A4793" t="s">
        <v>179</v>
      </c>
      <c r="B4793" t="str">
        <f>"00061781"</f>
        <v>00061781</v>
      </c>
      <c r="C4793" t="s">
        <v>4367</v>
      </c>
      <c r="D4793" t="s">
        <v>5744</v>
      </c>
      <c r="E4793" t="str">
        <f>"00047865"</f>
        <v>00047865</v>
      </c>
      <c r="F4793">
        <v>0</v>
      </c>
      <c r="G4793" s="243">
        <v>39567</v>
      </c>
      <c r="H4793" t="s">
        <v>182</v>
      </c>
      <c r="I4793">
        <v>9</v>
      </c>
      <c r="J4793">
        <v>10</v>
      </c>
      <c r="K4793">
        <v>1</v>
      </c>
      <c r="L4793">
        <v>47347</v>
      </c>
      <c r="M4793" t="str">
        <f t="shared" si="719"/>
        <v>13</v>
      </c>
      <c r="N4793" t="s">
        <v>3323</v>
      </c>
      <c r="O4793" t="str">
        <f t="shared" si="717"/>
        <v>71511</v>
      </c>
      <c r="P4793" t="str">
        <f t="shared" si="720"/>
        <v>2100L</v>
      </c>
      <c r="Q4793" t="str">
        <f t="shared" si="718"/>
        <v>0101</v>
      </c>
      <c r="R4793">
        <v>2100</v>
      </c>
      <c r="S4793" t="str">
        <f t="shared" si="715"/>
        <v>7150</v>
      </c>
      <c r="T4793" t="s">
        <v>4035</v>
      </c>
      <c r="U4793" t="s">
        <v>99</v>
      </c>
    </row>
    <row r="4794" spans="1:21" ht="15" customHeight="1" x14ac:dyDescent="0.3">
      <c r="A4794" t="s">
        <v>179</v>
      </c>
      <c r="B4794" t="str">
        <f>"00062001"</f>
        <v>00062001</v>
      </c>
      <c r="C4794" t="s">
        <v>4253</v>
      </c>
      <c r="D4794" t="s">
        <v>775</v>
      </c>
      <c r="E4794" t="str">
        <f>"00062626"</f>
        <v>00062626</v>
      </c>
      <c r="F4794">
        <v>0</v>
      </c>
      <c r="G4794" s="243">
        <v>40406</v>
      </c>
      <c r="H4794" t="s">
        <v>182</v>
      </c>
      <c r="I4794">
        <v>15</v>
      </c>
      <c r="J4794">
        <v>3</v>
      </c>
      <c r="K4794">
        <v>1</v>
      </c>
      <c r="L4794">
        <v>58699</v>
      </c>
      <c r="M4794" t="str">
        <f t="shared" si="719"/>
        <v>13</v>
      </c>
      <c r="N4794" t="s">
        <v>3323</v>
      </c>
      <c r="O4794" t="str">
        <f t="shared" si="717"/>
        <v>71511</v>
      </c>
      <c r="P4794" t="str">
        <f t="shared" si="720"/>
        <v>2100L</v>
      </c>
      <c r="Q4794" t="str">
        <f t="shared" si="718"/>
        <v>0101</v>
      </c>
      <c r="R4794">
        <v>2100</v>
      </c>
      <c r="S4794" t="str">
        <f t="shared" si="715"/>
        <v>7150</v>
      </c>
      <c r="T4794" t="s">
        <v>4035</v>
      </c>
      <c r="U4794" t="s">
        <v>99</v>
      </c>
    </row>
    <row r="4795" spans="1:21" ht="15" customHeight="1" x14ac:dyDescent="0.3">
      <c r="A4795" t="s">
        <v>179</v>
      </c>
      <c r="B4795" t="str">
        <f>"00062007"</f>
        <v>00062007</v>
      </c>
      <c r="C4795" t="s">
        <v>4253</v>
      </c>
      <c r="D4795" t="s">
        <v>5745</v>
      </c>
      <c r="E4795" t="str">
        <f>"00069694"</f>
        <v>00069694</v>
      </c>
      <c r="F4795">
        <v>0</v>
      </c>
      <c r="G4795" s="243">
        <v>41133</v>
      </c>
      <c r="H4795" t="s">
        <v>182</v>
      </c>
      <c r="I4795">
        <v>15</v>
      </c>
      <c r="J4795">
        <v>5</v>
      </c>
      <c r="K4795">
        <v>1</v>
      </c>
      <c r="L4795">
        <v>63611</v>
      </c>
      <c r="M4795" t="str">
        <f t="shared" si="719"/>
        <v>13</v>
      </c>
      <c r="N4795" t="s">
        <v>3370</v>
      </c>
      <c r="O4795" t="str">
        <f t="shared" si="717"/>
        <v>71511</v>
      </c>
      <c r="P4795" t="str">
        <f t="shared" si="720"/>
        <v>2100L</v>
      </c>
      <c r="Q4795" t="str">
        <f t="shared" si="718"/>
        <v>0101</v>
      </c>
      <c r="R4795">
        <v>2100</v>
      </c>
      <c r="S4795" t="str">
        <f t="shared" ref="S4795:S4826" si="721">"7150"</f>
        <v>7150</v>
      </c>
      <c r="T4795" t="s">
        <v>4035</v>
      </c>
      <c r="U4795" t="s">
        <v>99</v>
      </c>
    </row>
    <row r="4796" spans="1:21" ht="15" customHeight="1" x14ac:dyDescent="0.3">
      <c r="A4796" t="s">
        <v>179</v>
      </c>
      <c r="B4796" t="str">
        <f>"00062008"</f>
        <v>00062008</v>
      </c>
      <c r="C4796" t="s">
        <v>4253</v>
      </c>
      <c r="D4796" t="s">
        <v>4039</v>
      </c>
      <c r="E4796" t="str">
        <f>"00065607"</f>
        <v>00065607</v>
      </c>
      <c r="F4796">
        <v>0</v>
      </c>
      <c r="G4796" s="243">
        <v>40755</v>
      </c>
      <c r="H4796" t="s">
        <v>182</v>
      </c>
      <c r="I4796">
        <v>15</v>
      </c>
      <c r="J4796">
        <v>3</v>
      </c>
      <c r="K4796">
        <v>1</v>
      </c>
      <c r="L4796">
        <v>58699</v>
      </c>
      <c r="M4796" t="str">
        <f t="shared" si="719"/>
        <v>13</v>
      </c>
      <c r="N4796" t="s">
        <v>3323</v>
      </c>
      <c r="O4796" t="str">
        <f t="shared" si="717"/>
        <v>71511</v>
      </c>
      <c r="P4796" t="str">
        <f t="shared" si="720"/>
        <v>2100L</v>
      </c>
      <c r="Q4796" t="str">
        <f t="shared" si="718"/>
        <v>0101</v>
      </c>
      <c r="R4796">
        <v>2100</v>
      </c>
      <c r="S4796" t="str">
        <f t="shared" si="721"/>
        <v>7150</v>
      </c>
      <c r="T4796" t="s">
        <v>4035</v>
      </c>
      <c r="U4796" t="s">
        <v>99</v>
      </c>
    </row>
    <row r="4797" spans="1:21" ht="15" customHeight="1" x14ac:dyDescent="0.3">
      <c r="A4797" t="s">
        <v>179</v>
      </c>
      <c r="B4797" t="str">
        <f>"00062048"</f>
        <v>00062048</v>
      </c>
      <c r="C4797" t="s">
        <v>4253</v>
      </c>
      <c r="D4797" t="s">
        <v>5746</v>
      </c>
      <c r="E4797" t="str">
        <f>"00069838"</f>
        <v>00069838</v>
      </c>
      <c r="F4797">
        <v>0</v>
      </c>
      <c r="G4797" s="243">
        <v>41133</v>
      </c>
      <c r="H4797" t="s">
        <v>182</v>
      </c>
      <c r="I4797">
        <v>15</v>
      </c>
      <c r="J4797">
        <v>1</v>
      </c>
      <c r="K4797">
        <v>1</v>
      </c>
      <c r="L4797">
        <v>51539</v>
      </c>
      <c r="M4797" t="str">
        <f t="shared" si="719"/>
        <v>13</v>
      </c>
      <c r="N4797" t="s">
        <v>3370</v>
      </c>
      <c r="O4797" t="str">
        <f t="shared" si="717"/>
        <v>71511</v>
      </c>
      <c r="P4797" t="str">
        <f t="shared" si="720"/>
        <v>2100L</v>
      </c>
      <c r="Q4797" t="str">
        <f t="shared" si="718"/>
        <v>0101</v>
      </c>
      <c r="R4797">
        <v>2100</v>
      </c>
      <c r="S4797" t="str">
        <f t="shared" si="721"/>
        <v>7150</v>
      </c>
      <c r="T4797" t="s">
        <v>4035</v>
      </c>
      <c r="U4797" t="s">
        <v>99</v>
      </c>
    </row>
    <row r="4798" spans="1:21" ht="15" customHeight="1" x14ac:dyDescent="0.3">
      <c r="A4798" t="s">
        <v>179</v>
      </c>
      <c r="B4798" t="str">
        <f>"00062049"</f>
        <v>00062049</v>
      </c>
      <c r="C4798" t="s">
        <v>4258</v>
      </c>
      <c r="D4798" t="s">
        <v>777</v>
      </c>
      <c r="E4798" t="str">
        <f>"00054552"</f>
        <v>00054552</v>
      </c>
      <c r="F4798">
        <v>0</v>
      </c>
      <c r="G4798" s="243">
        <v>35447</v>
      </c>
      <c r="H4798" t="s">
        <v>182</v>
      </c>
      <c r="I4798">
        <v>15</v>
      </c>
      <c r="J4798">
        <v>15</v>
      </c>
      <c r="K4798">
        <v>1</v>
      </c>
      <c r="L4798">
        <v>98285</v>
      </c>
      <c r="M4798" t="str">
        <f t="shared" si="719"/>
        <v>13</v>
      </c>
      <c r="N4798" t="s">
        <v>3323</v>
      </c>
      <c r="O4798" t="str">
        <f t="shared" si="717"/>
        <v>71511</v>
      </c>
      <c r="P4798" t="str">
        <f t="shared" si="720"/>
        <v>2100L</v>
      </c>
      <c r="Q4798" t="str">
        <f t="shared" si="718"/>
        <v>0101</v>
      </c>
      <c r="R4798">
        <v>2100</v>
      </c>
      <c r="S4798" t="str">
        <f t="shared" si="721"/>
        <v>7150</v>
      </c>
      <c r="T4798" t="s">
        <v>4035</v>
      </c>
      <c r="U4798" t="s">
        <v>99</v>
      </c>
    </row>
    <row r="4799" spans="1:21" ht="15" customHeight="1" x14ac:dyDescent="0.3">
      <c r="A4799" t="s">
        <v>179</v>
      </c>
      <c r="B4799" t="str">
        <f>"00062050"</f>
        <v>00062050</v>
      </c>
      <c r="C4799" t="s">
        <v>3471</v>
      </c>
      <c r="H4799" t="s">
        <v>170</v>
      </c>
      <c r="I4799">
        <v>15</v>
      </c>
      <c r="J4799">
        <v>1</v>
      </c>
      <c r="K4799">
        <v>1</v>
      </c>
      <c r="L4799">
        <v>51539</v>
      </c>
      <c r="M4799" t="str">
        <f t="shared" si="719"/>
        <v>13</v>
      </c>
      <c r="N4799" t="s">
        <v>3323</v>
      </c>
      <c r="O4799" t="str">
        <f t="shared" si="717"/>
        <v>71511</v>
      </c>
      <c r="P4799" t="str">
        <f t="shared" si="720"/>
        <v>2100L</v>
      </c>
      <c r="Q4799" t="str">
        <f t="shared" si="718"/>
        <v>0101</v>
      </c>
      <c r="R4799">
        <v>2100</v>
      </c>
      <c r="S4799" t="str">
        <f t="shared" si="721"/>
        <v>7150</v>
      </c>
      <c r="T4799" t="s">
        <v>4035</v>
      </c>
      <c r="U4799" t="s">
        <v>99</v>
      </c>
    </row>
    <row r="4800" spans="1:21" ht="15" customHeight="1" x14ac:dyDescent="0.3">
      <c r="A4800" t="s">
        <v>179</v>
      </c>
      <c r="B4800" t="str">
        <f>"00062052"</f>
        <v>00062052</v>
      </c>
      <c r="C4800" t="s">
        <v>4253</v>
      </c>
      <c r="D4800" t="s">
        <v>1156</v>
      </c>
      <c r="E4800" t="str">
        <f>"00063213"</f>
        <v>00063213</v>
      </c>
      <c r="F4800">
        <v>0</v>
      </c>
      <c r="G4800" s="243">
        <v>40417</v>
      </c>
      <c r="H4800" t="s">
        <v>182</v>
      </c>
      <c r="I4800">
        <v>15</v>
      </c>
      <c r="J4800">
        <v>12</v>
      </c>
      <c r="K4800">
        <v>1</v>
      </c>
      <c r="L4800">
        <v>87431</v>
      </c>
      <c r="M4800" t="str">
        <f t="shared" si="719"/>
        <v>13</v>
      </c>
      <c r="N4800" t="s">
        <v>3323</v>
      </c>
      <c r="O4800" t="str">
        <f t="shared" si="717"/>
        <v>71511</v>
      </c>
      <c r="P4800" t="str">
        <f t="shared" si="720"/>
        <v>2100L</v>
      </c>
      <c r="Q4800" t="str">
        <f t="shared" si="718"/>
        <v>0101</v>
      </c>
      <c r="R4800">
        <v>2100</v>
      </c>
      <c r="S4800" t="str">
        <f t="shared" si="721"/>
        <v>7150</v>
      </c>
      <c r="T4800" t="s">
        <v>4035</v>
      </c>
      <c r="U4800" t="s">
        <v>99</v>
      </c>
    </row>
    <row r="4801" spans="1:21" ht="15" customHeight="1" x14ac:dyDescent="0.3">
      <c r="A4801" t="s">
        <v>179</v>
      </c>
      <c r="B4801" t="str">
        <f>"00062086"</f>
        <v>00062086</v>
      </c>
      <c r="C4801" t="s">
        <v>4253</v>
      </c>
      <c r="D4801" t="s">
        <v>5747</v>
      </c>
      <c r="E4801" t="str">
        <f>"00069789"</f>
        <v>00069789</v>
      </c>
      <c r="F4801">
        <v>0</v>
      </c>
      <c r="G4801" s="243">
        <v>41133</v>
      </c>
      <c r="H4801" t="s">
        <v>182</v>
      </c>
      <c r="I4801">
        <v>15</v>
      </c>
      <c r="J4801">
        <v>1</v>
      </c>
      <c r="K4801">
        <v>1</v>
      </c>
      <c r="L4801">
        <v>54975</v>
      </c>
      <c r="M4801" t="str">
        <f t="shared" si="719"/>
        <v>13</v>
      </c>
      <c r="N4801" t="s">
        <v>3370</v>
      </c>
      <c r="O4801" t="str">
        <f t="shared" si="717"/>
        <v>71511</v>
      </c>
      <c r="P4801" t="str">
        <f t="shared" si="720"/>
        <v>2100L</v>
      </c>
      <c r="Q4801" t="str">
        <f t="shared" si="718"/>
        <v>0101</v>
      </c>
      <c r="R4801">
        <v>2100</v>
      </c>
      <c r="S4801" t="str">
        <f t="shared" si="721"/>
        <v>7150</v>
      </c>
      <c r="T4801" t="s">
        <v>4035</v>
      </c>
      <c r="U4801" t="s">
        <v>99</v>
      </c>
    </row>
    <row r="4802" spans="1:21" ht="15" customHeight="1" x14ac:dyDescent="0.3">
      <c r="A4802" t="s">
        <v>179</v>
      </c>
      <c r="B4802" t="str">
        <f>"00062174"</f>
        <v>00062174</v>
      </c>
      <c r="C4802" t="s">
        <v>4266</v>
      </c>
      <c r="D4802" t="s">
        <v>4059</v>
      </c>
      <c r="E4802" t="str">
        <f>"00066003"</f>
        <v>00066003</v>
      </c>
      <c r="F4802">
        <v>0</v>
      </c>
      <c r="G4802" s="243">
        <v>40755</v>
      </c>
      <c r="H4802" t="s">
        <v>182</v>
      </c>
      <c r="I4802">
        <v>15</v>
      </c>
      <c r="J4802">
        <v>6</v>
      </c>
      <c r="K4802">
        <v>1</v>
      </c>
      <c r="L4802">
        <v>58599</v>
      </c>
      <c r="M4802" t="str">
        <f t="shared" si="719"/>
        <v>13</v>
      </c>
      <c r="N4802" t="s">
        <v>3323</v>
      </c>
      <c r="O4802" t="str">
        <f t="shared" si="717"/>
        <v>71511</v>
      </c>
      <c r="P4802" t="str">
        <f>"2300L"</f>
        <v>2300L</v>
      </c>
      <c r="Q4802" t="str">
        <f t="shared" si="718"/>
        <v>0101</v>
      </c>
      <c r="R4802">
        <v>2300</v>
      </c>
      <c r="S4802" t="str">
        <f t="shared" si="721"/>
        <v>7150</v>
      </c>
      <c r="T4802" t="s">
        <v>4035</v>
      </c>
      <c r="U4802" t="s">
        <v>99</v>
      </c>
    </row>
    <row r="4803" spans="1:21" ht="15" customHeight="1" x14ac:dyDescent="0.3">
      <c r="A4803" t="s">
        <v>179</v>
      </c>
      <c r="B4803" t="str">
        <f>"00062175"</f>
        <v>00062175</v>
      </c>
      <c r="C4803" t="s">
        <v>4253</v>
      </c>
      <c r="D4803" t="s">
        <v>778</v>
      </c>
      <c r="E4803" t="str">
        <f>"00062636"</f>
        <v>00062636</v>
      </c>
      <c r="F4803">
        <v>0</v>
      </c>
      <c r="G4803" s="243">
        <v>40406</v>
      </c>
      <c r="H4803" t="s">
        <v>182</v>
      </c>
      <c r="I4803">
        <v>15</v>
      </c>
      <c r="J4803">
        <v>2</v>
      </c>
      <c r="K4803">
        <v>1</v>
      </c>
      <c r="L4803">
        <v>51716</v>
      </c>
      <c r="M4803" t="str">
        <f t="shared" si="719"/>
        <v>13</v>
      </c>
      <c r="N4803" t="s">
        <v>3323</v>
      </c>
      <c r="O4803" t="str">
        <f t="shared" ref="O4803:O4834" si="722">"71511"</f>
        <v>71511</v>
      </c>
      <c r="P4803" t="str">
        <f>"2100L"</f>
        <v>2100L</v>
      </c>
      <c r="Q4803" t="str">
        <f t="shared" ref="Q4803:Q4834" si="723">"0101"</f>
        <v>0101</v>
      </c>
      <c r="R4803">
        <v>2100</v>
      </c>
      <c r="S4803" t="str">
        <f t="shared" si="721"/>
        <v>7150</v>
      </c>
      <c r="T4803" t="s">
        <v>4035</v>
      </c>
      <c r="U4803" t="s">
        <v>99</v>
      </c>
    </row>
    <row r="4804" spans="1:21" ht="15" customHeight="1" x14ac:dyDescent="0.3">
      <c r="A4804" t="s">
        <v>179</v>
      </c>
      <c r="B4804" t="str">
        <f>"00062341"</f>
        <v>00062341</v>
      </c>
      <c r="C4804" t="s">
        <v>4266</v>
      </c>
      <c r="D4804" t="s">
        <v>779</v>
      </c>
      <c r="E4804" t="str">
        <f>"00055279"</f>
        <v>00055279</v>
      </c>
      <c r="F4804">
        <v>0</v>
      </c>
      <c r="G4804" s="243">
        <v>39679</v>
      </c>
      <c r="H4804" t="s">
        <v>182</v>
      </c>
      <c r="I4804">
        <v>15</v>
      </c>
      <c r="J4804">
        <v>9</v>
      </c>
      <c r="K4804">
        <v>1</v>
      </c>
      <c r="L4804">
        <v>68414</v>
      </c>
      <c r="M4804" t="str">
        <f t="shared" si="719"/>
        <v>13</v>
      </c>
      <c r="N4804" t="s">
        <v>3323</v>
      </c>
      <c r="O4804" t="str">
        <f t="shared" si="722"/>
        <v>71511</v>
      </c>
      <c r="P4804" t="str">
        <f>"2300L"</f>
        <v>2300L</v>
      </c>
      <c r="Q4804" t="str">
        <f t="shared" si="723"/>
        <v>0101</v>
      </c>
      <c r="R4804">
        <v>2300</v>
      </c>
      <c r="S4804" t="str">
        <f t="shared" si="721"/>
        <v>7150</v>
      </c>
      <c r="T4804" t="s">
        <v>4035</v>
      </c>
      <c r="U4804" t="s">
        <v>99</v>
      </c>
    </row>
    <row r="4805" spans="1:21" ht="15" customHeight="1" x14ac:dyDescent="0.3">
      <c r="A4805" t="s">
        <v>179</v>
      </c>
      <c r="B4805" t="str">
        <f>"00062355"</f>
        <v>00062355</v>
      </c>
      <c r="C4805" t="s">
        <v>4257</v>
      </c>
      <c r="D4805" t="s">
        <v>780</v>
      </c>
      <c r="E4805" t="str">
        <f>"00049831"</f>
        <v>00049831</v>
      </c>
      <c r="F4805">
        <v>0</v>
      </c>
      <c r="G4805" s="243">
        <v>39679</v>
      </c>
      <c r="H4805" t="s">
        <v>182</v>
      </c>
      <c r="I4805">
        <v>15</v>
      </c>
      <c r="J4805">
        <v>12</v>
      </c>
      <c r="K4805">
        <v>1</v>
      </c>
      <c r="L4805">
        <v>92613</v>
      </c>
      <c r="M4805" t="str">
        <f t="shared" si="719"/>
        <v>13</v>
      </c>
      <c r="N4805" t="s">
        <v>3323</v>
      </c>
      <c r="O4805" t="str">
        <f t="shared" si="722"/>
        <v>71511</v>
      </c>
      <c r="P4805" t="str">
        <f>"2100L"</f>
        <v>2100L</v>
      </c>
      <c r="Q4805" t="str">
        <f t="shared" si="723"/>
        <v>0101</v>
      </c>
      <c r="R4805">
        <v>2100</v>
      </c>
      <c r="S4805" t="str">
        <f t="shared" si="721"/>
        <v>7150</v>
      </c>
      <c r="T4805" t="s">
        <v>4035</v>
      </c>
      <c r="U4805" t="s">
        <v>99</v>
      </c>
    </row>
    <row r="4806" spans="1:21" ht="15" customHeight="1" x14ac:dyDescent="0.3">
      <c r="A4806" t="s">
        <v>179</v>
      </c>
      <c r="B4806" t="str">
        <f>"00062382"</f>
        <v>00062382</v>
      </c>
      <c r="C4806" t="s">
        <v>4266</v>
      </c>
      <c r="D4806" t="s">
        <v>781</v>
      </c>
      <c r="E4806" t="str">
        <f>"00047494"</f>
        <v>00047494</v>
      </c>
      <c r="F4806">
        <v>0</v>
      </c>
      <c r="G4806" s="243">
        <v>39679</v>
      </c>
      <c r="H4806" t="s">
        <v>182</v>
      </c>
      <c r="I4806">
        <v>15</v>
      </c>
      <c r="J4806">
        <v>9</v>
      </c>
      <c r="K4806">
        <v>1</v>
      </c>
      <c r="L4806">
        <v>77687</v>
      </c>
      <c r="M4806" t="str">
        <f t="shared" si="719"/>
        <v>13</v>
      </c>
      <c r="N4806" t="s">
        <v>3323</v>
      </c>
      <c r="O4806" t="str">
        <f t="shared" si="722"/>
        <v>71511</v>
      </c>
      <c r="P4806" t="str">
        <f>"2300L"</f>
        <v>2300L</v>
      </c>
      <c r="Q4806" t="str">
        <f t="shared" si="723"/>
        <v>0101</v>
      </c>
      <c r="R4806">
        <v>2300</v>
      </c>
      <c r="S4806" t="str">
        <f t="shared" si="721"/>
        <v>7150</v>
      </c>
      <c r="T4806" t="s">
        <v>4035</v>
      </c>
      <c r="U4806" t="s">
        <v>99</v>
      </c>
    </row>
    <row r="4807" spans="1:21" ht="15" customHeight="1" x14ac:dyDescent="0.3">
      <c r="A4807" t="s">
        <v>179</v>
      </c>
      <c r="B4807" t="str">
        <f>"00062385"</f>
        <v>00062385</v>
      </c>
      <c r="C4807" t="s">
        <v>4266</v>
      </c>
      <c r="D4807" t="s">
        <v>782</v>
      </c>
      <c r="E4807" t="str">
        <f>"00062607"</f>
        <v>00062607</v>
      </c>
      <c r="F4807">
        <v>0</v>
      </c>
      <c r="G4807" s="243">
        <v>40406</v>
      </c>
      <c r="H4807" t="s">
        <v>182</v>
      </c>
      <c r="I4807">
        <v>15</v>
      </c>
      <c r="J4807">
        <v>3</v>
      </c>
      <c r="K4807">
        <v>1</v>
      </c>
      <c r="L4807">
        <v>58699</v>
      </c>
      <c r="M4807" t="str">
        <f t="shared" si="719"/>
        <v>13</v>
      </c>
      <c r="N4807" t="s">
        <v>3323</v>
      </c>
      <c r="O4807" t="str">
        <f t="shared" si="722"/>
        <v>71511</v>
      </c>
      <c r="P4807" t="str">
        <f>"2300L"</f>
        <v>2300L</v>
      </c>
      <c r="Q4807" t="str">
        <f t="shared" si="723"/>
        <v>0101</v>
      </c>
      <c r="R4807">
        <v>2300</v>
      </c>
      <c r="S4807" t="str">
        <f t="shared" si="721"/>
        <v>7150</v>
      </c>
      <c r="T4807" t="s">
        <v>4035</v>
      </c>
      <c r="U4807" t="s">
        <v>99</v>
      </c>
    </row>
    <row r="4808" spans="1:21" ht="15" customHeight="1" x14ac:dyDescent="0.3">
      <c r="A4808" t="s">
        <v>179</v>
      </c>
      <c r="B4808" t="str">
        <f>"00062442"</f>
        <v>00062442</v>
      </c>
      <c r="C4808" t="s">
        <v>4253</v>
      </c>
      <c r="D4808" t="s">
        <v>5748</v>
      </c>
      <c r="E4808" t="str">
        <f>"00069625"</f>
        <v>00069625</v>
      </c>
      <c r="F4808">
        <v>0</v>
      </c>
      <c r="G4808" s="243">
        <v>41133</v>
      </c>
      <c r="H4808" t="s">
        <v>182</v>
      </c>
      <c r="I4808">
        <v>15</v>
      </c>
      <c r="J4808">
        <v>1</v>
      </c>
      <c r="K4808">
        <v>1</v>
      </c>
      <c r="L4808">
        <v>51539</v>
      </c>
      <c r="M4808" t="str">
        <f t="shared" si="719"/>
        <v>13</v>
      </c>
      <c r="N4808" t="s">
        <v>3370</v>
      </c>
      <c r="O4808" t="str">
        <f t="shared" si="722"/>
        <v>71511</v>
      </c>
      <c r="P4808" t="str">
        <f>"2100L"</f>
        <v>2100L</v>
      </c>
      <c r="Q4808" t="str">
        <f t="shared" si="723"/>
        <v>0101</v>
      </c>
      <c r="R4808">
        <v>2100</v>
      </c>
      <c r="S4808" t="str">
        <f t="shared" si="721"/>
        <v>7150</v>
      </c>
      <c r="T4808" t="s">
        <v>4035</v>
      </c>
      <c r="U4808" t="s">
        <v>99</v>
      </c>
    </row>
    <row r="4809" spans="1:21" ht="15" customHeight="1" x14ac:dyDescent="0.3">
      <c r="A4809" t="s">
        <v>179</v>
      </c>
      <c r="B4809" t="str">
        <f>"00062459"</f>
        <v>00062459</v>
      </c>
      <c r="C4809" t="s">
        <v>4253</v>
      </c>
      <c r="D4809" t="s">
        <v>784</v>
      </c>
      <c r="E4809" t="str">
        <f>"00053807"</f>
        <v>00053807</v>
      </c>
      <c r="F4809">
        <v>0</v>
      </c>
      <c r="G4809" s="243">
        <v>39679</v>
      </c>
      <c r="H4809" t="s">
        <v>182</v>
      </c>
      <c r="I4809">
        <v>15</v>
      </c>
      <c r="J4809">
        <v>5</v>
      </c>
      <c r="K4809">
        <v>1</v>
      </c>
      <c r="L4809">
        <v>56655</v>
      </c>
      <c r="M4809" t="str">
        <f t="shared" si="719"/>
        <v>13</v>
      </c>
      <c r="N4809" t="s">
        <v>3323</v>
      </c>
      <c r="O4809" t="str">
        <f t="shared" si="722"/>
        <v>71511</v>
      </c>
      <c r="P4809" t="str">
        <f>"2100L"</f>
        <v>2100L</v>
      </c>
      <c r="Q4809" t="str">
        <f t="shared" si="723"/>
        <v>0101</v>
      </c>
      <c r="R4809">
        <v>2100</v>
      </c>
      <c r="S4809" t="str">
        <f t="shared" si="721"/>
        <v>7150</v>
      </c>
      <c r="T4809" t="s">
        <v>4035</v>
      </c>
      <c r="U4809" t="s">
        <v>99</v>
      </c>
    </row>
    <row r="4810" spans="1:21" ht="15" customHeight="1" x14ac:dyDescent="0.3">
      <c r="A4810" t="s">
        <v>179</v>
      </c>
      <c r="B4810" t="str">
        <f>"00062498"</f>
        <v>00062498</v>
      </c>
      <c r="C4810" t="s">
        <v>4253</v>
      </c>
      <c r="D4810" t="s">
        <v>1759</v>
      </c>
      <c r="E4810" t="str">
        <f>"00055272"</f>
        <v>00055272</v>
      </c>
      <c r="F4810">
        <v>0</v>
      </c>
      <c r="G4810" s="243">
        <v>38587</v>
      </c>
      <c r="H4810" t="s">
        <v>182</v>
      </c>
      <c r="I4810">
        <v>15</v>
      </c>
      <c r="J4810">
        <v>14</v>
      </c>
      <c r="K4810">
        <v>1</v>
      </c>
      <c r="L4810">
        <v>96460</v>
      </c>
      <c r="M4810" t="str">
        <f t="shared" si="719"/>
        <v>13</v>
      </c>
      <c r="N4810" t="s">
        <v>3323</v>
      </c>
      <c r="O4810" t="str">
        <f t="shared" si="722"/>
        <v>71511</v>
      </c>
      <c r="P4810" t="str">
        <f>"2300L"</f>
        <v>2300L</v>
      </c>
      <c r="Q4810" t="str">
        <f t="shared" si="723"/>
        <v>0101</v>
      </c>
      <c r="R4810">
        <v>2300</v>
      </c>
      <c r="S4810" t="str">
        <f t="shared" si="721"/>
        <v>7150</v>
      </c>
      <c r="T4810" t="s">
        <v>4035</v>
      </c>
      <c r="U4810" t="s">
        <v>99</v>
      </c>
    </row>
    <row r="4811" spans="1:21" ht="15" customHeight="1" x14ac:dyDescent="0.3">
      <c r="A4811" t="s">
        <v>179</v>
      </c>
      <c r="B4811" t="str">
        <f>"00062504"</f>
        <v>00062504</v>
      </c>
      <c r="C4811" t="s">
        <v>4260</v>
      </c>
      <c r="D4811" t="s">
        <v>785</v>
      </c>
      <c r="E4811" t="str">
        <f>"00055174"</f>
        <v>00055174</v>
      </c>
      <c r="F4811">
        <v>0</v>
      </c>
      <c r="G4811" s="243">
        <v>39679</v>
      </c>
      <c r="H4811" t="s">
        <v>182</v>
      </c>
      <c r="I4811">
        <v>15</v>
      </c>
      <c r="J4811">
        <v>5</v>
      </c>
      <c r="K4811">
        <v>1</v>
      </c>
      <c r="L4811">
        <v>66078</v>
      </c>
      <c r="M4811" t="str">
        <f t="shared" si="719"/>
        <v>13</v>
      </c>
      <c r="N4811" t="s">
        <v>3323</v>
      </c>
      <c r="O4811" t="str">
        <f t="shared" si="722"/>
        <v>71511</v>
      </c>
      <c r="P4811" t="str">
        <f>"3030L"</f>
        <v>3030L</v>
      </c>
      <c r="Q4811" t="str">
        <f t="shared" si="723"/>
        <v>0101</v>
      </c>
      <c r="R4811">
        <v>3030</v>
      </c>
      <c r="S4811" t="str">
        <f t="shared" si="721"/>
        <v>7150</v>
      </c>
      <c r="T4811" t="s">
        <v>4035</v>
      </c>
      <c r="U4811" t="s">
        <v>99</v>
      </c>
    </row>
    <row r="4812" spans="1:21" ht="15" customHeight="1" x14ac:dyDescent="0.3">
      <c r="A4812" t="s">
        <v>179</v>
      </c>
      <c r="B4812" t="str">
        <f>"00062544"</f>
        <v>00062544</v>
      </c>
      <c r="C4812" t="s">
        <v>4253</v>
      </c>
      <c r="D4812" t="s">
        <v>786</v>
      </c>
      <c r="E4812" t="str">
        <f>"00055299"</f>
        <v>00055299</v>
      </c>
      <c r="F4812">
        <v>0</v>
      </c>
      <c r="G4812" s="243">
        <v>40756</v>
      </c>
      <c r="H4812" t="s">
        <v>182</v>
      </c>
      <c r="I4812">
        <v>15</v>
      </c>
      <c r="J4812">
        <v>12</v>
      </c>
      <c r="K4812">
        <v>1</v>
      </c>
      <c r="L4812">
        <v>87431</v>
      </c>
      <c r="M4812" t="str">
        <f t="shared" si="719"/>
        <v>13</v>
      </c>
      <c r="N4812" t="s">
        <v>3323</v>
      </c>
      <c r="O4812" t="str">
        <f t="shared" si="722"/>
        <v>71511</v>
      </c>
      <c r="P4812" t="str">
        <f>"2100L"</f>
        <v>2100L</v>
      </c>
      <c r="Q4812" t="str">
        <f t="shared" si="723"/>
        <v>0101</v>
      </c>
      <c r="R4812">
        <v>2100</v>
      </c>
      <c r="S4812" t="str">
        <f t="shared" si="721"/>
        <v>7150</v>
      </c>
      <c r="T4812" t="s">
        <v>4035</v>
      </c>
      <c r="U4812" t="s">
        <v>99</v>
      </c>
    </row>
    <row r="4813" spans="1:21" ht="15" customHeight="1" x14ac:dyDescent="0.3">
      <c r="A4813" t="s">
        <v>179</v>
      </c>
      <c r="B4813" t="str">
        <f>"00062622"</f>
        <v>00062622</v>
      </c>
      <c r="C4813" t="s">
        <v>4253</v>
      </c>
      <c r="D4813" t="s">
        <v>4040</v>
      </c>
      <c r="E4813" t="str">
        <f>"00065657"</f>
        <v>00065657</v>
      </c>
      <c r="F4813">
        <v>0</v>
      </c>
      <c r="G4813" s="243">
        <v>40755</v>
      </c>
      <c r="H4813" t="s">
        <v>182</v>
      </c>
      <c r="I4813">
        <v>15</v>
      </c>
      <c r="J4813">
        <v>1</v>
      </c>
      <c r="K4813">
        <v>1</v>
      </c>
      <c r="L4813">
        <v>51539</v>
      </c>
      <c r="M4813" t="str">
        <f t="shared" si="719"/>
        <v>13</v>
      </c>
      <c r="N4813" t="s">
        <v>3323</v>
      </c>
      <c r="O4813" t="str">
        <f t="shared" si="722"/>
        <v>71511</v>
      </c>
      <c r="P4813" t="str">
        <f>"2100L"</f>
        <v>2100L</v>
      </c>
      <c r="Q4813" t="str">
        <f t="shared" si="723"/>
        <v>0101</v>
      </c>
      <c r="R4813">
        <v>2100</v>
      </c>
      <c r="S4813" t="str">
        <f t="shared" si="721"/>
        <v>7150</v>
      </c>
      <c r="T4813" t="s">
        <v>4035</v>
      </c>
      <c r="U4813" t="s">
        <v>99</v>
      </c>
    </row>
    <row r="4814" spans="1:21" ht="15" customHeight="1" x14ac:dyDescent="0.3">
      <c r="A4814" t="s">
        <v>179</v>
      </c>
      <c r="B4814" t="str">
        <f>"00063079"</f>
        <v>00063079</v>
      </c>
      <c r="C4814" t="s">
        <v>4260</v>
      </c>
      <c r="D4814" t="s">
        <v>4060</v>
      </c>
      <c r="E4814" t="str">
        <f>"00065890"</f>
        <v>00065890</v>
      </c>
      <c r="F4814">
        <v>0</v>
      </c>
      <c r="G4814" s="243">
        <v>40755</v>
      </c>
      <c r="H4814" t="s">
        <v>182</v>
      </c>
      <c r="I4814">
        <v>15</v>
      </c>
      <c r="J4814">
        <v>2</v>
      </c>
      <c r="K4814">
        <v>1</v>
      </c>
      <c r="L4814">
        <v>56242</v>
      </c>
      <c r="M4814" t="str">
        <f t="shared" si="719"/>
        <v>13</v>
      </c>
      <c r="N4814" t="s">
        <v>3323</v>
      </c>
      <c r="O4814" t="str">
        <f t="shared" si="722"/>
        <v>71511</v>
      </c>
      <c r="P4814" t="str">
        <f>"2300L"</f>
        <v>2300L</v>
      </c>
      <c r="Q4814" t="str">
        <f t="shared" si="723"/>
        <v>0101</v>
      </c>
      <c r="R4814">
        <v>2300</v>
      </c>
      <c r="S4814" t="str">
        <f t="shared" si="721"/>
        <v>7150</v>
      </c>
      <c r="T4814" t="s">
        <v>4035</v>
      </c>
      <c r="U4814" t="s">
        <v>99</v>
      </c>
    </row>
    <row r="4815" spans="1:21" ht="15" customHeight="1" x14ac:dyDescent="0.3">
      <c r="A4815" t="s">
        <v>179</v>
      </c>
      <c r="B4815" t="str">
        <f>"00063086"</f>
        <v>00063086</v>
      </c>
      <c r="C4815" t="s">
        <v>4253</v>
      </c>
      <c r="D4815" t="s">
        <v>787</v>
      </c>
      <c r="E4815" t="str">
        <f>"00047905"</f>
        <v>00047905</v>
      </c>
      <c r="F4815">
        <v>0</v>
      </c>
      <c r="G4815" s="243">
        <v>39862</v>
      </c>
      <c r="H4815" t="s">
        <v>182</v>
      </c>
      <c r="I4815">
        <v>15</v>
      </c>
      <c r="J4815">
        <v>4</v>
      </c>
      <c r="K4815">
        <v>1</v>
      </c>
      <c r="L4815">
        <v>61158</v>
      </c>
      <c r="M4815" t="str">
        <f t="shared" si="719"/>
        <v>13</v>
      </c>
      <c r="N4815" t="s">
        <v>3323</v>
      </c>
      <c r="O4815" t="str">
        <f t="shared" si="722"/>
        <v>71511</v>
      </c>
      <c r="P4815" t="str">
        <f>"2100L"</f>
        <v>2100L</v>
      </c>
      <c r="Q4815" t="str">
        <f t="shared" si="723"/>
        <v>0101</v>
      </c>
      <c r="R4815">
        <v>2100</v>
      </c>
      <c r="S4815" t="str">
        <f t="shared" si="721"/>
        <v>7150</v>
      </c>
      <c r="T4815" t="s">
        <v>4035</v>
      </c>
      <c r="U4815" t="s">
        <v>99</v>
      </c>
    </row>
    <row r="4816" spans="1:21" ht="15" customHeight="1" x14ac:dyDescent="0.3">
      <c r="A4816" t="s">
        <v>179</v>
      </c>
      <c r="B4816" t="str">
        <f>"00065503"</f>
        <v>00065503</v>
      </c>
      <c r="C4816" t="s">
        <v>3670</v>
      </c>
      <c r="D4816" t="s">
        <v>788</v>
      </c>
      <c r="E4816" t="str">
        <f>"00056826"</f>
        <v>00056826</v>
      </c>
      <c r="F4816">
        <v>0</v>
      </c>
      <c r="G4816" s="243">
        <v>40000</v>
      </c>
      <c r="H4816" t="s">
        <v>182</v>
      </c>
      <c r="I4816">
        <v>8</v>
      </c>
      <c r="J4816">
        <v>3</v>
      </c>
      <c r="K4816">
        <v>1</v>
      </c>
      <c r="L4816">
        <v>87160</v>
      </c>
      <c r="M4816" t="str">
        <f t="shared" si="719"/>
        <v>13</v>
      </c>
      <c r="N4816" t="s">
        <v>3323</v>
      </c>
      <c r="O4816" t="str">
        <f t="shared" si="722"/>
        <v>71511</v>
      </c>
      <c r="P4816" t="str">
        <f>"1501L"</f>
        <v>1501L</v>
      </c>
      <c r="Q4816" t="str">
        <f t="shared" si="723"/>
        <v>0101</v>
      </c>
      <c r="R4816">
        <v>1501</v>
      </c>
      <c r="S4816" t="str">
        <f t="shared" si="721"/>
        <v>7150</v>
      </c>
      <c r="T4816" t="s">
        <v>4035</v>
      </c>
      <c r="U4816" t="s">
        <v>99</v>
      </c>
    </row>
    <row r="4817" spans="1:21" ht="15" customHeight="1" x14ac:dyDescent="0.3">
      <c r="A4817" t="s">
        <v>179</v>
      </c>
      <c r="B4817" t="str">
        <f>"00065615"</f>
        <v>00065615</v>
      </c>
      <c r="C4817" t="s">
        <v>4266</v>
      </c>
      <c r="D4817" t="s">
        <v>789</v>
      </c>
      <c r="E4817" t="str">
        <f>"00062696"</f>
        <v>00062696</v>
      </c>
      <c r="F4817">
        <v>0</v>
      </c>
      <c r="G4817" s="243">
        <v>40406</v>
      </c>
      <c r="H4817" t="s">
        <v>182</v>
      </c>
      <c r="I4817">
        <v>15</v>
      </c>
      <c r="J4817">
        <v>3</v>
      </c>
      <c r="K4817">
        <v>1</v>
      </c>
      <c r="L4817">
        <v>58699</v>
      </c>
      <c r="M4817" t="str">
        <f t="shared" si="719"/>
        <v>13</v>
      </c>
      <c r="N4817" t="s">
        <v>3323</v>
      </c>
      <c r="O4817" t="str">
        <f t="shared" si="722"/>
        <v>71511</v>
      </c>
      <c r="P4817" t="str">
        <f>"2300L"</f>
        <v>2300L</v>
      </c>
      <c r="Q4817" t="str">
        <f t="shared" si="723"/>
        <v>0101</v>
      </c>
      <c r="R4817">
        <v>2300</v>
      </c>
      <c r="S4817" t="str">
        <f t="shared" si="721"/>
        <v>7150</v>
      </c>
      <c r="T4817" t="s">
        <v>4035</v>
      </c>
      <c r="U4817" t="s">
        <v>99</v>
      </c>
    </row>
    <row r="4818" spans="1:21" ht="15" customHeight="1" x14ac:dyDescent="0.3">
      <c r="A4818" t="s">
        <v>179</v>
      </c>
      <c r="B4818" t="str">
        <f>"00065616"</f>
        <v>00065616</v>
      </c>
      <c r="C4818" t="s">
        <v>4266</v>
      </c>
      <c r="D4818" t="s">
        <v>5749</v>
      </c>
      <c r="E4818" t="str">
        <f>"00069776"</f>
        <v>00069776</v>
      </c>
      <c r="F4818">
        <v>0</v>
      </c>
      <c r="G4818" s="243">
        <v>41133</v>
      </c>
      <c r="H4818" t="s">
        <v>182</v>
      </c>
      <c r="I4818">
        <v>15</v>
      </c>
      <c r="J4818">
        <v>1</v>
      </c>
      <c r="K4818">
        <v>1</v>
      </c>
      <c r="L4818">
        <v>54975</v>
      </c>
      <c r="M4818" t="str">
        <f t="shared" si="719"/>
        <v>13</v>
      </c>
      <c r="N4818" t="s">
        <v>3370</v>
      </c>
      <c r="O4818" t="str">
        <f t="shared" si="722"/>
        <v>71511</v>
      </c>
      <c r="P4818" t="str">
        <f>"2300L"</f>
        <v>2300L</v>
      </c>
      <c r="Q4818" t="str">
        <f t="shared" si="723"/>
        <v>0101</v>
      </c>
      <c r="R4818">
        <v>2300</v>
      </c>
      <c r="S4818" t="str">
        <f t="shared" si="721"/>
        <v>7150</v>
      </c>
      <c r="T4818" t="s">
        <v>4035</v>
      </c>
      <c r="U4818" t="s">
        <v>99</v>
      </c>
    </row>
    <row r="4819" spans="1:21" ht="15" customHeight="1" x14ac:dyDescent="0.3">
      <c r="A4819" t="s">
        <v>179</v>
      </c>
      <c r="B4819" t="str">
        <f>"00065617"</f>
        <v>00065617</v>
      </c>
      <c r="C4819" t="s">
        <v>4266</v>
      </c>
      <c r="D4819" t="s">
        <v>5750</v>
      </c>
      <c r="E4819" t="str">
        <f>"00069719"</f>
        <v>00069719</v>
      </c>
      <c r="F4819">
        <v>0</v>
      </c>
      <c r="G4819" s="243">
        <v>41133</v>
      </c>
      <c r="H4819" t="s">
        <v>182</v>
      </c>
      <c r="I4819">
        <v>15</v>
      </c>
      <c r="J4819">
        <v>8</v>
      </c>
      <c r="K4819">
        <v>1</v>
      </c>
      <c r="L4819">
        <v>72171</v>
      </c>
      <c r="M4819" t="str">
        <f t="shared" si="719"/>
        <v>13</v>
      </c>
      <c r="N4819" t="s">
        <v>3323</v>
      </c>
      <c r="O4819" t="str">
        <f t="shared" si="722"/>
        <v>71511</v>
      </c>
      <c r="P4819" t="str">
        <f>"2300L"</f>
        <v>2300L</v>
      </c>
      <c r="Q4819" t="str">
        <f t="shared" si="723"/>
        <v>0101</v>
      </c>
      <c r="R4819">
        <v>2300</v>
      </c>
      <c r="S4819" t="str">
        <f t="shared" si="721"/>
        <v>7150</v>
      </c>
      <c r="T4819" t="s">
        <v>4035</v>
      </c>
      <c r="U4819" t="s">
        <v>99</v>
      </c>
    </row>
    <row r="4820" spans="1:21" ht="15" customHeight="1" x14ac:dyDescent="0.3">
      <c r="A4820" t="s">
        <v>179</v>
      </c>
      <c r="B4820" t="str">
        <f>"00065618"</f>
        <v>00065618</v>
      </c>
      <c r="C4820" t="s">
        <v>4266</v>
      </c>
      <c r="D4820" t="s">
        <v>3942</v>
      </c>
      <c r="E4820" t="str">
        <f>"00066989"</f>
        <v>00066989</v>
      </c>
      <c r="F4820">
        <v>0</v>
      </c>
      <c r="G4820" s="243">
        <v>40836</v>
      </c>
      <c r="H4820" t="s">
        <v>182</v>
      </c>
      <c r="I4820">
        <v>15</v>
      </c>
      <c r="J4820">
        <v>6</v>
      </c>
      <c r="K4820">
        <v>1</v>
      </c>
      <c r="L4820">
        <v>66078</v>
      </c>
      <c r="M4820" t="str">
        <f t="shared" si="719"/>
        <v>13</v>
      </c>
      <c r="N4820" t="s">
        <v>3370</v>
      </c>
      <c r="O4820" t="str">
        <f t="shared" si="722"/>
        <v>71511</v>
      </c>
      <c r="P4820" t="str">
        <f>"2300L"</f>
        <v>2300L</v>
      </c>
      <c r="Q4820" t="str">
        <f t="shared" si="723"/>
        <v>0101</v>
      </c>
      <c r="R4820">
        <v>2300</v>
      </c>
      <c r="S4820" t="str">
        <f t="shared" si="721"/>
        <v>7150</v>
      </c>
      <c r="T4820" t="s">
        <v>4035</v>
      </c>
      <c r="U4820" t="s">
        <v>99</v>
      </c>
    </row>
    <row r="4821" spans="1:21" ht="15" customHeight="1" x14ac:dyDescent="0.3">
      <c r="A4821" t="s">
        <v>179</v>
      </c>
      <c r="B4821" t="str">
        <f>"00065619"</f>
        <v>00065619</v>
      </c>
      <c r="C4821" t="s">
        <v>4266</v>
      </c>
      <c r="D4821" t="s">
        <v>4042</v>
      </c>
      <c r="E4821" t="str">
        <f>"00065906"</f>
        <v>00065906</v>
      </c>
      <c r="F4821">
        <v>0</v>
      </c>
      <c r="G4821" s="243">
        <v>40755</v>
      </c>
      <c r="H4821" t="s">
        <v>182</v>
      </c>
      <c r="I4821">
        <v>15</v>
      </c>
      <c r="J4821">
        <v>7</v>
      </c>
      <c r="K4821">
        <v>1</v>
      </c>
      <c r="L4821">
        <v>69132</v>
      </c>
      <c r="M4821" t="str">
        <f t="shared" si="719"/>
        <v>13</v>
      </c>
      <c r="N4821" t="s">
        <v>3323</v>
      </c>
      <c r="O4821" t="str">
        <f t="shared" si="722"/>
        <v>71511</v>
      </c>
      <c r="P4821" t="str">
        <f>"2300L"</f>
        <v>2300L</v>
      </c>
      <c r="Q4821" t="str">
        <f t="shared" si="723"/>
        <v>0101</v>
      </c>
      <c r="R4821">
        <v>2300</v>
      </c>
      <c r="S4821" t="str">
        <f t="shared" si="721"/>
        <v>7150</v>
      </c>
      <c r="T4821" t="s">
        <v>4035</v>
      </c>
      <c r="U4821" t="s">
        <v>99</v>
      </c>
    </row>
    <row r="4822" spans="1:21" ht="15" customHeight="1" x14ac:dyDescent="0.3">
      <c r="A4822" t="s">
        <v>179</v>
      </c>
      <c r="B4822" t="str">
        <f>"00065620"</f>
        <v>00065620</v>
      </c>
      <c r="C4822" t="s">
        <v>4258</v>
      </c>
      <c r="D4822" t="s">
        <v>5751</v>
      </c>
      <c r="E4822" t="str">
        <f>"00066223"</f>
        <v>00066223</v>
      </c>
      <c r="F4822">
        <v>0</v>
      </c>
      <c r="G4822" s="243">
        <v>40755</v>
      </c>
      <c r="H4822" t="s">
        <v>182</v>
      </c>
      <c r="I4822">
        <v>15</v>
      </c>
      <c r="J4822">
        <v>1</v>
      </c>
      <c r="K4822">
        <v>1</v>
      </c>
      <c r="L4822">
        <v>54975</v>
      </c>
      <c r="M4822" t="str">
        <f t="shared" si="719"/>
        <v>13</v>
      </c>
      <c r="N4822" t="s">
        <v>3323</v>
      </c>
      <c r="O4822" t="str">
        <f t="shared" si="722"/>
        <v>71511</v>
      </c>
      <c r="P4822" t="str">
        <f t="shared" ref="P4822:P4831" si="724">"2100L"</f>
        <v>2100L</v>
      </c>
      <c r="Q4822" t="str">
        <f t="shared" si="723"/>
        <v>0101</v>
      </c>
      <c r="R4822">
        <v>2100</v>
      </c>
      <c r="S4822" t="str">
        <f t="shared" si="721"/>
        <v>7150</v>
      </c>
      <c r="T4822" t="s">
        <v>4035</v>
      </c>
      <c r="U4822" t="s">
        <v>99</v>
      </c>
    </row>
    <row r="4823" spans="1:21" ht="15" customHeight="1" x14ac:dyDescent="0.3">
      <c r="A4823" t="s">
        <v>179</v>
      </c>
      <c r="B4823" t="str">
        <f>"00065621"</f>
        <v>00065621</v>
      </c>
      <c r="C4823" t="s">
        <v>4253</v>
      </c>
      <c r="D4823" t="s">
        <v>790</v>
      </c>
      <c r="E4823" t="str">
        <f>"00060321"</f>
        <v>00060321</v>
      </c>
      <c r="F4823">
        <v>0</v>
      </c>
      <c r="G4823" s="243">
        <v>40203</v>
      </c>
      <c r="H4823" t="s">
        <v>182</v>
      </c>
      <c r="I4823">
        <v>15</v>
      </c>
      <c r="J4823">
        <v>3</v>
      </c>
      <c r="K4823">
        <v>1</v>
      </c>
      <c r="L4823">
        <v>58699</v>
      </c>
      <c r="M4823" t="str">
        <f t="shared" si="719"/>
        <v>13</v>
      </c>
      <c r="N4823" t="s">
        <v>3323</v>
      </c>
      <c r="O4823" t="str">
        <f t="shared" si="722"/>
        <v>71511</v>
      </c>
      <c r="P4823" t="str">
        <f t="shared" si="724"/>
        <v>2100L</v>
      </c>
      <c r="Q4823" t="str">
        <f t="shared" si="723"/>
        <v>0101</v>
      </c>
      <c r="R4823">
        <v>2100</v>
      </c>
      <c r="S4823" t="str">
        <f t="shared" si="721"/>
        <v>7150</v>
      </c>
      <c r="T4823" t="s">
        <v>4035</v>
      </c>
      <c r="U4823" t="s">
        <v>99</v>
      </c>
    </row>
    <row r="4824" spans="1:21" ht="15" customHeight="1" x14ac:dyDescent="0.3">
      <c r="A4824" t="s">
        <v>179</v>
      </c>
      <c r="B4824" t="str">
        <f>"00065622"</f>
        <v>00065622</v>
      </c>
      <c r="C4824" t="s">
        <v>4253</v>
      </c>
      <c r="D4824" t="s">
        <v>4043</v>
      </c>
      <c r="E4824" t="str">
        <f>"00065624"</f>
        <v>00065624</v>
      </c>
      <c r="F4824">
        <v>0</v>
      </c>
      <c r="G4824" s="243">
        <v>40755</v>
      </c>
      <c r="H4824" t="s">
        <v>182</v>
      </c>
      <c r="I4824">
        <v>15</v>
      </c>
      <c r="J4824">
        <v>3</v>
      </c>
      <c r="K4824">
        <v>1</v>
      </c>
      <c r="L4824">
        <v>58699</v>
      </c>
      <c r="M4824" t="str">
        <f t="shared" si="719"/>
        <v>13</v>
      </c>
      <c r="N4824" t="s">
        <v>3323</v>
      </c>
      <c r="O4824" t="str">
        <f t="shared" si="722"/>
        <v>71511</v>
      </c>
      <c r="P4824" t="str">
        <f t="shared" si="724"/>
        <v>2100L</v>
      </c>
      <c r="Q4824" t="str">
        <f t="shared" si="723"/>
        <v>0101</v>
      </c>
      <c r="R4824">
        <v>2100</v>
      </c>
      <c r="S4824" t="str">
        <f t="shared" si="721"/>
        <v>7150</v>
      </c>
      <c r="T4824" t="s">
        <v>4035</v>
      </c>
      <c r="U4824" t="s">
        <v>99</v>
      </c>
    </row>
    <row r="4825" spans="1:21" ht="15" customHeight="1" x14ac:dyDescent="0.3">
      <c r="A4825" t="s">
        <v>179</v>
      </c>
      <c r="B4825" t="str">
        <f>"00065623"</f>
        <v>00065623</v>
      </c>
      <c r="C4825" t="s">
        <v>4253</v>
      </c>
      <c r="D4825" t="s">
        <v>791</v>
      </c>
      <c r="E4825" t="str">
        <f>"00062619"</f>
        <v>00062619</v>
      </c>
      <c r="F4825">
        <v>0</v>
      </c>
      <c r="G4825" s="243">
        <v>40406</v>
      </c>
      <c r="H4825" t="s">
        <v>182</v>
      </c>
      <c r="I4825">
        <v>15</v>
      </c>
      <c r="J4825">
        <v>2</v>
      </c>
      <c r="K4825">
        <v>1</v>
      </c>
      <c r="L4825">
        <v>56242</v>
      </c>
      <c r="M4825" t="str">
        <f t="shared" si="719"/>
        <v>13</v>
      </c>
      <c r="N4825" t="s">
        <v>3323</v>
      </c>
      <c r="O4825" t="str">
        <f t="shared" si="722"/>
        <v>71511</v>
      </c>
      <c r="P4825" t="str">
        <f t="shared" si="724"/>
        <v>2100L</v>
      </c>
      <c r="Q4825" t="str">
        <f t="shared" si="723"/>
        <v>0101</v>
      </c>
      <c r="R4825">
        <v>2100</v>
      </c>
      <c r="S4825" t="str">
        <f t="shared" si="721"/>
        <v>7150</v>
      </c>
      <c r="T4825" t="s">
        <v>4035</v>
      </c>
      <c r="U4825" t="s">
        <v>99</v>
      </c>
    </row>
    <row r="4826" spans="1:21" ht="15" customHeight="1" x14ac:dyDescent="0.3">
      <c r="A4826" t="s">
        <v>179</v>
      </c>
      <c r="B4826" t="str">
        <f>"00065626"</f>
        <v>00065626</v>
      </c>
      <c r="C4826" t="s">
        <v>4254</v>
      </c>
      <c r="D4826" t="s">
        <v>4044</v>
      </c>
      <c r="E4826" t="str">
        <f>"00065877"</f>
        <v>00065877</v>
      </c>
      <c r="F4826">
        <v>0</v>
      </c>
      <c r="G4826" s="243">
        <v>40756</v>
      </c>
      <c r="H4826" t="s">
        <v>182</v>
      </c>
      <c r="I4826">
        <v>15</v>
      </c>
      <c r="J4826">
        <v>2</v>
      </c>
      <c r="K4826">
        <v>1</v>
      </c>
      <c r="L4826">
        <v>51716</v>
      </c>
      <c r="M4826" t="str">
        <f t="shared" si="719"/>
        <v>13</v>
      </c>
      <c r="N4826" t="s">
        <v>3323</v>
      </c>
      <c r="O4826" t="str">
        <f t="shared" si="722"/>
        <v>71511</v>
      </c>
      <c r="P4826" t="str">
        <f t="shared" si="724"/>
        <v>2100L</v>
      </c>
      <c r="Q4826" t="str">
        <f t="shared" si="723"/>
        <v>0101</v>
      </c>
      <c r="R4826">
        <v>2100</v>
      </c>
      <c r="S4826" t="str">
        <f t="shared" si="721"/>
        <v>7150</v>
      </c>
      <c r="T4826" t="s">
        <v>4035</v>
      </c>
      <c r="U4826" t="s">
        <v>99</v>
      </c>
    </row>
    <row r="4827" spans="1:21" ht="15" customHeight="1" x14ac:dyDescent="0.3">
      <c r="A4827" t="s">
        <v>179</v>
      </c>
      <c r="B4827" t="str">
        <f>"00065627"</f>
        <v>00065627</v>
      </c>
      <c r="C4827" t="s">
        <v>4253</v>
      </c>
      <c r="D4827" t="s">
        <v>5752</v>
      </c>
      <c r="E4827" t="str">
        <f>"00069645"</f>
        <v>00069645</v>
      </c>
      <c r="F4827">
        <v>0</v>
      </c>
      <c r="G4827" s="243">
        <v>41133</v>
      </c>
      <c r="H4827" t="s">
        <v>182</v>
      </c>
      <c r="I4827">
        <v>15</v>
      </c>
      <c r="J4827">
        <v>2</v>
      </c>
      <c r="K4827">
        <v>1</v>
      </c>
      <c r="L4827">
        <v>61158</v>
      </c>
      <c r="M4827" t="str">
        <f t="shared" si="719"/>
        <v>13</v>
      </c>
      <c r="N4827" t="s">
        <v>3370</v>
      </c>
      <c r="O4827" t="str">
        <f t="shared" si="722"/>
        <v>71511</v>
      </c>
      <c r="P4827" t="str">
        <f t="shared" si="724"/>
        <v>2100L</v>
      </c>
      <c r="Q4827" t="str">
        <f t="shared" si="723"/>
        <v>0101</v>
      </c>
      <c r="R4827">
        <v>2100</v>
      </c>
      <c r="S4827" t="str">
        <f t="shared" ref="S4827:S4858" si="725">"7150"</f>
        <v>7150</v>
      </c>
      <c r="T4827" t="s">
        <v>4035</v>
      </c>
      <c r="U4827" t="s">
        <v>99</v>
      </c>
    </row>
    <row r="4828" spans="1:21" ht="15" customHeight="1" x14ac:dyDescent="0.3">
      <c r="A4828" t="s">
        <v>179</v>
      </c>
      <c r="B4828" t="str">
        <f>"00065629"</f>
        <v>00065629</v>
      </c>
      <c r="C4828" t="s">
        <v>4253</v>
      </c>
      <c r="D4828" t="s">
        <v>5753</v>
      </c>
      <c r="E4828" t="str">
        <f>"00067596"</f>
        <v>00067596</v>
      </c>
      <c r="F4828">
        <v>0</v>
      </c>
      <c r="G4828" s="243">
        <v>40925</v>
      </c>
      <c r="H4828" t="s">
        <v>182</v>
      </c>
      <c r="I4828">
        <v>15</v>
      </c>
      <c r="J4828">
        <v>7</v>
      </c>
      <c r="K4828">
        <v>1</v>
      </c>
      <c r="L4828">
        <v>61068</v>
      </c>
      <c r="M4828" t="str">
        <f t="shared" si="719"/>
        <v>13</v>
      </c>
      <c r="N4828" t="s">
        <v>3323</v>
      </c>
      <c r="O4828" t="str">
        <f t="shared" si="722"/>
        <v>71511</v>
      </c>
      <c r="P4828" t="str">
        <f t="shared" si="724"/>
        <v>2100L</v>
      </c>
      <c r="Q4828" t="str">
        <f t="shared" si="723"/>
        <v>0101</v>
      </c>
      <c r="R4828">
        <v>2100</v>
      </c>
      <c r="S4828" t="str">
        <f t="shared" si="725"/>
        <v>7150</v>
      </c>
      <c r="T4828" t="s">
        <v>4035</v>
      </c>
      <c r="U4828" t="s">
        <v>99</v>
      </c>
    </row>
    <row r="4829" spans="1:21" ht="15" customHeight="1" x14ac:dyDescent="0.3">
      <c r="A4829" t="s">
        <v>179</v>
      </c>
      <c r="B4829" t="str">
        <f>"00065630"</f>
        <v>00065630</v>
      </c>
      <c r="C4829" t="s">
        <v>4253</v>
      </c>
      <c r="D4829" t="s">
        <v>793</v>
      </c>
      <c r="E4829" t="str">
        <f>"00057177"</f>
        <v>00057177</v>
      </c>
      <c r="F4829">
        <v>0</v>
      </c>
      <c r="G4829" s="243">
        <v>40042</v>
      </c>
      <c r="H4829" t="s">
        <v>182</v>
      </c>
      <c r="I4829">
        <v>15</v>
      </c>
      <c r="J4829">
        <v>12</v>
      </c>
      <c r="K4829">
        <v>1</v>
      </c>
      <c r="L4829">
        <v>87431</v>
      </c>
      <c r="M4829" t="str">
        <f t="shared" si="719"/>
        <v>13</v>
      </c>
      <c r="N4829" t="s">
        <v>3323</v>
      </c>
      <c r="O4829" t="str">
        <f t="shared" si="722"/>
        <v>71511</v>
      </c>
      <c r="P4829" t="str">
        <f t="shared" si="724"/>
        <v>2100L</v>
      </c>
      <c r="Q4829" t="str">
        <f t="shared" si="723"/>
        <v>0101</v>
      </c>
      <c r="R4829">
        <v>2100</v>
      </c>
      <c r="S4829" t="str">
        <f t="shared" si="725"/>
        <v>7150</v>
      </c>
      <c r="T4829" t="s">
        <v>4035</v>
      </c>
      <c r="U4829" t="s">
        <v>99</v>
      </c>
    </row>
    <row r="4830" spans="1:21" ht="15" customHeight="1" x14ac:dyDescent="0.3">
      <c r="A4830" t="s">
        <v>179</v>
      </c>
      <c r="B4830" t="str">
        <f>"00065631"</f>
        <v>00065631</v>
      </c>
      <c r="C4830" t="s">
        <v>4253</v>
      </c>
      <c r="D4830" t="s">
        <v>4045</v>
      </c>
      <c r="E4830" t="str">
        <f>"00065700"</f>
        <v>00065700</v>
      </c>
      <c r="F4830">
        <v>0</v>
      </c>
      <c r="G4830" s="243">
        <v>40755</v>
      </c>
      <c r="H4830" t="s">
        <v>182</v>
      </c>
      <c r="I4830">
        <v>15</v>
      </c>
      <c r="J4830">
        <v>6</v>
      </c>
      <c r="K4830">
        <v>1</v>
      </c>
      <c r="L4830">
        <v>66078</v>
      </c>
      <c r="M4830" t="str">
        <f t="shared" si="719"/>
        <v>13</v>
      </c>
      <c r="N4830" t="s">
        <v>3323</v>
      </c>
      <c r="O4830" t="str">
        <f t="shared" si="722"/>
        <v>71511</v>
      </c>
      <c r="P4830" t="str">
        <f t="shared" si="724"/>
        <v>2100L</v>
      </c>
      <c r="Q4830" t="str">
        <f t="shared" si="723"/>
        <v>0101</v>
      </c>
      <c r="R4830">
        <v>2100</v>
      </c>
      <c r="S4830" t="str">
        <f t="shared" si="725"/>
        <v>7150</v>
      </c>
      <c r="T4830" t="s">
        <v>4035</v>
      </c>
      <c r="U4830" t="s">
        <v>99</v>
      </c>
    </row>
    <row r="4831" spans="1:21" ht="15" customHeight="1" x14ac:dyDescent="0.3">
      <c r="A4831" t="s">
        <v>179</v>
      </c>
      <c r="B4831" t="str">
        <f>"00065632"</f>
        <v>00065632</v>
      </c>
      <c r="C4831" t="s">
        <v>4254</v>
      </c>
      <c r="D4831" t="s">
        <v>2086</v>
      </c>
      <c r="E4831" t="str">
        <f>"00057786"</f>
        <v>00057786</v>
      </c>
      <c r="F4831">
        <v>0</v>
      </c>
      <c r="G4831" s="243">
        <v>40042</v>
      </c>
      <c r="H4831" t="s">
        <v>182</v>
      </c>
      <c r="I4831">
        <v>15</v>
      </c>
      <c r="J4831">
        <v>12</v>
      </c>
      <c r="K4831">
        <v>1</v>
      </c>
      <c r="L4831">
        <v>89887</v>
      </c>
      <c r="M4831" t="str">
        <f t="shared" si="719"/>
        <v>13</v>
      </c>
      <c r="N4831" t="s">
        <v>3370</v>
      </c>
      <c r="O4831" t="str">
        <f t="shared" si="722"/>
        <v>71511</v>
      </c>
      <c r="P4831" t="str">
        <f t="shared" si="724"/>
        <v>2100L</v>
      </c>
      <c r="Q4831" t="str">
        <f t="shared" si="723"/>
        <v>0101</v>
      </c>
      <c r="R4831">
        <v>2100</v>
      </c>
      <c r="S4831" t="str">
        <f t="shared" si="725"/>
        <v>7150</v>
      </c>
      <c r="T4831" t="s">
        <v>4035</v>
      </c>
      <c r="U4831" t="s">
        <v>99</v>
      </c>
    </row>
    <row r="4832" spans="1:21" ht="15" customHeight="1" x14ac:dyDescent="0.3">
      <c r="A4832" t="s">
        <v>179</v>
      </c>
      <c r="B4832" t="str">
        <f>"00065634"</f>
        <v>00065634</v>
      </c>
      <c r="C4832" t="s">
        <v>4253</v>
      </c>
      <c r="D4832" t="s">
        <v>795</v>
      </c>
      <c r="E4832" t="str">
        <f>"00059810"</f>
        <v>00059810</v>
      </c>
      <c r="F4832">
        <v>0</v>
      </c>
      <c r="G4832" s="243">
        <v>40134</v>
      </c>
      <c r="H4832" t="s">
        <v>182</v>
      </c>
      <c r="I4832">
        <v>15</v>
      </c>
      <c r="J4832">
        <v>6</v>
      </c>
      <c r="K4832">
        <v>1</v>
      </c>
      <c r="L4832">
        <v>66078</v>
      </c>
      <c r="M4832" t="str">
        <f t="shared" si="719"/>
        <v>13</v>
      </c>
      <c r="N4832" t="s">
        <v>3323</v>
      </c>
      <c r="O4832" t="str">
        <f t="shared" si="722"/>
        <v>71511</v>
      </c>
      <c r="P4832" t="str">
        <f>"2300L"</f>
        <v>2300L</v>
      </c>
      <c r="Q4832" t="str">
        <f t="shared" si="723"/>
        <v>0101</v>
      </c>
      <c r="R4832">
        <v>2300</v>
      </c>
      <c r="S4832" t="str">
        <f t="shared" si="725"/>
        <v>7150</v>
      </c>
      <c r="T4832" t="s">
        <v>4035</v>
      </c>
      <c r="U4832" t="s">
        <v>99</v>
      </c>
    </row>
    <row r="4833" spans="1:21" ht="15" customHeight="1" x14ac:dyDescent="0.3">
      <c r="A4833" t="s">
        <v>179</v>
      </c>
      <c r="B4833" t="str">
        <f>"00065635"</f>
        <v>00065635</v>
      </c>
      <c r="C4833" t="s">
        <v>4253</v>
      </c>
      <c r="D4833" t="s">
        <v>796</v>
      </c>
      <c r="E4833" t="str">
        <f>"00062760"</f>
        <v>00062760</v>
      </c>
      <c r="F4833">
        <v>0</v>
      </c>
      <c r="G4833" s="243">
        <v>40406</v>
      </c>
      <c r="H4833" t="s">
        <v>182</v>
      </c>
      <c r="I4833">
        <v>15</v>
      </c>
      <c r="J4833">
        <v>3</v>
      </c>
      <c r="K4833">
        <v>1</v>
      </c>
      <c r="L4833">
        <v>52777</v>
      </c>
      <c r="M4833" t="str">
        <f t="shared" si="719"/>
        <v>13</v>
      </c>
      <c r="N4833" t="s">
        <v>3323</v>
      </c>
      <c r="O4833" t="str">
        <f t="shared" si="722"/>
        <v>71511</v>
      </c>
      <c r="P4833" t="str">
        <f>"2100L"</f>
        <v>2100L</v>
      </c>
      <c r="Q4833" t="str">
        <f t="shared" si="723"/>
        <v>0101</v>
      </c>
      <c r="R4833">
        <v>2100</v>
      </c>
      <c r="S4833" t="str">
        <f t="shared" si="725"/>
        <v>7150</v>
      </c>
      <c r="T4833" t="s">
        <v>4035</v>
      </c>
      <c r="U4833" t="s">
        <v>99</v>
      </c>
    </row>
    <row r="4834" spans="1:21" ht="15" customHeight="1" x14ac:dyDescent="0.3">
      <c r="A4834" t="s">
        <v>179</v>
      </c>
      <c r="B4834" t="str">
        <f>"00065636"</f>
        <v>00065636</v>
      </c>
      <c r="C4834" t="s">
        <v>4253</v>
      </c>
      <c r="H4834" t="s">
        <v>170</v>
      </c>
      <c r="I4834">
        <v>15</v>
      </c>
      <c r="J4834">
        <v>1</v>
      </c>
      <c r="K4834">
        <v>1</v>
      </c>
      <c r="L4834">
        <v>60128</v>
      </c>
      <c r="M4834" t="str">
        <f t="shared" si="719"/>
        <v>13</v>
      </c>
      <c r="N4834" t="s">
        <v>3323</v>
      </c>
      <c r="O4834" t="str">
        <f t="shared" si="722"/>
        <v>71511</v>
      </c>
      <c r="P4834" t="str">
        <f>"2100L"</f>
        <v>2100L</v>
      </c>
      <c r="Q4834" t="str">
        <f t="shared" si="723"/>
        <v>0101</v>
      </c>
      <c r="R4834">
        <v>2100</v>
      </c>
      <c r="S4834" t="str">
        <f t="shared" si="725"/>
        <v>7150</v>
      </c>
      <c r="T4834" t="s">
        <v>4035</v>
      </c>
      <c r="U4834" t="s">
        <v>99</v>
      </c>
    </row>
    <row r="4835" spans="1:21" ht="15" customHeight="1" x14ac:dyDescent="0.3">
      <c r="A4835" t="s">
        <v>179</v>
      </c>
      <c r="B4835" t="str">
        <f>"00065637"</f>
        <v>00065637</v>
      </c>
      <c r="C4835" t="s">
        <v>4253</v>
      </c>
      <c r="H4835" t="s">
        <v>170</v>
      </c>
      <c r="I4835">
        <v>15</v>
      </c>
      <c r="J4835">
        <v>1</v>
      </c>
      <c r="K4835">
        <v>1</v>
      </c>
      <c r="L4835">
        <v>51539</v>
      </c>
      <c r="M4835" t="str">
        <f t="shared" si="719"/>
        <v>13</v>
      </c>
      <c r="N4835" t="s">
        <v>3323</v>
      </c>
      <c r="O4835" t="str">
        <f t="shared" ref="O4835:O4866" si="726">"71511"</f>
        <v>71511</v>
      </c>
      <c r="P4835" t="str">
        <f>"2300L"</f>
        <v>2300L</v>
      </c>
      <c r="Q4835" t="str">
        <f t="shared" ref="Q4835:Q4866" si="727">"0101"</f>
        <v>0101</v>
      </c>
      <c r="R4835">
        <v>2300</v>
      </c>
      <c r="S4835" t="str">
        <f t="shared" si="725"/>
        <v>7150</v>
      </c>
      <c r="T4835" t="s">
        <v>4035</v>
      </c>
      <c r="U4835" t="s">
        <v>99</v>
      </c>
    </row>
    <row r="4836" spans="1:21" ht="15" customHeight="1" x14ac:dyDescent="0.3">
      <c r="A4836" t="s">
        <v>179</v>
      </c>
      <c r="B4836" t="str">
        <f>"00065639"</f>
        <v>00065639</v>
      </c>
      <c r="C4836" t="s">
        <v>4257</v>
      </c>
      <c r="D4836" t="s">
        <v>4057</v>
      </c>
      <c r="E4836" t="str">
        <f>"00015028"</f>
        <v>00015028</v>
      </c>
      <c r="F4836">
        <v>0</v>
      </c>
      <c r="G4836" s="243">
        <v>40880</v>
      </c>
      <c r="H4836" t="s">
        <v>182</v>
      </c>
      <c r="I4836">
        <v>15</v>
      </c>
      <c r="J4836">
        <v>3</v>
      </c>
      <c r="K4836">
        <v>1</v>
      </c>
      <c r="L4836">
        <v>52777</v>
      </c>
      <c r="M4836" t="str">
        <f t="shared" si="719"/>
        <v>13</v>
      </c>
      <c r="N4836" t="s">
        <v>3323</v>
      </c>
      <c r="O4836" t="str">
        <f t="shared" si="726"/>
        <v>71511</v>
      </c>
      <c r="P4836" t="str">
        <f t="shared" ref="P4836:P4841" si="728">"2100L"</f>
        <v>2100L</v>
      </c>
      <c r="Q4836" t="str">
        <f t="shared" si="727"/>
        <v>0101</v>
      </c>
      <c r="R4836">
        <v>2100</v>
      </c>
      <c r="S4836" t="str">
        <f t="shared" si="725"/>
        <v>7150</v>
      </c>
      <c r="T4836" t="s">
        <v>4035</v>
      </c>
      <c r="U4836" t="s">
        <v>99</v>
      </c>
    </row>
    <row r="4837" spans="1:21" ht="15" customHeight="1" x14ac:dyDescent="0.3">
      <c r="A4837" t="s">
        <v>179</v>
      </c>
      <c r="B4837" t="str">
        <f>"00065640"</f>
        <v>00065640</v>
      </c>
      <c r="C4837" t="s">
        <v>4253</v>
      </c>
      <c r="D4837" t="s">
        <v>4047</v>
      </c>
      <c r="E4837" t="str">
        <f>"00065753"</f>
        <v>00065753</v>
      </c>
      <c r="F4837">
        <v>0</v>
      </c>
      <c r="G4837" s="243">
        <v>40755</v>
      </c>
      <c r="H4837" t="s">
        <v>182</v>
      </c>
      <c r="I4837">
        <v>15</v>
      </c>
      <c r="J4837">
        <v>2</v>
      </c>
      <c r="K4837">
        <v>1</v>
      </c>
      <c r="L4837">
        <v>54099</v>
      </c>
      <c r="M4837" t="str">
        <f t="shared" si="719"/>
        <v>13</v>
      </c>
      <c r="N4837" t="s">
        <v>3323</v>
      </c>
      <c r="O4837" t="str">
        <f t="shared" si="726"/>
        <v>71511</v>
      </c>
      <c r="P4837" t="str">
        <f t="shared" si="728"/>
        <v>2100L</v>
      </c>
      <c r="Q4837" t="str">
        <f t="shared" si="727"/>
        <v>0101</v>
      </c>
      <c r="R4837">
        <v>2100</v>
      </c>
      <c r="S4837" t="str">
        <f t="shared" si="725"/>
        <v>7150</v>
      </c>
      <c r="T4837" t="s">
        <v>4035</v>
      </c>
      <c r="U4837" t="s">
        <v>99</v>
      </c>
    </row>
    <row r="4838" spans="1:21" ht="15" customHeight="1" x14ac:dyDescent="0.3">
      <c r="A4838" t="s">
        <v>179</v>
      </c>
      <c r="B4838" t="str">
        <f>"00066074"</f>
        <v>00066074</v>
      </c>
      <c r="C4838" t="s">
        <v>203</v>
      </c>
      <c r="D4838" t="s">
        <v>5754</v>
      </c>
      <c r="E4838" t="str">
        <f>"00070163"</f>
        <v>00070163</v>
      </c>
      <c r="F4838">
        <v>0</v>
      </c>
      <c r="G4838" s="243">
        <v>41134</v>
      </c>
      <c r="H4838" t="s">
        <v>182</v>
      </c>
      <c r="I4838">
        <v>9</v>
      </c>
      <c r="J4838">
        <v>1</v>
      </c>
      <c r="K4838">
        <v>1</v>
      </c>
      <c r="L4838">
        <v>33163</v>
      </c>
      <c r="M4838" t="str">
        <f t="shared" si="719"/>
        <v>13</v>
      </c>
      <c r="N4838" t="s">
        <v>3370</v>
      </c>
      <c r="O4838" t="str">
        <f t="shared" si="726"/>
        <v>71511</v>
      </c>
      <c r="P4838" t="str">
        <f t="shared" si="728"/>
        <v>2100L</v>
      </c>
      <c r="Q4838" t="str">
        <f t="shared" si="727"/>
        <v>0101</v>
      </c>
      <c r="R4838">
        <v>2100</v>
      </c>
      <c r="S4838" t="str">
        <f t="shared" si="725"/>
        <v>7150</v>
      </c>
      <c r="T4838" t="s">
        <v>4035</v>
      </c>
      <c r="U4838" t="s">
        <v>99</v>
      </c>
    </row>
    <row r="4839" spans="1:21" ht="15" customHeight="1" x14ac:dyDescent="0.3">
      <c r="A4839" t="s">
        <v>179</v>
      </c>
      <c r="B4839" t="str">
        <f>"00066176"</f>
        <v>00066176</v>
      </c>
      <c r="C4839" t="s">
        <v>4290</v>
      </c>
      <c r="D4839" t="s">
        <v>5755</v>
      </c>
      <c r="E4839" t="str">
        <f>"00066365"</f>
        <v>00066365</v>
      </c>
      <c r="F4839">
        <v>0</v>
      </c>
      <c r="G4839" s="243">
        <v>40770</v>
      </c>
      <c r="H4839" t="s">
        <v>182</v>
      </c>
      <c r="I4839">
        <v>4</v>
      </c>
      <c r="J4839">
        <v>1</v>
      </c>
      <c r="K4839">
        <v>1</v>
      </c>
      <c r="L4839">
        <v>22454.25</v>
      </c>
      <c r="M4839" t="str">
        <f t="shared" si="719"/>
        <v>13</v>
      </c>
      <c r="N4839" t="s">
        <v>3323</v>
      </c>
      <c r="O4839" t="str">
        <f t="shared" si="726"/>
        <v>71511</v>
      </c>
      <c r="P4839" t="str">
        <f t="shared" si="728"/>
        <v>2100L</v>
      </c>
      <c r="Q4839" t="str">
        <f t="shared" si="727"/>
        <v>0101</v>
      </c>
      <c r="R4839">
        <v>2100</v>
      </c>
      <c r="S4839" t="str">
        <f t="shared" si="725"/>
        <v>7150</v>
      </c>
      <c r="T4839" t="s">
        <v>4035</v>
      </c>
      <c r="U4839" t="s">
        <v>99</v>
      </c>
    </row>
    <row r="4840" spans="1:21" ht="15" customHeight="1" x14ac:dyDescent="0.3">
      <c r="A4840" t="s">
        <v>179</v>
      </c>
      <c r="B4840" t="str">
        <f>"00066178"</f>
        <v>00066178</v>
      </c>
      <c r="C4840" t="s">
        <v>4290</v>
      </c>
      <c r="H4840" t="s">
        <v>170</v>
      </c>
      <c r="I4840">
        <v>4</v>
      </c>
      <c r="J4840">
        <v>1</v>
      </c>
      <c r="K4840">
        <v>1</v>
      </c>
      <c r="L4840">
        <v>25662</v>
      </c>
      <c r="M4840" t="str">
        <f t="shared" ref="M4840:M4899" si="729">"13"</f>
        <v>13</v>
      </c>
      <c r="N4840" t="s">
        <v>3323</v>
      </c>
      <c r="O4840" t="str">
        <f t="shared" si="726"/>
        <v>71511</v>
      </c>
      <c r="P4840" t="str">
        <f t="shared" si="728"/>
        <v>2100L</v>
      </c>
      <c r="Q4840" t="str">
        <f t="shared" si="727"/>
        <v>0101</v>
      </c>
      <c r="R4840">
        <v>2100</v>
      </c>
      <c r="S4840" t="str">
        <f t="shared" si="725"/>
        <v>7150</v>
      </c>
      <c r="T4840" t="s">
        <v>4035</v>
      </c>
      <c r="U4840" t="s">
        <v>99</v>
      </c>
    </row>
    <row r="4841" spans="1:21" ht="15" customHeight="1" x14ac:dyDescent="0.3">
      <c r="A4841" t="s">
        <v>179</v>
      </c>
      <c r="B4841" t="str">
        <f>"00066179"</f>
        <v>00066179</v>
      </c>
      <c r="C4841" t="s">
        <v>4290</v>
      </c>
      <c r="H4841" t="s">
        <v>170</v>
      </c>
      <c r="I4841">
        <v>4</v>
      </c>
      <c r="J4841">
        <v>1</v>
      </c>
      <c r="K4841">
        <v>1</v>
      </c>
      <c r="L4841">
        <v>25662</v>
      </c>
      <c r="M4841" t="str">
        <f t="shared" si="729"/>
        <v>13</v>
      </c>
      <c r="N4841" t="s">
        <v>3323</v>
      </c>
      <c r="O4841" t="str">
        <f t="shared" si="726"/>
        <v>71511</v>
      </c>
      <c r="P4841" t="str">
        <f t="shared" si="728"/>
        <v>2100L</v>
      </c>
      <c r="Q4841" t="str">
        <f t="shared" si="727"/>
        <v>0101</v>
      </c>
      <c r="R4841">
        <v>2100</v>
      </c>
      <c r="S4841" t="str">
        <f t="shared" si="725"/>
        <v>7150</v>
      </c>
      <c r="T4841" t="s">
        <v>4035</v>
      </c>
      <c r="U4841" t="s">
        <v>99</v>
      </c>
    </row>
    <row r="4842" spans="1:21" ht="15" customHeight="1" x14ac:dyDescent="0.3">
      <c r="A4842" t="s">
        <v>179</v>
      </c>
      <c r="B4842" t="str">
        <f>"00066359"</f>
        <v>00066359</v>
      </c>
      <c r="C4842" t="s">
        <v>4343</v>
      </c>
      <c r="D4842" t="s">
        <v>797</v>
      </c>
      <c r="E4842" t="str">
        <f>"00056911"</f>
        <v>00056911</v>
      </c>
      <c r="F4842">
        <v>0</v>
      </c>
      <c r="G4842" s="243">
        <v>40042</v>
      </c>
      <c r="H4842" t="s">
        <v>182</v>
      </c>
      <c r="I4842">
        <v>15</v>
      </c>
      <c r="J4842">
        <v>9</v>
      </c>
      <c r="K4842">
        <v>1</v>
      </c>
      <c r="L4842">
        <v>82756</v>
      </c>
      <c r="M4842" t="str">
        <f t="shared" si="729"/>
        <v>13</v>
      </c>
      <c r="N4842" t="s">
        <v>3323</v>
      </c>
      <c r="O4842" t="str">
        <f t="shared" si="726"/>
        <v>71511</v>
      </c>
      <c r="P4842" t="str">
        <f>"2300L"</f>
        <v>2300L</v>
      </c>
      <c r="Q4842" t="str">
        <f t="shared" si="727"/>
        <v>0101</v>
      </c>
      <c r="R4842">
        <v>2300</v>
      </c>
      <c r="S4842" t="str">
        <f t="shared" si="725"/>
        <v>7150</v>
      </c>
      <c r="T4842" t="s">
        <v>4035</v>
      </c>
      <c r="U4842" t="s">
        <v>99</v>
      </c>
    </row>
    <row r="4843" spans="1:21" ht="15" customHeight="1" x14ac:dyDescent="0.3">
      <c r="A4843" t="s">
        <v>179</v>
      </c>
      <c r="B4843" t="str">
        <f>"00066360"</f>
        <v>00066360</v>
      </c>
      <c r="C4843" t="s">
        <v>4343</v>
      </c>
      <c r="D4843" t="s">
        <v>798</v>
      </c>
      <c r="E4843" t="str">
        <f>"00056893"</f>
        <v>00056893</v>
      </c>
      <c r="F4843">
        <v>0</v>
      </c>
      <c r="G4843" s="243">
        <v>40042</v>
      </c>
      <c r="H4843" t="s">
        <v>182</v>
      </c>
      <c r="I4843">
        <v>15</v>
      </c>
      <c r="J4843">
        <v>12</v>
      </c>
      <c r="K4843">
        <v>1</v>
      </c>
      <c r="L4843">
        <v>96174</v>
      </c>
      <c r="M4843" t="str">
        <f t="shared" si="729"/>
        <v>13</v>
      </c>
      <c r="N4843" t="s">
        <v>3323</v>
      </c>
      <c r="O4843" t="str">
        <f t="shared" si="726"/>
        <v>71511</v>
      </c>
      <c r="P4843" t="str">
        <f>"2300L"</f>
        <v>2300L</v>
      </c>
      <c r="Q4843" t="str">
        <f t="shared" si="727"/>
        <v>0101</v>
      </c>
      <c r="R4843">
        <v>2300</v>
      </c>
      <c r="S4843" t="str">
        <f t="shared" si="725"/>
        <v>7150</v>
      </c>
      <c r="T4843" t="s">
        <v>4035</v>
      </c>
      <c r="U4843" t="s">
        <v>99</v>
      </c>
    </row>
    <row r="4844" spans="1:21" ht="15" customHeight="1" x14ac:dyDescent="0.3">
      <c r="A4844" t="s">
        <v>179</v>
      </c>
      <c r="B4844" t="str">
        <f>"00066361"</f>
        <v>00066361</v>
      </c>
      <c r="C4844" t="s">
        <v>4343</v>
      </c>
      <c r="D4844" t="s">
        <v>799</v>
      </c>
      <c r="E4844" t="str">
        <f>"00055475"</f>
        <v>00055475</v>
      </c>
      <c r="F4844">
        <v>0</v>
      </c>
      <c r="G4844" s="243">
        <v>40042</v>
      </c>
      <c r="H4844" t="s">
        <v>182</v>
      </c>
      <c r="I4844">
        <v>15</v>
      </c>
      <c r="J4844">
        <v>12</v>
      </c>
      <c r="K4844">
        <v>1</v>
      </c>
      <c r="L4844">
        <v>96174</v>
      </c>
      <c r="M4844" t="str">
        <f t="shared" si="729"/>
        <v>13</v>
      </c>
      <c r="N4844" t="s">
        <v>3323</v>
      </c>
      <c r="O4844" t="str">
        <f t="shared" si="726"/>
        <v>71511</v>
      </c>
      <c r="P4844" t="str">
        <f>"2300L"</f>
        <v>2300L</v>
      </c>
      <c r="Q4844" t="str">
        <f t="shared" si="727"/>
        <v>0101</v>
      </c>
      <c r="R4844">
        <v>2300</v>
      </c>
      <c r="S4844" t="str">
        <f t="shared" si="725"/>
        <v>7150</v>
      </c>
      <c r="T4844" t="s">
        <v>4035</v>
      </c>
      <c r="U4844" t="s">
        <v>99</v>
      </c>
    </row>
    <row r="4845" spans="1:21" ht="15" customHeight="1" x14ac:dyDescent="0.3">
      <c r="A4845" t="s">
        <v>179</v>
      </c>
      <c r="B4845" t="str">
        <f>"00066733"</f>
        <v>00066733</v>
      </c>
      <c r="C4845" t="s">
        <v>4254</v>
      </c>
      <c r="H4845" t="s">
        <v>170</v>
      </c>
      <c r="I4845">
        <v>15</v>
      </c>
      <c r="J4845">
        <v>1</v>
      </c>
      <c r="K4845">
        <v>1</v>
      </c>
      <c r="L4845">
        <v>51539</v>
      </c>
      <c r="M4845" t="str">
        <f t="shared" si="729"/>
        <v>13</v>
      </c>
      <c r="N4845" t="s">
        <v>3370</v>
      </c>
      <c r="O4845" t="str">
        <f t="shared" si="726"/>
        <v>71511</v>
      </c>
      <c r="P4845" t="str">
        <f>"2100L"</f>
        <v>2100L</v>
      </c>
      <c r="Q4845" t="str">
        <f t="shared" si="727"/>
        <v>0101</v>
      </c>
      <c r="R4845">
        <v>2100</v>
      </c>
      <c r="S4845" t="str">
        <f t="shared" si="725"/>
        <v>7150</v>
      </c>
      <c r="T4845" t="s">
        <v>4035</v>
      </c>
      <c r="U4845" t="s">
        <v>99</v>
      </c>
    </row>
    <row r="4846" spans="1:21" ht="15" customHeight="1" x14ac:dyDescent="0.3">
      <c r="A4846" t="s">
        <v>179</v>
      </c>
      <c r="B4846" t="str">
        <f>"00066734"</f>
        <v>00066734</v>
      </c>
      <c r="C4846" t="s">
        <v>4257</v>
      </c>
      <c r="D4846" t="s">
        <v>4048</v>
      </c>
      <c r="E4846" t="str">
        <f>"00065665"</f>
        <v>00065665</v>
      </c>
      <c r="F4846">
        <v>0</v>
      </c>
      <c r="G4846" s="243">
        <v>40755</v>
      </c>
      <c r="H4846" t="s">
        <v>182</v>
      </c>
      <c r="I4846">
        <v>15</v>
      </c>
      <c r="J4846">
        <v>8</v>
      </c>
      <c r="K4846">
        <v>1</v>
      </c>
      <c r="L4846">
        <v>63517</v>
      </c>
      <c r="M4846" t="str">
        <f t="shared" si="729"/>
        <v>13</v>
      </c>
      <c r="N4846" t="s">
        <v>3323</v>
      </c>
      <c r="O4846" t="str">
        <f t="shared" si="726"/>
        <v>71511</v>
      </c>
      <c r="P4846" t="str">
        <f>"2100L"</f>
        <v>2100L</v>
      </c>
      <c r="Q4846" t="str">
        <f t="shared" si="727"/>
        <v>0101</v>
      </c>
      <c r="R4846">
        <v>2100</v>
      </c>
      <c r="S4846" t="str">
        <f t="shared" si="725"/>
        <v>7150</v>
      </c>
      <c r="T4846" t="s">
        <v>4035</v>
      </c>
      <c r="U4846" t="s">
        <v>99</v>
      </c>
    </row>
    <row r="4847" spans="1:21" ht="15" customHeight="1" x14ac:dyDescent="0.3">
      <c r="A4847" t="s">
        <v>179</v>
      </c>
      <c r="B4847" t="str">
        <f>"00066735"</f>
        <v>00066735</v>
      </c>
      <c r="C4847" t="s">
        <v>4253</v>
      </c>
      <c r="D4847" t="s">
        <v>5756</v>
      </c>
      <c r="E4847" t="str">
        <f>"00069888"</f>
        <v>00069888</v>
      </c>
      <c r="F4847">
        <v>0</v>
      </c>
      <c r="G4847" s="243">
        <v>41133</v>
      </c>
      <c r="H4847" t="s">
        <v>182</v>
      </c>
      <c r="I4847">
        <v>15</v>
      </c>
      <c r="J4847">
        <v>6</v>
      </c>
      <c r="K4847">
        <v>1</v>
      </c>
      <c r="L4847">
        <v>61032</v>
      </c>
      <c r="M4847" t="str">
        <f t="shared" si="729"/>
        <v>13</v>
      </c>
      <c r="N4847" t="s">
        <v>3370</v>
      </c>
      <c r="O4847" t="str">
        <f t="shared" si="726"/>
        <v>71511</v>
      </c>
      <c r="P4847" t="str">
        <f>"2100L"</f>
        <v>2100L</v>
      </c>
      <c r="Q4847" t="str">
        <f t="shared" si="727"/>
        <v>0101</v>
      </c>
      <c r="R4847">
        <v>2100</v>
      </c>
      <c r="S4847" t="str">
        <f t="shared" si="725"/>
        <v>7150</v>
      </c>
      <c r="T4847" t="s">
        <v>4035</v>
      </c>
      <c r="U4847" t="s">
        <v>99</v>
      </c>
    </row>
    <row r="4848" spans="1:21" ht="15" customHeight="1" x14ac:dyDescent="0.3">
      <c r="A4848" t="s">
        <v>179</v>
      </c>
      <c r="B4848" t="str">
        <f>"00066736"</f>
        <v>00066736</v>
      </c>
      <c r="C4848" t="s">
        <v>4253</v>
      </c>
      <c r="D4848" t="s">
        <v>4049</v>
      </c>
      <c r="E4848" t="str">
        <f>"00065835"</f>
        <v>00065835</v>
      </c>
      <c r="F4848">
        <v>0</v>
      </c>
      <c r="G4848" s="243">
        <v>40755</v>
      </c>
      <c r="H4848" t="s">
        <v>182</v>
      </c>
      <c r="I4848">
        <v>15</v>
      </c>
      <c r="J4848">
        <v>2</v>
      </c>
      <c r="K4848">
        <v>1</v>
      </c>
      <c r="L4848">
        <v>56242</v>
      </c>
      <c r="M4848" t="str">
        <f t="shared" si="729"/>
        <v>13</v>
      </c>
      <c r="N4848" t="s">
        <v>3323</v>
      </c>
      <c r="O4848" t="str">
        <f t="shared" si="726"/>
        <v>71511</v>
      </c>
      <c r="P4848" t="str">
        <f>"2100L"</f>
        <v>2100L</v>
      </c>
      <c r="Q4848" t="str">
        <f t="shared" si="727"/>
        <v>0101</v>
      </c>
      <c r="R4848">
        <v>2100</v>
      </c>
      <c r="S4848" t="str">
        <f t="shared" si="725"/>
        <v>7150</v>
      </c>
      <c r="T4848" t="s">
        <v>4035</v>
      </c>
      <c r="U4848" t="s">
        <v>99</v>
      </c>
    </row>
    <row r="4849" spans="1:21" ht="15" customHeight="1" x14ac:dyDescent="0.3">
      <c r="A4849" t="s">
        <v>179</v>
      </c>
      <c r="B4849" t="str">
        <f>"00066737"</f>
        <v>00066737</v>
      </c>
      <c r="C4849" t="s">
        <v>4266</v>
      </c>
      <c r="D4849" t="s">
        <v>800</v>
      </c>
      <c r="E4849" t="str">
        <f>"00062970"</f>
        <v>00062970</v>
      </c>
      <c r="F4849">
        <v>0</v>
      </c>
      <c r="G4849" s="243">
        <v>40406</v>
      </c>
      <c r="H4849" t="s">
        <v>182</v>
      </c>
      <c r="I4849">
        <v>15</v>
      </c>
      <c r="J4849">
        <v>3</v>
      </c>
      <c r="K4849">
        <v>1</v>
      </c>
      <c r="L4849">
        <v>52777</v>
      </c>
      <c r="M4849" t="str">
        <f t="shared" si="729"/>
        <v>13</v>
      </c>
      <c r="N4849" t="s">
        <v>3323</v>
      </c>
      <c r="O4849" t="str">
        <f t="shared" si="726"/>
        <v>71511</v>
      </c>
      <c r="P4849" t="str">
        <f t="shared" ref="P4849:P4854" si="730">"3030L"</f>
        <v>3030L</v>
      </c>
      <c r="Q4849" t="str">
        <f t="shared" si="727"/>
        <v>0101</v>
      </c>
      <c r="R4849">
        <v>3030</v>
      </c>
      <c r="S4849" t="str">
        <f t="shared" si="725"/>
        <v>7150</v>
      </c>
      <c r="T4849" t="s">
        <v>4035</v>
      </c>
      <c r="U4849" t="s">
        <v>99</v>
      </c>
    </row>
    <row r="4850" spans="1:21" ht="15" customHeight="1" x14ac:dyDescent="0.3">
      <c r="A4850" t="s">
        <v>179</v>
      </c>
      <c r="B4850" t="str">
        <f>"00066738"</f>
        <v>00066738</v>
      </c>
      <c r="C4850" t="s">
        <v>4260</v>
      </c>
      <c r="D4850" t="s">
        <v>801</v>
      </c>
      <c r="E4850" t="str">
        <f>"00057764"</f>
        <v>00057764</v>
      </c>
      <c r="F4850">
        <v>0</v>
      </c>
      <c r="G4850" s="243">
        <v>40042</v>
      </c>
      <c r="H4850" t="s">
        <v>182</v>
      </c>
      <c r="I4850">
        <v>15</v>
      </c>
      <c r="J4850">
        <v>4</v>
      </c>
      <c r="K4850">
        <v>1</v>
      </c>
      <c r="L4850">
        <v>61158</v>
      </c>
      <c r="M4850" t="str">
        <f t="shared" si="729"/>
        <v>13</v>
      </c>
      <c r="N4850" t="s">
        <v>3323</v>
      </c>
      <c r="O4850" t="str">
        <f t="shared" si="726"/>
        <v>71511</v>
      </c>
      <c r="P4850" t="str">
        <f t="shared" si="730"/>
        <v>3030L</v>
      </c>
      <c r="Q4850" t="str">
        <f t="shared" si="727"/>
        <v>0101</v>
      </c>
      <c r="R4850">
        <v>3030</v>
      </c>
      <c r="S4850" t="str">
        <f t="shared" si="725"/>
        <v>7150</v>
      </c>
      <c r="T4850" t="s">
        <v>4035</v>
      </c>
      <c r="U4850" t="s">
        <v>99</v>
      </c>
    </row>
    <row r="4851" spans="1:21" ht="15" customHeight="1" x14ac:dyDescent="0.3">
      <c r="A4851" t="s">
        <v>179</v>
      </c>
      <c r="B4851" t="str">
        <f>"00066739"</f>
        <v>00066739</v>
      </c>
      <c r="C4851" t="s">
        <v>4260</v>
      </c>
      <c r="D4851" t="s">
        <v>802</v>
      </c>
      <c r="E4851" t="str">
        <f>"00057117"</f>
        <v>00057117</v>
      </c>
      <c r="F4851">
        <v>0</v>
      </c>
      <c r="G4851" s="243">
        <v>40042</v>
      </c>
      <c r="H4851" t="s">
        <v>182</v>
      </c>
      <c r="I4851">
        <v>15</v>
      </c>
      <c r="J4851">
        <v>5</v>
      </c>
      <c r="K4851">
        <v>1</v>
      </c>
      <c r="L4851">
        <v>63611</v>
      </c>
      <c r="M4851" t="str">
        <f t="shared" si="729"/>
        <v>13</v>
      </c>
      <c r="N4851" t="s">
        <v>3323</v>
      </c>
      <c r="O4851" t="str">
        <f t="shared" si="726"/>
        <v>71511</v>
      </c>
      <c r="P4851" t="str">
        <f t="shared" si="730"/>
        <v>3030L</v>
      </c>
      <c r="Q4851" t="str">
        <f t="shared" si="727"/>
        <v>0101</v>
      </c>
      <c r="R4851">
        <v>3030</v>
      </c>
      <c r="S4851" t="str">
        <f t="shared" si="725"/>
        <v>7150</v>
      </c>
      <c r="T4851" t="s">
        <v>4035</v>
      </c>
      <c r="U4851" t="s">
        <v>99</v>
      </c>
    </row>
    <row r="4852" spans="1:21" ht="15" customHeight="1" x14ac:dyDescent="0.3">
      <c r="A4852" t="s">
        <v>179</v>
      </c>
      <c r="B4852" t="str">
        <f>"00066740"</f>
        <v>00066740</v>
      </c>
      <c r="C4852" t="s">
        <v>4260</v>
      </c>
      <c r="D4852" t="s">
        <v>2092</v>
      </c>
      <c r="E4852" t="str">
        <f>"00055276"</f>
        <v>00055276</v>
      </c>
      <c r="F4852">
        <v>0</v>
      </c>
      <c r="G4852" s="243">
        <v>37897</v>
      </c>
      <c r="H4852" t="s">
        <v>182</v>
      </c>
      <c r="I4852">
        <v>15</v>
      </c>
      <c r="J4852">
        <v>12</v>
      </c>
      <c r="K4852">
        <v>1</v>
      </c>
      <c r="L4852">
        <v>92613</v>
      </c>
      <c r="M4852" t="str">
        <f t="shared" si="729"/>
        <v>13</v>
      </c>
      <c r="N4852" t="s">
        <v>3323</v>
      </c>
      <c r="O4852" t="str">
        <f t="shared" si="726"/>
        <v>71511</v>
      </c>
      <c r="P4852" t="str">
        <f t="shared" si="730"/>
        <v>3030L</v>
      </c>
      <c r="Q4852" t="str">
        <f t="shared" si="727"/>
        <v>0101</v>
      </c>
      <c r="R4852">
        <v>3030</v>
      </c>
      <c r="S4852" t="str">
        <f t="shared" si="725"/>
        <v>7150</v>
      </c>
      <c r="T4852" t="s">
        <v>4035</v>
      </c>
      <c r="U4852" t="s">
        <v>99</v>
      </c>
    </row>
    <row r="4853" spans="1:21" ht="15" customHeight="1" x14ac:dyDescent="0.3">
      <c r="A4853" t="s">
        <v>179</v>
      </c>
      <c r="B4853" t="str">
        <f>"00066741"</f>
        <v>00066741</v>
      </c>
      <c r="C4853" t="s">
        <v>4260</v>
      </c>
      <c r="D4853" t="s">
        <v>803</v>
      </c>
      <c r="E4853" t="str">
        <f>"00058085"</f>
        <v>00058085</v>
      </c>
      <c r="F4853">
        <v>0</v>
      </c>
      <c r="G4853" s="243">
        <v>40056</v>
      </c>
      <c r="H4853" t="s">
        <v>182</v>
      </c>
      <c r="I4853">
        <v>15</v>
      </c>
      <c r="J4853">
        <v>9</v>
      </c>
      <c r="K4853">
        <v>1</v>
      </c>
      <c r="L4853">
        <v>75232</v>
      </c>
      <c r="M4853" t="str">
        <f t="shared" si="729"/>
        <v>13</v>
      </c>
      <c r="N4853" t="s">
        <v>3323</v>
      </c>
      <c r="O4853" t="str">
        <f t="shared" si="726"/>
        <v>71511</v>
      </c>
      <c r="P4853" t="str">
        <f t="shared" si="730"/>
        <v>3030L</v>
      </c>
      <c r="Q4853" t="str">
        <f t="shared" si="727"/>
        <v>0101</v>
      </c>
      <c r="R4853">
        <v>3030</v>
      </c>
      <c r="S4853" t="str">
        <f t="shared" si="725"/>
        <v>7150</v>
      </c>
      <c r="T4853" t="s">
        <v>4035</v>
      </c>
      <c r="U4853" t="s">
        <v>99</v>
      </c>
    </row>
    <row r="4854" spans="1:21" ht="15" customHeight="1" x14ac:dyDescent="0.3">
      <c r="A4854" t="s">
        <v>179</v>
      </c>
      <c r="B4854" t="str">
        <f>"00066742"</f>
        <v>00066742</v>
      </c>
      <c r="C4854" t="s">
        <v>4260</v>
      </c>
      <c r="D4854" t="s">
        <v>804</v>
      </c>
      <c r="E4854" t="str">
        <f>"00062467"</f>
        <v>00062467</v>
      </c>
      <c r="F4854">
        <v>0</v>
      </c>
      <c r="G4854" s="243">
        <v>40406</v>
      </c>
      <c r="H4854" t="s">
        <v>182</v>
      </c>
      <c r="I4854">
        <v>15</v>
      </c>
      <c r="J4854">
        <v>11</v>
      </c>
      <c r="K4854">
        <v>1</v>
      </c>
      <c r="L4854">
        <v>81335</v>
      </c>
      <c r="M4854" t="str">
        <f t="shared" si="729"/>
        <v>13</v>
      </c>
      <c r="N4854" t="s">
        <v>3323</v>
      </c>
      <c r="O4854" t="str">
        <f t="shared" si="726"/>
        <v>71511</v>
      </c>
      <c r="P4854" t="str">
        <f t="shared" si="730"/>
        <v>3030L</v>
      </c>
      <c r="Q4854" t="str">
        <f t="shared" si="727"/>
        <v>0101</v>
      </c>
      <c r="R4854">
        <v>3030</v>
      </c>
      <c r="S4854" t="str">
        <f t="shared" si="725"/>
        <v>7150</v>
      </c>
      <c r="T4854" t="s">
        <v>4035</v>
      </c>
      <c r="U4854" t="s">
        <v>99</v>
      </c>
    </row>
    <row r="4855" spans="1:21" ht="15" customHeight="1" x14ac:dyDescent="0.3">
      <c r="A4855" t="s">
        <v>179</v>
      </c>
      <c r="B4855" t="str">
        <f>"00066815"</f>
        <v>00066815</v>
      </c>
      <c r="C4855" t="s">
        <v>4266</v>
      </c>
      <c r="D4855" t="s">
        <v>805</v>
      </c>
      <c r="E4855" t="str">
        <f>"00057227"</f>
        <v>00057227</v>
      </c>
      <c r="F4855">
        <v>0</v>
      </c>
      <c r="G4855" s="243">
        <v>40042</v>
      </c>
      <c r="H4855" t="s">
        <v>182</v>
      </c>
      <c r="I4855">
        <v>15</v>
      </c>
      <c r="J4855">
        <v>3</v>
      </c>
      <c r="K4855">
        <v>1</v>
      </c>
      <c r="L4855">
        <v>58699</v>
      </c>
      <c r="M4855" t="str">
        <f t="shared" si="729"/>
        <v>13</v>
      </c>
      <c r="N4855" t="s">
        <v>3323</v>
      </c>
      <c r="O4855" t="str">
        <f t="shared" si="726"/>
        <v>71511</v>
      </c>
      <c r="P4855" t="str">
        <f>"2300L"</f>
        <v>2300L</v>
      </c>
      <c r="Q4855" t="str">
        <f t="shared" si="727"/>
        <v>0101</v>
      </c>
      <c r="R4855">
        <v>2300</v>
      </c>
      <c r="S4855" t="str">
        <f t="shared" si="725"/>
        <v>7150</v>
      </c>
      <c r="T4855" t="s">
        <v>4035</v>
      </c>
      <c r="U4855" t="s">
        <v>99</v>
      </c>
    </row>
    <row r="4856" spans="1:21" ht="15" customHeight="1" x14ac:dyDescent="0.3">
      <c r="A4856" t="s">
        <v>179</v>
      </c>
      <c r="B4856" t="str">
        <f>"00066816"</f>
        <v>00066816</v>
      </c>
      <c r="C4856" t="s">
        <v>4266</v>
      </c>
      <c r="D4856" t="s">
        <v>5757</v>
      </c>
      <c r="E4856" t="str">
        <f>"00069889"</f>
        <v>00069889</v>
      </c>
      <c r="F4856">
        <v>0</v>
      </c>
      <c r="G4856" s="243">
        <v>41133</v>
      </c>
      <c r="H4856" t="s">
        <v>182</v>
      </c>
      <c r="I4856">
        <v>15</v>
      </c>
      <c r="J4856">
        <v>1</v>
      </c>
      <c r="K4856">
        <v>1</v>
      </c>
      <c r="L4856">
        <v>51539</v>
      </c>
      <c r="M4856" t="str">
        <f t="shared" si="729"/>
        <v>13</v>
      </c>
      <c r="N4856" t="s">
        <v>3370</v>
      </c>
      <c r="O4856" t="str">
        <f t="shared" si="726"/>
        <v>71511</v>
      </c>
      <c r="P4856" t="str">
        <f>"2300L"</f>
        <v>2300L</v>
      </c>
      <c r="Q4856" t="str">
        <f t="shared" si="727"/>
        <v>0101</v>
      </c>
      <c r="R4856">
        <v>2300</v>
      </c>
      <c r="S4856" t="str">
        <f t="shared" si="725"/>
        <v>7150</v>
      </c>
      <c r="T4856" t="s">
        <v>4035</v>
      </c>
      <c r="U4856" t="s">
        <v>99</v>
      </c>
    </row>
    <row r="4857" spans="1:21" ht="15" customHeight="1" x14ac:dyDescent="0.3">
      <c r="A4857" t="s">
        <v>179</v>
      </c>
      <c r="B4857" t="str">
        <f>"00066818"</f>
        <v>00066818</v>
      </c>
      <c r="C4857" t="s">
        <v>4266</v>
      </c>
      <c r="D4857" t="s">
        <v>807</v>
      </c>
      <c r="E4857" t="str">
        <f>"00057666"</f>
        <v>00057666</v>
      </c>
      <c r="F4857">
        <v>0</v>
      </c>
      <c r="G4857" s="243">
        <v>40042</v>
      </c>
      <c r="H4857" t="s">
        <v>182</v>
      </c>
      <c r="I4857">
        <v>15</v>
      </c>
      <c r="J4857">
        <v>4</v>
      </c>
      <c r="K4857">
        <v>1</v>
      </c>
      <c r="L4857">
        <v>61158</v>
      </c>
      <c r="M4857" t="str">
        <f t="shared" si="729"/>
        <v>13</v>
      </c>
      <c r="N4857" t="s">
        <v>3323</v>
      </c>
      <c r="O4857" t="str">
        <f t="shared" si="726"/>
        <v>71511</v>
      </c>
      <c r="P4857" t="str">
        <f>"2300L"</f>
        <v>2300L</v>
      </c>
      <c r="Q4857" t="str">
        <f t="shared" si="727"/>
        <v>0101</v>
      </c>
      <c r="R4857">
        <v>2300</v>
      </c>
      <c r="S4857" t="str">
        <f t="shared" si="725"/>
        <v>7150</v>
      </c>
      <c r="T4857" t="s">
        <v>4035</v>
      </c>
      <c r="U4857" t="s">
        <v>99</v>
      </c>
    </row>
    <row r="4858" spans="1:21" ht="15" customHeight="1" x14ac:dyDescent="0.3">
      <c r="A4858" t="s">
        <v>179</v>
      </c>
      <c r="B4858" t="str">
        <f>"00066819"</f>
        <v>00066819</v>
      </c>
      <c r="C4858" t="s">
        <v>4266</v>
      </c>
      <c r="D4858" t="s">
        <v>3932</v>
      </c>
      <c r="E4858" t="str">
        <f>"00066460"</f>
        <v>00066460</v>
      </c>
      <c r="F4858">
        <v>0</v>
      </c>
      <c r="G4858" s="243">
        <v>40769</v>
      </c>
      <c r="H4858" t="s">
        <v>182</v>
      </c>
      <c r="I4858">
        <v>15</v>
      </c>
      <c r="J4858">
        <v>1</v>
      </c>
      <c r="K4858">
        <v>1</v>
      </c>
      <c r="L4858">
        <v>51539</v>
      </c>
      <c r="M4858" t="str">
        <f t="shared" si="729"/>
        <v>13</v>
      </c>
      <c r="N4858" t="s">
        <v>3370</v>
      </c>
      <c r="O4858" t="str">
        <f t="shared" si="726"/>
        <v>71511</v>
      </c>
      <c r="P4858" t="str">
        <f>"2300L"</f>
        <v>2300L</v>
      </c>
      <c r="Q4858" t="str">
        <f t="shared" si="727"/>
        <v>0101</v>
      </c>
      <c r="R4858">
        <v>2300</v>
      </c>
      <c r="S4858" t="str">
        <f t="shared" si="725"/>
        <v>7150</v>
      </c>
      <c r="T4858" t="s">
        <v>4035</v>
      </c>
      <c r="U4858" t="s">
        <v>99</v>
      </c>
    </row>
    <row r="4859" spans="1:21" ht="15" customHeight="1" x14ac:dyDescent="0.3">
      <c r="A4859" t="s">
        <v>179</v>
      </c>
      <c r="B4859" t="str">
        <f>"00066820"</f>
        <v>00066820</v>
      </c>
      <c r="C4859" t="s">
        <v>4266</v>
      </c>
      <c r="D4859" t="s">
        <v>4050</v>
      </c>
      <c r="E4859" t="str">
        <f>"00065997"</f>
        <v>00065997</v>
      </c>
      <c r="F4859">
        <v>0</v>
      </c>
      <c r="G4859" s="243">
        <v>40755</v>
      </c>
      <c r="H4859" t="s">
        <v>182</v>
      </c>
      <c r="I4859">
        <v>15</v>
      </c>
      <c r="J4859">
        <v>5</v>
      </c>
      <c r="K4859">
        <v>1</v>
      </c>
      <c r="L4859">
        <v>56655</v>
      </c>
      <c r="M4859" t="str">
        <f t="shared" si="729"/>
        <v>13</v>
      </c>
      <c r="N4859" t="s">
        <v>3323</v>
      </c>
      <c r="O4859" t="str">
        <f t="shared" si="726"/>
        <v>71511</v>
      </c>
      <c r="P4859" t="str">
        <f>"2300L"</f>
        <v>2300L</v>
      </c>
      <c r="Q4859" t="str">
        <f t="shared" si="727"/>
        <v>0101</v>
      </c>
      <c r="R4859">
        <v>2300</v>
      </c>
      <c r="S4859" t="str">
        <f t="shared" ref="S4859:S4883" si="731">"7150"</f>
        <v>7150</v>
      </c>
      <c r="T4859" t="s">
        <v>4035</v>
      </c>
      <c r="U4859" t="s">
        <v>99</v>
      </c>
    </row>
    <row r="4860" spans="1:21" ht="15" customHeight="1" x14ac:dyDescent="0.3">
      <c r="A4860" t="s">
        <v>179</v>
      </c>
      <c r="B4860" t="str">
        <f>"00066963"</f>
        <v>00066963</v>
      </c>
      <c r="C4860" t="s">
        <v>200</v>
      </c>
      <c r="D4860" t="s">
        <v>4037</v>
      </c>
      <c r="E4860" t="str">
        <f>"00054434"</f>
        <v>00054434</v>
      </c>
      <c r="F4860">
        <v>0</v>
      </c>
      <c r="G4860" s="243">
        <v>31825</v>
      </c>
      <c r="H4860" t="s">
        <v>182</v>
      </c>
      <c r="I4860">
        <v>15</v>
      </c>
      <c r="J4860">
        <v>16</v>
      </c>
      <c r="K4860">
        <v>1</v>
      </c>
      <c r="L4860">
        <v>103347</v>
      </c>
      <c r="M4860" t="str">
        <f t="shared" si="729"/>
        <v>13</v>
      </c>
      <c r="N4860" t="s">
        <v>3323</v>
      </c>
      <c r="O4860" t="str">
        <f t="shared" si="726"/>
        <v>71511</v>
      </c>
      <c r="P4860" t="str">
        <f>"3030L"</f>
        <v>3030L</v>
      </c>
      <c r="Q4860" t="str">
        <f t="shared" si="727"/>
        <v>0101</v>
      </c>
      <c r="R4860">
        <v>3030</v>
      </c>
      <c r="S4860" t="str">
        <f t="shared" si="731"/>
        <v>7150</v>
      </c>
      <c r="T4860" t="s">
        <v>4035</v>
      </c>
      <c r="U4860" t="s">
        <v>99</v>
      </c>
    </row>
    <row r="4861" spans="1:21" ht="15" customHeight="1" x14ac:dyDescent="0.3">
      <c r="A4861" t="s">
        <v>179</v>
      </c>
      <c r="B4861" t="str">
        <f>"00067034"</f>
        <v>00067034</v>
      </c>
      <c r="C4861" t="s">
        <v>4333</v>
      </c>
      <c r="D4861" t="s">
        <v>5758</v>
      </c>
      <c r="E4861" t="str">
        <f>"00024662"</f>
        <v>00024662</v>
      </c>
      <c r="F4861">
        <v>0</v>
      </c>
      <c r="G4861" s="243">
        <v>40483</v>
      </c>
      <c r="H4861" t="s">
        <v>182</v>
      </c>
      <c r="I4861">
        <v>12</v>
      </c>
      <c r="J4861">
        <v>5</v>
      </c>
      <c r="K4861">
        <v>1</v>
      </c>
      <c r="L4861">
        <v>67408</v>
      </c>
      <c r="M4861" t="str">
        <f t="shared" si="729"/>
        <v>13</v>
      </c>
      <c r="N4861" t="s">
        <v>3323</v>
      </c>
      <c r="O4861" t="str">
        <f t="shared" si="726"/>
        <v>71511</v>
      </c>
      <c r="P4861" t="str">
        <f>"1502L"</f>
        <v>1502L</v>
      </c>
      <c r="Q4861" t="str">
        <f t="shared" si="727"/>
        <v>0101</v>
      </c>
      <c r="R4861">
        <v>1502</v>
      </c>
      <c r="S4861" t="str">
        <f t="shared" si="731"/>
        <v>7150</v>
      </c>
      <c r="T4861" t="s">
        <v>4035</v>
      </c>
      <c r="U4861" t="s">
        <v>99</v>
      </c>
    </row>
    <row r="4862" spans="1:21" ht="15" customHeight="1" x14ac:dyDescent="0.3">
      <c r="A4862" t="s">
        <v>179</v>
      </c>
      <c r="B4862" t="str">
        <f>"00067277"</f>
        <v>00067277</v>
      </c>
      <c r="C4862" t="s">
        <v>4326</v>
      </c>
      <c r="H4862" t="s">
        <v>170</v>
      </c>
      <c r="I4862">
        <v>4</v>
      </c>
      <c r="J4862">
        <v>1</v>
      </c>
      <c r="K4862">
        <v>1</v>
      </c>
      <c r="L4862">
        <v>25662</v>
      </c>
      <c r="M4862" t="str">
        <f t="shared" si="729"/>
        <v>13</v>
      </c>
      <c r="N4862" t="s">
        <v>3323</v>
      </c>
      <c r="O4862" t="str">
        <f t="shared" si="726"/>
        <v>71511</v>
      </c>
      <c r="P4862" t="str">
        <f>"2300L"</f>
        <v>2300L</v>
      </c>
      <c r="Q4862" t="str">
        <f t="shared" si="727"/>
        <v>0101</v>
      </c>
      <c r="R4862">
        <v>2300</v>
      </c>
      <c r="S4862" t="str">
        <f t="shared" si="731"/>
        <v>7150</v>
      </c>
      <c r="T4862" t="s">
        <v>4035</v>
      </c>
      <c r="U4862" t="s">
        <v>99</v>
      </c>
    </row>
    <row r="4863" spans="1:21" ht="15" customHeight="1" x14ac:dyDescent="0.3">
      <c r="A4863" t="s">
        <v>179</v>
      </c>
      <c r="B4863" t="str">
        <f>"00068151"</f>
        <v>00068151</v>
      </c>
      <c r="C4863" t="s">
        <v>4341</v>
      </c>
      <c r="D4863" t="s">
        <v>810</v>
      </c>
      <c r="E4863" t="str">
        <f>"00054992"</f>
        <v>00054992</v>
      </c>
      <c r="F4863">
        <v>0</v>
      </c>
      <c r="G4863" s="243">
        <v>38587</v>
      </c>
      <c r="H4863" t="s">
        <v>182</v>
      </c>
      <c r="I4863">
        <v>10</v>
      </c>
      <c r="J4863">
        <v>3</v>
      </c>
      <c r="K4863">
        <v>1</v>
      </c>
      <c r="L4863">
        <v>67198</v>
      </c>
      <c r="M4863" t="str">
        <f t="shared" si="729"/>
        <v>13</v>
      </c>
      <c r="N4863" t="s">
        <v>3323</v>
      </c>
      <c r="O4863" t="str">
        <f t="shared" si="726"/>
        <v>71511</v>
      </c>
      <c r="P4863" t="str">
        <f>"2100L"</f>
        <v>2100L</v>
      </c>
      <c r="Q4863" t="str">
        <f t="shared" si="727"/>
        <v>0101</v>
      </c>
      <c r="R4863">
        <v>2100</v>
      </c>
      <c r="S4863" t="str">
        <f t="shared" si="731"/>
        <v>7150</v>
      </c>
      <c r="T4863" t="s">
        <v>4035</v>
      </c>
      <c r="U4863" t="s">
        <v>99</v>
      </c>
    </row>
    <row r="4864" spans="1:21" ht="15" customHeight="1" x14ac:dyDescent="0.3">
      <c r="A4864" t="s">
        <v>179</v>
      </c>
      <c r="B4864" t="str">
        <f>"00069536"</f>
        <v>00069536</v>
      </c>
      <c r="C4864" t="s">
        <v>4263</v>
      </c>
      <c r="D4864" t="s">
        <v>5759</v>
      </c>
      <c r="E4864" t="str">
        <f>"00069882"</f>
        <v>00069882</v>
      </c>
      <c r="F4864">
        <v>0</v>
      </c>
      <c r="G4864" s="243">
        <v>41133</v>
      </c>
      <c r="H4864" t="s">
        <v>182</v>
      </c>
      <c r="I4864">
        <v>15</v>
      </c>
      <c r="J4864">
        <v>8</v>
      </c>
      <c r="K4864">
        <v>1</v>
      </c>
      <c r="L4864">
        <v>63517</v>
      </c>
      <c r="M4864" t="str">
        <f t="shared" si="729"/>
        <v>13</v>
      </c>
      <c r="N4864" t="s">
        <v>3370</v>
      </c>
      <c r="O4864" t="str">
        <f t="shared" si="726"/>
        <v>71511</v>
      </c>
      <c r="P4864" t="str">
        <f>"2100L"</f>
        <v>2100L</v>
      </c>
      <c r="Q4864" t="str">
        <f t="shared" si="727"/>
        <v>0101</v>
      </c>
      <c r="R4864">
        <v>2100</v>
      </c>
      <c r="S4864" t="str">
        <f t="shared" si="731"/>
        <v>7150</v>
      </c>
      <c r="T4864" t="s">
        <v>4035</v>
      </c>
      <c r="U4864" t="s">
        <v>99</v>
      </c>
    </row>
    <row r="4865" spans="1:21" ht="15" customHeight="1" x14ac:dyDescent="0.3">
      <c r="A4865" t="s">
        <v>179</v>
      </c>
      <c r="B4865" t="str">
        <f>"00071430"</f>
        <v>00071430</v>
      </c>
      <c r="C4865" t="s">
        <v>4387</v>
      </c>
      <c r="D4865" t="s">
        <v>812</v>
      </c>
      <c r="E4865" t="str">
        <f>"00059997"</f>
        <v>00059997</v>
      </c>
      <c r="F4865">
        <v>0</v>
      </c>
      <c r="G4865" s="243">
        <v>40154</v>
      </c>
      <c r="H4865" t="s">
        <v>182</v>
      </c>
      <c r="I4865">
        <v>10</v>
      </c>
      <c r="J4865">
        <v>9</v>
      </c>
      <c r="K4865">
        <v>1</v>
      </c>
      <c r="L4865">
        <v>84226</v>
      </c>
      <c r="M4865" t="str">
        <f t="shared" si="729"/>
        <v>13</v>
      </c>
      <c r="N4865" t="s">
        <v>3370</v>
      </c>
      <c r="O4865" t="str">
        <f t="shared" si="726"/>
        <v>71511</v>
      </c>
      <c r="P4865" t="str">
        <f>"2100L"</f>
        <v>2100L</v>
      </c>
      <c r="Q4865" t="str">
        <f t="shared" si="727"/>
        <v>0101</v>
      </c>
      <c r="R4865">
        <v>2100</v>
      </c>
      <c r="S4865" t="str">
        <f t="shared" si="731"/>
        <v>7150</v>
      </c>
      <c r="T4865" t="s">
        <v>4035</v>
      </c>
      <c r="U4865" t="s">
        <v>99</v>
      </c>
    </row>
    <row r="4866" spans="1:21" ht="15" customHeight="1" x14ac:dyDescent="0.3">
      <c r="A4866" t="s">
        <v>179</v>
      </c>
      <c r="B4866" t="str">
        <f>"00072156"</f>
        <v>00072156</v>
      </c>
      <c r="C4866" t="s">
        <v>3670</v>
      </c>
      <c r="H4866" t="s">
        <v>170</v>
      </c>
      <c r="I4866">
        <v>8</v>
      </c>
      <c r="J4866">
        <v>1</v>
      </c>
      <c r="K4866">
        <v>1</v>
      </c>
      <c r="L4866">
        <v>82397</v>
      </c>
      <c r="M4866" t="str">
        <f t="shared" si="729"/>
        <v>13</v>
      </c>
      <c r="N4866" t="s">
        <v>3323</v>
      </c>
      <c r="O4866" t="str">
        <f t="shared" si="726"/>
        <v>71511</v>
      </c>
      <c r="P4866" t="str">
        <f>"1501L"</f>
        <v>1501L</v>
      </c>
      <c r="Q4866" t="str">
        <f t="shared" si="727"/>
        <v>0101</v>
      </c>
      <c r="R4866">
        <v>1501</v>
      </c>
      <c r="S4866" t="str">
        <f t="shared" si="731"/>
        <v>7150</v>
      </c>
      <c r="T4866" t="s">
        <v>4035</v>
      </c>
      <c r="U4866" t="s">
        <v>99</v>
      </c>
    </row>
    <row r="4867" spans="1:21" ht="15" customHeight="1" x14ac:dyDescent="0.3">
      <c r="A4867" t="s">
        <v>179</v>
      </c>
      <c r="B4867" t="str">
        <f>"00072297"</f>
        <v>00072297</v>
      </c>
      <c r="C4867" t="s">
        <v>4253</v>
      </c>
      <c r="H4867" t="s">
        <v>170</v>
      </c>
      <c r="I4867">
        <v>15</v>
      </c>
      <c r="J4867">
        <v>1</v>
      </c>
      <c r="K4867">
        <v>1</v>
      </c>
      <c r="L4867">
        <v>54975</v>
      </c>
      <c r="M4867" t="str">
        <f t="shared" si="729"/>
        <v>13</v>
      </c>
      <c r="N4867" t="s">
        <v>3323</v>
      </c>
      <c r="O4867" t="str">
        <f t="shared" ref="O4867:O4882" si="732">"71511"</f>
        <v>71511</v>
      </c>
      <c r="P4867" t="str">
        <f t="shared" ref="P4867:P4873" si="733">"2100L"</f>
        <v>2100L</v>
      </c>
      <c r="Q4867" t="str">
        <f t="shared" ref="Q4867:Q4882" si="734">"0101"</f>
        <v>0101</v>
      </c>
      <c r="R4867">
        <v>2100</v>
      </c>
      <c r="S4867" t="str">
        <f t="shared" si="731"/>
        <v>7150</v>
      </c>
      <c r="T4867" t="s">
        <v>4035</v>
      </c>
      <c r="U4867" t="s">
        <v>99</v>
      </c>
    </row>
    <row r="4868" spans="1:21" ht="15" customHeight="1" x14ac:dyDescent="0.3">
      <c r="A4868" t="s">
        <v>179</v>
      </c>
      <c r="B4868" t="str">
        <f>"00072298"</f>
        <v>00072298</v>
      </c>
      <c r="C4868" t="s">
        <v>4257</v>
      </c>
      <c r="D4868" t="s">
        <v>814</v>
      </c>
      <c r="E4868" t="str">
        <f>"00062740"</f>
        <v>00062740</v>
      </c>
      <c r="F4868">
        <v>0</v>
      </c>
      <c r="G4868" s="243">
        <v>40406</v>
      </c>
      <c r="H4868" t="s">
        <v>182</v>
      </c>
      <c r="I4868">
        <v>15</v>
      </c>
      <c r="J4868">
        <v>2</v>
      </c>
      <c r="K4868">
        <v>1</v>
      </c>
      <c r="L4868">
        <v>56242</v>
      </c>
      <c r="M4868" t="str">
        <f t="shared" si="729"/>
        <v>13</v>
      </c>
      <c r="N4868" t="s">
        <v>3323</v>
      </c>
      <c r="O4868" t="str">
        <f t="shared" si="732"/>
        <v>71511</v>
      </c>
      <c r="P4868" t="str">
        <f t="shared" si="733"/>
        <v>2100L</v>
      </c>
      <c r="Q4868" t="str">
        <f t="shared" si="734"/>
        <v>0101</v>
      </c>
      <c r="R4868">
        <v>2100</v>
      </c>
      <c r="S4868" t="str">
        <f t="shared" si="731"/>
        <v>7150</v>
      </c>
      <c r="T4868" t="s">
        <v>4035</v>
      </c>
      <c r="U4868" t="s">
        <v>99</v>
      </c>
    </row>
    <row r="4869" spans="1:21" ht="15" customHeight="1" x14ac:dyDescent="0.3">
      <c r="A4869" t="s">
        <v>179</v>
      </c>
      <c r="B4869" t="str">
        <f>"00072432"</f>
        <v>00072432</v>
      </c>
      <c r="C4869" t="s">
        <v>4614</v>
      </c>
      <c r="D4869" t="s">
        <v>815</v>
      </c>
      <c r="E4869" t="str">
        <f>"00046790"</f>
        <v>00046790</v>
      </c>
      <c r="F4869">
        <v>0</v>
      </c>
      <c r="G4869" s="243">
        <v>38587</v>
      </c>
      <c r="H4869" t="s">
        <v>182</v>
      </c>
      <c r="I4869">
        <v>7</v>
      </c>
      <c r="J4869">
        <v>7</v>
      </c>
      <c r="K4869">
        <v>1</v>
      </c>
      <c r="L4869">
        <v>41514</v>
      </c>
      <c r="M4869" t="str">
        <f t="shared" si="729"/>
        <v>13</v>
      </c>
      <c r="N4869" t="s">
        <v>3323</v>
      </c>
      <c r="O4869" t="str">
        <f t="shared" si="732"/>
        <v>71511</v>
      </c>
      <c r="P4869" t="str">
        <f t="shared" si="733"/>
        <v>2100L</v>
      </c>
      <c r="Q4869" t="str">
        <f t="shared" si="734"/>
        <v>0101</v>
      </c>
      <c r="R4869">
        <v>2100</v>
      </c>
      <c r="S4869" t="str">
        <f t="shared" si="731"/>
        <v>7150</v>
      </c>
      <c r="T4869" t="s">
        <v>4035</v>
      </c>
      <c r="U4869" t="s">
        <v>99</v>
      </c>
    </row>
    <row r="4870" spans="1:21" ht="15" customHeight="1" x14ac:dyDescent="0.3">
      <c r="A4870" t="s">
        <v>179</v>
      </c>
      <c r="B4870" t="str">
        <f>"00072954"</f>
        <v>00072954</v>
      </c>
      <c r="C4870" t="s">
        <v>4262</v>
      </c>
      <c r="D4870" t="s">
        <v>4052</v>
      </c>
      <c r="E4870" t="str">
        <f>"00065887"</f>
        <v>00065887</v>
      </c>
      <c r="F4870">
        <v>0</v>
      </c>
      <c r="G4870" s="243">
        <v>40755</v>
      </c>
      <c r="H4870" t="s">
        <v>182</v>
      </c>
      <c r="I4870">
        <v>15</v>
      </c>
      <c r="J4870">
        <v>9</v>
      </c>
      <c r="K4870">
        <v>1</v>
      </c>
      <c r="L4870">
        <v>80147</v>
      </c>
      <c r="M4870" t="str">
        <f t="shared" si="729"/>
        <v>13</v>
      </c>
      <c r="N4870" t="s">
        <v>3323</v>
      </c>
      <c r="O4870" t="str">
        <f t="shared" si="732"/>
        <v>71511</v>
      </c>
      <c r="P4870" t="str">
        <f t="shared" si="733"/>
        <v>2100L</v>
      </c>
      <c r="Q4870" t="str">
        <f t="shared" si="734"/>
        <v>0101</v>
      </c>
      <c r="R4870">
        <v>2100</v>
      </c>
      <c r="S4870" t="str">
        <f t="shared" si="731"/>
        <v>7150</v>
      </c>
      <c r="T4870" t="s">
        <v>4035</v>
      </c>
      <c r="U4870" t="s">
        <v>99</v>
      </c>
    </row>
    <row r="4871" spans="1:21" ht="15" customHeight="1" x14ac:dyDescent="0.3">
      <c r="A4871" t="s">
        <v>179</v>
      </c>
      <c r="B4871" t="str">
        <f>"00074032"</f>
        <v>00074032</v>
      </c>
      <c r="C4871" t="s">
        <v>4253</v>
      </c>
      <c r="D4871" t="s">
        <v>4053</v>
      </c>
      <c r="E4871" t="str">
        <f>"00066239"</f>
        <v>00066239</v>
      </c>
      <c r="F4871">
        <v>0</v>
      </c>
      <c r="G4871" s="243">
        <v>40755</v>
      </c>
      <c r="H4871" t="s">
        <v>182</v>
      </c>
      <c r="I4871">
        <v>15</v>
      </c>
      <c r="J4871">
        <v>4</v>
      </c>
      <c r="K4871">
        <v>1</v>
      </c>
      <c r="L4871">
        <v>54725</v>
      </c>
      <c r="M4871" t="str">
        <f t="shared" si="729"/>
        <v>13</v>
      </c>
      <c r="N4871" t="s">
        <v>3323</v>
      </c>
      <c r="O4871" t="str">
        <f t="shared" si="732"/>
        <v>71511</v>
      </c>
      <c r="P4871" t="str">
        <f t="shared" si="733"/>
        <v>2100L</v>
      </c>
      <c r="Q4871" t="str">
        <f t="shared" si="734"/>
        <v>0101</v>
      </c>
      <c r="R4871">
        <v>2100</v>
      </c>
      <c r="S4871" t="str">
        <f t="shared" si="731"/>
        <v>7150</v>
      </c>
      <c r="T4871" t="s">
        <v>4035</v>
      </c>
      <c r="U4871" t="s">
        <v>99</v>
      </c>
    </row>
    <row r="4872" spans="1:21" ht="15" customHeight="1" x14ac:dyDescent="0.3">
      <c r="A4872" t="s">
        <v>179</v>
      </c>
      <c r="B4872" t="str">
        <f>"00074033"</f>
        <v>00074033</v>
      </c>
      <c r="C4872" t="s">
        <v>4260</v>
      </c>
      <c r="D4872" t="s">
        <v>4054</v>
      </c>
      <c r="E4872" t="str">
        <f>"00066310"</f>
        <v>00066310</v>
      </c>
      <c r="F4872">
        <v>0</v>
      </c>
      <c r="G4872" s="243">
        <v>40755</v>
      </c>
      <c r="H4872" t="s">
        <v>182</v>
      </c>
      <c r="I4872">
        <v>15</v>
      </c>
      <c r="J4872">
        <v>2</v>
      </c>
      <c r="K4872">
        <v>1</v>
      </c>
      <c r="L4872">
        <v>54099</v>
      </c>
      <c r="M4872" t="str">
        <f t="shared" si="729"/>
        <v>13</v>
      </c>
      <c r="N4872" t="s">
        <v>3323</v>
      </c>
      <c r="O4872" t="str">
        <f t="shared" si="732"/>
        <v>71511</v>
      </c>
      <c r="P4872" t="str">
        <f t="shared" si="733"/>
        <v>2100L</v>
      </c>
      <c r="Q4872" t="str">
        <f t="shared" si="734"/>
        <v>0101</v>
      </c>
      <c r="R4872">
        <v>2100</v>
      </c>
      <c r="S4872" t="str">
        <f t="shared" si="731"/>
        <v>7150</v>
      </c>
      <c r="T4872" t="s">
        <v>4035</v>
      </c>
      <c r="U4872" t="s">
        <v>99</v>
      </c>
    </row>
    <row r="4873" spans="1:21" ht="15" customHeight="1" x14ac:dyDescent="0.3">
      <c r="A4873" t="s">
        <v>179</v>
      </c>
      <c r="B4873" t="str">
        <f>"00074194"</f>
        <v>00074194</v>
      </c>
      <c r="C4873" t="s">
        <v>200</v>
      </c>
      <c r="D4873" t="s">
        <v>4038</v>
      </c>
      <c r="E4873" t="str">
        <f>"00054036"</f>
        <v>00054036</v>
      </c>
      <c r="F4873">
        <v>0</v>
      </c>
      <c r="G4873" s="243">
        <v>31133</v>
      </c>
      <c r="H4873" t="s">
        <v>182</v>
      </c>
      <c r="I4873">
        <v>15</v>
      </c>
      <c r="J4873">
        <v>16</v>
      </c>
      <c r="K4873">
        <v>1</v>
      </c>
      <c r="L4873">
        <v>106540</v>
      </c>
      <c r="M4873" t="str">
        <f t="shared" si="729"/>
        <v>13</v>
      </c>
      <c r="N4873" t="s">
        <v>3323</v>
      </c>
      <c r="O4873" t="str">
        <f t="shared" si="732"/>
        <v>71511</v>
      </c>
      <c r="P4873" t="str">
        <f t="shared" si="733"/>
        <v>2100L</v>
      </c>
      <c r="Q4873" t="str">
        <f t="shared" si="734"/>
        <v>0101</v>
      </c>
      <c r="R4873">
        <v>2100</v>
      </c>
      <c r="S4873" t="str">
        <f t="shared" si="731"/>
        <v>7150</v>
      </c>
      <c r="T4873" t="s">
        <v>4035</v>
      </c>
      <c r="U4873" t="s">
        <v>99</v>
      </c>
    </row>
    <row r="4874" spans="1:21" ht="15" customHeight="1" x14ac:dyDescent="0.3">
      <c r="A4874" t="s">
        <v>179</v>
      </c>
      <c r="B4874" t="str">
        <f>"00074451"</f>
        <v>00074451</v>
      </c>
      <c r="C4874" t="s">
        <v>4260</v>
      </c>
      <c r="D4874" t="s">
        <v>4055</v>
      </c>
      <c r="E4874" t="str">
        <f>"00065626"</f>
        <v>00065626</v>
      </c>
      <c r="F4874">
        <v>0</v>
      </c>
      <c r="G4874" s="243">
        <v>40756</v>
      </c>
      <c r="H4874" t="s">
        <v>182</v>
      </c>
      <c r="I4874">
        <v>15</v>
      </c>
      <c r="J4874">
        <v>8</v>
      </c>
      <c r="K4874">
        <v>1</v>
      </c>
      <c r="L4874">
        <v>72171</v>
      </c>
      <c r="M4874" t="str">
        <f t="shared" si="729"/>
        <v>13</v>
      </c>
      <c r="N4874" t="s">
        <v>3323</v>
      </c>
      <c r="O4874" t="str">
        <f t="shared" si="732"/>
        <v>71511</v>
      </c>
      <c r="P4874" t="str">
        <f>"3030L"</f>
        <v>3030L</v>
      </c>
      <c r="Q4874" t="str">
        <f t="shared" si="734"/>
        <v>0101</v>
      </c>
      <c r="R4874">
        <v>3030</v>
      </c>
      <c r="S4874" t="str">
        <f t="shared" si="731"/>
        <v>7150</v>
      </c>
      <c r="T4874" t="s">
        <v>4035</v>
      </c>
      <c r="U4874" t="s">
        <v>99</v>
      </c>
    </row>
    <row r="4875" spans="1:21" ht="15" customHeight="1" x14ac:dyDescent="0.3">
      <c r="A4875" t="s">
        <v>179</v>
      </c>
      <c r="B4875" t="str">
        <f>"00074596"</f>
        <v>00074596</v>
      </c>
      <c r="C4875" t="s">
        <v>4263</v>
      </c>
      <c r="D4875" t="s">
        <v>4051</v>
      </c>
      <c r="E4875" t="str">
        <f>"00031789"</f>
        <v>00031789</v>
      </c>
      <c r="F4875">
        <v>0</v>
      </c>
      <c r="G4875" s="243">
        <v>40756</v>
      </c>
      <c r="H4875" t="s">
        <v>182</v>
      </c>
      <c r="I4875">
        <v>15</v>
      </c>
      <c r="J4875">
        <v>10</v>
      </c>
      <c r="K4875">
        <v>1</v>
      </c>
      <c r="L4875">
        <v>78273</v>
      </c>
      <c r="M4875" t="str">
        <f t="shared" si="729"/>
        <v>13</v>
      </c>
      <c r="N4875" t="s">
        <v>3370</v>
      </c>
      <c r="O4875" t="str">
        <f t="shared" si="732"/>
        <v>71511</v>
      </c>
      <c r="P4875" t="str">
        <f t="shared" ref="P4875:P4880" si="735">"2100L"</f>
        <v>2100L</v>
      </c>
      <c r="Q4875" t="str">
        <f t="shared" si="734"/>
        <v>0101</v>
      </c>
      <c r="R4875">
        <v>2100</v>
      </c>
      <c r="S4875" t="str">
        <f t="shared" si="731"/>
        <v>7150</v>
      </c>
      <c r="T4875" t="s">
        <v>4035</v>
      </c>
      <c r="U4875" t="s">
        <v>99</v>
      </c>
    </row>
    <row r="4876" spans="1:21" ht="15" customHeight="1" x14ac:dyDescent="0.3">
      <c r="A4876" t="s">
        <v>179</v>
      </c>
      <c r="B4876" t="str">
        <f>"00074597"</f>
        <v>00074597</v>
      </c>
      <c r="C4876" t="s">
        <v>4253</v>
      </c>
      <c r="D4876" t="s">
        <v>4056</v>
      </c>
      <c r="E4876" t="str">
        <f>"00065731"</f>
        <v>00065731</v>
      </c>
      <c r="F4876">
        <v>0</v>
      </c>
      <c r="G4876" s="243">
        <v>40755</v>
      </c>
      <c r="H4876" t="s">
        <v>182</v>
      </c>
      <c r="I4876">
        <v>15</v>
      </c>
      <c r="J4876">
        <v>11</v>
      </c>
      <c r="K4876">
        <v>1</v>
      </c>
      <c r="L4876">
        <v>81335</v>
      </c>
      <c r="M4876" t="str">
        <f t="shared" si="729"/>
        <v>13</v>
      </c>
      <c r="N4876" t="s">
        <v>3323</v>
      </c>
      <c r="O4876" t="str">
        <f t="shared" si="732"/>
        <v>71511</v>
      </c>
      <c r="P4876" t="str">
        <f t="shared" si="735"/>
        <v>2100L</v>
      </c>
      <c r="Q4876" t="str">
        <f t="shared" si="734"/>
        <v>0101</v>
      </c>
      <c r="R4876">
        <v>2100</v>
      </c>
      <c r="S4876" t="str">
        <f t="shared" si="731"/>
        <v>7150</v>
      </c>
      <c r="T4876" t="s">
        <v>4035</v>
      </c>
      <c r="U4876" t="s">
        <v>99</v>
      </c>
    </row>
    <row r="4877" spans="1:21" ht="15" customHeight="1" x14ac:dyDescent="0.3">
      <c r="A4877" t="s">
        <v>179</v>
      </c>
      <c r="B4877" t="str">
        <f>"00074751"</f>
        <v>00074751</v>
      </c>
      <c r="C4877" t="s">
        <v>4253</v>
      </c>
      <c r="D4877" t="s">
        <v>5760</v>
      </c>
      <c r="E4877" t="str">
        <f>"00069847"</f>
        <v>00069847</v>
      </c>
      <c r="F4877">
        <v>0</v>
      </c>
      <c r="G4877" s="243">
        <v>41133</v>
      </c>
      <c r="H4877" t="s">
        <v>182</v>
      </c>
      <c r="I4877">
        <v>15</v>
      </c>
      <c r="J4877">
        <v>10</v>
      </c>
      <c r="K4877">
        <v>1</v>
      </c>
      <c r="L4877">
        <v>83199</v>
      </c>
      <c r="M4877" t="str">
        <f t="shared" si="729"/>
        <v>13</v>
      </c>
      <c r="N4877" t="s">
        <v>3370</v>
      </c>
      <c r="O4877" t="str">
        <f t="shared" si="732"/>
        <v>71511</v>
      </c>
      <c r="P4877" t="str">
        <f t="shared" si="735"/>
        <v>2100L</v>
      </c>
      <c r="Q4877" t="str">
        <f t="shared" si="734"/>
        <v>0101</v>
      </c>
      <c r="R4877">
        <v>2100</v>
      </c>
      <c r="S4877" t="str">
        <f t="shared" si="731"/>
        <v>7150</v>
      </c>
      <c r="T4877" t="s">
        <v>4035</v>
      </c>
      <c r="U4877" t="s">
        <v>99</v>
      </c>
    </row>
    <row r="4878" spans="1:21" ht="15" customHeight="1" x14ac:dyDescent="0.3">
      <c r="A4878" t="s">
        <v>179</v>
      </c>
      <c r="B4878" t="str">
        <f>"00074834"</f>
        <v>00074834</v>
      </c>
      <c r="C4878" t="s">
        <v>4255</v>
      </c>
      <c r="H4878" t="s">
        <v>170</v>
      </c>
      <c r="I4878">
        <v>15</v>
      </c>
      <c r="J4878">
        <v>1</v>
      </c>
      <c r="K4878">
        <v>1</v>
      </c>
      <c r="L4878">
        <v>54975</v>
      </c>
      <c r="M4878" t="str">
        <f t="shared" si="729"/>
        <v>13</v>
      </c>
      <c r="N4878" t="s">
        <v>3323</v>
      </c>
      <c r="O4878" t="str">
        <f t="shared" si="732"/>
        <v>71511</v>
      </c>
      <c r="P4878" t="str">
        <f t="shared" si="735"/>
        <v>2100L</v>
      </c>
      <c r="Q4878" t="str">
        <f t="shared" si="734"/>
        <v>0101</v>
      </c>
      <c r="R4878">
        <v>2100</v>
      </c>
      <c r="S4878" t="str">
        <f t="shared" si="731"/>
        <v>7150</v>
      </c>
      <c r="T4878" t="s">
        <v>4035</v>
      </c>
      <c r="U4878" t="s">
        <v>99</v>
      </c>
    </row>
    <row r="4879" spans="1:21" ht="15" customHeight="1" x14ac:dyDescent="0.3">
      <c r="A4879" t="s">
        <v>179</v>
      </c>
      <c r="B4879" t="str">
        <f>"00075987"</f>
        <v>00075987</v>
      </c>
      <c r="C4879" t="s">
        <v>4438</v>
      </c>
      <c r="H4879" t="s">
        <v>170</v>
      </c>
      <c r="I4879">
        <v>11</v>
      </c>
      <c r="J4879">
        <v>0</v>
      </c>
      <c r="K4879">
        <v>1</v>
      </c>
      <c r="L4879">
        <v>60779</v>
      </c>
      <c r="M4879" t="str">
        <f t="shared" si="729"/>
        <v>13</v>
      </c>
      <c r="N4879" t="s">
        <v>3323</v>
      </c>
      <c r="O4879" t="str">
        <f t="shared" si="732"/>
        <v>71511</v>
      </c>
      <c r="P4879" t="str">
        <f t="shared" si="735"/>
        <v>2100L</v>
      </c>
      <c r="Q4879" t="str">
        <f t="shared" si="734"/>
        <v>0101</v>
      </c>
      <c r="R4879">
        <v>2100</v>
      </c>
      <c r="S4879" t="str">
        <f t="shared" si="731"/>
        <v>7150</v>
      </c>
      <c r="T4879" t="s">
        <v>4035</v>
      </c>
      <c r="U4879" t="s">
        <v>99</v>
      </c>
    </row>
    <row r="4880" spans="1:21" ht="15" customHeight="1" x14ac:dyDescent="0.3">
      <c r="A4880" t="s">
        <v>179</v>
      </c>
      <c r="B4880" t="str">
        <f>"00075988"</f>
        <v>00075988</v>
      </c>
      <c r="C4880" t="s">
        <v>5761</v>
      </c>
      <c r="H4880" t="s">
        <v>170</v>
      </c>
      <c r="I4880">
        <v>15</v>
      </c>
      <c r="J4880">
        <v>0</v>
      </c>
      <c r="K4880">
        <v>0.5</v>
      </c>
      <c r="L4880">
        <v>56693</v>
      </c>
      <c r="M4880" t="str">
        <f t="shared" si="729"/>
        <v>13</v>
      </c>
      <c r="N4880" t="s">
        <v>3323</v>
      </c>
      <c r="O4880" t="str">
        <f t="shared" si="732"/>
        <v>71511</v>
      </c>
      <c r="P4880" t="str">
        <f t="shared" si="735"/>
        <v>2100L</v>
      </c>
      <c r="Q4880" t="str">
        <f t="shared" si="734"/>
        <v>0101</v>
      </c>
      <c r="R4880">
        <v>2100</v>
      </c>
      <c r="S4880" t="str">
        <f t="shared" si="731"/>
        <v>7150</v>
      </c>
      <c r="T4880" t="s">
        <v>4035</v>
      </c>
      <c r="U4880" t="s">
        <v>99</v>
      </c>
    </row>
    <row r="4881" spans="1:21" ht="15" customHeight="1" x14ac:dyDescent="0.3">
      <c r="A4881" t="s">
        <v>179</v>
      </c>
      <c r="B4881" t="str">
        <f>"00076491"</f>
        <v>00076491</v>
      </c>
      <c r="C4881" t="s">
        <v>4262</v>
      </c>
      <c r="H4881" t="s">
        <v>170</v>
      </c>
      <c r="I4881">
        <v>15</v>
      </c>
      <c r="J4881">
        <v>0</v>
      </c>
      <c r="K4881">
        <v>1</v>
      </c>
      <c r="L4881">
        <v>51539</v>
      </c>
      <c r="M4881" t="str">
        <f t="shared" si="729"/>
        <v>13</v>
      </c>
      <c r="N4881" t="s">
        <v>3370</v>
      </c>
      <c r="O4881" t="str">
        <f t="shared" si="732"/>
        <v>71511</v>
      </c>
      <c r="P4881" t="str">
        <f>"2300L"</f>
        <v>2300L</v>
      </c>
      <c r="Q4881" t="str">
        <f t="shared" si="734"/>
        <v>0101</v>
      </c>
      <c r="R4881">
        <v>2300</v>
      </c>
      <c r="S4881" t="str">
        <f t="shared" si="731"/>
        <v>7150</v>
      </c>
      <c r="T4881" t="s">
        <v>4035</v>
      </c>
      <c r="U4881" t="s">
        <v>99</v>
      </c>
    </row>
    <row r="4882" spans="1:21" ht="15" customHeight="1" x14ac:dyDescent="0.3">
      <c r="A4882" t="s">
        <v>179</v>
      </c>
      <c r="B4882" t="str">
        <f>"00076492"</f>
        <v>00076492</v>
      </c>
      <c r="C4882" t="s">
        <v>4262</v>
      </c>
      <c r="H4882" t="s">
        <v>170</v>
      </c>
      <c r="I4882">
        <v>15</v>
      </c>
      <c r="J4882">
        <v>0</v>
      </c>
      <c r="K4882">
        <v>1</v>
      </c>
      <c r="L4882">
        <v>51539</v>
      </c>
      <c r="M4882" t="str">
        <f t="shared" si="729"/>
        <v>13</v>
      </c>
      <c r="N4882" t="s">
        <v>3370</v>
      </c>
      <c r="O4882" t="str">
        <f t="shared" si="732"/>
        <v>71511</v>
      </c>
      <c r="P4882" t="str">
        <f>"2300L"</f>
        <v>2300L</v>
      </c>
      <c r="Q4882" t="str">
        <f t="shared" si="734"/>
        <v>0101</v>
      </c>
      <c r="R4882">
        <v>2300</v>
      </c>
      <c r="S4882" t="str">
        <f t="shared" si="731"/>
        <v>7150</v>
      </c>
      <c r="T4882" t="s">
        <v>4035</v>
      </c>
      <c r="U4882" t="s">
        <v>99</v>
      </c>
    </row>
    <row r="4883" spans="1:21" ht="15" customHeight="1" x14ac:dyDescent="0.3">
      <c r="A4883" t="s">
        <v>179</v>
      </c>
      <c r="B4883" t="str">
        <f>"00076570"</f>
        <v>00076570</v>
      </c>
      <c r="C4883" t="s">
        <v>5657</v>
      </c>
      <c r="D4883" t="s">
        <v>5762</v>
      </c>
      <c r="E4883" t="str">
        <f>"00070165"</f>
        <v>00070165</v>
      </c>
      <c r="F4883">
        <v>0</v>
      </c>
      <c r="G4883" s="243">
        <v>41148</v>
      </c>
      <c r="H4883" t="s">
        <v>182</v>
      </c>
      <c r="I4883">
        <v>15</v>
      </c>
      <c r="J4883">
        <v>13</v>
      </c>
      <c r="K4883">
        <v>1</v>
      </c>
      <c r="L4883">
        <v>83018</v>
      </c>
      <c r="M4883" t="str">
        <f t="shared" si="729"/>
        <v>13</v>
      </c>
      <c r="N4883" t="s">
        <v>3370</v>
      </c>
      <c r="O4883" t="str">
        <f>"71582"</f>
        <v>71582</v>
      </c>
      <c r="P4883" t="str">
        <f>"5700S"</f>
        <v>5700S</v>
      </c>
      <c r="Q4883" t="str">
        <f>"0602"</f>
        <v>0602</v>
      </c>
      <c r="R4883">
        <v>5700</v>
      </c>
      <c r="S4883" t="str">
        <f t="shared" si="731"/>
        <v>7150</v>
      </c>
      <c r="T4883" t="s">
        <v>4035</v>
      </c>
      <c r="U4883" t="s">
        <v>99</v>
      </c>
    </row>
    <row r="4884" spans="1:21" ht="15" customHeight="1" x14ac:dyDescent="0.3">
      <c r="A4884" t="s">
        <v>179</v>
      </c>
      <c r="B4884" t="str">
        <f>"00051787"</f>
        <v>00051787</v>
      </c>
      <c r="C4884" t="s">
        <v>4266</v>
      </c>
      <c r="D4884" t="s">
        <v>654</v>
      </c>
      <c r="E4884" t="str">
        <f>"00045900"</f>
        <v>00045900</v>
      </c>
      <c r="F4884">
        <v>0</v>
      </c>
      <c r="G4884" s="243">
        <v>33637</v>
      </c>
      <c r="H4884" t="s">
        <v>182</v>
      </c>
      <c r="I4884">
        <v>15</v>
      </c>
      <c r="J4884">
        <v>16</v>
      </c>
      <c r="K4884">
        <v>1</v>
      </c>
      <c r="L4884">
        <v>100839</v>
      </c>
      <c r="M4884" t="str">
        <f t="shared" si="729"/>
        <v>13</v>
      </c>
      <c r="N4884" t="s">
        <v>3323</v>
      </c>
      <c r="O4884" t="str">
        <f>"71611"</f>
        <v>71611</v>
      </c>
      <c r="P4884" t="str">
        <f>"2300L"</f>
        <v>2300L</v>
      </c>
      <c r="Q4884" t="str">
        <f>"0101"</f>
        <v>0101</v>
      </c>
      <c r="R4884">
        <v>2300</v>
      </c>
      <c r="S4884" t="str">
        <f t="shared" ref="S4884:S4911" si="736">"7160"</f>
        <v>7160</v>
      </c>
      <c r="T4884" t="s">
        <v>3836</v>
      </c>
      <c r="U4884" t="s">
        <v>100</v>
      </c>
    </row>
    <row r="4885" spans="1:21" ht="15" customHeight="1" x14ac:dyDescent="0.3">
      <c r="A4885" t="s">
        <v>179</v>
      </c>
      <c r="B4885" t="str">
        <f>"00051819"</f>
        <v>00051819</v>
      </c>
      <c r="C4885" t="s">
        <v>5657</v>
      </c>
      <c r="D4885" t="s">
        <v>656</v>
      </c>
      <c r="E4885" t="str">
        <f>"00046086"</f>
        <v>00046086</v>
      </c>
      <c r="F4885">
        <v>0</v>
      </c>
      <c r="G4885" s="243">
        <v>34610</v>
      </c>
      <c r="H4885" t="s">
        <v>182</v>
      </c>
      <c r="I4885">
        <v>15</v>
      </c>
      <c r="J4885">
        <v>9</v>
      </c>
      <c r="K4885">
        <v>0.5</v>
      </c>
      <c r="L4885">
        <v>76146</v>
      </c>
      <c r="M4885" t="str">
        <f t="shared" si="729"/>
        <v>13</v>
      </c>
      <c r="N4885" t="s">
        <v>3323</v>
      </c>
      <c r="O4885" t="str">
        <f>"71682"</f>
        <v>71682</v>
      </c>
      <c r="P4885" t="str">
        <f>"5700S"</f>
        <v>5700S</v>
      </c>
      <c r="Q4885" t="str">
        <f>"0602"</f>
        <v>0602</v>
      </c>
      <c r="R4885">
        <v>5700</v>
      </c>
      <c r="S4885" t="str">
        <f t="shared" si="736"/>
        <v>7160</v>
      </c>
      <c r="T4885" t="s">
        <v>3836</v>
      </c>
      <c r="U4885" t="s">
        <v>100</v>
      </c>
    </row>
    <row r="4886" spans="1:21" ht="15" customHeight="1" x14ac:dyDescent="0.3">
      <c r="A4886" t="s">
        <v>179</v>
      </c>
      <c r="B4886" t="str">
        <f>"00051819"</f>
        <v>00051819</v>
      </c>
      <c r="C4886" t="s">
        <v>5657</v>
      </c>
      <c r="D4886" t="s">
        <v>656</v>
      </c>
      <c r="E4886" t="str">
        <f>"00046086"</f>
        <v>00046086</v>
      </c>
      <c r="F4886">
        <v>0</v>
      </c>
      <c r="G4886" s="243">
        <v>34610</v>
      </c>
      <c r="H4886" t="s">
        <v>182</v>
      </c>
      <c r="I4886">
        <v>15</v>
      </c>
      <c r="J4886">
        <v>9</v>
      </c>
      <c r="K4886">
        <v>0.5</v>
      </c>
      <c r="L4886">
        <v>76146</v>
      </c>
      <c r="M4886" t="str">
        <f t="shared" si="729"/>
        <v>13</v>
      </c>
      <c r="N4886" t="s">
        <v>3323</v>
      </c>
      <c r="O4886" t="str">
        <f>"71611"</f>
        <v>71611</v>
      </c>
      <c r="P4886" t="str">
        <f>"5700L"</f>
        <v>5700L</v>
      </c>
      <c r="Q4886" t="str">
        <f>"0101"</f>
        <v>0101</v>
      </c>
      <c r="R4886">
        <v>5700</v>
      </c>
      <c r="S4886" t="str">
        <f t="shared" si="736"/>
        <v>7160</v>
      </c>
      <c r="T4886" t="s">
        <v>3836</v>
      </c>
      <c r="U4886" t="s">
        <v>100</v>
      </c>
    </row>
    <row r="4887" spans="1:21" ht="15" customHeight="1" x14ac:dyDescent="0.3">
      <c r="A4887" t="s">
        <v>179</v>
      </c>
      <c r="B4887" t="str">
        <f>"00052028"</f>
        <v>00052028</v>
      </c>
      <c r="C4887" t="s">
        <v>4306</v>
      </c>
      <c r="D4887" t="s">
        <v>5763</v>
      </c>
      <c r="E4887" t="str">
        <f>"00047010"</f>
        <v>00047010</v>
      </c>
      <c r="F4887">
        <v>0</v>
      </c>
      <c r="G4887" s="243">
        <v>36609</v>
      </c>
      <c r="H4887" t="s">
        <v>182</v>
      </c>
      <c r="I4887">
        <v>9</v>
      </c>
      <c r="J4887">
        <v>7</v>
      </c>
      <c r="K4887">
        <v>1</v>
      </c>
      <c r="L4887">
        <v>39541</v>
      </c>
      <c r="M4887" t="str">
        <f t="shared" si="729"/>
        <v>13</v>
      </c>
      <c r="N4887" t="s">
        <v>3323</v>
      </c>
      <c r="O4887" t="str">
        <f>"71611"</f>
        <v>71611</v>
      </c>
      <c r="P4887" t="str">
        <f>"1502L"</f>
        <v>1502L</v>
      </c>
      <c r="Q4887" t="str">
        <f>"0101"</f>
        <v>0101</v>
      </c>
      <c r="R4887">
        <v>1502</v>
      </c>
      <c r="S4887" t="str">
        <f t="shared" si="736"/>
        <v>7160</v>
      </c>
      <c r="T4887" t="s">
        <v>3836</v>
      </c>
      <c r="U4887" t="s">
        <v>100</v>
      </c>
    </row>
    <row r="4888" spans="1:21" ht="15" customHeight="1" x14ac:dyDescent="0.3">
      <c r="A4888" t="s">
        <v>179</v>
      </c>
      <c r="B4888" t="str">
        <f>"00052188"</f>
        <v>00052188</v>
      </c>
      <c r="C4888" t="s">
        <v>4253</v>
      </c>
      <c r="D4888" t="s">
        <v>657</v>
      </c>
      <c r="E4888" t="str">
        <f>"00008659"</f>
        <v>00008659</v>
      </c>
      <c r="F4888">
        <v>2</v>
      </c>
      <c r="G4888" s="243">
        <v>25937</v>
      </c>
      <c r="H4888" t="s">
        <v>182</v>
      </c>
      <c r="I4888">
        <v>15</v>
      </c>
      <c r="J4888">
        <v>16</v>
      </c>
      <c r="K4888">
        <v>1</v>
      </c>
      <c r="L4888">
        <v>106540</v>
      </c>
      <c r="M4888" t="str">
        <f t="shared" si="729"/>
        <v>13</v>
      </c>
      <c r="N4888" t="s">
        <v>3323</v>
      </c>
      <c r="O4888" t="str">
        <f>"71611"</f>
        <v>71611</v>
      </c>
      <c r="P4888" t="str">
        <f>"2100L"</f>
        <v>2100L</v>
      </c>
      <c r="Q4888" t="str">
        <f>"0101"</f>
        <v>0101</v>
      </c>
      <c r="R4888">
        <v>2100</v>
      </c>
      <c r="S4888" t="str">
        <f t="shared" si="736"/>
        <v>7160</v>
      </c>
      <c r="T4888" t="s">
        <v>3836</v>
      </c>
      <c r="U4888" t="s">
        <v>100</v>
      </c>
    </row>
    <row r="4889" spans="1:21" ht="15" customHeight="1" x14ac:dyDescent="0.3">
      <c r="A4889" t="s">
        <v>179</v>
      </c>
      <c r="B4889" t="str">
        <f>"00052268"</f>
        <v>00052268</v>
      </c>
      <c r="C4889" t="s">
        <v>5657</v>
      </c>
      <c r="D4889" t="s">
        <v>698</v>
      </c>
      <c r="E4889" t="str">
        <f>"00047870"</f>
        <v>00047870</v>
      </c>
      <c r="F4889">
        <v>0</v>
      </c>
      <c r="G4889" s="243">
        <v>35354</v>
      </c>
      <c r="H4889" t="s">
        <v>182</v>
      </c>
      <c r="I4889">
        <v>15</v>
      </c>
      <c r="J4889">
        <v>19</v>
      </c>
      <c r="K4889">
        <v>0.5</v>
      </c>
      <c r="L4889">
        <v>97031</v>
      </c>
      <c r="M4889" t="str">
        <f t="shared" si="729"/>
        <v>13</v>
      </c>
      <c r="N4889" t="s">
        <v>3323</v>
      </c>
      <c r="O4889" t="str">
        <f>"71611"</f>
        <v>71611</v>
      </c>
      <c r="P4889" t="str">
        <f>"5700L"</f>
        <v>5700L</v>
      </c>
      <c r="Q4889" t="str">
        <f>"0101"</f>
        <v>0101</v>
      </c>
      <c r="R4889">
        <v>5700</v>
      </c>
      <c r="S4889" t="str">
        <f t="shared" si="736"/>
        <v>7160</v>
      </c>
      <c r="T4889" t="s">
        <v>3836</v>
      </c>
      <c r="U4889" t="s">
        <v>100</v>
      </c>
    </row>
    <row r="4890" spans="1:21" ht="15" customHeight="1" x14ac:dyDescent="0.3">
      <c r="A4890" t="s">
        <v>179</v>
      </c>
      <c r="B4890" t="str">
        <f>"00052268"</f>
        <v>00052268</v>
      </c>
      <c r="C4890" t="s">
        <v>5657</v>
      </c>
      <c r="D4890" t="s">
        <v>698</v>
      </c>
      <c r="E4890" t="str">
        <f>"00047870"</f>
        <v>00047870</v>
      </c>
      <c r="F4890">
        <v>0</v>
      </c>
      <c r="G4890" s="243">
        <v>35354</v>
      </c>
      <c r="H4890" t="s">
        <v>182</v>
      </c>
      <c r="I4890">
        <v>15</v>
      </c>
      <c r="J4890">
        <v>19</v>
      </c>
      <c r="K4890">
        <v>0.5</v>
      </c>
      <c r="L4890">
        <v>97031</v>
      </c>
      <c r="M4890" t="str">
        <f t="shared" si="729"/>
        <v>13</v>
      </c>
      <c r="N4890" t="s">
        <v>3323</v>
      </c>
      <c r="O4890" t="str">
        <f>"71682"</f>
        <v>71682</v>
      </c>
      <c r="P4890" t="str">
        <f>"5700S"</f>
        <v>5700S</v>
      </c>
      <c r="Q4890" t="str">
        <f>"0602"</f>
        <v>0602</v>
      </c>
      <c r="R4890">
        <v>5700</v>
      </c>
      <c r="S4890" t="str">
        <f t="shared" si="736"/>
        <v>7160</v>
      </c>
      <c r="T4890" t="s">
        <v>3836</v>
      </c>
      <c r="U4890" t="s">
        <v>100</v>
      </c>
    </row>
    <row r="4891" spans="1:21" ht="15" customHeight="1" x14ac:dyDescent="0.3">
      <c r="A4891" t="s">
        <v>179</v>
      </c>
      <c r="B4891" t="str">
        <f>"00052283"</f>
        <v>00052283</v>
      </c>
      <c r="C4891" t="s">
        <v>4263</v>
      </c>
      <c r="D4891" t="s">
        <v>658</v>
      </c>
      <c r="E4891" t="str">
        <f>"00047915"</f>
        <v>00047915</v>
      </c>
      <c r="F4891">
        <v>0</v>
      </c>
      <c r="G4891" s="243">
        <v>26582</v>
      </c>
      <c r="H4891" t="s">
        <v>182</v>
      </c>
      <c r="I4891">
        <v>15</v>
      </c>
      <c r="J4891">
        <v>16</v>
      </c>
      <c r="K4891">
        <v>1</v>
      </c>
      <c r="L4891">
        <v>103347</v>
      </c>
      <c r="M4891" t="str">
        <f t="shared" si="729"/>
        <v>13</v>
      </c>
      <c r="N4891" t="s">
        <v>3323</v>
      </c>
      <c r="O4891" t="str">
        <f t="shared" ref="O4891:O4918" si="737">"71611"</f>
        <v>71611</v>
      </c>
      <c r="P4891" t="str">
        <f>"2100L"</f>
        <v>2100L</v>
      </c>
      <c r="Q4891" t="str">
        <f t="shared" ref="Q4891:Q4918" si="738">"0101"</f>
        <v>0101</v>
      </c>
      <c r="R4891">
        <v>2100</v>
      </c>
      <c r="S4891" t="str">
        <f t="shared" si="736"/>
        <v>7160</v>
      </c>
      <c r="T4891" t="s">
        <v>3836</v>
      </c>
      <c r="U4891" t="s">
        <v>100</v>
      </c>
    </row>
    <row r="4892" spans="1:21" ht="15" customHeight="1" x14ac:dyDescent="0.3">
      <c r="A4892" t="s">
        <v>179</v>
      </c>
      <c r="B4892" t="str">
        <f>"00052498"</f>
        <v>00052498</v>
      </c>
      <c r="C4892" t="s">
        <v>4260</v>
      </c>
      <c r="D4892" t="s">
        <v>659</v>
      </c>
      <c r="E4892" t="str">
        <f>"00048405"</f>
        <v>00048405</v>
      </c>
      <c r="F4892">
        <v>0</v>
      </c>
      <c r="G4892" s="243">
        <v>32050</v>
      </c>
      <c r="H4892" t="s">
        <v>182</v>
      </c>
      <c r="I4892">
        <v>15</v>
      </c>
      <c r="J4892">
        <v>16</v>
      </c>
      <c r="K4892">
        <v>1</v>
      </c>
      <c r="L4892">
        <v>100839</v>
      </c>
      <c r="M4892" t="str">
        <f t="shared" si="729"/>
        <v>13</v>
      </c>
      <c r="N4892" t="s">
        <v>3323</v>
      </c>
      <c r="O4892" t="str">
        <f t="shared" si="737"/>
        <v>71611</v>
      </c>
      <c r="P4892" t="str">
        <f>"2100L"</f>
        <v>2100L</v>
      </c>
      <c r="Q4892" t="str">
        <f t="shared" si="738"/>
        <v>0101</v>
      </c>
      <c r="R4892">
        <v>2100</v>
      </c>
      <c r="S4892" t="str">
        <f t="shared" si="736"/>
        <v>7160</v>
      </c>
      <c r="T4892" t="s">
        <v>3836</v>
      </c>
      <c r="U4892" t="s">
        <v>100</v>
      </c>
    </row>
    <row r="4893" spans="1:21" ht="15" customHeight="1" x14ac:dyDescent="0.3">
      <c r="A4893" t="s">
        <v>179</v>
      </c>
      <c r="B4893" t="str">
        <f>"00052618"</f>
        <v>00052618</v>
      </c>
      <c r="C4893" t="s">
        <v>4253</v>
      </c>
      <c r="D4893" t="s">
        <v>660</v>
      </c>
      <c r="E4893" t="str">
        <f>"00011142"</f>
        <v>00011142</v>
      </c>
      <c r="F4893">
        <v>1</v>
      </c>
      <c r="G4893" s="243">
        <v>32069</v>
      </c>
      <c r="H4893" t="s">
        <v>182</v>
      </c>
      <c r="I4893">
        <v>15</v>
      </c>
      <c r="J4893">
        <v>16</v>
      </c>
      <c r="K4893">
        <v>1</v>
      </c>
      <c r="L4893">
        <v>100839</v>
      </c>
      <c r="M4893" t="str">
        <f t="shared" si="729"/>
        <v>13</v>
      </c>
      <c r="N4893" t="s">
        <v>3323</v>
      </c>
      <c r="O4893" t="str">
        <f t="shared" si="737"/>
        <v>71611</v>
      </c>
      <c r="P4893" t="str">
        <f>"2100L"</f>
        <v>2100L</v>
      </c>
      <c r="Q4893" t="str">
        <f t="shared" si="738"/>
        <v>0101</v>
      </c>
      <c r="R4893">
        <v>2100</v>
      </c>
      <c r="S4893" t="str">
        <f t="shared" si="736"/>
        <v>7160</v>
      </c>
      <c r="T4893" t="s">
        <v>3836</v>
      </c>
      <c r="U4893" t="s">
        <v>100</v>
      </c>
    </row>
    <row r="4894" spans="1:21" ht="15" customHeight="1" x14ac:dyDescent="0.3">
      <c r="A4894" t="s">
        <v>179</v>
      </c>
      <c r="B4894" t="str">
        <f>"00052647"</f>
        <v>00052647</v>
      </c>
      <c r="C4894" t="s">
        <v>4253</v>
      </c>
      <c r="D4894" t="s">
        <v>661</v>
      </c>
      <c r="E4894" t="str">
        <f>"00048776"</f>
        <v>00048776</v>
      </c>
      <c r="F4894">
        <v>0</v>
      </c>
      <c r="G4894" s="243">
        <v>32050</v>
      </c>
      <c r="H4894" t="s">
        <v>182</v>
      </c>
      <c r="I4894">
        <v>15</v>
      </c>
      <c r="J4894">
        <v>16</v>
      </c>
      <c r="K4894">
        <v>1</v>
      </c>
      <c r="L4894">
        <v>106540</v>
      </c>
      <c r="M4894" t="str">
        <f t="shared" si="729"/>
        <v>13</v>
      </c>
      <c r="N4894" t="s">
        <v>3323</v>
      </c>
      <c r="O4894" t="str">
        <f t="shared" si="737"/>
        <v>71611</v>
      </c>
      <c r="P4894" t="str">
        <f>"2100L"</f>
        <v>2100L</v>
      </c>
      <c r="Q4894" t="str">
        <f t="shared" si="738"/>
        <v>0101</v>
      </c>
      <c r="R4894">
        <v>2100</v>
      </c>
      <c r="S4894" t="str">
        <f t="shared" si="736"/>
        <v>7160</v>
      </c>
      <c r="T4894" t="s">
        <v>3836</v>
      </c>
      <c r="U4894" t="s">
        <v>100</v>
      </c>
    </row>
    <row r="4895" spans="1:21" ht="15" customHeight="1" x14ac:dyDescent="0.3">
      <c r="A4895" t="s">
        <v>179</v>
      </c>
      <c r="B4895" t="str">
        <f>"00052665"</f>
        <v>00052665</v>
      </c>
      <c r="C4895" t="s">
        <v>4253</v>
      </c>
      <c r="H4895" t="s">
        <v>170</v>
      </c>
      <c r="I4895">
        <v>15</v>
      </c>
      <c r="J4895">
        <v>1</v>
      </c>
      <c r="K4895">
        <v>1</v>
      </c>
      <c r="L4895">
        <v>54975</v>
      </c>
      <c r="M4895" t="str">
        <f t="shared" si="729"/>
        <v>13</v>
      </c>
      <c r="N4895" t="s">
        <v>3323</v>
      </c>
      <c r="O4895" t="str">
        <f t="shared" si="737"/>
        <v>71611</v>
      </c>
      <c r="P4895" t="str">
        <f>"2100L"</f>
        <v>2100L</v>
      </c>
      <c r="Q4895" t="str">
        <f t="shared" si="738"/>
        <v>0101</v>
      </c>
      <c r="R4895">
        <v>2100</v>
      </c>
      <c r="S4895" t="str">
        <f t="shared" si="736"/>
        <v>7160</v>
      </c>
      <c r="T4895" t="s">
        <v>3836</v>
      </c>
      <c r="U4895" t="s">
        <v>100</v>
      </c>
    </row>
    <row r="4896" spans="1:21" ht="15" customHeight="1" x14ac:dyDescent="0.3">
      <c r="A4896" t="s">
        <v>179</v>
      </c>
      <c r="B4896" t="str">
        <f>"00052742"</f>
        <v>00052742</v>
      </c>
      <c r="C4896" t="s">
        <v>4260</v>
      </c>
      <c r="D4896" t="s">
        <v>663</v>
      </c>
      <c r="E4896" t="str">
        <f>"00049227"</f>
        <v>00049227</v>
      </c>
      <c r="F4896">
        <v>0</v>
      </c>
      <c r="G4896" s="243">
        <v>32690</v>
      </c>
      <c r="H4896" t="s">
        <v>182</v>
      </c>
      <c r="I4896">
        <v>15</v>
      </c>
      <c r="J4896">
        <v>16</v>
      </c>
      <c r="K4896">
        <v>1</v>
      </c>
      <c r="L4896">
        <v>100839</v>
      </c>
      <c r="M4896" t="str">
        <f t="shared" si="729"/>
        <v>13</v>
      </c>
      <c r="N4896" t="s">
        <v>3323</v>
      </c>
      <c r="O4896" t="str">
        <f t="shared" si="737"/>
        <v>71611</v>
      </c>
      <c r="P4896" t="str">
        <f>"3030L"</f>
        <v>3030L</v>
      </c>
      <c r="Q4896" t="str">
        <f t="shared" si="738"/>
        <v>0101</v>
      </c>
      <c r="R4896">
        <v>3030</v>
      </c>
      <c r="S4896" t="str">
        <f t="shared" si="736"/>
        <v>7160</v>
      </c>
      <c r="T4896" t="s">
        <v>3836</v>
      </c>
      <c r="U4896" t="s">
        <v>100</v>
      </c>
    </row>
    <row r="4897" spans="1:21" ht="15" customHeight="1" x14ac:dyDescent="0.3">
      <c r="A4897" t="s">
        <v>179</v>
      </c>
      <c r="B4897" t="str">
        <f>"00052750"</f>
        <v>00052750</v>
      </c>
      <c r="C4897" t="s">
        <v>4266</v>
      </c>
      <c r="D4897" t="s">
        <v>4065</v>
      </c>
      <c r="E4897" t="str">
        <f>"00065837"</f>
        <v>00065837</v>
      </c>
      <c r="F4897">
        <v>0</v>
      </c>
      <c r="G4897" s="243">
        <v>40755</v>
      </c>
      <c r="H4897" t="s">
        <v>182</v>
      </c>
      <c r="I4897">
        <v>15</v>
      </c>
      <c r="J4897">
        <v>11</v>
      </c>
      <c r="K4897">
        <v>1</v>
      </c>
      <c r="L4897">
        <v>86236</v>
      </c>
      <c r="M4897" t="str">
        <f t="shared" si="729"/>
        <v>13</v>
      </c>
      <c r="N4897" t="s">
        <v>3323</v>
      </c>
      <c r="O4897" t="str">
        <f t="shared" si="737"/>
        <v>71611</v>
      </c>
      <c r="P4897" t="str">
        <f>"2300L"</f>
        <v>2300L</v>
      </c>
      <c r="Q4897" t="str">
        <f t="shared" si="738"/>
        <v>0101</v>
      </c>
      <c r="R4897">
        <v>2300</v>
      </c>
      <c r="S4897" t="str">
        <f t="shared" si="736"/>
        <v>7160</v>
      </c>
      <c r="T4897" t="s">
        <v>3836</v>
      </c>
      <c r="U4897" t="s">
        <v>100</v>
      </c>
    </row>
    <row r="4898" spans="1:21" ht="15" customHeight="1" x14ac:dyDescent="0.3">
      <c r="A4898" t="s">
        <v>179</v>
      </c>
      <c r="B4898" t="str">
        <f>"00053103"</f>
        <v>00053103</v>
      </c>
      <c r="C4898" t="s">
        <v>4253</v>
      </c>
      <c r="D4898" t="s">
        <v>1817</v>
      </c>
      <c r="E4898" t="str">
        <f>"00049988"</f>
        <v>00049988</v>
      </c>
      <c r="F4898">
        <v>0</v>
      </c>
      <c r="G4898" s="243">
        <v>37088</v>
      </c>
      <c r="H4898" t="s">
        <v>182</v>
      </c>
      <c r="I4898">
        <v>15</v>
      </c>
      <c r="J4898">
        <v>16</v>
      </c>
      <c r="K4898">
        <v>1</v>
      </c>
      <c r="L4898">
        <v>100839</v>
      </c>
      <c r="M4898" t="str">
        <f t="shared" si="729"/>
        <v>13</v>
      </c>
      <c r="N4898" t="s">
        <v>3323</v>
      </c>
      <c r="O4898" t="str">
        <f t="shared" si="737"/>
        <v>71611</v>
      </c>
      <c r="P4898" t="str">
        <f>"2100L"</f>
        <v>2100L</v>
      </c>
      <c r="Q4898" t="str">
        <f t="shared" si="738"/>
        <v>0101</v>
      </c>
      <c r="R4898">
        <v>2100</v>
      </c>
      <c r="S4898" t="str">
        <f t="shared" si="736"/>
        <v>7160</v>
      </c>
      <c r="T4898" t="s">
        <v>3836</v>
      </c>
      <c r="U4898" t="s">
        <v>100</v>
      </c>
    </row>
    <row r="4899" spans="1:21" ht="15" customHeight="1" x14ac:dyDescent="0.3">
      <c r="A4899" t="s">
        <v>179</v>
      </c>
      <c r="B4899" t="str">
        <f>"00053742"</f>
        <v>00053742</v>
      </c>
      <c r="C4899" t="s">
        <v>4255</v>
      </c>
      <c r="D4899" t="s">
        <v>664</v>
      </c>
      <c r="E4899" t="str">
        <f>"00052456"</f>
        <v>00052456</v>
      </c>
      <c r="F4899">
        <v>0</v>
      </c>
      <c r="G4899" s="243">
        <v>24614</v>
      </c>
      <c r="H4899" t="s">
        <v>182</v>
      </c>
      <c r="I4899">
        <v>15</v>
      </c>
      <c r="J4899">
        <v>16</v>
      </c>
      <c r="K4899">
        <v>1</v>
      </c>
      <c r="L4899">
        <v>103347</v>
      </c>
      <c r="M4899" t="str">
        <f t="shared" si="729"/>
        <v>13</v>
      </c>
      <c r="N4899" t="s">
        <v>3323</v>
      </c>
      <c r="O4899" t="str">
        <f t="shared" si="737"/>
        <v>71611</v>
      </c>
      <c r="P4899" t="str">
        <f>"2100L"</f>
        <v>2100L</v>
      </c>
      <c r="Q4899" t="str">
        <f t="shared" si="738"/>
        <v>0101</v>
      </c>
      <c r="R4899">
        <v>2100</v>
      </c>
      <c r="S4899" t="str">
        <f t="shared" si="736"/>
        <v>7160</v>
      </c>
      <c r="T4899" t="s">
        <v>3836</v>
      </c>
      <c r="U4899" t="s">
        <v>100</v>
      </c>
    </row>
    <row r="4900" spans="1:21" ht="15" customHeight="1" x14ac:dyDescent="0.3">
      <c r="A4900" t="s">
        <v>179</v>
      </c>
      <c r="B4900" t="str">
        <f>"00053844"</f>
        <v>00053844</v>
      </c>
      <c r="C4900" t="s">
        <v>4266</v>
      </c>
      <c r="D4900" t="s">
        <v>665</v>
      </c>
      <c r="E4900" t="str">
        <f>"00052622"</f>
        <v>00052622</v>
      </c>
      <c r="F4900">
        <v>0</v>
      </c>
      <c r="G4900" s="243">
        <v>29164</v>
      </c>
      <c r="H4900" t="s">
        <v>182</v>
      </c>
      <c r="I4900">
        <v>15</v>
      </c>
      <c r="J4900">
        <v>16</v>
      </c>
      <c r="K4900">
        <v>1</v>
      </c>
      <c r="L4900">
        <v>106540</v>
      </c>
      <c r="M4900" t="str">
        <f t="shared" ref="M4900:M4956" si="739">"13"</f>
        <v>13</v>
      </c>
      <c r="N4900" t="s">
        <v>3323</v>
      </c>
      <c r="O4900" t="str">
        <f t="shared" si="737"/>
        <v>71611</v>
      </c>
      <c r="P4900" t="str">
        <f>"2300L"</f>
        <v>2300L</v>
      </c>
      <c r="Q4900" t="str">
        <f t="shared" si="738"/>
        <v>0101</v>
      </c>
      <c r="R4900">
        <v>2300</v>
      </c>
      <c r="S4900" t="str">
        <f t="shared" si="736"/>
        <v>7160</v>
      </c>
      <c r="T4900" t="s">
        <v>3836</v>
      </c>
      <c r="U4900" t="s">
        <v>100</v>
      </c>
    </row>
    <row r="4901" spans="1:21" ht="15" customHeight="1" x14ac:dyDescent="0.3">
      <c r="A4901" t="s">
        <v>179</v>
      </c>
      <c r="B4901" t="str">
        <f>"00053881"</f>
        <v>00053881</v>
      </c>
      <c r="C4901" t="s">
        <v>4253</v>
      </c>
      <c r="D4901" t="s">
        <v>666</v>
      </c>
      <c r="E4901" t="str">
        <f>"00052691"</f>
        <v>00052691</v>
      </c>
      <c r="F4901">
        <v>0</v>
      </c>
      <c r="G4901" s="243">
        <v>32050</v>
      </c>
      <c r="H4901" t="s">
        <v>182</v>
      </c>
      <c r="I4901">
        <v>15</v>
      </c>
      <c r="J4901">
        <v>16</v>
      </c>
      <c r="K4901">
        <v>1</v>
      </c>
      <c r="L4901">
        <v>106540</v>
      </c>
      <c r="M4901" t="str">
        <f t="shared" si="739"/>
        <v>13</v>
      </c>
      <c r="N4901" t="s">
        <v>3323</v>
      </c>
      <c r="O4901" t="str">
        <f t="shared" si="737"/>
        <v>71611</v>
      </c>
      <c r="P4901" t="str">
        <f>"2100L"</f>
        <v>2100L</v>
      </c>
      <c r="Q4901" t="str">
        <f t="shared" si="738"/>
        <v>0101</v>
      </c>
      <c r="R4901">
        <v>2100</v>
      </c>
      <c r="S4901" t="str">
        <f t="shared" si="736"/>
        <v>7160</v>
      </c>
      <c r="T4901" t="s">
        <v>3836</v>
      </c>
      <c r="U4901" t="s">
        <v>100</v>
      </c>
    </row>
    <row r="4902" spans="1:21" ht="15" customHeight="1" x14ac:dyDescent="0.3">
      <c r="A4902" t="s">
        <v>179</v>
      </c>
      <c r="B4902" t="str">
        <f>"00053893"</f>
        <v>00053893</v>
      </c>
      <c r="C4902" t="s">
        <v>4306</v>
      </c>
      <c r="D4902" t="s">
        <v>5764</v>
      </c>
      <c r="E4902" t="str">
        <f>"00052708"</f>
        <v>00052708</v>
      </c>
      <c r="F4902">
        <v>0</v>
      </c>
      <c r="G4902" s="243">
        <v>28524</v>
      </c>
      <c r="H4902" t="s">
        <v>182</v>
      </c>
      <c r="I4902">
        <v>9</v>
      </c>
      <c r="J4902">
        <v>6</v>
      </c>
      <c r="K4902">
        <v>1</v>
      </c>
      <c r="L4902">
        <v>38478</v>
      </c>
      <c r="M4902" t="str">
        <f t="shared" si="739"/>
        <v>13</v>
      </c>
      <c r="N4902" t="s">
        <v>3323</v>
      </c>
      <c r="O4902" t="str">
        <f t="shared" si="737"/>
        <v>71611</v>
      </c>
      <c r="P4902" t="str">
        <f>"1502L"</f>
        <v>1502L</v>
      </c>
      <c r="Q4902" t="str">
        <f t="shared" si="738"/>
        <v>0101</v>
      </c>
      <c r="R4902">
        <v>1502</v>
      </c>
      <c r="S4902" t="str">
        <f t="shared" si="736"/>
        <v>7160</v>
      </c>
      <c r="T4902" t="s">
        <v>3836</v>
      </c>
      <c r="U4902" t="s">
        <v>100</v>
      </c>
    </row>
    <row r="4903" spans="1:21" ht="15" customHeight="1" x14ac:dyDescent="0.3">
      <c r="A4903" t="s">
        <v>179</v>
      </c>
      <c r="B4903" t="str">
        <f>"00053942"</f>
        <v>00053942</v>
      </c>
      <c r="C4903" t="s">
        <v>4260</v>
      </c>
      <c r="H4903" t="s">
        <v>170</v>
      </c>
      <c r="I4903">
        <v>15</v>
      </c>
      <c r="J4903">
        <v>1</v>
      </c>
      <c r="K4903">
        <v>1</v>
      </c>
      <c r="L4903">
        <v>54975</v>
      </c>
      <c r="M4903" t="str">
        <f t="shared" si="739"/>
        <v>13</v>
      </c>
      <c r="N4903" t="s">
        <v>3323</v>
      </c>
      <c r="O4903" t="str">
        <f t="shared" si="737"/>
        <v>71611</v>
      </c>
      <c r="P4903" t="str">
        <f>"3030L"</f>
        <v>3030L</v>
      </c>
      <c r="Q4903" t="str">
        <f t="shared" si="738"/>
        <v>0101</v>
      </c>
      <c r="R4903">
        <v>3030</v>
      </c>
      <c r="S4903" t="str">
        <f t="shared" si="736"/>
        <v>7160</v>
      </c>
      <c r="T4903" t="s">
        <v>3836</v>
      </c>
      <c r="U4903" t="s">
        <v>100</v>
      </c>
    </row>
    <row r="4904" spans="1:21" ht="15" customHeight="1" x14ac:dyDescent="0.3">
      <c r="A4904" t="s">
        <v>179</v>
      </c>
      <c r="B4904" t="str">
        <f>"00053969"</f>
        <v>00053969</v>
      </c>
      <c r="C4904" t="s">
        <v>4260</v>
      </c>
      <c r="D4904" t="s">
        <v>668</v>
      </c>
      <c r="E4904" t="str">
        <f>"00052808"</f>
        <v>00052808</v>
      </c>
      <c r="F4904">
        <v>0</v>
      </c>
      <c r="G4904" s="243">
        <v>30560</v>
      </c>
      <c r="H4904" t="s">
        <v>182</v>
      </c>
      <c r="I4904">
        <v>15</v>
      </c>
      <c r="J4904">
        <v>16</v>
      </c>
      <c r="K4904">
        <v>1</v>
      </c>
      <c r="L4904">
        <v>106540</v>
      </c>
      <c r="M4904" t="str">
        <f t="shared" si="739"/>
        <v>13</v>
      </c>
      <c r="N4904" t="s">
        <v>3323</v>
      </c>
      <c r="O4904" t="str">
        <f t="shared" si="737"/>
        <v>71611</v>
      </c>
      <c r="P4904" t="str">
        <f>"3030L"</f>
        <v>3030L</v>
      </c>
      <c r="Q4904" t="str">
        <f t="shared" si="738"/>
        <v>0101</v>
      </c>
      <c r="R4904">
        <v>3030</v>
      </c>
      <c r="S4904" t="str">
        <f t="shared" si="736"/>
        <v>7160</v>
      </c>
      <c r="T4904" t="s">
        <v>3836</v>
      </c>
      <c r="U4904" t="s">
        <v>100</v>
      </c>
    </row>
    <row r="4905" spans="1:21" ht="15" customHeight="1" x14ac:dyDescent="0.3">
      <c r="A4905" t="s">
        <v>179</v>
      </c>
      <c r="B4905" t="str">
        <f>"00054109"</f>
        <v>00054109</v>
      </c>
      <c r="C4905" t="s">
        <v>4360</v>
      </c>
      <c r="D4905" t="s">
        <v>5765</v>
      </c>
      <c r="E4905" t="str">
        <f>"00053042"</f>
        <v>00053042</v>
      </c>
      <c r="F4905">
        <v>0</v>
      </c>
      <c r="G4905" s="243">
        <v>35355</v>
      </c>
      <c r="H4905" t="s">
        <v>182</v>
      </c>
      <c r="I4905">
        <v>7</v>
      </c>
      <c r="J4905">
        <v>5</v>
      </c>
      <c r="K4905">
        <v>1</v>
      </c>
      <c r="L4905">
        <v>39300</v>
      </c>
      <c r="M4905" t="str">
        <f t="shared" si="739"/>
        <v>13</v>
      </c>
      <c r="N4905" t="s">
        <v>3323</v>
      </c>
      <c r="O4905" t="str">
        <f t="shared" si="737"/>
        <v>71611</v>
      </c>
      <c r="P4905" t="str">
        <f>"1502L"</f>
        <v>1502L</v>
      </c>
      <c r="Q4905" t="str">
        <f t="shared" si="738"/>
        <v>0101</v>
      </c>
      <c r="R4905">
        <v>1502</v>
      </c>
      <c r="S4905" t="str">
        <f t="shared" si="736"/>
        <v>7160</v>
      </c>
      <c r="T4905" t="s">
        <v>3836</v>
      </c>
      <c r="U4905" t="s">
        <v>100</v>
      </c>
    </row>
    <row r="4906" spans="1:21" ht="15" customHeight="1" x14ac:dyDescent="0.3">
      <c r="A4906" t="s">
        <v>179</v>
      </c>
      <c r="B4906" t="str">
        <f>"00054306"</f>
        <v>00054306</v>
      </c>
      <c r="C4906" t="s">
        <v>4253</v>
      </c>
      <c r="D4906" t="s">
        <v>669</v>
      </c>
      <c r="E4906" t="str">
        <f>"00053528"</f>
        <v>00053528</v>
      </c>
      <c r="F4906">
        <v>0</v>
      </c>
      <c r="G4906" s="243">
        <v>35309</v>
      </c>
      <c r="H4906" t="s">
        <v>182</v>
      </c>
      <c r="I4906">
        <v>15</v>
      </c>
      <c r="J4906">
        <v>14</v>
      </c>
      <c r="K4906">
        <v>1</v>
      </c>
      <c r="L4906">
        <v>96460</v>
      </c>
      <c r="M4906" t="str">
        <f t="shared" si="739"/>
        <v>13</v>
      </c>
      <c r="N4906" t="s">
        <v>3323</v>
      </c>
      <c r="O4906" t="str">
        <f t="shared" si="737"/>
        <v>71611</v>
      </c>
      <c r="P4906" t="str">
        <f t="shared" ref="P4906:P4911" si="740">"2100L"</f>
        <v>2100L</v>
      </c>
      <c r="Q4906" t="str">
        <f t="shared" si="738"/>
        <v>0101</v>
      </c>
      <c r="R4906">
        <v>2100</v>
      </c>
      <c r="S4906" t="str">
        <f t="shared" si="736"/>
        <v>7160</v>
      </c>
      <c r="T4906" t="s">
        <v>3836</v>
      </c>
      <c r="U4906" t="s">
        <v>100</v>
      </c>
    </row>
    <row r="4907" spans="1:21" ht="15" customHeight="1" x14ac:dyDescent="0.3">
      <c r="A4907" t="s">
        <v>179</v>
      </c>
      <c r="B4907" t="str">
        <f>"00054372"</f>
        <v>00054372</v>
      </c>
      <c r="C4907" t="s">
        <v>4253</v>
      </c>
      <c r="H4907" t="s">
        <v>170</v>
      </c>
      <c r="I4907">
        <v>15</v>
      </c>
      <c r="J4907">
        <v>1</v>
      </c>
      <c r="K4907">
        <v>1</v>
      </c>
      <c r="L4907">
        <v>60128</v>
      </c>
      <c r="M4907" t="str">
        <f t="shared" si="739"/>
        <v>13</v>
      </c>
      <c r="N4907" t="s">
        <v>3323</v>
      </c>
      <c r="O4907" t="str">
        <f t="shared" si="737"/>
        <v>71611</v>
      </c>
      <c r="P4907" t="str">
        <f t="shared" si="740"/>
        <v>2100L</v>
      </c>
      <c r="Q4907" t="str">
        <f t="shared" si="738"/>
        <v>0101</v>
      </c>
      <c r="R4907">
        <v>2100</v>
      </c>
      <c r="S4907" t="str">
        <f t="shared" si="736"/>
        <v>7160</v>
      </c>
      <c r="T4907" t="s">
        <v>3836</v>
      </c>
      <c r="U4907" t="s">
        <v>100</v>
      </c>
    </row>
    <row r="4908" spans="1:21" ht="15" customHeight="1" x14ac:dyDescent="0.3">
      <c r="A4908" t="s">
        <v>179</v>
      </c>
      <c r="B4908" t="str">
        <f>"00054460"</f>
        <v>00054460</v>
      </c>
      <c r="C4908" t="s">
        <v>4261</v>
      </c>
      <c r="D4908" t="s">
        <v>699</v>
      </c>
      <c r="E4908" t="str">
        <f>"00054054"</f>
        <v>00054054</v>
      </c>
      <c r="F4908">
        <v>0</v>
      </c>
      <c r="G4908" s="243">
        <v>33512</v>
      </c>
      <c r="H4908" t="s">
        <v>182</v>
      </c>
      <c r="I4908">
        <v>15</v>
      </c>
      <c r="J4908">
        <v>16</v>
      </c>
      <c r="K4908">
        <v>1</v>
      </c>
      <c r="L4908">
        <v>117194</v>
      </c>
      <c r="M4908" t="str">
        <f t="shared" si="739"/>
        <v>13</v>
      </c>
      <c r="N4908" t="s">
        <v>3323</v>
      </c>
      <c r="O4908" t="str">
        <f t="shared" si="737"/>
        <v>71611</v>
      </c>
      <c r="P4908" t="str">
        <f t="shared" si="740"/>
        <v>2100L</v>
      </c>
      <c r="Q4908" t="str">
        <f t="shared" si="738"/>
        <v>0101</v>
      </c>
      <c r="R4908">
        <v>2100</v>
      </c>
      <c r="S4908" t="str">
        <f t="shared" si="736"/>
        <v>7160</v>
      </c>
      <c r="T4908" t="s">
        <v>3836</v>
      </c>
      <c r="U4908" t="s">
        <v>100</v>
      </c>
    </row>
    <row r="4909" spans="1:21" ht="15" customHeight="1" x14ac:dyDescent="0.3">
      <c r="A4909" t="s">
        <v>179</v>
      </c>
      <c r="B4909" t="str">
        <f>"00054641"</f>
        <v>00054641</v>
      </c>
      <c r="C4909" t="s">
        <v>4255</v>
      </c>
      <c r="D4909" t="s">
        <v>670</v>
      </c>
      <c r="E4909" t="str">
        <f>"00054336"</f>
        <v>00054336</v>
      </c>
      <c r="F4909">
        <v>0</v>
      </c>
      <c r="G4909" s="243">
        <v>32050</v>
      </c>
      <c r="H4909" t="s">
        <v>182</v>
      </c>
      <c r="I4909">
        <v>15</v>
      </c>
      <c r="J4909">
        <v>13</v>
      </c>
      <c r="K4909">
        <v>1</v>
      </c>
      <c r="L4909">
        <v>86613</v>
      </c>
      <c r="M4909" t="str">
        <f t="shared" si="739"/>
        <v>13</v>
      </c>
      <c r="N4909" t="s">
        <v>3323</v>
      </c>
      <c r="O4909" t="str">
        <f t="shared" si="737"/>
        <v>71611</v>
      </c>
      <c r="P4909" t="str">
        <f t="shared" si="740"/>
        <v>2100L</v>
      </c>
      <c r="Q4909" t="str">
        <f t="shared" si="738"/>
        <v>0101</v>
      </c>
      <c r="R4909">
        <v>2100</v>
      </c>
      <c r="S4909" t="str">
        <f t="shared" si="736"/>
        <v>7160</v>
      </c>
      <c r="T4909" t="s">
        <v>3836</v>
      </c>
      <c r="U4909" t="s">
        <v>100</v>
      </c>
    </row>
    <row r="4910" spans="1:21" ht="15" customHeight="1" x14ac:dyDescent="0.3">
      <c r="A4910" t="s">
        <v>179</v>
      </c>
      <c r="B4910" t="str">
        <f>"00054842"</f>
        <v>00054842</v>
      </c>
      <c r="C4910" t="s">
        <v>4253</v>
      </c>
      <c r="D4910" t="s">
        <v>671</v>
      </c>
      <c r="E4910" t="str">
        <f>"00054749"</f>
        <v>00054749</v>
      </c>
      <c r="F4910">
        <v>0</v>
      </c>
      <c r="G4910" s="243">
        <v>34579</v>
      </c>
      <c r="H4910" t="s">
        <v>182</v>
      </c>
      <c r="I4910">
        <v>15</v>
      </c>
      <c r="J4910">
        <v>16</v>
      </c>
      <c r="K4910">
        <v>1</v>
      </c>
      <c r="L4910">
        <v>103347</v>
      </c>
      <c r="M4910" t="str">
        <f t="shared" si="739"/>
        <v>13</v>
      </c>
      <c r="N4910" t="s">
        <v>3323</v>
      </c>
      <c r="O4910" t="str">
        <f t="shared" si="737"/>
        <v>71611</v>
      </c>
      <c r="P4910" t="str">
        <f t="shared" si="740"/>
        <v>2100L</v>
      </c>
      <c r="Q4910" t="str">
        <f t="shared" si="738"/>
        <v>0101</v>
      </c>
      <c r="R4910">
        <v>2100</v>
      </c>
      <c r="S4910" t="str">
        <f t="shared" si="736"/>
        <v>7160</v>
      </c>
      <c r="T4910" t="s">
        <v>3836</v>
      </c>
      <c r="U4910" t="s">
        <v>100</v>
      </c>
    </row>
    <row r="4911" spans="1:21" ht="15" customHeight="1" x14ac:dyDescent="0.3">
      <c r="A4911" t="s">
        <v>179</v>
      </c>
      <c r="B4911" t="str">
        <f>"00054851"</f>
        <v>00054851</v>
      </c>
      <c r="C4911" t="s">
        <v>4367</v>
      </c>
      <c r="D4911" t="s">
        <v>5766</v>
      </c>
      <c r="E4911" t="str">
        <f>"00054775"</f>
        <v>00054775</v>
      </c>
      <c r="F4911">
        <v>0</v>
      </c>
      <c r="G4911" s="243">
        <v>34515</v>
      </c>
      <c r="H4911" t="s">
        <v>182</v>
      </c>
      <c r="I4911">
        <v>9</v>
      </c>
      <c r="J4911">
        <v>7</v>
      </c>
      <c r="K4911">
        <v>1</v>
      </c>
      <c r="L4911">
        <v>43824</v>
      </c>
      <c r="M4911" t="str">
        <f t="shared" si="739"/>
        <v>13</v>
      </c>
      <c r="N4911" t="s">
        <v>3323</v>
      </c>
      <c r="O4911" t="str">
        <f t="shared" si="737"/>
        <v>71611</v>
      </c>
      <c r="P4911" t="str">
        <f t="shared" si="740"/>
        <v>2100L</v>
      </c>
      <c r="Q4911" t="str">
        <f t="shared" si="738"/>
        <v>0101</v>
      </c>
      <c r="R4911">
        <v>2100</v>
      </c>
      <c r="S4911" t="str">
        <f t="shared" si="736"/>
        <v>7160</v>
      </c>
      <c r="T4911" t="s">
        <v>3836</v>
      </c>
      <c r="U4911" t="s">
        <v>100</v>
      </c>
    </row>
    <row r="4912" spans="1:21" ht="15" customHeight="1" x14ac:dyDescent="0.3">
      <c r="A4912" t="s">
        <v>179</v>
      </c>
      <c r="B4912" t="str">
        <f>"00054945"</f>
        <v>00054945</v>
      </c>
      <c r="C4912" t="s">
        <v>4266</v>
      </c>
      <c r="D4912" t="s">
        <v>672</v>
      </c>
      <c r="E4912" t="str">
        <f>"00055152"</f>
        <v>00055152</v>
      </c>
      <c r="F4912">
        <v>0</v>
      </c>
      <c r="G4912" s="243">
        <v>33282</v>
      </c>
      <c r="H4912" t="s">
        <v>182</v>
      </c>
      <c r="I4912">
        <v>15</v>
      </c>
      <c r="J4912">
        <v>16</v>
      </c>
      <c r="K4912">
        <v>1</v>
      </c>
      <c r="L4912">
        <v>100839</v>
      </c>
      <c r="M4912" t="str">
        <f t="shared" si="739"/>
        <v>13</v>
      </c>
      <c r="N4912" t="s">
        <v>3323</v>
      </c>
      <c r="O4912" t="str">
        <f t="shared" si="737"/>
        <v>71611</v>
      </c>
      <c r="P4912" t="str">
        <f>"2300L"</f>
        <v>2300L</v>
      </c>
      <c r="Q4912" t="str">
        <f t="shared" si="738"/>
        <v>0101</v>
      </c>
      <c r="R4912">
        <v>2300</v>
      </c>
      <c r="S4912" t="str">
        <f t="shared" ref="S4912:S4941" si="741">"7160"</f>
        <v>7160</v>
      </c>
      <c r="T4912" t="s">
        <v>3836</v>
      </c>
      <c r="U4912" t="s">
        <v>100</v>
      </c>
    </row>
    <row r="4913" spans="1:21" ht="15" customHeight="1" x14ac:dyDescent="0.3">
      <c r="A4913" t="s">
        <v>179</v>
      </c>
      <c r="B4913" t="str">
        <f>"00055178"</f>
        <v>00055178</v>
      </c>
      <c r="C4913" t="s">
        <v>4253</v>
      </c>
      <c r="D4913" t="s">
        <v>673</v>
      </c>
      <c r="E4913" t="str">
        <f>"00047115"</f>
        <v>00047115</v>
      </c>
      <c r="F4913">
        <v>0</v>
      </c>
      <c r="G4913" s="243">
        <v>36390</v>
      </c>
      <c r="H4913" t="s">
        <v>182</v>
      </c>
      <c r="I4913">
        <v>15</v>
      </c>
      <c r="J4913">
        <v>12</v>
      </c>
      <c r="K4913">
        <v>1</v>
      </c>
      <c r="L4913">
        <v>87431</v>
      </c>
      <c r="M4913" t="str">
        <f t="shared" si="739"/>
        <v>13</v>
      </c>
      <c r="N4913" t="s">
        <v>3323</v>
      </c>
      <c r="O4913" t="str">
        <f t="shared" si="737"/>
        <v>71611</v>
      </c>
      <c r="P4913" t="str">
        <f>"2100L"</f>
        <v>2100L</v>
      </c>
      <c r="Q4913" t="str">
        <f t="shared" si="738"/>
        <v>0101</v>
      </c>
      <c r="R4913">
        <v>2100</v>
      </c>
      <c r="S4913" t="str">
        <f t="shared" si="741"/>
        <v>7160</v>
      </c>
      <c r="T4913" t="s">
        <v>3836</v>
      </c>
      <c r="U4913" t="s">
        <v>100</v>
      </c>
    </row>
    <row r="4914" spans="1:21" ht="15" customHeight="1" x14ac:dyDescent="0.3">
      <c r="A4914" t="s">
        <v>179</v>
      </c>
      <c r="B4914" t="str">
        <f>"00055310"</f>
        <v>00055310</v>
      </c>
      <c r="C4914" t="s">
        <v>4343</v>
      </c>
      <c r="D4914" t="s">
        <v>674</v>
      </c>
      <c r="E4914" t="str">
        <f>"00046545"</f>
        <v>00046545</v>
      </c>
      <c r="F4914">
        <v>0</v>
      </c>
      <c r="G4914" s="243">
        <v>36390</v>
      </c>
      <c r="H4914" t="s">
        <v>182</v>
      </c>
      <c r="I4914">
        <v>15</v>
      </c>
      <c r="J4914">
        <v>12</v>
      </c>
      <c r="K4914">
        <v>1</v>
      </c>
      <c r="L4914">
        <v>101874</v>
      </c>
      <c r="M4914" t="str">
        <f t="shared" si="739"/>
        <v>13</v>
      </c>
      <c r="N4914" t="s">
        <v>3323</v>
      </c>
      <c r="O4914" t="str">
        <f t="shared" si="737"/>
        <v>71611</v>
      </c>
      <c r="P4914" t="str">
        <f>"2100L"</f>
        <v>2100L</v>
      </c>
      <c r="Q4914" t="str">
        <f t="shared" si="738"/>
        <v>0101</v>
      </c>
      <c r="R4914">
        <v>2100</v>
      </c>
      <c r="S4914" t="str">
        <f t="shared" si="741"/>
        <v>7160</v>
      </c>
      <c r="T4914" t="s">
        <v>3836</v>
      </c>
      <c r="U4914" t="s">
        <v>100</v>
      </c>
    </row>
    <row r="4915" spans="1:21" ht="15" customHeight="1" x14ac:dyDescent="0.3">
      <c r="A4915" t="s">
        <v>179</v>
      </c>
      <c r="B4915" t="str">
        <f>"00056717"</f>
        <v>00056717</v>
      </c>
      <c r="C4915" t="s">
        <v>4260</v>
      </c>
      <c r="H4915" t="s">
        <v>170</v>
      </c>
      <c r="I4915">
        <v>15</v>
      </c>
      <c r="J4915">
        <v>1</v>
      </c>
      <c r="K4915">
        <v>1</v>
      </c>
      <c r="L4915">
        <v>56693</v>
      </c>
      <c r="M4915" t="str">
        <f t="shared" si="739"/>
        <v>13</v>
      </c>
      <c r="N4915" t="s">
        <v>3323</v>
      </c>
      <c r="O4915" t="str">
        <f t="shared" si="737"/>
        <v>71611</v>
      </c>
      <c r="P4915" t="str">
        <f>"3030L"</f>
        <v>3030L</v>
      </c>
      <c r="Q4915" t="str">
        <f t="shared" si="738"/>
        <v>0101</v>
      </c>
      <c r="R4915">
        <v>3030</v>
      </c>
      <c r="S4915" t="str">
        <f t="shared" si="741"/>
        <v>7160</v>
      </c>
      <c r="T4915" t="s">
        <v>3836</v>
      </c>
      <c r="U4915" t="s">
        <v>100</v>
      </c>
    </row>
    <row r="4916" spans="1:21" ht="15" customHeight="1" x14ac:dyDescent="0.3">
      <c r="A4916" t="s">
        <v>179</v>
      </c>
      <c r="B4916" t="str">
        <f>"00056899"</f>
        <v>00056899</v>
      </c>
      <c r="C4916" t="s">
        <v>4266</v>
      </c>
      <c r="D4916" t="s">
        <v>1823</v>
      </c>
      <c r="E4916" t="str">
        <f>"00055187"</f>
        <v>00055187</v>
      </c>
      <c r="F4916">
        <v>0</v>
      </c>
      <c r="G4916" s="243">
        <v>39679</v>
      </c>
      <c r="H4916" t="s">
        <v>182</v>
      </c>
      <c r="I4916">
        <v>15</v>
      </c>
      <c r="J4916">
        <v>6</v>
      </c>
      <c r="K4916">
        <v>1</v>
      </c>
      <c r="L4916">
        <v>66078</v>
      </c>
      <c r="M4916" t="str">
        <f t="shared" si="739"/>
        <v>13</v>
      </c>
      <c r="N4916" t="s">
        <v>3323</v>
      </c>
      <c r="O4916" t="str">
        <f t="shared" si="737"/>
        <v>71611</v>
      </c>
      <c r="P4916" t="str">
        <f>"2300L"</f>
        <v>2300L</v>
      </c>
      <c r="Q4916" t="str">
        <f t="shared" si="738"/>
        <v>0101</v>
      </c>
      <c r="R4916">
        <v>2300</v>
      </c>
      <c r="S4916" t="str">
        <f t="shared" si="741"/>
        <v>7160</v>
      </c>
      <c r="T4916" t="s">
        <v>3836</v>
      </c>
      <c r="U4916" t="s">
        <v>100</v>
      </c>
    </row>
    <row r="4917" spans="1:21" ht="15" customHeight="1" x14ac:dyDescent="0.3">
      <c r="A4917" t="s">
        <v>179</v>
      </c>
      <c r="B4917" t="str">
        <f>"00057109"</f>
        <v>00057109</v>
      </c>
      <c r="C4917" t="s">
        <v>4290</v>
      </c>
      <c r="D4917" t="s">
        <v>5767</v>
      </c>
      <c r="E4917" t="str">
        <f>"00053881"</f>
        <v>00053881</v>
      </c>
      <c r="F4917">
        <v>0</v>
      </c>
      <c r="G4917" s="243">
        <v>30710</v>
      </c>
      <c r="H4917" t="s">
        <v>182</v>
      </c>
      <c r="I4917">
        <v>4</v>
      </c>
      <c r="J4917">
        <v>10</v>
      </c>
      <c r="K4917">
        <v>0.875</v>
      </c>
      <c r="L4917">
        <v>28721</v>
      </c>
      <c r="M4917" t="str">
        <f t="shared" si="739"/>
        <v>13</v>
      </c>
      <c r="N4917" t="s">
        <v>3323</v>
      </c>
      <c r="O4917" t="str">
        <f t="shared" si="737"/>
        <v>71611</v>
      </c>
      <c r="P4917" t="str">
        <f>"3030L"</f>
        <v>3030L</v>
      </c>
      <c r="Q4917" t="str">
        <f t="shared" si="738"/>
        <v>0101</v>
      </c>
      <c r="R4917">
        <v>3030</v>
      </c>
      <c r="S4917" t="str">
        <f t="shared" si="741"/>
        <v>7160</v>
      </c>
      <c r="T4917" t="s">
        <v>3836</v>
      </c>
      <c r="U4917" t="s">
        <v>100</v>
      </c>
    </row>
    <row r="4918" spans="1:21" ht="15" customHeight="1" x14ac:dyDescent="0.3">
      <c r="A4918" t="s">
        <v>179</v>
      </c>
      <c r="B4918" t="str">
        <f>"00057371"</f>
        <v>00057371</v>
      </c>
      <c r="C4918" t="s">
        <v>4266</v>
      </c>
      <c r="D4918" t="s">
        <v>676</v>
      </c>
      <c r="E4918" t="str">
        <f>"00051294"</f>
        <v>00051294</v>
      </c>
      <c r="F4918">
        <v>0</v>
      </c>
      <c r="G4918" s="243">
        <v>36761</v>
      </c>
      <c r="H4918" t="s">
        <v>182</v>
      </c>
      <c r="I4918">
        <v>15</v>
      </c>
      <c r="J4918">
        <v>13</v>
      </c>
      <c r="K4918">
        <v>1</v>
      </c>
      <c r="L4918">
        <v>86613</v>
      </c>
      <c r="M4918" t="str">
        <f t="shared" si="739"/>
        <v>13</v>
      </c>
      <c r="N4918" t="s">
        <v>3323</v>
      </c>
      <c r="O4918" t="str">
        <f t="shared" si="737"/>
        <v>71611</v>
      </c>
      <c r="P4918" t="str">
        <f>"2300L"</f>
        <v>2300L</v>
      </c>
      <c r="Q4918" t="str">
        <f t="shared" si="738"/>
        <v>0101</v>
      </c>
      <c r="R4918">
        <v>2300</v>
      </c>
      <c r="S4918" t="str">
        <f t="shared" si="741"/>
        <v>7160</v>
      </c>
      <c r="T4918" t="s">
        <v>3836</v>
      </c>
      <c r="U4918" t="s">
        <v>100</v>
      </c>
    </row>
    <row r="4919" spans="1:21" ht="15" customHeight="1" x14ac:dyDescent="0.3">
      <c r="A4919" t="s">
        <v>179</v>
      </c>
      <c r="B4919" t="str">
        <f>"00057477"</f>
        <v>00057477</v>
      </c>
      <c r="C4919" t="s">
        <v>4253</v>
      </c>
      <c r="H4919" t="s">
        <v>170</v>
      </c>
      <c r="I4919">
        <v>15</v>
      </c>
      <c r="J4919">
        <v>1</v>
      </c>
      <c r="K4919">
        <v>1</v>
      </c>
      <c r="L4919">
        <v>56693</v>
      </c>
      <c r="M4919" t="str">
        <f t="shared" si="739"/>
        <v>13</v>
      </c>
      <c r="N4919" t="s">
        <v>3323</v>
      </c>
      <c r="O4919" t="str">
        <f t="shared" ref="O4919:O4948" si="742">"71611"</f>
        <v>71611</v>
      </c>
      <c r="P4919" t="str">
        <f>"2100L"</f>
        <v>2100L</v>
      </c>
      <c r="Q4919" t="str">
        <f t="shared" ref="Q4919:Q4948" si="743">"0101"</f>
        <v>0101</v>
      </c>
      <c r="R4919">
        <v>2100</v>
      </c>
      <c r="S4919" t="str">
        <f t="shared" si="741"/>
        <v>7160</v>
      </c>
      <c r="T4919" t="s">
        <v>3836</v>
      </c>
      <c r="U4919" t="s">
        <v>100</v>
      </c>
    </row>
    <row r="4920" spans="1:21" ht="15" customHeight="1" x14ac:dyDescent="0.3">
      <c r="A4920" t="s">
        <v>179</v>
      </c>
      <c r="B4920" t="str">
        <f>"00057533"</f>
        <v>00057533</v>
      </c>
      <c r="C4920" t="s">
        <v>4290</v>
      </c>
      <c r="D4920" t="s">
        <v>5768</v>
      </c>
      <c r="E4920" t="str">
        <f>"00053036"</f>
        <v>00053036</v>
      </c>
      <c r="F4920">
        <v>0</v>
      </c>
      <c r="G4920" s="243">
        <v>36788</v>
      </c>
      <c r="H4920" t="s">
        <v>182</v>
      </c>
      <c r="I4920">
        <v>4</v>
      </c>
      <c r="J4920">
        <v>9</v>
      </c>
      <c r="K4920">
        <v>0.875</v>
      </c>
      <c r="L4920">
        <v>28025.38</v>
      </c>
      <c r="M4920" t="str">
        <f t="shared" si="739"/>
        <v>13</v>
      </c>
      <c r="N4920" t="s">
        <v>3323</v>
      </c>
      <c r="O4920" t="str">
        <f t="shared" si="742"/>
        <v>71611</v>
      </c>
      <c r="P4920" t="str">
        <f>"3030L"</f>
        <v>3030L</v>
      </c>
      <c r="Q4920" t="str">
        <f t="shared" si="743"/>
        <v>0101</v>
      </c>
      <c r="R4920">
        <v>3030</v>
      </c>
      <c r="S4920" t="str">
        <f t="shared" si="741"/>
        <v>7160</v>
      </c>
      <c r="T4920" t="s">
        <v>3836</v>
      </c>
      <c r="U4920" t="s">
        <v>100</v>
      </c>
    </row>
    <row r="4921" spans="1:21" ht="15" customHeight="1" x14ac:dyDescent="0.3">
      <c r="A4921" t="s">
        <v>179</v>
      </c>
      <c r="B4921" t="str">
        <f>"00057542"</f>
        <v>00057542</v>
      </c>
      <c r="C4921" t="s">
        <v>3670</v>
      </c>
      <c r="D4921" t="s">
        <v>4062</v>
      </c>
      <c r="E4921" t="str">
        <f>"00052165"</f>
        <v>00052165</v>
      </c>
      <c r="F4921">
        <v>0</v>
      </c>
      <c r="G4921" s="243">
        <v>36761</v>
      </c>
      <c r="H4921" t="s">
        <v>182</v>
      </c>
      <c r="I4921">
        <v>8</v>
      </c>
      <c r="J4921">
        <v>5</v>
      </c>
      <c r="K4921">
        <v>1</v>
      </c>
      <c r="L4921">
        <v>92198</v>
      </c>
      <c r="M4921" t="str">
        <f t="shared" si="739"/>
        <v>13</v>
      </c>
      <c r="N4921" t="s">
        <v>3323</v>
      </c>
      <c r="O4921" t="str">
        <f t="shared" si="742"/>
        <v>71611</v>
      </c>
      <c r="P4921" t="str">
        <f>"1501L"</f>
        <v>1501L</v>
      </c>
      <c r="Q4921" t="str">
        <f t="shared" si="743"/>
        <v>0101</v>
      </c>
      <c r="R4921">
        <v>1501</v>
      </c>
      <c r="S4921" t="str">
        <f t="shared" si="741"/>
        <v>7160</v>
      </c>
      <c r="T4921" t="s">
        <v>3836</v>
      </c>
      <c r="U4921" t="s">
        <v>100</v>
      </c>
    </row>
    <row r="4922" spans="1:21" ht="15" customHeight="1" x14ac:dyDescent="0.3">
      <c r="A4922" t="s">
        <v>179</v>
      </c>
      <c r="B4922" t="str">
        <f>"00057714"</f>
        <v>00057714</v>
      </c>
      <c r="C4922" t="s">
        <v>4306</v>
      </c>
      <c r="D4922" t="s">
        <v>5769</v>
      </c>
      <c r="E4922" t="str">
        <f>"00052642"</f>
        <v>00052642</v>
      </c>
      <c r="F4922">
        <v>0</v>
      </c>
      <c r="G4922" s="243">
        <v>36881</v>
      </c>
      <c r="H4922" t="s">
        <v>182</v>
      </c>
      <c r="I4922">
        <v>9</v>
      </c>
      <c r="J4922">
        <v>5</v>
      </c>
      <c r="K4922">
        <v>1</v>
      </c>
      <c r="L4922">
        <v>37415</v>
      </c>
      <c r="M4922" t="str">
        <f t="shared" si="739"/>
        <v>13</v>
      </c>
      <c r="N4922" t="s">
        <v>3323</v>
      </c>
      <c r="O4922" t="str">
        <f t="shared" si="742"/>
        <v>71611</v>
      </c>
      <c r="P4922" t="str">
        <f>"1502L"</f>
        <v>1502L</v>
      </c>
      <c r="Q4922" t="str">
        <f t="shared" si="743"/>
        <v>0101</v>
      </c>
      <c r="R4922">
        <v>1502</v>
      </c>
      <c r="S4922" t="str">
        <f t="shared" si="741"/>
        <v>7160</v>
      </c>
      <c r="T4922" t="s">
        <v>3836</v>
      </c>
      <c r="U4922" t="s">
        <v>100</v>
      </c>
    </row>
    <row r="4923" spans="1:21" ht="15" customHeight="1" x14ac:dyDescent="0.3">
      <c r="A4923" t="s">
        <v>179</v>
      </c>
      <c r="B4923" t="str">
        <f>"00058063"</f>
        <v>00058063</v>
      </c>
      <c r="C4923" t="s">
        <v>4260</v>
      </c>
      <c r="D4923" t="s">
        <v>679</v>
      </c>
      <c r="E4923" t="str">
        <f>"00045743"</f>
        <v>00045743</v>
      </c>
      <c r="F4923">
        <v>0</v>
      </c>
      <c r="G4923" s="243">
        <v>35188</v>
      </c>
      <c r="H4923" t="s">
        <v>182</v>
      </c>
      <c r="I4923">
        <v>15</v>
      </c>
      <c r="J4923">
        <v>16</v>
      </c>
      <c r="K4923">
        <v>1</v>
      </c>
      <c r="L4923">
        <v>103347</v>
      </c>
      <c r="M4923" t="str">
        <f t="shared" si="739"/>
        <v>13</v>
      </c>
      <c r="N4923" t="s">
        <v>3323</v>
      </c>
      <c r="O4923" t="str">
        <f t="shared" si="742"/>
        <v>71611</v>
      </c>
      <c r="P4923" t="str">
        <f>"3030L"</f>
        <v>3030L</v>
      </c>
      <c r="Q4923" t="str">
        <f t="shared" si="743"/>
        <v>0101</v>
      </c>
      <c r="R4923">
        <v>3030</v>
      </c>
      <c r="S4923" t="str">
        <f t="shared" si="741"/>
        <v>7160</v>
      </c>
      <c r="T4923" t="s">
        <v>3836</v>
      </c>
      <c r="U4923" t="s">
        <v>100</v>
      </c>
    </row>
    <row r="4924" spans="1:21" ht="15" customHeight="1" x14ac:dyDescent="0.3">
      <c r="A4924" t="s">
        <v>179</v>
      </c>
      <c r="B4924" t="str">
        <f>"00058122"</f>
        <v>00058122</v>
      </c>
      <c r="C4924" t="s">
        <v>4253</v>
      </c>
      <c r="D4924" t="s">
        <v>5770</v>
      </c>
      <c r="E4924" t="str">
        <f>"00050476"</f>
        <v>00050476</v>
      </c>
      <c r="F4924">
        <v>0</v>
      </c>
      <c r="G4924" s="243">
        <v>41133</v>
      </c>
      <c r="H4924" t="s">
        <v>182</v>
      </c>
      <c r="I4924">
        <v>15</v>
      </c>
      <c r="J4924">
        <v>7</v>
      </c>
      <c r="K4924">
        <v>1</v>
      </c>
      <c r="L4924">
        <v>61068</v>
      </c>
      <c r="M4924" t="str">
        <f t="shared" si="739"/>
        <v>13</v>
      </c>
      <c r="N4924" t="s">
        <v>3323</v>
      </c>
      <c r="O4924" t="str">
        <f t="shared" si="742"/>
        <v>71611</v>
      </c>
      <c r="P4924" t="str">
        <f t="shared" ref="P4924:P4930" si="744">"2100L"</f>
        <v>2100L</v>
      </c>
      <c r="Q4924" t="str">
        <f t="shared" si="743"/>
        <v>0101</v>
      </c>
      <c r="R4924">
        <v>2100</v>
      </c>
      <c r="S4924" t="str">
        <f t="shared" si="741"/>
        <v>7160</v>
      </c>
      <c r="T4924" t="s">
        <v>3836</v>
      </c>
      <c r="U4924" t="s">
        <v>100</v>
      </c>
    </row>
    <row r="4925" spans="1:21" ht="15" customHeight="1" x14ac:dyDescent="0.3">
      <c r="A4925" t="s">
        <v>179</v>
      </c>
      <c r="B4925" t="str">
        <f>"00058142"</f>
        <v>00058142</v>
      </c>
      <c r="C4925" t="s">
        <v>4253</v>
      </c>
      <c r="D4925" t="s">
        <v>3850</v>
      </c>
      <c r="E4925" t="str">
        <f>"00047089"</f>
        <v>00047089</v>
      </c>
      <c r="F4925">
        <v>0</v>
      </c>
      <c r="G4925" s="243">
        <v>33855</v>
      </c>
      <c r="H4925" t="s">
        <v>182</v>
      </c>
      <c r="I4925">
        <v>15</v>
      </c>
      <c r="J4925">
        <v>16</v>
      </c>
      <c r="K4925">
        <v>1</v>
      </c>
      <c r="L4925">
        <v>100839</v>
      </c>
      <c r="M4925" t="str">
        <f t="shared" si="739"/>
        <v>13</v>
      </c>
      <c r="N4925" t="s">
        <v>3323</v>
      </c>
      <c r="O4925" t="str">
        <f t="shared" si="742"/>
        <v>71611</v>
      </c>
      <c r="P4925" t="str">
        <f t="shared" si="744"/>
        <v>2100L</v>
      </c>
      <c r="Q4925" t="str">
        <f t="shared" si="743"/>
        <v>0101</v>
      </c>
      <c r="R4925">
        <v>2100</v>
      </c>
      <c r="S4925" t="str">
        <f t="shared" si="741"/>
        <v>7160</v>
      </c>
      <c r="T4925" t="s">
        <v>3836</v>
      </c>
      <c r="U4925" t="s">
        <v>100</v>
      </c>
    </row>
    <row r="4926" spans="1:21" ht="15" customHeight="1" x14ac:dyDescent="0.3">
      <c r="A4926" t="s">
        <v>179</v>
      </c>
      <c r="B4926" t="str">
        <f>"00058257"</f>
        <v>00058257</v>
      </c>
      <c r="C4926" t="s">
        <v>4256</v>
      </c>
      <c r="D4926" t="s">
        <v>680</v>
      </c>
      <c r="E4926" t="str">
        <f>"00047292"</f>
        <v>00047292</v>
      </c>
      <c r="F4926">
        <v>0</v>
      </c>
      <c r="G4926" s="243">
        <v>39048</v>
      </c>
      <c r="H4926" t="s">
        <v>182</v>
      </c>
      <c r="I4926">
        <v>15</v>
      </c>
      <c r="J4926">
        <v>10</v>
      </c>
      <c r="K4926">
        <v>1</v>
      </c>
      <c r="L4926">
        <v>78273</v>
      </c>
      <c r="M4926" t="str">
        <f t="shared" si="739"/>
        <v>13</v>
      </c>
      <c r="N4926" t="s">
        <v>3323</v>
      </c>
      <c r="O4926" t="str">
        <f t="shared" si="742"/>
        <v>71611</v>
      </c>
      <c r="P4926" t="str">
        <f t="shared" si="744"/>
        <v>2100L</v>
      </c>
      <c r="Q4926" t="str">
        <f t="shared" si="743"/>
        <v>0101</v>
      </c>
      <c r="R4926">
        <v>2100</v>
      </c>
      <c r="S4926" t="str">
        <f t="shared" si="741"/>
        <v>7160</v>
      </c>
      <c r="T4926" t="s">
        <v>3836</v>
      </c>
      <c r="U4926" t="s">
        <v>100</v>
      </c>
    </row>
    <row r="4927" spans="1:21" ht="15" customHeight="1" x14ac:dyDescent="0.3">
      <c r="A4927" t="s">
        <v>179</v>
      </c>
      <c r="B4927" t="str">
        <f>"00058327"</f>
        <v>00058327</v>
      </c>
      <c r="C4927" t="s">
        <v>203</v>
      </c>
      <c r="D4927" t="s">
        <v>681</v>
      </c>
      <c r="E4927" t="str">
        <f>"00054476"</f>
        <v>00054476</v>
      </c>
      <c r="F4927">
        <v>0</v>
      </c>
      <c r="G4927" s="243">
        <v>28342</v>
      </c>
      <c r="H4927" t="s">
        <v>182</v>
      </c>
      <c r="I4927">
        <v>11</v>
      </c>
      <c r="J4927">
        <v>5</v>
      </c>
      <c r="K4927">
        <v>1</v>
      </c>
      <c r="L4927">
        <v>45108</v>
      </c>
      <c r="M4927" t="str">
        <f t="shared" si="739"/>
        <v>13</v>
      </c>
      <c r="N4927" t="s">
        <v>3323</v>
      </c>
      <c r="O4927" t="str">
        <f t="shared" si="742"/>
        <v>71611</v>
      </c>
      <c r="P4927" t="str">
        <f t="shared" si="744"/>
        <v>2100L</v>
      </c>
      <c r="Q4927" t="str">
        <f t="shared" si="743"/>
        <v>0101</v>
      </c>
      <c r="R4927">
        <v>2100</v>
      </c>
      <c r="S4927" t="str">
        <f t="shared" si="741"/>
        <v>7160</v>
      </c>
      <c r="T4927" t="s">
        <v>3836</v>
      </c>
      <c r="U4927" t="s">
        <v>100</v>
      </c>
    </row>
    <row r="4928" spans="1:21" ht="15" customHeight="1" x14ac:dyDescent="0.3">
      <c r="A4928" t="s">
        <v>179</v>
      </c>
      <c r="B4928" t="str">
        <f>"00059824"</f>
        <v>00059824</v>
      </c>
      <c r="C4928" t="s">
        <v>4254</v>
      </c>
      <c r="D4928" t="s">
        <v>682</v>
      </c>
      <c r="E4928" t="str">
        <f>"00048306"</f>
        <v>00048306</v>
      </c>
      <c r="F4928">
        <v>0</v>
      </c>
      <c r="G4928" s="243">
        <v>38226</v>
      </c>
      <c r="H4928" t="s">
        <v>182</v>
      </c>
      <c r="I4928">
        <v>15</v>
      </c>
      <c r="J4928">
        <v>14</v>
      </c>
      <c r="K4928">
        <v>1</v>
      </c>
      <c r="L4928">
        <v>96460</v>
      </c>
      <c r="M4928" t="str">
        <f t="shared" si="739"/>
        <v>13</v>
      </c>
      <c r="N4928" t="s">
        <v>3323</v>
      </c>
      <c r="O4928" t="str">
        <f t="shared" si="742"/>
        <v>71611</v>
      </c>
      <c r="P4928" t="str">
        <f t="shared" si="744"/>
        <v>2100L</v>
      </c>
      <c r="Q4928" t="str">
        <f t="shared" si="743"/>
        <v>0101</v>
      </c>
      <c r="R4928">
        <v>2100</v>
      </c>
      <c r="S4928" t="str">
        <f t="shared" si="741"/>
        <v>7160</v>
      </c>
      <c r="T4928" t="s">
        <v>3836</v>
      </c>
      <c r="U4928" t="s">
        <v>100</v>
      </c>
    </row>
    <row r="4929" spans="1:21" ht="15" customHeight="1" x14ac:dyDescent="0.3">
      <c r="A4929" t="s">
        <v>179</v>
      </c>
      <c r="B4929" t="str">
        <f>"00060673"</f>
        <v>00060673</v>
      </c>
      <c r="C4929" t="s">
        <v>212</v>
      </c>
      <c r="D4929" t="s">
        <v>2417</v>
      </c>
      <c r="E4929" t="str">
        <f>"00062844"</f>
        <v>00062844</v>
      </c>
      <c r="F4929">
        <v>0</v>
      </c>
      <c r="G4929" s="243">
        <v>40406</v>
      </c>
      <c r="H4929" t="s">
        <v>182</v>
      </c>
      <c r="I4929">
        <v>15</v>
      </c>
      <c r="J4929">
        <v>3</v>
      </c>
      <c r="K4929">
        <v>1</v>
      </c>
      <c r="L4929">
        <v>58699</v>
      </c>
      <c r="M4929" t="str">
        <f t="shared" si="739"/>
        <v>13</v>
      </c>
      <c r="N4929" t="s">
        <v>3323</v>
      </c>
      <c r="O4929" t="str">
        <f t="shared" si="742"/>
        <v>71611</v>
      </c>
      <c r="P4929" t="str">
        <f t="shared" si="744"/>
        <v>2100L</v>
      </c>
      <c r="Q4929" t="str">
        <f t="shared" si="743"/>
        <v>0101</v>
      </c>
      <c r="R4929">
        <v>2100</v>
      </c>
      <c r="S4929" t="str">
        <f t="shared" si="741"/>
        <v>7160</v>
      </c>
      <c r="T4929" t="s">
        <v>3836</v>
      </c>
      <c r="U4929" t="s">
        <v>100</v>
      </c>
    </row>
    <row r="4930" spans="1:21" ht="15" customHeight="1" x14ac:dyDescent="0.3">
      <c r="A4930" t="s">
        <v>179</v>
      </c>
      <c r="B4930" t="str">
        <f>"00060909"</f>
        <v>00060909</v>
      </c>
      <c r="C4930" t="s">
        <v>4260</v>
      </c>
      <c r="D4930" t="s">
        <v>683</v>
      </c>
      <c r="E4930" t="str">
        <f>"00046250"</f>
        <v>00046250</v>
      </c>
      <c r="F4930">
        <v>0</v>
      </c>
      <c r="G4930" s="243">
        <v>39314</v>
      </c>
      <c r="H4930" t="s">
        <v>182</v>
      </c>
      <c r="I4930">
        <v>15</v>
      </c>
      <c r="J4930">
        <v>6</v>
      </c>
      <c r="K4930">
        <v>1</v>
      </c>
      <c r="L4930">
        <v>66078</v>
      </c>
      <c r="M4930" t="str">
        <f t="shared" si="739"/>
        <v>13</v>
      </c>
      <c r="N4930" t="s">
        <v>3323</v>
      </c>
      <c r="O4930" t="str">
        <f t="shared" si="742"/>
        <v>71611</v>
      </c>
      <c r="P4930" t="str">
        <f t="shared" si="744"/>
        <v>2100L</v>
      </c>
      <c r="Q4930" t="str">
        <f t="shared" si="743"/>
        <v>0101</v>
      </c>
      <c r="R4930">
        <v>2100</v>
      </c>
      <c r="S4930" t="str">
        <f t="shared" si="741"/>
        <v>7160</v>
      </c>
      <c r="T4930" t="s">
        <v>3836</v>
      </c>
      <c r="U4930" t="s">
        <v>100</v>
      </c>
    </row>
    <row r="4931" spans="1:21" ht="15" customHeight="1" x14ac:dyDescent="0.3">
      <c r="A4931" t="s">
        <v>179</v>
      </c>
      <c r="B4931" t="str">
        <f>"00061004"</f>
        <v>00061004</v>
      </c>
      <c r="C4931" t="s">
        <v>3798</v>
      </c>
      <c r="D4931" t="s">
        <v>5771</v>
      </c>
      <c r="E4931" t="str">
        <f>"00069316"</f>
        <v>00069316</v>
      </c>
      <c r="F4931">
        <v>0</v>
      </c>
      <c r="G4931" s="243">
        <v>41099</v>
      </c>
      <c r="H4931" t="s">
        <v>182</v>
      </c>
      <c r="I4931">
        <v>66</v>
      </c>
      <c r="J4931">
        <v>6</v>
      </c>
      <c r="K4931">
        <v>1</v>
      </c>
      <c r="L4931">
        <v>140000</v>
      </c>
      <c r="M4931" t="str">
        <f t="shared" si="739"/>
        <v>13</v>
      </c>
      <c r="N4931" t="s">
        <v>3323</v>
      </c>
      <c r="O4931" t="str">
        <f t="shared" si="742"/>
        <v>71611</v>
      </c>
      <c r="P4931" t="str">
        <f>"1501L"</f>
        <v>1501L</v>
      </c>
      <c r="Q4931" t="str">
        <f t="shared" si="743"/>
        <v>0101</v>
      </c>
      <c r="R4931">
        <v>1501</v>
      </c>
      <c r="S4931" t="str">
        <f t="shared" si="741"/>
        <v>7160</v>
      </c>
      <c r="T4931" t="s">
        <v>3836</v>
      </c>
      <c r="U4931" t="s">
        <v>100</v>
      </c>
    </row>
    <row r="4932" spans="1:21" ht="15" customHeight="1" x14ac:dyDescent="0.3">
      <c r="A4932" t="s">
        <v>179</v>
      </c>
      <c r="B4932" t="str">
        <f>"00061844"</f>
        <v>00061844</v>
      </c>
      <c r="C4932" t="s">
        <v>3670</v>
      </c>
      <c r="H4932" t="s">
        <v>170</v>
      </c>
      <c r="I4932">
        <v>8</v>
      </c>
      <c r="J4932">
        <v>1</v>
      </c>
      <c r="K4932">
        <v>1</v>
      </c>
      <c r="L4932">
        <v>83809</v>
      </c>
      <c r="M4932" t="str">
        <f t="shared" si="739"/>
        <v>13</v>
      </c>
      <c r="N4932" t="s">
        <v>3323</v>
      </c>
      <c r="O4932" t="str">
        <f t="shared" si="742"/>
        <v>71611</v>
      </c>
      <c r="P4932" t="str">
        <f>"1501L"</f>
        <v>1501L</v>
      </c>
      <c r="Q4932" t="str">
        <f t="shared" si="743"/>
        <v>0101</v>
      </c>
      <c r="R4932">
        <v>1501</v>
      </c>
      <c r="S4932" t="str">
        <f t="shared" si="741"/>
        <v>7160</v>
      </c>
      <c r="T4932" t="s">
        <v>3836</v>
      </c>
      <c r="U4932" t="s">
        <v>100</v>
      </c>
    </row>
    <row r="4933" spans="1:21" ht="15" customHeight="1" x14ac:dyDescent="0.3">
      <c r="A4933" t="s">
        <v>179</v>
      </c>
      <c r="B4933" t="str">
        <f>"00061845"</f>
        <v>00061845</v>
      </c>
      <c r="C4933" t="s">
        <v>3670</v>
      </c>
      <c r="D4933" t="s">
        <v>685</v>
      </c>
      <c r="E4933" t="str">
        <f>"00049516"</f>
        <v>00049516</v>
      </c>
      <c r="F4933">
        <v>0</v>
      </c>
      <c r="G4933" s="243">
        <v>39649</v>
      </c>
      <c r="H4933" t="s">
        <v>182</v>
      </c>
      <c r="I4933">
        <v>8</v>
      </c>
      <c r="J4933">
        <v>4</v>
      </c>
      <c r="K4933">
        <v>1</v>
      </c>
      <c r="L4933">
        <v>91181</v>
      </c>
      <c r="M4933" t="str">
        <f t="shared" si="739"/>
        <v>13</v>
      </c>
      <c r="N4933" t="s">
        <v>3323</v>
      </c>
      <c r="O4933" t="str">
        <f t="shared" si="742"/>
        <v>71611</v>
      </c>
      <c r="P4933" t="str">
        <f>"1501L"</f>
        <v>1501L</v>
      </c>
      <c r="Q4933" t="str">
        <f t="shared" si="743"/>
        <v>0101</v>
      </c>
      <c r="R4933">
        <v>1501</v>
      </c>
      <c r="S4933" t="str">
        <f t="shared" si="741"/>
        <v>7160</v>
      </c>
      <c r="T4933" t="s">
        <v>3836</v>
      </c>
      <c r="U4933" t="s">
        <v>100</v>
      </c>
    </row>
    <row r="4934" spans="1:21" ht="15" customHeight="1" x14ac:dyDescent="0.3">
      <c r="A4934" t="s">
        <v>179</v>
      </c>
      <c r="B4934" t="str">
        <f>"00061942"</f>
        <v>00061942</v>
      </c>
      <c r="C4934" t="s">
        <v>4253</v>
      </c>
      <c r="D4934" t="s">
        <v>686</v>
      </c>
      <c r="E4934" t="str">
        <f>"00049139"</f>
        <v>00049139</v>
      </c>
      <c r="F4934">
        <v>0</v>
      </c>
      <c r="G4934" s="243">
        <v>39679</v>
      </c>
      <c r="H4934" t="s">
        <v>182</v>
      </c>
      <c r="I4934">
        <v>15</v>
      </c>
      <c r="J4934">
        <v>12</v>
      </c>
      <c r="K4934">
        <v>1</v>
      </c>
      <c r="L4934">
        <v>87431</v>
      </c>
      <c r="M4934" t="str">
        <f t="shared" si="739"/>
        <v>13</v>
      </c>
      <c r="N4934" t="s">
        <v>3323</v>
      </c>
      <c r="O4934" t="str">
        <f t="shared" si="742"/>
        <v>71611</v>
      </c>
      <c r="P4934" t="str">
        <f t="shared" ref="P4934:P4950" si="745">"2100L"</f>
        <v>2100L</v>
      </c>
      <c r="Q4934" t="str">
        <f t="shared" si="743"/>
        <v>0101</v>
      </c>
      <c r="R4934">
        <v>2100</v>
      </c>
      <c r="S4934" t="str">
        <f t="shared" si="741"/>
        <v>7160</v>
      </c>
      <c r="T4934" t="s">
        <v>3836</v>
      </c>
      <c r="U4934" t="s">
        <v>100</v>
      </c>
    </row>
    <row r="4935" spans="1:21" ht="15" customHeight="1" x14ac:dyDescent="0.3">
      <c r="A4935" t="s">
        <v>179</v>
      </c>
      <c r="B4935" t="str">
        <f>"00061943"</f>
        <v>00061943</v>
      </c>
      <c r="C4935" t="s">
        <v>4253</v>
      </c>
      <c r="D4935" t="s">
        <v>687</v>
      </c>
      <c r="E4935" t="str">
        <f>"00050035"</f>
        <v>00050035</v>
      </c>
      <c r="F4935">
        <v>0</v>
      </c>
      <c r="G4935" s="243">
        <v>39679</v>
      </c>
      <c r="H4935" t="s">
        <v>182</v>
      </c>
      <c r="I4935">
        <v>15</v>
      </c>
      <c r="J4935">
        <v>14</v>
      </c>
      <c r="K4935">
        <v>1</v>
      </c>
      <c r="L4935">
        <v>96460</v>
      </c>
      <c r="M4935" t="str">
        <f t="shared" si="739"/>
        <v>13</v>
      </c>
      <c r="N4935" t="s">
        <v>3323</v>
      </c>
      <c r="O4935" t="str">
        <f t="shared" si="742"/>
        <v>71611</v>
      </c>
      <c r="P4935" t="str">
        <f t="shared" si="745"/>
        <v>2100L</v>
      </c>
      <c r="Q4935" t="str">
        <f t="shared" si="743"/>
        <v>0101</v>
      </c>
      <c r="R4935">
        <v>2100</v>
      </c>
      <c r="S4935" t="str">
        <f t="shared" si="741"/>
        <v>7160</v>
      </c>
      <c r="T4935" t="s">
        <v>3836</v>
      </c>
      <c r="U4935" t="s">
        <v>100</v>
      </c>
    </row>
    <row r="4936" spans="1:21" ht="15" customHeight="1" x14ac:dyDescent="0.3">
      <c r="A4936" t="s">
        <v>179</v>
      </c>
      <c r="B4936" t="str">
        <f>"00062098"</f>
        <v>00062098</v>
      </c>
      <c r="C4936" t="s">
        <v>4253</v>
      </c>
      <c r="D4936" t="s">
        <v>2402</v>
      </c>
      <c r="E4936" t="str">
        <f>"00057299"</f>
        <v>00057299</v>
      </c>
      <c r="F4936">
        <v>0</v>
      </c>
      <c r="G4936" s="243">
        <v>40042</v>
      </c>
      <c r="H4936" t="s">
        <v>182</v>
      </c>
      <c r="I4936">
        <v>15</v>
      </c>
      <c r="J4936">
        <v>3</v>
      </c>
      <c r="K4936">
        <v>1</v>
      </c>
      <c r="L4936">
        <v>52777</v>
      </c>
      <c r="M4936" t="str">
        <f t="shared" si="739"/>
        <v>13</v>
      </c>
      <c r="N4936" t="s">
        <v>3323</v>
      </c>
      <c r="O4936" t="str">
        <f t="shared" si="742"/>
        <v>71611</v>
      </c>
      <c r="P4936" t="str">
        <f t="shared" si="745"/>
        <v>2100L</v>
      </c>
      <c r="Q4936" t="str">
        <f t="shared" si="743"/>
        <v>0101</v>
      </c>
      <c r="R4936">
        <v>2100</v>
      </c>
      <c r="S4936" t="str">
        <f t="shared" si="741"/>
        <v>7160</v>
      </c>
      <c r="T4936" t="s">
        <v>3836</v>
      </c>
      <c r="U4936" t="s">
        <v>100</v>
      </c>
    </row>
    <row r="4937" spans="1:21" ht="15" customHeight="1" x14ac:dyDescent="0.3">
      <c r="A4937" t="s">
        <v>179</v>
      </c>
      <c r="B4937" t="str">
        <f>"00062480"</f>
        <v>00062480</v>
      </c>
      <c r="C4937" t="s">
        <v>4257</v>
      </c>
      <c r="D4937" t="s">
        <v>2271</v>
      </c>
      <c r="E4937" t="str">
        <f>"00063138"</f>
        <v>00063138</v>
      </c>
      <c r="F4937">
        <v>0</v>
      </c>
      <c r="G4937" s="243">
        <v>40409</v>
      </c>
      <c r="H4937" t="s">
        <v>182</v>
      </c>
      <c r="I4937">
        <v>15</v>
      </c>
      <c r="J4937">
        <v>9</v>
      </c>
      <c r="K4937">
        <v>1</v>
      </c>
      <c r="L4937">
        <v>75232</v>
      </c>
      <c r="M4937" t="str">
        <f t="shared" si="739"/>
        <v>13</v>
      </c>
      <c r="N4937" t="s">
        <v>3323</v>
      </c>
      <c r="O4937" t="str">
        <f t="shared" si="742"/>
        <v>71611</v>
      </c>
      <c r="P4937" t="str">
        <f t="shared" si="745"/>
        <v>2100L</v>
      </c>
      <c r="Q4937" t="str">
        <f t="shared" si="743"/>
        <v>0101</v>
      </c>
      <c r="R4937">
        <v>2100</v>
      </c>
      <c r="S4937" t="str">
        <f t="shared" si="741"/>
        <v>7160</v>
      </c>
      <c r="T4937" t="s">
        <v>3836</v>
      </c>
      <c r="U4937" t="s">
        <v>100</v>
      </c>
    </row>
    <row r="4938" spans="1:21" ht="15" customHeight="1" x14ac:dyDescent="0.3">
      <c r="A4938" t="s">
        <v>179</v>
      </c>
      <c r="B4938" t="str">
        <f>"00062564"</f>
        <v>00062564</v>
      </c>
      <c r="C4938" t="s">
        <v>4253</v>
      </c>
      <c r="H4938" t="s">
        <v>170</v>
      </c>
      <c r="I4938">
        <v>15</v>
      </c>
      <c r="J4938">
        <v>1</v>
      </c>
      <c r="K4938">
        <v>1</v>
      </c>
      <c r="L4938">
        <v>51539</v>
      </c>
      <c r="M4938" t="str">
        <f t="shared" si="739"/>
        <v>13</v>
      </c>
      <c r="N4938" t="s">
        <v>3323</v>
      </c>
      <c r="O4938" t="str">
        <f t="shared" si="742"/>
        <v>71611</v>
      </c>
      <c r="P4938" t="str">
        <f t="shared" si="745"/>
        <v>2100L</v>
      </c>
      <c r="Q4938" t="str">
        <f t="shared" si="743"/>
        <v>0101</v>
      </c>
      <c r="R4938">
        <v>2100</v>
      </c>
      <c r="S4938" t="str">
        <f t="shared" si="741"/>
        <v>7160</v>
      </c>
      <c r="T4938" t="s">
        <v>3836</v>
      </c>
      <c r="U4938" t="s">
        <v>100</v>
      </c>
    </row>
    <row r="4939" spans="1:21" ht="15" customHeight="1" x14ac:dyDescent="0.3">
      <c r="A4939" t="s">
        <v>179</v>
      </c>
      <c r="B4939" t="str">
        <f>"00062679"</f>
        <v>00062679</v>
      </c>
      <c r="C4939" t="s">
        <v>4258</v>
      </c>
      <c r="D4939" t="s">
        <v>689</v>
      </c>
      <c r="E4939" t="str">
        <f>"00049086"</f>
        <v>00049086</v>
      </c>
      <c r="F4939">
        <v>0</v>
      </c>
      <c r="G4939" s="243">
        <v>39727</v>
      </c>
      <c r="H4939" t="s">
        <v>182</v>
      </c>
      <c r="I4939">
        <v>15</v>
      </c>
      <c r="J4939">
        <v>7</v>
      </c>
      <c r="K4939">
        <v>1</v>
      </c>
      <c r="L4939">
        <v>69132</v>
      </c>
      <c r="M4939" t="str">
        <f t="shared" si="739"/>
        <v>13</v>
      </c>
      <c r="N4939" t="s">
        <v>3323</v>
      </c>
      <c r="O4939" t="str">
        <f t="shared" si="742"/>
        <v>71611</v>
      </c>
      <c r="P4939" t="str">
        <f t="shared" si="745"/>
        <v>2100L</v>
      </c>
      <c r="Q4939" t="str">
        <f t="shared" si="743"/>
        <v>0101</v>
      </c>
      <c r="R4939">
        <v>2100</v>
      </c>
      <c r="S4939" t="str">
        <f t="shared" si="741"/>
        <v>7160</v>
      </c>
      <c r="T4939" t="s">
        <v>3836</v>
      </c>
      <c r="U4939" t="s">
        <v>100</v>
      </c>
    </row>
    <row r="4940" spans="1:21" ht="15" customHeight="1" x14ac:dyDescent="0.3">
      <c r="A4940" t="s">
        <v>179</v>
      </c>
      <c r="B4940" t="str">
        <f>"00065701"</f>
        <v>00065701</v>
      </c>
      <c r="C4940" t="s">
        <v>4253</v>
      </c>
      <c r="D4940" t="s">
        <v>690</v>
      </c>
      <c r="E4940" t="str">
        <f>"00057494"</f>
        <v>00057494</v>
      </c>
      <c r="F4940">
        <v>0</v>
      </c>
      <c r="G4940" s="243">
        <v>40042</v>
      </c>
      <c r="H4940" t="s">
        <v>182</v>
      </c>
      <c r="I4940">
        <v>15</v>
      </c>
      <c r="J4940">
        <v>3</v>
      </c>
      <c r="K4940">
        <v>1</v>
      </c>
      <c r="L4940">
        <v>52777</v>
      </c>
      <c r="M4940" t="str">
        <f t="shared" si="739"/>
        <v>13</v>
      </c>
      <c r="N4940" t="s">
        <v>3323</v>
      </c>
      <c r="O4940" t="str">
        <f t="shared" si="742"/>
        <v>71611</v>
      </c>
      <c r="P4940" t="str">
        <f t="shared" si="745"/>
        <v>2100L</v>
      </c>
      <c r="Q4940" t="str">
        <f t="shared" si="743"/>
        <v>0101</v>
      </c>
      <c r="R4940">
        <v>2100</v>
      </c>
      <c r="S4940" t="str">
        <f t="shared" si="741"/>
        <v>7160</v>
      </c>
      <c r="T4940" t="s">
        <v>3836</v>
      </c>
      <c r="U4940" t="s">
        <v>100</v>
      </c>
    </row>
    <row r="4941" spans="1:21" ht="15" customHeight="1" x14ac:dyDescent="0.3">
      <c r="A4941" t="s">
        <v>179</v>
      </c>
      <c r="B4941" t="str">
        <f>"00065703"</f>
        <v>00065703</v>
      </c>
      <c r="C4941" t="s">
        <v>4253</v>
      </c>
      <c r="D4941" t="s">
        <v>691</v>
      </c>
      <c r="E4941" t="str">
        <f>"00057165"</f>
        <v>00057165</v>
      </c>
      <c r="F4941">
        <v>0</v>
      </c>
      <c r="G4941" s="243">
        <v>40042</v>
      </c>
      <c r="H4941" t="s">
        <v>182</v>
      </c>
      <c r="I4941">
        <v>15</v>
      </c>
      <c r="J4941">
        <v>9</v>
      </c>
      <c r="K4941">
        <v>1</v>
      </c>
      <c r="L4941">
        <v>75232</v>
      </c>
      <c r="M4941" t="str">
        <f t="shared" si="739"/>
        <v>13</v>
      </c>
      <c r="N4941" t="s">
        <v>3323</v>
      </c>
      <c r="O4941" t="str">
        <f t="shared" si="742"/>
        <v>71611</v>
      </c>
      <c r="P4941" t="str">
        <f t="shared" si="745"/>
        <v>2100L</v>
      </c>
      <c r="Q4941" t="str">
        <f t="shared" si="743"/>
        <v>0101</v>
      </c>
      <c r="R4941">
        <v>2100</v>
      </c>
      <c r="S4941" t="str">
        <f t="shared" si="741"/>
        <v>7160</v>
      </c>
      <c r="T4941" t="s">
        <v>3836</v>
      </c>
      <c r="U4941" t="s">
        <v>100</v>
      </c>
    </row>
    <row r="4942" spans="1:21" ht="15" customHeight="1" x14ac:dyDescent="0.3">
      <c r="A4942" t="s">
        <v>179</v>
      </c>
      <c r="B4942" t="str">
        <f>"00065704"</f>
        <v>00065704</v>
      </c>
      <c r="C4942" t="s">
        <v>4260</v>
      </c>
      <c r="D4942" t="s">
        <v>1811</v>
      </c>
      <c r="E4942" t="str">
        <f>"00046556"</f>
        <v>00046556</v>
      </c>
      <c r="F4942">
        <v>0</v>
      </c>
      <c r="G4942" s="243">
        <v>36046</v>
      </c>
      <c r="H4942" t="s">
        <v>182</v>
      </c>
      <c r="I4942">
        <v>15</v>
      </c>
      <c r="J4942">
        <v>16</v>
      </c>
      <c r="K4942">
        <v>1</v>
      </c>
      <c r="L4942">
        <v>100839</v>
      </c>
      <c r="M4942" t="str">
        <f t="shared" si="739"/>
        <v>13</v>
      </c>
      <c r="N4942" t="s">
        <v>3323</v>
      </c>
      <c r="O4942" t="str">
        <f t="shared" si="742"/>
        <v>71611</v>
      </c>
      <c r="P4942" t="str">
        <f t="shared" si="745"/>
        <v>2100L</v>
      </c>
      <c r="Q4942" t="str">
        <f t="shared" si="743"/>
        <v>0101</v>
      </c>
      <c r="R4942">
        <v>2100</v>
      </c>
      <c r="S4942" t="str">
        <f t="shared" ref="S4942:S4956" si="746">"7160"</f>
        <v>7160</v>
      </c>
      <c r="T4942" t="s">
        <v>3836</v>
      </c>
      <c r="U4942" t="s">
        <v>100</v>
      </c>
    </row>
    <row r="4943" spans="1:21" ht="15" customHeight="1" x14ac:dyDescent="0.3">
      <c r="A4943" t="s">
        <v>179</v>
      </c>
      <c r="B4943" t="str">
        <f>"00065705"</f>
        <v>00065705</v>
      </c>
      <c r="C4943" t="s">
        <v>4266</v>
      </c>
      <c r="H4943" t="s">
        <v>170</v>
      </c>
      <c r="I4943">
        <v>15</v>
      </c>
      <c r="J4943">
        <v>1</v>
      </c>
      <c r="K4943">
        <v>1</v>
      </c>
      <c r="L4943">
        <v>53256</v>
      </c>
      <c r="M4943" t="str">
        <f t="shared" si="739"/>
        <v>13</v>
      </c>
      <c r="N4943" t="s">
        <v>3323</v>
      </c>
      <c r="O4943" t="str">
        <f t="shared" si="742"/>
        <v>71611</v>
      </c>
      <c r="P4943" t="str">
        <f t="shared" si="745"/>
        <v>2100L</v>
      </c>
      <c r="Q4943" t="str">
        <f t="shared" si="743"/>
        <v>0101</v>
      </c>
      <c r="R4943">
        <v>2100</v>
      </c>
      <c r="S4943" t="str">
        <f t="shared" si="746"/>
        <v>7160</v>
      </c>
      <c r="T4943" t="s">
        <v>3836</v>
      </c>
      <c r="U4943" t="s">
        <v>100</v>
      </c>
    </row>
    <row r="4944" spans="1:21" ht="15" customHeight="1" x14ac:dyDescent="0.3">
      <c r="A4944" t="s">
        <v>179</v>
      </c>
      <c r="B4944" t="str">
        <f>"00065706"</f>
        <v>00065706</v>
      </c>
      <c r="C4944" t="s">
        <v>4255</v>
      </c>
      <c r="H4944" t="s">
        <v>170</v>
      </c>
      <c r="I4944">
        <v>15</v>
      </c>
      <c r="J4944">
        <v>1</v>
      </c>
      <c r="K4944">
        <v>1</v>
      </c>
      <c r="L4944">
        <v>51539</v>
      </c>
      <c r="M4944" t="str">
        <f t="shared" si="739"/>
        <v>13</v>
      </c>
      <c r="N4944" t="s">
        <v>3323</v>
      </c>
      <c r="O4944" t="str">
        <f t="shared" si="742"/>
        <v>71611</v>
      </c>
      <c r="P4944" t="str">
        <f t="shared" si="745"/>
        <v>2100L</v>
      </c>
      <c r="Q4944" t="str">
        <f t="shared" si="743"/>
        <v>0101</v>
      </c>
      <c r="R4944">
        <v>2100</v>
      </c>
      <c r="S4944" t="str">
        <f t="shared" si="746"/>
        <v>7160</v>
      </c>
      <c r="T4944" t="s">
        <v>3836</v>
      </c>
      <c r="U4944" t="s">
        <v>100</v>
      </c>
    </row>
    <row r="4945" spans="1:21" ht="15" customHeight="1" x14ac:dyDescent="0.3">
      <c r="A4945" t="s">
        <v>179</v>
      </c>
      <c r="B4945" t="str">
        <f>"00066849"</f>
        <v>00066849</v>
      </c>
      <c r="C4945" t="s">
        <v>4253</v>
      </c>
      <c r="D4945" t="s">
        <v>695</v>
      </c>
      <c r="E4945" t="str">
        <f>"00056910"</f>
        <v>00056910</v>
      </c>
      <c r="F4945">
        <v>0</v>
      </c>
      <c r="G4945" s="243">
        <v>40042</v>
      </c>
      <c r="H4945" t="s">
        <v>182</v>
      </c>
      <c r="I4945">
        <v>15</v>
      </c>
      <c r="J4945">
        <v>9</v>
      </c>
      <c r="K4945">
        <v>1</v>
      </c>
      <c r="L4945">
        <v>75232</v>
      </c>
      <c r="M4945" t="str">
        <f t="shared" si="739"/>
        <v>13</v>
      </c>
      <c r="N4945" t="s">
        <v>3323</v>
      </c>
      <c r="O4945" t="str">
        <f t="shared" si="742"/>
        <v>71611</v>
      </c>
      <c r="P4945" t="str">
        <f t="shared" si="745"/>
        <v>2100L</v>
      </c>
      <c r="Q4945" t="str">
        <f t="shared" si="743"/>
        <v>0101</v>
      </c>
      <c r="R4945">
        <v>2100</v>
      </c>
      <c r="S4945" t="str">
        <f t="shared" si="746"/>
        <v>7160</v>
      </c>
      <c r="T4945" t="s">
        <v>3836</v>
      </c>
      <c r="U4945" t="s">
        <v>100</v>
      </c>
    </row>
    <row r="4946" spans="1:21" ht="15" customHeight="1" x14ac:dyDescent="0.3">
      <c r="A4946" t="s">
        <v>179</v>
      </c>
      <c r="B4946" t="str">
        <f>"00066965"</f>
        <v>00066965</v>
      </c>
      <c r="C4946" t="s">
        <v>200</v>
      </c>
      <c r="H4946" t="s">
        <v>170</v>
      </c>
      <c r="I4946">
        <v>15</v>
      </c>
      <c r="J4946">
        <v>1</v>
      </c>
      <c r="K4946">
        <v>1</v>
      </c>
      <c r="L4946">
        <v>54975</v>
      </c>
      <c r="M4946" t="str">
        <f t="shared" si="739"/>
        <v>13</v>
      </c>
      <c r="N4946" t="s">
        <v>3323</v>
      </c>
      <c r="O4946" t="str">
        <f t="shared" si="742"/>
        <v>71611</v>
      </c>
      <c r="P4946" t="str">
        <f t="shared" si="745"/>
        <v>2100L</v>
      </c>
      <c r="Q4946" t="str">
        <f t="shared" si="743"/>
        <v>0101</v>
      </c>
      <c r="R4946">
        <v>2100</v>
      </c>
      <c r="S4946" t="str">
        <f t="shared" si="746"/>
        <v>7160</v>
      </c>
      <c r="T4946" t="s">
        <v>3836</v>
      </c>
      <c r="U4946" t="s">
        <v>100</v>
      </c>
    </row>
    <row r="4947" spans="1:21" ht="15" customHeight="1" x14ac:dyDescent="0.3">
      <c r="A4947" t="s">
        <v>179</v>
      </c>
      <c r="B4947" t="str">
        <f>"00067917"</f>
        <v>00067917</v>
      </c>
      <c r="C4947" t="s">
        <v>4260</v>
      </c>
      <c r="D4947" t="s">
        <v>2332</v>
      </c>
      <c r="E4947" t="str">
        <f>"00053231"</f>
        <v>00053231</v>
      </c>
      <c r="F4947">
        <v>0</v>
      </c>
      <c r="G4947" s="243">
        <v>35675</v>
      </c>
      <c r="H4947" t="s">
        <v>182</v>
      </c>
      <c r="I4947">
        <v>15</v>
      </c>
      <c r="J4947">
        <v>15</v>
      </c>
      <c r="K4947">
        <v>1</v>
      </c>
      <c r="L4947">
        <v>98285</v>
      </c>
      <c r="M4947" t="str">
        <f t="shared" si="739"/>
        <v>13</v>
      </c>
      <c r="N4947" t="s">
        <v>3323</v>
      </c>
      <c r="O4947" t="str">
        <f t="shared" si="742"/>
        <v>71611</v>
      </c>
      <c r="P4947" t="str">
        <f t="shared" si="745"/>
        <v>2100L</v>
      </c>
      <c r="Q4947" t="str">
        <f t="shared" si="743"/>
        <v>0101</v>
      </c>
      <c r="R4947">
        <v>2100</v>
      </c>
      <c r="S4947" t="str">
        <f t="shared" si="746"/>
        <v>7160</v>
      </c>
      <c r="T4947" t="s">
        <v>3836</v>
      </c>
      <c r="U4947" t="s">
        <v>100</v>
      </c>
    </row>
    <row r="4948" spans="1:21" ht="15" customHeight="1" x14ac:dyDescent="0.3">
      <c r="A4948" t="s">
        <v>179</v>
      </c>
      <c r="B4948" t="str">
        <f>"00072385"</f>
        <v>00072385</v>
      </c>
      <c r="C4948" t="s">
        <v>212</v>
      </c>
      <c r="D4948" t="s">
        <v>696</v>
      </c>
      <c r="E4948" t="str">
        <f>"00062650"</f>
        <v>00062650</v>
      </c>
      <c r="F4948">
        <v>0</v>
      </c>
      <c r="G4948" s="243">
        <v>40406</v>
      </c>
      <c r="H4948" t="s">
        <v>182</v>
      </c>
      <c r="I4948">
        <v>15</v>
      </c>
      <c r="J4948">
        <v>3</v>
      </c>
      <c r="K4948">
        <v>1</v>
      </c>
      <c r="L4948">
        <v>61159</v>
      </c>
      <c r="M4948" t="str">
        <f t="shared" si="739"/>
        <v>13</v>
      </c>
      <c r="N4948" t="s">
        <v>3323</v>
      </c>
      <c r="O4948" t="str">
        <f t="shared" si="742"/>
        <v>71611</v>
      </c>
      <c r="P4948" t="str">
        <f t="shared" si="745"/>
        <v>2100L</v>
      </c>
      <c r="Q4948" t="str">
        <f t="shared" si="743"/>
        <v>0101</v>
      </c>
      <c r="R4948">
        <v>2100</v>
      </c>
      <c r="S4948" t="str">
        <f t="shared" si="746"/>
        <v>7160</v>
      </c>
      <c r="T4948" t="s">
        <v>3836</v>
      </c>
      <c r="U4948" t="s">
        <v>100</v>
      </c>
    </row>
    <row r="4949" spans="1:21" ht="15" customHeight="1" x14ac:dyDescent="0.3">
      <c r="A4949" t="s">
        <v>179</v>
      </c>
      <c r="B4949" t="str">
        <f>"00072490"</f>
        <v>00072490</v>
      </c>
      <c r="C4949" t="s">
        <v>4290</v>
      </c>
      <c r="D4949" t="s">
        <v>5772</v>
      </c>
      <c r="E4949" t="str">
        <f>"00045833"</f>
        <v>00045833</v>
      </c>
      <c r="F4949">
        <v>0</v>
      </c>
      <c r="G4949" s="243">
        <v>35161</v>
      </c>
      <c r="H4949" t="s">
        <v>182</v>
      </c>
      <c r="I4949">
        <v>4</v>
      </c>
      <c r="J4949">
        <v>10</v>
      </c>
      <c r="K4949">
        <v>0.71</v>
      </c>
      <c r="L4949">
        <v>28721</v>
      </c>
      <c r="M4949" t="str">
        <f t="shared" si="739"/>
        <v>13</v>
      </c>
      <c r="N4949" t="s">
        <v>3370</v>
      </c>
      <c r="O4949" t="str">
        <f t="shared" ref="O4949:O4956" si="747">"71611"</f>
        <v>71611</v>
      </c>
      <c r="P4949" t="str">
        <f t="shared" si="745"/>
        <v>2100L</v>
      </c>
      <c r="Q4949" t="str">
        <f t="shared" ref="Q4949:Q4971" si="748">"0101"</f>
        <v>0101</v>
      </c>
      <c r="R4949">
        <v>2100</v>
      </c>
      <c r="S4949" t="str">
        <f t="shared" si="746"/>
        <v>7160</v>
      </c>
      <c r="T4949" t="s">
        <v>3836</v>
      </c>
      <c r="U4949" t="s">
        <v>100</v>
      </c>
    </row>
    <row r="4950" spans="1:21" ht="15" customHeight="1" x14ac:dyDescent="0.3">
      <c r="A4950" t="s">
        <v>179</v>
      </c>
      <c r="B4950" t="str">
        <f>"00072491"</f>
        <v>00072491</v>
      </c>
      <c r="C4950" t="s">
        <v>4290</v>
      </c>
      <c r="D4950" t="s">
        <v>5773</v>
      </c>
      <c r="E4950" t="str">
        <f>"00050680"</f>
        <v>00050680</v>
      </c>
      <c r="F4950">
        <v>0</v>
      </c>
      <c r="G4950" s="243">
        <v>38272</v>
      </c>
      <c r="H4950" t="s">
        <v>182</v>
      </c>
      <c r="I4950">
        <v>4</v>
      </c>
      <c r="J4950">
        <v>6</v>
      </c>
      <c r="K4950">
        <v>0.71</v>
      </c>
      <c r="L4950">
        <v>25935.88</v>
      </c>
      <c r="M4950" t="str">
        <f t="shared" si="739"/>
        <v>13</v>
      </c>
      <c r="N4950" t="s">
        <v>3323</v>
      </c>
      <c r="O4950" t="str">
        <f t="shared" si="747"/>
        <v>71611</v>
      </c>
      <c r="P4950" t="str">
        <f t="shared" si="745"/>
        <v>2100L</v>
      </c>
      <c r="Q4950" t="str">
        <f t="shared" si="748"/>
        <v>0101</v>
      </c>
      <c r="R4950">
        <v>2100</v>
      </c>
      <c r="S4950" t="str">
        <f t="shared" si="746"/>
        <v>7160</v>
      </c>
      <c r="T4950" t="s">
        <v>3836</v>
      </c>
      <c r="U4950" t="s">
        <v>100</v>
      </c>
    </row>
    <row r="4951" spans="1:21" ht="15" customHeight="1" x14ac:dyDescent="0.3">
      <c r="A4951" t="s">
        <v>179</v>
      </c>
      <c r="B4951" t="str">
        <f>"00072848"</f>
        <v>00072848</v>
      </c>
      <c r="C4951" t="s">
        <v>4341</v>
      </c>
      <c r="D4951" t="s">
        <v>697</v>
      </c>
      <c r="E4951" t="str">
        <f>"00052893"</f>
        <v>00052893</v>
      </c>
      <c r="F4951">
        <v>0</v>
      </c>
      <c r="G4951" s="243">
        <v>39314</v>
      </c>
      <c r="H4951" t="s">
        <v>182</v>
      </c>
      <c r="I4951">
        <v>10</v>
      </c>
      <c r="J4951">
        <v>9</v>
      </c>
      <c r="K4951">
        <v>1</v>
      </c>
      <c r="L4951">
        <v>86183</v>
      </c>
      <c r="M4951" t="str">
        <f t="shared" si="739"/>
        <v>13</v>
      </c>
      <c r="N4951" t="s">
        <v>3323</v>
      </c>
      <c r="O4951" t="str">
        <f t="shared" si="747"/>
        <v>71611</v>
      </c>
      <c r="P4951" t="str">
        <f>"3030L"</f>
        <v>3030L</v>
      </c>
      <c r="Q4951" t="str">
        <f t="shared" si="748"/>
        <v>0101</v>
      </c>
      <c r="R4951">
        <v>3030</v>
      </c>
      <c r="S4951" t="str">
        <f t="shared" si="746"/>
        <v>7160</v>
      </c>
      <c r="T4951" t="s">
        <v>3836</v>
      </c>
      <c r="U4951" t="s">
        <v>100</v>
      </c>
    </row>
    <row r="4952" spans="1:21" ht="15" customHeight="1" x14ac:dyDescent="0.3">
      <c r="A4952" t="s">
        <v>179</v>
      </c>
      <c r="B4952" t="str">
        <f>"00073747"</f>
        <v>00073747</v>
      </c>
      <c r="C4952" t="s">
        <v>200</v>
      </c>
      <c r="D4952" t="s">
        <v>4063</v>
      </c>
      <c r="E4952" t="str">
        <f>"00044589"</f>
        <v>00044589</v>
      </c>
      <c r="F4952">
        <v>0</v>
      </c>
      <c r="G4952" s="243">
        <v>37207</v>
      </c>
      <c r="H4952" t="s">
        <v>182</v>
      </c>
      <c r="I4952">
        <v>15</v>
      </c>
      <c r="J4952">
        <v>12</v>
      </c>
      <c r="K4952">
        <v>1</v>
      </c>
      <c r="L4952">
        <v>89887</v>
      </c>
      <c r="M4952" t="str">
        <f t="shared" si="739"/>
        <v>13</v>
      </c>
      <c r="N4952" t="s">
        <v>3323</v>
      </c>
      <c r="O4952" t="str">
        <f t="shared" si="747"/>
        <v>71611</v>
      </c>
      <c r="P4952" t="str">
        <f>"2100L"</f>
        <v>2100L</v>
      </c>
      <c r="Q4952" t="str">
        <f t="shared" si="748"/>
        <v>0101</v>
      </c>
      <c r="R4952">
        <v>2100</v>
      </c>
      <c r="S4952" t="str">
        <f t="shared" si="746"/>
        <v>7160</v>
      </c>
      <c r="T4952" t="s">
        <v>3836</v>
      </c>
      <c r="U4952" t="s">
        <v>100</v>
      </c>
    </row>
    <row r="4953" spans="1:21" ht="15" customHeight="1" x14ac:dyDescent="0.3">
      <c r="A4953" t="s">
        <v>179</v>
      </c>
      <c r="B4953" t="str">
        <f>"00073766"</f>
        <v>00073766</v>
      </c>
      <c r="C4953" t="s">
        <v>4253</v>
      </c>
      <c r="H4953" t="s">
        <v>170</v>
      </c>
      <c r="I4953">
        <v>15</v>
      </c>
      <c r="J4953">
        <v>1</v>
      </c>
      <c r="K4953">
        <v>1</v>
      </c>
      <c r="L4953">
        <v>60128</v>
      </c>
      <c r="M4953" t="str">
        <f t="shared" si="739"/>
        <v>13</v>
      </c>
      <c r="N4953" t="s">
        <v>3323</v>
      </c>
      <c r="O4953" t="str">
        <f t="shared" si="747"/>
        <v>71611</v>
      </c>
      <c r="P4953" t="str">
        <f>"2100L"</f>
        <v>2100L</v>
      </c>
      <c r="Q4953" t="str">
        <f t="shared" si="748"/>
        <v>0101</v>
      </c>
      <c r="R4953">
        <v>2100</v>
      </c>
      <c r="S4953" t="str">
        <f t="shared" si="746"/>
        <v>7160</v>
      </c>
      <c r="T4953" t="s">
        <v>3836</v>
      </c>
      <c r="U4953" t="s">
        <v>100</v>
      </c>
    </row>
    <row r="4954" spans="1:21" ht="15" customHeight="1" x14ac:dyDescent="0.3">
      <c r="A4954" t="s">
        <v>179</v>
      </c>
      <c r="B4954" t="str">
        <f>"00074598"</f>
        <v>00074598</v>
      </c>
      <c r="C4954" t="s">
        <v>3670</v>
      </c>
      <c r="H4954" t="s">
        <v>170</v>
      </c>
      <c r="I4954">
        <v>8</v>
      </c>
      <c r="J4954">
        <v>1</v>
      </c>
      <c r="K4954">
        <v>1</v>
      </c>
      <c r="L4954">
        <v>82397</v>
      </c>
      <c r="M4954" t="str">
        <f t="shared" si="739"/>
        <v>13</v>
      </c>
      <c r="N4954" t="s">
        <v>3323</v>
      </c>
      <c r="O4954" t="str">
        <f t="shared" si="747"/>
        <v>71611</v>
      </c>
      <c r="P4954" t="str">
        <f>"1501L"</f>
        <v>1501L</v>
      </c>
      <c r="Q4954" t="str">
        <f t="shared" si="748"/>
        <v>0101</v>
      </c>
      <c r="R4954">
        <v>1501</v>
      </c>
      <c r="S4954" t="str">
        <f t="shared" si="746"/>
        <v>7160</v>
      </c>
      <c r="T4954" t="s">
        <v>3836</v>
      </c>
      <c r="U4954" t="s">
        <v>100</v>
      </c>
    </row>
    <row r="4955" spans="1:21" ht="15" customHeight="1" x14ac:dyDescent="0.3">
      <c r="A4955" t="s">
        <v>179</v>
      </c>
      <c r="B4955" t="str">
        <f>"00074600"</f>
        <v>00074600</v>
      </c>
      <c r="C4955" t="s">
        <v>4857</v>
      </c>
      <c r="H4955" t="s">
        <v>170</v>
      </c>
      <c r="I4955">
        <v>9</v>
      </c>
      <c r="J4955">
        <v>1</v>
      </c>
      <c r="K4955">
        <v>0.5</v>
      </c>
      <c r="L4955">
        <v>56461</v>
      </c>
      <c r="M4955" t="str">
        <f t="shared" si="739"/>
        <v>13</v>
      </c>
      <c r="N4955" t="s">
        <v>3323</v>
      </c>
      <c r="O4955" t="str">
        <f t="shared" si="747"/>
        <v>71611</v>
      </c>
      <c r="P4955" t="str">
        <f>"2100L"</f>
        <v>2100L</v>
      </c>
      <c r="Q4955" t="str">
        <f t="shared" si="748"/>
        <v>0101</v>
      </c>
      <c r="R4955">
        <v>2100</v>
      </c>
      <c r="S4955" t="str">
        <f t="shared" si="746"/>
        <v>7160</v>
      </c>
      <c r="T4955" t="s">
        <v>3836</v>
      </c>
      <c r="U4955" t="s">
        <v>100</v>
      </c>
    </row>
    <row r="4956" spans="1:21" ht="15" customHeight="1" x14ac:dyDescent="0.3">
      <c r="A4956" t="s">
        <v>179</v>
      </c>
      <c r="B4956" t="str">
        <f>"00075983"</f>
        <v>00075983</v>
      </c>
      <c r="C4956" t="s">
        <v>4438</v>
      </c>
      <c r="H4956" t="s">
        <v>170</v>
      </c>
      <c r="I4956">
        <v>11</v>
      </c>
      <c r="J4956">
        <v>0</v>
      </c>
      <c r="K4956">
        <v>1</v>
      </c>
      <c r="L4956">
        <v>60779</v>
      </c>
      <c r="M4956" t="str">
        <f t="shared" si="739"/>
        <v>13</v>
      </c>
      <c r="N4956" t="s">
        <v>3323</v>
      </c>
      <c r="O4956" t="str">
        <f t="shared" si="747"/>
        <v>71611</v>
      </c>
      <c r="P4956" t="str">
        <f>"2100L"</f>
        <v>2100L</v>
      </c>
      <c r="Q4956" t="str">
        <f t="shared" si="748"/>
        <v>0101</v>
      </c>
      <c r="R4956">
        <v>2100</v>
      </c>
      <c r="S4956" t="str">
        <f t="shared" si="746"/>
        <v>7160</v>
      </c>
      <c r="T4956" t="s">
        <v>3836</v>
      </c>
      <c r="U4956" t="s">
        <v>100</v>
      </c>
    </row>
    <row r="4957" spans="1:21" ht="15" customHeight="1" x14ac:dyDescent="0.3">
      <c r="A4957" t="s">
        <v>179</v>
      </c>
      <c r="B4957" t="str">
        <f>"00051829"</f>
        <v>00051829</v>
      </c>
      <c r="C4957" t="s">
        <v>4266</v>
      </c>
      <c r="H4957" t="s">
        <v>170</v>
      </c>
      <c r="I4957">
        <v>15</v>
      </c>
      <c r="J4957">
        <v>1</v>
      </c>
      <c r="K4957">
        <v>1</v>
      </c>
      <c r="L4957">
        <v>51539</v>
      </c>
      <c r="M4957" t="str">
        <f t="shared" ref="M4957:M5012" si="749">"13"</f>
        <v>13</v>
      </c>
      <c r="N4957" t="s">
        <v>3323</v>
      </c>
      <c r="O4957" t="str">
        <f t="shared" ref="O4957:O4971" si="750">"71711"</f>
        <v>71711</v>
      </c>
      <c r="P4957" t="str">
        <f>"2300L"</f>
        <v>2300L</v>
      </c>
      <c r="Q4957" t="str">
        <f t="shared" si="748"/>
        <v>0101</v>
      </c>
      <c r="R4957">
        <v>2300</v>
      </c>
      <c r="S4957" t="str">
        <f t="shared" ref="S4957:S4983" si="751">"7170"</f>
        <v>7170</v>
      </c>
      <c r="T4957" t="s">
        <v>4066</v>
      </c>
      <c r="U4957" t="s">
        <v>101</v>
      </c>
    </row>
    <row r="4958" spans="1:21" ht="15" customHeight="1" x14ac:dyDescent="0.3">
      <c r="A4958" t="s">
        <v>179</v>
      </c>
      <c r="B4958" t="str">
        <f>"00052626"</f>
        <v>00052626</v>
      </c>
      <c r="C4958" t="s">
        <v>4263</v>
      </c>
      <c r="D4958" t="s">
        <v>841</v>
      </c>
      <c r="E4958" t="str">
        <f>"00048726"</f>
        <v>00048726</v>
      </c>
      <c r="F4958">
        <v>0</v>
      </c>
      <c r="G4958" s="243">
        <v>32050</v>
      </c>
      <c r="H4958" t="s">
        <v>182</v>
      </c>
      <c r="I4958">
        <v>15</v>
      </c>
      <c r="J4958">
        <v>16</v>
      </c>
      <c r="K4958">
        <v>1</v>
      </c>
      <c r="L4958">
        <v>106540</v>
      </c>
      <c r="M4958" t="str">
        <f t="shared" si="749"/>
        <v>13</v>
      </c>
      <c r="N4958" t="s">
        <v>3323</v>
      </c>
      <c r="O4958" t="str">
        <f t="shared" si="750"/>
        <v>71711</v>
      </c>
      <c r="P4958" t="str">
        <f t="shared" ref="P4958:P4966" si="752">"2100L"</f>
        <v>2100L</v>
      </c>
      <c r="Q4958" t="str">
        <f t="shared" si="748"/>
        <v>0101</v>
      </c>
      <c r="R4958">
        <v>2100</v>
      </c>
      <c r="S4958" t="str">
        <f t="shared" si="751"/>
        <v>7170</v>
      </c>
      <c r="T4958" t="s">
        <v>4066</v>
      </c>
      <c r="U4958" t="s">
        <v>101</v>
      </c>
    </row>
    <row r="4959" spans="1:21" ht="15" customHeight="1" x14ac:dyDescent="0.3">
      <c r="A4959" t="s">
        <v>179</v>
      </c>
      <c r="B4959" t="str">
        <f>"00053082"</f>
        <v>00053082</v>
      </c>
      <c r="C4959" t="s">
        <v>4253</v>
      </c>
      <c r="H4959" t="s">
        <v>170</v>
      </c>
      <c r="I4959">
        <v>15</v>
      </c>
      <c r="J4959">
        <v>1</v>
      </c>
      <c r="K4959">
        <v>1</v>
      </c>
      <c r="L4959">
        <v>56693</v>
      </c>
      <c r="M4959" t="str">
        <f t="shared" si="749"/>
        <v>13</v>
      </c>
      <c r="N4959" t="s">
        <v>3323</v>
      </c>
      <c r="O4959" t="str">
        <f t="shared" si="750"/>
        <v>71711</v>
      </c>
      <c r="P4959" t="str">
        <f t="shared" si="752"/>
        <v>2100L</v>
      </c>
      <c r="Q4959" t="str">
        <f t="shared" si="748"/>
        <v>0101</v>
      </c>
      <c r="R4959">
        <v>2100</v>
      </c>
      <c r="S4959" t="str">
        <f t="shared" si="751"/>
        <v>7170</v>
      </c>
      <c r="T4959" t="s">
        <v>4066</v>
      </c>
      <c r="U4959" t="s">
        <v>101</v>
      </c>
    </row>
    <row r="4960" spans="1:21" ht="15" customHeight="1" x14ac:dyDescent="0.3">
      <c r="A4960" t="s">
        <v>179</v>
      </c>
      <c r="B4960" t="str">
        <f>"00053495"</f>
        <v>00053495</v>
      </c>
      <c r="C4960" t="s">
        <v>4254</v>
      </c>
      <c r="H4960" t="s">
        <v>170</v>
      </c>
      <c r="I4960">
        <v>15</v>
      </c>
      <c r="J4960">
        <v>1</v>
      </c>
      <c r="K4960">
        <v>1</v>
      </c>
      <c r="L4960">
        <v>53256</v>
      </c>
      <c r="M4960" t="str">
        <f t="shared" si="749"/>
        <v>13</v>
      </c>
      <c r="N4960" t="s">
        <v>3323</v>
      </c>
      <c r="O4960" t="str">
        <f t="shared" si="750"/>
        <v>71711</v>
      </c>
      <c r="P4960" t="str">
        <f t="shared" si="752"/>
        <v>2100L</v>
      </c>
      <c r="Q4960" t="str">
        <f t="shared" si="748"/>
        <v>0101</v>
      </c>
      <c r="R4960">
        <v>2100</v>
      </c>
      <c r="S4960" t="str">
        <f t="shared" si="751"/>
        <v>7170</v>
      </c>
      <c r="T4960" t="s">
        <v>4066</v>
      </c>
      <c r="U4960" t="s">
        <v>101</v>
      </c>
    </row>
    <row r="4961" spans="1:21" ht="15" customHeight="1" x14ac:dyDescent="0.3">
      <c r="A4961" t="s">
        <v>179</v>
      </c>
      <c r="B4961" t="str">
        <f>"00053773"</f>
        <v>00053773</v>
      </c>
      <c r="C4961" t="s">
        <v>4254</v>
      </c>
      <c r="D4961" t="s">
        <v>843</v>
      </c>
      <c r="E4961" t="str">
        <f>"00052512"</f>
        <v>00052512</v>
      </c>
      <c r="F4961">
        <v>0</v>
      </c>
      <c r="G4961" s="243">
        <v>32050</v>
      </c>
      <c r="H4961" t="s">
        <v>182</v>
      </c>
      <c r="I4961">
        <v>15</v>
      </c>
      <c r="J4961">
        <v>16</v>
      </c>
      <c r="K4961">
        <v>1</v>
      </c>
      <c r="L4961">
        <v>106540</v>
      </c>
      <c r="M4961" t="str">
        <f t="shared" si="749"/>
        <v>13</v>
      </c>
      <c r="N4961" t="s">
        <v>3323</v>
      </c>
      <c r="O4961" t="str">
        <f t="shared" si="750"/>
        <v>71711</v>
      </c>
      <c r="P4961" t="str">
        <f t="shared" si="752"/>
        <v>2100L</v>
      </c>
      <c r="Q4961" t="str">
        <f t="shared" si="748"/>
        <v>0101</v>
      </c>
      <c r="R4961">
        <v>2100</v>
      </c>
      <c r="S4961" t="str">
        <f t="shared" si="751"/>
        <v>7170</v>
      </c>
      <c r="T4961" t="s">
        <v>4066</v>
      </c>
      <c r="U4961" t="s">
        <v>101</v>
      </c>
    </row>
    <row r="4962" spans="1:21" ht="15" customHeight="1" x14ac:dyDescent="0.3">
      <c r="A4962" t="s">
        <v>179</v>
      </c>
      <c r="B4962" t="str">
        <f>"00054008"</f>
        <v>00054008</v>
      </c>
      <c r="C4962" t="s">
        <v>4263</v>
      </c>
      <c r="D4962" t="s">
        <v>4080</v>
      </c>
      <c r="E4962" t="str">
        <f>"00065843"</f>
        <v>00065843</v>
      </c>
      <c r="F4962">
        <v>0</v>
      </c>
      <c r="G4962" s="243">
        <v>40755</v>
      </c>
      <c r="H4962" t="s">
        <v>182</v>
      </c>
      <c r="I4962">
        <v>15</v>
      </c>
      <c r="J4962">
        <v>2</v>
      </c>
      <c r="K4962">
        <v>1</v>
      </c>
      <c r="L4962">
        <v>51716</v>
      </c>
      <c r="M4962" t="str">
        <f t="shared" si="749"/>
        <v>13</v>
      </c>
      <c r="N4962" t="s">
        <v>3370</v>
      </c>
      <c r="O4962" t="str">
        <f t="shared" si="750"/>
        <v>71711</v>
      </c>
      <c r="P4962" t="str">
        <f t="shared" si="752"/>
        <v>2100L</v>
      </c>
      <c r="Q4962" t="str">
        <f t="shared" si="748"/>
        <v>0101</v>
      </c>
      <c r="R4962">
        <v>2100</v>
      </c>
      <c r="S4962" t="str">
        <f t="shared" si="751"/>
        <v>7170</v>
      </c>
      <c r="T4962" t="s">
        <v>4066</v>
      </c>
      <c r="U4962" t="s">
        <v>101</v>
      </c>
    </row>
    <row r="4963" spans="1:21" ht="15" customHeight="1" x14ac:dyDescent="0.3">
      <c r="A4963" t="s">
        <v>179</v>
      </c>
      <c r="B4963" t="str">
        <f>"00054553"</f>
        <v>00054553</v>
      </c>
      <c r="C4963" t="s">
        <v>4257</v>
      </c>
      <c r="D4963" t="s">
        <v>844</v>
      </c>
      <c r="E4963" t="str">
        <f>"00054197"</f>
        <v>00054197</v>
      </c>
      <c r="F4963">
        <v>0</v>
      </c>
      <c r="G4963" s="243">
        <v>32050</v>
      </c>
      <c r="H4963" t="s">
        <v>182</v>
      </c>
      <c r="I4963">
        <v>15</v>
      </c>
      <c r="J4963">
        <v>13</v>
      </c>
      <c r="K4963">
        <v>1</v>
      </c>
      <c r="L4963">
        <v>81724</v>
      </c>
      <c r="M4963" t="str">
        <f t="shared" si="749"/>
        <v>13</v>
      </c>
      <c r="N4963" t="s">
        <v>3323</v>
      </c>
      <c r="O4963" t="str">
        <f t="shared" si="750"/>
        <v>71711</v>
      </c>
      <c r="P4963" t="str">
        <f t="shared" si="752"/>
        <v>2100L</v>
      </c>
      <c r="Q4963" t="str">
        <f t="shared" si="748"/>
        <v>0101</v>
      </c>
      <c r="R4963">
        <v>2100</v>
      </c>
      <c r="S4963" t="str">
        <f t="shared" si="751"/>
        <v>7170</v>
      </c>
      <c r="T4963" t="s">
        <v>4066</v>
      </c>
      <c r="U4963" t="s">
        <v>101</v>
      </c>
    </row>
    <row r="4964" spans="1:21" ht="15" customHeight="1" x14ac:dyDescent="0.3">
      <c r="A4964" t="s">
        <v>179</v>
      </c>
      <c r="B4964" t="str">
        <f>"00054639"</f>
        <v>00054639</v>
      </c>
      <c r="C4964" t="s">
        <v>4253</v>
      </c>
      <c r="D4964" t="s">
        <v>845</v>
      </c>
      <c r="E4964" t="str">
        <f>"00054333"</f>
        <v>00054333</v>
      </c>
      <c r="F4964">
        <v>0</v>
      </c>
      <c r="G4964" s="243">
        <v>32050</v>
      </c>
      <c r="H4964" t="s">
        <v>182</v>
      </c>
      <c r="I4964">
        <v>15</v>
      </c>
      <c r="J4964">
        <v>16</v>
      </c>
      <c r="K4964">
        <v>1</v>
      </c>
      <c r="L4964">
        <v>106540</v>
      </c>
      <c r="M4964" t="str">
        <f t="shared" si="749"/>
        <v>13</v>
      </c>
      <c r="N4964" t="s">
        <v>3323</v>
      </c>
      <c r="O4964" t="str">
        <f t="shared" si="750"/>
        <v>71711</v>
      </c>
      <c r="P4964" t="str">
        <f t="shared" si="752"/>
        <v>2100L</v>
      </c>
      <c r="Q4964" t="str">
        <f t="shared" si="748"/>
        <v>0101</v>
      </c>
      <c r="R4964">
        <v>2100</v>
      </c>
      <c r="S4964" t="str">
        <f t="shared" si="751"/>
        <v>7170</v>
      </c>
      <c r="T4964" t="s">
        <v>4066</v>
      </c>
      <c r="U4964" t="s">
        <v>101</v>
      </c>
    </row>
    <row r="4965" spans="1:21" ht="15" customHeight="1" x14ac:dyDescent="0.3">
      <c r="A4965" t="s">
        <v>179</v>
      </c>
      <c r="B4965" t="str">
        <f>"00054740"</f>
        <v>00054740</v>
      </c>
      <c r="C4965" t="s">
        <v>4253</v>
      </c>
      <c r="D4965" t="s">
        <v>846</v>
      </c>
      <c r="E4965" t="str">
        <f>"00054521"</f>
        <v>00054521</v>
      </c>
      <c r="F4965">
        <v>0</v>
      </c>
      <c r="G4965" s="243">
        <v>33499</v>
      </c>
      <c r="H4965" t="s">
        <v>182</v>
      </c>
      <c r="I4965">
        <v>15</v>
      </c>
      <c r="J4965">
        <v>16</v>
      </c>
      <c r="K4965">
        <v>1</v>
      </c>
      <c r="L4965">
        <v>103347</v>
      </c>
      <c r="M4965" t="str">
        <f t="shared" si="749"/>
        <v>13</v>
      </c>
      <c r="N4965" t="s">
        <v>3323</v>
      </c>
      <c r="O4965" t="str">
        <f t="shared" si="750"/>
        <v>71711</v>
      </c>
      <c r="P4965" t="str">
        <f t="shared" si="752"/>
        <v>2100L</v>
      </c>
      <c r="Q4965" t="str">
        <f t="shared" si="748"/>
        <v>0101</v>
      </c>
      <c r="R4965">
        <v>2100</v>
      </c>
      <c r="S4965" t="str">
        <f t="shared" si="751"/>
        <v>7170</v>
      </c>
      <c r="T4965" t="s">
        <v>4066</v>
      </c>
      <c r="U4965" t="s">
        <v>101</v>
      </c>
    </row>
    <row r="4966" spans="1:21" ht="15" customHeight="1" x14ac:dyDescent="0.3">
      <c r="A4966" t="s">
        <v>179</v>
      </c>
      <c r="B4966" t="str">
        <f>"00054988"</f>
        <v>00054988</v>
      </c>
      <c r="C4966" t="s">
        <v>4253</v>
      </c>
      <c r="D4966" t="s">
        <v>847</v>
      </c>
      <c r="E4966" t="str">
        <f>"00019386"</f>
        <v>00019386</v>
      </c>
      <c r="F4966">
        <v>1</v>
      </c>
      <c r="G4966" s="243">
        <v>38649</v>
      </c>
      <c r="H4966" t="s">
        <v>182</v>
      </c>
      <c r="I4966">
        <v>15</v>
      </c>
      <c r="J4966">
        <v>9</v>
      </c>
      <c r="K4966">
        <v>1</v>
      </c>
      <c r="L4966">
        <v>75232</v>
      </c>
      <c r="M4966" t="str">
        <f t="shared" si="749"/>
        <v>13</v>
      </c>
      <c r="N4966" t="s">
        <v>3323</v>
      </c>
      <c r="O4966" t="str">
        <f t="shared" si="750"/>
        <v>71711</v>
      </c>
      <c r="P4966" t="str">
        <f t="shared" si="752"/>
        <v>2100L</v>
      </c>
      <c r="Q4966" t="str">
        <f t="shared" si="748"/>
        <v>0101</v>
      </c>
      <c r="R4966">
        <v>2100</v>
      </c>
      <c r="S4966" t="str">
        <f t="shared" si="751"/>
        <v>7170</v>
      </c>
      <c r="T4966" t="s">
        <v>4066</v>
      </c>
      <c r="U4966" t="s">
        <v>101</v>
      </c>
    </row>
    <row r="4967" spans="1:21" ht="15" customHeight="1" x14ac:dyDescent="0.3">
      <c r="A4967" t="s">
        <v>179</v>
      </c>
      <c r="B4967" t="str">
        <f>"00056552"</f>
        <v>00056552</v>
      </c>
      <c r="C4967" t="s">
        <v>4290</v>
      </c>
      <c r="D4967" t="s">
        <v>5774</v>
      </c>
      <c r="E4967" t="str">
        <f>"00067257"</f>
        <v>00067257</v>
      </c>
      <c r="F4967">
        <v>0</v>
      </c>
      <c r="G4967" s="243">
        <v>40861</v>
      </c>
      <c r="H4967" t="s">
        <v>182</v>
      </c>
      <c r="I4967">
        <v>4</v>
      </c>
      <c r="J4967">
        <v>4</v>
      </c>
      <c r="K4967">
        <v>0.875</v>
      </c>
      <c r="L4967">
        <v>24543.75</v>
      </c>
      <c r="M4967" t="str">
        <f t="shared" si="749"/>
        <v>13</v>
      </c>
      <c r="N4967" t="s">
        <v>3323</v>
      </c>
      <c r="O4967" t="str">
        <f t="shared" si="750"/>
        <v>71711</v>
      </c>
      <c r="P4967" t="str">
        <f>"3030L"</f>
        <v>3030L</v>
      </c>
      <c r="Q4967" t="str">
        <f t="shared" si="748"/>
        <v>0101</v>
      </c>
      <c r="R4967">
        <v>3030</v>
      </c>
      <c r="S4967" t="str">
        <f t="shared" si="751"/>
        <v>7170</v>
      </c>
      <c r="T4967" t="s">
        <v>4066</v>
      </c>
      <c r="U4967" t="s">
        <v>101</v>
      </c>
    </row>
    <row r="4968" spans="1:21" ht="15" customHeight="1" x14ac:dyDescent="0.3">
      <c r="A4968" t="s">
        <v>179</v>
      </c>
      <c r="B4968" t="str">
        <f>"00056582"</f>
        <v>00056582</v>
      </c>
      <c r="C4968" t="s">
        <v>4341</v>
      </c>
      <c r="D4968" t="s">
        <v>848</v>
      </c>
      <c r="E4968" t="str">
        <f>"00052757"</f>
        <v>00052757</v>
      </c>
      <c r="F4968">
        <v>0</v>
      </c>
      <c r="G4968" s="243">
        <v>33512</v>
      </c>
      <c r="H4968" t="s">
        <v>182</v>
      </c>
      <c r="I4968">
        <v>10</v>
      </c>
      <c r="J4968">
        <v>9</v>
      </c>
      <c r="K4968">
        <v>1</v>
      </c>
      <c r="L4968">
        <v>88084</v>
      </c>
      <c r="M4968" t="str">
        <f t="shared" si="749"/>
        <v>13</v>
      </c>
      <c r="N4968" t="s">
        <v>3323</v>
      </c>
      <c r="O4968" t="str">
        <f t="shared" si="750"/>
        <v>71711</v>
      </c>
      <c r="P4968" t="str">
        <f>"3030L"</f>
        <v>3030L</v>
      </c>
      <c r="Q4968" t="str">
        <f t="shared" si="748"/>
        <v>0101</v>
      </c>
      <c r="R4968">
        <v>3030</v>
      </c>
      <c r="S4968" t="str">
        <f t="shared" si="751"/>
        <v>7170</v>
      </c>
      <c r="T4968" t="s">
        <v>4066</v>
      </c>
      <c r="U4968" t="s">
        <v>101</v>
      </c>
    </row>
    <row r="4969" spans="1:21" ht="15" customHeight="1" x14ac:dyDescent="0.3">
      <c r="A4969" t="s">
        <v>179</v>
      </c>
      <c r="B4969" t="str">
        <f>"00056594"</f>
        <v>00056594</v>
      </c>
      <c r="C4969" t="s">
        <v>4260</v>
      </c>
      <c r="D4969" t="s">
        <v>4079</v>
      </c>
      <c r="E4969" t="str">
        <f>"00065803"</f>
        <v>00065803</v>
      </c>
      <c r="F4969">
        <v>0</v>
      </c>
      <c r="G4969" s="243">
        <v>40755</v>
      </c>
      <c r="H4969" t="s">
        <v>182</v>
      </c>
      <c r="I4969">
        <v>15</v>
      </c>
      <c r="J4969">
        <v>2</v>
      </c>
      <c r="K4969">
        <v>1</v>
      </c>
      <c r="L4969">
        <v>51716</v>
      </c>
      <c r="M4969" t="str">
        <f t="shared" si="749"/>
        <v>13</v>
      </c>
      <c r="N4969" t="s">
        <v>3323</v>
      </c>
      <c r="O4969" t="str">
        <f t="shared" si="750"/>
        <v>71711</v>
      </c>
      <c r="P4969" t="str">
        <f>"2100L"</f>
        <v>2100L</v>
      </c>
      <c r="Q4969" t="str">
        <f t="shared" si="748"/>
        <v>0101</v>
      </c>
      <c r="R4969">
        <v>2100</v>
      </c>
      <c r="S4969" t="str">
        <f t="shared" si="751"/>
        <v>7170</v>
      </c>
      <c r="T4969" t="s">
        <v>4066</v>
      </c>
      <c r="U4969" t="s">
        <v>101</v>
      </c>
    </row>
    <row r="4970" spans="1:21" ht="15" customHeight="1" x14ac:dyDescent="0.3">
      <c r="A4970" t="s">
        <v>179</v>
      </c>
      <c r="B4970" t="str">
        <f>"00056720"</f>
        <v>00056720</v>
      </c>
      <c r="C4970" t="s">
        <v>4253</v>
      </c>
      <c r="D4970" t="s">
        <v>849</v>
      </c>
      <c r="E4970" t="str">
        <f>"00049398"</f>
        <v>00049398</v>
      </c>
      <c r="F4970">
        <v>0</v>
      </c>
      <c r="G4970" s="243">
        <v>38782</v>
      </c>
      <c r="H4970" t="s">
        <v>182</v>
      </c>
      <c r="I4970">
        <v>15</v>
      </c>
      <c r="J4970">
        <v>13</v>
      </c>
      <c r="K4970">
        <v>1</v>
      </c>
      <c r="L4970">
        <v>86613</v>
      </c>
      <c r="M4970" t="str">
        <f t="shared" si="749"/>
        <v>13</v>
      </c>
      <c r="N4970" t="s">
        <v>3323</v>
      </c>
      <c r="O4970" t="str">
        <f t="shared" si="750"/>
        <v>71711</v>
      </c>
      <c r="P4970" t="str">
        <f>"2100L"</f>
        <v>2100L</v>
      </c>
      <c r="Q4970" t="str">
        <f t="shared" si="748"/>
        <v>0101</v>
      </c>
      <c r="R4970">
        <v>2100</v>
      </c>
      <c r="S4970" t="str">
        <f t="shared" si="751"/>
        <v>7170</v>
      </c>
      <c r="T4970" t="s">
        <v>4066</v>
      </c>
      <c r="U4970" t="s">
        <v>101</v>
      </c>
    </row>
    <row r="4971" spans="1:21" ht="15" customHeight="1" x14ac:dyDescent="0.3">
      <c r="A4971" t="s">
        <v>179</v>
      </c>
      <c r="B4971" t="str">
        <f>"00056851"</f>
        <v>00056851</v>
      </c>
      <c r="C4971" t="s">
        <v>5657</v>
      </c>
      <c r="D4971" t="s">
        <v>4069</v>
      </c>
      <c r="E4971" t="str">
        <f>"00047689"</f>
        <v>00047689</v>
      </c>
      <c r="F4971">
        <v>0</v>
      </c>
      <c r="G4971" s="243">
        <v>36342</v>
      </c>
      <c r="H4971" t="s">
        <v>182</v>
      </c>
      <c r="I4971">
        <v>15</v>
      </c>
      <c r="J4971">
        <v>19</v>
      </c>
      <c r="K4971">
        <v>0.5</v>
      </c>
      <c r="L4971">
        <v>97031</v>
      </c>
      <c r="M4971" t="str">
        <f t="shared" si="749"/>
        <v>13</v>
      </c>
      <c r="N4971" t="s">
        <v>3323</v>
      </c>
      <c r="O4971" t="str">
        <f t="shared" si="750"/>
        <v>71711</v>
      </c>
      <c r="P4971" t="str">
        <f>"5700L"</f>
        <v>5700L</v>
      </c>
      <c r="Q4971" t="str">
        <f t="shared" si="748"/>
        <v>0101</v>
      </c>
      <c r="R4971">
        <v>5700</v>
      </c>
      <c r="S4971" t="str">
        <f t="shared" si="751"/>
        <v>7170</v>
      </c>
      <c r="T4971" t="s">
        <v>4066</v>
      </c>
      <c r="U4971" t="s">
        <v>101</v>
      </c>
    </row>
    <row r="4972" spans="1:21" ht="15" customHeight="1" x14ac:dyDescent="0.3">
      <c r="A4972" t="s">
        <v>179</v>
      </c>
      <c r="B4972" t="str">
        <f>"00056851"</f>
        <v>00056851</v>
      </c>
      <c r="C4972" t="s">
        <v>5657</v>
      </c>
      <c r="D4972" t="s">
        <v>4069</v>
      </c>
      <c r="E4972" t="str">
        <f>"00047689"</f>
        <v>00047689</v>
      </c>
      <c r="F4972">
        <v>0</v>
      </c>
      <c r="G4972" s="243">
        <v>36342</v>
      </c>
      <c r="H4972" t="s">
        <v>182</v>
      </c>
      <c r="I4972">
        <v>15</v>
      </c>
      <c r="J4972">
        <v>19</v>
      </c>
      <c r="K4972">
        <v>0.5</v>
      </c>
      <c r="L4972">
        <v>97031</v>
      </c>
      <c r="M4972" t="str">
        <f t="shared" si="749"/>
        <v>13</v>
      </c>
      <c r="N4972" t="s">
        <v>3323</v>
      </c>
      <c r="O4972" t="str">
        <f>"71782"</f>
        <v>71782</v>
      </c>
      <c r="P4972" t="str">
        <f>"5700S"</f>
        <v>5700S</v>
      </c>
      <c r="Q4972" t="str">
        <f>"0602"</f>
        <v>0602</v>
      </c>
      <c r="R4972">
        <v>5700</v>
      </c>
      <c r="S4972" t="str">
        <f t="shared" si="751"/>
        <v>7170</v>
      </c>
      <c r="T4972" t="s">
        <v>4066</v>
      </c>
      <c r="U4972" t="s">
        <v>101</v>
      </c>
    </row>
    <row r="4973" spans="1:21" ht="15" customHeight="1" x14ac:dyDescent="0.3">
      <c r="A4973" t="s">
        <v>179</v>
      </c>
      <c r="B4973" t="str">
        <f>"00057659"</f>
        <v>00057659</v>
      </c>
      <c r="C4973" t="s">
        <v>4367</v>
      </c>
      <c r="D4973" t="s">
        <v>5775</v>
      </c>
      <c r="E4973" t="str">
        <f>"00051581"</f>
        <v>00051581</v>
      </c>
      <c r="F4973">
        <v>0</v>
      </c>
      <c r="G4973" s="243">
        <v>35228</v>
      </c>
      <c r="H4973" t="s">
        <v>182</v>
      </c>
      <c r="I4973">
        <v>9</v>
      </c>
      <c r="J4973">
        <v>4</v>
      </c>
      <c r="K4973">
        <v>1</v>
      </c>
      <c r="L4973">
        <v>40299</v>
      </c>
      <c r="M4973" t="str">
        <f t="shared" si="749"/>
        <v>13</v>
      </c>
      <c r="N4973" t="s">
        <v>3323</v>
      </c>
      <c r="O4973" t="str">
        <f t="shared" ref="O4973:O5001" si="753">"71711"</f>
        <v>71711</v>
      </c>
      <c r="P4973" t="str">
        <f>"2100L"</f>
        <v>2100L</v>
      </c>
      <c r="Q4973" t="str">
        <f t="shared" ref="Q4973:Q5001" si="754">"0101"</f>
        <v>0101</v>
      </c>
      <c r="R4973">
        <v>2100</v>
      </c>
      <c r="S4973" t="str">
        <f t="shared" si="751"/>
        <v>7170</v>
      </c>
      <c r="T4973" t="s">
        <v>4066</v>
      </c>
      <c r="U4973" t="s">
        <v>101</v>
      </c>
    </row>
    <row r="4974" spans="1:21" ht="15" customHeight="1" x14ac:dyDescent="0.3">
      <c r="A4974" t="s">
        <v>179</v>
      </c>
      <c r="B4974" t="str">
        <f>"00059257"</f>
        <v>00059257</v>
      </c>
      <c r="C4974" t="s">
        <v>3670</v>
      </c>
      <c r="D4974" t="s">
        <v>850</v>
      </c>
      <c r="E4974" t="str">
        <f>"00047498"</f>
        <v>00047498</v>
      </c>
      <c r="F4974">
        <v>0</v>
      </c>
      <c r="G4974" s="243">
        <v>38587</v>
      </c>
      <c r="H4974" t="s">
        <v>182</v>
      </c>
      <c r="I4974">
        <v>8</v>
      </c>
      <c r="J4974">
        <v>4</v>
      </c>
      <c r="K4974">
        <v>1</v>
      </c>
      <c r="L4974">
        <v>89645</v>
      </c>
      <c r="M4974" t="str">
        <f t="shared" si="749"/>
        <v>13</v>
      </c>
      <c r="N4974" t="s">
        <v>3323</v>
      </c>
      <c r="O4974" t="str">
        <f t="shared" si="753"/>
        <v>71711</v>
      </c>
      <c r="P4974" t="str">
        <f>"1501L"</f>
        <v>1501L</v>
      </c>
      <c r="Q4974" t="str">
        <f t="shared" si="754"/>
        <v>0101</v>
      </c>
      <c r="R4974">
        <v>1501</v>
      </c>
      <c r="S4974" t="str">
        <f t="shared" si="751"/>
        <v>7170</v>
      </c>
      <c r="T4974" t="s">
        <v>4066</v>
      </c>
      <c r="U4974" t="s">
        <v>101</v>
      </c>
    </row>
    <row r="4975" spans="1:21" ht="15" customHeight="1" x14ac:dyDescent="0.3">
      <c r="A4975" t="s">
        <v>179</v>
      </c>
      <c r="B4975" t="str">
        <f>"00059284"</f>
        <v>00059284</v>
      </c>
      <c r="C4975" t="s">
        <v>4306</v>
      </c>
      <c r="D4975" t="s">
        <v>5776</v>
      </c>
      <c r="E4975" t="str">
        <f>"00047778"</f>
        <v>00047778</v>
      </c>
      <c r="F4975">
        <v>0</v>
      </c>
      <c r="G4975" s="243">
        <v>37774</v>
      </c>
      <c r="H4975" t="s">
        <v>182</v>
      </c>
      <c r="I4975">
        <v>9</v>
      </c>
      <c r="J4975">
        <v>5</v>
      </c>
      <c r="K4975">
        <v>1</v>
      </c>
      <c r="L4975">
        <v>37415</v>
      </c>
      <c r="M4975" t="str">
        <f t="shared" si="749"/>
        <v>13</v>
      </c>
      <c r="N4975" t="s">
        <v>3323</v>
      </c>
      <c r="O4975" t="str">
        <f t="shared" si="753"/>
        <v>71711</v>
      </c>
      <c r="P4975" t="str">
        <f>"1502L"</f>
        <v>1502L</v>
      </c>
      <c r="Q4975" t="str">
        <f t="shared" si="754"/>
        <v>0101</v>
      </c>
      <c r="R4975">
        <v>1502</v>
      </c>
      <c r="S4975" t="str">
        <f t="shared" si="751"/>
        <v>7170</v>
      </c>
      <c r="T4975" t="s">
        <v>4066</v>
      </c>
      <c r="U4975" t="s">
        <v>101</v>
      </c>
    </row>
    <row r="4976" spans="1:21" ht="15" customHeight="1" x14ac:dyDescent="0.3">
      <c r="A4976" t="s">
        <v>179</v>
      </c>
      <c r="B4976" t="str">
        <f>"00059393"</f>
        <v>00059393</v>
      </c>
      <c r="C4976" t="s">
        <v>3798</v>
      </c>
      <c r="D4976" t="s">
        <v>851</v>
      </c>
      <c r="E4976" t="str">
        <f>"00051870"</f>
        <v>00051870</v>
      </c>
      <c r="F4976">
        <v>0</v>
      </c>
      <c r="G4976" s="243">
        <v>34213</v>
      </c>
      <c r="H4976" t="s">
        <v>182</v>
      </c>
      <c r="I4976">
        <v>66</v>
      </c>
      <c r="J4976">
        <v>3</v>
      </c>
      <c r="K4976">
        <v>1</v>
      </c>
      <c r="L4976">
        <v>125000</v>
      </c>
      <c r="M4976" t="str">
        <f t="shared" si="749"/>
        <v>13</v>
      </c>
      <c r="N4976" t="s">
        <v>3323</v>
      </c>
      <c r="O4976" t="str">
        <f t="shared" si="753"/>
        <v>71711</v>
      </c>
      <c r="P4976" t="str">
        <f>"1501L"</f>
        <v>1501L</v>
      </c>
      <c r="Q4976" t="str">
        <f t="shared" si="754"/>
        <v>0101</v>
      </c>
      <c r="R4976">
        <v>1501</v>
      </c>
      <c r="S4976" t="str">
        <f t="shared" si="751"/>
        <v>7170</v>
      </c>
      <c r="T4976" t="s">
        <v>4066</v>
      </c>
      <c r="U4976" t="s">
        <v>101</v>
      </c>
    </row>
    <row r="4977" spans="1:21" ht="15" customHeight="1" x14ac:dyDescent="0.3">
      <c r="A4977" t="s">
        <v>179</v>
      </c>
      <c r="B4977" t="str">
        <f>"00059488"</f>
        <v>00059488</v>
      </c>
      <c r="C4977" t="s">
        <v>4253</v>
      </c>
      <c r="D4977" t="s">
        <v>939</v>
      </c>
      <c r="E4977" t="str">
        <f>"00046170"</f>
        <v>00046170</v>
      </c>
      <c r="F4977">
        <v>0</v>
      </c>
      <c r="G4977" s="243">
        <v>40042</v>
      </c>
      <c r="H4977" t="s">
        <v>182</v>
      </c>
      <c r="I4977">
        <v>15</v>
      </c>
      <c r="J4977">
        <v>4</v>
      </c>
      <c r="K4977">
        <v>1</v>
      </c>
      <c r="L4977">
        <v>61158</v>
      </c>
      <c r="M4977" t="str">
        <f t="shared" si="749"/>
        <v>13</v>
      </c>
      <c r="N4977" t="s">
        <v>3323</v>
      </c>
      <c r="O4977" t="str">
        <f t="shared" si="753"/>
        <v>71711</v>
      </c>
      <c r="P4977" t="str">
        <f>"2100L"</f>
        <v>2100L</v>
      </c>
      <c r="Q4977" t="str">
        <f t="shared" si="754"/>
        <v>0101</v>
      </c>
      <c r="R4977">
        <v>2100</v>
      </c>
      <c r="S4977" t="str">
        <f t="shared" si="751"/>
        <v>7170</v>
      </c>
      <c r="T4977" t="s">
        <v>4066</v>
      </c>
      <c r="U4977" t="s">
        <v>101</v>
      </c>
    </row>
    <row r="4978" spans="1:21" ht="15" customHeight="1" x14ac:dyDescent="0.3">
      <c r="A4978" t="s">
        <v>179</v>
      </c>
      <c r="B4978" t="str">
        <f>"00060325"</f>
        <v>00060325</v>
      </c>
      <c r="C4978" t="s">
        <v>4253</v>
      </c>
      <c r="H4978" t="s">
        <v>170</v>
      </c>
      <c r="I4978">
        <v>15</v>
      </c>
      <c r="J4978">
        <v>1</v>
      </c>
      <c r="K4978">
        <v>1</v>
      </c>
      <c r="L4978">
        <v>54975</v>
      </c>
      <c r="M4978" t="str">
        <f t="shared" si="749"/>
        <v>13</v>
      </c>
      <c r="N4978" t="s">
        <v>3323</v>
      </c>
      <c r="O4978" t="str">
        <f t="shared" si="753"/>
        <v>71711</v>
      </c>
      <c r="P4978" t="str">
        <f>"2100L"</f>
        <v>2100L</v>
      </c>
      <c r="Q4978" t="str">
        <f t="shared" si="754"/>
        <v>0101</v>
      </c>
      <c r="R4978">
        <v>2100</v>
      </c>
      <c r="S4978" t="str">
        <f t="shared" si="751"/>
        <v>7170</v>
      </c>
      <c r="T4978" t="s">
        <v>4066</v>
      </c>
      <c r="U4978" t="s">
        <v>101</v>
      </c>
    </row>
    <row r="4979" spans="1:21" ht="15" customHeight="1" x14ac:dyDescent="0.3">
      <c r="A4979" t="s">
        <v>179</v>
      </c>
      <c r="B4979" t="str">
        <f>"00060380"</f>
        <v>00060380</v>
      </c>
      <c r="C4979" t="s">
        <v>4261</v>
      </c>
      <c r="D4979" t="s">
        <v>4068</v>
      </c>
      <c r="E4979" t="str">
        <f>"00044894"</f>
        <v>00044894</v>
      </c>
      <c r="F4979">
        <v>0</v>
      </c>
      <c r="G4979" s="243">
        <v>40414</v>
      </c>
      <c r="H4979" t="s">
        <v>182</v>
      </c>
      <c r="I4979">
        <v>15</v>
      </c>
      <c r="J4979">
        <v>16</v>
      </c>
      <c r="K4979">
        <v>1</v>
      </c>
      <c r="L4979">
        <v>110923</v>
      </c>
      <c r="M4979" t="str">
        <f t="shared" si="749"/>
        <v>13</v>
      </c>
      <c r="N4979" t="s">
        <v>3323</v>
      </c>
      <c r="O4979" t="str">
        <f t="shared" si="753"/>
        <v>71711</v>
      </c>
      <c r="P4979" t="str">
        <f t="shared" ref="P4979:P4984" si="755">"2100L"</f>
        <v>2100L</v>
      </c>
      <c r="Q4979" t="str">
        <f t="shared" si="754"/>
        <v>0101</v>
      </c>
      <c r="R4979">
        <v>2100</v>
      </c>
      <c r="S4979" t="str">
        <f t="shared" si="751"/>
        <v>7170</v>
      </c>
      <c r="T4979" t="s">
        <v>4066</v>
      </c>
      <c r="U4979" t="s">
        <v>101</v>
      </c>
    </row>
    <row r="4980" spans="1:21" ht="15" customHeight="1" x14ac:dyDescent="0.3">
      <c r="A4980" t="s">
        <v>179</v>
      </c>
      <c r="B4980" t="str">
        <f>"00060694"</f>
        <v>00060694</v>
      </c>
      <c r="C4980" t="s">
        <v>4256</v>
      </c>
      <c r="H4980" t="s">
        <v>170</v>
      </c>
      <c r="I4980">
        <v>15</v>
      </c>
      <c r="J4980">
        <v>1</v>
      </c>
      <c r="K4980">
        <v>1</v>
      </c>
      <c r="L4980">
        <v>54975</v>
      </c>
      <c r="M4980" t="str">
        <f t="shared" si="749"/>
        <v>13</v>
      </c>
      <c r="N4980" t="s">
        <v>3370</v>
      </c>
      <c r="O4980" t="str">
        <f t="shared" si="753"/>
        <v>71711</v>
      </c>
      <c r="P4980" t="str">
        <f t="shared" si="755"/>
        <v>2100L</v>
      </c>
      <c r="Q4980" t="str">
        <f t="shared" si="754"/>
        <v>0101</v>
      </c>
      <c r="R4980">
        <v>2100</v>
      </c>
      <c r="S4980" t="str">
        <f t="shared" si="751"/>
        <v>7170</v>
      </c>
      <c r="T4980" t="s">
        <v>4066</v>
      </c>
      <c r="U4980" t="s">
        <v>101</v>
      </c>
    </row>
    <row r="4981" spans="1:21" ht="15" customHeight="1" x14ac:dyDescent="0.3">
      <c r="A4981" t="s">
        <v>179</v>
      </c>
      <c r="B4981" t="str">
        <f>"00060747"</f>
        <v>00060747</v>
      </c>
      <c r="C4981" t="s">
        <v>4253</v>
      </c>
      <c r="D4981" t="s">
        <v>4071</v>
      </c>
      <c r="E4981" t="str">
        <f>"00046907"</f>
        <v>00046907</v>
      </c>
      <c r="F4981">
        <v>0</v>
      </c>
      <c r="G4981" s="243">
        <v>39122</v>
      </c>
      <c r="H4981" t="s">
        <v>182</v>
      </c>
      <c r="I4981">
        <v>15</v>
      </c>
      <c r="J4981">
        <v>7</v>
      </c>
      <c r="K4981">
        <v>1</v>
      </c>
      <c r="L4981">
        <v>69132</v>
      </c>
      <c r="M4981" t="str">
        <f t="shared" si="749"/>
        <v>13</v>
      </c>
      <c r="N4981" t="s">
        <v>3323</v>
      </c>
      <c r="O4981" t="str">
        <f t="shared" si="753"/>
        <v>71711</v>
      </c>
      <c r="P4981" t="str">
        <f t="shared" si="755"/>
        <v>2100L</v>
      </c>
      <c r="Q4981" t="str">
        <f t="shared" si="754"/>
        <v>0101</v>
      </c>
      <c r="R4981">
        <v>2100</v>
      </c>
      <c r="S4981" t="str">
        <f t="shared" si="751"/>
        <v>7170</v>
      </c>
      <c r="T4981" t="s">
        <v>4066</v>
      </c>
      <c r="U4981" t="s">
        <v>101</v>
      </c>
    </row>
    <row r="4982" spans="1:21" ht="15" customHeight="1" x14ac:dyDescent="0.3">
      <c r="A4982" t="s">
        <v>179</v>
      </c>
      <c r="B4982" t="str">
        <f>"00060901"</f>
        <v>00060901</v>
      </c>
      <c r="C4982" t="s">
        <v>4260</v>
      </c>
      <c r="D4982" t="s">
        <v>343</v>
      </c>
      <c r="E4982" t="str">
        <f>"00050271"</f>
        <v>00050271</v>
      </c>
      <c r="F4982">
        <v>0</v>
      </c>
      <c r="G4982" s="243">
        <v>40120</v>
      </c>
      <c r="H4982" t="s">
        <v>182</v>
      </c>
      <c r="I4982">
        <v>15</v>
      </c>
      <c r="J4982">
        <v>6</v>
      </c>
      <c r="K4982">
        <v>1</v>
      </c>
      <c r="L4982">
        <v>66078</v>
      </c>
      <c r="M4982" t="str">
        <f t="shared" si="749"/>
        <v>13</v>
      </c>
      <c r="N4982" t="s">
        <v>3323</v>
      </c>
      <c r="O4982" t="str">
        <f t="shared" si="753"/>
        <v>71711</v>
      </c>
      <c r="P4982" t="str">
        <f t="shared" si="755"/>
        <v>2100L</v>
      </c>
      <c r="Q4982" t="str">
        <f t="shared" si="754"/>
        <v>0101</v>
      </c>
      <c r="R4982">
        <v>2100</v>
      </c>
      <c r="S4982" t="str">
        <f t="shared" si="751"/>
        <v>7170</v>
      </c>
      <c r="T4982" t="s">
        <v>4066</v>
      </c>
      <c r="U4982" t="s">
        <v>101</v>
      </c>
    </row>
    <row r="4983" spans="1:21" ht="15" customHeight="1" x14ac:dyDescent="0.3">
      <c r="A4983" t="s">
        <v>179</v>
      </c>
      <c r="B4983" t="str">
        <f>"00061186"</f>
        <v>00061186</v>
      </c>
      <c r="C4983" t="s">
        <v>4253</v>
      </c>
      <c r="D4983" t="s">
        <v>4072</v>
      </c>
      <c r="E4983" t="str">
        <f>"00065689"</f>
        <v>00065689</v>
      </c>
      <c r="F4983">
        <v>0</v>
      </c>
      <c r="G4983" s="243">
        <v>40755</v>
      </c>
      <c r="H4983" t="s">
        <v>182</v>
      </c>
      <c r="I4983">
        <v>15</v>
      </c>
      <c r="J4983">
        <v>9</v>
      </c>
      <c r="K4983">
        <v>1</v>
      </c>
      <c r="L4983">
        <v>75232</v>
      </c>
      <c r="M4983" t="str">
        <f t="shared" si="749"/>
        <v>13</v>
      </c>
      <c r="N4983" t="s">
        <v>3323</v>
      </c>
      <c r="O4983" t="str">
        <f t="shared" si="753"/>
        <v>71711</v>
      </c>
      <c r="P4983" t="str">
        <f t="shared" si="755"/>
        <v>2100L</v>
      </c>
      <c r="Q4983" t="str">
        <f t="shared" si="754"/>
        <v>0101</v>
      </c>
      <c r="R4983">
        <v>2100</v>
      </c>
      <c r="S4983" t="str">
        <f t="shared" si="751"/>
        <v>7170</v>
      </c>
      <c r="T4983" t="s">
        <v>4066</v>
      </c>
      <c r="U4983" t="s">
        <v>101</v>
      </c>
    </row>
    <row r="4984" spans="1:21" ht="15" customHeight="1" x14ac:dyDescent="0.3">
      <c r="A4984" t="s">
        <v>179</v>
      </c>
      <c r="B4984" t="str">
        <f>"00061187"</f>
        <v>00061187</v>
      </c>
      <c r="C4984" t="s">
        <v>4260</v>
      </c>
      <c r="D4984" t="s">
        <v>5777</v>
      </c>
      <c r="E4984" t="str">
        <f>"00069757"</f>
        <v>00069757</v>
      </c>
      <c r="F4984">
        <v>0</v>
      </c>
      <c r="G4984" s="243">
        <v>41133</v>
      </c>
      <c r="H4984" t="s">
        <v>182</v>
      </c>
      <c r="I4984">
        <v>15</v>
      </c>
      <c r="J4984">
        <v>1</v>
      </c>
      <c r="K4984">
        <v>1</v>
      </c>
      <c r="L4984">
        <v>51539</v>
      </c>
      <c r="M4984" t="str">
        <f t="shared" si="749"/>
        <v>13</v>
      </c>
      <c r="N4984" t="s">
        <v>3370</v>
      </c>
      <c r="O4984" t="str">
        <f t="shared" si="753"/>
        <v>71711</v>
      </c>
      <c r="P4984" t="str">
        <f t="shared" si="755"/>
        <v>2100L</v>
      </c>
      <c r="Q4984" t="str">
        <f t="shared" si="754"/>
        <v>0101</v>
      </c>
      <c r="R4984">
        <v>2100</v>
      </c>
      <c r="S4984" t="str">
        <f t="shared" ref="S4984:S5013" si="756">"7170"</f>
        <v>7170</v>
      </c>
      <c r="T4984" t="s">
        <v>4066</v>
      </c>
      <c r="U4984" t="s">
        <v>101</v>
      </c>
    </row>
    <row r="4985" spans="1:21" ht="15" customHeight="1" x14ac:dyDescent="0.3">
      <c r="A4985" t="s">
        <v>179</v>
      </c>
      <c r="B4985" t="str">
        <f>"00062096"</f>
        <v>00062096</v>
      </c>
      <c r="C4985" t="s">
        <v>4260</v>
      </c>
      <c r="D4985" t="s">
        <v>853</v>
      </c>
      <c r="E4985" t="str">
        <f>"00055199"</f>
        <v>00055199</v>
      </c>
      <c r="F4985">
        <v>0</v>
      </c>
      <c r="G4985" s="243">
        <v>39600</v>
      </c>
      <c r="H4985" t="s">
        <v>182</v>
      </c>
      <c r="I4985">
        <v>15</v>
      </c>
      <c r="J4985">
        <v>5</v>
      </c>
      <c r="K4985">
        <v>1</v>
      </c>
      <c r="L4985">
        <v>63611</v>
      </c>
      <c r="M4985" t="str">
        <f t="shared" si="749"/>
        <v>13</v>
      </c>
      <c r="N4985" t="s">
        <v>3323</v>
      </c>
      <c r="O4985" t="str">
        <f t="shared" si="753"/>
        <v>71711</v>
      </c>
      <c r="P4985" t="str">
        <f>"3030L"</f>
        <v>3030L</v>
      </c>
      <c r="Q4985" t="str">
        <f t="shared" si="754"/>
        <v>0101</v>
      </c>
      <c r="R4985">
        <v>3030</v>
      </c>
      <c r="S4985" t="str">
        <f t="shared" si="756"/>
        <v>7170</v>
      </c>
      <c r="T4985" t="s">
        <v>4066</v>
      </c>
      <c r="U4985" t="s">
        <v>101</v>
      </c>
    </row>
    <row r="4986" spans="1:21" ht="15" customHeight="1" x14ac:dyDescent="0.3">
      <c r="A4986" t="s">
        <v>179</v>
      </c>
      <c r="B4986" t="str">
        <f>"00062105"</f>
        <v>00062105</v>
      </c>
      <c r="C4986" t="s">
        <v>4253</v>
      </c>
      <c r="D4986" t="s">
        <v>854</v>
      </c>
      <c r="E4986" t="str">
        <f>"00047425"</f>
        <v>00047425</v>
      </c>
      <c r="F4986">
        <v>0</v>
      </c>
      <c r="G4986" s="243">
        <v>39679</v>
      </c>
      <c r="H4986" t="s">
        <v>182</v>
      </c>
      <c r="I4986">
        <v>15</v>
      </c>
      <c r="J4986">
        <v>5</v>
      </c>
      <c r="K4986">
        <v>1</v>
      </c>
      <c r="L4986">
        <v>63611</v>
      </c>
      <c r="M4986" t="str">
        <f t="shared" si="749"/>
        <v>13</v>
      </c>
      <c r="N4986" t="s">
        <v>3323</v>
      </c>
      <c r="O4986" t="str">
        <f t="shared" si="753"/>
        <v>71711</v>
      </c>
      <c r="P4986" t="str">
        <f t="shared" ref="P4986:P4991" si="757">"2100L"</f>
        <v>2100L</v>
      </c>
      <c r="Q4986" t="str">
        <f t="shared" si="754"/>
        <v>0101</v>
      </c>
      <c r="R4986">
        <v>2100</v>
      </c>
      <c r="S4986" t="str">
        <f t="shared" si="756"/>
        <v>7170</v>
      </c>
      <c r="T4986" t="s">
        <v>4066</v>
      </c>
      <c r="U4986" t="s">
        <v>101</v>
      </c>
    </row>
    <row r="4987" spans="1:21" ht="15" customHeight="1" x14ac:dyDescent="0.3">
      <c r="A4987" t="s">
        <v>179</v>
      </c>
      <c r="B4987" t="str">
        <f>"00062110"</f>
        <v>00062110</v>
      </c>
      <c r="C4987" t="s">
        <v>4260</v>
      </c>
      <c r="D4987" t="s">
        <v>5778</v>
      </c>
      <c r="E4987" t="str">
        <f>"00062582"</f>
        <v>00062582</v>
      </c>
      <c r="F4987">
        <v>0</v>
      </c>
      <c r="G4987" s="243">
        <v>41133</v>
      </c>
      <c r="H4987" t="s">
        <v>182</v>
      </c>
      <c r="I4987">
        <v>15</v>
      </c>
      <c r="J4987">
        <v>2</v>
      </c>
      <c r="K4987">
        <v>1</v>
      </c>
      <c r="L4987">
        <v>56242</v>
      </c>
      <c r="M4987" t="str">
        <f t="shared" si="749"/>
        <v>13</v>
      </c>
      <c r="N4987" t="s">
        <v>3323</v>
      </c>
      <c r="O4987" t="str">
        <f t="shared" si="753"/>
        <v>71711</v>
      </c>
      <c r="P4987" t="str">
        <f t="shared" si="757"/>
        <v>2100L</v>
      </c>
      <c r="Q4987" t="str">
        <f t="shared" si="754"/>
        <v>0101</v>
      </c>
      <c r="R4987">
        <v>2100</v>
      </c>
      <c r="S4987" t="str">
        <f t="shared" si="756"/>
        <v>7170</v>
      </c>
      <c r="T4987" t="s">
        <v>4066</v>
      </c>
      <c r="U4987" t="s">
        <v>101</v>
      </c>
    </row>
    <row r="4988" spans="1:21" ht="15" customHeight="1" x14ac:dyDescent="0.3">
      <c r="A4988" t="s">
        <v>179</v>
      </c>
      <c r="B4988" t="str">
        <f>"00062154"</f>
        <v>00062154</v>
      </c>
      <c r="C4988" t="s">
        <v>4253</v>
      </c>
      <c r="D4988" t="s">
        <v>5779</v>
      </c>
      <c r="E4988" t="str">
        <f>"00069626"</f>
        <v>00069626</v>
      </c>
      <c r="F4988">
        <v>0</v>
      </c>
      <c r="G4988" s="243">
        <v>41133</v>
      </c>
      <c r="H4988" t="s">
        <v>182</v>
      </c>
      <c r="I4988">
        <v>15</v>
      </c>
      <c r="J4988">
        <v>1</v>
      </c>
      <c r="K4988">
        <v>1</v>
      </c>
      <c r="L4988">
        <v>51539</v>
      </c>
      <c r="M4988" t="str">
        <f t="shared" si="749"/>
        <v>13</v>
      </c>
      <c r="N4988" t="s">
        <v>3370</v>
      </c>
      <c r="O4988" t="str">
        <f t="shared" si="753"/>
        <v>71711</v>
      </c>
      <c r="P4988" t="str">
        <f t="shared" si="757"/>
        <v>2100L</v>
      </c>
      <c r="Q4988" t="str">
        <f t="shared" si="754"/>
        <v>0101</v>
      </c>
      <c r="R4988">
        <v>2100</v>
      </c>
      <c r="S4988" t="str">
        <f t="shared" si="756"/>
        <v>7170</v>
      </c>
      <c r="T4988" t="s">
        <v>4066</v>
      </c>
      <c r="U4988" t="s">
        <v>101</v>
      </c>
    </row>
    <row r="4989" spans="1:21" ht="15" customHeight="1" x14ac:dyDescent="0.3">
      <c r="A4989" t="s">
        <v>179</v>
      </c>
      <c r="B4989" t="str">
        <f>"00062157"</f>
        <v>00062157</v>
      </c>
      <c r="C4989" t="s">
        <v>4253</v>
      </c>
      <c r="D4989" t="s">
        <v>809</v>
      </c>
      <c r="E4989" t="str">
        <f>"00057172"</f>
        <v>00057172</v>
      </c>
      <c r="F4989">
        <v>0</v>
      </c>
      <c r="G4989" s="243">
        <v>40042</v>
      </c>
      <c r="H4989" t="s">
        <v>182</v>
      </c>
      <c r="I4989">
        <v>15</v>
      </c>
      <c r="J4989">
        <v>3</v>
      </c>
      <c r="K4989">
        <v>1</v>
      </c>
      <c r="L4989">
        <v>58699</v>
      </c>
      <c r="M4989" t="str">
        <f t="shared" si="749"/>
        <v>13</v>
      </c>
      <c r="N4989" t="s">
        <v>3323</v>
      </c>
      <c r="O4989" t="str">
        <f t="shared" si="753"/>
        <v>71711</v>
      </c>
      <c r="P4989" t="str">
        <f t="shared" si="757"/>
        <v>2100L</v>
      </c>
      <c r="Q4989" t="str">
        <f t="shared" si="754"/>
        <v>0101</v>
      </c>
      <c r="R4989">
        <v>2100</v>
      </c>
      <c r="S4989" t="str">
        <f t="shared" si="756"/>
        <v>7170</v>
      </c>
      <c r="T4989" t="s">
        <v>4066</v>
      </c>
      <c r="U4989" t="s">
        <v>101</v>
      </c>
    </row>
    <row r="4990" spans="1:21" ht="15" customHeight="1" x14ac:dyDescent="0.3">
      <c r="A4990" t="s">
        <v>179</v>
      </c>
      <c r="B4990" t="str">
        <f>"00062337"</f>
        <v>00062337</v>
      </c>
      <c r="C4990" t="s">
        <v>4260</v>
      </c>
      <c r="D4990" t="s">
        <v>855</v>
      </c>
      <c r="E4990" t="str">
        <f>"00050210"</f>
        <v>00050210</v>
      </c>
      <c r="F4990">
        <v>0</v>
      </c>
      <c r="G4990" s="243">
        <v>39679</v>
      </c>
      <c r="H4990" t="s">
        <v>182</v>
      </c>
      <c r="I4990">
        <v>15</v>
      </c>
      <c r="J4990">
        <v>5</v>
      </c>
      <c r="K4990">
        <v>1</v>
      </c>
      <c r="L4990">
        <v>63611</v>
      </c>
      <c r="M4990" t="str">
        <f t="shared" si="749"/>
        <v>13</v>
      </c>
      <c r="N4990" t="s">
        <v>3323</v>
      </c>
      <c r="O4990" t="str">
        <f t="shared" si="753"/>
        <v>71711</v>
      </c>
      <c r="P4990" t="str">
        <f t="shared" si="757"/>
        <v>2100L</v>
      </c>
      <c r="Q4990" t="str">
        <f t="shared" si="754"/>
        <v>0101</v>
      </c>
      <c r="R4990">
        <v>2100</v>
      </c>
      <c r="S4990" t="str">
        <f t="shared" si="756"/>
        <v>7170</v>
      </c>
      <c r="T4990" t="s">
        <v>4066</v>
      </c>
      <c r="U4990" t="s">
        <v>101</v>
      </c>
    </row>
    <row r="4991" spans="1:21" ht="15" customHeight="1" x14ac:dyDescent="0.3">
      <c r="A4991" t="s">
        <v>179</v>
      </c>
      <c r="B4991" t="str">
        <f>"00062366"</f>
        <v>00062366</v>
      </c>
      <c r="C4991" t="s">
        <v>4253</v>
      </c>
      <c r="D4991" t="s">
        <v>856</v>
      </c>
      <c r="E4991" t="str">
        <f>"00045406"</f>
        <v>00045406</v>
      </c>
      <c r="F4991">
        <v>0</v>
      </c>
      <c r="G4991" s="243">
        <v>39679</v>
      </c>
      <c r="H4991" t="s">
        <v>182</v>
      </c>
      <c r="I4991">
        <v>15</v>
      </c>
      <c r="J4991">
        <v>9</v>
      </c>
      <c r="K4991">
        <v>1</v>
      </c>
      <c r="L4991">
        <v>75232</v>
      </c>
      <c r="M4991" t="str">
        <f t="shared" si="749"/>
        <v>13</v>
      </c>
      <c r="N4991" t="s">
        <v>3323</v>
      </c>
      <c r="O4991" t="str">
        <f t="shared" si="753"/>
        <v>71711</v>
      </c>
      <c r="P4991" t="str">
        <f t="shared" si="757"/>
        <v>2100L</v>
      </c>
      <c r="Q4991" t="str">
        <f t="shared" si="754"/>
        <v>0101</v>
      </c>
      <c r="R4991">
        <v>2100</v>
      </c>
      <c r="S4991" t="str">
        <f t="shared" si="756"/>
        <v>7170</v>
      </c>
      <c r="T4991" t="s">
        <v>4066</v>
      </c>
      <c r="U4991" t="s">
        <v>101</v>
      </c>
    </row>
    <row r="4992" spans="1:21" ht="15" customHeight="1" x14ac:dyDescent="0.3">
      <c r="A4992" t="s">
        <v>179</v>
      </c>
      <c r="B4992" t="str">
        <f>"00062377"</f>
        <v>00062377</v>
      </c>
      <c r="C4992" t="s">
        <v>4260</v>
      </c>
      <c r="D4992" t="s">
        <v>4081</v>
      </c>
      <c r="E4992" t="str">
        <f>"00061728"</f>
        <v>00061728</v>
      </c>
      <c r="F4992">
        <v>0</v>
      </c>
      <c r="G4992" s="243">
        <v>40755</v>
      </c>
      <c r="H4992" t="s">
        <v>182</v>
      </c>
      <c r="I4992">
        <v>15</v>
      </c>
      <c r="J4992">
        <v>5</v>
      </c>
      <c r="K4992">
        <v>1</v>
      </c>
      <c r="L4992">
        <v>63611</v>
      </c>
      <c r="M4992" t="str">
        <f t="shared" si="749"/>
        <v>13</v>
      </c>
      <c r="N4992" t="s">
        <v>3323</v>
      </c>
      <c r="O4992" t="str">
        <f t="shared" si="753"/>
        <v>71711</v>
      </c>
      <c r="P4992" t="str">
        <f>"3030L"</f>
        <v>3030L</v>
      </c>
      <c r="Q4992" t="str">
        <f t="shared" si="754"/>
        <v>0101</v>
      </c>
      <c r="R4992">
        <v>3030</v>
      </c>
      <c r="S4992" t="str">
        <f t="shared" si="756"/>
        <v>7170</v>
      </c>
      <c r="T4992" t="s">
        <v>4066</v>
      </c>
      <c r="U4992" t="s">
        <v>101</v>
      </c>
    </row>
    <row r="4993" spans="1:21" ht="15" customHeight="1" x14ac:dyDescent="0.3">
      <c r="A4993" t="s">
        <v>179</v>
      </c>
      <c r="B4993" t="str">
        <f>"00062475"</f>
        <v>00062475</v>
      </c>
      <c r="C4993" t="s">
        <v>4253</v>
      </c>
      <c r="D4993" t="s">
        <v>2250</v>
      </c>
      <c r="E4993" t="str">
        <f>"00055281"</f>
        <v>00055281</v>
      </c>
      <c r="F4993">
        <v>0</v>
      </c>
      <c r="G4993" s="243">
        <v>38587</v>
      </c>
      <c r="H4993" t="s">
        <v>182</v>
      </c>
      <c r="I4993">
        <v>15</v>
      </c>
      <c r="J4993">
        <v>8</v>
      </c>
      <c r="K4993">
        <v>1</v>
      </c>
      <c r="L4993">
        <v>74640</v>
      </c>
      <c r="M4993" t="str">
        <f t="shared" si="749"/>
        <v>13</v>
      </c>
      <c r="N4993" t="s">
        <v>3323</v>
      </c>
      <c r="O4993" t="str">
        <f t="shared" si="753"/>
        <v>71711</v>
      </c>
      <c r="P4993" t="str">
        <f>"2100L"</f>
        <v>2100L</v>
      </c>
      <c r="Q4993" t="str">
        <f t="shared" si="754"/>
        <v>0101</v>
      </c>
      <c r="R4993">
        <v>2100</v>
      </c>
      <c r="S4993" t="str">
        <f t="shared" si="756"/>
        <v>7170</v>
      </c>
      <c r="T4993" t="s">
        <v>4066</v>
      </c>
      <c r="U4993" t="s">
        <v>101</v>
      </c>
    </row>
    <row r="4994" spans="1:21" ht="15" customHeight="1" x14ac:dyDescent="0.3">
      <c r="A4994" t="s">
        <v>179</v>
      </c>
      <c r="B4994" t="str">
        <f>"00062484"</f>
        <v>00062484</v>
      </c>
      <c r="C4994" t="s">
        <v>4258</v>
      </c>
      <c r="D4994" t="s">
        <v>857</v>
      </c>
      <c r="E4994" t="str">
        <f>"00046024"</f>
        <v>00046024</v>
      </c>
      <c r="F4994">
        <v>0</v>
      </c>
      <c r="G4994" s="243">
        <v>39679</v>
      </c>
      <c r="H4994" t="s">
        <v>182</v>
      </c>
      <c r="I4994">
        <v>15</v>
      </c>
      <c r="J4994">
        <v>5</v>
      </c>
      <c r="K4994">
        <v>1</v>
      </c>
      <c r="L4994">
        <v>63611</v>
      </c>
      <c r="M4994" t="str">
        <f t="shared" si="749"/>
        <v>13</v>
      </c>
      <c r="N4994" t="s">
        <v>3323</v>
      </c>
      <c r="O4994" t="str">
        <f t="shared" si="753"/>
        <v>71711</v>
      </c>
      <c r="P4994" t="str">
        <f>"2100L"</f>
        <v>2100L</v>
      </c>
      <c r="Q4994" t="str">
        <f t="shared" si="754"/>
        <v>0101</v>
      </c>
      <c r="R4994">
        <v>2100</v>
      </c>
      <c r="S4994" t="str">
        <f t="shared" si="756"/>
        <v>7170</v>
      </c>
      <c r="T4994" t="s">
        <v>4066</v>
      </c>
      <c r="U4994" t="s">
        <v>101</v>
      </c>
    </row>
    <row r="4995" spans="1:21" ht="15" customHeight="1" x14ac:dyDescent="0.3">
      <c r="A4995" t="s">
        <v>179</v>
      </c>
      <c r="B4995" t="str">
        <f>"00064504"</f>
        <v>00064504</v>
      </c>
      <c r="C4995" t="s">
        <v>3670</v>
      </c>
      <c r="H4995" t="s">
        <v>170</v>
      </c>
      <c r="I4995">
        <v>8</v>
      </c>
      <c r="J4995">
        <v>1</v>
      </c>
      <c r="K4995">
        <v>1</v>
      </c>
      <c r="L4995">
        <v>82397</v>
      </c>
      <c r="M4995" t="str">
        <f t="shared" si="749"/>
        <v>13</v>
      </c>
      <c r="N4995" t="s">
        <v>3370</v>
      </c>
      <c r="O4995" t="str">
        <f t="shared" si="753"/>
        <v>71711</v>
      </c>
      <c r="P4995" t="str">
        <f>"1501L"</f>
        <v>1501L</v>
      </c>
      <c r="Q4995" t="str">
        <f t="shared" si="754"/>
        <v>0101</v>
      </c>
      <c r="R4995">
        <v>1501</v>
      </c>
      <c r="S4995" t="str">
        <f t="shared" si="756"/>
        <v>7170</v>
      </c>
      <c r="T4995" t="s">
        <v>4066</v>
      </c>
      <c r="U4995" t="s">
        <v>101</v>
      </c>
    </row>
    <row r="4996" spans="1:21" ht="15" customHeight="1" x14ac:dyDescent="0.3">
      <c r="A4996" t="s">
        <v>179</v>
      </c>
      <c r="B4996" t="str">
        <f>"00065923"</f>
        <v>00065923</v>
      </c>
      <c r="C4996" t="s">
        <v>4253</v>
      </c>
      <c r="D4996" t="s">
        <v>858</v>
      </c>
      <c r="E4996" t="str">
        <f>"00056689"</f>
        <v>00056689</v>
      </c>
      <c r="F4996">
        <v>0</v>
      </c>
      <c r="G4996" s="243">
        <v>40042</v>
      </c>
      <c r="H4996" t="s">
        <v>182</v>
      </c>
      <c r="I4996">
        <v>15</v>
      </c>
      <c r="J4996">
        <v>4</v>
      </c>
      <c r="K4996">
        <v>1</v>
      </c>
      <c r="L4996">
        <v>61158</v>
      </c>
      <c r="M4996" t="str">
        <f t="shared" si="749"/>
        <v>13</v>
      </c>
      <c r="N4996" t="s">
        <v>3323</v>
      </c>
      <c r="O4996" t="str">
        <f t="shared" si="753"/>
        <v>71711</v>
      </c>
      <c r="P4996" t="str">
        <f t="shared" ref="P4996:P5001" si="758">"2100L"</f>
        <v>2100L</v>
      </c>
      <c r="Q4996" t="str">
        <f t="shared" si="754"/>
        <v>0101</v>
      </c>
      <c r="R4996">
        <v>2100</v>
      </c>
      <c r="S4996" t="str">
        <f t="shared" si="756"/>
        <v>7170</v>
      </c>
      <c r="T4996" t="s">
        <v>4066</v>
      </c>
      <c r="U4996" t="s">
        <v>101</v>
      </c>
    </row>
    <row r="4997" spans="1:21" ht="15" customHeight="1" x14ac:dyDescent="0.3">
      <c r="A4997" t="s">
        <v>179</v>
      </c>
      <c r="B4997" t="str">
        <f>"00065925"</f>
        <v>00065925</v>
      </c>
      <c r="C4997" t="s">
        <v>4260</v>
      </c>
      <c r="D4997" t="s">
        <v>4073</v>
      </c>
      <c r="E4997" t="str">
        <f>"00065954"</f>
        <v>00065954</v>
      </c>
      <c r="F4997">
        <v>0</v>
      </c>
      <c r="G4997" s="243">
        <v>40755</v>
      </c>
      <c r="H4997" t="s">
        <v>182</v>
      </c>
      <c r="I4997">
        <v>15</v>
      </c>
      <c r="J4997">
        <v>2</v>
      </c>
      <c r="K4997">
        <v>1</v>
      </c>
      <c r="L4997">
        <v>51716</v>
      </c>
      <c r="M4997" t="str">
        <f t="shared" si="749"/>
        <v>13</v>
      </c>
      <c r="N4997" t="s">
        <v>3323</v>
      </c>
      <c r="O4997" t="str">
        <f t="shared" si="753"/>
        <v>71711</v>
      </c>
      <c r="P4997" t="str">
        <f t="shared" si="758"/>
        <v>2100L</v>
      </c>
      <c r="Q4997" t="str">
        <f t="shared" si="754"/>
        <v>0101</v>
      </c>
      <c r="R4997">
        <v>2100</v>
      </c>
      <c r="S4997" t="str">
        <f t="shared" si="756"/>
        <v>7170</v>
      </c>
      <c r="T4997" t="s">
        <v>4066</v>
      </c>
      <c r="U4997" t="s">
        <v>101</v>
      </c>
    </row>
    <row r="4998" spans="1:21" ht="15" customHeight="1" x14ac:dyDescent="0.3">
      <c r="A4998" t="s">
        <v>179</v>
      </c>
      <c r="B4998" t="str">
        <f>"00065929"</f>
        <v>00065929</v>
      </c>
      <c r="C4998" t="s">
        <v>4260</v>
      </c>
      <c r="D4998" t="s">
        <v>4074</v>
      </c>
      <c r="E4998" t="str">
        <f>"00065875"</f>
        <v>00065875</v>
      </c>
      <c r="F4998">
        <v>0</v>
      </c>
      <c r="G4998" s="243">
        <v>40756</v>
      </c>
      <c r="H4998" t="s">
        <v>182</v>
      </c>
      <c r="I4998">
        <v>15</v>
      </c>
      <c r="J4998">
        <v>2</v>
      </c>
      <c r="K4998">
        <v>1</v>
      </c>
      <c r="L4998">
        <v>54099</v>
      </c>
      <c r="M4998" t="str">
        <f t="shared" si="749"/>
        <v>13</v>
      </c>
      <c r="N4998" t="s">
        <v>3323</v>
      </c>
      <c r="O4998" t="str">
        <f t="shared" si="753"/>
        <v>71711</v>
      </c>
      <c r="P4998" t="str">
        <f t="shared" si="758"/>
        <v>2100L</v>
      </c>
      <c r="Q4998" t="str">
        <f t="shared" si="754"/>
        <v>0101</v>
      </c>
      <c r="R4998">
        <v>2100</v>
      </c>
      <c r="S4998" t="str">
        <f t="shared" si="756"/>
        <v>7170</v>
      </c>
      <c r="T4998" t="s">
        <v>4066</v>
      </c>
      <c r="U4998" t="s">
        <v>101</v>
      </c>
    </row>
    <row r="4999" spans="1:21" ht="15" customHeight="1" x14ac:dyDescent="0.3">
      <c r="A4999" t="s">
        <v>179</v>
      </c>
      <c r="B4999" t="str">
        <f>"00065930"</f>
        <v>00065930</v>
      </c>
      <c r="C4999" t="s">
        <v>4260</v>
      </c>
      <c r="D4999" t="s">
        <v>859</v>
      </c>
      <c r="E4999" t="str">
        <f>"00057079"</f>
        <v>00057079</v>
      </c>
      <c r="F4999">
        <v>0</v>
      </c>
      <c r="G4999" s="243">
        <v>41133</v>
      </c>
      <c r="H4999" t="s">
        <v>182</v>
      </c>
      <c r="I4999">
        <v>15</v>
      </c>
      <c r="J4999">
        <v>3</v>
      </c>
      <c r="K4999">
        <v>1</v>
      </c>
      <c r="L4999">
        <v>58699</v>
      </c>
      <c r="M4999" t="str">
        <f t="shared" si="749"/>
        <v>13</v>
      </c>
      <c r="N4999" t="s">
        <v>3370</v>
      </c>
      <c r="O4999" t="str">
        <f t="shared" si="753"/>
        <v>71711</v>
      </c>
      <c r="P4999" t="str">
        <f t="shared" si="758"/>
        <v>2100L</v>
      </c>
      <c r="Q4999" t="str">
        <f t="shared" si="754"/>
        <v>0101</v>
      </c>
      <c r="R4999">
        <v>2100</v>
      </c>
      <c r="S4999" t="str">
        <f t="shared" si="756"/>
        <v>7170</v>
      </c>
      <c r="T4999" t="s">
        <v>4066</v>
      </c>
      <c r="U4999" t="s">
        <v>101</v>
      </c>
    </row>
    <row r="5000" spans="1:21" ht="15" customHeight="1" x14ac:dyDescent="0.3">
      <c r="A5000" t="s">
        <v>179</v>
      </c>
      <c r="B5000" t="str">
        <f>"00066223"</f>
        <v>00066223</v>
      </c>
      <c r="C5000" t="s">
        <v>4290</v>
      </c>
      <c r="D5000" t="s">
        <v>5780</v>
      </c>
      <c r="E5000" t="str">
        <f>"00057671"</f>
        <v>00057671</v>
      </c>
      <c r="F5000">
        <v>0</v>
      </c>
      <c r="G5000" s="243">
        <v>40042</v>
      </c>
      <c r="H5000" t="s">
        <v>182</v>
      </c>
      <c r="I5000">
        <v>4</v>
      </c>
      <c r="J5000">
        <v>7</v>
      </c>
      <c r="K5000">
        <v>1</v>
      </c>
      <c r="L5000">
        <v>26633.25</v>
      </c>
      <c r="M5000" t="str">
        <f t="shared" si="749"/>
        <v>13</v>
      </c>
      <c r="N5000" t="s">
        <v>3323</v>
      </c>
      <c r="O5000" t="str">
        <f t="shared" si="753"/>
        <v>71711</v>
      </c>
      <c r="P5000" t="str">
        <f t="shared" si="758"/>
        <v>2100L</v>
      </c>
      <c r="Q5000" t="str">
        <f t="shared" si="754"/>
        <v>0101</v>
      </c>
      <c r="R5000">
        <v>2100</v>
      </c>
      <c r="S5000" t="str">
        <f t="shared" si="756"/>
        <v>7170</v>
      </c>
      <c r="T5000" t="s">
        <v>4066</v>
      </c>
      <c r="U5000" t="s">
        <v>101</v>
      </c>
    </row>
    <row r="5001" spans="1:21" ht="15" customHeight="1" x14ac:dyDescent="0.3">
      <c r="A5001" t="s">
        <v>179</v>
      </c>
      <c r="B5001" t="str">
        <f>"00066224"</f>
        <v>00066224</v>
      </c>
      <c r="C5001" t="s">
        <v>4290</v>
      </c>
      <c r="D5001" t="s">
        <v>950</v>
      </c>
      <c r="E5001" t="str">
        <f>"00053603"</f>
        <v>00053603</v>
      </c>
      <c r="F5001">
        <v>0</v>
      </c>
      <c r="G5001" s="243">
        <v>41133</v>
      </c>
      <c r="H5001" t="s">
        <v>182</v>
      </c>
      <c r="I5001">
        <v>4</v>
      </c>
      <c r="J5001">
        <v>10</v>
      </c>
      <c r="K5001">
        <v>1</v>
      </c>
      <c r="L5001">
        <v>28721</v>
      </c>
      <c r="M5001" t="str">
        <f t="shared" si="749"/>
        <v>13</v>
      </c>
      <c r="N5001" t="s">
        <v>3323</v>
      </c>
      <c r="O5001" t="str">
        <f t="shared" si="753"/>
        <v>71711</v>
      </c>
      <c r="P5001" t="str">
        <f t="shared" si="758"/>
        <v>2100L</v>
      </c>
      <c r="Q5001" t="str">
        <f t="shared" si="754"/>
        <v>0101</v>
      </c>
      <c r="R5001">
        <v>2100</v>
      </c>
      <c r="S5001" t="str">
        <f t="shared" si="756"/>
        <v>7170</v>
      </c>
      <c r="T5001" t="s">
        <v>4066</v>
      </c>
      <c r="U5001" t="s">
        <v>101</v>
      </c>
    </row>
    <row r="5002" spans="1:21" ht="15" customHeight="1" x14ac:dyDescent="0.3">
      <c r="A5002" t="s">
        <v>179</v>
      </c>
      <c r="B5002" t="str">
        <f>"00066227"</f>
        <v>00066227</v>
      </c>
      <c r="C5002" t="s">
        <v>4290</v>
      </c>
      <c r="D5002" t="s">
        <v>5781</v>
      </c>
      <c r="E5002" t="str">
        <f>"00068124"</f>
        <v>00068124</v>
      </c>
      <c r="F5002">
        <v>0</v>
      </c>
      <c r="G5002" s="243">
        <v>41008</v>
      </c>
      <c r="H5002" t="s">
        <v>182</v>
      </c>
      <c r="I5002">
        <v>4</v>
      </c>
      <c r="J5002">
        <v>4</v>
      </c>
      <c r="K5002">
        <v>1</v>
      </c>
      <c r="L5002">
        <v>24543.75</v>
      </c>
      <c r="M5002" t="str">
        <f t="shared" si="749"/>
        <v>13</v>
      </c>
      <c r="N5002" t="s">
        <v>3323</v>
      </c>
      <c r="O5002" t="str">
        <f t="shared" ref="O5002:O5024" si="759">"71711"</f>
        <v>71711</v>
      </c>
      <c r="P5002" t="str">
        <f>"3030L"</f>
        <v>3030L</v>
      </c>
      <c r="Q5002" t="str">
        <f t="shared" ref="Q5002:Q5024" si="760">"0101"</f>
        <v>0101</v>
      </c>
      <c r="R5002">
        <v>3030</v>
      </c>
      <c r="S5002" t="str">
        <f t="shared" si="756"/>
        <v>7170</v>
      </c>
      <c r="T5002" t="s">
        <v>4066</v>
      </c>
      <c r="U5002" t="s">
        <v>101</v>
      </c>
    </row>
    <row r="5003" spans="1:21" ht="15" customHeight="1" x14ac:dyDescent="0.3">
      <c r="A5003" t="s">
        <v>179</v>
      </c>
      <c r="B5003" t="str">
        <f>"00066228"</f>
        <v>00066228</v>
      </c>
      <c r="C5003" t="s">
        <v>4290</v>
      </c>
      <c r="D5003" t="s">
        <v>5782</v>
      </c>
      <c r="E5003" t="str">
        <f>"00060806"</f>
        <v>00060806</v>
      </c>
      <c r="F5003">
        <v>0</v>
      </c>
      <c r="G5003" s="243">
        <v>40283</v>
      </c>
      <c r="H5003" t="s">
        <v>182</v>
      </c>
      <c r="I5003">
        <v>4</v>
      </c>
      <c r="J5003">
        <v>5</v>
      </c>
      <c r="K5003">
        <v>1</v>
      </c>
      <c r="L5003">
        <v>25239.37</v>
      </c>
      <c r="M5003" t="str">
        <f t="shared" si="749"/>
        <v>13</v>
      </c>
      <c r="N5003" t="s">
        <v>3323</v>
      </c>
      <c r="O5003" t="str">
        <f t="shared" si="759"/>
        <v>71711</v>
      </c>
      <c r="P5003" t="str">
        <f>"2100L"</f>
        <v>2100L</v>
      </c>
      <c r="Q5003" t="str">
        <f t="shared" si="760"/>
        <v>0101</v>
      </c>
      <c r="R5003">
        <v>2100</v>
      </c>
      <c r="S5003" t="str">
        <f t="shared" si="756"/>
        <v>7170</v>
      </c>
      <c r="T5003" t="s">
        <v>4066</v>
      </c>
      <c r="U5003" t="s">
        <v>101</v>
      </c>
    </row>
    <row r="5004" spans="1:21" ht="15" customHeight="1" x14ac:dyDescent="0.3">
      <c r="A5004" t="s">
        <v>179</v>
      </c>
      <c r="B5004" t="str">
        <f>"00066556"</f>
        <v>00066556</v>
      </c>
      <c r="C5004" t="s">
        <v>4253</v>
      </c>
      <c r="D5004" t="s">
        <v>860</v>
      </c>
      <c r="E5004" t="str">
        <f>"00057660"</f>
        <v>00057660</v>
      </c>
      <c r="F5004">
        <v>0</v>
      </c>
      <c r="G5004" s="243">
        <v>40042</v>
      </c>
      <c r="H5004" t="s">
        <v>182</v>
      </c>
      <c r="I5004">
        <v>15</v>
      </c>
      <c r="J5004">
        <v>11</v>
      </c>
      <c r="K5004">
        <v>1</v>
      </c>
      <c r="L5004">
        <v>81335</v>
      </c>
      <c r="M5004" t="str">
        <f t="shared" si="749"/>
        <v>13</v>
      </c>
      <c r="N5004" t="s">
        <v>3323</v>
      </c>
      <c r="O5004" t="str">
        <f t="shared" si="759"/>
        <v>71711</v>
      </c>
      <c r="P5004" t="str">
        <f>"2100L"</f>
        <v>2100L</v>
      </c>
      <c r="Q5004" t="str">
        <f t="shared" si="760"/>
        <v>0101</v>
      </c>
      <c r="R5004">
        <v>2100</v>
      </c>
      <c r="S5004" t="str">
        <f t="shared" si="756"/>
        <v>7170</v>
      </c>
      <c r="T5004" t="s">
        <v>4066</v>
      </c>
      <c r="U5004" t="s">
        <v>101</v>
      </c>
    </row>
    <row r="5005" spans="1:21" ht="15" customHeight="1" x14ac:dyDescent="0.3">
      <c r="A5005" t="s">
        <v>179</v>
      </c>
      <c r="B5005" t="str">
        <f>"00066922"</f>
        <v>00066922</v>
      </c>
      <c r="C5005" t="s">
        <v>4266</v>
      </c>
      <c r="D5005" t="s">
        <v>861</v>
      </c>
      <c r="E5005" t="str">
        <f>"00008074"</f>
        <v>00008074</v>
      </c>
      <c r="F5005">
        <v>0</v>
      </c>
      <c r="G5005" s="243">
        <v>40042</v>
      </c>
      <c r="H5005" t="s">
        <v>182</v>
      </c>
      <c r="I5005">
        <v>15</v>
      </c>
      <c r="J5005">
        <v>4</v>
      </c>
      <c r="K5005">
        <v>1</v>
      </c>
      <c r="L5005">
        <v>61158</v>
      </c>
      <c r="M5005" t="str">
        <f t="shared" si="749"/>
        <v>13</v>
      </c>
      <c r="N5005" t="s">
        <v>3323</v>
      </c>
      <c r="O5005" t="str">
        <f t="shared" si="759"/>
        <v>71711</v>
      </c>
      <c r="P5005" t="str">
        <f>"2300L"</f>
        <v>2300L</v>
      </c>
      <c r="Q5005" t="str">
        <f t="shared" si="760"/>
        <v>0101</v>
      </c>
      <c r="R5005">
        <v>2300</v>
      </c>
      <c r="S5005" t="str">
        <f t="shared" si="756"/>
        <v>7170</v>
      </c>
      <c r="T5005" t="s">
        <v>4066</v>
      </c>
      <c r="U5005" t="s">
        <v>101</v>
      </c>
    </row>
    <row r="5006" spans="1:21" ht="15" customHeight="1" x14ac:dyDescent="0.3">
      <c r="A5006" t="s">
        <v>179</v>
      </c>
      <c r="B5006" t="str">
        <f>"00066993"</f>
        <v>00066993</v>
      </c>
      <c r="C5006" t="s">
        <v>4395</v>
      </c>
      <c r="D5006" t="s">
        <v>2199</v>
      </c>
      <c r="E5006" t="str">
        <f>"00045725"</f>
        <v>00045725</v>
      </c>
      <c r="F5006">
        <v>0</v>
      </c>
      <c r="G5006" s="243">
        <v>39393</v>
      </c>
      <c r="H5006" t="s">
        <v>182</v>
      </c>
      <c r="I5006">
        <v>10</v>
      </c>
      <c r="J5006">
        <v>5</v>
      </c>
      <c r="K5006">
        <v>1</v>
      </c>
      <c r="L5006">
        <v>72387</v>
      </c>
      <c r="M5006" t="str">
        <f t="shared" si="749"/>
        <v>13</v>
      </c>
      <c r="N5006" t="s">
        <v>3323</v>
      </c>
      <c r="O5006" t="str">
        <f t="shared" si="759"/>
        <v>71711</v>
      </c>
      <c r="P5006" t="str">
        <f>"1502L"</f>
        <v>1502L</v>
      </c>
      <c r="Q5006" t="str">
        <f t="shared" si="760"/>
        <v>0101</v>
      </c>
      <c r="R5006">
        <v>1502</v>
      </c>
      <c r="S5006" t="str">
        <f t="shared" si="756"/>
        <v>7170</v>
      </c>
      <c r="T5006" t="s">
        <v>4066</v>
      </c>
      <c r="U5006" t="s">
        <v>101</v>
      </c>
    </row>
    <row r="5007" spans="1:21" ht="15" customHeight="1" x14ac:dyDescent="0.3">
      <c r="A5007" t="s">
        <v>179</v>
      </c>
      <c r="B5007" t="str">
        <f>"00067083"</f>
        <v>00067083</v>
      </c>
      <c r="C5007" t="s">
        <v>3670</v>
      </c>
      <c r="D5007" t="s">
        <v>862</v>
      </c>
      <c r="E5007" t="str">
        <f>"00057710"</f>
        <v>00057710</v>
      </c>
      <c r="F5007">
        <v>0</v>
      </c>
      <c r="G5007" s="243">
        <v>40042</v>
      </c>
      <c r="H5007" t="s">
        <v>182</v>
      </c>
      <c r="I5007">
        <v>8</v>
      </c>
      <c r="J5007">
        <v>4</v>
      </c>
      <c r="K5007">
        <v>1</v>
      </c>
      <c r="L5007">
        <v>89645</v>
      </c>
      <c r="M5007" t="str">
        <f t="shared" si="749"/>
        <v>13</v>
      </c>
      <c r="N5007" t="s">
        <v>3323</v>
      </c>
      <c r="O5007" t="str">
        <f t="shared" si="759"/>
        <v>71711</v>
      </c>
      <c r="P5007" t="str">
        <f>"1501L"</f>
        <v>1501L</v>
      </c>
      <c r="Q5007" t="str">
        <f t="shared" si="760"/>
        <v>0101</v>
      </c>
      <c r="R5007">
        <v>1501</v>
      </c>
      <c r="S5007" t="str">
        <f t="shared" si="756"/>
        <v>7170</v>
      </c>
      <c r="T5007" t="s">
        <v>4066</v>
      </c>
      <c r="U5007" t="s">
        <v>101</v>
      </c>
    </row>
    <row r="5008" spans="1:21" ht="15" customHeight="1" x14ac:dyDescent="0.3">
      <c r="A5008" t="s">
        <v>179</v>
      </c>
      <c r="B5008" t="str">
        <f>"00070721"</f>
        <v>00070721</v>
      </c>
      <c r="C5008" t="s">
        <v>4253</v>
      </c>
      <c r="D5008" t="s">
        <v>863</v>
      </c>
      <c r="E5008" t="str">
        <f>"00049326"</f>
        <v>00049326</v>
      </c>
      <c r="F5008">
        <v>0</v>
      </c>
      <c r="G5008" s="243">
        <v>40041</v>
      </c>
      <c r="H5008" t="s">
        <v>182</v>
      </c>
      <c r="I5008">
        <v>15</v>
      </c>
      <c r="J5008">
        <v>12</v>
      </c>
      <c r="K5008">
        <v>1</v>
      </c>
      <c r="L5008">
        <v>87431</v>
      </c>
      <c r="M5008" t="str">
        <f t="shared" si="749"/>
        <v>13</v>
      </c>
      <c r="N5008" t="s">
        <v>3370</v>
      </c>
      <c r="O5008" t="str">
        <f t="shared" si="759"/>
        <v>71711</v>
      </c>
      <c r="P5008" t="str">
        <f>"2100L"</f>
        <v>2100L</v>
      </c>
      <c r="Q5008" t="str">
        <f t="shared" si="760"/>
        <v>0101</v>
      </c>
      <c r="R5008">
        <v>2100</v>
      </c>
      <c r="S5008" t="str">
        <f t="shared" si="756"/>
        <v>7170</v>
      </c>
      <c r="T5008" t="s">
        <v>4066</v>
      </c>
      <c r="U5008" t="s">
        <v>101</v>
      </c>
    </row>
    <row r="5009" spans="1:21" ht="15" customHeight="1" x14ac:dyDescent="0.3">
      <c r="A5009" t="s">
        <v>179</v>
      </c>
      <c r="B5009" t="str">
        <f>"00072300"</f>
        <v>00072300</v>
      </c>
      <c r="C5009" t="s">
        <v>4261</v>
      </c>
      <c r="D5009" t="s">
        <v>864</v>
      </c>
      <c r="E5009" t="str">
        <f>"00052842"</f>
        <v>00052842</v>
      </c>
      <c r="F5009">
        <v>0</v>
      </c>
      <c r="G5009" s="243">
        <v>32050</v>
      </c>
      <c r="H5009" t="s">
        <v>182</v>
      </c>
      <c r="I5009">
        <v>15</v>
      </c>
      <c r="J5009">
        <v>16</v>
      </c>
      <c r="K5009">
        <v>1</v>
      </c>
      <c r="L5009">
        <v>113681</v>
      </c>
      <c r="M5009" t="str">
        <f t="shared" si="749"/>
        <v>13</v>
      </c>
      <c r="N5009" t="s">
        <v>3323</v>
      </c>
      <c r="O5009" t="str">
        <f t="shared" si="759"/>
        <v>71711</v>
      </c>
      <c r="P5009" t="str">
        <f>"2100L"</f>
        <v>2100L</v>
      </c>
      <c r="Q5009" t="str">
        <f t="shared" si="760"/>
        <v>0101</v>
      </c>
      <c r="R5009">
        <v>2100</v>
      </c>
      <c r="S5009" t="str">
        <f t="shared" si="756"/>
        <v>7170</v>
      </c>
      <c r="T5009" t="s">
        <v>4066</v>
      </c>
      <c r="U5009" t="s">
        <v>101</v>
      </c>
    </row>
    <row r="5010" spans="1:21" ht="15" customHeight="1" x14ac:dyDescent="0.3">
      <c r="A5010" t="s">
        <v>179</v>
      </c>
      <c r="B5010" t="str">
        <f>"00072685"</f>
        <v>00072685</v>
      </c>
      <c r="C5010" t="s">
        <v>4260</v>
      </c>
      <c r="D5010" t="s">
        <v>865</v>
      </c>
      <c r="E5010" t="str">
        <f>"00057045"</f>
        <v>00057045</v>
      </c>
      <c r="F5010">
        <v>0</v>
      </c>
      <c r="G5010" s="243">
        <v>40042</v>
      </c>
      <c r="H5010" t="s">
        <v>182</v>
      </c>
      <c r="I5010">
        <v>15</v>
      </c>
      <c r="J5010">
        <v>12</v>
      </c>
      <c r="K5010">
        <v>1</v>
      </c>
      <c r="L5010">
        <v>87431</v>
      </c>
      <c r="M5010" t="str">
        <f t="shared" si="749"/>
        <v>13</v>
      </c>
      <c r="N5010" t="s">
        <v>3323</v>
      </c>
      <c r="O5010" t="str">
        <f t="shared" si="759"/>
        <v>71711</v>
      </c>
      <c r="P5010" t="str">
        <f>"2100L"</f>
        <v>2100L</v>
      </c>
      <c r="Q5010" t="str">
        <f t="shared" si="760"/>
        <v>0101</v>
      </c>
      <c r="R5010">
        <v>2100</v>
      </c>
      <c r="S5010" t="str">
        <f t="shared" si="756"/>
        <v>7170</v>
      </c>
      <c r="T5010" t="s">
        <v>4066</v>
      </c>
      <c r="U5010" t="s">
        <v>101</v>
      </c>
    </row>
    <row r="5011" spans="1:21" ht="15" customHeight="1" x14ac:dyDescent="0.3">
      <c r="A5011" t="s">
        <v>179</v>
      </c>
      <c r="B5011" t="str">
        <f>"00073741"</f>
        <v>00073741</v>
      </c>
      <c r="C5011" t="s">
        <v>5657</v>
      </c>
      <c r="D5011" t="s">
        <v>938</v>
      </c>
      <c r="E5011" t="str">
        <f>"00051476"</f>
        <v>00051476</v>
      </c>
      <c r="F5011">
        <v>0</v>
      </c>
      <c r="G5011" s="243">
        <v>37132</v>
      </c>
      <c r="H5011" t="s">
        <v>182</v>
      </c>
      <c r="I5011">
        <v>15</v>
      </c>
      <c r="J5011">
        <v>7</v>
      </c>
      <c r="K5011">
        <v>0.5</v>
      </c>
      <c r="L5011">
        <v>73482</v>
      </c>
      <c r="M5011" t="str">
        <f t="shared" si="749"/>
        <v>13</v>
      </c>
      <c r="N5011" t="s">
        <v>3323</v>
      </c>
      <c r="O5011" t="str">
        <f t="shared" si="759"/>
        <v>71711</v>
      </c>
      <c r="P5011" t="str">
        <f>"2100L"</f>
        <v>2100L</v>
      </c>
      <c r="Q5011" t="str">
        <f t="shared" si="760"/>
        <v>0101</v>
      </c>
      <c r="R5011">
        <v>2100</v>
      </c>
      <c r="S5011" t="str">
        <f t="shared" si="756"/>
        <v>7170</v>
      </c>
      <c r="T5011" t="s">
        <v>4066</v>
      </c>
      <c r="U5011" t="s">
        <v>101</v>
      </c>
    </row>
    <row r="5012" spans="1:21" ht="15" customHeight="1" x14ac:dyDescent="0.3">
      <c r="A5012" t="s">
        <v>179</v>
      </c>
      <c r="B5012" t="str">
        <f>"00073741"</f>
        <v>00073741</v>
      </c>
      <c r="C5012" t="s">
        <v>5657</v>
      </c>
      <c r="D5012" t="s">
        <v>938</v>
      </c>
      <c r="E5012" t="str">
        <f>"00051476"</f>
        <v>00051476</v>
      </c>
      <c r="F5012">
        <v>0</v>
      </c>
      <c r="G5012" s="243">
        <v>37132</v>
      </c>
      <c r="H5012" t="s">
        <v>182</v>
      </c>
      <c r="I5012">
        <v>15</v>
      </c>
      <c r="J5012">
        <v>7</v>
      </c>
      <c r="K5012">
        <v>0.5</v>
      </c>
      <c r="L5012">
        <v>73482</v>
      </c>
      <c r="M5012" t="str">
        <f t="shared" si="749"/>
        <v>13</v>
      </c>
      <c r="N5012" t="s">
        <v>3323</v>
      </c>
      <c r="O5012" t="str">
        <f t="shared" si="759"/>
        <v>71711</v>
      </c>
      <c r="P5012" t="str">
        <f>"5700L"</f>
        <v>5700L</v>
      </c>
      <c r="Q5012" t="str">
        <f t="shared" si="760"/>
        <v>0101</v>
      </c>
      <c r="R5012">
        <v>5700</v>
      </c>
      <c r="S5012" t="str">
        <f t="shared" si="756"/>
        <v>7170</v>
      </c>
      <c r="T5012" t="s">
        <v>4066</v>
      </c>
      <c r="U5012" t="s">
        <v>101</v>
      </c>
    </row>
    <row r="5013" spans="1:21" ht="15" customHeight="1" x14ac:dyDescent="0.3">
      <c r="A5013" t="s">
        <v>179</v>
      </c>
      <c r="B5013" t="str">
        <f>"00074205"</f>
        <v>00074205</v>
      </c>
      <c r="C5013" t="s">
        <v>200</v>
      </c>
      <c r="D5013" t="s">
        <v>4070</v>
      </c>
      <c r="E5013" t="str">
        <f>"00045771"</f>
        <v>00045771</v>
      </c>
      <c r="F5013">
        <v>0</v>
      </c>
      <c r="G5013" s="243">
        <v>32860</v>
      </c>
      <c r="H5013" t="s">
        <v>182</v>
      </c>
      <c r="I5013">
        <v>15</v>
      </c>
      <c r="J5013">
        <v>16</v>
      </c>
      <c r="K5013">
        <v>1</v>
      </c>
      <c r="L5013">
        <v>106540</v>
      </c>
      <c r="M5013" t="str">
        <f t="shared" ref="M5013:M5069" si="761">"13"</f>
        <v>13</v>
      </c>
      <c r="N5013" t="s">
        <v>3323</v>
      </c>
      <c r="O5013" t="str">
        <f t="shared" si="759"/>
        <v>71711</v>
      </c>
      <c r="P5013" t="str">
        <f t="shared" ref="P5013:P5024" si="762">"2100L"</f>
        <v>2100L</v>
      </c>
      <c r="Q5013" t="str">
        <f t="shared" si="760"/>
        <v>0101</v>
      </c>
      <c r="R5013">
        <v>2100</v>
      </c>
      <c r="S5013" t="str">
        <f t="shared" si="756"/>
        <v>7170</v>
      </c>
      <c r="T5013" t="s">
        <v>4066</v>
      </c>
      <c r="U5013" t="s">
        <v>101</v>
      </c>
    </row>
    <row r="5014" spans="1:21" ht="15" customHeight="1" x14ac:dyDescent="0.3">
      <c r="A5014" t="s">
        <v>179</v>
      </c>
      <c r="B5014" t="str">
        <f>"00074453"</f>
        <v>00074453</v>
      </c>
      <c r="C5014" t="s">
        <v>4255</v>
      </c>
      <c r="D5014" t="s">
        <v>1416</v>
      </c>
      <c r="E5014" t="str">
        <f>"00056226"</f>
        <v>00056226</v>
      </c>
      <c r="F5014">
        <v>0</v>
      </c>
      <c r="G5014" s="243">
        <v>40042</v>
      </c>
      <c r="H5014" t="s">
        <v>182</v>
      </c>
      <c r="I5014">
        <v>15</v>
      </c>
      <c r="J5014">
        <v>10</v>
      </c>
      <c r="K5014">
        <v>1</v>
      </c>
      <c r="L5014">
        <v>83199</v>
      </c>
      <c r="M5014" t="str">
        <f t="shared" si="761"/>
        <v>13</v>
      </c>
      <c r="N5014" t="s">
        <v>3323</v>
      </c>
      <c r="O5014" t="str">
        <f t="shared" si="759"/>
        <v>71711</v>
      </c>
      <c r="P5014" t="str">
        <f t="shared" si="762"/>
        <v>2100L</v>
      </c>
      <c r="Q5014" t="str">
        <f t="shared" si="760"/>
        <v>0101</v>
      </c>
      <c r="R5014">
        <v>2100</v>
      </c>
      <c r="S5014" t="str">
        <f t="shared" ref="S5014:S5024" si="763">"7170"</f>
        <v>7170</v>
      </c>
      <c r="T5014" t="s">
        <v>4066</v>
      </c>
      <c r="U5014" t="s">
        <v>101</v>
      </c>
    </row>
    <row r="5015" spans="1:21" ht="15" customHeight="1" x14ac:dyDescent="0.3">
      <c r="A5015" t="s">
        <v>179</v>
      </c>
      <c r="B5015" t="str">
        <f>"00074454"</f>
        <v>00074454</v>
      </c>
      <c r="C5015" t="s">
        <v>4253</v>
      </c>
      <c r="D5015" t="s">
        <v>4075</v>
      </c>
      <c r="E5015" t="str">
        <f>"00065847"</f>
        <v>00065847</v>
      </c>
      <c r="F5015">
        <v>0</v>
      </c>
      <c r="G5015" s="243">
        <v>40755</v>
      </c>
      <c r="H5015" t="s">
        <v>182</v>
      </c>
      <c r="I5015">
        <v>15</v>
      </c>
      <c r="J5015">
        <v>2</v>
      </c>
      <c r="K5015">
        <v>1</v>
      </c>
      <c r="L5015">
        <v>51716</v>
      </c>
      <c r="M5015" t="str">
        <f t="shared" si="761"/>
        <v>13</v>
      </c>
      <c r="N5015" t="s">
        <v>3323</v>
      </c>
      <c r="O5015" t="str">
        <f t="shared" si="759"/>
        <v>71711</v>
      </c>
      <c r="P5015" t="str">
        <f t="shared" si="762"/>
        <v>2100L</v>
      </c>
      <c r="Q5015" t="str">
        <f t="shared" si="760"/>
        <v>0101</v>
      </c>
      <c r="R5015">
        <v>2100</v>
      </c>
      <c r="S5015" t="str">
        <f t="shared" si="763"/>
        <v>7170</v>
      </c>
      <c r="T5015" t="s">
        <v>4066</v>
      </c>
      <c r="U5015" t="s">
        <v>101</v>
      </c>
    </row>
    <row r="5016" spans="1:21" ht="15" customHeight="1" x14ac:dyDescent="0.3">
      <c r="A5016" t="s">
        <v>179</v>
      </c>
      <c r="B5016" t="str">
        <f>"00074455"</f>
        <v>00074455</v>
      </c>
      <c r="C5016" t="s">
        <v>4253</v>
      </c>
      <c r="D5016" t="s">
        <v>4076</v>
      </c>
      <c r="E5016" t="str">
        <f>"00065804"</f>
        <v>00065804</v>
      </c>
      <c r="F5016">
        <v>0</v>
      </c>
      <c r="G5016" s="243">
        <v>40755</v>
      </c>
      <c r="H5016" t="s">
        <v>182</v>
      </c>
      <c r="I5016">
        <v>15</v>
      </c>
      <c r="J5016">
        <v>2</v>
      </c>
      <c r="K5016">
        <v>1</v>
      </c>
      <c r="L5016">
        <v>51716</v>
      </c>
      <c r="M5016" t="str">
        <f t="shared" si="761"/>
        <v>13</v>
      </c>
      <c r="N5016" t="s">
        <v>3323</v>
      </c>
      <c r="O5016" t="str">
        <f t="shared" si="759"/>
        <v>71711</v>
      </c>
      <c r="P5016" t="str">
        <f t="shared" si="762"/>
        <v>2100L</v>
      </c>
      <c r="Q5016" t="str">
        <f t="shared" si="760"/>
        <v>0101</v>
      </c>
      <c r="R5016">
        <v>2100</v>
      </c>
      <c r="S5016" t="str">
        <f t="shared" si="763"/>
        <v>7170</v>
      </c>
      <c r="T5016" t="s">
        <v>4066</v>
      </c>
      <c r="U5016" t="s">
        <v>101</v>
      </c>
    </row>
    <row r="5017" spans="1:21" ht="15" customHeight="1" x14ac:dyDescent="0.3">
      <c r="A5017" t="s">
        <v>179</v>
      </c>
      <c r="B5017" t="str">
        <f>"00074456"</f>
        <v>00074456</v>
      </c>
      <c r="C5017" t="s">
        <v>4266</v>
      </c>
      <c r="D5017" t="s">
        <v>2156</v>
      </c>
      <c r="E5017" t="str">
        <f>"00052830"</f>
        <v>00052830</v>
      </c>
      <c r="F5017">
        <v>0</v>
      </c>
      <c r="G5017" s="243">
        <v>32050</v>
      </c>
      <c r="H5017" t="s">
        <v>182</v>
      </c>
      <c r="I5017">
        <v>15</v>
      </c>
      <c r="J5017">
        <v>16</v>
      </c>
      <c r="K5017">
        <v>1</v>
      </c>
      <c r="L5017">
        <v>106540</v>
      </c>
      <c r="M5017" t="str">
        <f t="shared" si="761"/>
        <v>13</v>
      </c>
      <c r="N5017" t="s">
        <v>3323</v>
      </c>
      <c r="O5017" t="str">
        <f t="shared" si="759"/>
        <v>71711</v>
      </c>
      <c r="P5017" t="str">
        <f t="shared" si="762"/>
        <v>2100L</v>
      </c>
      <c r="Q5017" t="str">
        <f t="shared" si="760"/>
        <v>0101</v>
      </c>
      <c r="R5017">
        <v>2100</v>
      </c>
      <c r="S5017" t="str">
        <f t="shared" si="763"/>
        <v>7170</v>
      </c>
      <c r="T5017" t="s">
        <v>4066</v>
      </c>
      <c r="U5017" t="s">
        <v>101</v>
      </c>
    </row>
    <row r="5018" spans="1:21" ht="15" customHeight="1" x14ac:dyDescent="0.3">
      <c r="A5018" t="s">
        <v>179</v>
      </c>
      <c r="B5018" t="str">
        <f>"00074601"</f>
        <v>00074601</v>
      </c>
      <c r="C5018" t="s">
        <v>4254</v>
      </c>
      <c r="D5018" t="s">
        <v>4077</v>
      </c>
      <c r="E5018" t="str">
        <f>"00064666"</f>
        <v>00064666</v>
      </c>
      <c r="F5018">
        <v>0</v>
      </c>
      <c r="G5018" s="243">
        <v>40604</v>
      </c>
      <c r="H5018" t="s">
        <v>182</v>
      </c>
      <c r="I5018">
        <v>15</v>
      </c>
      <c r="J5018">
        <v>2</v>
      </c>
      <c r="K5018">
        <v>1</v>
      </c>
      <c r="L5018">
        <v>51716</v>
      </c>
      <c r="M5018" t="str">
        <f t="shared" si="761"/>
        <v>13</v>
      </c>
      <c r="N5018" t="s">
        <v>3323</v>
      </c>
      <c r="O5018" t="str">
        <f t="shared" si="759"/>
        <v>71711</v>
      </c>
      <c r="P5018" t="str">
        <f t="shared" si="762"/>
        <v>2100L</v>
      </c>
      <c r="Q5018" t="str">
        <f t="shared" si="760"/>
        <v>0101</v>
      </c>
      <c r="R5018">
        <v>2100</v>
      </c>
      <c r="S5018" t="str">
        <f t="shared" si="763"/>
        <v>7170</v>
      </c>
      <c r="T5018" t="s">
        <v>4066</v>
      </c>
      <c r="U5018" t="s">
        <v>101</v>
      </c>
    </row>
    <row r="5019" spans="1:21" ht="15" customHeight="1" x14ac:dyDescent="0.3">
      <c r="A5019" t="s">
        <v>179</v>
      </c>
      <c r="B5019" t="str">
        <f>"00074602"</f>
        <v>00074602</v>
      </c>
      <c r="C5019" t="s">
        <v>4259</v>
      </c>
      <c r="D5019" t="s">
        <v>2133</v>
      </c>
      <c r="E5019" t="str">
        <f>"00054620"</f>
        <v>00054620</v>
      </c>
      <c r="F5019">
        <v>0</v>
      </c>
      <c r="G5019" s="243">
        <v>33722</v>
      </c>
      <c r="H5019" t="s">
        <v>182</v>
      </c>
      <c r="I5019">
        <v>15</v>
      </c>
      <c r="J5019">
        <v>15</v>
      </c>
      <c r="K5019">
        <v>1</v>
      </c>
      <c r="L5019">
        <v>98285</v>
      </c>
      <c r="M5019" t="str">
        <f t="shared" si="761"/>
        <v>13</v>
      </c>
      <c r="N5019" t="s">
        <v>3323</v>
      </c>
      <c r="O5019" t="str">
        <f t="shared" si="759"/>
        <v>71711</v>
      </c>
      <c r="P5019" t="str">
        <f t="shared" si="762"/>
        <v>2100L</v>
      </c>
      <c r="Q5019" t="str">
        <f t="shared" si="760"/>
        <v>0101</v>
      </c>
      <c r="R5019">
        <v>2100</v>
      </c>
      <c r="S5019" t="str">
        <f t="shared" si="763"/>
        <v>7170</v>
      </c>
      <c r="T5019" t="s">
        <v>4066</v>
      </c>
      <c r="U5019" t="s">
        <v>101</v>
      </c>
    </row>
    <row r="5020" spans="1:21" ht="15" customHeight="1" x14ac:dyDescent="0.3">
      <c r="A5020" t="s">
        <v>179</v>
      </c>
      <c r="B5020" t="str">
        <f>"00075990"</f>
        <v>00075990</v>
      </c>
      <c r="C5020" t="s">
        <v>4253</v>
      </c>
      <c r="D5020" t="s">
        <v>5783</v>
      </c>
      <c r="E5020" t="str">
        <f>"00069658"</f>
        <v>00069658</v>
      </c>
      <c r="F5020">
        <v>0</v>
      </c>
      <c r="G5020" s="243">
        <v>41133</v>
      </c>
      <c r="H5020" t="s">
        <v>182</v>
      </c>
      <c r="I5020">
        <v>15</v>
      </c>
      <c r="J5020">
        <v>5</v>
      </c>
      <c r="K5020">
        <v>1</v>
      </c>
      <c r="L5020">
        <v>56655</v>
      </c>
      <c r="M5020" t="str">
        <f t="shared" si="761"/>
        <v>13</v>
      </c>
      <c r="N5020" t="s">
        <v>3370</v>
      </c>
      <c r="O5020" t="str">
        <f t="shared" si="759"/>
        <v>71711</v>
      </c>
      <c r="P5020" t="str">
        <f t="shared" si="762"/>
        <v>2100L</v>
      </c>
      <c r="Q5020" t="str">
        <f t="shared" si="760"/>
        <v>0101</v>
      </c>
      <c r="R5020">
        <v>2100</v>
      </c>
      <c r="S5020" t="str">
        <f t="shared" si="763"/>
        <v>7170</v>
      </c>
      <c r="T5020" t="s">
        <v>4066</v>
      </c>
      <c r="U5020" t="s">
        <v>101</v>
      </c>
    </row>
    <row r="5021" spans="1:21" ht="15" customHeight="1" x14ac:dyDescent="0.3">
      <c r="A5021" t="s">
        <v>179</v>
      </c>
      <c r="B5021" t="str">
        <f>"00075991"</f>
        <v>00075991</v>
      </c>
      <c r="C5021" t="s">
        <v>4253</v>
      </c>
      <c r="D5021" t="s">
        <v>5784</v>
      </c>
      <c r="E5021" t="str">
        <f>"00069966"</f>
        <v>00069966</v>
      </c>
      <c r="F5021">
        <v>0</v>
      </c>
      <c r="G5021" s="243">
        <v>41133</v>
      </c>
      <c r="H5021" t="s">
        <v>182</v>
      </c>
      <c r="I5021">
        <v>15</v>
      </c>
      <c r="J5021">
        <v>1</v>
      </c>
      <c r="K5021">
        <v>1</v>
      </c>
      <c r="L5021">
        <v>54975</v>
      </c>
      <c r="M5021" t="str">
        <f t="shared" si="761"/>
        <v>13</v>
      </c>
      <c r="N5021" t="s">
        <v>3370</v>
      </c>
      <c r="O5021" t="str">
        <f t="shared" si="759"/>
        <v>71711</v>
      </c>
      <c r="P5021" t="str">
        <f t="shared" si="762"/>
        <v>2100L</v>
      </c>
      <c r="Q5021" t="str">
        <f t="shared" si="760"/>
        <v>0101</v>
      </c>
      <c r="R5021">
        <v>2100</v>
      </c>
      <c r="S5021" t="str">
        <f t="shared" si="763"/>
        <v>7170</v>
      </c>
      <c r="T5021" t="s">
        <v>4066</v>
      </c>
      <c r="U5021" t="s">
        <v>101</v>
      </c>
    </row>
    <row r="5022" spans="1:21" ht="15" customHeight="1" x14ac:dyDescent="0.3">
      <c r="A5022" t="s">
        <v>179</v>
      </c>
      <c r="B5022" t="str">
        <f>"00075992"</f>
        <v>00075992</v>
      </c>
      <c r="C5022" t="s">
        <v>4271</v>
      </c>
      <c r="D5022" t="s">
        <v>5785</v>
      </c>
      <c r="E5022" t="str">
        <f>"00045770"</f>
        <v>00045770</v>
      </c>
      <c r="F5022">
        <v>0</v>
      </c>
      <c r="G5022" s="243">
        <v>32050</v>
      </c>
      <c r="H5022" t="s">
        <v>182</v>
      </c>
      <c r="I5022">
        <v>15</v>
      </c>
      <c r="J5022">
        <v>16</v>
      </c>
      <c r="K5022">
        <v>1</v>
      </c>
      <c r="L5022">
        <v>100839</v>
      </c>
      <c r="M5022" t="str">
        <f t="shared" si="761"/>
        <v>13</v>
      </c>
      <c r="N5022" t="s">
        <v>3370</v>
      </c>
      <c r="O5022" t="str">
        <f t="shared" si="759"/>
        <v>71711</v>
      </c>
      <c r="P5022" t="str">
        <f t="shared" si="762"/>
        <v>2100L</v>
      </c>
      <c r="Q5022" t="str">
        <f t="shared" si="760"/>
        <v>0101</v>
      </c>
      <c r="R5022">
        <v>2100</v>
      </c>
      <c r="S5022" t="str">
        <f t="shared" si="763"/>
        <v>7170</v>
      </c>
      <c r="T5022" t="s">
        <v>4066</v>
      </c>
      <c r="U5022" t="s">
        <v>101</v>
      </c>
    </row>
    <row r="5023" spans="1:21" ht="15" customHeight="1" x14ac:dyDescent="0.3">
      <c r="A5023" t="s">
        <v>179</v>
      </c>
      <c r="B5023" t="str">
        <f>"00075993"</f>
        <v>00075993</v>
      </c>
      <c r="C5023" t="s">
        <v>4728</v>
      </c>
      <c r="D5023" t="s">
        <v>5786</v>
      </c>
      <c r="E5023" t="str">
        <f>"00064242"</f>
        <v>00064242</v>
      </c>
      <c r="F5023">
        <v>0</v>
      </c>
      <c r="G5023" s="243">
        <v>40520</v>
      </c>
      <c r="H5023" t="s">
        <v>182</v>
      </c>
      <c r="I5023">
        <v>9</v>
      </c>
      <c r="J5023">
        <v>1</v>
      </c>
      <c r="K5023">
        <v>1</v>
      </c>
      <c r="L5023">
        <v>33163</v>
      </c>
      <c r="M5023" t="str">
        <f t="shared" si="761"/>
        <v>13</v>
      </c>
      <c r="N5023" t="s">
        <v>3370</v>
      </c>
      <c r="O5023" t="str">
        <f t="shared" si="759"/>
        <v>71711</v>
      </c>
      <c r="P5023" t="str">
        <f t="shared" si="762"/>
        <v>2100L</v>
      </c>
      <c r="Q5023" t="str">
        <f t="shared" si="760"/>
        <v>0101</v>
      </c>
      <c r="R5023">
        <v>2100</v>
      </c>
      <c r="S5023" t="str">
        <f t="shared" si="763"/>
        <v>7170</v>
      </c>
      <c r="T5023" t="s">
        <v>4066</v>
      </c>
      <c r="U5023" t="s">
        <v>101</v>
      </c>
    </row>
    <row r="5024" spans="1:21" ht="15" customHeight="1" x14ac:dyDescent="0.3">
      <c r="A5024" t="s">
        <v>179</v>
      </c>
      <c r="B5024" t="str">
        <f>"00075994"</f>
        <v>00075994</v>
      </c>
      <c r="C5024" t="s">
        <v>4770</v>
      </c>
      <c r="D5024" t="s">
        <v>4067</v>
      </c>
      <c r="E5024" t="str">
        <f>"00057845"</f>
        <v>00057845</v>
      </c>
      <c r="F5024">
        <v>0</v>
      </c>
      <c r="G5024" s="243">
        <v>40426</v>
      </c>
      <c r="H5024" t="s">
        <v>182</v>
      </c>
      <c r="I5024">
        <v>9</v>
      </c>
      <c r="J5024">
        <v>5</v>
      </c>
      <c r="K5024">
        <v>0.5</v>
      </c>
      <c r="L5024">
        <v>18707.5</v>
      </c>
      <c r="M5024" t="str">
        <f t="shared" si="761"/>
        <v>13</v>
      </c>
      <c r="N5024" t="s">
        <v>3370</v>
      </c>
      <c r="O5024" t="str">
        <f t="shared" si="759"/>
        <v>71711</v>
      </c>
      <c r="P5024" t="str">
        <f t="shared" si="762"/>
        <v>2100L</v>
      </c>
      <c r="Q5024" t="str">
        <f t="shared" si="760"/>
        <v>0101</v>
      </c>
      <c r="R5024">
        <v>2100</v>
      </c>
      <c r="S5024" t="str">
        <f t="shared" si="763"/>
        <v>7170</v>
      </c>
      <c r="T5024" t="s">
        <v>4066</v>
      </c>
      <c r="U5024" t="s">
        <v>101</v>
      </c>
    </row>
    <row r="5025" spans="1:21" ht="15" customHeight="1" x14ac:dyDescent="0.3">
      <c r="A5025" t="s">
        <v>179</v>
      </c>
      <c r="B5025" t="str">
        <f>"00051621"</f>
        <v>00051621</v>
      </c>
      <c r="C5025" t="s">
        <v>5662</v>
      </c>
      <c r="D5025" t="s">
        <v>937</v>
      </c>
      <c r="E5025" t="str">
        <f>"00045115"</f>
        <v>00045115</v>
      </c>
      <c r="F5025">
        <v>0</v>
      </c>
      <c r="G5025" s="243">
        <v>35977</v>
      </c>
      <c r="H5025" t="s">
        <v>182</v>
      </c>
      <c r="I5025">
        <v>9</v>
      </c>
      <c r="J5025">
        <v>9</v>
      </c>
      <c r="K5025">
        <v>0.5</v>
      </c>
      <c r="L5025">
        <v>58206</v>
      </c>
      <c r="M5025" t="str">
        <f t="shared" si="761"/>
        <v>13</v>
      </c>
      <c r="N5025" t="s">
        <v>3323</v>
      </c>
      <c r="O5025" t="str">
        <f>"71882"</f>
        <v>71882</v>
      </c>
      <c r="P5025" t="str">
        <f>"5700S"</f>
        <v>5700S</v>
      </c>
      <c r="Q5025" t="str">
        <f>"0602"</f>
        <v>0602</v>
      </c>
      <c r="R5025">
        <v>5700</v>
      </c>
      <c r="S5025" t="str">
        <f t="shared" ref="S5025:S5051" si="764">"7180"</f>
        <v>7180</v>
      </c>
      <c r="T5025" t="s">
        <v>4083</v>
      </c>
      <c r="U5025" t="s">
        <v>102</v>
      </c>
    </row>
    <row r="5026" spans="1:21" ht="15" customHeight="1" x14ac:dyDescent="0.3">
      <c r="A5026" t="s">
        <v>179</v>
      </c>
      <c r="B5026" t="str">
        <f>"00051621"</f>
        <v>00051621</v>
      </c>
      <c r="C5026" t="s">
        <v>5662</v>
      </c>
      <c r="D5026" t="s">
        <v>937</v>
      </c>
      <c r="E5026" t="str">
        <f>"00045115"</f>
        <v>00045115</v>
      </c>
      <c r="F5026">
        <v>0</v>
      </c>
      <c r="G5026" s="243">
        <v>35977</v>
      </c>
      <c r="H5026" t="s">
        <v>182</v>
      </c>
      <c r="I5026">
        <v>9</v>
      </c>
      <c r="J5026">
        <v>9</v>
      </c>
      <c r="K5026">
        <v>0.5</v>
      </c>
      <c r="L5026">
        <v>58206</v>
      </c>
      <c r="M5026" t="str">
        <f t="shared" si="761"/>
        <v>13</v>
      </c>
      <c r="N5026" t="s">
        <v>3323</v>
      </c>
      <c r="O5026" t="str">
        <f t="shared" ref="O5026:O5034" si="765">"71811"</f>
        <v>71811</v>
      </c>
      <c r="P5026" t="str">
        <f>"5700L"</f>
        <v>5700L</v>
      </c>
      <c r="Q5026" t="str">
        <f t="shared" ref="Q5026:Q5034" si="766">"0101"</f>
        <v>0101</v>
      </c>
      <c r="R5026">
        <v>5700</v>
      </c>
      <c r="S5026" t="str">
        <f t="shared" si="764"/>
        <v>7180</v>
      </c>
      <c r="T5026" t="s">
        <v>4083</v>
      </c>
      <c r="U5026" t="s">
        <v>102</v>
      </c>
    </row>
    <row r="5027" spans="1:21" ht="15" customHeight="1" x14ac:dyDescent="0.3">
      <c r="A5027" t="s">
        <v>179</v>
      </c>
      <c r="B5027" t="str">
        <f>"00051946"</f>
        <v>00051946</v>
      </c>
      <c r="C5027" t="s">
        <v>4256</v>
      </c>
      <c r="H5027" t="s">
        <v>170</v>
      </c>
      <c r="I5027">
        <v>15</v>
      </c>
      <c r="J5027">
        <v>1</v>
      </c>
      <c r="K5027">
        <v>1</v>
      </c>
      <c r="L5027">
        <v>60128</v>
      </c>
      <c r="M5027" t="str">
        <f t="shared" si="761"/>
        <v>13</v>
      </c>
      <c r="N5027" t="s">
        <v>3323</v>
      </c>
      <c r="O5027" t="str">
        <f t="shared" si="765"/>
        <v>71811</v>
      </c>
      <c r="P5027" t="str">
        <f>"2100L"</f>
        <v>2100L</v>
      </c>
      <c r="Q5027" t="str">
        <f t="shared" si="766"/>
        <v>0101</v>
      </c>
      <c r="R5027">
        <v>2100</v>
      </c>
      <c r="S5027" t="str">
        <f t="shared" si="764"/>
        <v>7180</v>
      </c>
      <c r="T5027" t="s">
        <v>4083</v>
      </c>
      <c r="U5027" t="s">
        <v>102</v>
      </c>
    </row>
    <row r="5028" spans="1:21" ht="15" customHeight="1" x14ac:dyDescent="0.3">
      <c r="A5028" t="s">
        <v>179</v>
      </c>
      <c r="B5028" t="str">
        <f>"00053022"</f>
        <v>00053022</v>
      </c>
      <c r="C5028" t="s">
        <v>4260</v>
      </c>
      <c r="D5028" t="s">
        <v>4089</v>
      </c>
      <c r="E5028" t="str">
        <f>"00047177"</f>
        <v>00047177</v>
      </c>
      <c r="F5028">
        <v>0</v>
      </c>
      <c r="G5028" s="243">
        <v>39902</v>
      </c>
      <c r="H5028" t="s">
        <v>182</v>
      </c>
      <c r="I5028">
        <v>15</v>
      </c>
      <c r="J5028">
        <v>9</v>
      </c>
      <c r="K5028">
        <v>1</v>
      </c>
      <c r="L5028">
        <v>65985</v>
      </c>
      <c r="M5028" t="str">
        <f t="shared" si="761"/>
        <v>13</v>
      </c>
      <c r="N5028" t="s">
        <v>3323</v>
      </c>
      <c r="O5028" t="str">
        <f t="shared" si="765"/>
        <v>71811</v>
      </c>
      <c r="P5028" t="str">
        <f>"2100L"</f>
        <v>2100L</v>
      </c>
      <c r="Q5028" t="str">
        <f t="shared" si="766"/>
        <v>0101</v>
      </c>
      <c r="R5028">
        <v>2100</v>
      </c>
      <c r="S5028" t="str">
        <f t="shared" si="764"/>
        <v>7180</v>
      </c>
      <c r="T5028" t="s">
        <v>4083</v>
      </c>
      <c r="U5028" t="s">
        <v>102</v>
      </c>
    </row>
    <row r="5029" spans="1:21" ht="15" customHeight="1" x14ac:dyDescent="0.3">
      <c r="A5029" t="s">
        <v>179</v>
      </c>
      <c r="B5029" t="str">
        <f>"00053782"</f>
        <v>00053782</v>
      </c>
      <c r="C5029" t="s">
        <v>4857</v>
      </c>
      <c r="D5029" t="s">
        <v>962</v>
      </c>
      <c r="E5029" t="str">
        <f>"00052530"</f>
        <v>00052530</v>
      </c>
      <c r="F5029">
        <v>0</v>
      </c>
      <c r="G5029" s="243">
        <v>32342</v>
      </c>
      <c r="H5029" t="s">
        <v>182</v>
      </c>
      <c r="I5029">
        <v>9</v>
      </c>
      <c r="J5029">
        <v>10</v>
      </c>
      <c r="K5029">
        <v>1</v>
      </c>
      <c r="L5029">
        <v>73460</v>
      </c>
      <c r="M5029" t="str">
        <f t="shared" si="761"/>
        <v>13</v>
      </c>
      <c r="N5029" t="s">
        <v>3323</v>
      </c>
      <c r="O5029" t="str">
        <f t="shared" si="765"/>
        <v>71811</v>
      </c>
      <c r="P5029" t="str">
        <f>"2100L"</f>
        <v>2100L</v>
      </c>
      <c r="Q5029" t="str">
        <f t="shared" si="766"/>
        <v>0101</v>
      </c>
      <c r="R5029">
        <v>2100</v>
      </c>
      <c r="S5029" t="str">
        <f t="shared" si="764"/>
        <v>7180</v>
      </c>
      <c r="T5029" t="s">
        <v>4083</v>
      </c>
      <c r="U5029" t="s">
        <v>102</v>
      </c>
    </row>
    <row r="5030" spans="1:21" ht="15" customHeight="1" x14ac:dyDescent="0.3">
      <c r="A5030" t="s">
        <v>179</v>
      </c>
      <c r="B5030" t="str">
        <f>"00054615"</f>
        <v>00054615</v>
      </c>
      <c r="C5030" t="s">
        <v>4260</v>
      </c>
      <c r="D5030" t="s">
        <v>1110</v>
      </c>
      <c r="E5030" t="str">
        <f>"00063280"</f>
        <v>00063280</v>
      </c>
      <c r="F5030">
        <v>0</v>
      </c>
      <c r="G5030" s="243">
        <v>40406</v>
      </c>
      <c r="H5030" t="s">
        <v>182</v>
      </c>
      <c r="I5030">
        <v>15</v>
      </c>
      <c r="J5030">
        <v>6</v>
      </c>
      <c r="K5030">
        <v>1</v>
      </c>
      <c r="L5030">
        <v>66078</v>
      </c>
      <c r="M5030" t="str">
        <f t="shared" si="761"/>
        <v>13</v>
      </c>
      <c r="N5030" t="s">
        <v>3323</v>
      </c>
      <c r="O5030" t="str">
        <f t="shared" si="765"/>
        <v>71811</v>
      </c>
      <c r="P5030" t="str">
        <f>"3030L"</f>
        <v>3030L</v>
      </c>
      <c r="Q5030" t="str">
        <f t="shared" si="766"/>
        <v>0101</v>
      </c>
      <c r="R5030">
        <v>3030</v>
      </c>
      <c r="S5030" t="str">
        <f t="shared" si="764"/>
        <v>7180</v>
      </c>
      <c r="T5030" t="s">
        <v>4083</v>
      </c>
      <c r="U5030" t="s">
        <v>102</v>
      </c>
    </row>
    <row r="5031" spans="1:21" ht="15" customHeight="1" x14ac:dyDescent="0.3">
      <c r="A5031" t="s">
        <v>179</v>
      </c>
      <c r="B5031" t="str">
        <f>"00054633"</f>
        <v>00054633</v>
      </c>
      <c r="C5031" t="s">
        <v>4258</v>
      </c>
      <c r="D5031" t="s">
        <v>940</v>
      </c>
      <c r="E5031" t="str">
        <f>"00054322"</f>
        <v>00054322</v>
      </c>
      <c r="F5031">
        <v>0</v>
      </c>
      <c r="G5031" s="243">
        <v>31657</v>
      </c>
      <c r="H5031" t="s">
        <v>182</v>
      </c>
      <c r="I5031">
        <v>15</v>
      </c>
      <c r="J5031">
        <v>13</v>
      </c>
      <c r="K5031">
        <v>1</v>
      </c>
      <c r="L5031">
        <v>81724</v>
      </c>
      <c r="M5031" t="str">
        <f t="shared" si="761"/>
        <v>13</v>
      </c>
      <c r="N5031" t="s">
        <v>3323</v>
      </c>
      <c r="O5031" t="str">
        <f t="shared" si="765"/>
        <v>71811</v>
      </c>
      <c r="P5031" t="str">
        <f>"2100L"</f>
        <v>2100L</v>
      </c>
      <c r="Q5031" t="str">
        <f t="shared" si="766"/>
        <v>0101</v>
      </c>
      <c r="R5031">
        <v>2100</v>
      </c>
      <c r="S5031" t="str">
        <f t="shared" si="764"/>
        <v>7180</v>
      </c>
      <c r="T5031" t="s">
        <v>4083</v>
      </c>
      <c r="U5031" t="s">
        <v>102</v>
      </c>
    </row>
    <row r="5032" spans="1:21" ht="15" customHeight="1" x14ac:dyDescent="0.3">
      <c r="A5032" t="s">
        <v>179</v>
      </c>
      <c r="B5032" t="str">
        <f>"00055135"</f>
        <v>00055135</v>
      </c>
      <c r="C5032" t="s">
        <v>200</v>
      </c>
      <c r="D5032" t="s">
        <v>2126</v>
      </c>
      <c r="E5032" t="str">
        <f>"00048228"</f>
        <v>00048228</v>
      </c>
      <c r="F5032">
        <v>0</v>
      </c>
      <c r="G5032" s="243">
        <v>39679</v>
      </c>
      <c r="H5032" t="s">
        <v>182</v>
      </c>
      <c r="I5032">
        <v>15</v>
      </c>
      <c r="J5032">
        <v>12</v>
      </c>
      <c r="K5032">
        <v>1</v>
      </c>
      <c r="L5032">
        <v>89887</v>
      </c>
      <c r="M5032" t="str">
        <f t="shared" si="761"/>
        <v>13</v>
      </c>
      <c r="N5032" t="s">
        <v>3323</v>
      </c>
      <c r="O5032" t="str">
        <f t="shared" si="765"/>
        <v>71811</v>
      </c>
      <c r="P5032" t="str">
        <f>"3030L"</f>
        <v>3030L</v>
      </c>
      <c r="Q5032" t="str">
        <f t="shared" si="766"/>
        <v>0101</v>
      </c>
      <c r="R5032">
        <v>3030</v>
      </c>
      <c r="S5032" t="str">
        <f t="shared" si="764"/>
        <v>7180</v>
      </c>
      <c r="T5032" t="s">
        <v>4083</v>
      </c>
      <c r="U5032" t="s">
        <v>102</v>
      </c>
    </row>
    <row r="5033" spans="1:21" ht="15" customHeight="1" x14ac:dyDescent="0.3">
      <c r="A5033" t="s">
        <v>179</v>
      </c>
      <c r="B5033" t="str">
        <f>"00055175"</f>
        <v>00055175</v>
      </c>
      <c r="C5033" t="s">
        <v>4253</v>
      </c>
      <c r="D5033" t="s">
        <v>941</v>
      </c>
      <c r="E5033" t="str">
        <f>"00046983"</f>
        <v>00046983</v>
      </c>
      <c r="F5033">
        <v>0</v>
      </c>
      <c r="G5033" s="243">
        <v>36390</v>
      </c>
      <c r="H5033" t="s">
        <v>182</v>
      </c>
      <c r="I5033">
        <v>15</v>
      </c>
      <c r="J5033">
        <v>13</v>
      </c>
      <c r="K5033">
        <v>1</v>
      </c>
      <c r="L5033">
        <v>86613</v>
      </c>
      <c r="M5033" t="str">
        <f t="shared" si="761"/>
        <v>13</v>
      </c>
      <c r="N5033" t="s">
        <v>3323</v>
      </c>
      <c r="O5033" t="str">
        <f t="shared" si="765"/>
        <v>71811</v>
      </c>
      <c r="P5033" t="str">
        <f>"2100L"</f>
        <v>2100L</v>
      </c>
      <c r="Q5033" t="str">
        <f t="shared" si="766"/>
        <v>0101</v>
      </c>
      <c r="R5033">
        <v>2100</v>
      </c>
      <c r="S5033" t="str">
        <f t="shared" si="764"/>
        <v>7180</v>
      </c>
      <c r="T5033" t="s">
        <v>4083</v>
      </c>
      <c r="U5033" t="s">
        <v>102</v>
      </c>
    </row>
    <row r="5034" spans="1:21" ht="15" customHeight="1" x14ac:dyDescent="0.3">
      <c r="A5034" t="s">
        <v>179</v>
      </c>
      <c r="B5034" t="str">
        <f>"00055283"</f>
        <v>00055283</v>
      </c>
      <c r="C5034" t="s">
        <v>3798</v>
      </c>
      <c r="D5034" t="s">
        <v>4086</v>
      </c>
      <c r="E5034" t="str">
        <f>"00056587"</f>
        <v>00056587</v>
      </c>
      <c r="F5034">
        <v>0</v>
      </c>
      <c r="G5034" s="243">
        <v>40518</v>
      </c>
      <c r="H5034" t="s">
        <v>182</v>
      </c>
      <c r="I5034">
        <v>65</v>
      </c>
      <c r="J5034">
        <v>5</v>
      </c>
      <c r="K5034">
        <v>1</v>
      </c>
      <c r="L5034">
        <v>132000</v>
      </c>
      <c r="M5034" t="str">
        <f t="shared" si="761"/>
        <v>13</v>
      </c>
      <c r="N5034" t="s">
        <v>3323</v>
      </c>
      <c r="O5034" t="str">
        <f t="shared" si="765"/>
        <v>71811</v>
      </c>
      <c r="P5034" t="str">
        <f>"1501L"</f>
        <v>1501L</v>
      </c>
      <c r="Q5034" t="str">
        <f t="shared" si="766"/>
        <v>0101</v>
      </c>
      <c r="R5034">
        <v>1501</v>
      </c>
      <c r="S5034" t="str">
        <f t="shared" si="764"/>
        <v>7180</v>
      </c>
      <c r="T5034" t="s">
        <v>4083</v>
      </c>
      <c r="U5034" t="s">
        <v>102</v>
      </c>
    </row>
    <row r="5035" spans="1:21" ht="15" customHeight="1" x14ac:dyDescent="0.3">
      <c r="A5035" t="s">
        <v>179</v>
      </c>
      <c r="B5035" t="str">
        <f>"00056741"</f>
        <v>00056741</v>
      </c>
      <c r="C5035" t="s">
        <v>5662</v>
      </c>
      <c r="H5035" t="s">
        <v>170</v>
      </c>
      <c r="I5035">
        <v>9</v>
      </c>
      <c r="J5035">
        <v>1</v>
      </c>
      <c r="K5035">
        <v>0.5</v>
      </c>
      <c r="L5035">
        <v>32571</v>
      </c>
      <c r="M5035" t="str">
        <f t="shared" si="761"/>
        <v>13</v>
      </c>
      <c r="N5035" t="s">
        <v>3323</v>
      </c>
      <c r="O5035" t="str">
        <f>"71882"</f>
        <v>71882</v>
      </c>
      <c r="P5035" t="str">
        <f>"5700S"</f>
        <v>5700S</v>
      </c>
      <c r="Q5035" t="str">
        <f>"0602"</f>
        <v>0602</v>
      </c>
      <c r="R5035">
        <v>5700</v>
      </c>
      <c r="S5035" t="str">
        <f t="shared" si="764"/>
        <v>7180</v>
      </c>
      <c r="T5035" t="s">
        <v>4083</v>
      </c>
      <c r="U5035" t="s">
        <v>102</v>
      </c>
    </row>
    <row r="5036" spans="1:21" ht="15" customHeight="1" x14ac:dyDescent="0.3">
      <c r="A5036" t="s">
        <v>179</v>
      </c>
      <c r="B5036" t="str">
        <f>"00056741"</f>
        <v>00056741</v>
      </c>
      <c r="C5036" t="s">
        <v>5662</v>
      </c>
      <c r="H5036" t="s">
        <v>170</v>
      </c>
      <c r="I5036">
        <v>9</v>
      </c>
      <c r="J5036">
        <v>1</v>
      </c>
      <c r="K5036">
        <v>0.5</v>
      </c>
      <c r="L5036">
        <v>32571</v>
      </c>
      <c r="M5036" t="str">
        <f t="shared" si="761"/>
        <v>13</v>
      </c>
      <c r="N5036" t="s">
        <v>3323</v>
      </c>
      <c r="O5036" t="str">
        <f t="shared" ref="O5036:O5063" si="767">"71811"</f>
        <v>71811</v>
      </c>
      <c r="P5036" t="str">
        <f>"5700L"</f>
        <v>5700L</v>
      </c>
      <c r="Q5036" t="str">
        <f t="shared" ref="Q5036:Q5063" si="768">"0101"</f>
        <v>0101</v>
      </c>
      <c r="R5036">
        <v>5700</v>
      </c>
      <c r="S5036" t="str">
        <f t="shared" si="764"/>
        <v>7180</v>
      </c>
      <c r="T5036" t="s">
        <v>4083</v>
      </c>
      <c r="U5036" t="s">
        <v>102</v>
      </c>
    </row>
    <row r="5037" spans="1:21" ht="15" customHeight="1" x14ac:dyDescent="0.3">
      <c r="A5037" t="s">
        <v>179</v>
      </c>
      <c r="B5037" t="str">
        <f>"00056873"</f>
        <v>00056873</v>
      </c>
      <c r="C5037" t="s">
        <v>4260</v>
      </c>
      <c r="D5037" t="s">
        <v>942</v>
      </c>
      <c r="E5037" t="str">
        <f>"00051202"</f>
        <v>00051202</v>
      </c>
      <c r="F5037">
        <v>0</v>
      </c>
      <c r="G5037" s="243">
        <v>36390</v>
      </c>
      <c r="H5037" t="s">
        <v>182</v>
      </c>
      <c r="I5037">
        <v>15</v>
      </c>
      <c r="J5037">
        <v>12</v>
      </c>
      <c r="K5037">
        <v>1</v>
      </c>
      <c r="L5037">
        <v>92613</v>
      </c>
      <c r="M5037" t="str">
        <f t="shared" si="761"/>
        <v>13</v>
      </c>
      <c r="N5037" t="s">
        <v>3323</v>
      </c>
      <c r="O5037" t="str">
        <f t="shared" si="767"/>
        <v>71811</v>
      </c>
      <c r="P5037" t="str">
        <f>"2100L"</f>
        <v>2100L</v>
      </c>
      <c r="Q5037" t="str">
        <f t="shared" si="768"/>
        <v>0101</v>
      </c>
      <c r="R5037">
        <v>2100</v>
      </c>
      <c r="S5037" t="str">
        <f t="shared" si="764"/>
        <v>7180</v>
      </c>
      <c r="T5037" t="s">
        <v>4083</v>
      </c>
      <c r="U5037" t="s">
        <v>102</v>
      </c>
    </row>
    <row r="5038" spans="1:21" ht="15" customHeight="1" x14ac:dyDescent="0.3">
      <c r="A5038" t="s">
        <v>179</v>
      </c>
      <c r="B5038" t="str">
        <f>"00057098"</f>
        <v>00057098</v>
      </c>
      <c r="C5038" t="s">
        <v>3670</v>
      </c>
      <c r="D5038" t="s">
        <v>4082</v>
      </c>
      <c r="E5038" t="str">
        <f>"00057793"</f>
        <v>00057793</v>
      </c>
      <c r="F5038">
        <v>0</v>
      </c>
      <c r="G5038" s="243">
        <v>40035</v>
      </c>
      <c r="H5038" t="s">
        <v>182</v>
      </c>
      <c r="I5038">
        <v>8</v>
      </c>
      <c r="J5038">
        <v>4</v>
      </c>
      <c r="K5038">
        <v>1</v>
      </c>
      <c r="L5038">
        <v>89645</v>
      </c>
      <c r="M5038" t="str">
        <f t="shared" si="761"/>
        <v>13</v>
      </c>
      <c r="N5038" t="s">
        <v>3323</v>
      </c>
      <c r="O5038" t="str">
        <f t="shared" si="767"/>
        <v>71811</v>
      </c>
      <c r="P5038" t="str">
        <f>"1501L"</f>
        <v>1501L</v>
      </c>
      <c r="Q5038" t="str">
        <f t="shared" si="768"/>
        <v>0101</v>
      </c>
      <c r="R5038">
        <v>1501</v>
      </c>
      <c r="S5038" t="str">
        <f t="shared" si="764"/>
        <v>7180</v>
      </c>
      <c r="T5038" t="s">
        <v>4083</v>
      </c>
      <c r="U5038" t="s">
        <v>102</v>
      </c>
    </row>
    <row r="5039" spans="1:21" ht="15" customHeight="1" x14ac:dyDescent="0.3">
      <c r="A5039" t="s">
        <v>179</v>
      </c>
      <c r="B5039" t="str">
        <f>"00057229"</f>
        <v>00057229</v>
      </c>
      <c r="C5039" t="s">
        <v>4253</v>
      </c>
      <c r="H5039" t="s">
        <v>170</v>
      </c>
      <c r="I5039">
        <v>15</v>
      </c>
      <c r="J5039">
        <v>1</v>
      </c>
      <c r="K5039">
        <v>1</v>
      </c>
      <c r="L5039">
        <v>54975</v>
      </c>
      <c r="M5039" t="str">
        <f t="shared" si="761"/>
        <v>13</v>
      </c>
      <c r="N5039" t="s">
        <v>3323</v>
      </c>
      <c r="O5039" t="str">
        <f t="shared" si="767"/>
        <v>71811</v>
      </c>
      <c r="P5039" t="str">
        <f>"2100L"</f>
        <v>2100L</v>
      </c>
      <c r="Q5039" t="str">
        <f t="shared" si="768"/>
        <v>0101</v>
      </c>
      <c r="R5039">
        <v>2100</v>
      </c>
      <c r="S5039" t="str">
        <f t="shared" si="764"/>
        <v>7180</v>
      </c>
      <c r="T5039" t="s">
        <v>4083</v>
      </c>
      <c r="U5039" t="s">
        <v>102</v>
      </c>
    </row>
    <row r="5040" spans="1:21" ht="15" customHeight="1" x14ac:dyDescent="0.3">
      <c r="A5040" t="s">
        <v>179</v>
      </c>
      <c r="B5040" t="str">
        <f>"00058711"</f>
        <v>00058711</v>
      </c>
      <c r="C5040" t="s">
        <v>4367</v>
      </c>
      <c r="D5040" t="s">
        <v>5787</v>
      </c>
      <c r="E5040" t="str">
        <f>"00054657"</f>
        <v>00054657</v>
      </c>
      <c r="F5040">
        <v>0</v>
      </c>
      <c r="G5040" s="243">
        <v>31783</v>
      </c>
      <c r="H5040" t="s">
        <v>182</v>
      </c>
      <c r="I5040">
        <v>9</v>
      </c>
      <c r="J5040">
        <v>9</v>
      </c>
      <c r="K5040">
        <v>1</v>
      </c>
      <c r="L5040">
        <v>46173</v>
      </c>
      <c r="M5040" t="str">
        <f t="shared" si="761"/>
        <v>13</v>
      </c>
      <c r="N5040" t="s">
        <v>3323</v>
      </c>
      <c r="O5040" t="str">
        <f t="shared" si="767"/>
        <v>71811</v>
      </c>
      <c r="P5040" t="str">
        <f>"1502L"</f>
        <v>1502L</v>
      </c>
      <c r="Q5040" t="str">
        <f t="shared" si="768"/>
        <v>0101</v>
      </c>
      <c r="R5040">
        <v>1502</v>
      </c>
      <c r="S5040" t="str">
        <f t="shared" si="764"/>
        <v>7180</v>
      </c>
      <c r="T5040" t="s">
        <v>4083</v>
      </c>
      <c r="U5040" t="s">
        <v>102</v>
      </c>
    </row>
    <row r="5041" spans="1:21" ht="15" customHeight="1" x14ac:dyDescent="0.3">
      <c r="A5041" t="s">
        <v>179</v>
      </c>
      <c r="B5041" t="str">
        <f>"00059244"</f>
        <v>00059244</v>
      </c>
      <c r="C5041" t="s">
        <v>4253</v>
      </c>
      <c r="D5041" t="s">
        <v>944</v>
      </c>
      <c r="E5041" t="str">
        <f>"00045681"</f>
        <v>00045681</v>
      </c>
      <c r="F5041">
        <v>0</v>
      </c>
      <c r="G5041" s="243">
        <v>38587</v>
      </c>
      <c r="H5041" t="s">
        <v>182</v>
      </c>
      <c r="I5041">
        <v>15</v>
      </c>
      <c r="J5041">
        <v>12</v>
      </c>
      <c r="K5041">
        <v>1</v>
      </c>
      <c r="L5041">
        <v>89887</v>
      </c>
      <c r="M5041" t="str">
        <f t="shared" si="761"/>
        <v>13</v>
      </c>
      <c r="N5041" t="s">
        <v>3323</v>
      </c>
      <c r="O5041" t="str">
        <f t="shared" si="767"/>
        <v>71811</v>
      </c>
      <c r="P5041" t="str">
        <f>"2100L"</f>
        <v>2100L</v>
      </c>
      <c r="Q5041" t="str">
        <f t="shared" si="768"/>
        <v>0101</v>
      </c>
      <c r="R5041">
        <v>2100</v>
      </c>
      <c r="S5041" t="str">
        <f t="shared" si="764"/>
        <v>7180</v>
      </c>
      <c r="T5041" t="s">
        <v>4083</v>
      </c>
      <c r="U5041" t="s">
        <v>102</v>
      </c>
    </row>
    <row r="5042" spans="1:21" ht="15" customHeight="1" x14ac:dyDescent="0.3">
      <c r="A5042" t="s">
        <v>179</v>
      </c>
      <c r="B5042" t="str">
        <f>"00059859"</f>
        <v>00059859</v>
      </c>
      <c r="C5042" t="s">
        <v>4255</v>
      </c>
      <c r="D5042" t="s">
        <v>1847</v>
      </c>
      <c r="E5042" t="str">
        <f>"00052193"</f>
        <v>00052193</v>
      </c>
      <c r="F5042">
        <v>0</v>
      </c>
      <c r="G5042" s="243">
        <v>36774</v>
      </c>
      <c r="H5042" t="s">
        <v>182</v>
      </c>
      <c r="I5042">
        <v>15</v>
      </c>
      <c r="J5042">
        <v>6</v>
      </c>
      <c r="K5042">
        <v>1</v>
      </c>
      <c r="L5042">
        <v>66078</v>
      </c>
      <c r="M5042" t="str">
        <f t="shared" si="761"/>
        <v>13</v>
      </c>
      <c r="N5042" t="s">
        <v>3370</v>
      </c>
      <c r="O5042" t="str">
        <f t="shared" si="767"/>
        <v>71811</v>
      </c>
      <c r="P5042" t="str">
        <f>"2100L"</f>
        <v>2100L</v>
      </c>
      <c r="Q5042" t="str">
        <f t="shared" si="768"/>
        <v>0101</v>
      </c>
      <c r="R5042">
        <v>2100</v>
      </c>
      <c r="S5042" t="str">
        <f t="shared" si="764"/>
        <v>7180</v>
      </c>
      <c r="T5042" t="s">
        <v>4083</v>
      </c>
      <c r="U5042" t="s">
        <v>102</v>
      </c>
    </row>
    <row r="5043" spans="1:21" ht="15" customHeight="1" x14ac:dyDescent="0.3">
      <c r="A5043" t="s">
        <v>179</v>
      </c>
      <c r="B5043" t="str">
        <f>"00060977"</f>
        <v>00060977</v>
      </c>
      <c r="C5043" t="s">
        <v>4257</v>
      </c>
      <c r="D5043" t="s">
        <v>2414</v>
      </c>
      <c r="E5043" t="str">
        <f>"00052766"</f>
        <v>00052766</v>
      </c>
      <c r="F5043">
        <v>0</v>
      </c>
      <c r="G5043" s="243">
        <v>32050</v>
      </c>
      <c r="H5043" t="s">
        <v>182</v>
      </c>
      <c r="I5043">
        <v>15</v>
      </c>
      <c r="J5043">
        <v>13</v>
      </c>
      <c r="K5043">
        <v>1</v>
      </c>
      <c r="L5043">
        <v>95366</v>
      </c>
      <c r="M5043" t="str">
        <f t="shared" si="761"/>
        <v>13</v>
      </c>
      <c r="N5043" t="s">
        <v>3323</v>
      </c>
      <c r="O5043" t="str">
        <f t="shared" si="767"/>
        <v>71811</v>
      </c>
      <c r="P5043" t="str">
        <f>"2100L"</f>
        <v>2100L</v>
      </c>
      <c r="Q5043" t="str">
        <f t="shared" si="768"/>
        <v>0101</v>
      </c>
      <c r="R5043">
        <v>2100</v>
      </c>
      <c r="S5043" t="str">
        <f t="shared" si="764"/>
        <v>7180</v>
      </c>
      <c r="T5043" t="s">
        <v>4083</v>
      </c>
      <c r="U5043" t="s">
        <v>102</v>
      </c>
    </row>
    <row r="5044" spans="1:21" ht="15" customHeight="1" x14ac:dyDescent="0.3">
      <c r="A5044" t="s">
        <v>179</v>
      </c>
      <c r="B5044" t="str">
        <f>"00060984"</f>
        <v>00060984</v>
      </c>
      <c r="C5044" t="s">
        <v>4253</v>
      </c>
      <c r="H5044" t="s">
        <v>170</v>
      </c>
      <c r="I5044">
        <v>15</v>
      </c>
      <c r="J5044">
        <v>1</v>
      </c>
      <c r="K5044">
        <v>1</v>
      </c>
      <c r="L5044">
        <v>54975</v>
      </c>
      <c r="M5044" t="str">
        <f t="shared" si="761"/>
        <v>13</v>
      </c>
      <c r="N5044" t="s">
        <v>3323</v>
      </c>
      <c r="O5044" t="str">
        <f t="shared" si="767"/>
        <v>71811</v>
      </c>
      <c r="P5044" t="str">
        <f>"2100L"</f>
        <v>2100L</v>
      </c>
      <c r="Q5044" t="str">
        <f t="shared" si="768"/>
        <v>0101</v>
      </c>
      <c r="R5044">
        <v>2100</v>
      </c>
      <c r="S5044" t="str">
        <f t="shared" si="764"/>
        <v>7180</v>
      </c>
      <c r="T5044" t="s">
        <v>4083</v>
      </c>
      <c r="U5044" t="s">
        <v>102</v>
      </c>
    </row>
    <row r="5045" spans="1:21" ht="15" customHeight="1" x14ac:dyDescent="0.3">
      <c r="A5045" t="s">
        <v>179</v>
      </c>
      <c r="B5045" t="str">
        <f>"00060989"</f>
        <v>00060989</v>
      </c>
      <c r="C5045" t="s">
        <v>4260</v>
      </c>
      <c r="D5045" t="s">
        <v>2404</v>
      </c>
      <c r="E5045" t="str">
        <f>"00060945"</f>
        <v>00060945</v>
      </c>
      <c r="F5045">
        <v>0</v>
      </c>
      <c r="G5045" s="243">
        <v>40310</v>
      </c>
      <c r="H5045" t="s">
        <v>182</v>
      </c>
      <c r="I5045">
        <v>15</v>
      </c>
      <c r="J5045">
        <v>8</v>
      </c>
      <c r="K5045">
        <v>1</v>
      </c>
      <c r="L5045">
        <v>72171</v>
      </c>
      <c r="M5045" t="str">
        <f t="shared" si="761"/>
        <v>13</v>
      </c>
      <c r="N5045" t="s">
        <v>3323</v>
      </c>
      <c r="O5045" t="str">
        <f t="shared" si="767"/>
        <v>71811</v>
      </c>
      <c r="P5045" t="str">
        <f>"3030L"</f>
        <v>3030L</v>
      </c>
      <c r="Q5045" t="str">
        <f t="shared" si="768"/>
        <v>0101</v>
      </c>
      <c r="R5045">
        <v>3030</v>
      </c>
      <c r="S5045" t="str">
        <f t="shared" si="764"/>
        <v>7180</v>
      </c>
      <c r="T5045" t="s">
        <v>4083</v>
      </c>
      <c r="U5045" t="s">
        <v>102</v>
      </c>
    </row>
    <row r="5046" spans="1:21" ht="15" customHeight="1" x14ac:dyDescent="0.3">
      <c r="A5046" t="s">
        <v>179</v>
      </c>
      <c r="B5046" t="str">
        <f>"00061039"</f>
        <v>00061039</v>
      </c>
      <c r="C5046" t="s">
        <v>4253</v>
      </c>
      <c r="D5046" t="s">
        <v>4099</v>
      </c>
      <c r="E5046" t="str">
        <f>"00065659"</f>
        <v>00065659</v>
      </c>
      <c r="F5046">
        <v>0</v>
      </c>
      <c r="G5046" s="243">
        <v>40755</v>
      </c>
      <c r="H5046" t="s">
        <v>182</v>
      </c>
      <c r="I5046">
        <v>15</v>
      </c>
      <c r="J5046">
        <v>11</v>
      </c>
      <c r="K5046">
        <v>1</v>
      </c>
      <c r="L5046">
        <v>70891</v>
      </c>
      <c r="M5046" t="str">
        <f t="shared" si="761"/>
        <v>13</v>
      </c>
      <c r="N5046" t="s">
        <v>3323</v>
      </c>
      <c r="O5046" t="str">
        <f t="shared" si="767"/>
        <v>71811</v>
      </c>
      <c r="P5046" t="str">
        <f>"2100L"</f>
        <v>2100L</v>
      </c>
      <c r="Q5046" t="str">
        <f t="shared" si="768"/>
        <v>0101</v>
      </c>
      <c r="R5046">
        <v>2100</v>
      </c>
      <c r="S5046" t="str">
        <f t="shared" si="764"/>
        <v>7180</v>
      </c>
      <c r="T5046" t="s">
        <v>4083</v>
      </c>
      <c r="U5046" t="s">
        <v>102</v>
      </c>
    </row>
    <row r="5047" spans="1:21" ht="15" customHeight="1" x14ac:dyDescent="0.3">
      <c r="A5047" t="s">
        <v>179</v>
      </c>
      <c r="B5047" t="str">
        <f>"00061044"</f>
        <v>00061044</v>
      </c>
      <c r="C5047" t="s">
        <v>4253</v>
      </c>
      <c r="H5047" t="s">
        <v>170</v>
      </c>
      <c r="I5047">
        <v>15</v>
      </c>
      <c r="J5047">
        <v>1</v>
      </c>
      <c r="K5047">
        <v>1</v>
      </c>
      <c r="L5047">
        <v>54975</v>
      </c>
      <c r="M5047" t="str">
        <f t="shared" si="761"/>
        <v>13</v>
      </c>
      <c r="N5047" t="s">
        <v>3323</v>
      </c>
      <c r="O5047" t="str">
        <f t="shared" si="767"/>
        <v>71811</v>
      </c>
      <c r="P5047" t="str">
        <f>"2100L"</f>
        <v>2100L</v>
      </c>
      <c r="Q5047" t="str">
        <f t="shared" si="768"/>
        <v>0101</v>
      </c>
      <c r="R5047">
        <v>2100</v>
      </c>
      <c r="S5047" t="str">
        <f t="shared" si="764"/>
        <v>7180</v>
      </c>
      <c r="T5047" t="s">
        <v>4083</v>
      </c>
      <c r="U5047" t="s">
        <v>102</v>
      </c>
    </row>
    <row r="5048" spans="1:21" ht="15" customHeight="1" x14ac:dyDescent="0.3">
      <c r="A5048" t="s">
        <v>179</v>
      </c>
      <c r="B5048" t="str">
        <f>"00061539"</f>
        <v>00061539</v>
      </c>
      <c r="C5048" t="s">
        <v>4253</v>
      </c>
      <c r="D5048" t="s">
        <v>952</v>
      </c>
      <c r="E5048" t="str">
        <f>"00063223"</f>
        <v>00063223</v>
      </c>
      <c r="F5048">
        <v>0</v>
      </c>
      <c r="G5048" s="243">
        <v>40428</v>
      </c>
      <c r="H5048" t="s">
        <v>182</v>
      </c>
      <c r="I5048">
        <v>15</v>
      </c>
      <c r="J5048">
        <v>8</v>
      </c>
      <c r="K5048">
        <v>1</v>
      </c>
      <c r="L5048">
        <v>72171</v>
      </c>
      <c r="M5048" t="str">
        <f t="shared" si="761"/>
        <v>13</v>
      </c>
      <c r="N5048" t="s">
        <v>3370</v>
      </c>
      <c r="O5048" t="str">
        <f t="shared" si="767"/>
        <v>71811</v>
      </c>
      <c r="P5048" t="str">
        <f>"2100L"</f>
        <v>2100L</v>
      </c>
      <c r="Q5048" t="str">
        <f t="shared" si="768"/>
        <v>0101</v>
      </c>
      <c r="R5048">
        <v>2100</v>
      </c>
      <c r="S5048" t="str">
        <f t="shared" si="764"/>
        <v>7180</v>
      </c>
      <c r="T5048" t="s">
        <v>4083</v>
      </c>
      <c r="U5048" t="s">
        <v>102</v>
      </c>
    </row>
    <row r="5049" spans="1:21" ht="15" customHeight="1" x14ac:dyDescent="0.3">
      <c r="A5049" t="s">
        <v>179</v>
      </c>
      <c r="B5049" t="str">
        <f>"00062530"</f>
        <v>00062530</v>
      </c>
      <c r="C5049" t="s">
        <v>4253</v>
      </c>
      <c r="D5049" t="s">
        <v>947</v>
      </c>
      <c r="E5049" t="str">
        <f>"00049760"</f>
        <v>00049760</v>
      </c>
      <c r="F5049">
        <v>0</v>
      </c>
      <c r="G5049" s="243">
        <v>39679</v>
      </c>
      <c r="H5049" t="s">
        <v>182</v>
      </c>
      <c r="I5049">
        <v>15</v>
      </c>
      <c r="J5049">
        <v>13</v>
      </c>
      <c r="K5049">
        <v>1</v>
      </c>
      <c r="L5049">
        <v>81724</v>
      </c>
      <c r="M5049" t="str">
        <f t="shared" si="761"/>
        <v>13</v>
      </c>
      <c r="N5049" t="s">
        <v>3323</v>
      </c>
      <c r="O5049" t="str">
        <f t="shared" si="767"/>
        <v>71811</v>
      </c>
      <c r="P5049" t="str">
        <f>"2100L"</f>
        <v>2100L</v>
      </c>
      <c r="Q5049" t="str">
        <f t="shared" si="768"/>
        <v>0101</v>
      </c>
      <c r="R5049">
        <v>2100</v>
      </c>
      <c r="S5049" t="str">
        <f t="shared" si="764"/>
        <v>7180</v>
      </c>
      <c r="T5049" t="s">
        <v>4083</v>
      </c>
      <c r="U5049" t="s">
        <v>102</v>
      </c>
    </row>
    <row r="5050" spans="1:21" ht="15" customHeight="1" x14ac:dyDescent="0.3">
      <c r="A5050" t="s">
        <v>179</v>
      </c>
      <c r="B5050" t="str">
        <f>"00062550"</f>
        <v>00062550</v>
      </c>
      <c r="C5050" t="s">
        <v>4260</v>
      </c>
      <c r="D5050" t="s">
        <v>948</v>
      </c>
      <c r="E5050" t="str">
        <f>"00047473"</f>
        <v>00047473</v>
      </c>
      <c r="F5050">
        <v>0</v>
      </c>
      <c r="G5050" s="243">
        <v>39699</v>
      </c>
      <c r="H5050" t="s">
        <v>182</v>
      </c>
      <c r="I5050">
        <v>15</v>
      </c>
      <c r="J5050">
        <v>5</v>
      </c>
      <c r="K5050">
        <v>1</v>
      </c>
      <c r="L5050">
        <v>68537</v>
      </c>
      <c r="M5050" t="str">
        <f t="shared" si="761"/>
        <v>13</v>
      </c>
      <c r="N5050" t="s">
        <v>3323</v>
      </c>
      <c r="O5050" t="str">
        <f t="shared" si="767"/>
        <v>71811</v>
      </c>
      <c r="P5050" t="str">
        <f>"3030L"</f>
        <v>3030L</v>
      </c>
      <c r="Q5050" t="str">
        <f t="shared" si="768"/>
        <v>0101</v>
      </c>
      <c r="R5050">
        <v>3030</v>
      </c>
      <c r="S5050" t="str">
        <f t="shared" si="764"/>
        <v>7180</v>
      </c>
      <c r="T5050" t="s">
        <v>4083</v>
      </c>
      <c r="U5050" t="s">
        <v>102</v>
      </c>
    </row>
    <row r="5051" spans="1:21" ht="15" customHeight="1" x14ac:dyDescent="0.3">
      <c r="A5051" t="s">
        <v>179</v>
      </c>
      <c r="B5051" t="str">
        <f>"00062559"</f>
        <v>00062559</v>
      </c>
      <c r="C5051" t="s">
        <v>4253</v>
      </c>
      <c r="D5051" t="s">
        <v>946</v>
      </c>
      <c r="E5051" t="str">
        <f>"00049189"</f>
        <v>00049189</v>
      </c>
      <c r="F5051">
        <v>0</v>
      </c>
      <c r="G5051" s="243">
        <v>39314</v>
      </c>
      <c r="H5051" t="s">
        <v>182</v>
      </c>
      <c r="I5051">
        <v>15</v>
      </c>
      <c r="J5051">
        <v>8</v>
      </c>
      <c r="K5051">
        <v>1</v>
      </c>
      <c r="L5051">
        <v>72171</v>
      </c>
      <c r="M5051" t="str">
        <f t="shared" si="761"/>
        <v>13</v>
      </c>
      <c r="N5051" t="s">
        <v>3370</v>
      </c>
      <c r="O5051" t="str">
        <f t="shared" si="767"/>
        <v>71811</v>
      </c>
      <c r="P5051" t="str">
        <f>"2100L"</f>
        <v>2100L</v>
      </c>
      <c r="Q5051" t="str">
        <f t="shared" si="768"/>
        <v>0101</v>
      </c>
      <c r="R5051">
        <v>2100</v>
      </c>
      <c r="S5051" t="str">
        <f t="shared" si="764"/>
        <v>7180</v>
      </c>
      <c r="T5051" t="s">
        <v>4083</v>
      </c>
      <c r="U5051" t="s">
        <v>102</v>
      </c>
    </row>
    <row r="5052" spans="1:21" ht="15" customHeight="1" x14ac:dyDescent="0.3">
      <c r="A5052" t="s">
        <v>179</v>
      </c>
      <c r="B5052" t="str">
        <f>"00062694"</f>
        <v>00062694</v>
      </c>
      <c r="C5052" t="s">
        <v>4253</v>
      </c>
      <c r="D5052" t="s">
        <v>3000</v>
      </c>
      <c r="E5052" t="str">
        <f>"00062887"</f>
        <v>00062887</v>
      </c>
      <c r="F5052">
        <v>0</v>
      </c>
      <c r="G5052" s="243">
        <v>40406</v>
      </c>
      <c r="H5052" t="s">
        <v>182</v>
      </c>
      <c r="I5052">
        <v>15</v>
      </c>
      <c r="J5052">
        <v>10</v>
      </c>
      <c r="K5052">
        <v>1</v>
      </c>
      <c r="L5052">
        <v>83199</v>
      </c>
      <c r="M5052" t="str">
        <f t="shared" si="761"/>
        <v>13</v>
      </c>
      <c r="N5052" t="s">
        <v>3323</v>
      </c>
      <c r="O5052" t="str">
        <f t="shared" si="767"/>
        <v>71811</v>
      </c>
      <c r="P5052" t="str">
        <f>"2100L"</f>
        <v>2100L</v>
      </c>
      <c r="Q5052" t="str">
        <f t="shared" si="768"/>
        <v>0101</v>
      </c>
      <c r="R5052">
        <v>2100</v>
      </c>
      <c r="S5052" t="str">
        <f t="shared" ref="S5052:S5082" si="769">"7180"</f>
        <v>7180</v>
      </c>
      <c r="T5052" t="s">
        <v>4083</v>
      </c>
      <c r="U5052" t="s">
        <v>102</v>
      </c>
    </row>
    <row r="5053" spans="1:21" ht="15" customHeight="1" x14ac:dyDescent="0.3">
      <c r="A5053" t="s">
        <v>179</v>
      </c>
      <c r="B5053" t="str">
        <f>"00062874"</f>
        <v>00062874</v>
      </c>
      <c r="C5053" t="s">
        <v>4260</v>
      </c>
      <c r="D5053" t="s">
        <v>4097</v>
      </c>
      <c r="E5053" t="str">
        <f>"00046463"</f>
        <v>00046463</v>
      </c>
      <c r="F5053">
        <v>0</v>
      </c>
      <c r="G5053" s="243">
        <v>40755</v>
      </c>
      <c r="H5053" t="s">
        <v>182</v>
      </c>
      <c r="I5053">
        <v>15</v>
      </c>
      <c r="J5053">
        <v>12</v>
      </c>
      <c r="K5053">
        <v>1</v>
      </c>
      <c r="L5053">
        <v>87431</v>
      </c>
      <c r="M5053" t="str">
        <f t="shared" si="761"/>
        <v>13</v>
      </c>
      <c r="N5053" t="s">
        <v>3323</v>
      </c>
      <c r="O5053" t="str">
        <f t="shared" si="767"/>
        <v>71811</v>
      </c>
      <c r="P5053" t="str">
        <f>"2100L"</f>
        <v>2100L</v>
      </c>
      <c r="Q5053" t="str">
        <f t="shared" si="768"/>
        <v>0101</v>
      </c>
      <c r="R5053">
        <v>2100</v>
      </c>
      <c r="S5053" t="str">
        <f t="shared" si="769"/>
        <v>7180</v>
      </c>
      <c r="T5053" t="s">
        <v>4083</v>
      </c>
      <c r="U5053" t="s">
        <v>102</v>
      </c>
    </row>
    <row r="5054" spans="1:21" ht="15" customHeight="1" x14ac:dyDescent="0.3">
      <c r="A5054" t="s">
        <v>179</v>
      </c>
      <c r="B5054" t="str">
        <f>"00062971"</f>
        <v>00062971</v>
      </c>
      <c r="C5054" t="s">
        <v>4254</v>
      </c>
      <c r="H5054" t="s">
        <v>170</v>
      </c>
      <c r="I5054">
        <v>15</v>
      </c>
      <c r="J5054">
        <v>1</v>
      </c>
      <c r="K5054">
        <v>1</v>
      </c>
      <c r="L5054">
        <v>51539</v>
      </c>
      <c r="M5054" t="str">
        <f t="shared" si="761"/>
        <v>13</v>
      </c>
      <c r="N5054" t="s">
        <v>3323</v>
      </c>
      <c r="O5054" t="str">
        <f t="shared" si="767"/>
        <v>71811</v>
      </c>
      <c r="P5054" t="str">
        <f>"2100L"</f>
        <v>2100L</v>
      </c>
      <c r="Q5054" t="str">
        <f t="shared" si="768"/>
        <v>0101</v>
      </c>
      <c r="R5054">
        <v>2100</v>
      </c>
      <c r="S5054" t="str">
        <f t="shared" si="769"/>
        <v>7180</v>
      </c>
      <c r="T5054" t="s">
        <v>4083</v>
      </c>
      <c r="U5054" t="s">
        <v>102</v>
      </c>
    </row>
    <row r="5055" spans="1:21" ht="15" customHeight="1" x14ac:dyDescent="0.3">
      <c r="A5055" t="s">
        <v>179</v>
      </c>
      <c r="B5055" t="str">
        <f>"00062988"</f>
        <v>00062988</v>
      </c>
      <c r="C5055" t="s">
        <v>4263</v>
      </c>
      <c r="H5055" t="s">
        <v>170</v>
      </c>
      <c r="I5055">
        <v>15</v>
      </c>
      <c r="J5055">
        <v>1</v>
      </c>
      <c r="K5055">
        <v>1</v>
      </c>
      <c r="L5055">
        <v>51539</v>
      </c>
      <c r="M5055" t="str">
        <f t="shared" si="761"/>
        <v>13</v>
      </c>
      <c r="N5055" t="s">
        <v>3323</v>
      </c>
      <c r="O5055" t="str">
        <f t="shared" si="767"/>
        <v>71811</v>
      </c>
      <c r="P5055" t="str">
        <f>"2100L"</f>
        <v>2100L</v>
      </c>
      <c r="Q5055" t="str">
        <f t="shared" si="768"/>
        <v>0101</v>
      </c>
      <c r="R5055">
        <v>2100</v>
      </c>
      <c r="S5055" t="str">
        <f t="shared" si="769"/>
        <v>7180</v>
      </c>
      <c r="T5055" t="s">
        <v>4083</v>
      </c>
      <c r="U5055" t="s">
        <v>102</v>
      </c>
    </row>
    <row r="5056" spans="1:21" ht="15" customHeight="1" x14ac:dyDescent="0.3">
      <c r="A5056" t="s">
        <v>179</v>
      </c>
      <c r="B5056" t="str">
        <f>"00064503"</f>
        <v>00064503</v>
      </c>
      <c r="C5056" t="s">
        <v>3670</v>
      </c>
      <c r="D5056" t="s">
        <v>4084</v>
      </c>
      <c r="E5056" t="str">
        <f>"00039674"</f>
        <v>00039674</v>
      </c>
      <c r="F5056">
        <v>0</v>
      </c>
      <c r="G5056" s="243">
        <v>37861</v>
      </c>
      <c r="H5056" t="s">
        <v>182</v>
      </c>
      <c r="I5056">
        <v>8</v>
      </c>
      <c r="J5056">
        <v>5</v>
      </c>
      <c r="K5056">
        <v>1</v>
      </c>
      <c r="L5056">
        <v>93780</v>
      </c>
      <c r="M5056" t="str">
        <f t="shared" si="761"/>
        <v>13</v>
      </c>
      <c r="N5056" t="s">
        <v>3370</v>
      </c>
      <c r="O5056" t="str">
        <f t="shared" si="767"/>
        <v>71811</v>
      </c>
      <c r="P5056" t="str">
        <f>"1501L"</f>
        <v>1501L</v>
      </c>
      <c r="Q5056" t="str">
        <f t="shared" si="768"/>
        <v>0101</v>
      </c>
      <c r="R5056">
        <v>1501</v>
      </c>
      <c r="S5056" t="str">
        <f t="shared" si="769"/>
        <v>7180</v>
      </c>
      <c r="T5056" t="s">
        <v>4083</v>
      </c>
      <c r="U5056" t="s">
        <v>102</v>
      </c>
    </row>
    <row r="5057" spans="1:21" ht="15" customHeight="1" x14ac:dyDescent="0.3">
      <c r="A5057" t="s">
        <v>179</v>
      </c>
      <c r="B5057" t="str">
        <f>"00066091"</f>
        <v>00066091</v>
      </c>
      <c r="C5057" t="s">
        <v>4381</v>
      </c>
      <c r="H5057" t="s">
        <v>170</v>
      </c>
      <c r="I5057">
        <v>9</v>
      </c>
      <c r="J5057">
        <v>1</v>
      </c>
      <c r="K5057">
        <v>1</v>
      </c>
      <c r="L5057">
        <v>33163</v>
      </c>
      <c r="M5057" t="str">
        <f t="shared" si="761"/>
        <v>13</v>
      </c>
      <c r="N5057" t="s">
        <v>3323</v>
      </c>
      <c r="O5057" t="str">
        <f t="shared" si="767"/>
        <v>71811</v>
      </c>
      <c r="P5057" t="str">
        <f t="shared" ref="P5057:P5064" si="770">"2100L"</f>
        <v>2100L</v>
      </c>
      <c r="Q5057" t="str">
        <f t="shared" si="768"/>
        <v>0101</v>
      </c>
      <c r="R5057">
        <v>2100</v>
      </c>
      <c r="S5057" t="str">
        <f t="shared" si="769"/>
        <v>7180</v>
      </c>
      <c r="T5057" t="s">
        <v>4083</v>
      </c>
      <c r="U5057" t="s">
        <v>102</v>
      </c>
    </row>
    <row r="5058" spans="1:21" ht="15" customHeight="1" x14ac:dyDescent="0.3">
      <c r="A5058" t="s">
        <v>179</v>
      </c>
      <c r="B5058" t="str">
        <f>"00066343"</f>
        <v>00066343</v>
      </c>
      <c r="C5058" t="s">
        <v>4261</v>
      </c>
      <c r="H5058" t="s">
        <v>170</v>
      </c>
      <c r="I5058">
        <v>15</v>
      </c>
      <c r="J5058">
        <v>1</v>
      </c>
      <c r="K5058">
        <v>1</v>
      </c>
      <c r="L5058">
        <v>60473</v>
      </c>
      <c r="M5058" t="str">
        <f t="shared" si="761"/>
        <v>13</v>
      </c>
      <c r="N5058" t="s">
        <v>3323</v>
      </c>
      <c r="O5058" t="str">
        <f t="shared" si="767"/>
        <v>71811</v>
      </c>
      <c r="P5058" t="str">
        <f t="shared" si="770"/>
        <v>2100L</v>
      </c>
      <c r="Q5058" t="str">
        <f t="shared" si="768"/>
        <v>0101</v>
      </c>
      <c r="R5058">
        <v>2100</v>
      </c>
      <c r="S5058" t="str">
        <f t="shared" si="769"/>
        <v>7180</v>
      </c>
      <c r="T5058" t="s">
        <v>4083</v>
      </c>
      <c r="U5058" t="s">
        <v>102</v>
      </c>
    </row>
    <row r="5059" spans="1:21" ht="15" customHeight="1" x14ac:dyDescent="0.3">
      <c r="A5059" t="s">
        <v>179</v>
      </c>
      <c r="B5059" t="str">
        <f>"00066345"</f>
        <v>00066345</v>
      </c>
      <c r="C5059" t="s">
        <v>4261</v>
      </c>
      <c r="D5059" t="s">
        <v>953</v>
      </c>
      <c r="E5059" t="str">
        <f>"00057311"</f>
        <v>00057311</v>
      </c>
      <c r="F5059">
        <v>0</v>
      </c>
      <c r="G5059" s="243">
        <v>40042</v>
      </c>
      <c r="H5059" t="s">
        <v>182</v>
      </c>
      <c r="I5059">
        <v>15</v>
      </c>
      <c r="J5059">
        <v>4</v>
      </c>
      <c r="K5059">
        <v>1</v>
      </c>
      <c r="L5059">
        <v>72685</v>
      </c>
      <c r="M5059" t="str">
        <f t="shared" si="761"/>
        <v>13</v>
      </c>
      <c r="N5059" t="s">
        <v>3323</v>
      </c>
      <c r="O5059" t="str">
        <f t="shared" si="767"/>
        <v>71811</v>
      </c>
      <c r="P5059" t="str">
        <f t="shared" si="770"/>
        <v>2100L</v>
      </c>
      <c r="Q5059" t="str">
        <f t="shared" si="768"/>
        <v>0101</v>
      </c>
      <c r="R5059">
        <v>2100</v>
      </c>
      <c r="S5059" t="str">
        <f t="shared" si="769"/>
        <v>7180</v>
      </c>
      <c r="T5059" t="s">
        <v>4083</v>
      </c>
      <c r="U5059" t="s">
        <v>102</v>
      </c>
    </row>
    <row r="5060" spans="1:21" ht="15" customHeight="1" x14ac:dyDescent="0.3">
      <c r="A5060" t="s">
        <v>179</v>
      </c>
      <c r="B5060" t="str">
        <f>"00066560"</f>
        <v>00066560</v>
      </c>
      <c r="C5060" t="s">
        <v>4253</v>
      </c>
      <c r="D5060" t="s">
        <v>4090</v>
      </c>
      <c r="E5060" t="str">
        <f>"00066008"</f>
        <v>00066008</v>
      </c>
      <c r="F5060">
        <v>0</v>
      </c>
      <c r="G5060" s="243">
        <v>40755</v>
      </c>
      <c r="H5060" t="s">
        <v>182</v>
      </c>
      <c r="I5060">
        <v>15</v>
      </c>
      <c r="J5060">
        <v>2</v>
      </c>
      <c r="K5060">
        <v>1</v>
      </c>
      <c r="L5060">
        <v>51716</v>
      </c>
      <c r="M5060" t="str">
        <f t="shared" si="761"/>
        <v>13</v>
      </c>
      <c r="N5060" t="s">
        <v>3370</v>
      </c>
      <c r="O5060" t="str">
        <f t="shared" si="767"/>
        <v>71811</v>
      </c>
      <c r="P5060" t="str">
        <f t="shared" si="770"/>
        <v>2100L</v>
      </c>
      <c r="Q5060" t="str">
        <f t="shared" si="768"/>
        <v>0101</v>
      </c>
      <c r="R5060">
        <v>2100</v>
      </c>
      <c r="S5060" t="str">
        <f t="shared" si="769"/>
        <v>7180</v>
      </c>
      <c r="T5060" t="s">
        <v>4083</v>
      </c>
      <c r="U5060" t="s">
        <v>102</v>
      </c>
    </row>
    <row r="5061" spans="1:21" ht="15" customHeight="1" x14ac:dyDescent="0.3">
      <c r="A5061" t="s">
        <v>179</v>
      </c>
      <c r="B5061" t="str">
        <f>"00066561"</f>
        <v>00066561</v>
      </c>
      <c r="C5061" t="s">
        <v>4253</v>
      </c>
      <c r="D5061" t="s">
        <v>4091</v>
      </c>
      <c r="E5061" t="str">
        <f>"00065868"</f>
        <v>00065868</v>
      </c>
      <c r="F5061">
        <v>0</v>
      </c>
      <c r="G5061" s="243">
        <v>40755</v>
      </c>
      <c r="H5061" t="s">
        <v>182</v>
      </c>
      <c r="I5061">
        <v>15</v>
      </c>
      <c r="J5061">
        <v>2</v>
      </c>
      <c r="K5061">
        <v>1</v>
      </c>
      <c r="L5061">
        <v>51716</v>
      </c>
      <c r="M5061" t="str">
        <f t="shared" si="761"/>
        <v>13</v>
      </c>
      <c r="N5061" t="s">
        <v>3323</v>
      </c>
      <c r="O5061" t="str">
        <f t="shared" si="767"/>
        <v>71811</v>
      </c>
      <c r="P5061" t="str">
        <f t="shared" si="770"/>
        <v>2100L</v>
      </c>
      <c r="Q5061" t="str">
        <f t="shared" si="768"/>
        <v>0101</v>
      </c>
      <c r="R5061">
        <v>2100</v>
      </c>
      <c r="S5061" t="str">
        <f t="shared" si="769"/>
        <v>7180</v>
      </c>
      <c r="T5061" t="s">
        <v>4083</v>
      </c>
      <c r="U5061" t="s">
        <v>102</v>
      </c>
    </row>
    <row r="5062" spans="1:21" ht="15" customHeight="1" x14ac:dyDescent="0.3">
      <c r="A5062" t="s">
        <v>179</v>
      </c>
      <c r="B5062" t="str">
        <f>"00066562"</f>
        <v>00066562</v>
      </c>
      <c r="C5062" t="s">
        <v>4253</v>
      </c>
      <c r="D5062" t="s">
        <v>4092</v>
      </c>
      <c r="E5062" t="str">
        <f>"00065736"</f>
        <v>00065736</v>
      </c>
      <c r="F5062">
        <v>0</v>
      </c>
      <c r="G5062" s="243">
        <v>40755</v>
      </c>
      <c r="H5062" t="s">
        <v>182</v>
      </c>
      <c r="I5062">
        <v>15</v>
      </c>
      <c r="J5062">
        <v>10</v>
      </c>
      <c r="K5062">
        <v>1</v>
      </c>
      <c r="L5062">
        <v>68431</v>
      </c>
      <c r="M5062" t="str">
        <f t="shared" si="761"/>
        <v>13</v>
      </c>
      <c r="N5062" t="s">
        <v>3323</v>
      </c>
      <c r="O5062" t="str">
        <f t="shared" si="767"/>
        <v>71811</v>
      </c>
      <c r="P5062" t="str">
        <f t="shared" si="770"/>
        <v>2100L</v>
      </c>
      <c r="Q5062" t="str">
        <f t="shared" si="768"/>
        <v>0101</v>
      </c>
      <c r="R5062">
        <v>2100</v>
      </c>
      <c r="S5062" t="str">
        <f t="shared" si="769"/>
        <v>7180</v>
      </c>
      <c r="T5062" t="s">
        <v>4083</v>
      </c>
      <c r="U5062" t="s">
        <v>102</v>
      </c>
    </row>
    <row r="5063" spans="1:21" ht="15" customHeight="1" x14ac:dyDescent="0.3">
      <c r="A5063" t="s">
        <v>179</v>
      </c>
      <c r="B5063" t="str">
        <f>"00066563"</f>
        <v>00066563</v>
      </c>
      <c r="C5063" t="s">
        <v>4253</v>
      </c>
      <c r="D5063" t="s">
        <v>954</v>
      </c>
      <c r="E5063" t="str">
        <f>"00057533"</f>
        <v>00057533</v>
      </c>
      <c r="F5063">
        <v>0</v>
      </c>
      <c r="G5063" s="243">
        <v>40042</v>
      </c>
      <c r="H5063" t="s">
        <v>182</v>
      </c>
      <c r="I5063">
        <v>15</v>
      </c>
      <c r="J5063">
        <v>4</v>
      </c>
      <c r="K5063">
        <v>1</v>
      </c>
      <c r="L5063">
        <v>61158</v>
      </c>
      <c r="M5063" t="str">
        <f t="shared" si="761"/>
        <v>13</v>
      </c>
      <c r="N5063" t="s">
        <v>3323</v>
      </c>
      <c r="O5063" t="str">
        <f t="shared" si="767"/>
        <v>71811</v>
      </c>
      <c r="P5063" t="str">
        <f t="shared" si="770"/>
        <v>2100L</v>
      </c>
      <c r="Q5063" t="str">
        <f t="shared" si="768"/>
        <v>0101</v>
      </c>
      <c r="R5063">
        <v>2100</v>
      </c>
      <c r="S5063" t="str">
        <f t="shared" si="769"/>
        <v>7180</v>
      </c>
      <c r="T5063" t="s">
        <v>4083</v>
      </c>
      <c r="U5063" t="s">
        <v>102</v>
      </c>
    </row>
    <row r="5064" spans="1:21" ht="15" customHeight="1" x14ac:dyDescent="0.3">
      <c r="A5064" t="s">
        <v>179</v>
      </c>
      <c r="B5064" t="str">
        <f>"00066565"</f>
        <v>00066565</v>
      </c>
      <c r="C5064" t="s">
        <v>4266</v>
      </c>
      <c r="H5064" t="s">
        <v>170</v>
      </c>
      <c r="I5064">
        <v>15</v>
      </c>
      <c r="J5064">
        <v>1</v>
      </c>
      <c r="K5064">
        <v>1</v>
      </c>
      <c r="L5064">
        <v>54975</v>
      </c>
      <c r="M5064" t="str">
        <f t="shared" si="761"/>
        <v>13</v>
      </c>
      <c r="N5064" t="s">
        <v>3323</v>
      </c>
      <c r="O5064" t="str">
        <f t="shared" ref="O5064:O5093" si="771">"71811"</f>
        <v>71811</v>
      </c>
      <c r="P5064" t="str">
        <f t="shared" si="770"/>
        <v>2100L</v>
      </c>
      <c r="Q5064" t="str">
        <f t="shared" ref="Q5064:Q5093" si="772">"0101"</f>
        <v>0101</v>
      </c>
      <c r="R5064">
        <v>2100</v>
      </c>
      <c r="S5064" t="str">
        <f t="shared" si="769"/>
        <v>7180</v>
      </c>
      <c r="T5064" t="s">
        <v>4083</v>
      </c>
      <c r="U5064" t="s">
        <v>102</v>
      </c>
    </row>
    <row r="5065" spans="1:21" ht="15" customHeight="1" x14ac:dyDescent="0.3">
      <c r="A5065" t="s">
        <v>179</v>
      </c>
      <c r="B5065" t="str">
        <f>"00066569"</f>
        <v>00066569</v>
      </c>
      <c r="C5065" t="s">
        <v>4260</v>
      </c>
      <c r="D5065" t="s">
        <v>4093</v>
      </c>
      <c r="E5065" t="str">
        <f>"00065666"</f>
        <v>00065666</v>
      </c>
      <c r="F5065">
        <v>0</v>
      </c>
      <c r="G5065" s="243">
        <v>40755</v>
      </c>
      <c r="H5065" t="s">
        <v>182</v>
      </c>
      <c r="I5065">
        <v>15</v>
      </c>
      <c r="J5065">
        <v>2</v>
      </c>
      <c r="K5065">
        <v>1</v>
      </c>
      <c r="L5065">
        <v>56242</v>
      </c>
      <c r="M5065" t="str">
        <f t="shared" si="761"/>
        <v>13</v>
      </c>
      <c r="N5065" t="s">
        <v>3323</v>
      </c>
      <c r="O5065" t="str">
        <f t="shared" si="771"/>
        <v>71811</v>
      </c>
      <c r="P5065" t="str">
        <f t="shared" ref="P5065:P5071" si="773">"3030L"</f>
        <v>3030L</v>
      </c>
      <c r="Q5065" t="str">
        <f t="shared" si="772"/>
        <v>0101</v>
      </c>
      <c r="R5065">
        <v>3030</v>
      </c>
      <c r="S5065" t="str">
        <f t="shared" si="769"/>
        <v>7180</v>
      </c>
      <c r="T5065" t="s">
        <v>4083</v>
      </c>
      <c r="U5065" t="s">
        <v>102</v>
      </c>
    </row>
    <row r="5066" spans="1:21" ht="15" customHeight="1" x14ac:dyDescent="0.3">
      <c r="A5066" t="s">
        <v>179</v>
      </c>
      <c r="B5066" t="str">
        <f>"00066570"</f>
        <v>00066570</v>
      </c>
      <c r="C5066" t="s">
        <v>4260</v>
      </c>
      <c r="D5066" t="s">
        <v>960</v>
      </c>
      <c r="E5066" t="str">
        <f>"00062620"</f>
        <v>00062620</v>
      </c>
      <c r="F5066">
        <v>0</v>
      </c>
      <c r="G5066" s="243">
        <v>40406</v>
      </c>
      <c r="H5066" t="s">
        <v>182</v>
      </c>
      <c r="I5066">
        <v>15</v>
      </c>
      <c r="J5066">
        <v>2</v>
      </c>
      <c r="K5066">
        <v>1</v>
      </c>
      <c r="L5066">
        <v>51716</v>
      </c>
      <c r="M5066" t="str">
        <f t="shared" si="761"/>
        <v>13</v>
      </c>
      <c r="N5066" t="s">
        <v>3323</v>
      </c>
      <c r="O5066" t="str">
        <f t="shared" si="771"/>
        <v>71811</v>
      </c>
      <c r="P5066" t="str">
        <f t="shared" si="773"/>
        <v>3030L</v>
      </c>
      <c r="Q5066" t="str">
        <f t="shared" si="772"/>
        <v>0101</v>
      </c>
      <c r="R5066">
        <v>3030</v>
      </c>
      <c r="S5066" t="str">
        <f t="shared" si="769"/>
        <v>7180</v>
      </c>
      <c r="T5066" t="s">
        <v>4083</v>
      </c>
      <c r="U5066" t="s">
        <v>102</v>
      </c>
    </row>
    <row r="5067" spans="1:21" ht="15" customHeight="1" x14ac:dyDescent="0.3">
      <c r="A5067" t="s">
        <v>179</v>
      </c>
      <c r="B5067" t="str">
        <f>"00066571"</f>
        <v>00066571</v>
      </c>
      <c r="C5067" t="s">
        <v>4260</v>
      </c>
      <c r="H5067" t="s">
        <v>170</v>
      </c>
      <c r="I5067">
        <v>15</v>
      </c>
      <c r="J5067">
        <v>1</v>
      </c>
      <c r="K5067">
        <v>1</v>
      </c>
      <c r="L5067">
        <v>54975</v>
      </c>
      <c r="M5067" t="str">
        <f t="shared" si="761"/>
        <v>13</v>
      </c>
      <c r="N5067" t="s">
        <v>3323</v>
      </c>
      <c r="O5067" t="str">
        <f t="shared" si="771"/>
        <v>71811</v>
      </c>
      <c r="P5067" t="str">
        <f t="shared" si="773"/>
        <v>3030L</v>
      </c>
      <c r="Q5067" t="str">
        <f t="shared" si="772"/>
        <v>0101</v>
      </c>
      <c r="R5067">
        <v>3030</v>
      </c>
      <c r="S5067" t="str">
        <f t="shared" si="769"/>
        <v>7180</v>
      </c>
      <c r="T5067" t="s">
        <v>4083</v>
      </c>
      <c r="U5067" t="s">
        <v>102</v>
      </c>
    </row>
    <row r="5068" spans="1:21" ht="15" customHeight="1" x14ac:dyDescent="0.3">
      <c r="A5068" t="s">
        <v>179</v>
      </c>
      <c r="B5068" t="str">
        <f>"00066572"</f>
        <v>00066572</v>
      </c>
      <c r="C5068" t="s">
        <v>4253</v>
      </c>
      <c r="D5068" t="s">
        <v>5788</v>
      </c>
      <c r="E5068" t="str">
        <f>"00066219"</f>
        <v>00066219</v>
      </c>
      <c r="F5068">
        <v>0</v>
      </c>
      <c r="G5068" s="243">
        <v>40755</v>
      </c>
      <c r="H5068" t="s">
        <v>182</v>
      </c>
      <c r="I5068">
        <v>15</v>
      </c>
      <c r="J5068">
        <v>11</v>
      </c>
      <c r="K5068">
        <v>1</v>
      </c>
      <c r="L5068">
        <v>81335</v>
      </c>
      <c r="M5068" t="str">
        <f t="shared" si="761"/>
        <v>13</v>
      </c>
      <c r="N5068" t="s">
        <v>3323</v>
      </c>
      <c r="O5068" t="str">
        <f t="shared" si="771"/>
        <v>71811</v>
      </c>
      <c r="P5068" t="str">
        <f t="shared" si="773"/>
        <v>3030L</v>
      </c>
      <c r="Q5068" t="str">
        <f t="shared" si="772"/>
        <v>0101</v>
      </c>
      <c r="R5068">
        <v>3030</v>
      </c>
      <c r="S5068" t="str">
        <f t="shared" si="769"/>
        <v>7180</v>
      </c>
      <c r="T5068" t="s">
        <v>4083</v>
      </c>
      <c r="U5068" t="s">
        <v>102</v>
      </c>
    </row>
    <row r="5069" spans="1:21" ht="15" customHeight="1" x14ac:dyDescent="0.3">
      <c r="A5069" t="s">
        <v>179</v>
      </c>
      <c r="B5069" t="str">
        <f>"00066573"</f>
        <v>00066573</v>
      </c>
      <c r="C5069" t="s">
        <v>4260</v>
      </c>
      <c r="D5069" t="s">
        <v>2162</v>
      </c>
      <c r="E5069" t="str">
        <f>"00053385"</f>
        <v>00053385</v>
      </c>
      <c r="F5069">
        <v>0</v>
      </c>
      <c r="G5069" s="243">
        <v>36400</v>
      </c>
      <c r="H5069" t="s">
        <v>182</v>
      </c>
      <c r="I5069">
        <v>15</v>
      </c>
      <c r="J5069">
        <v>16</v>
      </c>
      <c r="K5069">
        <v>1</v>
      </c>
      <c r="L5069">
        <v>103347</v>
      </c>
      <c r="M5069" t="str">
        <f t="shared" si="761"/>
        <v>13</v>
      </c>
      <c r="N5069" t="s">
        <v>3323</v>
      </c>
      <c r="O5069" t="str">
        <f t="shared" si="771"/>
        <v>71811</v>
      </c>
      <c r="P5069" t="str">
        <f t="shared" si="773"/>
        <v>3030L</v>
      </c>
      <c r="Q5069" t="str">
        <f t="shared" si="772"/>
        <v>0101</v>
      </c>
      <c r="R5069">
        <v>3030</v>
      </c>
      <c r="S5069" t="str">
        <f t="shared" si="769"/>
        <v>7180</v>
      </c>
      <c r="T5069" t="s">
        <v>4083</v>
      </c>
      <c r="U5069" t="s">
        <v>102</v>
      </c>
    </row>
    <row r="5070" spans="1:21" ht="15" customHeight="1" x14ac:dyDescent="0.3">
      <c r="A5070" t="s">
        <v>179</v>
      </c>
      <c r="B5070" t="str">
        <f>"00066574"</f>
        <v>00066574</v>
      </c>
      <c r="C5070" t="s">
        <v>4260</v>
      </c>
      <c r="D5070" t="s">
        <v>4095</v>
      </c>
      <c r="E5070" t="str">
        <f>"00065844"</f>
        <v>00065844</v>
      </c>
      <c r="F5070">
        <v>0</v>
      </c>
      <c r="G5070" s="243">
        <v>40755</v>
      </c>
      <c r="H5070" t="s">
        <v>182</v>
      </c>
      <c r="I5070">
        <v>15</v>
      </c>
      <c r="J5070">
        <v>2</v>
      </c>
      <c r="K5070">
        <v>1</v>
      </c>
      <c r="L5070">
        <v>51716</v>
      </c>
      <c r="M5070" t="str">
        <f t="shared" ref="M5070:M5127" si="774">"13"</f>
        <v>13</v>
      </c>
      <c r="N5070" t="s">
        <v>3323</v>
      </c>
      <c r="O5070" t="str">
        <f t="shared" si="771"/>
        <v>71811</v>
      </c>
      <c r="P5070" t="str">
        <f t="shared" si="773"/>
        <v>3030L</v>
      </c>
      <c r="Q5070" t="str">
        <f t="shared" si="772"/>
        <v>0101</v>
      </c>
      <c r="R5070">
        <v>3030</v>
      </c>
      <c r="S5070" t="str">
        <f t="shared" si="769"/>
        <v>7180</v>
      </c>
      <c r="T5070" t="s">
        <v>4083</v>
      </c>
      <c r="U5070" t="s">
        <v>102</v>
      </c>
    </row>
    <row r="5071" spans="1:21" ht="15" customHeight="1" x14ac:dyDescent="0.3">
      <c r="A5071" t="s">
        <v>179</v>
      </c>
      <c r="B5071" t="str">
        <f>"00066577"</f>
        <v>00066577</v>
      </c>
      <c r="C5071" t="s">
        <v>4260</v>
      </c>
      <c r="D5071" t="s">
        <v>4096</v>
      </c>
      <c r="E5071" t="str">
        <f>"00065832"</f>
        <v>00065832</v>
      </c>
      <c r="F5071">
        <v>0</v>
      </c>
      <c r="G5071" s="243">
        <v>40755</v>
      </c>
      <c r="H5071" t="s">
        <v>182</v>
      </c>
      <c r="I5071">
        <v>15</v>
      </c>
      <c r="J5071">
        <v>2</v>
      </c>
      <c r="K5071">
        <v>1</v>
      </c>
      <c r="L5071">
        <v>51716</v>
      </c>
      <c r="M5071" t="str">
        <f t="shared" si="774"/>
        <v>13</v>
      </c>
      <c r="N5071" t="s">
        <v>3323</v>
      </c>
      <c r="O5071" t="str">
        <f t="shared" si="771"/>
        <v>71811</v>
      </c>
      <c r="P5071" t="str">
        <f t="shared" si="773"/>
        <v>3030L</v>
      </c>
      <c r="Q5071" t="str">
        <f t="shared" si="772"/>
        <v>0101</v>
      </c>
      <c r="R5071">
        <v>3030</v>
      </c>
      <c r="S5071" t="str">
        <f t="shared" si="769"/>
        <v>7180</v>
      </c>
      <c r="T5071" t="s">
        <v>4083</v>
      </c>
      <c r="U5071" t="s">
        <v>102</v>
      </c>
    </row>
    <row r="5072" spans="1:21" ht="15" customHeight="1" x14ac:dyDescent="0.3">
      <c r="A5072" t="s">
        <v>179</v>
      </c>
      <c r="B5072" t="str">
        <f>"00066924"</f>
        <v>00066924</v>
      </c>
      <c r="C5072" t="s">
        <v>4253</v>
      </c>
      <c r="D5072" t="s">
        <v>1572</v>
      </c>
      <c r="E5072" t="str">
        <f>"00045611"</f>
        <v>00045611</v>
      </c>
      <c r="F5072">
        <v>0</v>
      </c>
      <c r="G5072" s="243">
        <v>39475</v>
      </c>
      <c r="H5072" t="s">
        <v>182</v>
      </c>
      <c r="I5072">
        <v>15</v>
      </c>
      <c r="J5072">
        <v>9</v>
      </c>
      <c r="K5072">
        <v>1</v>
      </c>
      <c r="L5072">
        <v>77687</v>
      </c>
      <c r="M5072" t="str">
        <f t="shared" si="774"/>
        <v>13</v>
      </c>
      <c r="N5072" t="s">
        <v>3323</v>
      </c>
      <c r="O5072" t="str">
        <f t="shared" si="771"/>
        <v>71811</v>
      </c>
      <c r="P5072" t="str">
        <f>"2100L"</f>
        <v>2100L</v>
      </c>
      <c r="Q5072" t="str">
        <f t="shared" si="772"/>
        <v>0101</v>
      </c>
      <c r="R5072">
        <v>2100</v>
      </c>
      <c r="S5072" t="str">
        <f t="shared" si="769"/>
        <v>7180</v>
      </c>
      <c r="T5072" t="s">
        <v>4083</v>
      </c>
      <c r="U5072" t="s">
        <v>102</v>
      </c>
    </row>
    <row r="5073" spans="1:21" ht="15" customHeight="1" x14ac:dyDescent="0.3">
      <c r="A5073" t="s">
        <v>179</v>
      </c>
      <c r="B5073" t="str">
        <f>"00066961"</f>
        <v>00066961</v>
      </c>
      <c r="C5073" t="s">
        <v>200</v>
      </c>
      <c r="D5073" t="s">
        <v>4087</v>
      </c>
      <c r="E5073" t="str">
        <f>"00028794"</f>
        <v>00028794</v>
      </c>
      <c r="F5073">
        <v>1</v>
      </c>
      <c r="G5073" s="243">
        <v>39776</v>
      </c>
      <c r="H5073" t="s">
        <v>182</v>
      </c>
      <c r="I5073">
        <v>15</v>
      </c>
      <c r="J5073">
        <v>12</v>
      </c>
      <c r="K5073">
        <v>1</v>
      </c>
      <c r="L5073">
        <v>87431</v>
      </c>
      <c r="M5073" t="str">
        <f t="shared" si="774"/>
        <v>13</v>
      </c>
      <c r="N5073" t="s">
        <v>3323</v>
      </c>
      <c r="O5073" t="str">
        <f t="shared" si="771"/>
        <v>71811</v>
      </c>
      <c r="P5073" t="str">
        <f>"3030L"</f>
        <v>3030L</v>
      </c>
      <c r="Q5073" t="str">
        <f t="shared" si="772"/>
        <v>0101</v>
      </c>
      <c r="R5073">
        <v>3030</v>
      </c>
      <c r="S5073" t="str">
        <f t="shared" si="769"/>
        <v>7180</v>
      </c>
      <c r="T5073" t="s">
        <v>4083</v>
      </c>
      <c r="U5073" t="s">
        <v>102</v>
      </c>
    </row>
    <row r="5074" spans="1:21" ht="15" customHeight="1" x14ac:dyDescent="0.3">
      <c r="A5074" t="s">
        <v>179</v>
      </c>
      <c r="B5074" t="str">
        <f>"00067488"</f>
        <v>00067488</v>
      </c>
      <c r="C5074" t="s">
        <v>4255</v>
      </c>
      <c r="D5074" t="s">
        <v>957</v>
      </c>
      <c r="E5074" t="str">
        <f>"00056594"</f>
        <v>00056594</v>
      </c>
      <c r="F5074">
        <v>0</v>
      </c>
      <c r="G5074" s="243">
        <v>40042</v>
      </c>
      <c r="H5074" t="s">
        <v>182</v>
      </c>
      <c r="I5074">
        <v>15</v>
      </c>
      <c r="J5074">
        <v>4</v>
      </c>
      <c r="K5074">
        <v>1</v>
      </c>
      <c r="L5074">
        <v>54725</v>
      </c>
      <c r="M5074" t="str">
        <f t="shared" si="774"/>
        <v>13</v>
      </c>
      <c r="N5074" t="s">
        <v>3323</v>
      </c>
      <c r="O5074" t="str">
        <f t="shared" si="771"/>
        <v>71811</v>
      </c>
      <c r="P5074" t="str">
        <f t="shared" ref="P5074:P5082" si="775">"2100L"</f>
        <v>2100L</v>
      </c>
      <c r="Q5074" t="str">
        <f t="shared" si="772"/>
        <v>0101</v>
      </c>
      <c r="R5074">
        <v>2100</v>
      </c>
      <c r="S5074" t="str">
        <f t="shared" si="769"/>
        <v>7180</v>
      </c>
      <c r="T5074" t="s">
        <v>4083</v>
      </c>
      <c r="U5074" t="s">
        <v>102</v>
      </c>
    </row>
    <row r="5075" spans="1:21" ht="15" customHeight="1" x14ac:dyDescent="0.3">
      <c r="A5075" t="s">
        <v>179</v>
      </c>
      <c r="B5075" t="str">
        <f>"00067489"</f>
        <v>00067489</v>
      </c>
      <c r="C5075" t="s">
        <v>4263</v>
      </c>
      <c r="D5075" t="s">
        <v>958</v>
      </c>
      <c r="E5075" t="str">
        <f>"00046549"</f>
        <v>00046549</v>
      </c>
      <c r="F5075">
        <v>0</v>
      </c>
      <c r="G5075" s="243">
        <v>40405</v>
      </c>
      <c r="H5075" t="s">
        <v>182</v>
      </c>
      <c r="I5075">
        <v>15</v>
      </c>
      <c r="J5075">
        <v>10</v>
      </c>
      <c r="K5075">
        <v>1</v>
      </c>
      <c r="L5075">
        <v>78273</v>
      </c>
      <c r="M5075" t="str">
        <f t="shared" si="774"/>
        <v>13</v>
      </c>
      <c r="N5075" t="s">
        <v>3323</v>
      </c>
      <c r="O5075" t="str">
        <f t="shared" si="771"/>
        <v>71811</v>
      </c>
      <c r="P5075" t="str">
        <f t="shared" si="775"/>
        <v>2100L</v>
      </c>
      <c r="Q5075" t="str">
        <f t="shared" si="772"/>
        <v>0101</v>
      </c>
      <c r="R5075">
        <v>2100</v>
      </c>
      <c r="S5075" t="str">
        <f t="shared" si="769"/>
        <v>7180</v>
      </c>
      <c r="T5075" t="s">
        <v>4083</v>
      </c>
      <c r="U5075" t="s">
        <v>102</v>
      </c>
    </row>
    <row r="5076" spans="1:21" ht="15" customHeight="1" x14ac:dyDescent="0.3">
      <c r="A5076" t="s">
        <v>179</v>
      </c>
      <c r="B5076" t="str">
        <f>"00067490"</f>
        <v>00067490</v>
      </c>
      <c r="C5076" t="s">
        <v>4253</v>
      </c>
      <c r="D5076" t="s">
        <v>2022</v>
      </c>
      <c r="E5076" t="str">
        <f>"00052164"</f>
        <v>00052164</v>
      </c>
      <c r="F5076">
        <v>0</v>
      </c>
      <c r="G5076" s="243">
        <v>35331</v>
      </c>
      <c r="H5076" t="s">
        <v>182</v>
      </c>
      <c r="I5076">
        <v>15</v>
      </c>
      <c r="J5076">
        <v>12</v>
      </c>
      <c r="K5076">
        <v>1</v>
      </c>
      <c r="L5076">
        <v>92613</v>
      </c>
      <c r="M5076" t="str">
        <f t="shared" si="774"/>
        <v>13</v>
      </c>
      <c r="N5076" t="s">
        <v>3370</v>
      </c>
      <c r="O5076" t="str">
        <f t="shared" si="771"/>
        <v>71811</v>
      </c>
      <c r="P5076" t="str">
        <f t="shared" si="775"/>
        <v>2100L</v>
      </c>
      <c r="Q5076" t="str">
        <f t="shared" si="772"/>
        <v>0101</v>
      </c>
      <c r="R5076">
        <v>2100</v>
      </c>
      <c r="S5076" t="str">
        <f t="shared" si="769"/>
        <v>7180</v>
      </c>
      <c r="T5076" t="s">
        <v>4083</v>
      </c>
      <c r="U5076" t="s">
        <v>102</v>
      </c>
    </row>
    <row r="5077" spans="1:21" ht="15" customHeight="1" x14ac:dyDescent="0.3">
      <c r="A5077" t="s">
        <v>179</v>
      </c>
      <c r="B5077" t="str">
        <f>"00067492"</f>
        <v>00067492</v>
      </c>
      <c r="C5077" t="s">
        <v>4253</v>
      </c>
      <c r="D5077" t="s">
        <v>4032</v>
      </c>
      <c r="E5077" t="str">
        <f>"00052587"</f>
        <v>00052587</v>
      </c>
      <c r="F5077">
        <v>0</v>
      </c>
      <c r="G5077" s="243">
        <v>27500</v>
      </c>
      <c r="H5077" t="s">
        <v>182</v>
      </c>
      <c r="I5077">
        <v>15</v>
      </c>
      <c r="J5077">
        <v>16</v>
      </c>
      <c r="K5077">
        <v>1</v>
      </c>
      <c r="L5077">
        <v>103347</v>
      </c>
      <c r="M5077" t="str">
        <f t="shared" si="774"/>
        <v>13</v>
      </c>
      <c r="N5077" t="s">
        <v>3370</v>
      </c>
      <c r="O5077" t="str">
        <f t="shared" si="771"/>
        <v>71811</v>
      </c>
      <c r="P5077" t="str">
        <f t="shared" si="775"/>
        <v>2100L</v>
      </c>
      <c r="Q5077" t="str">
        <f t="shared" si="772"/>
        <v>0101</v>
      </c>
      <c r="R5077">
        <v>2100</v>
      </c>
      <c r="S5077" t="str">
        <f t="shared" si="769"/>
        <v>7180</v>
      </c>
      <c r="T5077" t="s">
        <v>4083</v>
      </c>
      <c r="U5077" t="s">
        <v>102</v>
      </c>
    </row>
    <row r="5078" spans="1:21" ht="15" customHeight="1" x14ac:dyDescent="0.3">
      <c r="A5078" t="s">
        <v>179</v>
      </c>
      <c r="B5078" t="str">
        <f>"00068433"</f>
        <v>00068433</v>
      </c>
      <c r="C5078" t="s">
        <v>4253</v>
      </c>
      <c r="D5078" t="s">
        <v>2961</v>
      </c>
      <c r="E5078" t="str">
        <f>"00049684"</f>
        <v>00049684</v>
      </c>
      <c r="F5078">
        <v>0</v>
      </c>
      <c r="G5078" s="243">
        <v>39495</v>
      </c>
      <c r="H5078" t="s">
        <v>182</v>
      </c>
      <c r="I5078">
        <v>15</v>
      </c>
      <c r="J5078">
        <v>7</v>
      </c>
      <c r="K5078">
        <v>1</v>
      </c>
      <c r="L5078">
        <v>69132</v>
      </c>
      <c r="M5078" t="str">
        <f t="shared" si="774"/>
        <v>13</v>
      </c>
      <c r="N5078" t="s">
        <v>3323</v>
      </c>
      <c r="O5078" t="str">
        <f t="shared" si="771"/>
        <v>71811</v>
      </c>
      <c r="P5078" t="str">
        <f t="shared" si="775"/>
        <v>2100L</v>
      </c>
      <c r="Q5078" t="str">
        <f t="shared" si="772"/>
        <v>0101</v>
      </c>
      <c r="R5078">
        <v>2100</v>
      </c>
      <c r="S5078" t="str">
        <f t="shared" si="769"/>
        <v>7180</v>
      </c>
      <c r="T5078" t="s">
        <v>4083</v>
      </c>
      <c r="U5078" t="s">
        <v>102</v>
      </c>
    </row>
    <row r="5079" spans="1:21" ht="15" customHeight="1" x14ac:dyDescent="0.3">
      <c r="A5079" t="s">
        <v>179</v>
      </c>
      <c r="B5079" t="str">
        <f>"00070805"</f>
        <v>00070805</v>
      </c>
      <c r="C5079" t="s">
        <v>4290</v>
      </c>
      <c r="D5079" t="s">
        <v>5789</v>
      </c>
      <c r="E5079" t="str">
        <f>"00022890"</f>
        <v>00022890</v>
      </c>
      <c r="F5079">
        <v>2</v>
      </c>
      <c r="G5079" s="243">
        <v>40322</v>
      </c>
      <c r="H5079" t="s">
        <v>182</v>
      </c>
      <c r="I5079">
        <v>4</v>
      </c>
      <c r="J5079">
        <v>8</v>
      </c>
      <c r="K5079">
        <v>0.71</v>
      </c>
      <c r="L5079">
        <v>27329.75</v>
      </c>
      <c r="M5079" t="str">
        <f t="shared" si="774"/>
        <v>13</v>
      </c>
      <c r="N5079" t="s">
        <v>3323</v>
      </c>
      <c r="O5079" t="str">
        <f t="shared" si="771"/>
        <v>71811</v>
      </c>
      <c r="P5079" t="str">
        <f t="shared" si="775"/>
        <v>2100L</v>
      </c>
      <c r="Q5079" t="str">
        <f t="shared" si="772"/>
        <v>0101</v>
      </c>
      <c r="R5079">
        <v>2100</v>
      </c>
      <c r="S5079" t="str">
        <f t="shared" si="769"/>
        <v>7180</v>
      </c>
      <c r="T5079" t="s">
        <v>4083</v>
      </c>
      <c r="U5079" t="s">
        <v>102</v>
      </c>
    </row>
    <row r="5080" spans="1:21" ht="15" customHeight="1" x14ac:dyDescent="0.3">
      <c r="A5080" t="s">
        <v>179</v>
      </c>
      <c r="B5080" t="str">
        <f>"00072493"</f>
        <v>00072493</v>
      </c>
      <c r="C5080" t="s">
        <v>4290</v>
      </c>
      <c r="D5080" t="s">
        <v>5790</v>
      </c>
      <c r="E5080" t="str">
        <f>"00066952"</f>
        <v>00066952</v>
      </c>
      <c r="F5080">
        <v>0</v>
      </c>
      <c r="G5080" s="243">
        <v>40848</v>
      </c>
      <c r="H5080" t="s">
        <v>182</v>
      </c>
      <c r="I5080">
        <v>4</v>
      </c>
      <c r="J5080">
        <v>10</v>
      </c>
      <c r="K5080">
        <v>0.71</v>
      </c>
      <c r="L5080">
        <v>28721</v>
      </c>
      <c r="M5080" t="str">
        <f t="shared" si="774"/>
        <v>13</v>
      </c>
      <c r="N5080" t="s">
        <v>3323</v>
      </c>
      <c r="O5080" t="str">
        <f t="shared" si="771"/>
        <v>71811</v>
      </c>
      <c r="P5080" t="str">
        <f t="shared" si="775"/>
        <v>2100L</v>
      </c>
      <c r="Q5080" t="str">
        <f t="shared" si="772"/>
        <v>0101</v>
      </c>
      <c r="R5080">
        <v>2100</v>
      </c>
      <c r="S5080" t="str">
        <f t="shared" si="769"/>
        <v>7180</v>
      </c>
      <c r="T5080" t="s">
        <v>4083</v>
      </c>
      <c r="U5080" t="s">
        <v>102</v>
      </c>
    </row>
    <row r="5081" spans="1:21" ht="15" customHeight="1" x14ac:dyDescent="0.3">
      <c r="A5081" t="s">
        <v>179</v>
      </c>
      <c r="B5081" t="str">
        <f>"00072598"</f>
        <v>00072598</v>
      </c>
      <c r="C5081" t="s">
        <v>4290</v>
      </c>
      <c r="D5081" t="s">
        <v>5791</v>
      </c>
      <c r="E5081" t="str">
        <f>"00066655"</f>
        <v>00066655</v>
      </c>
      <c r="F5081">
        <v>0</v>
      </c>
      <c r="G5081" s="243">
        <v>40805</v>
      </c>
      <c r="H5081" t="s">
        <v>182</v>
      </c>
      <c r="I5081">
        <v>4</v>
      </c>
      <c r="J5081">
        <v>1</v>
      </c>
      <c r="K5081">
        <v>0.71</v>
      </c>
      <c r="L5081">
        <v>22454.25</v>
      </c>
      <c r="M5081" t="str">
        <f t="shared" si="774"/>
        <v>13</v>
      </c>
      <c r="N5081" t="s">
        <v>3323</v>
      </c>
      <c r="O5081" t="str">
        <f t="shared" si="771"/>
        <v>71811</v>
      </c>
      <c r="P5081" t="str">
        <f t="shared" si="775"/>
        <v>2100L</v>
      </c>
      <c r="Q5081" t="str">
        <f t="shared" si="772"/>
        <v>0101</v>
      </c>
      <c r="R5081">
        <v>2100</v>
      </c>
      <c r="S5081" t="str">
        <f t="shared" si="769"/>
        <v>7180</v>
      </c>
      <c r="T5081" t="s">
        <v>4083</v>
      </c>
      <c r="U5081" t="s">
        <v>102</v>
      </c>
    </row>
    <row r="5082" spans="1:21" ht="15" customHeight="1" x14ac:dyDescent="0.3">
      <c r="A5082" t="s">
        <v>179</v>
      </c>
      <c r="B5082" t="str">
        <f>"00073885"</f>
        <v>00073885</v>
      </c>
      <c r="C5082" t="s">
        <v>200</v>
      </c>
      <c r="D5082" t="s">
        <v>4088</v>
      </c>
      <c r="E5082" t="str">
        <f>"00044939"</f>
        <v>00044939</v>
      </c>
      <c r="F5082">
        <v>0</v>
      </c>
      <c r="G5082" s="243">
        <v>37916</v>
      </c>
      <c r="H5082" t="s">
        <v>182</v>
      </c>
      <c r="I5082">
        <v>15</v>
      </c>
      <c r="J5082">
        <v>15</v>
      </c>
      <c r="K5082">
        <v>1</v>
      </c>
      <c r="L5082">
        <v>98285</v>
      </c>
      <c r="M5082" t="str">
        <f t="shared" si="774"/>
        <v>13</v>
      </c>
      <c r="N5082" t="s">
        <v>3323</v>
      </c>
      <c r="O5082" t="str">
        <f t="shared" si="771"/>
        <v>71811</v>
      </c>
      <c r="P5082" t="str">
        <f t="shared" si="775"/>
        <v>2100L</v>
      </c>
      <c r="Q5082" t="str">
        <f t="shared" si="772"/>
        <v>0101</v>
      </c>
      <c r="R5082">
        <v>2100</v>
      </c>
      <c r="S5082" t="str">
        <f t="shared" si="769"/>
        <v>7180</v>
      </c>
      <c r="T5082" t="s">
        <v>4083</v>
      </c>
      <c r="U5082" t="s">
        <v>102</v>
      </c>
    </row>
    <row r="5083" spans="1:21" ht="15" customHeight="1" x14ac:dyDescent="0.3">
      <c r="A5083" t="s">
        <v>179</v>
      </c>
      <c r="B5083" t="str">
        <f>"00075556"</f>
        <v>00075556</v>
      </c>
      <c r="C5083" t="s">
        <v>3670</v>
      </c>
      <c r="H5083" t="s">
        <v>170</v>
      </c>
      <c r="I5083">
        <v>8</v>
      </c>
      <c r="J5083">
        <v>0</v>
      </c>
      <c r="K5083">
        <v>1</v>
      </c>
      <c r="L5083">
        <v>82397</v>
      </c>
      <c r="M5083" t="str">
        <f t="shared" si="774"/>
        <v>13</v>
      </c>
      <c r="N5083" t="s">
        <v>3370</v>
      </c>
      <c r="O5083" t="str">
        <f t="shared" si="771"/>
        <v>71811</v>
      </c>
      <c r="P5083" t="str">
        <f>"1501L"</f>
        <v>1501L</v>
      </c>
      <c r="Q5083" t="str">
        <f t="shared" si="772"/>
        <v>0101</v>
      </c>
      <c r="R5083">
        <v>1501</v>
      </c>
      <c r="S5083" t="str">
        <f t="shared" ref="S5083:S5095" si="776">"7180"</f>
        <v>7180</v>
      </c>
      <c r="T5083" t="s">
        <v>4083</v>
      </c>
      <c r="U5083" t="s">
        <v>102</v>
      </c>
    </row>
    <row r="5084" spans="1:21" ht="15" customHeight="1" x14ac:dyDescent="0.3">
      <c r="A5084" t="s">
        <v>179</v>
      </c>
      <c r="B5084" t="str">
        <f>"00075956"</f>
        <v>00075956</v>
      </c>
      <c r="C5084" t="s">
        <v>4333</v>
      </c>
      <c r="D5084" t="s">
        <v>5792</v>
      </c>
      <c r="E5084" t="str">
        <f>"00034128"</f>
        <v>00034128</v>
      </c>
      <c r="F5084">
        <v>0</v>
      </c>
      <c r="G5084" s="243">
        <v>40973</v>
      </c>
      <c r="H5084" t="s">
        <v>182</v>
      </c>
      <c r="I5084">
        <v>12</v>
      </c>
      <c r="J5084">
        <v>4</v>
      </c>
      <c r="K5084">
        <v>1</v>
      </c>
      <c r="L5084">
        <v>65427</v>
      </c>
      <c r="M5084" t="str">
        <f t="shared" si="774"/>
        <v>13</v>
      </c>
      <c r="N5084" t="s">
        <v>3370</v>
      </c>
      <c r="O5084" t="str">
        <f t="shared" si="771"/>
        <v>71811</v>
      </c>
      <c r="P5084" t="str">
        <f>"1502L"</f>
        <v>1502L</v>
      </c>
      <c r="Q5084" t="str">
        <f t="shared" si="772"/>
        <v>0101</v>
      </c>
      <c r="R5084">
        <v>1502</v>
      </c>
      <c r="S5084" t="str">
        <f t="shared" si="776"/>
        <v>7180</v>
      </c>
      <c r="T5084" t="s">
        <v>4083</v>
      </c>
      <c r="U5084" t="s">
        <v>102</v>
      </c>
    </row>
    <row r="5085" spans="1:21" ht="15" customHeight="1" x14ac:dyDescent="0.3">
      <c r="A5085" t="s">
        <v>179</v>
      </c>
      <c r="B5085" t="str">
        <f>"00075967"</f>
        <v>00075967</v>
      </c>
      <c r="C5085" t="s">
        <v>4333</v>
      </c>
      <c r="D5085" t="s">
        <v>2023</v>
      </c>
      <c r="E5085" t="str">
        <f>"00063411"</f>
        <v>00063411</v>
      </c>
      <c r="F5085">
        <v>0</v>
      </c>
      <c r="G5085" s="243">
        <v>40441</v>
      </c>
      <c r="H5085" t="s">
        <v>182</v>
      </c>
      <c r="I5085">
        <v>12</v>
      </c>
      <c r="J5085">
        <v>1</v>
      </c>
      <c r="K5085">
        <v>1</v>
      </c>
      <c r="L5085">
        <v>59480</v>
      </c>
      <c r="M5085" t="str">
        <f t="shared" si="774"/>
        <v>13</v>
      </c>
      <c r="N5085" t="s">
        <v>3370</v>
      </c>
      <c r="O5085" t="str">
        <f t="shared" si="771"/>
        <v>71811</v>
      </c>
      <c r="P5085" t="str">
        <f>"1502L"</f>
        <v>1502L</v>
      </c>
      <c r="Q5085" t="str">
        <f t="shared" si="772"/>
        <v>0101</v>
      </c>
      <c r="R5085">
        <v>1502</v>
      </c>
      <c r="S5085" t="str">
        <f t="shared" si="776"/>
        <v>7180</v>
      </c>
      <c r="T5085" t="s">
        <v>4083</v>
      </c>
      <c r="U5085" t="s">
        <v>102</v>
      </c>
    </row>
    <row r="5086" spans="1:21" ht="15" customHeight="1" x14ac:dyDescent="0.3">
      <c r="A5086" t="s">
        <v>179</v>
      </c>
      <c r="B5086" t="str">
        <f>"00075978"</f>
        <v>00075978</v>
      </c>
      <c r="C5086" t="s">
        <v>4306</v>
      </c>
      <c r="D5086" t="s">
        <v>5793</v>
      </c>
      <c r="E5086" t="str">
        <f>"00058016"</f>
        <v>00058016</v>
      </c>
      <c r="F5086">
        <v>0</v>
      </c>
      <c r="G5086" s="243">
        <v>40046</v>
      </c>
      <c r="H5086" t="s">
        <v>182</v>
      </c>
      <c r="I5086">
        <v>9</v>
      </c>
      <c r="J5086">
        <v>10</v>
      </c>
      <c r="K5086">
        <v>1</v>
      </c>
      <c r="L5086">
        <v>42730</v>
      </c>
      <c r="M5086" t="str">
        <f t="shared" si="774"/>
        <v>13</v>
      </c>
      <c r="N5086" t="s">
        <v>3370</v>
      </c>
      <c r="O5086" t="str">
        <f t="shared" si="771"/>
        <v>71811</v>
      </c>
      <c r="P5086" t="str">
        <f>"1502L"</f>
        <v>1502L</v>
      </c>
      <c r="Q5086" t="str">
        <f t="shared" si="772"/>
        <v>0101</v>
      </c>
      <c r="R5086">
        <v>1502</v>
      </c>
      <c r="S5086" t="str">
        <f t="shared" si="776"/>
        <v>7180</v>
      </c>
      <c r="T5086" t="s">
        <v>4083</v>
      </c>
      <c r="U5086" t="s">
        <v>102</v>
      </c>
    </row>
    <row r="5087" spans="1:21" ht="15" customHeight="1" x14ac:dyDescent="0.3">
      <c r="A5087" t="s">
        <v>179</v>
      </c>
      <c r="B5087" t="str">
        <f>"00075989"</f>
        <v>00075989</v>
      </c>
      <c r="C5087" t="s">
        <v>4306</v>
      </c>
      <c r="D5087" t="s">
        <v>5794</v>
      </c>
      <c r="E5087" t="str">
        <f>"00051571"</f>
        <v>00051571</v>
      </c>
      <c r="F5087">
        <v>0</v>
      </c>
      <c r="G5087" s="243">
        <v>34974</v>
      </c>
      <c r="H5087" t="s">
        <v>182</v>
      </c>
      <c r="I5087">
        <v>9</v>
      </c>
      <c r="J5087">
        <v>4</v>
      </c>
      <c r="K5087">
        <v>1</v>
      </c>
      <c r="L5087">
        <v>36352</v>
      </c>
      <c r="M5087" t="str">
        <f t="shared" si="774"/>
        <v>13</v>
      </c>
      <c r="N5087" t="s">
        <v>3370</v>
      </c>
      <c r="O5087" t="str">
        <f t="shared" si="771"/>
        <v>71811</v>
      </c>
      <c r="P5087" t="str">
        <f>"1502L"</f>
        <v>1502L</v>
      </c>
      <c r="Q5087" t="str">
        <f t="shared" si="772"/>
        <v>0101</v>
      </c>
      <c r="R5087">
        <v>1502</v>
      </c>
      <c r="S5087" t="str">
        <f t="shared" si="776"/>
        <v>7180</v>
      </c>
      <c r="T5087" t="s">
        <v>4083</v>
      </c>
      <c r="U5087" t="s">
        <v>102</v>
      </c>
    </row>
    <row r="5088" spans="1:21" ht="15" customHeight="1" x14ac:dyDescent="0.3">
      <c r="A5088" t="s">
        <v>179</v>
      </c>
      <c r="B5088" t="str">
        <f>"00076013"</f>
        <v>00076013</v>
      </c>
      <c r="C5088" t="s">
        <v>4410</v>
      </c>
      <c r="D5088" t="s">
        <v>2144</v>
      </c>
      <c r="E5088" t="str">
        <f>"00053676"</f>
        <v>00053676</v>
      </c>
      <c r="F5088">
        <v>0</v>
      </c>
      <c r="G5088" s="243">
        <v>37925</v>
      </c>
      <c r="H5088" t="s">
        <v>182</v>
      </c>
      <c r="I5088">
        <v>5</v>
      </c>
      <c r="J5088">
        <v>4</v>
      </c>
      <c r="K5088">
        <v>1</v>
      </c>
      <c r="L5088">
        <v>31174</v>
      </c>
      <c r="M5088" t="str">
        <f t="shared" si="774"/>
        <v>13</v>
      </c>
      <c r="N5088" t="s">
        <v>3370</v>
      </c>
      <c r="O5088" t="str">
        <f t="shared" si="771"/>
        <v>71811</v>
      </c>
      <c r="P5088" t="str">
        <f t="shared" ref="P5088:P5093" si="777">"2100L"</f>
        <v>2100L</v>
      </c>
      <c r="Q5088" t="str">
        <f t="shared" si="772"/>
        <v>0101</v>
      </c>
      <c r="R5088">
        <v>2100</v>
      </c>
      <c r="S5088" t="str">
        <f t="shared" si="776"/>
        <v>7180</v>
      </c>
      <c r="T5088" t="s">
        <v>4083</v>
      </c>
      <c r="U5088" t="s">
        <v>102</v>
      </c>
    </row>
    <row r="5089" spans="1:21" ht="15" customHeight="1" x14ac:dyDescent="0.3">
      <c r="A5089" t="s">
        <v>179</v>
      </c>
      <c r="B5089" t="str">
        <f>"00076014"</f>
        <v>00076014</v>
      </c>
      <c r="C5089" t="s">
        <v>4410</v>
      </c>
      <c r="D5089" t="s">
        <v>5795</v>
      </c>
      <c r="E5089" t="str">
        <f>"00062985"</f>
        <v>00062985</v>
      </c>
      <c r="F5089">
        <v>0</v>
      </c>
      <c r="G5089" s="243">
        <v>41133</v>
      </c>
      <c r="H5089" t="s">
        <v>182</v>
      </c>
      <c r="I5089">
        <v>5</v>
      </c>
      <c r="J5089">
        <v>10</v>
      </c>
      <c r="K5089">
        <v>1</v>
      </c>
      <c r="L5089">
        <v>36549</v>
      </c>
      <c r="M5089" t="str">
        <f t="shared" si="774"/>
        <v>13</v>
      </c>
      <c r="N5089" t="s">
        <v>3323</v>
      </c>
      <c r="O5089" t="str">
        <f t="shared" si="771"/>
        <v>71811</v>
      </c>
      <c r="P5089" t="str">
        <f t="shared" si="777"/>
        <v>2100L</v>
      </c>
      <c r="Q5089" t="str">
        <f t="shared" si="772"/>
        <v>0101</v>
      </c>
      <c r="R5089">
        <v>2100</v>
      </c>
      <c r="S5089" t="str">
        <f t="shared" si="776"/>
        <v>7180</v>
      </c>
      <c r="T5089" t="s">
        <v>4083</v>
      </c>
      <c r="U5089" t="s">
        <v>102</v>
      </c>
    </row>
    <row r="5090" spans="1:21" ht="15" customHeight="1" x14ac:dyDescent="0.3">
      <c r="A5090" t="s">
        <v>179</v>
      </c>
      <c r="B5090" t="str">
        <f>"00076015"</f>
        <v>00076015</v>
      </c>
      <c r="C5090" t="s">
        <v>4410</v>
      </c>
      <c r="D5090" t="s">
        <v>1826</v>
      </c>
      <c r="E5090" t="str">
        <f>"00046229"</f>
        <v>00046229</v>
      </c>
      <c r="F5090">
        <v>0</v>
      </c>
      <c r="G5090" s="243">
        <v>39776</v>
      </c>
      <c r="H5090" t="s">
        <v>182</v>
      </c>
      <c r="I5090">
        <v>5</v>
      </c>
      <c r="J5090">
        <v>4</v>
      </c>
      <c r="K5090">
        <v>1</v>
      </c>
      <c r="L5090">
        <v>31174</v>
      </c>
      <c r="M5090" t="str">
        <f t="shared" si="774"/>
        <v>13</v>
      </c>
      <c r="N5090" t="s">
        <v>3370</v>
      </c>
      <c r="O5090" t="str">
        <f t="shared" si="771"/>
        <v>71811</v>
      </c>
      <c r="P5090" t="str">
        <f t="shared" si="777"/>
        <v>2100L</v>
      </c>
      <c r="Q5090" t="str">
        <f t="shared" si="772"/>
        <v>0101</v>
      </c>
      <c r="R5090">
        <v>2100</v>
      </c>
      <c r="S5090" t="str">
        <f t="shared" si="776"/>
        <v>7180</v>
      </c>
      <c r="T5090" t="s">
        <v>4083</v>
      </c>
      <c r="U5090" t="s">
        <v>102</v>
      </c>
    </row>
    <row r="5091" spans="1:21" ht="15" customHeight="1" x14ac:dyDescent="0.3">
      <c r="A5091" t="s">
        <v>179</v>
      </c>
      <c r="B5091" t="str">
        <f>"00076016"</f>
        <v>00076016</v>
      </c>
      <c r="C5091" t="s">
        <v>4253</v>
      </c>
      <c r="D5091" t="s">
        <v>4098</v>
      </c>
      <c r="E5091" t="str">
        <f>"00053755"</f>
        <v>00053755</v>
      </c>
      <c r="F5091">
        <v>1</v>
      </c>
      <c r="G5091" s="243">
        <v>40755</v>
      </c>
      <c r="H5091" t="s">
        <v>182</v>
      </c>
      <c r="I5091">
        <v>15</v>
      </c>
      <c r="J5091">
        <v>3</v>
      </c>
      <c r="K5091">
        <v>0.5</v>
      </c>
      <c r="L5091">
        <v>52777</v>
      </c>
      <c r="M5091" t="str">
        <f t="shared" si="774"/>
        <v>13</v>
      </c>
      <c r="N5091" t="s">
        <v>3370</v>
      </c>
      <c r="O5091" t="str">
        <f t="shared" si="771"/>
        <v>71811</v>
      </c>
      <c r="P5091" t="str">
        <f t="shared" si="777"/>
        <v>2100L</v>
      </c>
      <c r="Q5091" t="str">
        <f t="shared" si="772"/>
        <v>0101</v>
      </c>
      <c r="R5091">
        <v>2100</v>
      </c>
      <c r="S5091" t="str">
        <f t="shared" si="776"/>
        <v>7180</v>
      </c>
      <c r="T5091" t="s">
        <v>4083</v>
      </c>
      <c r="U5091" t="s">
        <v>102</v>
      </c>
    </row>
    <row r="5092" spans="1:21" ht="15" customHeight="1" x14ac:dyDescent="0.3">
      <c r="A5092" t="s">
        <v>179</v>
      </c>
      <c r="B5092" t="str">
        <f>"00076017"</f>
        <v>00076017</v>
      </c>
      <c r="C5092" t="s">
        <v>4438</v>
      </c>
      <c r="D5092" t="s">
        <v>5796</v>
      </c>
      <c r="E5092" t="str">
        <f>"00069821"</f>
        <v>00069821</v>
      </c>
      <c r="F5092">
        <v>0</v>
      </c>
      <c r="G5092" s="243">
        <v>41133</v>
      </c>
      <c r="H5092" t="s">
        <v>182</v>
      </c>
      <c r="I5092">
        <v>11</v>
      </c>
      <c r="J5092">
        <v>2</v>
      </c>
      <c r="K5092">
        <v>1</v>
      </c>
      <c r="L5092">
        <v>62560</v>
      </c>
      <c r="M5092" t="str">
        <f t="shared" si="774"/>
        <v>13</v>
      </c>
      <c r="N5092" t="s">
        <v>3323</v>
      </c>
      <c r="O5092" t="str">
        <f t="shared" si="771"/>
        <v>71811</v>
      </c>
      <c r="P5092" t="str">
        <f t="shared" si="777"/>
        <v>2100L</v>
      </c>
      <c r="Q5092" t="str">
        <f t="shared" si="772"/>
        <v>0101</v>
      </c>
      <c r="R5092">
        <v>2100</v>
      </c>
      <c r="S5092" t="str">
        <f t="shared" si="776"/>
        <v>7180</v>
      </c>
      <c r="T5092" t="s">
        <v>4083</v>
      </c>
      <c r="U5092" t="s">
        <v>102</v>
      </c>
    </row>
    <row r="5093" spans="1:21" ht="15" customHeight="1" x14ac:dyDescent="0.3">
      <c r="A5093" t="s">
        <v>179</v>
      </c>
      <c r="B5093" t="str">
        <f>"00076018"</f>
        <v>00076018</v>
      </c>
      <c r="C5093" t="s">
        <v>4253</v>
      </c>
      <c r="H5093" t="s">
        <v>170</v>
      </c>
      <c r="I5093">
        <v>15</v>
      </c>
      <c r="J5093">
        <v>0</v>
      </c>
      <c r="K5093">
        <v>1</v>
      </c>
      <c r="L5093">
        <v>51539</v>
      </c>
      <c r="M5093" t="str">
        <f t="shared" si="774"/>
        <v>13</v>
      </c>
      <c r="N5093" t="s">
        <v>3323</v>
      </c>
      <c r="O5093" t="str">
        <f t="shared" si="771"/>
        <v>71811</v>
      </c>
      <c r="P5093" t="str">
        <f t="shared" si="777"/>
        <v>2100L</v>
      </c>
      <c r="Q5093" t="str">
        <f t="shared" si="772"/>
        <v>0101</v>
      </c>
      <c r="R5093">
        <v>2100</v>
      </c>
      <c r="S5093" t="str">
        <f t="shared" si="776"/>
        <v>7180</v>
      </c>
      <c r="T5093" t="s">
        <v>4083</v>
      </c>
      <c r="U5093" t="s">
        <v>102</v>
      </c>
    </row>
    <row r="5094" spans="1:21" ht="15" customHeight="1" x14ac:dyDescent="0.3">
      <c r="A5094" t="s">
        <v>179</v>
      </c>
      <c r="B5094" t="str">
        <f>"00076788"</f>
        <v>00076788</v>
      </c>
      <c r="C5094" t="s">
        <v>200</v>
      </c>
      <c r="H5094" t="s">
        <v>170</v>
      </c>
      <c r="I5094">
        <v>15</v>
      </c>
      <c r="J5094">
        <v>0</v>
      </c>
      <c r="K5094">
        <v>1</v>
      </c>
      <c r="L5094">
        <v>54975</v>
      </c>
      <c r="M5094" t="str">
        <f t="shared" si="774"/>
        <v>13</v>
      </c>
      <c r="N5094" t="s">
        <v>3370</v>
      </c>
      <c r="O5094" t="str">
        <f>"7180G"</f>
        <v>7180G</v>
      </c>
      <c r="P5094" t="str">
        <f>"5600F"</f>
        <v>5600F</v>
      </c>
      <c r="Q5094" t="str">
        <f>"8200"</f>
        <v>8200</v>
      </c>
      <c r="R5094">
        <v>5600</v>
      </c>
      <c r="S5094" t="str">
        <f t="shared" si="776"/>
        <v>7180</v>
      </c>
      <c r="T5094" t="s">
        <v>4083</v>
      </c>
      <c r="U5094" t="s">
        <v>102</v>
      </c>
    </row>
    <row r="5095" spans="1:21" ht="15" customHeight="1" x14ac:dyDescent="0.3">
      <c r="A5095" t="s">
        <v>179</v>
      </c>
      <c r="B5095" t="str">
        <f>"00076825"</f>
        <v>00076825</v>
      </c>
      <c r="C5095" t="s">
        <v>5657</v>
      </c>
      <c r="D5095" t="s">
        <v>5797</v>
      </c>
      <c r="E5095" t="str">
        <f>"00070081"</f>
        <v>00070081</v>
      </c>
      <c r="F5095">
        <v>0</v>
      </c>
      <c r="G5095" s="243">
        <v>41133</v>
      </c>
      <c r="H5095" t="s">
        <v>182</v>
      </c>
      <c r="I5095">
        <v>15</v>
      </c>
      <c r="J5095">
        <v>17</v>
      </c>
      <c r="K5095">
        <v>1</v>
      </c>
      <c r="L5095">
        <v>95795</v>
      </c>
      <c r="M5095" t="str">
        <f t="shared" si="774"/>
        <v>13</v>
      </c>
      <c r="N5095" t="s">
        <v>3370</v>
      </c>
      <c r="O5095" t="str">
        <f>"71811"</f>
        <v>71811</v>
      </c>
      <c r="P5095" t="str">
        <f>"2100L"</f>
        <v>2100L</v>
      </c>
      <c r="Q5095" t="str">
        <f t="shared" ref="Q5095:Q5122" si="778">"0101"</f>
        <v>0101</v>
      </c>
      <c r="R5095">
        <v>2100</v>
      </c>
      <c r="S5095" t="str">
        <f t="shared" si="776"/>
        <v>7180</v>
      </c>
      <c r="T5095" t="s">
        <v>4083</v>
      </c>
      <c r="U5095" t="s">
        <v>102</v>
      </c>
    </row>
    <row r="5096" spans="1:21" ht="15" customHeight="1" x14ac:dyDescent="0.3">
      <c r="A5096" t="s">
        <v>179</v>
      </c>
      <c r="B5096" t="str">
        <f>"00052233"</f>
        <v>00052233</v>
      </c>
      <c r="C5096" t="s">
        <v>4260</v>
      </c>
      <c r="D5096" t="s">
        <v>332</v>
      </c>
      <c r="E5096" t="str">
        <f>"00047729"</f>
        <v>00047729</v>
      </c>
      <c r="F5096">
        <v>0</v>
      </c>
      <c r="G5096" s="243">
        <v>36087</v>
      </c>
      <c r="H5096" t="s">
        <v>182</v>
      </c>
      <c r="I5096">
        <v>15</v>
      </c>
      <c r="J5096">
        <v>15</v>
      </c>
      <c r="K5096">
        <v>1</v>
      </c>
      <c r="L5096">
        <v>98285</v>
      </c>
      <c r="M5096" t="str">
        <f t="shared" si="774"/>
        <v>13</v>
      </c>
      <c r="N5096" t="s">
        <v>3323</v>
      </c>
      <c r="O5096" t="str">
        <f t="shared" ref="O5096:O5123" si="779">"72011"</f>
        <v>72011</v>
      </c>
      <c r="P5096" t="str">
        <f>"3030L"</f>
        <v>3030L</v>
      </c>
      <c r="Q5096" t="str">
        <f t="shared" si="778"/>
        <v>0101</v>
      </c>
      <c r="R5096">
        <v>3030</v>
      </c>
      <c r="S5096" t="str">
        <f t="shared" ref="S5096:S5123" si="780">"7200"</f>
        <v>7200</v>
      </c>
      <c r="T5096" t="s">
        <v>4101</v>
      </c>
      <c r="U5096" t="s">
        <v>103</v>
      </c>
    </row>
    <row r="5097" spans="1:21" ht="15" customHeight="1" x14ac:dyDescent="0.3">
      <c r="A5097" t="s">
        <v>179</v>
      </c>
      <c r="B5097" t="str">
        <f>"00052398"</f>
        <v>00052398</v>
      </c>
      <c r="C5097" t="s">
        <v>3798</v>
      </c>
      <c r="D5097" t="s">
        <v>4105</v>
      </c>
      <c r="E5097" t="str">
        <f>"00064156"</f>
        <v>00064156</v>
      </c>
      <c r="F5097">
        <v>0</v>
      </c>
      <c r="G5097" s="243">
        <v>40497</v>
      </c>
      <c r="H5097" t="s">
        <v>182</v>
      </c>
      <c r="I5097">
        <v>65</v>
      </c>
      <c r="J5097">
        <v>5</v>
      </c>
      <c r="K5097">
        <v>1</v>
      </c>
      <c r="L5097">
        <v>132000</v>
      </c>
      <c r="M5097" t="str">
        <f t="shared" si="774"/>
        <v>13</v>
      </c>
      <c r="N5097" t="s">
        <v>3323</v>
      </c>
      <c r="O5097" t="str">
        <f t="shared" si="779"/>
        <v>72011</v>
      </c>
      <c r="P5097" t="str">
        <f>"1501L"</f>
        <v>1501L</v>
      </c>
      <c r="Q5097" t="str">
        <f t="shared" si="778"/>
        <v>0101</v>
      </c>
      <c r="R5097">
        <v>1501</v>
      </c>
      <c r="S5097" t="str">
        <f t="shared" si="780"/>
        <v>7200</v>
      </c>
      <c r="T5097" t="s">
        <v>4101</v>
      </c>
      <c r="U5097" t="s">
        <v>103</v>
      </c>
    </row>
    <row r="5098" spans="1:21" ht="15" customHeight="1" x14ac:dyDescent="0.3">
      <c r="A5098" t="s">
        <v>179</v>
      </c>
      <c r="B5098" t="str">
        <f>"00052726"</f>
        <v>00052726</v>
      </c>
      <c r="C5098" t="s">
        <v>4260</v>
      </c>
      <c r="D5098" t="s">
        <v>1019</v>
      </c>
      <c r="E5098" t="str">
        <f>"00046325"</f>
        <v>00046325</v>
      </c>
      <c r="F5098">
        <v>0</v>
      </c>
      <c r="G5098" s="243">
        <v>32405</v>
      </c>
      <c r="H5098" t="s">
        <v>182</v>
      </c>
      <c r="I5098">
        <v>15</v>
      </c>
      <c r="J5098">
        <v>16</v>
      </c>
      <c r="K5098">
        <v>1</v>
      </c>
      <c r="L5098">
        <v>103347</v>
      </c>
      <c r="M5098" t="str">
        <f t="shared" si="774"/>
        <v>13</v>
      </c>
      <c r="N5098" t="s">
        <v>3323</v>
      </c>
      <c r="O5098" t="str">
        <f t="shared" si="779"/>
        <v>72011</v>
      </c>
      <c r="P5098" t="str">
        <f>"3030L"</f>
        <v>3030L</v>
      </c>
      <c r="Q5098" t="str">
        <f t="shared" si="778"/>
        <v>0101</v>
      </c>
      <c r="R5098">
        <v>3030</v>
      </c>
      <c r="S5098" t="str">
        <f t="shared" si="780"/>
        <v>7200</v>
      </c>
      <c r="T5098" t="s">
        <v>4101</v>
      </c>
      <c r="U5098" t="s">
        <v>103</v>
      </c>
    </row>
    <row r="5099" spans="1:21" ht="15" customHeight="1" x14ac:dyDescent="0.3">
      <c r="A5099" t="s">
        <v>179</v>
      </c>
      <c r="B5099" t="str">
        <f>"00053052"</f>
        <v>00053052</v>
      </c>
      <c r="C5099" t="s">
        <v>4299</v>
      </c>
      <c r="D5099" t="s">
        <v>5798</v>
      </c>
      <c r="E5099" t="str">
        <f>"00053775"</f>
        <v>00053775</v>
      </c>
      <c r="F5099">
        <v>0</v>
      </c>
      <c r="G5099" s="243">
        <v>40210</v>
      </c>
      <c r="H5099" t="s">
        <v>182</v>
      </c>
      <c r="I5099">
        <v>7</v>
      </c>
      <c r="J5099">
        <v>8</v>
      </c>
      <c r="K5099">
        <v>1</v>
      </c>
      <c r="L5099">
        <v>43727</v>
      </c>
      <c r="M5099" t="str">
        <f t="shared" si="774"/>
        <v>13</v>
      </c>
      <c r="N5099" t="s">
        <v>3323</v>
      </c>
      <c r="O5099" t="str">
        <f t="shared" si="779"/>
        <v>72011</v>
      </c>
      <c r="P5099" t="str">
        <f>"1502L"</f>
        <v>1502L</v>
      </c>
      <c r="Q5099" t="str">
        <f t="shared" si="778"/>
        <v>0101</v>
      </c>
      <c r="R5099">
        <v>1502</v>
      </c>
      <c r="S5099" t="str">
        <f t="shared" si="780"/>
        <v>7200</v>
      </c>
      <c r="T5099" t="s">
        <v>4101</v>
      </c>
      <c r="U5099" t="s">
        <v>103</v>
      </c>
    </row>
    <row r="5100" spans="1:21" ht="15" customHeight="1" x14ac:dyDescent="0.3">
      <c r="A5100" t="s">
        <v>179</v>
      </c>
      <c r="B5100" t="str">
        <f>"00053357"</f>
        <v>00053357</v>
      </c>
      <c r="C5100" t="s">
        <v>4367</v>
      </c>
      <c r="D5100" t="s">
        <v>5799</v>
      </c>
      <c r="E5100" t="str">
        <f>"00051359"</f>
        <v>00051359</v>
      </c>
      <c r="F5100">
        <v>0</v>
      </c>
      <c r="G5100" s="243">
        <v>31540</v>
      </c>
      <c r="H5100" t="s">
        <v>182</v>
      </c>
      <c r="I5100">
        <v>9</v>
      </c>
      <c r="J5100">
        <v>7</v>
      </c>
      <c r="K5100">
        <v>1</v>
      </c>
      <c r="L5100">
        <v>43824</v>
      </c>
      <c r="M5100" t="str">
        <f t="shared" si="774"/>
        <v>13</v>
      </c>
      <c r="N5100" t="s">
        <v>3323</v>
      </c>
      <c r="O5100" t="str">
        <f t="shared" si="779"/>
        <v>72011</v>
      </c>
      <c r="P5100" t="str">
        <f>"2100L"</f>
        <v>2100L</v>
      </c>
      <c r="Q5100" t="str">
        <f t="shared" si="778"/>
        <v>0101</v>
      </c>
      <c r="R5100">
        <v>2100</v>
      </c>
      <c r="S5100" t="str">
        <f t="shared" si="780"/>
        <v>7200</v>
      </c>
      <c r="T5100" t="s">
        <v>4101</v>
      </c>
      <c r="U5100" t="s">
        <v>103</v>
      </c>
    </row>
    <row r="5101" spans="1:21" ht="15" customHeight="1" x14ac:dyDescent="0.3">
      <c r="A5101" t="s">
        <v>179</v>
      </c>
      <c r="B5101" t="str">
        <f>"00058119"</f>
        <v>00058119</v>
      </c>
      <c r="C5101" t="s">
        <v>4261</v>
      </c>
      <c r="D5101" t="s">
        <v>971</v>
      </c>
      <c r="E5101" t="str">
        <f>"00047797"</f>
        <v>00047797</v>
      </c>
      <c r="F5101">
        <v>0</v>
      </c>
      <c r="G5101" s="243">
        <v>37124</v>
      </c>
      <c r="H5101" t="s">
        <v>182</v>
      </c>
      <c r="I5101">
        <v>15</v>
      </c>
      <c r="J5101">
        <v>14</v>
      </c>
      <c r="K5101">
        <v>1</v>
      </c>
      <c r="L5101">
        <v>112377</v>
      </c>
      <c r="M5101" t="str">
        <f t="shared" si="774"/>
        <v>13</v>
      </c>
      <c r="N5101" t="s">
        <v>3323</v>
      </c>
      <c r="O5101" t="str">
        <f t="shared" si="779"/>
        <v>72011</v>
      </c>
      <c r="P5101" t="str">
        <f>"2100L"</f>
        <v>2100L</v>
      </c>
      <c r="Q5101" t="str">
        <f t="shared" si="778"/>
        <v>0101</v>
      </c>
      <c r="R5101">
        <v>2100</v>
      </c>
      <c r="S5101" t="str">
        <f t="shared" si="780"/>
        <v>7200</v>
      </c>
      <c r="T5101" t="s">
        <v>4101</v>
      </c>
      <c r="U5101" t="s">
        <v>103</v>
      </c>
    </row>
    <row r="5102" spans="1:21" ht="15" customHeight="1" x14ac:dyDescent="0.3">
      <c r="A5102" t="s">
        <v>179</v>
      </c>
      <c r="B5102" t="str">
        <f>"00058558"</f>
        <v>00058558</v>
      </c>
      <c r="C5102" t="s">
        <v>4257</v>
      </c>
      <c r="D5102" t="s">
        <v>972</v>
      </c>
      <c r="E5102" t="str">
        <f>"00062832"</f>
        <v>00062832</v>
      </c>
      <c r="F5102">
        <v>0</v>
      </c>
      <c r="G5102" s="243">
        <v>40409</v>
      </c>
      <c r="H5102" t="s">
        <v>182</v>
      </c>
      <c r="I5102">
        <v>15</v>
      </c>
      <c r="J5102">
        <v>3</v>
      </c>
      <c r="K5102">
        <v>1</v>
      </c>
      <c r="L5102">
        <v>63611</v>
      </c>
      <c r="M5102" t="str">
        <f t="shared" si="774"/>
        <v>13</v>
      </c>
      <c r="N5102" t="s">
        <v>3323</v>
      </c>
      <c r="O5102" t="str">
        <f t="shared" si="779"/>
        <v>72011</v>
      </c>
      <c r="P5102" t="str">
        <f>"2100L"</f>
        <v>2100L</v>
      </c>
      <c r="Q5102" t="str">
        <f t="shared" si="778"/>
        <v>0101</v>
      </c>
      <c r="R5102">
        <v>2100</v>
      </c>
      <c r="S5102" t="str">
        <f t="shared" si="780"/>
        <v>7200</v>
      </c>
      <c r="T5102" t="s">
        <v>4101</v>
      </c>
      <c r="U5102" t="s">
        <v>103</v>
      </c>
    </row>
    <row r="5103" spans="1:21" ht="15" customHeight="1" x14ac:dyDescent="0.3">
      <c r="A5103" t="s">
        <v>179</v>
      </c>
      <c r="B5103" t="str">
        <f>"00059443"</f>
        <v>00059443</v>
      </c>
      <c r="C5103" t="s">
        <v>4341</v>
      </c>
      <c r="D5103" t="s">
        <v>973</v>
      </c>
      <c r="E5103" t="str">
        <f>"00051509"</f>
        <v>00051509</v>
      </c>
      <c r="F5103">
        <v>0</v>
      </c>
      <c r="G5103" s="243">
        <v>36034</v>
      </c>
      <c r="H5103" t="s">
        <v>182</v>
      </c>
      <c r="I5103">
        <v>10</v>
      </c>
      <c r="J5103">
        <v>9</v>
      </c>
      <c r="K5103">
        <v>1</v>
      </c>
      <c r="L5103">
        <v>84226</v>
      </c>
      <c r="M5103" t="str">
        <f t="shared" si="774"/>
        <v>13</v>
      </c>
      <c r="N5103" t="s">
        <v>3323</v>
      </c>
      <c r="O5103" t="str">
        <f t="shared" si="779"/>
        <v>72011</v>
      </c>
      <c r="P5103" t="str">
        <f>"3030L"</f>
        <v>3030L</v>
      </c>
      <c r="Q5103" t="str">
        <f t="shared" si="778"/>
        <v>0101</v>
      </c>
      <c r="R5103">
        <v>3030</v>
      </c>
      <c r="S5103" t="str">
        <f t="shared" si="780"/>
        <v>7200</v>
      </c>
      <c r="T5103" t="s">
        <v>4101</v>
      </c>
      <c r="U5103" t="s">
        <v>103</v>
      </c>
    </row>
    <row r="5104" spans="1:21" ht="15" customHeight="1" x14ac:dyDescent="0.3">
      <c r="A5104" t="s">
        <v>179</v>
      </c>
      <c r="B5104" t="str">
        <f>"00059480"</f>
        <v>00059480</v>
      </c>
      <c r="C5104" t="s">
        <v>4290</v>
      </c>
      <c r="D5104" t="s">
        <v>5800</v>
      </c>
      <c r="E5104" t="str">
        <f>"00051822"</f>
        <v>00051822</v>
      </c>
      <c r="F5104">
        <v>0</v>
      </c>
      <c r="G5104" s="243">
        <v>35753</v>
      </c>
      <c r="H5104" t="s">
        <v>182</v>
      </c>
      <c r="I5104">
        <v>4</v>
      </c>
      <c r="J5104">
        <v>8</v>
      </c>
      <c r="K5104">
        <v>0.875</v>
      </c>
      <c r="L5104">
        <v>27329.75</v>
      </c>
      <c r="M5104" t="str">
        <f t="shared" si="774"/>
        <v>13</v>
      </c>
      <c r="N5104" t="s">
        <v>3323</v>
      </c>
      <c r="O5104" t="str">
        <f t="shared" si="779"/>
        <v>72011</v>
      </c>
      <c r="P5104" t="str">
        <f>"2100L"</f>
        <v>2100L</v>
      </c>
      <c r="Q5104" t="str">
        <f t="shared" si="778"/>
        <v>0101</v>
      </c>
      <c r="R5104">
        <v>2100</v>
      </c>
      <c r="S5104" t="str">
        <f t="shared" si="780"/>
        <v>7200</v>
      </c>
      <c r="T5104" t="s">
        <v>4101</v>
      </c>
      <c r="U5104" t="s">
        <v>103</v>
      </c>
    </row>
    <row r="5105" spans="1:21" ht="15" customHeight="1" x14ac:dyDescent="0.3">
      <c r="A5105" t="s">
        <v>179</v>
      </c>
      <c r="B5105" t="str">
        <f>"00060780"</f>
        <v>00060780</v>
      </c>
      <c r="C5105" t="s">
        <v>4381</v>
      </c>
      <c r="H5105" t="s">
        <v>170</v>
      </c>
      <c r="I5105">
        <v>9</v>
      </c>
      <c r="J5105">
        <v>1</v>
      </c>
      <c r="K5105">
        <v>1</v>
      </c>
      <c r="L5105">
        <v>33163</v>
      </c>
      <c r="M5105" t="str">
        <f t="shared" si="774"/>
        <v>13</v>
      </c>
      <c r="N5105" t="s">
        <v>3323</v>
      </c>
      <c r="O5105" t="str">
        <f t="shared" si="779"/>
        <v>72011</v>
      </c>
      <c r="P5105" t="str">
        <f>"2100L"</f>
        <v>2100L</v>
      </c>
      <c r="Q5105" t="str">
        <f t="shared" si="778"/>
        <v>0101</v>
      </c>
      <c r="R5105">
        <v>2100</v>
      </c>
      <c r="S5105" t="str">
        <f t="shared" si="780"/>
        <v>7200</v>
      </c>
      <c r="T5105" t="s">
        <v>4101</v>
      </c>
      <c r="U5105" t="s">
        <v>103</v>
      </c>
    </row>
    <row r="5106" spans="1:21" ht="15" customHeight="1" x14ac:dyDescent="0.3">
      <c r="A5106" t="s">
        <v>179</v>
      </c>
      <c r="B5106" t="str">
        <f>"00061400"</f>
        <v>00061400</v>
      </c>
      <c r="C5106" t="s">
        <v>4258</v>
      </c>
      <c r="D5106" t="s">
        <v>5801</v>
      </c>
      <c r="E5106" t="str">
        <f>"00062713"</f>
        <v>00062713</v>
      </c>
      <c r="F5106">
        <v>0</v>
      </c>
      <c r="G5106" s="243">
        <v>41133</v>
      </c>
      <c r="H5106" t="s">
        <v>182</v>
      </c>
      <c r="I5106">
        <v>15</v>
      </c>
      <c r="J5106">
        <v>3</v>
      </c>
      <c r="K5106">
        <v>1</v>
      </c>
      <c r="L5106">
        <v>58699</v>
      </c>
      <c r="M5106" t="str">
        <f t="shared" si="774"/>
        <v>13</v>
      </c>
      <c r="N5106" t="s">
        <v>3370</v>
      </c>
      <c r="O5106" t="str">
        <f t="shared" si="779"/>
        <v>72011</v>
      </c>
      <c r="P5106" t="str">
        <f>"2100L"</f>
        <v>2100L</v>
      </c>
      <c r="Q5106" t="str">
        <f t="shared" si="778"/>
        <v>0101</v>
      </c>
      <c r="R5106">
        <v>2100</v>
      </c>
      <c r="S5106" t="str">
        <f t="shared" si="780"/>
        <v>7200</v>
      </c>
      <c r="T5106" t="s">
        <v>4101</v>
      </c>
      <c r="U5106" t="s">
        <v>103</v>
      </c>
    </row>
    <row r="5107" spans="1:21" ht="15" customHeight="1" x14ac:dyDescent="0.3">
      <c r="A5107" t="s">
        <v>179</v>
      </c>
      <c r="B5107" t="str">
        <f>"00066143"</f>
        <v>00066143</v>
      </c>
      <c r="C5107" t="s">
        <v>4290</v>
      </c>
      <c r="D5107" t="s">
        <v>5802</v>
      </c>
      <c r="E5107" t="str">
        <f>"00057097"</f>
        <v>00057097</v>
      </c>
      <c r="F5107">
        <v>0</v>
      </c>
      <c r="G5107" s="243">
        <v>40042</v>
      </c>
      <c r="H5107" t="s">
        <v>182</v>
      </c>
      <c r="I5107">
        <v>4</v>
      </c>
      <c r="J5107">
        <v>5</v>
      </c>
      <c r="K5107">
        <v>1</v>
      </c>
      <c r="L5107">
        <v>25239.37</v>
      </c>
      <c r="M5107" t="str">
        <f t="shared" si="774"/>
        <v>13</v>
      </c>
      <c r="N5107" t="s">
        <v>3323</v>
      </c>
      <c r="O5107" t="str">
        <f t="shared" si="779"/>
        <v>72011</v>
      </c>
      <c r="P5107" t="str">
        <f>"2100L"</f>
        <v>2100L</v>
      </c>
      <c r="Q5107" t="str">
        <f t="shared" si="778"/>
        <v>0101</v>
      </c>
      <c r="R5107">
        <v>2100</v>
      </c>
      <c r="S5107" t="str">
        <f t="shared" si="780"/>
        <v>7200</v>
      </c>
      <c r="T5107" t="s">
        <v>4101</v>
      </c>
      <c r="U5107" t="s">
        <v>103</v>
      </c>
    </row>
    <row r="5108" spans="1:21" ht="15" customHeight="1" x14ac:dyDescent="0.3">
      <c r="A5108" t="s">
        <v>179</v>
      </c>
      <c r="B5108" t="str">
        <f>"00067974"</f>
        <v>00067974</v>
      </c>
      <c r="C5108" t="s">
        <v>3670</v>
      </c>
      <c r="D5108" t="s">
        <v>5803</v>
      </c>
      <c r="E5108" t="str">
        <f>"00069403"</f>
        <v>00069403</v>
      </c>
      <c r="F5108">
        <v>0</v>
      </c>
      <c r="G5108" s="243">
        <v>41106</v>
      </c>
      <c r="H5108" t="s">
        <v>182</v>
      </c>
      <c r="I5108">
        <v>8</v>
      </c>
      <c r="J5108">
        <v>4</v>
      </c>
      <c r="K5108">
        <v>1</v>
      </c>
      <c r="L5108">
        <v>89645</v>
      </c>
      <c r="M5108" t="str">
        <f t="shared" si="774"/>
        <v>13</v>
      </c>
      <c r="N5108" t="s">
        <v>3323</v>
      </c>
      <c r="O5108" t="str">
        <f t="shared" si="779"/>
        <v>72011</v>
      </c>
      <c r="P5108" t="str">
        <f>"1501L"</f>
        <v>1501L</v>
      </c>
      <c r="Q5108" t="str">
        <f t="shared" si="778"/>
        <v>0101</v>
      </c>
      <c r="R5108">
        <v>1501</v>
      </c>
      <c r="S5108" t="str">
        <f t="shared" si="780"/>
        <v>7200</v>
      </c>
      <c r="T5108" t="s">
        <v>4101</v>
      </c>
      <c r="U5108" t="s">
        <v>103</v>
      </c>
    </row>
    <row r="5109" spans="1:21" ht="15" customHeight="1" x14ac:dyDescent="0.3">
      <c r="A5109" t="s">
        <v>179</v>
      </c>
      <c r="B5109" t="str">
        <f>"00072850"</f>
        <v>00072850</v>
      </c>
      <c r="C5109" t="s">
        <v>4260</v>
      </c>
      <c r="D5109" t="s">
        <v>4078</v>
      </c>
      <c r="E5109" t="str">
        <f>"00065853"</f>
        <v>00065853</v>
      </c>
      <c r="F5109">
        <v>0</v>
      </c>
      <c r="G5109" s="243">
        <v>40755</v>
      </c>
      <c r="H5109" t="s">
        <v>182</v>
      </c>
      <c r="I5109">
        <v>15</v>
      </c>
      <c r="J5109">
        <v>2</v>
      </c>
      <c r="K5109">
        <v>1</v>
      </c>
      <c r="L5109">
        <v>51716</v>
      </c>
      <c r="M5109" t="str">
        <f t="shared" si="774"/>
        <v>13</v>
      </c>
      <c r="N5109" t="s">
        <v>3323</v>
      </c>
      <c r="O5109" t="str">
        <f t="shared" si="779"/>
        <v>72011</v>
      </c>
      <c r="P5109" t="str">
        <f t="shared" ref="P5109:P5115" si="781">"2100L"</f>
        <v>2100L</v>
      </c>
      <c r="Q5109" t="str">
        <f t="shared" si="778"/>
        <v>0101</v>
      </c>
      <c r="R5109">
        <v>2100</v>
      </c>
      <c r="S5109" t="str">
        <f t="shared" si="780"/>
        <v>7200</v>
      </c>
      <c r="T5109" t="s">
        <v>4101</v>
      </c>
      <c r="U5109" t="s">
        <v>103</v>
      </c>
    </row>
    <row r="5110" spans="1:21" ht="15" customHeight="1" x14ac:dyDescent="0.3">
      <c r="A5110" t="s">
        <v>179</v>
      </c>
      <c r="B5110" t="str">
        <f>"00073748"</f>
        <v>00073748</v>
      </c>
      <c r="C5110" t="s">
        <v>4253</v>
      </c>
      <c r="D5110" t="s">
        <v>4107</v>
      </c>
      <c r="E5110" t="str">
        <f>"00061302"</f>
        <v>00061302</v>
      </c>
      <c r="F5110">
        <v>0</v>
      </c>
      <c r="G5110" s="243">
        <v>40727</v>
      </c>
      <c r="H5110" t="s">
        <v>182</v>
      </c>
      <c r="I5110">
        <v>15</v>
      </c>
      <c r="J5110">
        <v>5</v>
      </c>
      <c r="K5110">
        <v>1</v>
      </c>
      <c r="L5110">
        <v>63611</v>
      </c>
      <c r="M5110" t="str">
        <f t="shared" si="774"/>
        <v>13</v>
      </c>
      <c r="N5110" t="s">
        <v>3323</v>
      </c>
      <c r="O5110" t="str">
        <f t="shared" si="779"/>
        <v>72011</v>
      </c>
      <c r="P5110" t="str">
        <f t="shared" si="781"/>
        <v>2100L</v>
      </c>
      <c r="Q5110" t="str">
        <f t="shared" si="778"/>
        <v>0101</v>
      </c>
      <c r="R5110">
        <v>2100</v>
      </c>
      <c r="S5110" t="str">
        <f t="shared" si="780"/>
        <v>7200</v>
      </c>
      <c r="T5110" t="s">
        <v>4101</v>
      </c>
      <c r="U5110" t="s">
        <v>103</v>
      </c>
    </row>
    <row r="5111" spans="1:21" ht="15" customHeight="1" x14ac:dyDescent="0.3">
      <c r="A5111" t="s">
        <v>179</v>
      </c>
      <c r="B5111" t="str">
        <f>"00073749"</f>
        <v>00073749</v>
      </c>
      <c r="C5111" t="s">
        <v>4260</v>
      </c>
      <c r="D5111" t="s">
        <v>692</v>
      </c>
      <c r="E5111" t="str">
        <f>"00063326"</f>
        <v>00063326</v>
      </c>
      <c r="F5111">
        <v>0</v>
      </c>
      <c r="G5111" s="243">
        <v>40428</v>
      </c>
      <c r="H5111" t="s">
        <v>182</v>
      </c>
      <c r="I5111">
        <v>15</v>
      </c>
      <c r="J5111">
        <v>12</v>
      </c>
      <c r="K5111">
        <v>1</v>
      </c>
      <c r="L5111">
        <v>87431</v>
      </c>
      <c r="M5111" t="str">
        <f t="shared" si="774"/>
        <v>13</v>
      </c>
      <c r="N5111" t="s">
        <v>3323</v>
      </c>
      <c r="O5111" t="str">
        <f t="shared" si="779"/>
        <v>72011</v>
      </c>
      <c r="P5111" t="str">
        <f t="shared" si="781"/>
        <v>2100L</v>
      </c>
      <c r="Q5111" t="str">
        <f t="shared" si="778"/>
        <v>0101</v>
      </c>
      <c r="R5111">
        <v>2100</v>
      </c>
      <c r="S5111" t="str">
        <f t="shared" si="780"/>
        <v>7200</v>
      </c>
      <c r="T5111" t="s">
        <v>4101</v>
      </c>
      <c r="U5111" t="s">
        <v>103</v>
      </c>
    </row>
    <row r="5112" spans="1:21" ht="15" customHeight="1" x14ac:dyDescent="0.3">
      <c r="A5112" t="s">
        <v>179</v>
      </c>
      <c r="B5112" t="str">
        <f>"00073750"</f>
        <v>00073750</v>
      </c>
      <c r="C5112" t="s">
        <v>4260</v>
      </c>
      <c r="D5112" t="s">
        <v>4108</v>
      </c>
      <c r="E5112" t="str">
        <f>"00066680"</f>
        <v>00066680</v>
      </c>
      <c r="F5112">
        <v>0</v>
      </c>
      <c r="G5112" s="243">
        <v>40755</v>
      </c>
      <c r="H5112" t="s">
        <v>182</v>
      </c>
      <c r="I5112">
        <v>15</v>
      </c>
      <c r="J5112">
        <v>2</v>
      </c>
      <c r="K5112">
        <v>1</v>
      </c>
      <c r="L5112">
        <v>51716</v>
      </c>
      <c r="M5112" t="str">
        <f t="shared" si="774"/>
        <v>13</v>
      </c>
      <c r="N5112" t="s">
        <v>3323</v>
      </c>
      <c r="O5112" t="str">
        <f t="shared" si="779"/>
        <v>72011</v>
      </c>
      <c r="P5112" t="str">
        <f t="shared" si="781"/>
        <v>2100L</v>
      </c>
      <c r="Q5112" t="str">
        <f t="shared" si="778"/>
        <v>0101</v>
      </c>
      <c r="R5112">
        <v>2100</v>
      </c>
      <c r="S5112" t="str">
        <f t="shared" si="780"/>
        <v>7200</v>
      </c>
      <c r="T5112" t="s">
        <v>4101</v>
      </c>
      <c r="U5112" t="s">
        <v>103</v>
      </c>
    </row>
    <row r="5113" spans="1:21" ht="15" customHeight="1" x14ac:dyDescent="0.3">
      <c r="A5113" t="s">
        <v>179</v>
      </c>
      <c r="B5113" t="str">
        <f>"00073751"</f>
        <v>00073751</v>
      </c>
      <c r="C5113" t="s">
        <v>4260</v>
      </c>
      <c r="D5113" t="s">
        <v>997</v>
      </c>
      <c r="E5113" t="str">
        <f>"00057522"</f>
        <v>00057522</v>
      </c>
      <c r="F5113">
        <v>0</v>
      </c>
      <c r="G5113" s="243">
        <v>40042</v>
      </c>
      <c r="H5113" t="s">
        <v>182</v>
      </c>
      <c r="I5113">
        <v>15</v>
      </c>
      <c r="J5113">
        <v>4</v>
      </c>
      <c r="K5113">
        <v>1</v>
      </c>
      <c r="L5113">
        <v>61158</v>
      </c>
      <c r="M5113" t="str">
        <f t="shared" si="774"/>
        <v>13</v>
      </c>
      <c r="N5113" t="s">
        <v>3323</v>
      </c>
      <c r="O5113" t="str">
        <f t="shared" si="779"/>
        <v>72011</v>
      </c>
      <c r="P5113" t="str">
        <f t="shared" si="781"/>
        <v>2100L</v>
      </c>
      <c r="Q5113" t="str">
        <f t="shared" si="778"/>
        <v>0101</v>
      </c>
      <c r="R5113">
        <v>2100</v>
      </c>
      <c r="S5113" t="str">
        <f t="shared" si="780"/>
        <v>7200</v>
      </c>
      <c r="T5113" t="s">
        <v>4101</v>
      </c>
      <c r="U5113" t="s">
        <v>103</v>
      </c>
    </row>
    <row r="5114" spans="1:21" ht="15" customHeight="1" x14ac:dyDescent="0.3">
      <c r="A5114" t="s">
        <v>179</v>
      </c>
      <c r="B5114" t="str">
        <f>"00073767"</f>
        <v>00073767</v>
      </c>
      <c r="C5114" t="s">
        <v>4263</v>
      </c>
      <c r="D5114" t="s">
        <v>5804</v>
      </c>
      <c r="E5114" t="str">
        <f>"00069871"</f>
        <v>00069871</v>
      </c>
      <c r="F5114">
        <v>0</v>
      </c>
      <c r="G5114" s="243">
        <v>41133</v>
      </c>
      <c r="H5114" t="s">
        <v>182</v>
      </c>
      <c r="I5114">
        <v>15</v>
      </c>
      <c r="J5114">
        <v>1</v>
      </c>
      <c r="K5114">
        <v>1</v>
      </c>
      <c r="L5114">
        <v>51539</v>
      </c>
      <c r="M5114" t="str">
        <f t="shared" si="774"/>
        <v>13</v>
      </c>
      <c r="N5114" t="s">
        <v>3370</v>
      </c>
      <c r="O5114" t="str">
        <f t="shared" si="779"/>
        <v>72011</v>
      </c>
      <c r="P5114" t="str">
        <f t="shared" si="781"/>
        <v>2100L</v>
      </c>
      <c r="Q5114" t="str">
        <f t="shared" si="778"/>
        <v>0101</v>
      </c>
      <c r="R5114">
        <v>2100</v>
      </c>
      <c r="S5114" t="str">
        <f t="shared" si="780"/>
        <v>7200</v>
      </c>
      <c r="T5114" t="s">
        <v>4101</v>
      </c>
      <c r="U5114" t="s">
        <v>103</v>
      </c>
    </row>
    <row r="5115" spans="1:21" ht="15" customHeight="1" x14ac:dyDescent="0.3">
      <c r="A5115" t="s">
        <v>179</v>
      </c>
      <c r="B5115" t="str">
        <f>"00073973"</f>
        <v>00073973</v>
      </c>
      <c r="C5115" t="s">
        <v>200</v>
      </c>
      <c r="D5115" t="s">
        <v>4106</v>
      </c>
      <c r="E5115" t="str">
        <f>"00046986"</f>
        <v>00046986</v>
      </c>
      <c r="F5115">
        <v>0</v>
      </c>
      <c r="G5115" s="243">
        <v>38485</v>
      </c>
      <c r="H5115" t="s">
        <v>182</v>
      </c>
      <c r="I5115">
        <v>15</v>
      </c>
      <c r="J5115">
        <v>12</v>
      </c>
      <c r="K5115">
        <v>1</v>
      </c>
      <c r="L5115">
        <v>87431</v>
      </c>
      <c r="M5115" t="str">
        <f t="shared" si="774"/>
        <v>13</v>
      </c>
      <c r="N5115" t="s">
        <v>3323</v>
      </c>
      <c r="O5115" t="str">
        <f t="shared" si="779"/>
        <v>72011</v>
      </c>
      <c r="P5115" t="str">
        <f t="shared" si="781"/>
        <v>2100L</v>
      </c>
      <c r="Q5115" t="str">
        <f t="shared" si="778"/>
        <v>0101</v>
      </c>
      <c r="R5115">
        <v>2100</v>
      </c>
      <c r="S5115" t="str">
        <f t="shared" si="780"/>
        <v>7200</v>
      </c>
      <c r="T5115" t="s">
        <v>4101</v>
      </c>
      <c r="U5115" t="s">
        <v>103</v>
      </c>
    </row>
    <row r="5116" spans="1:21" ht="15" customHeight="1" x14ac:dyDescent="0.3">
      <c r="A5116" t="s">
        <v>179</v>
      </c>
      <c r="B5116" t="str">
        <f>"00074040"</f>
        <v>00074040</v>
      </c>
      <c r="C5116" t="s">
        <v>4263</v>
      </c>
      <c r="D5116" t="s">
        <v>4109</v>
      </c>
      <c r="E5116" t="str">
        <f>"00066127"</f>
        <v>00066127</v>
      </c>
      <c r="F5116">
        <v>0</v>
      </c>
      <c r="G5116" s="243">
        <v>40755</v>
      </c>
      <c r="H5116" t="s">
        <v>182</v>
      </c>
      <c r="I5116">
        <v>15</v>
      </c>
      <c r="J5116">
        <v>4</v>
      </c>
      <c r="K5116">
        <v>1</v>
      </c>
      <c r="L5116">
        <v>61158</v>
      </c>
      <c r="M5116" t="str">
        <f t="shared" si="774"/>
        <v>13</v>
      </c>
      <c r="N5116" t="s">
        <v>3323</v>
      </c>
      <c r="O5116" t="str">
        <f t="shared" si="779"/>
        <v>72011</v>
      </c>
      <c r="P5116" t="str">
        <f>"2100L"</f>
        <v>2100L</v>
      </c>
      <c r="Q5116" t="str">
        <f t="shared" si="778"/>
        <v>0101</v>
      </c>
      <c r="R5116">
        <v>2100</v>
      </c>
      <c r="S5116" t="str">
        <f t="shared" si="780"/>
        <v>7200</v>
      </c>
      <c r="T5116" t="s">
        <v>4101</v>
      </c>
      <c r="U5116" t="s">
        <v>103</v>
      </c>
    </row>
    <row r="5117" spans="1:21" ht="15" customHeight="1" x14ac:dyDescent="0.3">
      <c r="A5117" t="s">
        <v>179</v>
      </c>
      <c r="B5117" t="str">
        <f>"00074306"</f>
        <v>00074306</v>
      </c>
      <c r="C5117" t="s">
        <v>4260</v>
      </c>
      <c r="D5117" t="s">
        <v>4245</v>
      </c>
      <c r="E5117" t="str">
        <f>"00048033"</f>
        <v>00048033</v>
      </c>
      <c r="F5117">
        <v>0</v>
      </c>
      <c r="G5117" s="243">
        <v>40756</v>
      </c>
      <c r="H5117" t="s">
        <v>182</v>
      </c>
      <c r="I5117">
        <v>15</v>
      </c>
      <c r="J5117">
        <v>5</v>
      </c>
      <c r="K5117">
        <v>1</v>
      </c>
      <c r="L5117">
        <v>63611</v>
      </c>
      <c r="M5117" t="str">
        <f t="shared" si="774"/>
        <v>13</v>
      </c>
      <c r="N5117" t="s">
        <v>3323</v>
      </c>
      <c r="O5117" t="str">
        <f t="shared" si="779"/>
        <v>72011</v>
      </c>
      <c r="P5117" t="str">
        <f>"3030L"</f>
        <v>3030L</v>
      </c>
      <c r="Q5117" t="str">
        <f t="shared" si="778"/>
        <v>0101</v>
      </c>
      <c r="R5117">
        <v>3030</v>
      </c>
      <c r="S5117" t="str">
        <f t="shared" si="780"/>
        <v>7200</v>
      </c>
      <c r="T5117" t="s">
        <v>4101</v>
      </c>
      <c r="U5117" t="s">
        <v>103</v>
      </c>
    </row>
    <row r="5118" spans="1:21" ht="15" customHeight="1" x14ac:dyDescent="0.3">
      <c r="A5118" t="s">
        <v>179</v>
      </c>
      <c r="B5118" t="str">
        <f>"00074461"</f>
        <v>00074461</v>
      </c>
      <c r="C5118" t="s">
        <v>4800</v>
      </c>
      <c r="H5118" t="s">
        <v>170</v>
      </c>
      <c r="I5118">
        <v>10</v>
      </c>
      <c r="J5118">
        <v>1</v>
      </c>
      <c r="K5118">
        <v>1</v>
      </c>
      <c r="L5118">
        <v>62794</v>
      </c>
      <c r="M5118" t="str">
        <f t="shared" si="774"/>
        <v>13</v>
      </c>
      <c r="N5118" t="s">
        <v>3323</v>
      </c>
      <c r="O5118" t="str">
        <f t="shared" si="779"/>
        <v>72011</v>
      </c>
      <c r="P5118" t="str">
        <f t="shared" ref="P5118:P5124" si="782">"2100L"</f>
        <v>2100L</v>
      </c>
      <c r="Q5118" t="str">
        <f t="shared" si="778"/>
        <v>0101</v>
      </c>
      <c r="R5118">
        <v>2100</v>
      </c>
      <c r="S5118" t="str">
        <f t="shared" si="780"/>
        <v>7200</v>
      </c>
      <c r="T5118" t="s">
        <v>4101</v>
      </c>
      <c r="U5118" t="s">
        <v>103</v>
      </c>
    </row>
    <row r="5119" spans="1:21" ht="15" customHeight="1" x14ac:dyDescent="0.3">
      <c r="A5119" t="s">
        <v>179</v>
      </c>
      <c r="B5119" t="str">
        <f>"00074462"</f>
        <v>00074462</v>
      </c>
      <c r="C5119" t="s">
        <v>4253</v>
      </c>
      <c r="D5119" t="s">
        <v>4110</v>
      </c>
      <c r="E5119" t="str">
        <f>"00066111"</f>
        <v>00066111</v>
      </c>
      <c r="F5119">
        <v>0</v>
      </c>
      <c r="G5119" s="243">
        <v>40770</v>
      </c>
      <c r="H5119" t="s">
        <v>182</v>
      </c>
      <c r="I5119">
        <v>15</v>
      </c>
      <c r="J5119">
        <v>5</v>
      </c>
      <c r="K5119">
        <v>1</v>
      </c>
      <c r="L5119">
        <v>63611</v>
      </c>
      <c r="M5119" t="str">
        <f t="shared" si="774"/>
        <v>13</v>
      </c>
      <c r="N5119" t="s">
        <v>3323</v>
      </c>
      <c r="O5119" t="str">
        <f t="shared" si="779"/>
        <v>72011</v>
      </c>
      <c r="P5119" t="str">
        <f t="shared" si="782"/>
        <v>2100L</v>
      </c>
      <c r="Q5119" t="str">
        <f t="shared" si="778"/>
        <v>0101</v>
      </c>
      <c r="R5119">
        <v>2100</v>
      </c>
      <c r="S5119" t="str">
        <f t="shared" si="780"/>
        <v>7200</v>
      </c>
      <c r="T5119" t="s">
        <v>4101</v>
      </c>
      <c r="U5119" t="s">
        <v>103</v>
      </c>
    </row>
    <row r="5120" spans="1:21" ht="15" customHeight="1" x14ac:dyDescent="0.3">
      <c r="A5120" t="s">
        <v>179</v>
      </c>
      <c r="B5120" t="str">
        <f>"00074463"</f>
        <v>00074463</v>
      </c>
      <c r="C5120" t="s">
        <v>4253</v>
      </c>
      <c r="D5120" t="s">
        <v>5805</v>
      </c>
      <c r="E5120" t="str">
        <f>"00069624"</f>
        <v>00069624</v>
      </c>
      <c r="F5120">
        <v>0</v>
      </c>
      <c r="G5120" s="243">
        <v>41133</v>
      </c>
      <c r="H5120" t="s">
        <v>182</v>
      </c>
      <c r="I5120">
        <v>15</v>
      </c>
      <c r="J5120">
        <v>4</v>
      </c>
      <c r="K5120">
        <v>1</v>
      </c>
      <c r="L5120">
        <v>54725</v>
      </c>
      <c r="M5120" t="str">
        <f t="shared" si="774"/>
        <v>13</v>
      </c>
      <c r="N5120" t="s">
        <v>3370</v>
      </c>
      <c r="O5120" t="str">
        <f t="shared" si="779"/>
        <v>72011</v>
      </c>
      <c r="P5120" t="str">
        <f t="shared" si="782"/>
        <v>2100L</v>
      </c>
      <c r="Q5120" t="str">
        <f t="shared" si="778"/>
        <v>0101</v>
      </c>
      <c r="R5120">
        <v>2100</v>
      </c>
      <c r="S5120" t="str">
        <f t="shared" si="780"/>
        <v>7200</v>
      </c>
      <c r="T5120" t="s">
        <v>4101</v>
      </c>
      <c r="U5120" t="s">
        <v>103</v>
      </c>
    </row>
    <row r="5121" spans="1:21" ht="15" customHeight="1" x14ac:dyDescent="0.3">
      <c r="A5121" t="s">
        <v>179</v>
      </c>
      <c r="B5121" t="str">
        <f>"00074464"</f>
        <v>00074464</v>
      </c>
      <c r="C5121" t="s">
        <v>4253</v>
      </c>
      <c r="D5121" t="s">
        <v>4111</v>
      </c>
      <c r="E5121" t="str">
        <f>"00065791"</f>
        <v>00065791</v>
      </c>
      <c r="F5121">
        <v>0</v>
      </c>
      <c r="G5121" s="243">
        <v>40756</v>
      </c>
      <c r="H5121" t="s">
        <v>182</v>
      </c>
      <c r="I5121">
        <v>15</v>
      </c>
      <c r="J5121">
        <v>5</v>
      </c>
      <c r="K5121">
        <v>1</v>
      </c>
      <c r="L5121">
        <v>63611</v>
      </c>
      <c r="M5121" t="str">
        <f t="shared" si="774"/>
        <v>13</v>
      </c>
      <c r="N5121" t="s">
        <v>3323</v>
      </c>
      <c r="O5121" t="str">
        <f t="shared" si="779"/>
        <v>72011</v>
      </c>
      <c r="P5121" t="str">
        <f t="shared" si="782"/>
        <v>2100L</v>
      </c>
      <c r="Q5121" t="str">
        <f t="shared" si="778"/>
        <v>0101</v>
      </c>
      <c r="R5121">
        <v>2100</v>
      </c>
      <c r="S5121" t="str">
        <f t="shared" si="780"/>
        <v>7200</v>
      </c>
      <c r="T5121" t="s">
        <v>4101</v>
      </c>
      <c r="U5121" t="s">
        <v>103</v>
      </c>
    </row>
    <row r="5122" spans="1:21" ht="15" customHeight="1" x14ac:dyDescent="0.3">
      <c r="A5122" t="s">
        <v>179</v>
      </c>
      <c r="B5122" t="str">
        <f>"00074465"</f>
        <v>00074465</v>
      </c>
      <c r="C5122" t="s">
        <v>4253</v>
      </c>
      <c r="D5122" t="s">
        <v>4112</v>
      </c>
      <c r="E5122" t="str">
        <f>"00066250"</f>
        <v>00066250</v>
      </c>
      <c r="F5122">
        <v>0</v>
      </c>
      <c r="G5122" s="243">
        <v>40755</v>
      </c>
      <c r="H5122" t="s">
        <v>182</v>
      </c>
      <c r="I5122">
        <v>15</v>
      </c>
      <c r="J5122">
        <v>6</v>
      </c>
      <c r="K5122">
        <v>1</v>
      </c>
      <c r="L5122">
        <v>58599</v>
      </c>
      <c r="M5122" t="str">
        <f t="shared" si="774"/>
        <v>13</v>
      </c>
      <c r="N5122" t="s">
        <v>3323</v>
      </c>
      <c r="O5122" t="str">
        <f t="shared" si="779"/>
        <v>72011</v>
      </c>
      <c r="P5122" t="str">
        <f t="shared" si="782"/>
        <v>2100L</v>
      </c>
      <c r="Q5122" t="str">
        <f t="shared" si="778"/>
        <v>0101</v>
      </c>
      <c r="R5122">
        <v>2100</v>
      </c>
      <c r="S5122" t="str">
        <f t="shared" si="780"/>
        <v>7200</v>
      </c>
      <c r="T5122" t="s">
        <v>4101</v>
      </c>
      <c r="U5122" t="s">
        <v>103</v>
      </c>
    </row>
    <row r="5123" spans="1:21" ht="15" customHeight="1" x14ac:dyDescent="0.3">
      <c r="A5123" t="s">
        <v>179</v>
      </c>
      <c r="B5123" t="str">
        <f>"00074466"</f>
        <v>00074466</v>
      </c>
      <c r="C5123" t="s">
        <v>4254</v>
      </c>
      <c r="D5123" t="s">
        <v>1008</v>
      </c>
      <c r="E5123" t="str">
        <f>"00046793"</f>
        <v>00046793</v>
      </c>
      <c r="F5123">
        <v>0</v>
      </c>
      <c r="G5123" s="243">
        <v>39679</v>
      </c>
      <c r="H5123" t="s">
        <v>182</v>
      </c>
      <c r="I5123">
        <v>15</v>
      </c>
      <c r="J5123">
        <v>5</v>
      </c>
      <c r="K5123">
        <v>1</v>
      </c>
      <c r="L5123">
        <v>56655</v>
      </c>
      <c r="M5123" t="str">
        <f t="shared" si="774"/>
        <v>13</v>
      </c>
      <c r="N5123" t="s">
        <v>3323</v>
      </c>
      <c r="O5123" t="str">
        <f t="shared" si="779"/>
        <v>72011</v>
      </c>
      <c r="P5123" t="str">
        <f t="shared" si="782"/>
        <v>2100L</v>
      </c>
      <c r="Q5123" t="str">
        <f t="shared" ref="Q5123:Q5150" si="783">"0101"</f>
        <v>0101</v>
      </c>
      <c r="R5123">
        <v>2100</v>
      </c>
      <c r="S5123" t="str">
        <f t="shared" si="780"/>
        <v>7200</v>
      </c>
      <c r="T5123" t="s">
        <v>4101</v>
      </c>
      <c r="U5123" t="s">
        <v>103</v>
      </c>
    </row>
    <row r="5124" spans="1:21" ht="15" customHeight="1" x14ac:dyDescent="0.3">
      <c r="A5124" t="s">
        <v>179</v>
      </c>
      <c r="B5124" t="str">
        <f>"00074467"</f>
        <v>00074467</v>
      </c>
      <c r="C5124" t="s">
        <v>4410</v>
      </c>
      <c r="D5124" t="s">
        <v>4102</v>
      </c>
      <c r="E5124" t="str">
        <f>"00065833"</f>
        <v>00065833</v>
      </c>
      <c r="F5124">
        <v>0</v>
      </c>
      <c r="G5124" s="243">
        <v>40755</v>
      </c>
      <c r="H5124" t="s">
        <v>182</v>
      </c>
      <c r="I5124">
        <v>5</v>
      </c>
      <c r="J5124">
        <v>6</v>
      </c>
      <c r="K5124">
        <v>1</v>
      </c>
      <c r="L5124">
        <v>32965</v>
      </c>
      <c r="M5124" t="str">
        <f t="shared" si="774"/>
        <v>13</v>
      </c>
      <c r="N5124" t="s">
        <v>3323</v>
      </c>
      <c r="O5124" t="str">
        <f t="shared" ref="O5124:O5151" si="784">"72011"</f>
        <v>72011</v>
      </c>
      <c r="P5124" t="str">
        <f t="shared" si="782"/>
        <v>2100L</v>
      </c>
      <c r="Q5124" t="str">
        <f t="shared" si="783"/>
        <v>0101</v>
      </c>
      <c r="R5124">
        <v>2100</v>
      </c>
      <c r="S5124" t="str">
        <f t="shared" ref="S5124:S5151" si="785">"7200"</f>
        <v>7200</v>
      </c>
      <c r="T5124" t="s">
        <v>4101</v>
      </c>
      <c r="U5124" t="s">
        <v>103</v>
      </c>
    </row>
    <row r="5125" spans="1:21" ht="15" customHeight="1" x14ac:dyDescent="0.3">
      <c r="A5125" t="s">
        <v>179</v>
      </c>
      <c r="B5125" t="str">
        <f>"00074470"</f>
        <v>00074470</v>
      </c>
      <c r="C5125" t="s">
        <v>4290</v>
      </c>
      <c r="D5125" t="s">
        <v>5806</v>
      </c>
      <c r="E5125" t="str">
        <f>"00029767"</f>
        <v>00029767</v>
      </c>
      <c r="F5125">
        <v>1</v>
      </c>
      <c r="G5125" s="243">
        <v>40770</v>
      </c>
      <c r="H5125" t="s">
        <v>182</v>
      </c>
      <c r="I5125">
        <v>4</v>
      </c>
      <c r="J5125">
        <v>10</v>
      </c>
      <c r="K5125">
        <v>0.71</v>
      </c>
      <c r="L5125">
        <v>28721</v>
      </c>
      <c r="M5125" t="str">
        <f t="shared" si="774"/>
        <v>13</v>
      </c>
      <c r="N5125" t="s">
        <v>3323</v>
      </c>
      <c r="O5125" t="str">
        <f t="shared" si="784"/>
        <v>72011</v>
      </c>
      <c r="P5125" t="str">
        <f>"3030L"</f>
        <v>3030L</v>
      </c>
      <c r="Q5125" t="str">
        <f t="shared" si="783"/>
        <v>0101</v>
      </c>
      <c r="R5125">
        <v>3030</v>
      </c>
      <c r="S5125" t="str">
        <f t="shared" si="785"/>
        <v>7200</v>
      </c>
      <c r="T5125" t="s">
        <v>4101</v>
      </c>
      <c r="U5125" t="s">
        <v>103</v>
      </c>
    </row>
    <row r="5126" spans="1:21" ht="15" customHeight="1" x14ac:dyDescent="0.3">
      <c r="A5126" t="s">
        <v>179</v>
      </c>
      <c r="B5126" t="str">
        <f>"00074472"</f>
        <v>00074472</v>
      </c>
      <c r="C5126" t="s">
        <v>4290</v>
      </c>
      <c r="D5126" t="s">
        <v>5807</v>
      </c>
      <c r="E5126" t="str">
        <f>"00067434"</f>
        <v>00067434</v>
      </c>
      <c r="F5126">
        <v>0</v>
      </c>
      <c r="G5126" s="243">
        <v>40911</v>
      </c>
      <c r="H5126" t="s">
        <v>182</v>
      </c>
      <c r="J5126">
        <v>0</v>
      </c>
      <c r="K5126">
        <v>0.71</v>
      </c>
      <c r="L5126">
        <v>25935.88</v>
      </c>
      <c r="M5126" t="str">
        <f t="shared" si="774"/>
        <v>13</v>
      </c>
      <c r="N5126" t="s">
        <v>3323</v>
      </c>
      <c r="O5126" t="str">
        <f t="shared" si="784"/>
        <v>72011</v>
      </c>
      <c r="P5126" t="str">
        <f>"3030L"</f>
        <v>3030L</v>
      </c>
      <c r="Q5126" t="str">
        <f t="shared" si="783"/>
        <v>0101</v>
      </c>
      <c r="R5126">
        <v>3030</v>
      </c>
      <c r="S5126" t="str">
        <f t="shared" si="785"/>
        <v>7200</v>
      </c>
      <c r="T5126" t="s">
        <v>4101</v>
      </c>
      <c r="U5126" t="s">
        <v>103</v>
      </c>
    </row>
    <row r="5127" spans="1:21" ht="15" customHeight="1" x14ac:dyDescent="0.3">
      <c r="A5127" t="s">
        <v>179</v>
      </c>
      <c r="B5127" t="str">
        <f>"00074608"</f>
        <v>00074608</v>
      </c>
      <c r="C5127" t="s">
        <v>3670</v>
      </c>
      <c r="D5127" t="s">
        <v>268</v>
      </c>
      <c r="E5127" t="str">
        <f>"00045812"</f>
        <v>00045812</v>
      </c>
      <c r="F5127">
        <v>0</v>
      </c>
      <c r="G5127" s="243">
        <v>38817</v>
      </c>
      <c r="H5127" t="s">
        <v>182</v>
      </c>
      <c r="I5127">
        <v>8</v>
      </c>
      <c r="J5127">
        <v>3</v>
      </c>
      <c r="K5127">
        <v>1</v>
      </c>
      <c r="L5127">
        <v>88654</v>
      </c>
      <c r="M5127" t="str">
        <f t="shared" si="774"/>
        <v>13</v>
      </c>
      <c r="N5127" t="s">
        <v>3323</v>
      </c>
      <c r="O5127" t="str">
        <f t="shared" si="784"/>
        <v>72011</v>
      </c>
      <c r="P5127" t="str">
        <f>"1501L"</f>
        <v>1501L</v>
      </c>
      <c r="Q5127" t="str">
        <f t="shared" si="783"/>
        <v>0101</v>
      </c>
      <c r="R5127">
        <v>1501</v>
      </c>
      <c r="S5127" t="str">
        <f t="shared" si="785"/>
        <v>7200</v>
      </c>
      <c r="T5127" t="s">
        <v>4101</v>
      </c>
      <c r="U5127" t="s">
        <v>103</v>
      </c>
    </row>
    <row r="5128" spans="1:21" ht="15" customHeight="1" x14ac:dyDescent="0.3">
      <c r="A5128" t="s">
        <v>179</v>
      </c>
      <c r="B5128" t="str">
        <f>"00074609"</f>
        <v>00074609</v>
      </c>
      <c r="C5128" t="s">
        <v>4253</v>
      </c>
      <c r="D5128" t="s">
        <v>4113</v>
      </c>
      <c r="E5128" t="str">
        <f>"00065687"</f>
        <v>00065687</v>
      </c>
      <c r="F5128">
        <v>0</v>
      </c>
      <c r="G5128" s="243">
        <v>40755</v>
      </c>
      <c r="H5128" t="s">
        <v>182</v>
      </c>
      <c r="I5128">
        <v>15</v>
      </c>
      <c r="J5128">
        <v>11</v>
      </c>
      <c r="K5128">
        <v>1</v>
      </c>
      <c r="L5128">
        <v>81335</v>
      </c>
      <c r="M5128" t="str">
        <f t="shared" ref="M5128:M5178" si="786">"13"</f>
        <v>13</v>
      </c>
      <c r="N5128" t="s">
        <v>3323</v>
      </c>
      <c r="O5128" t="str">
        <f t="shared" si="784"/>
        <v>72011</v>
      </c>
      <c r="P5128" t="str">
        <f t="shared" ref="P5128:P5133" si="787">"2100L"</f>
        <v>2100L</v>
      </c>
      <c r="Q5128" t="str">
        <f t="shared" si="783"/>
        <v>0101</v>
      </c>
      <c r="R5128">
        <v>2100</v>
      </c>
      <c r="S5128" t="str">
        <f t="shared" si="785"/>
        <v>7200</v>
      </c>
      <c r="T5128" t="s">
        <v>4101</v>
      </c>
      <c r="U5128" t="s">
        <v>103</v>
      </c>
    </row>
    <row r="5129" spans="1:21" ht="15" customHeight="1" x14ac:dyDescent="0.3">
      <c r="A5129" t="s">
        <v>179</v>
      </c>
      <c r="B5129" t="str">
        <f>"00074610"</f>
        <v>00074610</v>
      </c>
      <c r="C5129" t="s">
        <v>4253</v>
      </c>
      <c r="D5129" t="s">
        <v>4114</v>
      </c>
      <c r="E5129" t="str">
        <f>"00065625"</f>
        <v>00065625</v>
      </c>
      <c r="F5129">
        <v>0</v>
      </c>
      <c r="G5129" s="243">
        <v>40755</v>
      </c>
      <c r="H5129" t="s">
        <v>182</v>
      </c>
      <c r="I5129">
        <v>15</v>
      </c>
      <c r="J5129">
        <v>11</v>
      </c>
      <c r="K5129">
        <v>1</v>
      </c>
      <c r="L5129">
        <v>81335</v>
      </c>
      <c r="M5129" t="str">
        <f t="shared" si="786"/>
        <v>13</v>
      </c>
      <c r="N5129" t="s">
        <v>3323</v>
      </c>
      <c r="O5129" t="str">
        <f t="shared" si="784"/>
        <v>72011</v>
      </c>
      <c r="P5129" t="str">
        <f t="shared" si="787"/>
        <v>2100L</v>
      </c>
      <c r="Q5129" t="str">
        <f t="shared" si="783"/>
        <v>0101</v>
      </c>
      <c r="R5129">
        <v>2100</v>
      </c>
      <c r="S5129" t="str">
        <f t="shared" si="785"/>
        <v>7200</v>
      </c>
      <c r="T5129" t="s">
        <v>4101</v>
      </c>
      <c r="U5129" t="s">
        <v>103</v>
      </c>
    </row>
    <row r="5130" spans="1:21" ht="15" customHeight="1" x14ac:dyDescent="0.3">
      <c r="A5130" t="s">
        <v>179</v>
      </c>
      <c r="B5130" t="str">
        <f>"00074611"</f>
        <v>00074611</v>
      </c>
      <c r="C5130" t="s">
        <v>4253</v>
      </c>
      <c r="D5130" t="s">
        <v>4115</v>
      </c>
      <c r="E5130" t="str">
        <f>"00066011"</f>
        <v>00066011</v>
      </c>
      <c r="F5130">
        <v>0</v>
      </c>
      <c r="G5130" s="243">
        <v>40755</v>
      </c>
      <c r="H5130" t="s">
        <v>182</v>
      </c>
      <c r="I5130">
        <v>15</v>
      </c>
      <c r="J5130">
        <v>8</v>
      </c>
      <c r="K5130">
        <v>1</v>
      </c>
      <c r="L5130">
        <v>72171</v>
      </c>
      <c r="M5130" t="str">
        <f t="shared" si="786"/>
        <v>13</v>
      </c>
      <c r="N5130" t="s">
        <v>3323</v>
      </c>
      <c r="O5130" t="str">
        <f t="shared" si="784"/>
        <v>72011</v>
      </c>
      <c r="P5130" t="str">
        <f t="shared" si="787"/>
        <v>2100L</v>
      </c>
      <c r="Q5130" t="str">
        <f t="shared" si="783"/>
        <v>0101</v>
      </c>
      <c r="R5130">
        <v>2100</v>
      </c>
      <c r="S5130" t="str">
        <f t="shared" si="785"/>
        <v>7200</v>
      </c>
      <c r="T5130" t="s">
        <v>4101</v>
      </c>
      <c r="U5130" t="s">
        <v>103</v>
      </c>
    </row>
    <row r="5131" spans="1:21" ht="15" customHeight="1" x14ac:dyDescent="0.3">
      <c r="A5131" t="s">
        <v>179</v>
      </c>
      <c r="B5131" t="str">
        <f>"00074612"</f>
        <v>00074612</v>
      </c>
      <c r="C5131" t="s">
        <v>4253</v>
      </c>
      <c r="D5131" t="s">
        <v>4116</v>
      </c>
      <c r="E5131" t="str">
        <f>"00065203"</f>
        <v>00065203</v>
      </c>
      <c r="F5131">
        <v>0</v>
      </c>
      <c r="G5131" s="243">
        <v>40705</v>
      </c>
      <c r="H5131" t="s">
        <v>182</v>
      </c>
      <c r="I5131">
        <v>15</v>
      </c>
      <c r="J5131">
        <v>8</v>
      </c>
      <c r="K5131">
        <v>1</v>
      </c>
      <c r="L5131">
        <v>65957</v>
      </c>
      <c r="M5131" t="str">
        <f t="shared" si="786"/>
        <v>13</v>
      </c>
      <c r="N5131" t="s">
        <v>3323</v>
      </c>
      <c r="O5131" t="str">
        <f t="shared" si="784"/>
        <v>72011</v>
      </c>
      <c r="P5131" t="str">
        <f t="shared" si="787"/>
        <v>2100L</v>
      </c>
      <c r="Q5131" t="str">
        <f t="shared" si="783"/>
        <v>0101</v>
      </c>
      <c r="R5131">
        <v>2100</v>
      </c>
      <c r="S5131" t="str">
        <f t="shared" si="785"/>
        <v>7200</v>
      </c>
      <c r="T5131" t="s">
        <v>4101</v>
      </c>
      <c r="U5131" t="s">
        <v>103</v>
      </c>
    </row>
    <row r="5132" spans="1:21" ht="15" customHeight="1" x14ac:dyDescent="0.3">
      <c r="A5132" t="s">
        <v>179</v>
      </c>
      <c r="B5132" t="str">
        <f>"00074613"</f>
        <v>00074613</v>
      </c>
      <c r="C5132" t="s">
        <v>4253</v>
      </c>
      <c r="D5132" t="s">
        <v>4117</v>
      </c>
      <c r="E5132" t="str">
        <f>"00065682"</f>
        <v>00065682</v>
      </c>
      <c r="F5132">
        <v>0</v>
      </c>
      <c r="G5132" s="243">
        <v>40756</v>
      </c>
      <c r="H5132" t="s">
        <v>182</v>
      </c>
      <c r="I5132">
        <v>15</v>
      </c>
      <c r="J5132">
        <v>4</v>
      </c>
      <c r="K5132">
        <v>1</v>
      </c>
      <c r="L5132">
        <v>61158</v>
      </c>
      <c r="M5132" t="str">
        <f t="shared" si="786"/>
        <v>13</v>
      </c>
      <c r="N5132" t="s">
        <v>3323</v>
      </c>
      <c r="O5132" t="str">
        <f t="shared" si="784"/>
        <v>72011</v>
      </c>
      <c r="P5132" t="str">
        <f t="shared" si="787"/>
        <v>2100L</v>
      </c>
      <c r="Q5132" t="str">
        <f t="shared" si="783"/>
        <v>0101</v>
      </c>
      <c r="R5132">
        <v>2100</v>
      </c>
      <c r="S5132" t="str">
        <f t="shared" si="785"/>
        <v>7200</v>
      </c>
      <c r="T5132" t="s">
        <v>4101</v>
      </c>
      <c r="U5132" t="s">
        <v>103</v>
      </c>
    </row>
    <row r="5133" spans="1:21" ht="15" customHeight="1" x14ac:dyDescent="0.3">
      <c r="A5133" t="s">
        <v>179</v>
      </c>
      <c r="B5133" t="str">
        <f>"00074615"</f>
        <v>00074615</v>
      </c>
      <c r="C5133" t="s">
        <v>4410</v>
      </c>
      <c r="H5133" t="s">
        <v>170</v>
      </c>
      <c r="I5133">
        <v>5</v>
      </c>
      <c r="J5133">
        <v>1</v>
      </c>
      <c r="K5133">
        <v>1</v>
      </c>
      <c r="L5133">
        <v>28486</v>
      </c>
      <c r="M5133" t="str">
        <f t="shared" si="786"/>
        <v>13</v>
      </c>
      <c r="N5133" t="s">
        <v>3323</v>
      </c>
      <c r="O5133" t="str">
        <f t="shared" si="784"/>
        <v>72011</v>
      </c>
      <c r="P5133" t="str">
        <f t="shared" si="787"/>
        <v>2100L</v>
      </c>
      <c r="Q5133" t="str">
        <f t="shared" si="783"/>
        <v>0101</v>
      </c>
      <c r="R5133">
        <v>2100</v>
      </c>
      <c r="S5133" t="str">
        <f t="shared" si="785"/>
        <v>7200</v>
      </c>
      <c r="T5133" t="s">
        <v>4101</v>
      </c>
      <c r="U5133" t="s">
        <v>103</v>
      </c>
    </row>
    <row r="5134" spans="1:21" ht="15" customHeight="1" x14ac:dyDescent="0.3">
      <c r="A5134" t="s">
        <v>179</v>
      </c>
      <c r="B5134" t="str">
        <f>"00074617"</f>
        <v>00074617</v>
      </c>
      <c r="C5134" t="s">
        <v>4518</v>
      </c>
      <c r="D5134" t="s">
        <v>1120</v>
      </c>
      <c r="E5134" t="str">
        <f>"00045363"</f>
        <v>00045363</v>
      </c>
      <c r="F5134">
        <v>0</v>
      </c>
      <c r="G5134" s="243">
        <v>36034</v>
      </c>
      <c r="H5134" t="s">
        <v>182</v>
      </c>
      <c r="I5134">
        <v>10</v>
      </c>
      <c r="J5134">
        <v>9</v>
      </c>
      <c r="K5134">
        <v>1</v>
      </c>
      <c r="L5134">
        <v>84226</v>
      </c>
      <c r="M5134" t="str">
        <f t="shared" si="786"/>
        <v>13</v>
      </c>
      <c r="N5134" t="s">
        <v>3323</v>
      </c>
      <c r="O5134" t="str">
        <f t="shared" si="784"/>
        <v>72011</v>
      </c>
      <c r="P5134" t="str">
        <f>"2100L"</f>
        <v>2100L</v>
      </c>
      <c r="Q5134" t="str">
        <f t="shared" si="783"/>
        <v>0101</v>
      </c>
      <c r="R5134">
        <v>2100</v>
      </c>
      <c r="S5134" t="str">
        <f t="shared" si="785"/>
        <v>7200</v>
      </c>
      <c r="T5134" t="s">
        <v>4101</v>
      </c>
      <c r="U5134" t="s">
        <v>103</v>
      </c>
    </row>
    <row r="5135" spans="1:21" ht="15" customHeight="1" x14ac:dyDescent="0.3">
      <c r="A5135" t="s">
        <v>179</v>
      </c>
      <c r="B5135" t="str">
        <f>"00076000"</f>
        <v>00076000</v>
      </c>
      <c r="C5135" t="s">
        <v>4333</v>
      </c>
      <c r="D5135" t="s">
        <v>4104</v>
      </c>
      <c r="E5135" t="str">
        <f>"00066229"</f>
        <v>00066229</v>
      </c>
      <c r="F5135">
        <v>0</v>
      </c>
      <c r="G5135" s="243">
        <v>40755</v>
      </c>
      <c r="H5135" t="s">
        <v>182</v>
      </c>
      <c r="I5135">
        <v>12</v>
      </c>
      <c r="J5135">
        <v>1</v>
      </c>
      <c r="K5135">
        <v>1</v>
      </c>
      <c r="L5135">
        <v>59480</v>
      </c>
      <c r="M5135" t="str">
        <f t="shared" si="786"/>
        <v>13</v>
      </c>
      <c r="N5135" t="s">
        <v>3370</v>
      </c>
      <c r="O5135" t="str">
        <f t="shared" si="784"/>
        <v>72011</v>
      </c>
      <c r="P5135" t="str">
        <f>"1502L"</f>
        <v>1502L</v>
      </c>
      <c r="Q5135" t="str">
        <f t="shared" si="783"/>
        <v>0101</v>
      </c>
      <c r="R5135">
        <v>1502</v>
      </c>
      <c r="S5135" t="str">
        <f t="shared" si="785"/>
        <v>7200</v>
      </c>
      <c r="T5135" t="s">
        <v>4101</v>
      </c>
      <c r="U5135" t="s">
        <v>103</v>
      </c>
    </row>
    <row r="5136" spans="1:21" ht="15" customHeight="1" x14ac:dyDescent="0.3">
      <c r="A5136" t="s">
        <v>179</v>
      </c>
      <c r="B5136" t="str">
        <f>"00076019"</f>
        <v>00076019</v>
      </c>
      <c r="C5136" t="s">
        <v>4253</v>
      </c>
      <c r="D5136" t="s">
        <v>4221</v>
      </c>
      <c r="E5136" t="str">
        <f>"00065759"</f>
        <v>00065759</v>
      </c>
      <c r="F5136">
        <v>0</v>
      </c>
      <c r="G5136" s="243">
        <v>40755</v>
      </c>
      <c r="H5136" t="s">
        <v>182</v>
      </c>
      <c r="I5136">
        <v>15</v>
      </c>
      <c r="J5136">
        <v>2</v>
      </c>
      <c r="K5136">
        <v>1</v>
      </c>
      <c r="L5136">
        <v>56242</v>
      </c>
      <c r="M5136" t="str">
        <f t="shared" si="786"/>
        <v>13</v>
      </c>
      <c r="N5136" t="s">
        <v>3323</v>
      </c>
      <c r="O5136" t="str">
        <f t="shared" si="784"/>
        <v>72011</v>
      </c>
      <c r="P5136" t="str">
        <f t="shared" ref="P5136:P5153" si="788">"2100L"</f>
        <v>2100L</v>
      </c>
      <c r="Q5136" t="str">
        <f t="shared" si="783"/>
        <v>0101</v>
      </c>
      <c r="R5136">
        <v>2100</v>
      </c>
      <c r="S5136" t="str">
        <f t="shared" si="785"/>
        <v>7200</v>
      </c>
      <c r="T5136" t="s">
        <v>4101</v>
      </c>
      <c r="U5136" t="s">
        <v>103</v>
      </c>
    </row>
    <row r="5137" spans="1:21" ht="15" customHeight="1" x14ac:dyDescent="0.3">
      <c r="A5137" t="s">
        <v>179</v>
      </c>
      <c r="B5137" t="str">
        <f>"00076020"</f>
        <v>00076020</v>
      </c>
      <c r="C5137" t="s">
        <v>4253</v>
      </c>
      <c r="D5137" t="s">
        <v>5808</v>
      </c>
      <c r="E5137" t="str">
        <f>"00069622"</f>
        <v>00069622</v>
      </c>
      <c r="F5137">
        <v>0</v>
      </c>
      <c r="G5137" s="243">
        <v>41133</v>
      </c>
      <c r="H5137" t="s">
        <v>182</v>
      </c>
      <c r="I5137">
        <v>15</v>
      </c>
      <c r="J5137">
        <v>1</v>
      </c>
      <c r="K5137">
        <v>1</v>
      </c>
      <c r="L5137">
        <v>51539</v>
      </c>
      <c r="M5137" t="str">
        <f t="shared" si="786"/>
        <v>13</v>
      </c>
      <c r="N5137" t="s">
        <v>3370</v>
      </c>
      <c r="O5137" t="str">
        <f t="shared" si="784"/>
        <v>72011</v>
      </c>
      <c r="P5137" t="str">
        <f t="shared" si="788"/>
        <v>2100L</v>
      </c>
      <c r="Q5137" t="str">
        <f t="shared" si="783"/>
        <v>0101</v>
      </c>
      <c r="R5137">
        <v>2100</v>
      </c>
      <c r="S5137" t="str">
        <f t="shared" si="785"/>
        <v>7200</v>
      </c>
      <c r="T5137" t="s">
        <v>4101</v>
      </c>
      <c r="U5137" t="s">
        <v>103</v>
      </c>
    </row>
    <row r="5138" spans="1:21" ht="15" customHeight="1" x14ac:dyDescent="0.3">
      <c r="A5138" t="s">
        <v>179</v>
      </c>
      <c r="B5138" t="str">
        <f>"00076021"</f>
        <v>00076021</v>
      </c>
      <c r="C5138" t="s">
        <v>4253</v>
      </c>
      <c r="D5138" t="s">
        <v>667</v>
      </c>
      <c r="E5138" t="str">
        <f>"00052775"</f>
        <v>00052775</v>
      </c>
      <c r="F5138">
        <v>0</v>
      </c>
      <c r="G5138" s="243">
        <v>31287</v>
      </c>
      <c r="H5138" t="s">
        <v>182</v>
      </c>
      <c r="I5138">
        <v>15</v>
      </c>
      <c r="J5138">
        <v>16</v>
      </c>
      <c r="K5138">
        <v>1</v>
      </c>
      <c r="L5138">
        <v>100839</v>
      </c>
      <c r="M5138" t="str">
        <f t="shared" si="786"/>
        <v>13</v>
      </c>
      <c r="N5138" t="s">
        <v>3370</v>
      </c>
      <c r="O5138" t="str">
        <f t="shared" si="784"/>
        <v>72011</v>
      </c>
      <c r="P5138" t="str">
        <f t="shared" si="788"/>
        <v>2100L</v>
      </c>
      <c r="Q5138" t="str">
        <f t="shared" si="783"/>
        <v>0101</v>
      </c>
      <c r="R5138">
        <v>2100</v>
      </c>
      <c r="S5138" t="str">
        <f t="shared" si="785"/>
        <v>7200</v>
      </c>
      <c r="T5138" t="s">
        <v>4101</v>
      </c>
      <c r="U5138" t="s">
        <v>103</v>
      </c>
    </row>
    <row r="5139" spans="1:21" ht="15" customHeight="1" x14ac:dyDescent="0.3">
      <c r="A5139" t="s">
        <v>179</v>
      </c>
      <c r="B5139" t="str">
        <f>"00076023"</f>
        <v>00076023</v>
      </c>
      <c r="C5139" t="s">
        <v>4410</v>
      </c>
      <c r="D5139" t="s">
        <v>4008</v>
      </c>
      <c r="E5139" t="str">
        <f>"00064613"</f>
        <v>00064613</v>
      </c>
      <c r="F5139">
        <v>0</v>
      </c>
      <c r="G5139" s="243">
        <v>40588</v>
      </c>
      <c r="H5139" t="s">
        <v>182</v>
      </c>
      <c r="I5139">
        <v>5</v>
      </c>
      <c r="J5139">
        <v>5</v>
      </c>
      <c r="K5139">
        <v>1</v>
      </c>
      <c r="L5139">
        <v>32070</v>
      </c>
      <c r="M5139" t="str">
        <f t="shared" si="786"/>
        <v>13</v>
      </c>
      <c r="N5139" t="s">
        <v>3370</v>
      </c>
      <c r="O5139" t="str">
        <f t="shared" si="784"/>
        <v>72011</v>
      </c>
      <c r="P5139" t="str">
        <f t="shared" si="788"/>
        <v>2100L</v>
      </c>
      <c r="Q5139" t="str">
        <f t="shared" si="783"/>
        <v>0101</v>
      </c>
      <c r="R5139">
        <v>2100</v>
      </c>
      <c r="S5139" t="str">
        <f t="shared" si="785"/>
        <v>7200</v>
      </c>
      <c r="T5139" t="s">
        <v>4101</v>
      </c>
      <c r="U5139" t="s">
        <v>103</v>
      </c>
    </row>
    <row r="5140" spans="1:21" ht="15" customHeight="1" x14ac:dyDescent="0.3">
      <c r="A5140" t="s">
        <v>179</v>
      </c>
      <c r="B5140" t="str">
        <f>"00076024"</f>
        <v>00076024</v>
      </c>
      <c r="C5140" t="s">
        <v>4410</v>
      </c>
      <c r="D5140" t="s">
        <v>3926</v>
      </c>
      <c r="E5140" t="str">
        <f>"00064841"</f>
        <v>00064841</v>
      </c>
      <c r="F5140">
        <v>0</v>
      </c>
      <c r="G5140" s="243">
        <v>40644</v>
      </c>
      <c r="H5140" t="s">
        <v>182</v>
      </c>
      <c r="I5140">
        <v>5</v>
      </c>
      <c r="J5140">
        <v>5</v>
      </c>
      <c r="K5140">
        <v>1</v>
      </c>
      <c r="L5140">
        <v>32070</v>
      </c>
      <c r="M5140" t="str">
        <f t="shared" si="786"/>
        <v>13</v>
      </c>
      <c r="N5140" t="s">
        <v>3370</v>
      </c>
      <c r="O5140" t="str">
        <f t="shared" si="784"/>
        <v>72011</v>
      </c>
      <c r="P5140" t="str">
        <f t="shared" si="788"/>
        <v>2100L</v>
      </c>
      <c r="Q5140" t="str">
        <f t="shared" si="783"/>
        <v>0101</v>
      </c>
      <c r="R5140">
        <v>2100</v>
      </c>
      <c r="S5140" t="str">
        <f t="shared" si="785"/>
        <v>7200</v>
      </c>
      <c r="T5140" t="s">
        <v>4101</v>
      </c>
      <c r="U5140" t="s">
        <v>103</v>
      </c>
    </row>
    <row r="5141" spans="1:21" ht="15" customHeight="1" x14ac:dyDescent="0.3">
      <c r="A5141" t="s">
        <v>179</v>
      </c>
      <c r="B5141" t="str">
        <f>"00076025"</f>
        <v>00076025</v>
      </c>
      <c r="C5141" t="s">
        <v>4253</v>
      </c>
      <c r="D5141" t="s">
        <v>4103</v>
      </c>
      <c r="E5141" t="str">
        <f>"00066044"</f>
        <v>00066044</v>
      </c>
      <c r="F5141">
        <v>0</v>
      </c>
      <c r="G5141" s="243">
        <v>40770</v>
      </c>
      <c r="H5141" t="s">
        <v>182</v>
      </c>
      <c r="I5141">
        <v>15</v>
      </c>
      <c r="J5141">
        <v>1</v>
      </c>
      <c r="K5141">
        <v>1</v>
      </c>
      <c r="L5141">
        <v>51539</v>
      </c>
      <c r="M5141" t="str">
        <f t="shared" si="786"/>
        <v>13</v>
      </c>
      <c r="N5141" t="s">
        <v>3370</v>
      </c>
      <c r="O5141" t="str">
        <f t="shared" si="784"/>
        <v>72011</v>
      </c>
      <c r="P5141" t="str">
        <f t="shared" si="788"/>
        <v>2100L</v>
      </c>
      <c r="Q5141" t="str">
        <f t="shared" si="783"/>
        <v>0101</v>
      </c>
      <c r="R5141">
        <v>2100</v>
      </c>
      <c r="S5141" t="str">
        <f t="shared" si="785"/>
        <v>7200</v>
      </c>
      <c r="T5141" t="s">
        <v>4101</v>
      </c>
      <c r="U5141" t="s">
        <v>103</v>
      </c>
    </row>
    <row r="5142" spans="1:21" ht="15" customHeight="1" x14ac:dyDescent="0.3">
      <c r="A5142" t="s">
        <v>179</v>
      </c>
      <c r="B5142" t="str">
        <f>"00076026"</f>
        <v>00076026</v>
      </c>
      <c r="C5142" t="s">
        <v>4253</v>
      </c>
      <c r="D5142" t="s">
        <v>4046</v>
      </c>
      <c r="E5142" t="str">
        <f>"00066217"</f>
        <v>00066217</v>
      </c>
      <c r="F5142">
        <v>0</v>
      </c>
      <c r="G5142" s="243">
        <v>40755</v>
      </c>
      <c r="H5142" t="s">
        <v>182</v>
      </c>
      <c r="I5142">
        <v>15</v>
      </c>
      <c r="J5142">
        <v>9</v>
      </c>
      <c r="K5142">
        <v>1</v>
      </c>
      <c r="L5142">
        <v>65985</v>
      </c>
      <c r="M5142" t="str">
        <f t="shared" si="786"/>
        <v>13</v>
      </c>
      <c r="N5142" t="s">
        <v>3370</v>
      </c>
      <c r="O5142" t="str">
        <f t="shared" si="784"/>
        <v>72011</v>
      </c>
      <c r="P5142" t="str">
        <f t="shared" si="788"/>
        <v>2100L</v>
      </c>
      <c r="Q5142" t="str">
        <f t="shared" si="783"/>
        <v>0101</v>
      </c>
      <c r="R5142">
        <v>2100</v>
      </c>
      <c r="S5142" t="str">
        <f t="shared" si="785"/>
        <v>7200</v>
      </c>
      <c r="T5142" t="s">
        <v>4101</v>
      </c>
      <c r="U5142" t="s">
        <v>103</v>
      </c>
    </row>
    <row r="5143" spans="1:21" ht="15" customHeight="1" x14ac:dyDescent="0.3">
      <c r="A5143" t="s">
        <v>179</v>
      </c>
      <c r="B5143" t="str">
        <f>"00076027"</f>
        <v>00076027</v>
      </c>
      <c r="C5143" t="s">
        <v>4253</v>
      </c>
      <c r="D5143" t="s">
        <v>5809</v>
      </c>
      <c r="E5143" t="str">
        <f>"00069774"</f>
        <v>00069774</v>
      </c>
      <c r="F5143">
        <v>0</v>
      </c>
      <c r="G5143" s="243">
        <v>41133</v>
      </c>
      <c r="H5143" t="s">
        <v>182</v>
      </c>
      <c r="I5143">
        <v>15</v>
      </c>
      <c r="J5143">
        <v>3</v>
      </c>
      <c r="K5143">
        <v>1</v>
      </c>
      <c r="L5143">
        <v>58699</v>
      </c>
      <c r="M5143" t="str">
        <f t="shared" si="786"/>
        <v>13</v>
      </c>
      <c r="N5143" t="s">
        <v>3370</v>
      </c>
      <c r="O5143" t="str">
        <f t="shared" si="784"/>
        <v>72011</v>
      </c>
      <c r="P5143" t="str">
        <f t="shared" si="788"/>
        <v>2100L</v>
      </c>
      <c r="Q5143" t="str">
        <f t="shared" si="783"/>
        <v>0101</v>
      </c>
      <c r="R5143">
        <v>2100</v>
      </c>
      <c r="S5143" t="str">
        <f t="shared" si="785"/>
        <v>7200</v>
      </c>
      <c r="T5143" t="s">
        <v>4101</v>
      </c>
      <c r="U5143" t="s">
        <v>103</v>
      </c>
    </row>
    <row r="5144" spans="1:21" ht="15" customHeight="1" x14ac:dyDescent="0.3">
      <c r="A5144" t="s">
        <v>179</v>
      </c>
      <c r="B5144" t="str">
        <f>"00076028"</f>
        <v>00076028</v>
      </c>
      <c r="C5144" t="s">
        <v>4253</v>
      </c>
      <c r="D5144" t="s">
        <v>5810</v>
      </c>
      <c r="E5144" t="str">
        <f>"00069765"</f>
        <v>00069765</v>
      </c>
      <c r="F5144">
        <v>0</v>
      </c>
      <c r="G5144" s="243">
        <v>41133</v>
      </c>
      <c r="H5144" t="s">
        <v>182</v>
      </c>
      <c r="I5144">
        <v>15</v>
      </c>
      <c r="J5144">
        <v>1</v>
      </c>
      <c r="K5144">
        <v>1</v>
      </c>
      <c r="L5144">
        <v>54975</v>
      </c>
      <c r="M5144" t="str">
        <f t="shared" si="786"/>
        <v>13</v>
      </c>
      <c r="N5144" t="s">
        <v>3370</v>
      </c>
      <c r="O5144" t="str">
        <f t="shared" si="784"/>
        <v>72011</v>
      </c>
      <c r="P5144" t="str">
        <f t="shared" si="788"/>
        <v>2100L</v>
      </c>
      <c r="Q5144" t="str">
        <f t="shared" si="783"/>
        <v>0101</v>
      </c>
      <c r="R5144">
        <v>2100</v>
      </c>
      <c r="S5144" t="str">
        <f t="shared" si="785"/>
        <v>7200</v>
      </c>
      <c r="T5144" t="s">
        <v>4101</v>
      </c>
      <c r="U5144" t="s">
        <v>103</v>
      </c>
    </row>
    <row r="5145" spans="1:21" ht="15" customHeight="1" x14ac:dyDescent="0.3">
      <c r="A5145" t="s">
        <v>179</v>
      </c>
      <c r="B5145" t="str">
        <f>"00076029"</f>
        <v>00076029</v>
      </c>
      <c r="C5145" t="s">
        <v>4253</v>
      </c>
      <c r="D5145" t="s">
        <v>2995</v>
      </c>
      <c r="E5145" t="str">
        <f>"00062723"</f>
        <v>00062723</v>
      </c>
      <c r="F5145">
        <v>0</v>
      </c>
      <c r="G5145" s="243">
        <v>40406</v>
      </c>
      <c r="H5145" t="s">
        <v>182</v>
      </c>
      <c r="I5145">
        <v>15</v>
      </c>
      <c r="J5145">
        <v>10</v>
      </c>
      <c r="K5145">
        <v>1</v>
      </c>
      <c r="L5145">
        <v>78273</v>
      </c>
      <c r="M5145" t="str">
        <f t="shared" si="786"/>
        <v>13</v>
      </c>
      <c r="N5145" t="s">
        <v>3370</v>
      </c>
      <c r="O5145" t="str">
        <f t="shared" si="784"/>
        <v>72011</v>
      </c>
      <c r="P5145" t="str">
        <f t="shared" si="788"/>
        <v>2100L</v>
      </c>
      <c r="Q5145" t="str">
        <f t="shared" si="783"/>
        <v>0101</v>
      </c>
      <c r="R5145">
        <v>2100</v>
      </c>
      <c r="S5145" t="str">
        <f t="shared" si="785"/>
        <v>7200</v>
      </c>
      <c r="T5145" t="s">
        <v>4101</v>
      </c>
      <c r="U5145" t="s">
        <v>103</v>
      </c>
    </row>
    <row r="5146" spans="1:21" ht="15" customHeight="1" x14ac:dyDescent="0.3">
      <c r="A5146" t="s">
        <v>179</v>
      </c>
      <c r="B5146" t="str">
        <f>"00076030"</f>
        <v>00076030</v>
      </c>
      <c r="C5146" t="s">
        <v>4253</v>
      </c>
      <c r="D5146" t="s">
        <v>2138</v>
      </c>
      <c r="E5146" t="str">
        <f>"00049101"</f>
        <v>00049101</v>
      </c>
      <c r="F5146">
        <v>0</v>
      </c>
      <c r="G5146" s="243">
        <v>40404</v>
      </c>
      <c r="H5146" t="s">
        <v>182</v>
      </c>
      <c r="I5146">
        <v>15</v>
      </c>
      <c r="J5146">
        <v>7</v>
      </c>
      <c r="K5146">
        <v>1</v>
      </c>
      <c r="L5146">
        <v>69132</v>
      </c>
      <c r="M5146" t="str">
        <f t="shared" si="786"/>
        <v>13</v>
      </c>
      <c r="N5146" t="s">
        <v>3370</v>
      </c>
      <c r="O5146" t="str">
        <f t="shared" si="784"/>
        <v>72011</v>
      </c>
      <c r="P5146" t="str">
        <f t="shared" si="788"/>
        <v>2100L</v>
      </c>
      <c r="Q5146" t="str">
        <f t="shared" si="783"/>
        <v>0101</v>
      </c>
      <c r="R5146">
        <v>2100</v>
      </c>
      <c r="S5146" t="str">
        <f t="shared" si="785"/>
        <v>7200</v>
      </c>
      <c r="T5146" t="s">
        <v>4101</v>
      </c>
      <c r="U5146" t="s">
        <v>103</v>
      </c>
    </row>
    <row r="5147" spans="1:21" ht="15" customHeight="1" x14ac:dyDescent="0.3">
      <c r="A5147" t="s">
        <v>179</v>
      </c>
      <c r="B5147" t="str">
        <f>"00076031"</f>
        <v>00076031</v>
      </c>
      <c r="C5147" t="s">
        <v>4253</v>
      </c>
      <c r="D5147" t="s">
        <v>5811</v>
      </c>
      <c r="E5147" t="str">
        <f>"00069673"</f>
        <v>00069673</v>
      </c>
      <c r="F5147">
        <v>0</v>
      </c>
      <c r="G5147" s="243">
        <v>41133</v>
      </c>
      <c r="H5147" t="s">
        <v>182</v>
      </c>
      <c r="I5147">
        <v>15</v>
      </c>
      <c r="J5147">
        <v>1</v>
      </c>
      <c r="K5147">
        <v>1</v>
      </c>
      <c r="L5147">
        <v>51539</v>
      </c>
      <c r="M5147" t="str">
        <f t="shared" si="786"/>
        <v>13</v>
      </c>
      <c r="N5147" t="s">
        <v>3370</v>
      </c>
      <c r="O5147" t="str">
        <f t="shared" si="784"/>
        <v>72011</v>
      </c>
      <c r="P5147" t="str">
        <f t="shared" si="788"/>
        <v>2100L</v>
      </c>
      <c r="Q5147" t="str">
        <f t="shared" si="783"/>
        <v>0101</v>
      </c>
      <c r="R5147">
        <v>2100</v>
      </c>
      <c r="S5147" t="str">
        <f t="shared" si="785"/>
        <v>7200</v>
      </c>
      <c r="T5147" t="s">
        <v>4101</v>
      </c>
      <c r="U5147" t="s">
        <v>103</v>
      </c>
    </row>
    <row r="5148" spans="1:21" ht="15" customHeight="1" x14ac:dyDescent="0.3">
      <c r="A5148" t="s">
        <v>179</v>
      </c>
      <c r="B5148" t="str">
        <f>"00076032"</f>
        <v>00076032</v>
      </c>
      <c r="C5148" t="s">
        <v>4253</v>
      </c>
      <c r="D5148" t="s">
        <v>1289</v>
      </c>
      <c r="E5148" t="str">
        <f>"00046643"</f>
        <v>00046643</v>
      </c>
      <c r="F5148">
        <v>0</v>
      </c>
      <c r="G5148" s="243">
        <v>32756</v>
      </c>
      <c r="H5148" t="s">
        <v>182</v>
      </c>
      <c r="I5148">
        <v>15</v>
      </c>
      <c r="J5148">
        <v>16</v>
      </c>
      <c r="K5148">
        <v>1</v>
      </c>
      <c r="L5148">
        <v>106540</v>
      </c>
      <c r="M5148" t="str">
        <f t="shared" si="786"/>
        <v>13</v>
      </c>
      <c r="N5148" t="s">
        <v>3370</v>
      </c>
      <c r="O5148" t="str">
        <f t="shared" si="784"/>
        <v>72011</v>
      </c>
      <c r="P5148" t="str">
        <f t="shared" si="788"/>
        <v>2100L</v>
      </c>
      <c r="Q5148" t="str">
        <f t="shared" si="783"/>
        <v>0101</v>
      </c>
      <c r="R5148">
        <v>2100</v>
      </c>
      <c r="S5148" t="str">
        <f t="shared" si="785"/>
        <v>7200</v>
      </c>
      <c r="T5148" t="s">
        <v>4101</v>
      </c>
      <c r="U5148" t="s">
        <v>103</v>
      </c>
    </row>
    <row r="5149" spans="1:21" ht="15" customHeight="1" x14ac:dyDescent="0.3">
      <c r="A5149" t="s">
        <v>179</v>
      </c>
      <c r="B5149" t="str">
        <f>"00076035"</f>
        <v>00076035</v>
      </c>
      <c r="C5149" t="s">
        <v>4253</v>
      </c>
      <c r="D5149" t="s">
        <v>5812</v>
      </c>
      <c r="E5149" t="str">
        <f>"00069775"</f>
        <v>00069775</v>
      </c>
      <c r="F5149">
        <v>0</v>
      </c>
      <c r="G5149" s="243">
        <v>41133</v>
      </c>
      <c r="H5149" t="s">
        <v>182</v>
      </c>
      <c r="I5149">
        <v>15</v>
      </c>
      <c r="J5149">
        <v>4</v>
      </c>
      <c r="K5149">
        <v>1</v>
      </c>
      <c r="L5149">
        <v>61158</v>
      </c>
      <c r="M5149" t="str">
        <f t="shared" si="786"/>
        <v>13</v>
      </c>
      <c r="N5149" t="s">
        <v>3370</v>
      </c>
      <c r="O5149" t="str">
        <f t="shared" si="784"/>
        <v>72011</v>
      </c>
      <c r="P5149" t="str">
        <f t="shared" si="788"/>
        <v>2100L</v>
      </c>
      <c r="Q5149" t="str">
        <f t="shared" si="783"/>
        <v>0101</v>
      </c>
      <c r="R5149">
        <v>2100</v>
      </c>
      <c r="S5149" t="str">
        <f t="shared" si="785"/>
        <v>7200</v>
      </c>
      <c r="T5149" t="s">
        <v>4101</v>
      </c>
      <c r="U5149" t="s">
        <v>103</v>
      </c>
    </row>
    <row r="5150" spans="1:21" ht="15" customHeight="1" x14ac:dyDescent="0.3">
      <c r="A5150" t="s">
        <v>179</v>
      </c>
      <c r="B5150" t="str">
        <f>"00076036"</f>
        <v>00076036</v>
      </c>
      <c r="C5150" t="s">
        <v>4253</v>
      </c>
      <c r="D5150" t="s">
        <v>4147</v>
      </c>
      <c r="E5150" t="str">
        <f>"00065840"</f>
        <v>00065840</v>
      </c>
      <c r="F5150">
        <v>0</v>
      </c>
      <c r="G5150" s="243">
        <v>40755</v>
      </c>
      <c r="H5150" t="s">
        <v>182</v>
      </c>
      <c r="I5150">
        <v>15</v>
      </c>
      <c r="J5150">
        <v>2</v>
      </c>
      <c r="K5150">
        <v>1</v>
      </c>
      <c r="L5150">
        <v>51716</v>
      </c>
      <c r="M5150" t="str">
        <f t="shared" si="786"/>
        <v>13</v>
      </c>
      <c r="N5150" t="s">
        <v>3370</v>
      </c>
      <c r="O5150" t="str">
        <f t="shared" si="784"/>
        <v>72011</v>
      </c>
      <c r="P5150" t="str">
        <f t="shared" si="788"/>
        <v>2100L</v>
      </c>
      <c r="Q5150" t="str">
        <f t="shared" si="783"/>
        <v>0101</v>
      </c>
      <c r="R5150">
        <v>2100</v>
      </c>
      <c r="S5150" t="str">
        <f t="shared" si="785"/>
        <v>7200</v>
      </c>
      <c r="T5150" t="s">
        <v>4101</v>
      </c>
      <c r="U5150" t="s">
        <v>103</v>
      </c>
    </row>
    <row r="5151" spans="1:21" ht="15" customHeight="1" x14ac:dyDescent="0.3">
      <c r="A5151" t="s">
        <v>179</v>
      </c>
      <c r="B5151" t="str">
        <f>"00076037"</f>
        <v>00076037</v>
      </c>
      <c r="C5151" t="s">
        <v>4253</v>
      </c>
      <c r="D5151" t="s">
        <v>5813</v>
      </c>
      <c r="E5151" t="str">
        <f>"00062770"</f>
        <v>00062770</v>
      </c>
      <c r="F5151">
        <v>0</v>
      </c>
      <c r="G5151" s="243">
        <v>40406</v>
      </c>
      <c r="H5151" t="s">
        <v>182</v>
      </c>
      <c r="I5151">
        <v>15</v>
      </c>
      <c r="J5151">
        <v>5</v>
      </c>
      <c r="K5151">
        <v>1</v>
      </c>
      <c r="L5151">
        <v>63611</v>
      </c>
      <c r="M5151" t="str">
        <f t="shared" si="786"/>
        <v>13</v>
      </c>
      <c r="N5151" t="s">
        <v>3370</v>
      </c>
      <c r="O5151" t="str">
        <f t="shared" si="784"/>
        <v>72011</v>
      </c>
      <c r="P5151" t="str">
        <f t="shared" si="788"/>
        <v>2100L</v>
      </c>
      <c r="Q5151" t="str">
        <f t="shared" ref="Q5151:Q5172" si="789">"0101"</f>
        <v>0101</v>
      </c>
      <c r="R5151">
        <v>2100</v>
      </c>
      <c r="S5151" t="str">
        <f t="shared" si="785"/>
        <v>7200</v>
      </c>
      <c r="T5151" t="s">
        <v>4101</v>
      </c>
      <c r="U5151" t="s">
        <v>103</v>
      </c>
    </row>
    <row r="5152" spans="1:21" ht="15" customHeight="1" x14ac:dyDescent="0.3">
      <c r="A5152" t="s">
        <v>179</v>
      </c>
      <c r="B5152" t="str">
        <f>"00076038"</f>
        <v>00076038</v>
      </c>
      <c r="C5152" t="s">
        <v>4253</v>
      </c>
      <c r="D5152" t="s">
        <v>2988</v>
      </c>
      <c r="E5152" t="str">
        <f>"00057476"</f>
        <v>00057476</v>
      </c>
      <c r="F5152">
        <v>0</v>
      </c>
      <c r="G5152" s="243">
        <v>40042</v>
      </c>
      <c r="H5152" t="s">
        <v>182</v>
      </c>
      <c r="I5152">
        <v>15</v>
      </c>
      <c r="J5152">
        <v>4</v>
      </c>
      <c r="K5152">
        <v>1</v>
      </c>
      <c r="L5152">
        <v>61158</v>
      </c>
      <c r="M5152" t="str">
        <f t="shared" si="786"/>
        <v>13</v>
      </c>
      <c r="N5152" t="s">
        <v>3370</v>
      </c>
      <c r="O5152" t="str">
        <f t="shared" ref="O5152:O5155" si="790">"72011"</f>
        <v>72011</v>
      </c>
      <c r="P5152" t="str">
        <f t="shared" si="788"/>
        <v>2100L</v>
      </c>
      <c r="Q5152" t="str">
        <f t="shared" si="789"/>
        <v>0101</v>
      </c>
      <c r="R5152">
        <v>2100</v>
      </c>
      <c r="S5152" t="str">
        <f t="shared" ref="S5152:S5155" si="791">"7200"</f>
        <v>7200</v>
      </c>
      <c r="T5152" t="s">
        <v>4101</v>
      </c>
      <c r="U5152" t="s">
        <v>103</v>
      </c>
    </row>
    <row r="5153" spans="1:21" ht="15" customHeight="1" x14ac:dyDescent="0.3">
      <c r="A5153" t="s">
        <v>179</v>
      </c>
      <c r="B5153" t="str">
        <f>"00076039"</f>
        <v>00076039</v>
      </c>
      <c r="C5153" t="s">
        <v>4253</v>
      </c>
      <c r="D5153" t="s">
        <v>2986</v>
      </c>
      <c r="E5153" t="str">
        <f>"00057753"</f>
        <v>00057753</v>
      </c>
      <c r="F5153">
        <v>0</v>
      </c>
      <c r="G5153" s="243">
        <v>40042</v>
      </c>
      <c r="H5153" t="s">
        <v>182</v>
      </c>
      <c r="I5153">
        <v>15</v>
      </c>
      <c r="J5153">
        <v>4</v>
      </c>
      <c r="K5153">
        <v>1</v>
      </c>
      <c r="L5153">
        <v>66078</v>
      </c>
      <c r="M5153" t="str">
        <f t="shared" si="786"/>
        <v>13</v>
      </c>
      <c r="N5153" t="s">
        <v>3370</v>
      </c>
      <c r="O5153" t="str">
        <f t="shared" si="790"/>
        <v>72011</v>
      </c>
      <c r="P5153" t="str">
        <f t="shared" si="788"/>
        <v>2100L</v>
      </c>
      <c r="Q5153" t="str">
        <f t="shared" si="789"/>
        <v>0101</v>
      </c>
      <c r="R5153">
        <v>2100</v>
      </c>
      <c r="S5153" t="str">
        <f t="shared" si="791"/>
        <v>7200</v>
      </c>
      <c r="T5153" t="s">
        <v>4101</v>
      </c>
      <c r="U5153" t="s">
        <v>103</v>
      </c>
    </row>
    <row r="5154" spans="1:21" ht="15" customHeight="1" x14ac:dyDescent="0.3">
      <c r="A5154" t="s">
        <v>179</v>
      </c>
      <c r="B5154" t="str">
        <f>"00076826"</f>
        <v>00076826</v>
      </c>
      <c r="C5154" t="s">
        <v>4520</v>
      </c>
      <c r="D5154" t="s">
        <v>5814</v>
      </c>
      <c r="E5154" t="str">
        <f>"00065119"</f>
        <v>00065119</v>
      </c>
      <c r="F5154">
        <v>0</v>
      </c>
      <c r="G5154" s="243">
        <v>40770</v>
      </c>
      <c r="H5154" t="s">
        <v>182</v>
      </c>
      <c r="I5154">
        <v>4</v>
      </c>
      <c r="J5154">
        <v>2</v>
      </c>
      <c r="K5154">
        <v>1</v>
      </c>
      <c r="L5154">
        <v>26459</v>
      </c>
      <c r="M5154" t="str">
        <f t="shared" si="786"/>
        <v>13</v>
      </c>
      <c r="N5154" t="s">
        <v>3370</v>
      </c>
      <c r="O5154" t="str">
        <f t="shared" si="790"/>
        <v>72011</v>
      </c>
      <c r="P5154" t="str">
        <f>"2100L"</f>
        <v>2100L</v>
      </c>
      <c r="Q5154" t="str">
        <f t="shared" si="789"/>
        <v>0101</v>
      </c>
      <c r="R5154">
        <v>2100</v>
      </c>
      <c r="S5154" t="str">
        <f t="shared" si="791"/>
        <v>7200</v>
      </c>
      <c r="T5154" t="s">
        <v>4101</v>
      </c>
      <c r="U5154" t="s">
        <v>103</v>
      </c>
    </row>
    <row r="5155" spans="1:21" ht="15" customHeight="1" x14ac:dyDescent="0.3">
      <c r="A5155" t="s">
        <v>179</v>
      </c>
      <c r="B5155" t="str">
        <f>"00076827"</f>
        <v>00076827</v>
      </c>
      <c r="C5155" t="s">
        <v>5761</v>
      </c>
      <c r="D5155" t="s">
        <v>3001</v>
      </c>
      <c r="E5155" t="str">
        <f>"00063189"</f>
        <v>00063189</v>
      </c>
      <c r="F5155">
        <v>0</v>
      </c>
      <c r="G5155" s="243">
        <v>40406</v>
      </c>
      <c r="H5155" t="s">
        <v>182</v>
      </c>
      <c r="I5155">
        <v>15</v>
      </c>
      <c r="J5155">
        <v>5</v>
      </c>
      <c r="K5155">
        <v>1</v>
      </c>
      <c r="L5155">
        <v>72685</v>
      </c>
      <c r="M5155" t="str">
        <f t="shared" si="786"/>
        <v>13</v>
      </c>
      <c r="N5155" t="s">
        <v>3370</v>
      </c>
      <c r="O5155" t="str">
        <f t="shared" si="790"/>
        <v>72011</v>
      </c>
      <c r="P5155" t="str">
        <f>"2100L"</f>
        <v>2100L</v>
      </c>
      <c r="Q5155" t="str">
        <f t="shared" si="789"/>
        <v>0101</v>
      </c>
      <c r="R5155">
        <v>2100</v>
      </c>
      <c r="S5155" t="str">
        <f t="shared" si="791"/>
        <v>7200</v>
      </c>
      <c r="T5155" t="s">
        <v>4101</v>
      </c>
      <c r="U5155" t="s">
        <v>103</v>
      </c>
    </row>
    <row r="5156" spans="1:21" ht="15" customHeight="1" x14ac:dyDescent="0.3">
      <c r="A5156" t="s">
        <v>179</v>
      </c>
      <c r="B5156" t="str">
        <f>"00052043"</f>
        <v>00052043</v>
      </c>
      <c r="C5156" t="s">
        <v>4260</v>
      </c>
      <c r="D5156" t="s">
        <v>929</v>
      </c>
      <c r="E5156" t="str">
        <f>"00047096"</f>
        <v>00047096</v>
      </c>
      <c r="F5156">
        <v>0</v>
      </c>
      <c r="G5156" s="243">
        <v>32050</v>
      </c>
      <c r="H5156" t="s">
        <v>182</v>
      </c>
      <c r="I5156">
        <v>15</v>
      </c>
      <c r="J5156">
        <v>16</v>
      </c>
      <c r="K5156">
        <v>1</v>
      </c>
      <c r="L5156">
        <v>103347</v>
      </c>
      <c r="M5156" t="str">
        <f t="shared" si="786"/>
        <v>13</v>
      </c>
      <c r="N5156" t="s">
        <v>3323</v>
      </c>
      <c r="O5156" t="str">
        <f t="shared" ref="O5156:O5164" si="792">"72111"</f>
        <v>72111</v>
      </c>
      <c r="P5156" t="str">
        <f>"3030L"</f>
        <v>3030L</v>
      </c>
      <c r="Q5156" t="str">
        <f t="shared" si="789"/>
        <v>0101</v>
      </c>
      <c r="R5156">
        <v>3030</v>
      </c>
      <c r="S5156" t="str">
        <f t="shared" ref="S5156:S5164" si="793">"7210"</f>
        <v>7210</v>
      </c>
      <c r="T5156" t="s">
        <v>4119</v>
      </c>
      <c r="U5156" t="s">
        <v>930</v>
      </c>
    </row>
    <row r="5157" spans="1:21" ht="15" customHeight="1" x14ac:dyDescent="0.3">
      <c r="A5157" t="s">
        <v>179</v>
      </c>
      <c r="B5157" t="str">
        <f>"00052654"</f>
        <v>00052654</v>
      </c>
      <c r="C5157" t="s">
        <v>4257</v>
      </c>
      <c r="D5157" t="s">
        <v>931</v>
      </c>
      <c r="E5157" t="str">
        <f>"00048801"</f>
        <v>00048801</v>
      </c>
      <c r="F5157">
        <v>0</v>
      </c>
      <c r="G5157" s="243">
        <v>34673</v>
      </c>
      <c r="H5157" t="s">
        <v>182</v>
      </c>
      <c r="I5157">
        <v>15</v>
      </c>
      <c r="J5157">
        <v>16</v>
      </c>
      <c r="K5157">
        <v>1</v>
      </c>
      <c r="L5157">
        <v>106540</v>
      </c>
      <c r="M5157" t="str">
        <f t="shared" si="786"/>
        <v>13</v>
      </c>
      <c r="N5157" t="s">
        <v>3323</v>
      </c>
      <c r="O5157" t="str">
        <f t="shared" si="792"/>
        <v>72111</v>
      </c>
      <c r="P5157" t="str">
        <f>"2100L"</f>
        <v>2100L</v>
      </c>
      <c r="Q5157" t="str">
        <f t="shared" si="789"/>
        <v>0101</v>
      </c>
      <c r="R5157">
        <v>2100</v>
      </c>
      <c r="S5157" t="str">
        <f t="shared" si="793"/>
        <v>7210</v>
      </c>
      <c r="T5157" t="s">
        <v>4119</v>
      </c>
      <c r="U5157" t="s">
        <v>930</v>
      </c>
    </row>
    <row r="5158" spans="1:21" ht="15" customHeight="1" x14ac:dyDescent="0.3">
      <c r="A5158" t="s">
        <v>179</v>
      </c>
      <c r="B5158" t="str">
        <f>"00053899"</f>
        <v>00053899</v>
      </c>
      <c r="C5158" t="s">
        <v>4257</v>
      </c>
      <c r="D5158" t="s">
        <v>932</v>
      </c>
      <c r="E5158" t="str">
        <f>"00052715"</f>
        <v>00052715</v>
      </c>
      <c r="F5158">
        <v>0</v>
      </c>
      <c r="G5158" s="243">
        <v>31071</v>
      </c>
      <c r="H5158" t="s">
        <v>182</v>
      </c>
      <c r="I5158">
        <v>15</v>
      </c>
      <c r="J5158">
        <v>16</v>
      </c>
      <c r="K5158">
        <v>1</v>
      </c>
      <c r="L5158">
        <v>103347</v>
      </c>
      <c r="M5158" t="str">
        <f t="shared" si="786"/>
        <v>13</v>
      </c>
      <c r="N5158" t="s">
        <v>3323</v>
      </c>
      <c r="O5158" t="str">
        <f t="shared" si="792"/>
        <v>72111</v>
      </c>
      <c r="P5158" t="str">
        <f>"2100L"</f>
        <v>2100L</v>
      </c>
      <c r="Q5158" t="str">
        <f t="shared" si="789"/>
        <v>0101</v>
      </c>
      <c r="R5158">
        <v>2100</v>
      </c>
      <c r="S5158" t="str">
        <f t="shared" si="793"/>
        <v>7210</v>
      </c>
      <c r="T5158" t="s">
        <v>4119</v>
      </c>
      <c r="U5158" t="s">
        <v>930</v>
      </c>
    </row>
    <row r="5159" spans="1:21" ht="15" customHeight="1" x14ac:dyDescent="0.3">
      <c r="A5159" t="s">
        <v>179</v>
      </c>
      <c r="B5159" t="str">
        <f>"00054415"</f>
        <v>00054415</v>
      </c>
      <c r="C5159" t="s">
        <v>4253</v>
      </c>
      <c r="D5159" t="s">
        <v>934</v>
      </c>
      <c r="E5159" t="str">
        <f>"00053991"</f>
        <v>00053991</v>
      </c>
      <c r="F5159">
        <v>0</v>
      </c>
      <c r="G5159" s="243">
        <v>32050</v>
      </c>
      <c r="H5159" t="s">
        <v>182</v>
      </c>
      <c r="I5159">
        <v>15</v>
      </c>
      <c r="J5159">
        <v>16</v>
      </c>
      <c r="K5159">
        <v>1</v>
      </c>
      <c r="L5159">
        <v>103347</v>
      </c>
      <c r="M5159" t="str">
        <f t="shared" si="786"/>
        <v>13</v>
      </c>
      <c r="N5159" t="s">
        <v>3323</v>
      </c>
      <c r="O5159" t="str">
        <f t="shared" si="792"/>
        <v>72111</v>
      </c>
      <c r="P5159" t="str">
        <f>"2100L"</f>
        <v>2100L</v>
      </c>
      <c r="Q5159" t="str">
        <f t="shared" si="789"/>
        <v>0101</v>
      </c>
      <c r="R5159">
        <v>2100</v>
      </c>
      <c r="S5159" t="str">
        <f t="shared" si="793"/>
        <v>7210</v>
      </c>
      <c r="T5159" t="s">
        <v>4119</v>
      </c>
      <c r="U5159" t="s">
        <v>930</v>
      </c>
    </row>
    <row r="5160" spans="1:21" ht="15" customHeight="1" x14ac:dyDescent="0.3">
      <c r="A5160" t="s">
        <v>179</v>
      </c>
      <c r="B5160" t="str">
        <f>"00059503"</f>
        <v>00059503</v>
      </c>
      <c r="C5160" t="s">
        <v>4263</v>
      </c>
      <c r="D5160" t="s">
        <v>935</v>
      </c>
      <c r="E5160" t="str">
        <f>"00055284"</f>
        <v>00055284</v>
      </c>
      <c r="F5160">
        <v>0</v>
      </c>
      <c r="G5160" s="243">
        <v>37916</v>
      </c>
      <c r="H5160" t="s">
        <v>182</v>
      </c>
      <c r="I5160">
        <v>15</v>
      </c>
      <c r="J5160">
        <v>13</v>
      </c>
      <c r="K5160">
        <v>1</v>
      </c>
      <c r="L5160">
        <v>86613</v>
      </c>
      <c r="M5160" t="str">
        <f t="shared" si="786"/>
        <v>13</v>
      </c>
      <c r="N5160" t="s">
        <v>3323</v>
      </c>
      <c r="O5160" t="str">
        <f t="shared" si="792"/>
        <v>72111</v>
      </c>
      <c r="P5160" t="str">
        <f>"2100L"</f>
        <v>2100L</v>
      </c>
      <c r="Q5160" t="str">
        <f t="shared" si="789"/>
        <v>0101</v>
      </c>
      <c r="R5160">
        <v>2100</v>
      </c>
      <c r="S5160" t="str">
        <f t="shared" si="793"/>
        <v>7210</v>
      </c>
      <c r="T5160" t="s">
        <v>4119</v>
      </c>
      <c r="U5160" t="s">
        <v>930</v>
      </c>
    </row>
    <row r="5161" spans="1:21" ht="15" customHeight="1" x14ac:dyDescent="0.3">
      <c r="A5161" t="s">
        <v>179</v>
      </c>
      <c r="B5161" t="str">
        <f>"00062334"</f>
        <v>00062334</v>
      </c>
      <c r="C5161" t="s">
        <v>4260</v>
      </c>
      <c r="D5161" t="s">
        <v>936</v>
      </c>
      <c r="E5161" t="str">
        <f>"00045305"</f>
        <v>00045305</v>
      </c>
      <c r="F5161">
        <v>0</v>
      </c>
      <c r="G5161" s="243">
        <v>39679</v>
      </c>
      <c r="H5161" t="s">
        <v>182</v>
      </c>
      <c r="I5161">
        <v>15</v>
      </c>
      <c r="J5161">
        <v>8</v>
      </c>
      <c r="K5161">
        <v>1</v>
      </c>
      <c r="L5161">
        <v>72171</v>
      </c>
      <c r="M5161" t="str">
        <f t="shared" si="786"/>
        <v>13</v>
      </c>
      <c r="N5161" t="s">
        <v>3323</v>
      </c>
      <c r="O5161" t="str">
        <f t="shared" si="792"/>
        <v>72111</v>
      </c>
      <c r="P5161" t="str">
        <f>"3030L"</f>
        <v>3030L</v>
      </c>
      <c r="Q5161" t="str">
        <f t="shared" si="789"/>
        <v>0101</v>
      </c>
      <c r="R5161">
        <v>3030</v>
      </c>
      <c r="S5161" t="str">
        <f t="shared" si="793"/>
        <v>7210</v>
      </c>
      <c r="T5161" t="s">
        <v>4119</v>
      </c>
      <c r="U5161" t="s">
        <v>930</v>
      </c>
    </row>
    <row r="5162" spans="1:21" ht="15" customHeight="1" x14ac:dyDescent="0.3">
      <c r="A5162" t="s">
        <v>179</v>
      </c>
      <c r="B5162" t="str">
        <f>"00073896"</f>
        <v>00073896</v>
      </c>
      <c r="C5162" t="s">
        <v>4265</v>
      </c>
      <c r="D5162" t="s">
        <v>4118</v>
      </c>
      <c r="E5162" t="str">
        <f>"00049125"</f>
        <v>00049125</v>
      </c>
      <c r="F5162">
        <v>0</v>
      </c>
      <c r="G5162" s="243">
        <v>35257</v>
      </c>
      <c r="H5162" t="s">
        <v>182</v>
      </c>
      <c r="I5162">
        <v>15</v>
      </c>
      <c r="J5162">
        <v>16</v>
      </c>
      <c r="K5162">
        <v>0.5</v>
      </c>
      <c r="L5162">
        <v>106540</v>
      </c>
      <c r="M5162" t="str">
        <f t="shared" si="786"/>
        <v>13</v>
      </c>
      <c r="N5162" t="s">
        <v>3323</v>
      </c>
      <c r="O5162" t="str">
        <f t="shared" si="792"/>
        <v>72111</v>
      </c>
      <c r="P5162" t="str">
        <f>"2100L"</f>
        <v>2100L</v>
      </c>
      <c r="Q5162" t="str">
        <f t="shared" si="789"/>
        <v>0101</v>
      </c>
      <c r="R5162">
        <v>2100</v>
      </c>
      <c r="S5162" t="str">
        <f t="shared" si="793"/>
        <v>7210</v>
      </c>
      <c r="T5162" t="s">
        <v>4119</v>
      </c>
      <c r="U5162" t="s">
        <v>930</v>
      </c>
    </row>
    <row r="5163" spans="1:21" ht="15" customHeight="1" x14ac:dyDescent="0.3">
      <c r="A5163" t="s">
        <v>179</v>
      </c>
      <c r="B5163" t="str">
        <f>"00074648"</f>
        <v>00074648</v>
      </c>
      <c r="C5163" t="s">
        <v>4291</v>
      </c>
      <c r="H5163" t="s">
        <v>170</v>
      </c>
      <c r="I5163">
        <v>15</v>
      </c>
      <c r="J5163">
        <v>1</v>
      </c>
      <c r="K5163">
        <v>0.5</v>
      </c>
      <c r="L5163">
        <v>56693</v>
      </c>
      <c r="M5163" t="str">
        <f t="shared" si="786"/>
        <v>13</v>
      </c>
      <c r="N5163" t="s">
        <v>3323</v>
      </c>
      <c r="O5163" t="str">
        <f t="shared" si="792"/>
        <v>72111</v>
      </c>
      <c r="P5163" t="str">
        <f>"2100L"</f>
        <v>2100L</v>
      </c>
      <c r="Q5163" t="str">
        <f t="shared" si="789"/>
        <v>0101</v>
      </c>
      <c r="R5163">
        <v>2100</v>
      </c>
      <c r="S5163" t="str">
        <f t="shared" si="793"/>
        <v>7210</v>
      </c>
      <c r="T5163" t="s">
        <v>4119</v>
      </c>
      <c r="U5163" t="s">
        <v>930</v>
      </c>
    </row>
    <row r="5164" spans="1:21" ht="15" customHeight="1" x14ac:dyDescent="0.3">
      <c r="A5164" t="s">
        <v>179</v>
      </c>
      <c r="B5164" t="str">
        <f>"00076047"</f>
        <v>00076047</v>
      </c>
      <c r="C5164" t="s">
        <v>4271</v>
      </c>
      <c r="H5164" t="s">
        <v>170</v>
      </c>
      <c r="I5164">
        <v>15</v>
      </c>
      <c r="J5164">
        <v>0</v>
      </c>
      <c r="K5164">
        <v>0.2</v>
      </c>
      <c r="L5164">
        <v>60128</v>
      </c>
      <c r="M5164" t="str">
        <f t="shared" si="786"/>
        <v>13</v>
      </c>
      <c r="N5164" t="s">
        <v>3370</v>
      </c>
      <c r="O5164" t="str">
        <f t="shared" si="792"/>
        <v>72111</v>
      </c>
      <c r="P5164" t="str">
        <f>"2100L"</f>
        <v>2100L</v>
      </c>
      <c r="Q5164" t="str">
        <f t="shared" si="789"/>
        <v>0101</v>
      </c>
      <c r="R5164">
        <v>2100</v>
      </c>
      <c r="S5164" t="str">
        <f t="shared" si="793"/>
        <v>7210</v>
      </c>
      <c r="T5164" t="s">
        <v>4119</v>
      </c>
      <c r="U5164" t="s">
        <v>930</v>
      </c>
    </row>
    <row r="5165" spans="1:21" ht="15" customHeight="1" x14ac:dyDescent="0.3">
      <c r="A5165" t="s">
        <v>179</v>
      </c>
      <c r="B5165" t="str">
        <f>"00051591"</f>
        <v>00051591</v>
      </c>
      <c r="C5165" t="s">
        <v>4260</v>
      </c>
      <c r="D5165" t="s">
        <v>1551</v>
      </c>
      <c r="E5165" t="str">
        <f>"00045008"</f>
        <v>00045008</v>
      </c>
      <c r="F5165">
        <v>0</v>
      </c>
      <c r="G5165" s="243">
        <v>33455</v>
      </c>
      <c r="H5165" t="s">
        <v>182</v>
      </c>
      <c r="I5165">
        <v>15</v>
      </c>
      <c r="J5165">
        <v>16</v>
      </c>
      <c r="K5165">
        <v>1</v>
      </c>
      <c r="L5165">
        <v>106540</v>
      </c>
      <c r="M5165" t="str">
        <f t="shared" si="786"/>
        <v>13</v>
      </c>
      <c r="N5165" t="s">
        <v>3323</v>
      </c>
      <c r="O5165" t="str">
        <f t="shared" ref="O5165:O5184" si="794">"72211"</f>
        <v>72211</v>
      </c>
      <c r="P5165" t="str">
        <f>"3030L"</f>
        <v>3030L</v>
      </c>
      <c r="Q5165" t="str">
        <f t="shared" si="789"/>
        <v>0101</v>
      </c>
      <c r="R5165">
        <v>3030</v>
      </c>
      <c r="S5165" t="str">
        <f t="shared" ref="S5165:S5195" si="795">"7220"</f>
        <v>7220</v>
      </c>
      <c r="T5165" t="s">
        <v>3849</v>
      </c>
      <c r="U5165" t="s">
        <v>1552</v>
      </c>
    </row>
    <row r="5166" spans="1:21" ht="15" customHeight="1" x14ac:dyDescent="0.3">
      <c r="A5166" t="s">
        <v>179</v>
      </c>
      <c r="B5166" t="str">
        <f>"00053750"</f>
        <v>00053750</v>
      </c>
      <c r="C5166" t="s">
        <v>3798</v>
      </c>
      <c r="D5166" t="s">
        <v>1554</v>
      </c>
      <c r="E5166" t="str">
        <f>"00033425"</f>
        <v>00033425</v>
      </c>
      <c r="F5166">
        <v>1</v>
      </c>
      <c r="G5166" s="243">
        <v>38992</v>
      </c>
      <c r="H5166" t="s">
        <v>182</v>
      </c>
      <c r="I5166">
        <v>65</v>
      </c>
      <c r="J5166">
        <v>3</v>
      </c>
      <c r="K5166">
        <v>1</v>
      </c>
      <c r="L5166">
        <v>122000</v>
      </c>
      <c r="M5166" t="str">
        <f t="shared" si="786"/>
        <v>13</v>
      </c>
      <c r="N5166" t="s">
        <v>3323</v>
      </c>
      <c r="O5166" t="str">
        <f t="shared" si="794"/>
        <v>72211</v>
      </c>
      <c r="P5166" t="str">
        <f>"1501L"</f>
        <v>1501L</v>
      </c>
      <c r="Q5166" t="str">
        <f t="shared" si="789"/>
        <v>0101</v>
      </c>
      <c r="R5166">
        <v>1501</v>
      </c>
      <c r="S5166" t="str">
        <f t="shared" si="795"/>
        <v>7220</v>
      </c>
      <c r="T5166" t="s">
        <v>3849</v>
      </c>
      <c r="U5166" t="s">
        <v>1552</v>
      </c>
    </row>
    <row r="5167" spans="1:21" ht="15" customHeight="1" x14ac:dyDescent="0.3">
      <c r="A5167" t="s">
        <v>179</v>
      </c>
      <c r="B5167" t="str">
        <f>"00054259"</f>
        <v>00054259</v>
      </c>
      <c r="C5167" t="s">
        <v>4255</v>
      </c>
      <c r="D5167" t="s">
        <v>1555</v>
      </c>
      <c r="E5167" t="str">
        <f>"00022968"</f>
        <v>00022968</v>
      </c>
      <c r="F5167">
        <v>1</v>
      </c>
      <c r="G5167" s="243">
        <v>33484</v>
      </c>
      <c r="H5167" t="s">
        <v>182</v>
      </c>
      <c r="I5167">
        <v>15</v>
      </c>
      <c r="J5167">
        <v>16</v>
      </c>
      <c r="K5167">
        <v>1</v>
      </c>
      <c r="L5167">
        <v>103347</v>
      </c>
      <c r="M5167" t="str">
        <f t="shared" si="786"/>
        <v>13</v>
      </c>
      <c r="N5167" t="s">
        <v>3323</v>
      </c>
      <c r="O5167" t="str">
        <f t="shared" si="794"/>
        <v>72211</v>
      </c>
      <c r="P5167" t="str">
        <f t="shared" ref="P5167:P5172" si="796">"2120L"</f>
        <v>2120L</v>
      </c>
      <c r="Q5167" t="str">
        <f t="shared" si="789"/>
        <v>0101</v>
      </c>
      <c r="R5167">
        <v>2120</v>
      </c>
      <c r="S5167" t="str">
        <f t="shared" si="795"/>
        <v>7220</v>
      </c>
      <c r="T5167" t="s">
        <v>3849</v>
      </c>
      <c r="U5167" t="s">
        <v>1552</v>
      </c>
    </row>
    <row r="5168" spans="1:21" ht="15" customHeight="1" x14ac:dyDescent="0.3">
      <c r="A5168" t="s">
        <v>179</v>
      </c>
      <c r="B5168" t="str">
        <f>"00054535"</f>
        <v>00054535</v>
      </c>
      <c r="C5168" t="s">
        <v>4253</v>
      </c>
      <c r="D5168" t="s">
        <v>1403</v>
      </c>
      <c r="E5168" t="str">
        <f>"00048217"</f>
        <v>00048217</v>
      </c>
      <c r="F5168">
        <v>0</v>
      </c>
      <c r="G5168" s="243">
        <v>32050</v>
      </c>
      <c r="H5168" t="s">
        <v>182</v>
      </c>
      <c r="I5168">
        <v>15</v>
      </c>
      <c r="J5168">
        <v>13</v>
      </c>
      <c r="K5168">
        <v>1</v>
      </c>
      <c r="L5168">
        <v>81724</v>
      </c>
      <c r="M5168" t="str">
        <f t="shared" si="786"/>
        <v>13</v>
      </c>
      <c r="N5168" t="s">
        <v>3323</v>
      </c>
      <c r="O5168" t="str">
        <f t="shared" si="794"/>
        <v>72211</v>
      </c>
      <c r="P5168" t="str">
        <f t="shared" si="796"/>
        <v>2120L</v>
      </c>
      <c r="Q5168" t="str">
        <f t="shared" si="789"/>
        <v>0101</v>
      </c>
      <c r="R5168">
        <v>2120</v>
      </c>
      <c r="S5168" t="str">
        <f t="shared" si="795"/>
        <v>7220</v>
      </c>
      <c r="T5168" t="s">
        <v>3849</v>
      </c>
      <c r="U5168" t="s">
        <v>1552</v>
      </c>
    </row>
    <row r="5169" spans="1:21" ht="15" customHeight="1" x14ac:dyDescent="0.3">
      <c r="A5169" t="s">
        <v>179</v>
      </c>
      <c r="B5169" t="str">
        <f>"00057452"</f>
        <v>00057452</v>
      </c>
      <c r="C5169" t="s">
        <v>4261</v>
      </c>
      <c r="D5169" t="s">
        <v>1556</v>
      </c>
      <c r="E5169" t="str">
        <f>"00052669"</f>
        <v>00052669</v>
      </c>
      <c r="F5169">
        <v>0</v>
      </c>
      <c r="G5169" s="243">
        <v>29267</v>
      </c>
      <c r="H5169" t="s">
        <v>182</v>
      </c>
      <c r="I5169">
        <v>15</v>
      </c>
      <c r="J5169">
        <v>16</v>
      </c>
      <c r="K5169">
        <v>1</v>
      </c>
      <c r="L5169">
        <v>110923</v>
      </c>
      <c r="M5169" t="str">
        <f t="shared" si="786"/>
        <v>13</v>
      </c>
      <c r="N5169" t="s">
        <v>3323</v>
      </c>
      <c r="O5169" t="str">
        <f t="shared" si="794"/>
        <v>72211</v>
      </c>
      <c r="P5169" t="str">
        <f t="shared" si="796"/>
        <v>2120L</v>
      </c>
      <c r="Q5169" t="str">
        <f t="shared" si="789"/>
        <v>0101</v>
      </c>
      <c r="R5169">
        <v>2120</v>
      </c>
      <c r="S5169" t="str">
        <f t="shared" si="795"/>
        <v>7220</v>
      </c>
      <c r="T5169" t="s">
        <v>3849</v>
      </c>
      <c r="U5169" t="s">
        <v>1552</v>
      </c>
    </row>
    <row r="5170" spans="1:21" ht="15" customHeight="1" x14ac:dyDescent="0.3">
      <c r="A5170" t="s">
        <v>179</v>
      </c>
      <c r="B5170" t="str">
        <f>"00058358"</f>
        <v>00058358</v>
      </c>
      <c r="C5170" t="s">
        <v>4263</v>
      </c>
      <c r="D5170" t="s">
        <v>1557</v>
      </c>
      <c r="E5170" t="str">
        <f>"00062999"</f>
        <v>00062999</v>
      </c>
      <c r="F5170">
        <v>0</v>
      </c>
      <c r="G5170" s="243">
        <v>40406</v>
      </c>
      <c r="H5170" t="s">
        <v>182</v>
      </c>
      <c r="I5170">
        <v>15</v>
      </c>
      <c r="J5170">
        <v>7</v>
      </c>
      <c r="K5170">
        <v>1</v>
      </c>
      <c r="L5170">
        <v>69132</v>
      </c>
      <c r="M5170" t="str">
        <f t="shared" si="786"/>
        <v>13</v>
      </c>
      <c r="N5170" t="s">
        <v>3323</v>
      </c>
      <c r="O5170" t="str">
        <f t="shared" si="794"/>
        <v>72211</v>
      </c>
      <c r="P5170" t="str">
        <f t="shared" si="796"/>
        <v>2120L</v>
      </c>
      <c r="Q5170" t="str">
        <f t="shared" si="789"/>
        <v>0101</v>
      </c>
      <c r="R5170">
        <v>2120</v>
      </c>
      <c r="S5170" t="str">
        <f t="shared" si="795"/>
        <v>7220</v>
      </c>
      <c r="T5170" t="s">
        <v>3849</v>
      </c>
      <c r="U5170" t="s">
        <v>1552</v>
      </c>
    </row>
    <row r="5171" spans="1:21" ht="15" customHeight="1" x14ac:dyDescent="0.3">
      <c r="A5171" t="s">
        <v>179</v>
      </c>
      <c r="B5171" t="str">
        <f>"00059529"</f>
        <v>00059529</v>
      </c>
      <c r="C5171" t="s">
        <v>4253</v>
      </c>
      <c r="D5171" t="s">
        <v>1558</v>
      </c>
      <c r="E5171" t="str">
        <f>"00055278"</f>
        <v>00055278</v>
      </c>
      <c r="F5171">
        <v>0</v>
      </c>
      <c r="G5171" s="243">
        <v>37893</v>
      </c>
      <c r="H5171" t="s">
        <v>182</v>
      </c>
      <c r="I5171">
        <v>15</v>
      </c>
      <c r="J5171">
        <v>15</v>
      </c>
      <c r="K5171">
        <v>1</v>
      </c>
      <c r="L5171">
        <v>98285</v>
      </c>
      <c r="M5171" t="str">
        <f t="shared" si="786"/>
        <v>13</v>
      </c>
      <c r="N5171" t="s">
        <v>3323</v>
      </c>
      <c r="O5171" t="str">
        <f t="shared" si="794"/>
        <v>72211</v>
      </c>
      <c r="P5171" t="str">
        <f t="shared" si="796"/>
        <v>2120L</v>
      </c>
      <c r="Q5171" t="str">
        <f t="shared" si="789"/>
        <v>0101</v>
      </c>
      <c r="R5171">
        <v>2120</v>
      </c>
      <c r="S5171" t="str">
        <f t="shared" si="795"/>
        <v>7220</v>
      </c>
      <c r="T5171" t="s">
        <v>3849</v>
      </c>
      <c r="U5171" t="s">
        <v>1552</v>
      </c>
    </row>
    <row r="5172" spans="1:21" ht="15" customHeight="1" x14ac:dyDescent="0.3">
      <c r="A5172" t="s">
        <v>179</v>
      </c>
      <c r="B5172" t="str">
        <f>"00060650"</f>
        <v>00060650</v>
      </c>
      <c r="C5172" t="s">
        <v>4253</v>
      </c>
      <c r="D5172" t="s">
        <v>1559</v>
      </c>
      <c r="E5172" t="str">
        <f>"00055264"</f>
        <v>00055264</v>
      </c>
      <c r="F5172">
        <v>0</v>
      </c>
      <c r="G5172" s="243">
        <v>39041</v>
      </c>
      <c r="H5172" t="s">
        <v>182</v>
      </c>
      <c r="I5172">
        <v>15</v>
      </c>
      <c r="J5172">
        <v>12</v>
      </c>
      <c r="K5172">
        <v>1</v>
      </c>
      <c r="L5172">
        <v>87431</v>
      </c>
      <c r="M5172" t="str">
        <f t="shared" si="786"/>
        <v>13</v>
      </c>
      <c r="N5172" t="s">
        <v>3323</v>
      </c>
      <c r="O5172" t="str">
        <f t="shared" si="794"/>
        <v>72211</v>
      </c>
      <c r="P5172" t="str">
        <f t="shared" si="796"/>
        <v>2120L</v>
      </c>
      <c r="Q5172" t="str">
        <f t="shared" si="789"/>
        <v>0101</v>
      </c>
      <c r="R5172">
        <v>2120</v>
      </c>
      <c r="S5172" t="str">
        <f t="shared" si="795"/>
        <v>7220</v>
      </c>
      <c r="T5172" t="s">
        <v>3849</v>
      </c>
      <c r="U5172" t="s">
        <v>1552</v>
      </c>
    </row>
    <row r="5173" spans="1:21" ht="15" customHeight="1" x14ac:dyDescent="0.3">
      <c r="A5173" t="s">
        <v>179</v>
      </c>
      <c r="B5173" t="str">
        <f>"00061604"</f>
        <v>00061604</v>
      </c>
      <c r="C5173" t="s">
        <v>4360</v>
      </c>
      <c r="D5173" t="s">
        <v>5815</v>
      </c>
      <c r="E5173" t="str">
        <f>"00054346"</f>
        <v>00054346</v>
      </c>
      <c r="F5173">
        <v>0</v>
      </c>
      <c r="G5173" s="243">
        <v>38762</v>
      </c>
      <c r="H5173" t="s">
        <v>182</v>
      </c>
      <c r="I5173">
        <v>7</v>
      </c>
      <c r="J5173">
        <v>10</v>
      </c>
      <c r="K5173">
        <v>1</v>
      </c>
      <c r="L5173">
        <v>44837</v>
      </c>
      <c r="M5173" t="str">
        <f t="shared" si="786"/>
        <v>13</v>
      </c>
      <c r="N5173" t="s">
        <v>3323</v>
      </c>
      <c r="O5173" t="str">
        <f t="shared" si="794"/>
        <v>72211</v>
      </c>
      <c r="P5173" t="str">
        <f>"1502L"</f>
        <v>1502L</v>
      </c>
      <c r="Q5173" t="str">
        <f t="shared" ref="Q5173:Q5184" si="797">"0101"</f>
        <v>0101</v>
      </c>
      <c r="R5173">
        <v>1502</v>
      </c>
      <c r="S5173" t="str">
        <f t="shared" si="795"/>
        <v>7220</v>
      </c>
      <c r="T5173" t="s">
        <v>3849</v>
      </c>
      <c r="U5173" t="s">
        <v>1552</v>
      </c>
    </row>
    <row r="5174" spans="1:21" ht="15" customHeight="1" x14ac:dyDescent="0.3">
      <c r="A5174" t="s">
        <v>179</v>
      </c>
      <c r="B5174" t="str">
        <f>"00062445"</f>
        <v>00062445</v>
      </c>
      <c r="C5174" t="s">
        <v>4253</v>
      </c>
      <c r="D5174" t="s">
        <v>5816</v>
      </c>
      <c r="E5174" t="str">
        <f>"00045001"</f>
        <v>00045001</v>
      </c>
      <c r="F5174">
        <v>0</v>
      </c>
      <c r="G5174" s="243">
        <v>38936</v>
      </c>
      <c r="H5174" t="s">
        <v>182</v>
      </c>
      <c r="I5174">
        <v>15</v>
      </c>
      <c r="J5174">
        <v>14</v>
      </c>
      <c r="K5174">
        <v>1</v>
      </c>
      <c r="L5174">
        <v>98967</v>
      </c>
      <c r="M5174" t="str">
        <f t="shared" si="786"/>
        <v>13</v>
      </c>
      <c r="N5174" t="s">
        <v>3323</v>
      </c>
      <c r="O5174" t="str">
        <f t="shared" si="794"/>
        <v>72211</v>
      </c>
      <c r="P5174" t="str">
        <f>"2120L"</f>
        <v>2120L</v>
      </c>
      <c r="Q5174" t="str">
        <f t="shared" si="797"/>
        <v>0101</v>
      </c>
      <c r="R5174">
        <v>2120</v>
      </c>
      <c r="S5174" t="str">
        <f t="shared" si="795"/>
        <v>7220</v>
      </c>
      <c r="T5174" t="s">
        <v>3849</v>
      </c>
      <c r="U5174" t="s">
        <v>1552</v>
      </c>
    </row>
    <row r="5175" spans="1:21" ht="15" customHeight="1" x14ac:dyDescent="0.3">
      <c r="A5175" t="s">
        <v>179</v>
      </c>
      <c r="B5175" t="str">
        <f>"00062569"</f>
        <v>00062569</v>
      </c>
      <c r="C5175" t="s">
        <v>4258</v>
      </c>
      <c r="D5175" t="s">
        <v>271</v>
      </c>
      <c r="E5175" t="str">
        <f>"00048887"</f>
        <v>00048887</v>
      </c>
      <c r="F5175">
        <v>0</v>
      </c>
      <c r="G5175" s="243">
        <v>38951</v>
      </c>
      <c r="H5175" t="s">
        <v>182</v>
      </c>
      <c r="I5175">
        <v>15</v>
      </c>
      <c r="J5175">
        <v>10</v>
      </c>
      <c r="K5175">
        <v>1</v>
      </c>
      <c r="L5175">
        <v>70879</v>
      </c>
      <c r="M5175" t="str">
        <f t="shared" si="786"/>
        <v>13</v>
      </c>
      <c r="N5175" t="s">
        <v>3370</v>
      </c>
      <c r="O5175" t="str">
        <f t="shared" si="794"/>
        <v>72211</v>
      </c>
      <c r="P5175" t="str">
        <f>"2120L"</f>
        <v>2120L</v>
      </c>
      <c r="Q5175" t="str">
        <f t="shared" si="797"/>
        <v>0101</v>
      </c>
      <c r="R5175">
        <v>2120</v>
      </c>
      <c r="S5175" t="str">
        <f t="shared" si="795"/>
        <v>7220</v>
      </c>
      <c r="T5175" t="s">
        <v>3849</v>
      </c>
      <c r="U5175" t="s">
        <v>1552</v>
      </c>
    </row>
    <row r="5176" spans="1:21" ht="15" customHeight="1" x14ac:dyDescent="0.3">
      <c r="A5176" t="s">
        <v>179</v>
      </c>
      <c r="B5176" t="str">
        <f>"00063110"</f>
        <v>00063110</v>
      </c>
      <c r="C5176" t="s">
        <v>4253</v>
      </c>
      <c r="D5176" t="s">
        <v>1561</v>
      </c>
      <c r="E5176" t="str">
        <f>"00049739"</f>
        <v>00049739</v>
      </c>
      <c r="F5176">
        <v>0</v>
      </c>
      <c r="G5176" s="243">
        <v>37627</v>
      </c>
      <c r="H5176" t="s">
        <v>182</v>
      </c>
      <c r="I5176">
        <v>15</v>
      </c>
      <c r="J5176">
        <v>16</v>
      </c>
      <c r="K5176">
        <v>1</v>
      </c>
      <c r="L5176">
        <v>106540</v>
      </c>
      <c r="M5176" t="str">
        <f t="shared" si="786"/>
        <v>13</v>
      </c>
      <c r="N5176" t="s">
        <v>3323</v>
      </c>
      <c r="O5176" t="str">
        <f t="shared" si="794"/>
        <v>72211</v>
      </c>
      <c r="P5176" t="str">
        <f>"2120L"</f>
        <v>2120L</v>
      </c>
      <c r="Q5176" t="str">
        <f t="shared" si="797"/>
        <v>0101</v>
      </c>
      <c r="R5176">
        <v>2120</v>
      </c>
      <c r="S5176" t="str">
        <f t="shared" si="795"/>
        <v>7220</v>
      </c>
      <c r="T5176" t="s">
        <v>3849</v>
      </c>
      <c r="U5176" t="s">
        <v>1552</v>
      </c>
    </row>
    <row r="5177" spans="1:21" ht="15" customHeight="1" x14ac:dyDescent="0.3">
      <c r="A5177" t="s">
        <v>179</v>
      </c>
      <c r="B5177" t="str">
        <f>"00066493"</f>
        <v>00066493</v>
      </c>
      <c r="C5177" t="s">
        <v>4254</v>
      </c>
      <c r="D5177" t="s">
        <v>1309</v>
      </c>
      <c r="E5177" t="str">
        <f>"00057314"</f>
        <v>00057314</v>
      </c>
      <c r="F5177">
        <v>0</v>
      </c>
      <c r="G5177" s="243">
        <v>40042</v>
      </c>
      <c r="H5177" t="s">
        <v>182</v>
      </c>
      <c r="I5177">
        <v>15</v>
      </c>
      <c r="J5177">
        <v>13</v>
      </c>
      <c r="K5177">
        <v>1</v>
      </c>
      <c r="L5177">
        <v>81724</v>
      </c>
      <c r="M5177" t="str">
        <f t="shared" si="786"/>
        <v>13</v>
      </c>
      <c r="N5177" t="s">
        <v>3323</v>
      </c>
      <c r="O5177" t="str">
        <f t="shared" si="794"/>
        <v>72211</v>
      </c>
      <c r="P5177" t="str">
        <f>"2100L"</f>
        <v>2100L</v>
      </c>
      <c r="Q5177" t="str">
        <f t="shared" si="797"/>
        <v>0101</v>
      </c>
      <c r="R5177">
        <v>2100</v>
      </c>
      <c r="S5177" t="str">
        <f t="shared" si="795"/>
        <v>7220</v>
      </c>
      <c r="T5177" t="s">
        <v>3843</v>
      </c>
      <c r="U5177" t="s">
        <v>3002</v>
      </c>
    </row>
    <row r="5178" spans="1:21" ht="15" customHeight="1" x14ac:dyDescent="0.3">
      <c r="A5178" t="s">
        <v>179</v>
      </c>
      <c r="B5178" t="str">
        <f>"00066953"</f>
        <v>00066953</v>
      </c>
      <c r="C5178" t="s">
        <v>4271</v>
      </c>
      <c r="D5178" t="s">
        <v>1562</v>
      </c>
      <c r="E5178" t="str">
        <f>"00045114"</f>
        <v>00045114</v>
      </c>
      <c r="F5178">
        <v>0</v>
      </c>
      <c r="G5178" s="243">
        <v>33512</v>
      </c>
      <c r="H5178" t="s">
        <v>182</v>
      </c>
      <c r="I5178">
        <v>15</v>
      </c>
      <c r="J5178">
        <v>16</v>
      </c>
      <c r="K5178">
        <v>1</v>
      </c>
      <c r="L5178">
        <v>106540</v>
      </c>
      <c r="M5178" t="str">
        <f t="shared" si="786"/>
        <v>13</v>
      </c>
      <c r="N5178" t="s">
        <v>3323</v>
      </c>
      <c r="O5178" t="str">
        <f t="shared" si="794"/>
        <v>72211</v>
      </c>
      <c r="P5178" t="str">
        <f>"3030L"</f>
        <v>3030L</v>
      </c>
      <c r="Q5178" t="str">
        <f t="shared" si="797"/>
        <v>0101</v>
      </c>
      <c r="R5178">
        <v>3030</v>
      </c>
      <c r="S5178" t="str">
        <f t="shared" si="795"/>
        <v>7220</v>
      </c>
      <c r="T5178" t="s">
        <v>3849</v>
      </c>
      <c r="U5178" t="s">
        <v>1552</v>
      </c>
    </row>
    <row r="5179" spans="1:21" ht="15" customHeight="1" x14ac:dyDescent="0.3">
      <c r="A5179" t="s">
        <v>179</v>
      </c>
      <c r="B5179" t="str">
        <f>"00067478"</f>
        <v>00067478</v>
      </c>
      <c r="C5179" t="s">
        <v>4253</v>
      </c>
      <c r="D5179" t="s">
        <v>1563</v>
      </c>
      <c r="E5179" t="str">
        <f>"00057627"</f>
        <v>00057627</v>
      </c>
      <c r="F5179">
        <v>0</v>
      </c>
      <c r="G5179" s="243">
        <v>40042</v>
      </c>
      <c r="H5179" t="s">
        <v>182</v>
      </c>
      <c r="I5179">
        <v>15</v>
      </c>
      <c r="J5179">
        <v>8</v>
      </c>
      <c r="K5179">
        <v>1</v>
      </c>
      <c r="L5179">
        <v>72171</v>
      </c>
      <c r="M5179" t="str">
        <f t="shared" ref="M5179:M5233" si="798">"13"</f>
        <v>13</v>
      </c>
      <c r="N5179" t="s">
        <v>3323</v>
      </c>
      <c r="O5179" t="str">
        <f t="shared" si="794"/>
        <v>72211</v>
      </c>
      <c r="P5179" t="str">
        <f>"2120L"</f>
        <v>2120L</v>
      </c>
      <c r="Q5179" t="str">
        <f t="shared" si="797"/>
        <v>0101</v>
      </c>
      <c r="R5179">
        <v>2120</v>
      </c>
      <c r="S5179" t="str">
        <f t="shared" si="795"/>
        <v>7220</v>
      </c>
      <c r="T5179" t="s">
        <v>3849</v>
      </c>
      <c r="U5179" t="s">
        <v>1552</v>
      </c>
    </row>
    <row r="5180" spans="1:21" ht="15" customHeight="1" x14ac:dyDescent="0.3">
      <c r="A5180" t="s">
        <v>179</v>
      </c>
      <c r="B5180" t="str">
        <f>"00067696"</f>
        <v>00067696</v>
      </c>
      <c r="C5180" t="s">
        <v>3670</v>
      </c>
      <c r="D5180" t="s">
        <v>4120</v>
      </c>
      <c r="E5180" t="str">
        <f>"00062991"</f>
        <v>00062991</v>
      </c>
      <c r="F5180">
        <v>0</v>
      </c>
      <c r="G5180" s="243">
        <v>40413</v>
      </c>
      <c r="H5180" t="s">
        <v>182</v>
      </c>
      <c r="I5180">
        <v>8</v>
      </c>
      <c r="J5180">
        <v>4</v>
      </c>
      <c r="K5180">
        <v>1</v>
      </c>
      <c r="L5180">
        <v>89645</v>
      </c>
      <c r="M5180" t="str">
        <f t="shared" si="798"/>
        <v>13</v>
      </c>
      <c r="N5180" t="s">
        <v>3323</v>
      </c>
      <c r="O5180" t="str">
        <f t="shared" si="794"/>
        <v>72211</v>
      </c>
      <c r="P5180" t="str">
        <f>"1501L"</f>
        <v>1501L</v>
      </c>
      <c r="Q5180" t="str">
        <f t="shared" si="797"/>
        <v>0101</v>
      </c>
      <c r="R5180">
        <v>1501</v>
      </c>
      <c r="S5180" t="str">
        <f t="shared" si="795"/>
        <v>7220</v>
      </c>
      <c r="T5180" t="s">
        <v>3849</v>
      </c>
      <c r="U5180" t="s">
        <v>1552</v>
      </c>
    </row>
    <row r="5181" spans="1:21" ht="15" customHeight="1" x14ac:dyDescent="0.3">
      <c r="A5181" t="s">
        <v>179</v>
      </c>
      <c r="B5181" t="str">
        <f>"00072332"</f>
        <v>00072332</v>
      </c>
      <c r="C5181" t="s">
        <v>200</v>
      </c>
      <c r="D5181" t="s">
        <v>4121</v>
      </c>
      <c r="E5181" t="str">
        <f>"00000450"</f>
        <v>00000450</v>
      </c>
      <c r="F5181">
        <v>0</v>
      </c>
      <c r="G5181" s="243">
        <v>40755</v>
      </c>
      <c r="H5181" t="s">
        <v>182</v>
      </c>
      <c r="I5181">
        <v>15</v>
      </c>
      <c r="J5181">
        <v>11</v>
      </c>
      <c r="K5181">
        <v>1</v>
      </c>
      <c r="L5181">
        <v>86236</v>
      </c>
      <c r="M5181" t="str">
        <f t="shared" si="798"/>
        <v>13</v>
      </c>
      <c r="N5181" t="s">
        <v>3323</v>
      </c>
      <c r="O5181" t="str">
        <f t="shared" si="794"/>
        <v>72211</v>
      </c>
      <c r="P5181" t="str">
        <f>"2120L"</f>
        <v>2120L</v>
      </c>
      <c r="Q5181" t="str">
        <f t="shared" si="797"/>
        <v>0101</v>
      </c>
      <c r="R5181">
        <v>2120</v>
      </c>
      <c r="S5181" t="str">
        <f t="shared" si="795"/>
        <v>7220</v>
      </c>
      <c r="T5181" t="s">
        <v>3849</v>
      </c>
      <c r="U5181" t="s">
        <v>1552</v>
      </c>
    </row>
    <row r="5182" spans="1:21" ht="15" customHeight="1" x14ac:dyDescent="0.3">
      <c r="A5182" t="s">
        <v>179</v>
      </c>
      <c r="B5182" t="str">
        <f>"00072333"</f>
        <v>00072333</v>
      </c>
      <c r="C5182" t="s">
        <v>4253</v>
      </c>
      <c r="D5182" t="s">
        <v>4123</v>
      </c>
      <c r="E5182" t="str">
        <f>"00061635"</f>
        <v>00061635</v>
      </c>
      <c r="F5182">
        <v>0</v>
      </c>
      <c r="G5182" s="243">
        <v>40406</v>
      </c>
      <c r="H5182" t="s">
        <v>182</v>
      </c>
      <c r="I5182">
        <v>15</v>
      </c>
      <c r="J5182">
        <v>6</v>
      </c>
      <c r="K5182">
        <v>1</v>
      </c>
      <c r="L5182">
        <v>66078</v>
      </c>
      <c r="M5182" t="str">
        <f t="shared" si="798"/>
        <v>13</v>
      </c>
      <c r="N5182" t="s">
        <v>3323</v>
      </c>
      <c r="O5182" t="str">
        <f t="shared" si="794"/>
        <v>72211</v>
      </c>
      <c r="P5182" t="str">
        <f>"2120L"</f>
        <v>2120L</v>
      </c>
      <c r="Q5182" t="str">
        <f t="shared" si="797"/>
        <v>0101</v>
      </c>
      <c r="R5182">
        <v>2120</v>
      </c>
      <c r="S5182" t="str">
        <f t="shared" si="795"/>
        <v>7220</v>
      </c>
      <c r="T5182" t="s">
        <v>3849</v>
      </c>
      <c r="U5182" t="s">
        <v>1552</v>
      </c>
    </row>
    <row r="5183" spans="1:21" ht="15" customHeight="1" x14ac:dyDescent="0.3">
      <c r="A5183" t="s">
        <v>179</v>
      </c>
      <c r="B5183" t="str">
        <f>"00072734"</f>
        <v>00072734</v>
      </c>
      <c r="C5183" t="s">
        <v>4253</v>
      </c>
      <c r="D5183" t="s">
        <v>5817</v>
      </c>
      <c r="E5183" t="str">
        <f>"00013075"</f>
        <v>00013075</v>
      </c>
      <c r="F5183">
        <v>0</v>
      </c>
      <c r="G5183" s="243">
        <v>41133</v>
      </c>
      <c r="H5183" t="s">
        <v>182</v>
      </c>
      <c r="I5183">
        <v>15</v>
      </c>
      <c r="J5183">
        <v>1</v>
      </c>
      <c r="K5183">
        <v>1</v>
      </c>
      <c r="L5183">
        <v>51539</v>
      </c>
      <c r="M5183" t="str">
        <f t="shared" si="798"/>
        <v>13</v>
      </c>
      <c r="N5183" t="s">
        <v>3323</v>
      </c>
      <c r="O5183" t="str">
        <f t="shared" si="794"/>
        <v>72211</v>
      </c>
      <c r="P5183" t="str">
        <f>"2120L"</f>
        <v>2120L</v>
      </c>
      <c r="Q5183" t="str">
        <f t="shared" si="797"/>
        <v>0101</v>
      </c>
      <c r="R5183">
        <v>2120</v>
      </c>
      <c r="S5183" t="str">
        <f t="shared" si="795"/>
        <v>7220</v>
      </c>
      <c r="T5183" t="s">
        <v>3849</v>
      </c>
      <c r="U5183" t="s">
        <v>1552</v>
      </c>
    </row>
    <row r="5184" spans="1:21" ht="15" customHeight="1" x14ac:dyDescent="0.3">
      <c r="A5184" t="s">
        <v>179</v>
      </c>
      <c r="B5184" t="str">
        <f>"00072907"</f>
        <v>00072907</v>
      </c>
      <c r="C5184" t="s">
        <v>4254</v>
      </c>
      <c r="D5184" t="s">
        <v>1564</v>
      </c>
      <c r="E5184" t="str">
        <f>"00053235"</f>
        <v>00053235</v>
      </c>
      <c r="F5184">
        <v>0</v>
      </c>
      <c r="G5184" s="243">
        <v>33848</v>
      </c>
      <c r="H5184" t="s">
        <v>182</v>
      </c>
      <c r="I5184">
        <v>15</v>
      </c>
      <c r="J5184">
        <v>16</v>
      </c>
      <c r="K5184">
        <v>1</v>
      </c>
      <c r="L5184">
        <v>103347</v>
      </c>
      <c r="M5184" t="str">
        <f t="shared" si="798"/>
        <v>13</v>
      </c>
      <c r="N5184" t="s">
        <v>3323</v>
      </c>
      <c r="O5184" t="str">
        <f t="shared" si="794"/>
        <v>72211</v>
      </c>
      <c r="P5184" t="str">
        <f>"2120L"</f>
        <v>2120L</v>
      </c>
      <c r="Q5184" t="str">
        <f t="shared" si="797"/>
        <v>0101</v>
      </c>
      <c r="R5184">
        <v>2120</v>
      </c>
      <c r="S5184" t="str">
        <f t="shared" si="795"/>
        <v>7220</v>
      </c>
      <c r="T5184" t="s">
        <v>3849</v>
      </c>
      <c r="U5184" t="s">
        <v>1552</v>
      </c>
    </row>
    <row r="5185" spans="1:21" ht="15" customHeight="1" x14ac:dyDescent="0.3">
      <c r="A5185" t="s">
        <v>179</v>
      </c>
      <c r="B5185" t="str">
        <f>"00073165"</f>
        <v>00073165</v>
      </c>
      <c r="C5185" t="s">
        <v>5818</v>
      </c>
      <c r="H5185" t="s">
        <v>170</v>
      </c>
      <c r="I5185">
        <v>11</v>
      </c>
      <c r="J5185">
        <v>1</v>
      </c>
      <c r="K5185">
        <v>1</v>
      </c>
      <c r="L5185">
        <v>39987</v>
      </c>
      <c r="M5185" t="str">
        <f t="shared" si="798"/>
        <v>13</v>
      </c>
      <c r="N5185" t="s">
        <v>3323</v>
      </c>
      <c r="O5185" t="str">
        <f>"72273"</f>
        <v>72273</v>
      </c>
      <c r="P5185" t="str">
        <f>"1540I"</f>
        <v>1540I</v>
      </c>
      <c r="Q5185" t="str">
        <f>"0773"</f>
        <v>0773</v>
      </c>
      <c r="R5185">
        <v>1540</v>
      </c>
      <c r="S5185" t="str">
        <f t="shared" si="795"/>
        <v>7220</v>
      </c>
      <c r="T5185" t="s">
        <v>3849</v>
      </c>
      <c r="U5185" t="s">
        <v>1552</v>
      </c>
    </row>
    <row r="5186" spans="1:21" ht="15" customHeight="1" x14ac:dyDescent="0.3">
      <c r="A5186" t="s">
        <v>179</v>
      </c>
      <c r="B5186" t="str">
        <f>"00073778"</f>
        <v>00073778</v>
      </c>
      <c r="C5186" t="s">
        <v>4257</v>
      </c>
      <c r="D5186" t="s">
        <v>2338</v>
      </c>
      <c r="E5186" t="str">
        <f>"00052184"</f>
        <v>00052184</v>
      </c>
      <c r="F5186">
        <v>0</v>
      </c>
      <c r="G5186" s="243">
        <v>37861</v>
      </c>
      <c r="H5186" t="s">
        <v>182</v>
      </c>
      <c r="I5186">
        <v>15</v>
      </c>
      <c r="J5186">
        <v>12</v>
      </c>
      <c r="K5186">
        <v>1</v>
      </c>
      <c r="L5186">
        <v>89887</v>
      </c>
      <c r="M5186" t="str">
        <f t="shared" si="798"/>
        <v>13</v>
      </c>
      <c r="N5186" t="s">
        <v>3323</v>
      </c>
      <c r="O5186" t="str">
        <f t="shared" ref="O5186:O5195" si="799">"72211"</f>
        <v>72211</v>
      </c>
      <c r="P5186" t="str">
        <f>"2100L"</f>
        <v>2100L</v>
      </c>
      <c r="Q5186" t="str">
        <f t="shared" ref="Q5186:Q5211" si="800">"0101"</f>
        <v>0101</v>
      </c>
      <c r="R5186">
        <v>2100</v>
      </c>
      <c r="S5186" t="str">
        <f t="shared" si="795"/>
        <v>7220</v>
      </c>
      <c r="T5186" t="s">
        <v>3849</v>
      </c>
      <c r="U5186" t="s">
        <v>1552</v>
      </c>
    </row>
    <row r="5187" spans="1:21" ht="15" customHeight="1" x14ac:dyDescent="0.3">
      <c r="A5187" t="s">
        <v>179</v>
      </c>
      <c r="B5187" t="str">
        <f>"00074042"</f>
        <v>00074042</v>
      </c>
      <c r="C5187" t="s">
        <v>4395</v>
      </c>
      <c r="H5187" t="s">
        <v>170</v>
      </c>
      <c r="I5187">
        <v>10</v>
      </c>
      <c r="J5187">
        <v>1</v>
      </c>
      <c r="K5187">
        <v>1</v>
      </c>
      <c r="L5187">
        <v>62794</v>
      </c>
      <c r="M5187" t="str">
        <f t="shared" si="798"/>
        <v>13</v>
      </c>
      <c r="N5187" t="s">
        <v>3323</v>
      </c>
      <c r="O5187" t="str">
        <f t="shared" si="799"/>
        <v>72211</v>
      </c>
      <c r="P5187" t="str">
        <f>"1502L"</f>
        <v>1502L</v>
      </c>
      <c r="Q5187" t="str">
        <f t="shared" si="800"/>
        <v>0101</v>
      </c>
      <c r="R5187">
        <v>1502</v>
      </c>
      <c r="S5187" t="str">
        <f t="shared" si="795"/>
        <v>7220</v>
      </c>
      <c r="T5187" t="s">
        <v>3849</v>
      </c>
      <c r="U5187" t="s">
        <v>1552</v>
      </c>
    </row>
    <row r="5188" spans="1:21" ht="15" customHeight="1" x14ac:dyDescent="0.3">
      <c r="A5188" t="s">
        <v>179</v>
      </c>
      <c r="B5188" t="str">
        <f>"00074473"</f>
        <v>00074473</v>
      </c>
      <c r="C5188" t="s">
        <v>200</v>
      </c>
      <c r="D5188" t="s">
        <v>4122</v>
      </c>
      <c r="E5188" t="str">
        <f>"00048101"</f>
        <v>00048101</v>
      </c>
      <c r="F5188">
        <v>0</v>
      </c>
      <c r="G5188" s="243">
        <v>28842</v>
      </c>
      <c r="H5188" t="s">
        <v>182</v>
      </c>
      <c r="I5188">
        <v>15</v>
      </c>
      <c r="J5188">
        <v>16</v>
      </c>
      <c r="K5188">
        <v>1</v>
      </c>
      <c r="L5188">
        <v>106540</v>
      </c>
      <c r="M5188" t="str">
        <f t="shared" si="798"/>
        <v>13</v>
      </c>
      <c r="N5188" t="s">
        <v>3323</v>
      </c>
      <c r="O5188" t="str">
        <f t="shared" si="799"/>
        <v>72211</v>
      </c>
      <c r="P5188" t="str">
        <f>"2100L"</f>
        <v>2100L</v>
      </c>
      <c r="Q5188" t="str">
        <f t="shared" si="800"/>
        <v>0101</v>
      </c>
      <c r="R5188">
        <v>2100</v>
      </c>
      <c r="S5188" t="str">
        <f t="shared" si="795"/>
        <v>7220</v>
      </c>
      <c r="T5188" t="s">
        <v>3849</v>
      </c>
      <c r="U5188" t="s">
        <v>1552</v>
      </c>
    </row>
    <row r="5189" spans="1:21" ht="15" customHeight="1" x14ac:dyDescent="0.3">
      <c r="A5189" t="s">
        <v>179</v>
      </c>
      <c r="B5189" t="str">
        <f>"00076176"</f>
        <v>00076176</v>
      </c>
      <c r="C5189" t="s">
        <v>4253</v>
      </c>
      <c r="D5189" t="s">
        <v>631</v>
      </c>
      <c r="E5189" t="str">
        <f>"00062926"</f>
        <v>00062926</v>
      </c>
      <c r="F5189">
        <v>0</v>
      </c>
      <c r="G5189" s="243">
        <v>40406</v>
      </c>
      <c r="H5189" t="s">
        <v>182</v>
      </c>
      <c r="I5189">
        <v>15</v>
      </c>
      <c r="J5189">
        <v>12</v>
      </c>
      <c r="K5189">
        <v>1</v>
      </c>
      <c r="L5189">
        <v>87431</v>
      </c>
      <c r="M5189" t="str">
        <f t="shared" si="798"/>
        <v>13</v>
      </c>
      <c r="N5189" t="s">
        <v>3370</v>
      </c>
      <c r="O5189" t="str">
        <f t="shared" si="799"/>
        <v>72211</v>
      </c>
      <c r="P5189" t="str">
        <f>"2100L"</f>
        <v>2100L</v>
      </c>
      <c r="Q5189" t="str">
        <f t="shared" si="800"/>
        <v>0101</v>
      </c>
      <c r="R5189">
        <v>2100</v>
      </c>
      <c r="S5189" t="str">
        <f t="shared" si="795"/>
        <v>7220</v>
      </c>
      <c r="T5189" t="s">
        <v>3849</v>
      </c>
      <c r="U5189" t="s">
        <v>1552</v>
      </c>
    </row>
    <row r="5190" spans="1:21" ht="15" customHeight="1" x14ac:dyDescent="0.3">
      <c r="A5190" t="s">
        <v>179</v>
      </c>
      <c r="B5190" t="str">
        <f>"00076178"</f>
        <v>00076178</v>
      </c>
      <c r="C5190" t="s">
        <v>5819</v>
      </c>
      <c r="D5190" t="s">
        <v>5820</v>
      </c>
      <c r="E5190" t="str">
        <f>"00069937"</f>
        <v>00069937</v>
      </c>
      <c r="F5190">
        <v>0</v>
      </c>
      <c r="G5190" s="243">
        <v>41133</v>
      </c>
      <c r="H5190" t="s">
        <v>182</v>
      </c>
      <c r="I5190">
        <v>12</v>
      </c>
      <c r="J5190">
        <v>5</v>
      </c>
      <c r="K5190">
        <v>1</v>
      </c>
      <c r="L5190">
        <v>54064</v>
      </c>
      <c r="M5190" t="str">
        <f t="shared" si="798"/>
        <v>13</v>
      </c>
      <c r="N5190" t="s">
        <v>3323</v>
      </c>
      <c r="O5190" t="str">
        <f t="shared" si="799"/>
        <v>72211</v>
      </c>
      <c r="P5190" t="str">
        <f>"2100L"</f>
        <v>2100L</v>
      </c>
      <c r="Q5190" t="str">
        <f t="shared" si="800"/>
        <v>0101</v>
      </c>
      <c r="R5190">
        <v>2100</v>
      </c>
      <c r="S5190" t="str">
        <f t="shared" si="795"/>
        <v>7220</v>
      </c>
      <c r="T5190" t="s">
        <v>3849</v>
      </c>
      <c r="U5190" t="s">
        <v>1552</v>
      </c>
    </row>
    <row r="5191" spans="1:21" ht="15" customHeight="1" x14ac:dyDescent="0.3">
      <c r="A5191" t="s">
        <v>179</v>
      </c>
      <c r="B5191" t="str">
        <f>"00076179"</f>
        <v>00076179</v>
      </c>
      <c r="C5191" t="s">
        <v>5819</v>
      </c>
      <c r="D5191" t="s">
        <v>5821</v>
      </c>
      <c r="E5191" t="str">
        <f>"00058121"</f>
        <v>00058121</v>
      </c>
      <c r="F5191">
        <v>0</v>
      </c>
      <c r="G5191" s="243">
        <v>40042</v>
      </c>
      <c r="H5191" t="s">
        <v>182</v>
      </c>
      <c r="I5191">
        <v>12</v>
      </c>
      <c r="J5191">
        <v>5</v>
      </c>
      <c r="K5191">
        <v>1</v>
      </c>
      <c r="L5191">
        <v>54064</v>
      </c>
      <c r="M5191" t="str">
        <f t="shared" si="798"/>
        <v>13</v>
      </c>
      <c r="N5191" t="s">
        <v>3323</v>
      </c>
      <c r="O5191" t="str">
        <f t="shared" si="799"/>
        <v>72211</v>
      </c>
      <c r="P5191" t="str">
        <f>"2100L"</f>
        <v>2100L</v>
      </c>
      <c r="Q5191" t="str">
        <f t="shared" si="800"/>
        <v>0101</v>
      </c>
      <c r="R5191">
        <v>2100</v>
      </c>
      <c r="S5191" t="str">
        <f t="shared" si="795"/>
        <v>7220</v>
      </c>
      <c r="T5191" t="s">
        <v>3849</v>
      </c>
      <c r="U5191" t="s">
        <v>1552</v>
      </c>
    </row>
    <row r="5192" spans="1:21" ht="15" customHeight="1" x14ac:dyDescent="0.3">
      <c r="A5192" t="s">
        <v>179</v>
      </c>
      <c r="B5192" t="str">
        <f>"00076180"</f>
        <v>00076180</v>
      </c>
      <c r="C5192" t="s">
        <v>4253</v>
      </c>
      <c r="D5192" t="s">
        <v>5822</v>
      </c>
      <c r="E5192" t="str">
        <f>"00069875"</f>
        <v>00069875</v>
      </c>
      <c r="F5192">
        <v>0</v>
      </c>
      <c r="G5192" s="243">
        <v>41133</v>
      </c>
      <c r="H5192" t="s">
        <v>182</v>
      </c>
      <c r="I5192">
        <v>15</v>
      </c>
      <c r="J5192">
        <v>9</v>
      </c>
      <c r="K5192">
        <v>1</v>
      </c>
      <c r="L5192">
        <v>65985</v>
      </c>
      <c r="M5192" t="str">
        <f t="shared" si="798"/>
        <v>13</v>
      </c>
      <c r="N5192" t="s">
        <v>3323</v>
      </c>
      <c r="O5192" t="str">
        <f t="shared" si="799"/>
        <v>72211</v>
      </c>
      <c r="P5192" t="str">
        <f>"2100L"</f>
        <v>2100L</v>
      </c>
      <c r="Q5192" t="str">
        <f t="shared" si="800"/>
        <v>0101</v>
      </c>
      <c r="R5192">
        <v>2100</v>
      </c>
      <c r="S5192" t="str">
        <f t="shared" si="795"/>
        <v>7220</v>
      </c>
      <c r="T5192" t="s">
        <v>3849</v>
      </c>
      <c r="U5192" t="s">
        <v>1552</v>
      </c>
    </row>
    <row r="5193" spans="1:21" ht="15" customHeight="1" x14ac:dyDescent="0.3">
      <c r="A5193" t="s">
        <v>179</v>
      </c>
      <c r="B5193" t="str">
        <f>"00076221"</f>
        <v>00076221</v>
      </c>
      <c r="C5193" t="s">
        <v>4306</v>
      </c>
      <c r="D5193" t="s">
        <v>1566</v>
      </c>
      <c r="E5193" t="str">
        <f>"00053429"</f>
        <v>00053429</v>
      </c>
      <c r="F5193">
        <v>0</v>
      </c>
      <c r="G5193" s="243">
        <v>37890</v>
      </c>
      <c r="H5193" t="s">
        <v>182</v>
      </c>
      <c r="I5193">
        <v>9</v>
      </c>
      <c r="J5193">
        <v>5</v>
      </c>
      <c r="K5193">
        <v>1</v>
      </c>
      <c r="L5193">
        <v>37415</v>
      </c>
      <c r="M5193" t="str">
        <f t="shared" si="798"/>
        <v>13</v>
      </c>
      <c r="N5193" t="s">
        <v>3323</v>
      </c>
      <c r="O5193" t="str">
        <f t="shared" si="799"/>
        <v>72211</v>
      </c>
      <c r="P5193" t="str">
        <f>"1502L"</f>
        <v>1502L</v>
      </c>
      <c r="Q5193" t="str">
        <f t="shared" si="800"/>
        <v>0101</v>
      </c>
      <c r="R5193">
        <v>1502</v>
      </c>
      <c r="S5193" t="str">
        <f t="shared" si="795"/>
        <v>7220</v>
      </c>
      <c r="T5193" t="s">
        <v>3849</v>
      </c>
      <c r="U5193" t="s">
        <v>1552</v>
      </c>
    </row>
    <row r="5194" spans="1:21" ht="15" customHeight="1" x14ac:dyDescent="0.3">
      <c r="A5194" t="s">
        <v>179</v>
      </c>
      <c r="B5194" t="str">
        <f>"00076232"</f>
        <v>00076232</v>
      </c>
      <c r="C5194" t="s">
        <v>4306</v>
      </c>
      <c r="D5194" t="s">
        <v>5823</v>
      </c>
      <c r="E5194" t="str">
        <f>"00060206"</f>
        <v>00060206</v>
      </c>
      <c r="F5194">
        <v>0</v>
      </c>
      <c r="G5194" s="243">
        <v>40189</v>
      </c>
      <c r="H5194" t="s">
        <v>182</v>
      </c>
      <c r="I5194">
        <v>9</v>
      </c>
      <c r="J5194">
        <v>1</v>
      </c>
      <c r="K5194">
        <v>1</v>
      </c>
      <c r="L5194">
        <v>33163</v>
      </c>
      <c r="M5194" t="str">
        <f t="shared" si="798"/>
        <v>13</v>
      </c>
      <c r="N5194" t="s">
        <v>3370</v>
      </c>
      <c r="O5194" t="str">
        <f t="shared" si="799"/>
        <v>72211</v>
      </c>
      <c r="P5194" t="str">
        <f>"1502L"</f>
        <v>1502L</v>
      </c>
      <c r="Q5194" t="str">
        <f t="shared" si="800"/>
        <v>0101</v>
      </c>
      <c r="R5194">
        <v>1502</v>
      </c>
      <c r="S5194" t="str">
        <f t="shared" si="795"/>
        <v>7220</v>
      </c>
      <c r="T5194" t="s">
        <v>3849</v>
      </c>
      <c r="U5194" t="s">
        <v>1552</v>
      </c>
    </row>
    <row r="5195" spans="1:21" ht="15" customHeight="1" x14ac:dyDescent="0.3">
      <c r="A5195" t="s">
        <v>179</v>
      </c>
      <c r="B5195" t="str">
        <f>"00076824"</f>
        <v>00076824</v>
      </c>
      <c r="C5195" t="s">
        <v>4333</v>
      </c>
      <c r="D5195" t="s">
        <v>4100</v>
      </c>
      <c r="E5195" t="str">
        <f>"00062153"</f>
        <v>00062153</v>
      </c>
      <c r="F5195">
        <v>0</v>
      </c>
      <c r="G5195" s="243">
        <v>40371</v>
      </c>
      <c r="H5195" t="s">
        <v>182</v>
      </c>
      <c r="I5195">
        <v>12</v>
      </c>
      <c r="J5195">
        <v>10</v>
      </c>
      <c r="K5195">
        <v>1</v>
      </c>
      <c r="L5195">
        <v>77322</v>
      </c>
      <c r="M5195" t="str">
        <f t="shared" si="798"/>
        <v>13</v>
      </c>
      <c r="N5195" t="s">
        <v>3370</v>
      </c>
      <c r="O5195" t="str">
        <f t="shared" si="799"/>
        <v>72211</v>
      </c>
      <c r="P5195" t="str">
        <f>"2120L"</f>
        <v>2120L</v>
      </c>
      <c r="Q5195" t="str">
        <f t="shared" si="800"/>
        <v>0101</v>
      </c>
      <c r="R5195">
        <v>2120</v>
      </c>
      <c r="S5195" t="str">
        <f t="shared" si="795"/>
        <v>7220</v>
      </c>
      <c r="T5195" t="s">
        <v>3849</v>
      </c>
      <c r="U5195" t="s">
        <v>1552</v>
      </c>
    </row>
    <row r="5196" spans="1:21" ht="15" customHeight="1" x14ac:dyDescent="0.3">
      <c r="A5196" t="s">
        <v>179</v>
      </c>
      <c r="B5196" t="str">
        <f>"00051593"</f>
        <v>00051593</v>
      </c>
      <c r="C5196" t="s">
        <v>4253</v>
      </c>
      <c r="D5196" t="s">
        <v>1965</v>
      </c>
      <c r="E5196" t="str">
        <f>"00045012"</f>
        <v>00045012</v>
      </c>
      <c r="F5196">
        <v>0</v>
      </c>
      <c r="G5196" s="243">
        <v>32050</v>
      </c>
      <c r="H5196" t="s">
        <v>182</v>
      </c>
      <c r="I5196">
        <v>15</v>
      </c>
      <c r="J5196">
        <v>16</v>
      </c>
      <c r="K5196">
        <v>1</v>
      </c>
      <c r="L5196">
        <v>100839</v>
      </c>
      <c r="M5196" t="str">
        <f t="shared" si="798"/>
        <v>13</v>
      </c>
      <c r="N5196" t="s">
        <v>3323</v>
      </c>
      <c r="O5196" t="str">
        <f t="shared" ref="O5196:O5223" si="801">"72311"</f>
        <v>72311</v>
      </c>
      <c r="P5196" t="str">
        <f>"2100L"</f>
        <v>2100L</v>
      </c>
      <c r="Q5196" t="str">
        <f t="shared" si="800"/>
        <v>0101</v>
      </c>
      <c r="R5196">
        <v>2100</v>
      </c>
      <c r="S5196" t="str">
        <f t="shared" ref="S5196:S5223" si="802">"7230"</f>
        <v>7230</v>
      </c>
      <c r="T5196" t="s">
        <v>4125</v>
      </c>
      <c r="U5196" t="s">
        <v>114</v>
      </c>
    </row>
    <row r="5197" spans="1:21" ht="15" customHeight="1" x14ac:dyDescent="0.3">
      <c r="A5197" t="s">
        <v>179</v>
      </c>
      <c r="B5197" t="str">
        <f>"00053193"</f>
        <v>00053193</v>
      </c>
      <c r="C5197" t="s">
        <v>4255</v>
      </c>
      <c r="D5197" t="s">
        <v>1966</v>
      </c>
      <c r="E5197" t="str">
        <f>"00051087"</f>
        <v>00051087</v>
      </c>
      <c r="F5197">
        <v>0</v>
      </c>
      <c r="G5197" s="243">
        <v>32050</v>
      </c>
      <c r="H5197" t="s">
        <v>182</v>
      </c>
      <c r="I5197">
        <v>15</v>
      </c>
      <c r="J5197">
        <v>16</v>
      </c>
      <c r="K5197">
        <v>1</v>
      </c>
      <c r="L5197">
        <v>100839</v>
      </c>
      <c r="M5197" t="str">
        <f t="shared" si="798"/>
        <v>13</v>
      </c>
      <c r="N5197" t="s">
        <v>3323</v>
      </c>
      <c r="O5197" t="str">
        <f t="shared" si="801"/>
        <v>72311</v>
      </c>
      <c r="P5197" t="str">
        <f>"2100L"</f>
        <v>2100L</v>
      </c>
      <c r="Q5197" t="str">
        <f t="shared" si="800"/>
        <v>0101</v>
      </c>
      <c r="R5197">
        <v>2100</v>
      </c>
      <c r="S5197" t="str">
        <f t="shared" si="802"/>
        <v>7230</v>
      </c>
      <c r="T5197" t="s">
        <v>4125</v>
      </c>
      <c r="U5197" t="s">
        <v>114</v>
      </c>
    </row>
    <row r="5198" spans="1:21" ht="15" customHeight="1" x14ac:dyDescent="0.3">
      <c r="A5198" t="s">
        <v>179</v>
      </c>
      <c r="B5198" t="str">
        <f>"00053950"</f>
        <v>00053950</v>
      </c>
      <c r="C5198" t="s">
        <v>4263</v>
      </c>
      <c r="D5198" t="s">
        <v>4132</v>
      </c>
      <c r="E5198" t="str">
        <f>"00065822"</f>
        <v>00065822</v>
      </c>
      <c r="F5198">
        <v>0</v>
      </c>
      <c r="G5198" s="243">
        <v>40755</v>
      </c>
      <c r="H5198" t="s">
        <v>182</v>
      </c>
      <c r="I5198">
        <v>15</v>
      </c>
      <c r="J5198">
        <v>2</v>
      </c>
      <c r="K5198">
        <v>1</v>
      </c>
      <c r="L5198">
        <v>51716</v>
      </c>
      <c r="M5198" t="str">
        <f t="shared" si="798"/>
        <v>13</v>
      </c>
      <c r="N5198" t="s">
        <v>3323</v>
      </c>
      <c r="O5198" t="str">
        <f t="shared" si="801"/>
        <v>72311</v>
      </c>
      <c r="P5198" t="str">
        <f>"2100L"</f>
        <v>2100L</v>
      </c>
      <c r="Q5198" t="str">
        <f t="shared" si="800"/>
        <v>0101</v>
      </c>
      <c r="R5198">
        <v>2100</v>
      </c>
      <c r="S5198" t="str">
        <f t="shared" si="802"/>
        <v>7230</v>
      </c>
      <c r="T5198" t="s">
        <v>4125</v>
      </c>
      <c r="U5198" t="s">
        <v>114</v>
      </c>
    </row>
    <row r="5199" spans="1:21" ht="15" customHeight="1" x14ac:dyDescent="0.3">
      <c r="A5199" t="s">
        <v>179</v>
      </c>
      <c r="B5199" t="str">
        <f>"00055123"</f>
        <v>00055123</v>
      </c>
      <c r="C5199" t="s">
        <v>4258</v>
      </c>
      <c r="D5199" t="s">
        <v>1967</v>
      </c>
      <c r="E5199" t="str">
        <f>"00046396"</f>
        <v>00046396</v>
      </c>
      <c r="F5199">
        <v>0</v>
      </c>
      <c r="G5199" s="243">
        <v>36390</v>
      </c>
      <c r="H5199" t="s">
        <v>182</v>
      </c>
      <c r="I5199">
        <v>15</v>
      </c>
      <c r="J5199">
        <v>15</v>
      </c>
      <c r="K5199">
        <v>1</v>
      </c>
      <c r="L5199">
        <v>98285</v>
      </c>
      <c r="M5199" t="str">
        <f t="shared" si="798"/>
        <v>13</v>
      </c>
      <c r="N5199" t="s">
        <v>3323</v>
      </c>
      <c r="O5199" t="str">
        <f t="shared" si="801"/>
        <v>72311</v>
      </c>
      <c r="P5199" t="str">
        <f>"2100L"</f>
        <v>2100L</v>
      </c>
      <c r="Q5199" t="str">
        <f t="shared" si="800"/>
        <v>0101</v>
      </c>
      <c r="R5199">
        <v>2100</v>
      </c>
      <c r="S5199" t="str">
        <f t="shared" si="802"/>
        <v>7230</v>
      </c>
      <c r="T5199" t="s">
        <v>4125</v>
      </c>
      <c r="U5199" t="s">
        <v>114</v>
      </c>
    </row>
    <row r="5200" spans="1:21" ht="15" customHeight="1" x14ac:dyDescent="0.3">
      <c r="A5200" t="s">
        <v>179</v>
      </c>
      <c r="B5200" t="str">
        <f>"00058037"</f>
        <v>00058037</v>
      </c>
      <c r="C5200" t="s">
        <v>3670</v>
      </c>
      <c r="D5200" t="s">
        <v>1968</v>
      </c>
      <c r="E5200" t="str">
        <f>"00057766"</f>
        <v>00057766</v>
      </c>
      <c r="F5200">
        <v>0</v>
      </c>
      <c r="G5200" s="243">
        <v>40042</v>
      </c>
      <c r="H5200" t="s">
        <v>182</v>
      </c>
      <c r="I5200">
        <v>8</v>
      </c>
      <c r="J5200">
        <v>2</v>
      </c>
      <c r="K5200">
        <v>1</v>
      </c>
      <c r="L5200">
        <v>84746</v>
      </c>
      <c r="M5200" t="str">
        <f t="shared" si="798"/>
        <v>13</v>
      </c>
      <c r="N5200" t="s">
        <v>3323</v>
      </c>
      <c r="O5200" t="str">
        <f t="shared" si="801"/>
        <v>72311</v>
      </c>
      <c r="P5200" t="str">
        <f>"1501L"</f>
        <v>1501L</v>
      </c>
      <c r="Q5200" t="str">
        <f t="shared" si="800"/>
        <v>0101</v>
      </c>
      <c r="R5200">
        <v>1501</v>
      </c>
      <c r="S5200" t="str">
        <f t="shared" si="802"/>
        <v>7230</v>
      </c>
      <c r="T5200" t="s">
        <v>4125</v>
      </c>
      <c r="U5200" t="s">
        <v>114</v>
      </c>
    </row>
    <row r="5201" spans="1:21" ht="15" customHeight="1" x14ac:dyDescent="0.3">
      <c r="A5201" t="s">
        <v>179</v>
      </c>
      <c r="B5201" t="str">
        <f>"00058146"</f>
        <v>00058146</v>
      </c>
      <c r="C5201" t="s">
        <v>4253</v>
      </c>
      <c r="D5201" t="s">
        <v>5824</v>
      </c>
      <c r="E5201" t="str">
        <f>"00070375"</f>
        <v>00070375</v>
      </c>
      <c r="F5201">
        <v>0</v>
      </c>
      <c r="G5201" s="243">
        <v>41169</v>
      </c>
      <c r="H5201" t="s">
        <v>182</v>
      </c>
      <c r="I5201">
        <v>15</v>
      </c>
      <c r="J5201">
        <v>10</v>
      </c>
      <c r="K5201">
        <v>1</v>
      </c>
      <c r="L5201">
        <v>78273</v>
      </c>
      <c r="M5201" t="str">
        <f t="shared" si="798"/>
        <v>13</v>
      </c>
      <c r="N5201" t="s">
        <v>3370</v>
      </c>
      <c r="O5201" t="str">
        <f t="shared" si="801"/>
        <v>72311</v>
      </c>
      <c r="P5201" t="str">
        <f>"2100L"</f>
        <v>2100L</v>
      </c>
      <c r="Q5201" t="str">
        <f t="shared" si="800"/>
        <v>0101</v>
      </c>
      <c r="R5201">
        <v>2100</v>
      </c>
      <c r="S5201" t="str">
        <f t="shared" si="802"/>
        <v>7230</v>
      </c>
      <c r="T5201" t="s">
        <v>4125</v>
      </c>
      <c r="U5201" t="s">
        <v>114</v>
      </c>
    </row>
    <row r="5202" spans="1:21" ht="15" customHeight="1" x14ac:dyDescent="0.3">
      <c r="A5202" t="s">
        <v>179</v>
      </c>
      <c r="B5202" t="str">
        <f>"00059249"</f>
        <v>00059249</v>
      </c>
      <c r="C5202" t="s">
        <v>4254</v>
      </c>
      <c r="D5202" t="s">
        <v>1969</v>
      </c>
      <c r="E5202" t="str">
        <f>"00049034"</f>
        <v>00049034</v>
      </c>
      <c r="F5202">
        <v>0</v>
      </c>
      <c r="G5202" s="243">
        <v>32050</v>
      </c>
      <c r="H5202" t="s">
        <v>182</v>
      </c>
      <c r="I5202">
        <v>15</v>
      </c>
      <c r="J5202">
        <v>16</v>
      </c>
      <c r="K5202">
        <v>1</v>
      </c>
      <c r="L5202">
        <v>103347</v>
      </c>
      <c r="M5202" t="str">
        <f t="shared" si="798"/>
        <v>13</v>
      </c>
      <c r="N5202" t="s">
        <v>3323</v>
      </c>
      <c r="O5202" t="str">
        <f t="shared" si="801"/>
        <v>72311</v>
      </c>
      <c r="P5202" t="str">
        <f>"2100L"</f>
        <v>2100L</v>
      </c>
      <c r="Q5202" t="str">
        <f t="shared" si="800"/>
        <v>0101</v>
      </c>
      <c r="R5202">
        <v>2100</v>
      </c>
      <c r="S5202" t="str">
        <f t="shared" si="802"/>
        <v>7230</v>
      </c>
      <c r="T5202" t="s">
        <v>4125</v>
      </c>
      <c r="U5202" t="s">
        <v>114</v>
      </c>
    </row>
    <row r="5203" spans="1:21" ht="15" customHeight="1" x14ac:dyDescent="0.3">
      <c r="A5203" t="s">
        <v>179</v>
      </c>
      <c r="B5203" t="str">
        <f>"00059442"</f>
        <v>00059442</v>
      </c>
      <c r="C5203" t="s">
        <v>4253</v>
      </c>
      <c r="D5203" t="s">
        <v>1970</v>
      </c>
      <c r="E5203" t="str">
        <f>"00055256"</f>
        <v>00055256</v>
      </c>
      <c r="F5203">
        <v>0</v>
      </c>
      <c r="G5203" s="243">
        <v>37896</v>
      </c>
      <c r="H5203" t="s">
        <v>182</v>
      </c>
      <c r="I5203">
        <v>15</v>
      </c>
      <c r="J5203">
        <v>16</v>
      </c>
      <c r="K5203">
        <v>1</v>
      </c>
      <c r="L5203">
        <v>100839</v>
      </c>
      <c r="M5203" t="str">
        <f t="shared" si="798"/>
        <v>13</v>
      </c>
      <c r="N5203" t="s">
        <v>3323</v>
      </c>
      <c r="O5203" t="str">
        <f t="shared" si="801"/>
        <v>72311</v>
      </c>
      <c r="P5203" t="str">
        <f>"2100L"</f>
        <v>2100L</v>
      </c>
      <c r="Q5203" t="str">
        <f t="shared" si="800"/>
        <v>0101</v>
      </c>
      <c r="R5203">
        <v>2100</v>
      </c>
      <c r="S5203" t="str">
        <f t="shared" si="802"/>
        <v>7230</v>
      </c>
      <c r="T5203" t="s">
        <v>4125</v>
      </c>
      <c r="U5203" t="s">
        <v>114</v>
      </c>
    </row>
    <row r="5204" spans="1:21" ht="15" customHeight="1" x14ac:dyDescent="0.3">
      <c r="A5204" t="s">
        <v>179</v>
      </c>
      <c r="B5204" t="str">
        <f>"00059751"</f>
        <v>00059751</v>
      </c>
      <c r="C5204" t="s">
        <v>4253</v>
      </c>
      <c r="D5204" t="s">
        <v>1971</v>
      </c>
      <c r="E5204" t="str">
        <f>"00063011"</f>
        <v>00063011</v>
      </c>
      <c r="F5204">
        <v>0</v>
      </c>
      <c r="G5204" s="243">
        <v>40413</v>
      </c>
      <c r="H5204" t="s">
        <v>182</v>
      </c>
      <c r="I5204">
        <v>15</v>
      </c>
      <c r="J5204">
        <v>3</v>
      </c>
      <c r="K5204">
        <v>1</v>
      </c>
      <c r="L5204">
        <v>52777</v>
      </c>
      <c r="M5204" t="str">
        <f t="shared" si="798"/>
        <v>13</v>
      </c>
      <c r="N5204" t="s">
        <v>3323</v>
      </c>
      <c r="O5204" t="str">
        <f t="shared" si="801"/>
        <v>72311</v>
      </c>
      <c r="P5204" t="str">
        <f>"2100L"</f>
        <v>2100L</v>
      </c>
      <c r="Q5204" t="str">
        <f t="shared" si="800"/>
        <v>0101</v>
      </c>
      <c r="R5204">
        <v>2100</v>
      </c>
      <c r="S5204" t="str">
        <f t="shared" si="802"/>
        <v>7230</v>
      </c>
      <c r="T5204" t="s">
        <v>4125</v>
      </c>
      <c r="U5204" t="s">
        <v>114</v>
      </c>
    </row>
    <row r="5205" spans="1:21" ht="15" customHeight="1" x14ac:dyDescent="0.3">
      <c r="A5205" t="s">
        <v>179</v>
      </c>
      <c r="B5205" t="str">
        <f>"00061801"</f>
        <v>00061801</v>
      </c>
      <c r="C5205" t="s">
        <v>3798</v>
      </c>
      <c r="D5205" t="s">
        <v>5825</v>
      </c>
      <c r="E5205" t="str">
        <f>"00053339"</f>
        <v>00053339</v>
      </c>
      <c r="F5205">
        <v>0</v>
      </c>
      <c r="G5205" s="243">
        <v>33834</v>
      </c>
      <c r="H5205" t="s">
        <v>182</v>
      </c>
      <c r="I5205">
        <v>65</v>
      </c>
      <c r="J5205">
        <v>5</v>
      </c>
      <c r="K5205">
        <v>1</v>
      </c>
      <c r="L5205">
        <v>132000</v>
      </c>
      <c r="M5205" t="str">
        <f t="shared" si="798"/>
        <v>13</v>
      </c>
      <c r="N5205" t="s">
        <v>3323</v>
      </c>
      <c r="O5205" t="str">
        <f t="shared" si="801"/>
        <v>72311</v>
      </c>
      <c r="P5205" t="str">
        <f>"1501L"</f>
        <v>1501L</v>
      </c>
      <c r="Q5205" t="str">
        <f t="shared" si="800"/>
        <v>0101</v>
      </c>
      <c r="R5205">
        <v>1501</v>
      </c>
      <c r="S5205" t="str">
        <f t="shared" si="802"/>
        <v>7230</v>
      </c>
      <c r="T5205" t="s">
        <v>4125</v>
      </c>
      <c r="U5205" t="s">
        <v>114</v>
      </c>
    </row>
    <row r="5206" spans="1:21" ht="15" customHeight="1" x14ac:dyDescent="0.3">
      <c r="A5206" t="s">
        <v>179</v>
      </c>
      <c r="B5206" t="str">
        <f>"00062114"</f>
        <v>00062114</v>
      </c>
      <c r="C5206" t="s">
        <v>4260</v>
      </c>
      <c r="D5206" t="s">
        <v>1821</v>
      </c>
      <c r="E5206" t="str">
        <f>"00055204"</f>
        <v>00055204</v>
      </c>
      <c r="F5206">
        <v>0</v>
      </c>
      <c r="G5206" s="243">
        <v>37965</v>
      </c>
      <c r="H5206" t="s">
        <v>182</v>
      </c>
      <c r="I5206">
        <v>15</v>
      </c>
      <c r="J5206">
        <v>12</v>
      </c>
      <c r="K5206">
        <v>1</v>
      </c>
      <c r="L5206">
        <v>87431</v>
      </c>
      <c r="M5206" t="str">
        <f t="shared" si="798"/>
        <v>13</v>
      </c>
      <c r="N5206" t="s">
        <v>3323</v>
      </c>
      <c r="O5206" t="str">
        <f t="shared" si="801"/>
        <v>72311</v>
      </c>
      <c r="P5206" t="str">
        <f>"3030L"</f>
        <v>3030L</v>
      </c>
      <c r="Q5206" t="str">
        <f t="shared" si="800"/>
        <v>0101</v>
      </c>
      <c r="R5206">
        <v>3030</v>
      </c>
      <c r="S5206" t="str">
        <f t="shared" si="802"/>
        <v>7230</v>
      </c>
      <c r="T5206" t="s">
        <v>4125</v>
      </c>
      <c r="U5206" t="s">
        <v>114</v>
      </c>
    </row>
    <row r="5207" spans="1:21" ht="15" customHeight="1" x14ac:dyDescent="0.3">
      <c r="A5207" t="s">
        <v>179</v>
      </c>
      <c r="B5207" t="str">
        <f>"00062193"</f>
        <v>00062193</v>
      </c>
      <c r="C5207" t="s">
        <v>4253</v>
      </c>
      <c r="D5207" t="s">
        <v>4131</v>
      </c>
      <c r="E5207" t="str">
        <f>"00048040"</f>
        <v>00048040</v>
      </c>
      <c r="F5207">
        <v>0</v>
      </c>
      <c r="G5207" s="243">
        <v>39679</v>
      </c>
      <c r="H5207" t="s">
        <v>182</v>
      </c>
      <c r="I5207">
        <v>15</v>
      </c>
      <c r="J5207">
        <v>5</v>
      </c>
      <c r="K5207">
        <v>1</v>
      </c>
      <c r="L5207">
        <v>63611</v>
      </c>
      <c r="M5207" t="str">
        <f t="shared" si="798"/>
        <v>13</v>
      </c>
      <c r="N5207" t="s">
        <v>3323</v>
      </c>
      <c r="O5207" t="str">
        <f t="shared" si="801"/>
        <v>72311</v>
      </c>
      <c r="P5207" t="str">
        <f>"2100L"</f>
        <v>2100L</v>
      </c>
      <c r="Q5207" t="str">
        <f t="shared" si="800"/>
        <v>0101</v>
      </c>
      <c r="R5207">
        <v>2100</v>
      </c>
      <c r="S5207" t="str">
        <f t="shared" si="802"/>
        <v>7230</v>
      </c>
      <c r="T5207" t="s">
        <v>4125</v>
      </c>
      <c r="U5207" t="s">
        <v>114</v>
      </c>
    </row>
    <row r="5208" spans="1:21" ht="15" customHeight="1" x14ac:dyDescent="0.3">
      <c r="A5208" t="s">
        <v>179</v>
      </c>
      <c r="B5208" t="str">
        <f>"00062405"</f>
        <v>00062405</v>
      </c>
      <c r="C5208" t="s">
        <v>4253</v>
      </c>
      <c r="D5208" t="s">
        <v>1973</v>
      </c>
      <c r="E5208" t="str">
        <f>"00044841"</f>
        <v>00044841</v>
      </c>
      <c r="F5208">
        <v>0</v>
      </c>
      <c r="G5208" s="243">
        <v>39679</v>
      </c>
      <c r="H5208" t="s">
        <v>182</v>
      </c>
      <c r="I5208">
        <v>15</v>
      </c>
      <c r="J5208">
        <v>5</v>
      </c>
      <c r="K5208">
        <v>1</v>
      </c>
      <c r="L5208">
        <v>63611</v>
      </c>
      <c r="M5208" t="str">
        <f t="shared" si="798"/>
        <v>13</v>
      </c>
      <c r="N5208" t="s">
        <v>3323</v>
      </c>
      <c r="O5208" t="str">
        <f t="shared" si="801"/>
        <v>72311</v>
      </c>
      <c r="P5208" t="str">
        <f>"2100L"</f>
        <v>2100L</v>
      </c>
      <c r="Q5208" t="str">
        <f t="shared" si="800"/>
        <v>0101</v>
      </c>
      <c r="R5208">
        <v>2100</v>
      </c>
      <c r="S5208" t="str">
        <f t="shared" si="802"/>
        <v>7230</v>
      </c>
      <c r="T5208" t="s">
        <v>4125</v>
      </c>
      <c r="U5208" t="s">
        <v>114</v>
      </c>
    </row>
    <row r="5209" spans="1:21" ht="15" customHeight="1" x14ac:dyDescent="0.3">
      <c r="A5209" t="s">
        <v>179</v>
      </c>
      <c r="B5209" t="str">
        <f>"00062474"</f>
        <v>00062474</v>
      </c>
      <c r="C5209" t="s">
        <v>4257</v>
      </c>
      <c r="D5209" t="s">
        <v>1974</v>
      </c>
      <c r="E5209" t="str">
        <f>"00050223"</f>
        <v>00050223</v>
      </c>
      <c r="F5209">
        <v>0</v>
      </c>
      <c r="G5209" s="243">
        <v>39679</v>
      </c>
      <c r="H5209" t="s">
        <v>182</v>
      </c>
      <c r="I5209">
        <v>15</v>
      </c>
      <c r="J5209">
        <v>5</v>
      </c>
      <c r="K5209">
        <v>1</v>
      </c>
      <c r="L5209">
        <v>63611</v>
      </c>
      <c r="M5209" t="str">
        <f t="shared" si="798"/>
        <v>13</v>
      </c>
      <c r="N5209" t="s">
        <v>3323</v>
      </c>
      <c r="O5209" t="str">
        <f t="shared" si="801"/>
        <v>72311</v>
      </c>
      <c r="P5209" t="str">
        <f>"2100L"</f>
        <v>2100L</v>
      </c>
      <c r="Q5209" t="str">
        <f t="shared" si="800"/>
        <v>0101</v>
      </c>
      <c r="R5209">
        <v>2100</v>
      </c>
      <c r="S5209" t="str">
        <f t="shared" si="802"/>
        <v>7230</v>
      </c>
      <c r="T5209" t="s">
        <v>4125</v>
      </c>
      <c r="U5209" t="s">
        <v>114</v>
      </c>
    </row>
    <row r="5210" spans="1:21" ht="15" customHeight="1" x14ac:dyDescent="0.3">
      <c r="A5210" t="s">
        <v>179</v>
      </c>
      <c r="B5210" t="str">
        <f>"00066026"</f>
        <v>00066026</v>
      </c>
      <c r="C5210" t="s">
        <v>200</v>
      </c>
      <c r="D5210" t="s">
        <v>4127</v>
      </c>
      <c r="E5210" t="str">
        <f>"00066980"</f>
        <v>00066980</v>
      </c>
      <c r="F5210">
        <v>0</v>
      </c>
      <c r="G5210" s="243">
        <v>40848</v>
      </c>
      <c r="H5210" t="s">
        <v>182</v>
      </c>
      <c r="I5210">
        <v>15</v>
      </c>
      <c r="J5210">
        <v>11</v>
      </c>
      <c r="K5210">
        <v>1</v>
      </c>
      <c r="L5210">
        <v>81335</v>
      </c>
      <c r="M5210" t="str">
        <f t="shared" si="798"/>
        <v>13</v>
      </c>
      <c r="N5210" t="s">
        <v>3323</v>
      </c>
      <c r="O5210" t="str">
        <f t="shared" si="801"/>
        <v>72311</v>
      </c>
      <c r="P5210" t="str">
        <f>"3030L"</f>
        <v>3030L</v>
      </c>
      <c r="Q5210" t="str">
        <f t="shared" si="800"/>
        <v>0101</v>
      </c>
      <c r="R5210">
        <v>3030</v>
      </c>
      <c r="S5210" t="str">
        <f t="shared" si="802"/>
        <v>7230</v>
      </c>
      <c r="T5210" t="s">
        <v>4125</v>
      </c>
      <c r="U5210" t="s">
        <v>114</v>
      </c>
    </row>
    <row r="5211" spans="1:21" ht="15" customHeight="1" x14ac:dyDescent="0.3">
      <c r="A5211" t="s">
        <v>179</v>
      </c>
      <c r="B5211" t="str">
        <f>"00066644"</f>
        <v>00066644</v>
      </c>
      <c r="C5211" t="s">
        <v>4260</v>
      </c>
      <c r="D5211" t="s">
        <v>1975</v>
      </c>
      <c r="E5211" t="str">
        <f>"00057077"</f>
        <v>00057077</v>
      </c>
      <c r="F5211">
        <v>0</v>
      </c>
      <c r="G5211" s="243">
        <v>40042</v>
      </c>
      <c r="H5211" t="s">
        <v>182</v>
      </c>
      <c r="I5211">
        <v>15</v>
      </c>
      <c r="J5211">
        <v>4</v>
      </c>
      <c r="K5211">
        <v>1</v>
      </c>
      <c r="L5211">
        <v>61158</v>
      </c>
      <c r="M5211" t="str">
        <f t="shared" si="798"/>
        <v>13</v>
      </c>
      <c r="N5211" t="s">
        <v>3323</v>
      </c>
      <c r="O5211" t="str">
        <f t="shared" si="801"/>
        <v>72311</v>
      </c>
      <c r="P5211" t="str">
        <f>"3030L"</f>
        <v>3030L</v>
      </c>
      <c r="Q5211" t="str">
        <f t="shared" si="800"/>
        <v>0101</v>
      </c>
      <c r="R5211">
        <v>3030</v>
      </c>
      <c r="S5211" t="str">
        <f t="shared" si="802"/>
        <v>7230</v>
      </c>
      <c r="T5211" t="s">
        <v>4125</v>
      </c>
      <c r="U5211" t="s">
        <v>114</v>
      </c>
    </row>
    <row r="5212" spans="1:21" ht="15" customHeight="1" x14ac:dyDescent="0.3">
      <c r="A5212" t="s">
        <v>179</v>
      </c>
      <c r="B5212" t="str">
        <f>"00066645"</f>
        <v>00066645</v>
      </c>
      <c r="C5212" t="s">
        <v>4260</v>
      </c>
      <c r="H5212" t="s">
        <v>170</v>
      </c>
      <c r="I5212">
        <v>15</v>
      </c>
      <c r="J5212">
        <v>1</v>
      </c>
      <c r="K5212">
        <v>1</v>
      </c>
      <c r="L5212">
        <v>54975</v>
      </c>
      <c r="M5212" t="str">
        <f t="shared" si="798"/>
        <v>13</v>
      </c>
      <c r="N5212" t="s">
        <v>3323</v>
      </c>
      <c r="O5212" t="str">
        <f t="shared" si="801"/>
        <v>72311</v>
      </c>
      <c r="P5212" t="str">
        <f>"3030L"</f>
        <v>3030L</v>
      </c>
      <c r="Q5212" t="str">
        <f t="shared" ref="Q5212:Q5240" si="803">"0101"</f>
        <v>0101</v>
      </c>
      <c r="R5212">
        <v>3030</v>
      </c>
      <c r="S5212" t="str">
        <f t="shared" si="802"/>
        <v>7230</v>
      </c>
      <c r="T5212" t="s">
        <v>4125</v>
      </c>
      <c r="U5212" t="s">
        <v>114</v>
      </c>
    </row>
    <row r="5213" spans="1:21" ht="15" customHeight="1" x14ac:dyDescent="0.3">
      <c r="A5213" t="s">
        <v>179</v>
      </c>
      <c r="B5213" t="str">
        <f>"00066646"</f>
        <v>00066646</v>
      </c>
      <c r="C5213" t="s">
        <v>4263</v>
      </c>
      <c r="D5213" t="s">
        <v>1976</v>
      </c>
      <c r="E5213" t="str">
        <f>"00053569"</f>
        <v>00053569</v>
      </c>
      <c r="F5213">
        <v>0</v>
      </c>
      <c r="G5213" s="243">
        <v>33848</v>
      </c>
      <c r="H5213" t="s">
        <v>182</v>
      </c>
      <c r="I5213">
        <v>15</v>
      </c>
      <c r="J5213">
        <v>16</v>
      </c>
      <c r="K5213">
        <v>1</v>
      </c>
      <c r="L5213">
        <v>100839</v>
      </c>
      <c r="M5213" t="str">
        <f t="shared" si="798"/>
        <v>13</v>
      </c>
      <c r="N5213" t="s">
        <v>3323</v>
      </c>
      <c r="O5213" t="str">
        <f t="shared" si="801"/>
        <v>72311</v>
      </c>
      <c r="P5213" t="str">
        <f t="shared" ref="P5213:P5218" si="804">"2100L"</f>
        <v>2100L</v>
      </c>
      <c r="Q5213" t="str">
        <f t="shared" si="803"/>
        <v>0101</v>
      </c>
      <c r="R5213">
        <v>2100</v>
      </c>
      <c r="S5213" t="str">
        <f t="shared" si="802"/>
        <v>7230</v>
      </c>
      <c r="T5213" t="s">
        <v>4125</v>
      </c>
      <c r="U5213" t="s">
        <v>114</v>
      </c>
    </row>
    <row r="5214" spans="1:21" ht="15" customHeight="1" x14ac:dyDescent="0.3">
      <c r="A5214" t="s">
        <v>179</v>
      </c>
      <c r="B5214" t="str">
        <f>"00066647"</f>
        <v>00066647</v>
      </c>
      <c r="C5214" t="s">
        <v>4263</v>
      </c>
      <c r="D5214" t="s">
        <v>5826</v>
      </c>
      <c r="E5214" t="str">
        <f>"00069964"</f>
        <v>00069964</v>
      </c>
      <c r="F5214">
        <v>0</v>
      </c>
      <c r="G5214" s="243">
        <v>41133</v>
      </c>
      <c r="H5214" t="s">
        <v>182</v>
      </c>
      <c r="I5214">
        <v>15</v>
      </c>
      <c r="J5214">
        <v>5</v>
      </c>
      <c r="K5214">
        <v>1</v>
      </c>
      <c r="L5214">
        <v>63611</v>
      </c>
      <c r="M5214" t="str">
        <f t="shared" si="798"/>
        <v>13</v>
      </c>
      <c r="N5214" t="s">
        <v>3323</v>
      </c>
      <c r="O5214" t="str">
        <f t="shared" si="801"/>
        <v>72311</v>
      </c>
      <c r="P5214" t="str">
        <f t="shared" si="804"/>
        <v>2100L</v>
      </c>
      <c r="Q5214" t="str">
        <f t="shared" si="803"/>
        <v>0101</v>
      </c>
      <c r="R5214">
        <v>2100</v>
      </c>
      <c r="S5214" t="str">
        <f t="shared" si="802"/>
        <v>7230</v>
      </c>
      <c r="T5214" t="s">
        <v>4125</v>
      </c>
      <c r="U5214" t="s">
        <v>114</v>
      </c>
    </row>
    <row r="5215" spans="1:21" ht="15" customHeight="1" x14ac:dyDescent="0.3">
      <c r="A5215" t="s">
        <v>179</v>
      </c>
      <c r="B5215" t="str">
        <f>"00066648"</f>
        <v>00066648</v>
      </c>
      <c r="C5215" t="s">
        <v>4255</v>
      </c>
      <c r="H5215" t="s">
        <v>170</v>
      </c>
      <c r="I5215">
        <v>15</v>
      </c>
      <c r="J5215">
        <v>1</v>
      </c>
      <c r="K5215">
        <v>1</v>
      </c>
      <c r="L5215">
        <v>54975</v>
      </c>
      <c r="M5215" t="str">
        <f t="shared" si="798"/>
        <v>13</v>
      </c>
      <c r="N5215" t="s">
        <v>3323</v>
      </c>
      <c r="O5215" t="str">
        <f t="shared" si="801"/>
        <v>72311</v>
      </c>
      <c r="P5215" t="str">
        <f t="shared" si="804"/>
        <v>2100L</v>
      </c>
      <c r="Q5215" t="str">
        <f t="shared" si="803"/>
        <v>0101</v>
      </c>
      <c r="R5215">
        <v>2100</v>
      </c>
      <c r="S5215" t="str">
        <f t="shared" si="802"/>
        <v>7230</v>
      </c>
      <c r="T5215" t="s">
        <v>4125</v>
      </c>
      <c r="U5215" t="s">
        <v>114</v>
      </c>
    </row>
    <row r="5216" spans="1:21" ht="15" customHeight="1" x14ac:dyDescent="0.3">
      <c r="A5216" t="s">
        <v>179</v>
      </c>
      <c r="B5216" t="str">
        <f>"00066651"</f>
        <v>00066651</v>
      </c>
      <c r="C5216" t="s">
        <v>4857</v>
      </c>
      <c r="D5216" t="s">
        <v>5827</v>
      </c>
      <c r="E5216" t="str">
        <f>"00062826"</f>
        <v>00062826</v>
      </c>
      <c r="F5216">
        <v>0</v>
      </c>
      <c r="G5216" s="243">
        <v>41133</v>
      </c>
      <c r="H5216" t="s">
        <v>182</v>
      </c>
      <c r="I5216">
        <v>9</v>
      </c>
      <c r="J5216">
        <v>2</v>
      </c>
      <c r="K5216">
        <v>1</v>
      </c>
      <c r="L5216">
        <v>58350</v>
      </c>
      <c r="M5216" t="str">
        <f t="shared" si="798"/>
        <v>13</v>
      </c>
      <c r="N5216" t="s">
        <v>3323</v>
      </c>
      <c r="O5216" t="str">
        <f t="shared" si="801"/>
        <v>72311</v>
      </c>
      <c r="P5216" t="str">
        <f t="shared" si="804"/>
        <v>2100L</v>
      </c>
      <c r="Q5216" t="str">
        <f t="shared" si="803"/>
        <v>0101</v>
      </c>
      <c r="R5216">
        <v>2100</v>
      </c>
      <c r="S5216" t="str">
        <f t="shared" si="802"/>
        <v>7230</v>
      </c>
      <c r="T5216" t="s">
        <v>4125</v>
      </c>
      <c r="U5216" t="s">
        <v>114</v>
      </c>
    </row>
    <row r="5217" spans="1:21" ht="15" customHeight="1" x14ac:dyDescent="0.3">
      <c r="A5217" t="s">
        <v>179</v>
      </c>
      <c r="B5217" t="str">
        <f>"00066653"</f>
        <v>00066653</v>
      </c>
      <c r="C5217" t="s">
        <v>4857</v>
      </c>
      <c r="D5217" t="s">
        <v>4128</v>
      </c>
      <c r="E5217" t="str">
        <f>"00066758"</f>
        <v>00066758</v>
      </c>
      <c r="F5217">
        <v>0</v>
      </c>
      <c r="G5217" s="243">
        <v>40815</v>
      </c>
      <c r="H5217" t="s">
        <v>182</v>
      </c>
      <c r="I5217">
        <v>9</v>
      </c>
      <c r="J5217">
        <v>10</v>
      </c>
      <c r="K5217">
        <v>1</v>
      </c>
      <c r="L5217">
        <v>73460</v>
      </c>
      <c r="M5217" t="str">
        <f t="shared" si="798"/>
        <v>13</v>
      </c>
      <c r="N5217" t="s">
        <v>3323</v>
      </c>
      <c r="O5217" t="str">
        <f t="shared" si="801"/>
        <v>72311</v>
      </c>
      <c r="P5217" t="str">
        <f t="shared" si="804"/>
        <v>2100L</v>
      </c>
      <c r="Q5217" t="str">
        <f t="shared" si="803"/>
        <v>0101</v>
      </c>
      <c r="R5217">
        <v>2100</v>
      </c>
      <c r="S5217" t="str">
        <f t="shared" si="802"/>
        <v>7230</v>
      </c>
      <c r="T5217" t="s">
        <v>4125</v>
      </c>
      <c r="U5217" t="s">
        <v>114</v>
      </c>
    </row>
    <row r="5218" spans="1:21" ht="15" customHeight="1" x14ac:dyDescent="0.3">
      <c r="A5218" t="s">
        <v>179</v>
      </c>
      <c r="B5218" t="str">
        <f>"00066654"</f>
        <v>00066654</v>
      </c>
      <c r="C5218" t="s">
        <v>4857</v>
      </c>
      <c r="D5218" t="s">
        <v>1977</v>
      </c>
      <c r="E5218" t="str">
        <f>"00058153"</f>
        <v>00058153</v>
      </c>
      <c r="F5218">
        <v>0</v>
      </c>
      <c r="G5218" s="243">
        <v>40049</v>
      </c>
      <c r="H5218" t="s">
        <v>182</v>
      </c>
      <c r="I5218">
        <v>9</v>
      </c>
      <c r="J5218">
        <v>7</v>
      </c>
      <c r="K5218">
        <v>1</v>
      </c>
      <c r="L5218">
        <v>67793</v>
      </c>
      <c r="M5218" t="str">
        <f t="shared" si="798"/>
        <v>13</v>
      </c>
      <c r="N5218" t="s">
        <v>3323</v>
      </c>
      <c r="O5218" t="str">
        <f t="shared" si="801"/>
        <v>72311</v>
      </c>
      <c r="P5218" t="str">
        <f t="shared" si="804"/>
        <v>2100L</v>
      </c>
      <c r="Q5218" t="str">
        <f t="shared" si="803"/>
        <v>0101</v>
      </c>
      <c r="R5218">
        <v>2100</v>
      </c>
      <c r="S5218" t="str">
        <f t="shared" si="802"/>
        <v>7230</v>
      </c>
      <c r="T5218" t="s">
        <v>4125</v>
      </c>
      <c r="U5218" t="s">
        <v>114</v>
      </c>
    </row>
    <row r="5219" spans="1:21" ht="15" customHeight="1" x14ac:dyDescent="0.3">
      <c r="A5219" t="s">
        <v>179</v>
      </c>
      <c r="B5219" t="str">
        <f>"00067106"</f>
        <v>00067106</v>
      </c>
      <c r="C5219" t="s">
        <v>4306</v>
      </c>
      <c r="D5219" t="s">
        <v>5828</v>
      </c>
      <c r="E5219" t="str">
        <f>"00054885"</f>
        <v>00054885</v>
      </c>
      <c r="F5219">
        <v>0</v>
      </c>
      <c r="G5219" s="243">
        <v>31692</v>
      </c>
      <c r="H5219" t="s">
        <v>182</v>
      </c>
      <c r="I5219">
        <v>9</v>
      </c>
      <c r="J5219">
        <v>10</v>
      </c>
      <c r="K5219">
        <v>1</v>
      </c>
      <c r="L5219">
        <v>42730</v>
      </c>
      <c r="M5219" t="str">
        <f t="shared" si="798"/>
        <v>13</v>
      </c>
      <c r="N5219" t="s">
        <v>3323</v>
      </c>
      <c r="O5219" t="str">
        <f t="shared" si="801"/>
        <v>72311</v>
      </c>
      <c r="P5219" t="str">
        <f>"1502L"</f>
        <v>1502L</v>
      </c>
      <c r="Q5219" t="str">
        <f t="shared" si="803"/>
        <v>0101</v>
      </c>
      <c r="R5219">
        <v>1502</v>
      </c>
      <c r="S5219" t="str">
        <f t="shared" si="802"/>
        <v>7230</v>
      </c>
      <c r="T5219" t="s">
        <v>4125</v>
      </c>
      <c r="U5219" t="s">
        <v>114</v>
      </c>
    </row>
    <row r="5220" spans="1:21" ht="15" customHeight="1" x14ac:dyDescent="0.3">
      <c r="A5220" t="s">
        <v>179</v>
      </c>
      <c r="B5220" t="str">
        <f>"00067527"</f>
        <v>00067527</v>
      </c>
      <c r="C5220" t="s">
        <v>4253</v>
      </c>
      <c r="H5220" t="s">
        <v>170</v>
      </c>
      <c r="I5220">
        <v>15</v>
      </c>
      <c r="J5220">
        <v>1</v>
      </c>
      <c r="K5220">
        <v>1</v>
      </c>
      <c r="L5220">
        <v>54975</v>
      </c>
      <c r="M5220" t="str">
        <f t="shared" si="798"/>
        <v>13</v>
      </c>
      <c r="N5220" t="s">
        <v>3323</v>
      </c>
      <c r="O5220" t="str">
        <f t="shared" si="801"/>
        <v>72311</v>
      </c>
      <c r="P5220" t="str">
        <f>"2100L"</f>
        <v>2100L</v>
      </c>
      <c r="Q5220" t="str">
        <f t="shared" si="803"/>
        <v>0101</v>
      </c>
      <c r="R5220">
        <v>2100</v>
      </c>
      <c r="S5220" t="str">
        <f t="shared" si="802"/>
        <v>7230</v>
      </c>
      <c r="T5220" t="s">
        <v>4125</v>
      </c>
      <c r="U5220" t="s">
        <v>114</v>
      </c>
    </row>
    <row r="5221" spans="1:21" ht="15" customHeight="1" x14ac:dyDescent="0.3">
      <c r="A5221" t="s">
        <v>179</v>
      </c>
      <c r="B5221" t="str">
        <f>"00067528"</f>
        <v>00067528</v>
      </c>
      <c r="C5221" t="s">
        <v>4253</v>
      </c>
      <c r="D5221" t="s">
        <v>5829</v>
      </c>
      <c r="E5221" t="str">
        <f>"00069590"</f>
        <v>00069590</v>
      </c>
      <c r="F5221">
        <v>0</v>
      </c>
      <c r="G5221" s="243">
        <v>41133</v>
      </c>
      <c r="H5221" t="s">
        <v>182</v>
      </c>
      <c r="I5221">
        <v>15</v>
      </c>
      <c r="J5221">
        <v>1</v>
      </c>
      <c r="K5221">
        <v>1</v>
      </c>
      <c r="L5221">
        <v>54975</v>
      </c>
      <c r="M5221" t="str">
        <f t="shared" si="798"/>
        <v>13</v>
      </c>
      <c r="N5221" t="s">
        <v>3370</v>
      </c>
      <c r="O5221" t="str">
        <f t="shared" si="801"/>
        <v>72311</v>
      </c>
      <c r="P5221" t="str">
        <f>"2100L"</f>
        <v>2100L</v>
      </c>
      <c r="Q5221" t="str">
        <f t="shared" si="803"/>
        <v>0101</v>
      </c>
      <c r="R5221">
        <v>2100</v>
      </c>
      <c r="S5221" t="str">
        <f t="shared" si="802"/>
        <v>7230</v>
      </c>
      <c r="T5221" t="s">
        <v>4125</v>
      </c>
      <c r="U5221" t="s">
        <v>114</v>
      </c>
    </row>
    <row r="5222" spans="1:21" ht="15" customHeight="1" x14ac:dyDescent="0.3">
      <c r="A5222" t="s">
        <v>179</v>
      </c>
      <c r="B5222" t="str">
        <f>"00071341"</f>
        <v>00071341</v>
      </c>
      <c r="C5222" t="s">
        <v>4360</v>
      </c>
      <c r="D5222" t="s">
        <v>5830</v>
      </c>
      <c r="E5222" t="str">
        <f>"00054557"</f>
        <v>00054557</v>
      </c>
      <c r="F5222">
        <v>0</v>
      </c>
      <c r="G5222" s="243">
        <v>40184</v>
      </c>
      <c r="H5222" t="s">
        <v>182</v>
      </c>
      <c r="I5222">
        <v>7</v>
      </c>
      <c r="J5222">
        <v>8</v>
      </c>
      <c r="K5222">
        <v>1</v>
      </c>
      <c r="L5222">
        <v>42621</v>
      </c>
      <c r="M5222" t="str">
        <f t="shared" si="798"/>
        <v>13</v>
      </c>
      <c r="N5222" t="s">
        <v>3370</v>
      </c>
      <c r="O5222" t="str">
        <f t="shared" si="801"/>
        <v>72311</v>
      </c>
      <c r="P5222" t="str">
        <f>"1502L"</f>
        <v>1502L</v>
      </c>
      <c r="Q5222" t="str">
        <f t="shared" si="803"/>
        <v>0101</v>
      </c>
      <c r="R5222">
        <v>1502</v>
      </c>
      <c r="S5222" t="str">
        <f t="shared" si="802"/>
        <v>7230</v>
      </c>
      <c r="T5222" t="s">
        <v>4125</v>
      </c>
      <c r="U5222" t="s">
        <v>114</v>
      </c>
    </row>
    <row r="5223" spans="1:21" ht="15" customHeight="1" x14ac:dyDescent="0.3">
      <c r="A5223" t="s">
        <v>179</v>
      </c>
      <c r="B5223" t="str">
        <f>"00072275"</f>
        <v>00072275</v>
      </c>
      <c r="C5223" t="s">
        <v>4253</v>
      </c>
      <c r="D5223" t="s">
        <v>1978</v>
      </c>
      <c r="E5223" t="str">
        <f>"00062495"</f>
        <v>00062495</v>
      </c>
      <c r="F5223">
        <v>0</v>
      </c>
      <c r="G5223" s="243">
        <v>40406</v>
      </c>
      <c r="H5223" t="s">
        <v>182</v>
      </c>
      <c r="I5223">
        <v>15</v>
      </c>
      <c r="J5223">
        <v>3</v>
      </c>
      <c r="K5223">
        <v>1</v>
      </c>
      <c r="L5223">
        <v>52777</v>
      </c>
      <c r="M5223" t="str">
        <f t="shared" si="798"/>
        <v>13</v>
      </c>
      <c r="N5223" t="s">
        <v>3323</v>
      </c>
      <c r="O5223" t="str">
        <f t="shared" si="801"/>
        <v>72311</v>
      </c>
      <c r="P5223" t="str">
        <f>"2100L"</f>
        <v>2100L</v>
      </c>
      <c r="Q5223" t="str">
        <f t="shared" si="803"/>
        <v>0101</v>
      </c>
      <c r="R5223">
        <v>2100</v>
      </c>
      <c r="S5223" t="str">
        <f t="shared" si="802"/>
        <v>7230</v>
      </c>
      <c r="T5223" t="s">
        <v>4125</v>
      </c>
      <c r="U5223" t="s">
        <v>114</v>
      </c>
    </row>
    <row r="5224" spans="1:21" ht="15" customHeight="1" x14ac:dyDescent="0.3">
      <c r="A5224" t="s">
        <v>179</v>
      </c>
      <c r="B5224" t="str">
        <f>"00072340"</f>
        <v>00072340</v>
      </c>
      <c r="C5224" t="s">
        <v>4256</v>
      </c>
      <c r="D5224" t="s">
        <v>1979</v>
      </c>
      <c r="E5224" t="str">
        <f>"00062652"</f>
        <v>00062652</v>
      </c>
      <c r="F5224">
        <v>0</v>
      </c>
      <c r="G5224" s="243">
        <v>40406</v>
      </c>
      <c r="H5224" t="s">
        <v>182</v>
      </c>
      <c r="I5224">
        <v>15</v>
      </c>
      <c r="J5224">
        <v>3</v>
      </c>
      <c r="K5224">
        <v>1</v>
      </c>
      <c r="L5224">
        <v>58699</v>
      </c>
      <c r="M5224" t="str">
        <f t="shared" si="798"/>
        <v>13</v>
      </c>
      <c r="N5224" t="s">
        <v>3323</v>
      </c>
      <c r="O5224" t="str">
        <f t="shared" ref="O5224:O5240" si="805">"72311"</f>
        <v>72311</v>
      </c>
      <c r="P5224" t="str">
        <f>"2100L"</f>
        <v>2100L</v>
      </c>
      <c r="Q5224" t="str">
        <f t="shared" si="803"/>
        <v>0101</v>
      </c>
      <c r="R5224">
        <v>2100</v>
      </c>
      <c r="S5224" t="str">
        <f t="shared" ref="S5224:S5240" si="806">"7230"</f>
        <v>7230</v>
      </c>
      <c r="T5224" t="s">
        <v>4125</v>
      </c>
      <c r="U5224" t="s">
        <v>114</v>
      </c>
    </row>
    <row r="5225" spans="1:21" ht="15" customHeight="1" x14ac:dyDescent="0.3">
      <c r="A5225" t="s">
        <v>179</v>
      </c>
      <c r="B5225" t="str">
        <f>"00072341"</f>
        <v>00072341</v>
      </c>
      <c r="C5225" t="s">
        <v>4253</v>
      </c>
      <c r="D5225" t="s">
        <v>5831</v>
      </c>
      <c r="E5225" t="str">
        <f>"00070003"</f>
        <v>00070003</v>
      </c>
      <c r="F5225">
        <v>0</v>
      </c>
      <c r="G5225" s="243">
        <v>41133</v>
      </c>
      <c r="H5225" t="s">
        <v>182</v>
      </c>
      <c r="I5225">
        <v>15</v>
      </c>
      <c r="J5225">
        <v>10</v>
      </c>
      <c r="K5225">
        <v>1</v>
      </c>
      <c r="L5225">
        <v>83199</v>
      </c>
      <c r="M5225" t="str">
        <f t="shared" si="798"/>
        <v>13</v>
      </c>
      <c r="N5225" t="s">
        <v>3370</v>
      </c>
      <c r="O5225" t="str">
        <f t="shared" si="805"/>
        <v>72311</v>
      </c>
      <c r="P5225" t="str">
        <f>"2100L"</f>
        <v>2100L</v>
      </c>
      <c r="Q5225" t="str">
        <f t="shared" si="803"/>
        <v>0101</v>
      </c>
      <c r="R5225">
        <v>2100</v>
      </c>
      <c r="S5225" t="str">
        <f t="shared" si="806"/>
        <v>7230</v>
      </c>
      <c r="T5225" t="s">
        <v>4125</v>
      </c>
      <c r="U5225" t="s">
        <v>114</v>
      </c>
    </row>
    <row r="5226" spans="1:21" ht="15" customHeight="1" x14ac:dyDescent="0.3">
      <c r="A5226" t="s">
        <v>179</v>
      </c>
      <c r="B5226" t="str">
        <f>"00072568"</f>
        <v>00072568</v>
      </c>
      <c r="C5226" t="s">
        <v>4614</v>
      </c>
      <c r="D5226" t="s">
        <v>1980</v>
      </c>
      <c r="E5226" t="str">
        <f>"00023359"</f>
        <v>00023359</v>
      </c>
      <c r="F5226">
        <v>0</v>
      </c>
      <c r="G5226" s="243">
        <v>39979</v>
      </c>
      <c r="H5226" t="s">
        <v>182</v>
      </c>
      <c r="I5226">
        <v>7</v>
      </c>
      <c r="J5226">
        <v>6</v>
      </c>
      <c r="K5226">
        <v>1</v>
      </c>
      <c r="L5226">
        <v>40407</v>
      </c>
      <c r="M5226" t="str">
        <f t="shared" si="798"/>
        <v>13</v>
      </c>
      <c r="N5226" t="s">
        <v>3323</v>
      </c>
      <c r="O5226" t="str">
        <f t="shared" si="805"/>
        <v>72311</v>
      </c>
      <c r="P5226" t="str">
        <f t="shared" ref="P5226:P5232" si="807">"2100L"</f>
        <v>2100L</v>
      </c>
      <c r="Q5226" t="str">
        <f t="shared" si="803"/>
        <v>0101</v>
      </c>
      <c r="R5226">
        <v>2100</v>
      </c>
      <c r="S5226" t="str">
        <f t="shared" si="806"/>
        <v>7230</v>
      </c>
      <c r="T5226" t="s">
        <v>4125</v>
      </c>
      <c r="U5226" t="s">
        <v>114</v>
      </c>
    </row>
    <row r="5227" spans="1:21" ht="15" customHeight="1" x14ac:dyDescent="0.3">
      <c r="A5227" t="s">
        <v>179</v>
      </c>
      <c r="B5227" t="str">
        <f>"00072766"</f>
        <v>00072766</v>
      </c>
      <c r="C5227" t="s">
        <v>4261</v>
      </c>
      <c r="D5227" t="s">
        <v>2148</v>
      </c>
      <c r="E5227" t="str">
        <f>"00054368"</f>
        <v>00054368</v>
      </c>
      <c r="F5227">
        <v>0</v>
      </c>
      <c r="G5227" s="243">
        <v>32050</v>
      </c>
      <c r="H5227" t="s">
        <v>182</v>
      </c>
      <c r="I5227">
        <v>15</v>
      </c>
      <c r="J5227">
        <v>16</v>
      </c>
      <c r="K5227">
        <v>1</v>
      </c>
      <c r="L5227">
        <v>110923</v>
      </c>
      <c r="M5227" t="str">
        <f t="shared" si="798"/>
        <v>13</v>
      </c>
      <c r="N5227" t="s">
        <v>3323</v>
      </c>
      <c r="O5227" t="str">
        <f t="shared" si="805"/>
        <v>72311</v>
      </c>
      <c r="P5227" t="str">
        <f t="shared" si="807"/>
        <v>2100L</v>
      </c>
      <c r="Q5227" t="str">
        <f t="shared" si="803"/>
        <v>0101</v>
      </c>
      <c r="R5227">
        <v>2100</v>
      </c>
      <c r="S5227" t="str">
        <f t="shared" si="806"/>
        <v>7230</v>
      </c>
      <c r="T5227" t="s">
        <v>4125</v>
      </c>
      <c r="U5227" t="s">
        <v>114</v>
      </c>
    </row>
    <row r="5228" spans="1:21" ht="15" customHeight="1" x14ac:dyDescent="0.3">
      <c r="A5228" t="s">
        <v>179</v>
      </c>
      <c r="B5228" t="str">
        <f>"00072768"</f>
        <v>00072768</v>
      </c>
      <c r="C5228" t="s">
        <v>4253</v>
      </c>
      <c r="D5228" t="s">
        <v>5832</v>
      </c>
      <c r="E5228" t="str">
        <f>"00056994"</f>
        <v>00056994</v>
      </c>
      <c r="F5228">
        <v>0</v>
      </c>
      <c r="G5228" s="243">
        <v>40042</v>
      </c>
      <c r="H5228" t="s">
        <v>182</v>
      </c>
      <c r="I5228">
        <v>15</v>
      </c>
      <c r="J5228">
        <v>1</v>
      </c>
      <c r="K5228">
        <v>1</v>
      </c>
      <c r="L5228">
        <v>54975</v>
      </c>
      <c r="M5228" t="str">
        <f t="shared" si="798"/>
        <v>13</v>
      </c>
      <c r="N5228" t="s">
        <v>3370</v>
      </c>
      <c r="O5228" t="str">
        <f t="shared" si="805"/>
        <v>72311</v>
      </c>
      <c r="P5228" t="str">
        <f t="shared" si="807"/>
        <v>2100L</v>
      </c>
      <c r="Q5228" t="str">
        <f t="shared" si="803"/>
        <v>0101</v>
      </c>
      <c r="R5228">
        <v>2100</v>
      </c>
      <c r="S5228" t="str">
        <f t="shared" si="806"/>
        <v>7230</v>
      </c>
      <c r="T5228" t="s">
        <v>4125</v>
      </c>
      <c r="U5228" t="s">
        <v>114</v>
      </c>
    </row>
    <row r="5229" spans="1:21" ht="15" customHeight="1" x14ac:dyDescent="0.3">
      <c r="A5229" t="s">
        <v>179</v>
      </c>
      <c r="B5229" t="str">
        <f>"00072769"</f>
        <v>00072769</v>
      </c>
      <c r="C5229" t="s">
        <v>4253</v>
      </c>
      <c r="D5229" t="s">
        <v>4129</v>
      </c>
      <c r="E5229" t="str">
        <f>"00066010"</f>
        <v>00066010</v>
      </c>
      <c r="F5229">
        <v>0</v>
      </c>
      <c r="G5229" s="243">
        <v>40755</v>
      </c>
      <c r="H5229" t="s">
        <v>182</v>
      </c>
      <c r="I5229">
        <v>15</v>
      </c>
      <c r="J5229">
        <v>4</v>
      </c>
      <c r="K5229">
        <v>1</v>
      </c>
      <c r="L5229">
        <v>57147</v>
      </c>
      <c r="M5229" t="str">
        <f t="shared" si="798"/>
        <v>13</v>
      </c>
      <c r="N5229" t="s">
        <v>3323</v>
      </c>
      <c r="O5229" t="str">
        <f t="shared" si="805"/>
        <v>72311</v>
      </c>
      <c r="P5229" t="str">
        <f t="shared" si="807"/>
        <v>2100L</v>
      </c>
      <c r="Q5229" t="str">
        <f t="shared" si="803"/>
        <v>0101</v>
      </c>
      <c r="R5229">
        <v>2100</v>
      </c>
      <c r="S5229" t="str">
        <f t="shared" si="806"/>
        <v>7230</v>
      </c>
      <c r="T5229" t="s">
        <v>4125</v>
      </c>
      <c r="U5229" t="s">
        <v>114</v>
      </c>
    </row>
    <row r="5230" spans="1:21" ht="15" customHeight="1" x14ac:dyDescent="0.3">
      <c r="A5230" t="s">
        <v>179</v>
      </c>
      <c r="B5230" t="str">
        <f>"00072771"</f>
        <v>00072771</v>
      </c>
      <c r="C5230" t="s">
        <v>4255</v>
      </c>
      <c r="D5230" t="s">
        <v>4130</v>
      </c>
      <c r="E5230" t="str">
        <f>"00065754"</f>
        <v>00065754</v>
      </c>
      <c r="F5230">
        <v>0</v>
      </c>
      <c r="G5230" s="243">
        <v>40755</v>
      </c>
      <c r="H5230" t="s">
        <v>182</v>
      </c>
      <c r="I5230">
        <v>15</v>
      </c>
      <c r="J5230">
        <v>11</v>
      </c>
      <c r="K5230">
        <v>1</v>
      </c>
      <c r="L5230">
        <v>70891</v>
      </c>
      <c r="M5230" t="str">
        <f t="shared" si="798"/>
        <v>13</v>
      </c>
      <c r="N5230" t="s">
        <v>3323</v>
      </c>
      <c r="O5230" t="str">
        <f t="shared" si="805"/>
        <v>72311</v>
      </c>
      <c r="P5230" t="str">
        <f t="shared" si="807"/>
        <v>2100L</v>
      </c>
      <c r="Q5230" t="str">
        <f t="shared" si="803"/>
        <v>0101</v>
      </c>
      <c r="R5230">
        <v>2100</v>
      </c>
      <c r="S5230" t="str">
        <f t="shared" si="806"/>
        <v>7230</v>
      </c>
      <c r="T5230" t="s">
        <v>4125</v>
      </c>
      <c r="U5230" t="s">
        <v>114</v>
      </c>
    </row>
    <row r="5231" spans="1:21" ht="15" customHeight="1" x14ac:dyDescent="0.3">
      <c r="A5231" t="s">
        <v>179</v>
      </c>
      <c r="B5231" t="str">
        <f>"00072843"</f>
        <v>00072843</v>
      </c>
      <c r="C5231" t="s">
        <v>4857</v>
      </c>
      <c r="D5231" t="s">
        <v>1982</v>
      </c>
      <c r="E5231" t="str">
        <f>"00063224"</f>
        <v>00063224</v>
      </c>
      <c r="F5231">
        <v>0</v>
      </c>
      <c r="G5231" s="243">
        <v>40428</v>
      </c>
      <c r="H5231" t="s">
        <v>182</v>
      </c>
      <c r="I5231">
        <v>9</v>
      </c>
      <c r="J5231">
        <v>4</v>
      </c>
      <c r="K5231">
        <v>1</v>
      </c>
      <c r="L5231">
        <v>62127</v>
      </c>
      <c r="M5231" t="str">
        <f t="shared" si="798"/>
        <v>13</v>
      </c>
      <c r="N5231" t="s">
        <v>3323</v>
      </c>
      <c r="O5231" t="str">
        <f t="shared" si="805"/>
        <v>72311</v>
      </c>
      <c r="P5231" t="str">
        <f t="shared" si="807"/>
        <v>2100L</v>
      </c>
      <c r="Q5231" t="str">
        <f t="shared" si="803"/>
        <v>0101</v>
      </c>
      <c r="R5231">
        <v>2100</v>
      </c>
      <c r="S5231" t="str">
        <f t="shared" si="806"/>
        <v>7230</v>
      </c>
      <c r="T5231" t="s">
        <v>4125</v>
      </c>
      <c r="U5231" t="s">
        <v>114</v>
      </c>
    </row>
    <row r="5232" spans="1:21" ht="15" customHeight="1" x14ac:dyDescent="0.3">
      <c r="A5232" t="s">
        <v>179</v>
      </c>
      <c r="B5232" t="str">
        <f>"00072870"</f>
        <v>00072870</v>
      </c>
      <c r="C5232" t="s">
        <v>4800</v>
      </c>
      <c r="D5232" t="s">
        <v>1983</v>
      </c>
      <c r="E5232" t="str">
        <f>"00046632"</f>
        <v>00046632</v>
      </c>
      <c r="F5232">
        <v>0</v>
      </c>
      <c r="G5232" s="243">
        <v>35704</v>
      </c>
      <c r="H5232" t="s">
        <v>182</v>
      </c>
      <c r="I5232">
        <v>10</v>
      </c>
      <c r="J5232">
        <v>9</v>
      </c>
      <c r="K5232">
        <v>1</v>
      </c>
      <c r="L5232">
        <v>86183</v>
      </c>
      <c r="M5232" t="str">
        <f t="shared" si="798"/>
        <v>13</v>
      </c>
      <c r="N5232" t="s">
        <v>3323</v>
      </c>
      <c r="O5232" t="str">
        <f t="shared" si="805"/>
        <v>72311</v>
      </c>
      <c r="P5232" t="str">
        <f t="shared" si="807"/>
        <v>2100L</v>
      </c>
      <c r="Q5232" t="str">
        <f t="shared" si="803"/>
        <v>0101</v>
      </c>
      <c r="R5232">
        <v>2100</v>
      </c>
      <c r="S5232" t="str">
        <f t="shared" si="806"/>
        <v>7230</v>
      </c>
      <c r="T5232" t="s">
        <v>4125</v>
      </c>
      <c r="U5232" t="s">
        <v>114</v>
      </c>
    </row>
    <row r="5233" spans="1:21" ht="15" customHeight="1" x14ac:dyDescent="0.3">
      <c r="A5233" t="s">
        <v>179</v>
      </c>
      <c r="B5233" t="str">
        <f>"00072902"</f>
        <v>00072902</v>
      </c>
      <c r="C5233" t="s">
        <v>3670</v>
      </c>
      <c r="D5233" t="s">
        <v>4124</v>
      </c>
      <c r="E5233" t="str">
        <f>"00065798"</f>
        <v>00065798</v>
      </c>
      <c r="F5233">
        <v>0</v>
      </c>
      <c r="G5233" s="243">
        <v>40755</v>
      </c>
      <c r="H5233" t="s">
        <v>182</v>
      </c>
      <c r="I5233">
        <v>8</v>
      </c>
      <c r="J5233">
        <v>6</v>
      </c>
      <c r="K5233">
        <v>1</v>
      </c>
      <c r="L5233">
        <v>94825</v>
      </c>
      <c r="M5233" t="str">
        <f t="shared" si="798"/>
        <v>13</v>
      </c>
      <c r="N5233" t="s">
        <v>3323</v>
      </c>
      <c r="O5233" t="str">
        <f t="shared" si="805"/>
        <v>72311</v>
      </c>
      <c r="P5233" t="str">
        <f>"1501L"</f>
        <v>1501L</v>
      </c>
      <c r="Q5233" t="str">
        <f t="shared" si="803"/>
        <v>0101</v>
      </c>
      <c r="R5233">
        <v>1501</v>
      </c>
      <c r="S5233" t="str">
        <f t="shared" si="806"/>
        <v>7230</v>
      </c>
      <c r="T5233" t="s">
        <v>4125</v>
      </c>
      <c r="U5233" t="s">
        <v>114</v>
      </c>
    </row>
    <row r="5234" spans="1:21" ht="15" customHeight="1" x14ac:dyDescent="0.3">
      <c r="A5234" t="s">
        <v>179</v>
      </c>
      <c r="B5234" t="str">
        <f>"00074778"</f>
        <v>00074778</v>
      </c>
      <c r="C5234" t="s">
        <v>4261</v>
      </c>
      <c r="D5234" t="s">
        <v>4126</v>
      </c>
      <c r="E5234" t="str">
        <f>"00065945"</f>
        <v>00065945</v>
      </c>
      <c r="F5234">
        <v>0</v>
      </c>
      <c r="G5234" s="243">
        <v>40755</v>
      </c>
      <c r="H5234" t="s">
        <v>182</v>
      </c>
      <c r="I5234">
        <v>15</v>
      </c>
      <c r="J5234">
        <v>6</v>
      </c>
      <c r="K5234">
        <v>1</v>
      </c>
      <c r="L5234">
        <v>72685</v>
      </c>
      <c r="M5234" t="str">
        <f t="shared" ref="M5234:M5292" si="808">"13"</f>
        <v>13</v>
      </c>
      <c r="N5234" t="s">
        <v>3370</v>
      </c>
      <c r="O5234" t="str">
        <f t="shared" si="805"/>
        <v>72311</v>
      </c>
      <c r="P5234" t="str">
        <f t="shared" ref="P5234:P5240" si="809">"2100L"</f>
        <v>2100L</v>
      </c>
      <c r="Q5234" t="str">
        <f t="shared" si="803"/>
        <v>0101</v>
      </c>
      <c r="R5234">
        <v>2100</v>
      </c>
      <c r="S5234" t="str">
        <f t="shared" si="806"/>
        <v>7230</v>
      </c>
      <c r="T5234" t="s">
        <v>4125</v>
      </c>
      <c r="U5234" t="s">
        <v>114</v>
      </c>
    </row>
    <row r="5235" spans="1:21" ht="15" customHeight="1" x14ac:dyDescent="0.3">
      <c r="A5235" t="s">
        <v>179</v>
      </c>
      <c r="B5235" t="str">
        <f>"00076261"</f>
        <v>00076261</v>
      </c>
      <c r="C5235" t="s">
        <v>4253</v>
      </c>
      <c r="D5235" t="s">
        <v>4151</v>
      </c>
      <c r="E5235" t="str">
        <f>"00060580"</f>
        <v>00060580</v>
      </c>
      <c r="F5235">
        <v>0</v>
      </c>
      <c r="G5235" s="243">
        <v>40435</v>
      </c>
      <c r="H5235" t="s">
        <v>182</v>
      </c>
      <c r="I5235">
        <v>15</v>
      </c>
      <c r="J5235">
        <v>2</v>
      </c>
      <c r="K5235">
        <v>1</v>
      </c>
      <c r="L5235">
        <v>56242</v>
      </c>
      <c r="M5235" t="str">
        <f t="shared" si="808"/>
        <v>13</v>
      </c>
      <c r="N5235" t="s">
        <v>3370</v>
      </c>
      <c r="O5235" t="str">
        <f t="shared" si="805"/>
        <v>72311</v>
      </c>
      <c r="P5235" t="str">
        <f t="shared" si="809"/>
        <v>2100L</v>
      </c>
      <c r="Q5235" t="str">
        <f t="shared" si="803"/>
        <v>0101</v>
      </c>
      <c r="R5235">
        <v>2100</v>
      </c>
      <c r="S5235" t="str">
        <f t="shared" si="806"/>
        <v>7230</v>
      </c>
      <c r="T5235" t="s">
        <v>4125</v>
      </c>
      <c r="U5235" t="s">
        <v>114</v>
      </c>
    </row>
    <row r="5236" spans="1:21" ht="15" customHeight="1" x14ac:dyDescent="0.3">
      <c r="A5236" t="s">
        <v>179</v>
      </c>
      <c r="B5236" t="str">
        <f>"00076262"</f>
        <v>00076262</v>
      </c>
      <c r="C5236" t="s">
        <v>4253</v>
      </c>
      <c r="D5236" t="s">
        <v>5833</v>
      </c>
      <c r="E5236" t="str">
        <f>"00070022"</f>
        <v>00070022</v>
      </c>
      <c r="F5236">
        <v>0</v>
      </c>
      <c r="G5236" s="243">
        <v>41133</v>
      </c>
      <c r="H5236" t="s">
        <v>182</v>
      </c>
      <c r="I5236">
        <v>15</v>
      </c>
      <c r="J5236">
        <v>1</v>
      </c>
      <c r="K5236">
        <v>1</v>
      </c>
      <c r="L5236">
        <v>51539</v>
      </c>
      <c r="M5236" t="str">
        <f t="shared" si="808"/>
        <v>13</v>
      </c>
      <c r="N5236" t="s">
        <v>3370</v>
      </c>
      <c r="O5236" t="str">
        <f t="shared" si="805"/>
        <v>72311</v>
      </c>
      <c r="P5236" t="str">
        <f t="shared" si="809"/>
        <v>2100L</v>
      </c>
      <c r="Q5236" t="str">
        <f t="shared" si="803"/>
        <v>0101</v>
      </c>
      <c r="R5236">
        <v>2100</v>
      </c>
      <c r="S5236" t="str">
        <f t="shared" si="806"/>
        <v>7230</v>
      </c>
      <c r="T5236" t="s">
        <v>4125</v>
      </c>
      <c r="U5236" t="s">
        <v>114</v>
      </c>
    </row>
    <row r="5237" spans="1:21" ht="15" customHeight="1" x14ac:dyDescent="0.3">
      <c r="A5237" t="s">
        <v>179</v>
      </c>
      <c r="B5237" t="str">
        <f>"00076263"</f>
        <v>00076263</v>
      </c>
      <c r="C5237" t="s">
        <v>4253</v>
      </c>
      <c r="H5237" t="s">
        <v>170</v>
      </c>
      <c r="I5237">
        <v>15</v>
      </c>
      <c r="J5237">
        <v>0</v>
      </c>
      <c r="K5237">
        <v>1</v>
      </c>
      <c r="L5237">
        <v>54975</v>
      </c>
      <c r="M5237" t="str">
        <f t="shared" si="808"/>
        <v>13</v>
      </c>
      <c r="N5237" t="s">
        <v>3370</v>
      </c>
      <c r="O5237" t="str">
        <f t="shared" si="805"/>
        <v>72311</v>
      </c>
      <c r="P5237" t="str">
        <f t="shared" si="809"/>
        <v>2100L</v>
      </c>
      <c r="Q5237" t="str">
        <f t="shared" si="803"/>
        <v>0101</v>
      </c>
      <c r="R5237">
        <v>2100</v>
      </c>
      <c r="S5237" t="str">
        <f t="shared" si="806"/>
        <v>7230</v>
      </c>
      <c r="T5237" t="s">
        <v>4125</v>
      </c>
      <c r="U5237" t="s">
        <v>114</v>
      </c>
    </row>
    <row r="5238" spans="1:21" ht="15" customHeight="1" x14ac:dyDescent="0.3">
      <c r="A5238" t="s">
        <v>179</v>
      </c>
      <c r="B5238" t="str">
        <f>"00076264"</f>
        <v>00076264</v>
      </c>
      <c r="C5238" t="s">
        <v>4271</v>
      </c>
      <c r="D5238" t="s">
        <v>5834</v>
      </c>
      <c r="E5238" t="str">
        <f>"00049996"</f>
        <v>00049996</v>
      </c>
      <c r="F5238">
        <v>0</v>
      </c>
      <c r="G5238" s="243">
        <v>35365</v>
      </c>
      <c r="H5238" t="s">
        <v>182</v>
      </c>
      <c r="I5238">
        <v>15</v>
      </c>
      <c r="J5238">
        <v>16</v>
      </c>
      <c r="K5238">
        <v>1</v>
      </c>
      <c r="L5238">
        <v>106540</v>
      </c>
      <c r="M5238" t="str">
        <f t="shared" si="808"/>
        <v>13</v>
      </c>
      <c r="N5238" t="s">
        <v>3370</v>
      </c>
      <c r="O5238" t="str">
        <f t="shared" si="805"/>
        <v>72311</v>
      </c>
      <c r="P5238" t="str">
        <f t="shared" si="809"/>
        <v>2100L</v>
      </c>
      <c r="Q5238" t="str">
        <f t="shared" si="803"/>
        <v>0101</v>
      </c>
      <c r="R5238">
        <v>2100</v>
      </c>
      <c r="S5238" t="str">
        <f t="shared" si="806"/>
        <v>7230</v>
      </c>
      <c r="T5238" t="s">
        <v>4125</v>
      </c>
      <c r="U5238" t="s">
        <v>114</v>
      </c>
    </row>
    <row r="5239" spans="1:21" ht="15" customHeight="1" x14ac:dyDescent="0.3">
      <c r="A5239" t="s">
        <v>179</v>
      </c>
      <c r="B5239" t="str">
        <f>"00076265"</f>
        <v>00076265</v>
      </c>
      <c r="C5239" t="s">
        <v>4333</v>
      </c>
      <c r="D5239" t="s">
        <v>5835</v>
      </c>
      <c r="E5239" t="str">
        <f>"00018426"</f>
        <v>00018426</v>
      </c>
      <c r="F5239">
        <v>0</v>
      </c>
      <c r="G5239" s="243">
        <v>34246</v>
      </c>
      <c r="H5239" t="s">
        <v>182</v>
      </c>
      <c r="I5239">
        <v>10</v>
      </c>
      <c r="J5239">
        <v>9</v>
      </c>
      <c r="K5239">
        <v>1</v>
      </c>
      <c r="L5239">
        <v>84226</v>
      </c>
      <c r="M5239" t="str">
        <f t="shared" si="808"/>
        <v>13</v>
      </c>
      <c r="N5239" t="s">
        <v>3370</v>
      </c>
      <c r="O5239" t="str">
        <f t="shared" si="805"/>
        <v>72311</v>
      </c>
      <c r="P5239" t="str">
        <f t="shared" si="809"/>
        <v>2100L</v>
      </c>
      <c r="Q5239" t="str">
        <f t="shared" si="803"/>
        <v>0101</v>
      </c>
      <c r="R5239">
        <v>2100</v>
      </c>
      <c r="S5239" t="str">
        <f t="shared" si="806"/>
        <v>7230</v>
      </c>
      <c r="T5239" t="s">
        <v>4125</v>
      </c>
      <c r="U5239" t="s">
        <v>114</v>
      </c>
    </row>
    <row r="5240" spans="1:21" ht="15" customHeight="1" x14ac:dyDescent="0.3">
      <c r="A5240" t="s">
        <v>179</v>
      </c>
      <c r="B5240" t="str">
        <f>"00076267"</f>
        <v>00076267</v>
      </c>
      <c r="C5240" t="s">
        <v>4253</v>
      </c>
      <c r="D5240" t="s">
        <v>1825</v>
      </c>
      <c r="E5240" t="str">
        <f>"00046698"</f>
        <v>00046698</v>
      </c>
      <c r="F5240">
        <v>0</v>
      </c>
      <c r="G5240" s="243">
        <v>38005</v>
      </c>
      <c r="H5240" t="s">
        <v>182</v>
      </c>
      <c r="I5240">
        <v>15</v>
      </c>
      <c r="J5240">
        <v>16</v>
      </c>
      <c r="K5240">
        <v>1</v>
      </c>
      <c r="L5240">
        <v>106540</v>
      </c>
      <c r="M5240" t="str">
        <f t="shared" si="808"/>
        <v>13</v>
      </c>
      <c r="N5240" t="s">
        <v>3370</v>
      </c>
      <c r="O5240" t="str">
        <f t="shared" si="805"/>
        <v>72311</v>
      </c>
      <c r="P5240" t="str">
        <f t="shared" si="809"/>
        <v>2100L</v>
      </c>
      <c r="Q5240" t="str">
        <f t="shared" si="803"/>
        <v>0101</v>
      </c>
      <c r="R5240">
        <v>2100</v>
      </c>
      <c r="S5240" t="str">
        <f t="shared" si="806"/>
        <v>7230</v>
      </c>
      <c r="T5240" t="s">
        <v>4125</v>
      </c>
      <c r="U5240" t="s">
        <v>114</v>
      </c>
    </row>
    <row r="5241" spans="1:21" ht="15" customHeight="1" x14ac:dyDescent="0.3">
      <c r="A5241" t="s">
        <v>179</v>
      </c>
      <c r="B5241" t="str">
        <f>"00051783"</f>
        <v>00051783</v>
      </c>
      <c r="C5241" t="s">
        <v>4258</v>
      </c>
      <c r="D5241" t="s">
        <v>4141</v>
      </c>
      <c r="E5241" t="str">
        <f>"00066253"</f>
        <v>00066253</v>
      </c>
      <c r="F5241">
        <v>0</v>
      </c>
      <c r="G5241" s="243">
        <v>40755</v>
      </c>
      <c r="H5241" t="s">
        <v>182</v>
      </c>
      <c r="I5241">
        <v>15</v>
      </c>
      <c r="J5241">
        <v>2</v>
      </c>
      <c r="K5241">
        <v>1</v>
      </c>
      <c r="L5241">
        <v>56242</v>
      </c>
      <c r="M5241" t="str">
        <f t="shared" si="808"/>
        <v>13</v>
      </c>
      <c r="N5241" t="s">
        <v>3323</v>
      </c>
      <c r="O5241" t="str">
        <f t="shared" ref="O5241:O5258" si="810">"72411"</f>
        <v>72411</v>
      </c>
      <c r="P5241" t="str">
        <f>"2100L"</f>
        <v>2100L</v>
      </c>
      <c r="Q5241" t="str">
        <f t="shared" ref="Q5241:Q5258" si="811">"0101"</f>
        <v>0101</v>
      </c>
      <c r="R5241">
        <v>2100</v>
      </c>
      <c r="S5241" t="str">
        <f t="shared" ref="S5241:S5268" si="812">"7240"</f>
        <v>7240</v>
      </c>
      <c r="T5241" t="s">
        <v>4133</v>
      </c>
      <c r="U5241" t="s">
        <v>106</v>
      </c>
    </row>
    <row r="5242" spans="1:21" ht="15" customHeight="1" x14ac:dyDescent="0.3">
      <c r="A5242" t="s">
        <v>179</v>
      </c>
      <c r="B5242" t="str">
        <f>"00051798"</f>
        <v>00051798</v>
      </c>
      <c r="C5242" t="s">
        <v>4253</v>
      </c>
      <c r="D5242" t="s">
        <v>4137</v>
      </c>
      <c r="E5242" t="str">
        <f>"00057910"</f>
        <v>00057910</v>
      </c>
      <c r="F5242">
        <v>0</v>
      </c>
      <c r="G5242" s="243">
        <v>40583</v>
      </c>
      <c r="H5242" t="s">
        <v>182</v>
      </c>
      <c r="I5242">
        <v>15</v>
      </c>
      <c r="J5242">
        <v>7</v>
      </c>
      <c r="K5242">
        <v>1</v>
      </c>
      <c r="L5242">
        <v>61068</v>
      </c>
      <c r="M5242" t="str">
        <f t="shared" si="808"/>
        <v>13</v>
      </c>
      <c r="N5242" t="s">
        <v>3323</v>
      </c>
      <c r="O5242" t="str">
        <f t="shared" si="810"/>
        <v>72411</v>
      </c>
      <c r="P5242" t="str">
        <f>"2100L"</f>
        <v>2100L</v>
      </c>
      <c r="Q5242" t="str">
        <f t="shared" si="811"/>
        <v>0101</v>
      </c>
      <c r="R5242">
        <v>2100</v>
      </c>
      <c r="S5242" t="str">
        <f t="shared" si="812"/>
        <v>7240</v>
      </c>
      <c r="T5242" t="s">
        <v>4133</v>
      </c>
      <c r="U5242" t="s">
        <v>106</v>
      </c>
    </row>
    <row r="5243" spans="1:21" ht="15" customHeight="1" x14ac:dyDescent="0.3">
      <c r="A5243" t="s">
        <v>179</v>
      </c>
      <c r="B5243" t="str">
        <f>"00051800"</f>
        <v>00051800</v>
      </c>
      <c r="C5243" t="s">
        <v>4259</v>
      </c>
      <c r="H5243" t="s">
        <v>170</v>
      </c>
      <c r="I5243">
        <v>15</v>
      </c>
      <c r="J5243">
        <v>1</v>
      </c>
      <c r="K5243">
        <v>1</v>
      </c>
      <c r="L5243">
        <v>54975</v>
      </c>
      <c r="M5243" t="str">
        <f t="shared" si="808"/>
        <v>13</v>
      </c>
      <c r="N5243" t="s">
        <v>3323</v>
      </c>
      <c r="O5243" t="str">
        <f t="shared" si="810"/>
        <v>72411</v>
      </c>
      <c r="P5243" t="str">
        <f>"2100L"</f>
        <v>2100L</v>
      </c>
      <c r="Q5243" t="str">
        <f t="shared" si="811"/>
        <v>0101</v>
      </c>
      <c r="R5243">
        <v>2100</v>
      </c>
      <c r="S5243" t="str">
        <f t="shared" si="812"/>
        <v>7240</v>
      </c>
      <c r="T5243" t="s">
        <v>4133</v>
      </c>
      <c r="U5243" t="s">
        <v>106</v>
      </c>
    </row>
    <row r="5244" spans="1:21" ht="15" customHeight="1" x14ac:dyDescent="0.3">
      <c r="A5244" t="s">
        <v>179</v>
      </c>
      <c r="B5244" t="str">
        <f>"00052231"</f>
        <v>00052231</v>
      </c>
      <c r="C5244" t="s">
        <v>4263</v>
      </c>
      <c r="D5244" t="s">
        <v>2151</v>
      </c>
      <c r="E5244" t="str">
        <f>"00047723"</f>
        <v>00047723</v>
      </c>
      <c r="F5244">
        <v>0</v>
      </c>
      <c r="G5244" s="243">
        <v>34941</v>
      </c>
      <c r="H5244" t="s">
        <v>182</v>
      </c>
      <c r="I5244">
        <v>15</v>
      </c>
      <c r="J5244">
        <v>14</v>
      </c>
      <c r="K5244">
        <v>1</v>
      </c>
      <c r="L5244">
        <v>96460</v>
      </c>
      <c r="M5244" t="str">
        <f t="shared" si="808"/>
        <v>13</v>
      </c>
      <c r="N5244" t="s">
        <v>3323</v>
      </c>
      <c r="O5244" t="str">
        <f t="shared" si="810"/>
        <v>72411</v>
      </c>
      <c r="P5244" t="str">
        <f>"2300L"</f>
        <v>2300L</v>
      </c>
      <c r="Q5244" t="str">
        <f t="shared" si="811"/>
        <v>0101</v>
      </c>
      <c r="R5244">
        <v>2300</v>
      </c>
      <c r="S5244" t="str">
        <f t="shared" si="812"/>
        <v>7240</v>
      </c>
      <c r="T5244" t="s">
        <v>4133</v>
      </c>
      <c r="U5244" t="s">
        <v>106</v>
      </c>
    </row>
    <row r="5245" spans="1:21" ht="15" customHeight="1" x14ac:dyDescent="0.3">
      <c r="A5245" t="s">
        <v>179</v>
      </c>
      <c r="B5245" t="str">
        <f>"00052470"</f>
        <v>00052470</v>
      </c>
      <c r="C5245" t="s">
        <v>4253</v>
      </c>
      <c r="D5245" t="s">
        <v>2152</v>
      </c>
      <c r="E5245" t="str">
        <f>"00048347"</f>
        <v>00048347</v>
      </c>
      <c r="F5245">
        <v>0</v>
      </c>
      <c r="G5245" s="243">
        <v>32050</v>
      </c>
      <c r="H5245" t="s">
        <v>182</v>
      </c>
      <c r="I5245">
        <v>15</v>
      </c>
      <c r="J5245">
        <v>16</v>
      </c>
      <c r="K5245">
        <v>1</v>
      </c>
      <c r="L5245">
        <v>100839</v>
      </c>
      <c r="M5245" t="str">
        <f t="shared" si="808"/>
        <v>13</v>
      </c>
      <c r="N5245" t="s">
        <v>3323</v>
      </c>
      <c r="O5245" t="str">
        <f t="shared" si="810"/>
        <v>72411</v>
      </c>
      <c r="P5245" t="str">
        <f>"2100L"</f>
        <v>2100L</v>
      </c>
      <c r="Q5245" t="str">
        <f t="shared" si="811"/>
        <v>0101</v>
      </c>
      <c r="R5245">
        <v>2100</v>
      </c>
      <c r="S5245" t="str">
        <f t="shared" si="812"/>
        <v>7240</v>
      </c>
      <c r="T5245" t="s">
        <v>4133</v>
      </c>
      <c r="U5245" t="s">
        <v>106</v>
      </c>
    </row>
    <row r="5246" spans="1:21" ht="15" customHeight="1" x14ac:dyDescent="0.3">
      <c r="A5246" t="s">
        <v>179</v>
      </c>
      <c r="B5246" t="str">
        <f>"00052691"</f>
        <v>00052691</v>
      </c>
      <c r="C5246" t="s">
        <v>4266</v>
      </c>
      <c r="D5246" t="s">
        <v>2153</v>
      </c>
      <c r="E5246" t="str">
        <f>"00048956"</f>
        <v>00048956</v>
      </c>
      <c r="F5246">
        <v>0</v>
      </c>
      <c r="G5246" s="243">
        <v>34213</v>
      </c>
      <c r="H5246" t="s">
        <v>182</v>
      </c>
      <c r="I5246">
        <v>15</v>
      </c>
      <c r="J5246">
        <v>16</v>
      </c>
      <c r="K5246">
        <v>1</v>
      </c>
      <c r="L5246">
        <v>103347</v>
      </c>
      <c r="M5246" t="str">
        <f t="shared" si="808"/>
        <v>13</v>
      </c>
      <c r="N5246" t="s">
        <v>3323</v>
      </c>
      <c r="O5246" t="str">
        <f t="shared" si="810"/>
        <v>72411</v>
      </c>
      <c r="P5246" t="str">
        <f>"2300L"</f>
        <v>2300L</v>
      </c>
      <c r="Q5246" t="str">
        <f t="shared" si="811"/>
        <v>0101</v>
      </c>
      <c r="R5246">
        <v>2300</v>
      </c>
      <c r="S5246" t="str">
        <f t="shared" si="812"/>
        <v>7240</v>
      </c>
      <c r="T5246" t="s">
        <v>4133</v>
      </c>
      <c r="U5246" t="s">
        <v>106</v>
      </c>
    </row>
    <row r="5247" spans="1:21" ht="15" customHeight="1" x14ac:dyDescent="0.3">
      <c r="A5247" t="s">
        <v>179</v>
      </c>
      <c r="B5247" t="str">
        <f>"00052794"</f>
        <v>00052794</v>
      </c>
      <c r="C5247" t="s">
        <v>4290</v>
      </c>
      <c r="D5247" t="s">
        <v>5836</v>
      </c>
      <c r="E5247" t="str">
        <f>"00049501"</f>
        <v>00049501</v>
      </c>
      <c r="F5247">
        <v>0</v>
      </c>
      <c r="G5247" s="243">
        <v>30934</v>
      </c>
      <c r="H5247" t="s">
        <v>182</v>
      </c>
      <c r="I5247">
        <v>4</v>
      </c>
      <c r="J5247">
        <v>10</v>
      </c>
      <c r="K5247">
        <v>0.875</v>
      </c>
      <c r="L5247">
        <v>28721</v>
      </c>
      <c r="M5247" t="str">
        <f t="shared" si="808"/>
        <v>13</v>
      </c>
      <c r="N5247" t="s">
        <v>3323</v>
      </c>
      <c r="O5247" t="str">
        <f t="shared" si="810"/>
        <v>72411</v>
      </c>
      <c r="P5247" t="str">
        <f>"3030L"</f>
        <v>3030L</v>
      </c>
      <c r="Q5247" t="str">
        <f t="shared" si="811"/>
        <v>0101</v>
      </c>
      <c r="R5247">
        <v>3030</v>
      </c>
      <c r="S5247" t="str">
        <f t="shared" si="812"/>
        <v>7240</v>
      </c>
      <c r="T5247" t="s">
        <v>4133</v>
      </c>
      <c r="U5247" t="s">
        <v>106</v>
      </c>
    </row>
    <row r="5248" spans="1:21" ht="15" customHeight="1" x14ac:dyDescent="0.3">
      <c r="A5248" t="s">
        <v>179</v>
      </c>
      <c r="B5248" t="str">
        <f>"00052916"</f>
        <v>00052916</v>
      </c>
      <c r="C5248" t="s">
        <v>4266</v>
      </c>
      <c r="H5248" t="s">
        <v>170</v>
      </c>
      <c r="I5248">
        <v>15</v>
      </c>
      <c r="J5248">
        <v>1</v>
      </c>
      <c r="K5248">
        <v>1</v>
      </c>
      <c r="L5248">
        <v>51539</v>
      </c>
      <c r="M5248" t="str">
        <f t="shared" si="808"/>
        <v>13</v>
      </c>
      <c r="N5248" t="s">
        <v>3323</v>
      </c>
      <c r="O5248" t="str">
        <f t="shared" si="810"/>
        <v>72411</v>
      </c>
      <c r="P5248" t="str">
        <f>"2300L"</f>
        <v>2300L</v>
      </c>
      <c r="Q5248" t="str">
        <f t="shared" si="811"/>
        <v>0101</v>
      </c>
      <c r="R5248">
        <v>2300</v>
      </c>
      <c r="S5248" t="str">
        <f t="shared" si="812"/>
        <v>7240</v>
      </c>
      <c r="T5248" t="s">
        <v>4133</v>
      </c>
      <c r="U5248" t="s">
        <v>106</v>
      </c>
    </row>
    <row r="5249" spans="1:21" ht="15" customHeight="1" x14ac:dyDescent="0.3">
      <c r="A5249" t="s">
        <v>179</v>
      </c>
      <c r="B5249" t="str">
        <f>"00053084"</f>
        <v>00053084</v>
      </c>
      <c r="C5249" t="s">
        <v>4253</v>
      </c>
      <c r="D5249" t="s">
        <v>2154</v>
      </c>
      <c r="E5249" t="str">
        <f>"00050923"</f>
        <v>00050923</v>
      </c>
      <c r="F5249">
        <v>0</v>
      </c>
      <c r="G5249" s="243">
        <v>27638</v>
      </c>
      <c r="H5249" t="s">
        <v>182</v>
      </c>
      <c r="I5249">
        <v>15</v>
      </c>
      <c r="J5249">
        <v>16</v>
      </c>
      <c r="K5249">
        <v>1</v>
      </c>
      <c r="L5249">
        <v>100839</v>
      </c>
      <c r="M5249" t="str">
        <f t="shared" si="808"/>
        <v>13</v>
      </c>
      <c r="N5249" t="s">
        <v>3323</v>
      </c>
      <c r="O5249" t="str">
        <f t="shared" si="810"/>
        <v>72411</v>
      </c>
      <c r="P5249" t="str">
        <f>"2100L"</f>
        <v>2100L</v>
      </c>
      <c r="Q5249" t="str">
        <f t="shared" si="811"/>
        <v>0101</v>
      </c>
      <c r="R5249">
        <v>2100</v>
      </c>
      <c r="S5249" t="str">
        <f t="shared" si="812"/>
        <v>7240</v>
      </c>
      <c r="T5249" t="s">
        <v>4133</v>
      </c>
      <c r="U5249" t="s">
        <v>106</v>
      </c>
    </row>
    <row r="5250" spans="1:21" ht="15" customHeight="1" x14ac:dyDescent="0.3">
      <c r="A5250" t="s">
        <v>179</v>
      </c>
      <c r="B5250" t="str">
        <f>"00053110"</f>
        <v>00053110</v>
      </c>
      <c r="C5250" t="s">
        <v>4290</v>
      </c>
      <c r="H5250" t="s">
        <v>170</v>
      </c>
      <c r="I5250">
        <v>4</v>
      </c>
      <c r="J5250">
        <v>1</v>
      </c>
      <c r="K5250">
        <v>1</v>
      </c>
      <c r="L5250">
        <v>25662</v>
      </c>
      <c r="M5250" t="str">
        <f t="shared" si="808"/>
        <v>13</v>
      </c>
      <c r="N5250" t="s">
        <v>3323</v>
      </c>
      <c r="O5250" t="str">
        <f t="shared" si="810"/>
        <v>72411</v>
      </c>
      <c r="P5250" t="str">
        <f>"2100L"</f>
        <v>2100L</v>
      </c>
      <c r="Q5250" t="str">
        <f t="shared" si="811"/>
        <v>0101</v>
      </c>
      <c r="R5250">
        <v>2100</v>
      </c>
      <c r="S5250" t="str">
        <f t="shared" si="812"/>
        <v>7240</v>
      </c>
      <c r="T5250" t="s">
        <v>4133</v>
      </c>
      <c r="U5250" t="s">
        <v>106</v>
      </c>
    </row>
    <row r="5251" spans="1:21" ht="15" customHeight="1" x14ac:dyDescent="0.3">
      <c r="A5251" t="s">
        <v>179</v>
      </c>
      <c r="B5251" t="str">
        <f>"00053488"</f>
        <v>00053488</v>
      </c>
      <c r="C5251" t="s">
        <v>4257</v>
      </c>
      <c r="D5251" t="s">
        <v>2155</v>
      </c>
      <c r="E5251" t="str">
        <f>"00051588"</f>
        <v>00051588</v>
      </c>
      <c r="F5251">
        <v>0</v>
      </c>
      <c r="G5251" s="243">
        <v>34213</v>
      </c>
      <c r="H5251" t="s">
        <v>182</v>
      </c>
      <c r="I5251">
        <v>15</v>
      </c>
      <c r="J5251">
        <v>15</v>
      </c>
      <c r="K5251">
        <v>1</v>
      </c>
      <c r="L5251">
        <v>103985</v>
      </c>
      <c r="M5251" t="str">
        <f t="shared" si="808"/>
        <v>13</v>
      </c>
      <c r="N5251" t="s">
        <v>3323</v>
      </c>
      <c r="O5251" t="str">
        <f t="shared" si="810"/>
        <v>72411</v>
      </c>
      <c r="P5251" t="str">
        <f>"2100L"</f>
        <v>2100L</v>
      </c>
      <c r="Q5251" t="str">
        <f t="shared" si="811"/>
        <v>0101</v>
      </c>
      <c r="R5251">
        <v>2100</v>
      </c>
      <c r="S5251" t="str">
        <f t="shared" si="812"/>
        <v>7240</v>
      </c>
      <c r="T5251" t="s">
        <v>4133</v>
      </c>
      <c r="U5251" t="s">
        <v>106</v>
      </c>
    </row>
    <row r="5252" spans="1:21" ht="15" customHeight="1" x14ac:dyDescent="0.3">
      <c r="A5252" t="s">
        <v>179</v>
      </c>
      <c r="B5252" t="str">
        <f>"00053891"</f>
        <v>00053891</v>
      </c>
      <c r="C5252" t="s">
        <v>4254</v>
      </c>
      <c r="D5252" t="s">
        <v>4142</v>
      </c>
      <c r="E5252" t="str">
        <f>"00063985"</f>
        <v>00063985</v>
      </c>
      <c r="F5252">
        <v>0</v>
      </c>
      <c r="G5252" s="243">
        <v>40483</v>
      </c>
      <c r="H5252" t="s">
        <v>182</v>
      </c>
      <c r="I5252">
        <v>15</v>
      </c>
      <c r="J5252">
        <v>12</v>
      </c>
      <c r="K5252">
        <v>1</v>
      </c>
      <c r="L5252">
        <v>87431</v>
      </c>
      <c r="M5252" t="str">
        <f t="shared" si="808"/>
        <v>13</v>
      </c>
      <c r="N5252" t="s">
        <v>3323</v>
      </c>
      <c r="O5252" t="str">
        <f t="shared" si="810"/>
        <v>72411</v>
      </c>
      <c r="P5252" t="str">
        <f>"2100L"</f>
        <v>2100L</v>
      </c>
      <c r="Q5252" t="str">
        <f t="shared" si="811"/>
        <v>0101</v>
      </c>
      <c r="R5252">
        <v>2100</v>
      </c>
      <c r="S5252" t="str">
        <f t="shared" si="812"/>
        <v>7240</v>
      </c>
      <c r="T5252" t="s">
        <v>4133</v>
      </c>
      <c r="U5252" t="s">
        <v>106</v>
      </c>
    </row>
    <row r="5253" spans="1:21" ht="15" customHeight="1" x14ac:dyDescent="0.3">
      <c r="A5253" t="s">
        <v>179</v>
      </c>
      <c r="B5253" t="str">
        <f>"00053981"</f>
        <v>00053981</v>
      </c>
      <c r="C5253" t="s">
        <v>4266</v>
      </c>
      <c r="D5253" t="s">
        <v>5837</v>
      </c>
      <c r="E5253" t="str">
        <f>"00067730"</f>
        <v>00067730</v>
      </c>
      <c r="F5253">
        <v>0</v>
      </c>
      <c r="G5253" s="243">
        <v>40938</v>
      </c>
      <c r="H5253" t="s">
        <v>182</v>
      </c>
      <c r="I5253">
        <v>15</v>
      </c>
      <c r="J5253">
        <v>10</v>
      </c>
      <c r="K5253">
        <v>1</v>
      </c>
      <c r="L5253">
        <v>68431</v>
      </c>
      <c r="M5253" t="str">
        <f t="shared" si="808"/>
        <v>13</v>
      </c>
      <c r="N5253" t="s">
        <v>3323</v>
      </c>
      <c r="O5253" t="str">
        <f t="shared" si="810"/>
        <v>72411</v>
      </c>
      <c r="P5253" t="str">
        <f>"2300L"</f>
        <v>2300L</v>
      </c>
      <c r="Q5253" t="str">
        <f t="shared" si="811"/>
        <v>0101</v>
      </c>
      <c r="R5253">
        <v>2300</v>
      </c>
      <c r="S5253" t="str">
        <f t="shared" si="812"/>
        <v>7240</v>
      </c>
      <c r="T5253" t="s">
        <v>4133</v>
      </c>
      <c r="U5253" t="s">
        <v>106</v>
      </c>
    </row>
    <row r="5254" spans="1:21" ht="15" customHeight="1" x14ac:dyDescent="0.3">
      <c r="A5254" t="s">
        <v>179</v>
      </c>
      <c r="B5254" t="str">
        <f>"00054063"</f>
        <v>00054063</v>
      </c>
      <c r="C5254" t="s">
        <v>4260</v>
      </c>
      <c r="D5254" t="s">
        <v>2157</v>
      </c>
      <c r="E5254" t="str">
        <f>"00052956"</f>
        <v>00052956</v>
      </c>
      <c r="F5254">
        <v>0</v>
      </c>
      <c r="G5254" s="243">
        <v>30190</v>
      </c>
      <c r="H5254" t="s">
        <v>182</v>
      </c>
      <c r="I5254">
        <v>15</v>
      </c>
      <c r="J5254">
        <v>16</v>
      </c>
      <c r="K5254">
        <v>1</v>
      </c>
      <c r="L5254">
        <v>106540</v>
      </c>
      <c r="M5254" t="str">
        <f t="shared" si="808"/>
        <v>13</v>
      </c>
      <c r="N5254" t="s">
        <v>3323</v>
      </c>
      <c r="O5254" t="str">
        <f t="shared" si="810"/>
        <v>72411</v>
      </c>
      <c r="P5254" t="str">
        <f>"2100L"</f>
        <v>2100L</v>
      </c>
      <c r="Q5254" t="str">
        <f t="shared" si="811"/>
        <v>0101</v>
      </c>
      <c r="R5254">
        <v>2100</v>
      </c>
      <c r="S5254" t="str">
        <f t="shared" si="812"/>
        <v>7240</v>
      </c>
      <c r="T5254" t="s">
        <v>4133</v>
      </c>
      <c r="U5254" t="s">
        <v>106</v>
      </c>
    </row>
    <row r="5255" spans="1:21" ht="15" customHeight="1" x14ac:dyDescent="0.3">
      <c r="A5255" t="s">
        <v>179</v>
      </c>
      <c r="B5255" t="str">
        <f>"00054123"</f>
        <v>00054123</v>
      </c>
      <c r="C5255" t="s">
        <v>4254</v>
      </c>
      <c r="H5255" t="s">
        <v>170</v>
      </c>
      <c r="I5255">
        <v>15</v>
      </c>
      <c r="J5255">
        <v>1</v>
      </c>
      <c r="K5255">
        <v>1</v>
      </c>
      <c r="L5255">
        <v>51539</v>
      </c>
      <c r="M5255" t="str">
        <f t="shared" si="808"/>
        <v>13</v>
      </c>
      <c r="N5255" t="s">
        <v>3323</v>
      </c>
      <c r="O5255" t="str">
        <f t="shared" si="810"/>
        <v>72411</v>
      </c>
      <c r="P5255" t="str">
        <f>"2100L"</f>
        <v>2100L</v>
      </c>
      <c r="Q5255" t="str">
        <f t="shared" si="811"/>
        <v>0101</v>
      </c>
      <c r="R5255">
        <v>2100</v>
      </c>
      <c r="S5255" t="str">
        <f t="shared" si="812"/>
        <v>7240</v>
      </c>
      <c r="T5255" t="s">
        <v>4133</v>
      </c>
      <c r="U5255" t="s">
        <v>106</v>
      </c>
    </row>
    <row r="5256" spans="1:21" ht="15" customHeight="1" x14ac:dyDescent="0.3">
      <c r="A5256" t="s">
        <v>179</v>
      </c>
      <c r="B5256" t="str">
        <f>"00054224"</f>
        <v>00054224</v>
      </c>
      <c r="C5256" t="s">
        <v>4260</v>
      </c>
      <c r="D5256" t="s">
        <v>2158</v>
      </c>
      <c r="E5256" t="str">
        <f>"00053298"</f>
        <v>00053298</v>
      </c>
      <c r="F5256">
        <v>0</v>
      </c>
      <c r="G5256" s="243">
        <v>31463</v>
      </c>
      <c r="H5256" t="s">
        <v>182</v>
      </c>
      <c r="I5256">
        <v>15</v>
      </c>
      <c r="J5256">
        <v>16</v>
      </c>
      <c r="K5256">
        <v>1</v>
      </c>
      <c r="L5256">
        <v>100839</v>
      </c>
      <c r="M5256" t="str">
        <f t="shared" si="808"/>
        <v>13</v>
      </c>
      <c r="N5256" t="s">
        <v>3323</v>
      </c>
      <c r="O5256" t="str">
        <f t="shared" si="810"/>
        <v>72411</v>
      </c>
      <c r="P5256" t="str">
        <f>"3030L"</f>
        <v>3030L</v>
      </c>
      <c r="Q5256" t="str">
        <f t="shared" si="811"/>
        <v>0101</v>
      </c>
      <c r="R5256">
        <v>3030</v>
      </c>
      <c r="S5256" t="str">
        <f t="shared" si="812"/>
        <v>7240</v>
      </c>
      <c r="T5256" t="s">
        <v>4133</v>
      </c>
      <c r="U5256" t="s">
        <v>106</v>
      </c>
    </row>
    <row r="5257" spans="1:21" ht="15" customHeight="1" x14ac:dyDescent="0.3">
      <c r="A5257" t="s">
        <v>179</v>
      </c>
      <c r="B5257" t="str">
        <f>"00054616"</f>
        <v>00054616</v>
      </c>
      <c r="C5257" t="s">
        <v>4260</v>
      </c>
      <c r="D5257" t="s">
        <v>5838</v>
      </c>
      <c r="E5257" t="str">
        <f>"00053308"</f>
        <v>00053308</v>
      </c>
      <c r="F5257">
        <v>0</v>
      </c>
      <c r="G5257" s="243">
        <v>41133</v>
      </c>
      <c r="H5257" t="s">
        <v>182</v>
      </c>
      <c r="I5257">
        <v>15</v>
      </c>
      <c r="J5257">
        <v>10</v>
      </c>
      <c r="K5257">
        <v>1</v>
      </c>
      <c r="L5257">
        <v>78273</v>
      </c>
      <c r="M5257" t="str">
        <f t="shared" si="808"/>
        <v>13</v>
      </c>
      <c r="N5257" t="s">
        <v>3323</v>
      </c>
      <c r="O5257" t="str">
        <f t="shared" si="810"/>
        <v>72411</v>
      </c>
      <c r="P5257" t="str">
        <f>"2100L"</f>
        <v>2100L</v>
      </c>
      <c r="Q5257" t="str">
        <f t="shared" si="811"/>
        <v>0101</v>
      </c>
      <c r="R5257">
        <v>2100</v>
      </c>
      <c r="S5257" t="str">
        <f t="shared" si="812"/>
        <v>7240</v>
      </c>
      <c r="T5257" t="s">
        <v>4133</v>
      </c>
      <c r="U5257" t="s">
        <v>106</v>
      </c>
    </row>
    <row r="5258" spans="1:21" ht="15" customHeight="1" x14ac:dyDescent="0.3">
      <c r="A5258" t="s">
        <v>179</v>
      </c>
      <c r="B5258" t="str">
        <f>"00055092"</f>
        <v>00055092</v>
      </c>
      <c r="C5258" t="s">
        <v>5662</v>
      </c>
      <c r="D5258" t="s">
        <v>2159</v>
      </c>
      <c r="E5258" t="str">
        <f>"00048353"</f>
        <v>00048353</v>
      </c>
      <c r="F5258">
        <v>0</v>
      </c>
      <c r="G5258" s="243">
        <v>38908</v>
      </c>
      <c r="H5258" t="s">
        <v>182</v>
      </c>
      <c r="I5258">
        <v>9</v>
      </c>
      <c r="J5258">
        <v>15</v>
      </c>
      <c r="K5258">
        <v>0.5</v>
      </c>
      <c r="L5258">
        <v>94496</v>
      </c>
      <c r="M5258" t="str">
        <f t="shared" si="808"/>
        <v>13</v>
      </c>
      <c r="N5258" t="s">
        <v>3323</v>
      </c>
      <c r="O5258" t="str">
        <f t="shared" si="810"/>
        <v>72411</v>
      </c>
      <c r="P5258" t="str">
        <f>"5700L"</f>
        <v>5700L</v>
      </c>
      <c r="Q5258" t="str">
        <f t="shared" si="811"/>
        <v>0101</v>
      </c>
      <c r="R5258">
        <v>5700</v>
      </c>
      <c r="S5258" t="str">
        <f t="shared" si="812"/>
        <v>7240</v>
      </c>
      <c r="T5258" t="s">
        <v>4133</v>
      </c>
      <c r="U5258" t="s">
        <v>106</v>
      </c>
    </row>
    <row r="5259" spans="1:21" ht="15" customHeight="1" x14ac:dyDescent="0.3">
      <c r="A5259" t="s">
        <v>179</v>
      </c>
      <c r="B5259" t="str">
        <f>"00055092"</f>
        <v>00055092</v>
      </c>
      <c r="C5259" t="s">
        <v>5662</v>
      </c>
      <c r="D5259" t="s">
        <v>2159</v>
      </c>
      <c r="E5259" t="str">
        <f>"00048353"</f>
        <v>00048353</v>
      </c>
      <c r="F5259">
        <v>0</v>
      </c>
      <c r="G5259" s="243">
        <v>38908</v>
      </c>
      <c r="H5259" t="s">
        <v>182</v>
      </c>
      <c r="I5259">
        <v>9</v>
      </c>
      <c r="J5259">
        <v>15</v>
      </c>
      <c r="K5259">
        <v>0.5</v>
      </c>
      <c r="L5259">
        <v>94496</v>
      </c>
      <c r="M5259" t="str">
        <f t="shared" si="808"/>
        <v>13</v>
      </c>
      <c r="N5259" t="s">
        <v>3323</v>
      </c>
      <c r="O5259" t="str">
        <f>"72482"</f>
        <v>72482</v>
      </c>
      <c r="P5259" t="str">
        <f>"5700S"</f>
        <v>5700S</v>
      </c>
      <c r="Q5259" t="str">
        <f>"0602"</f>
        <v>0602</v>
      </c>
      <c r="R5259">
        <v>5700</v>
      </c>
      <c r="S5259" t="str">
        <f t="shared" si="812"/>
        <v>7240</v>
      </c>
      <c r="T5259" t="s">
        <v>4133</v>
      </c>
      <c r="U5259" t="s">
        <v>106</v>
      </c>
    </row>
    <row r="5260" spans="1:21" ht="15" customHeight="1" x14ac:dyDescent="0.3">
      <c r="A5260" t="s">
        <v>179</v>
      </c>
      <c r="B5260" t="str">
        <f>"00055108"</f>
        <v>00055108</v>
      </c>
      <c r="C5260" t="s">
        <v>4253</v>
      </c>
      <c r="D5260" t="s">
        <v>5839</v>
      </c>
      <c r="E5260" t="str">
        <f>"00070048"</f>
        <v>00070048</v>
      </c>
      <c r="F5260">
        <v>0</v>
      </c>
      <c r="G5260" s="243">
        <v>41133</v>
      </c>
      <c r="H5260" t="s">
        <v>182</v>
      </c>
      <c r="I5260">
        <v>15</v>
      </c>
      <c r="J5260">
        <v>10</v>
      </c>
      <c r="K5260">
        <v>1</v>
      </c>
      <c r="L5260">
        <v>68431</v>
      </c>
      <c r="M5260" t="str">
        <f t="shared" si="808"/>
        <v>13</v>
      </c>
      <c r="N5260" t="s">
        <v>3370</v>
      </c>
      <c r="O5260" t="str">
        <f t="shared" ref="O5260:O5290" si="813">"72411"</f>
        <v>72411</v>
      </c>
      <c r="P5260" t="str">
        <f>"2100L"</f>
        <v>2100L</v>
      </c>
      <c r="Q5260" t="str">
        <f t="shared" ref="Q5260:Q5290" si="814">"0101"</f>
        <v>0101</v>
      </c>
      <c r="R5260">
        <v>2100</v>
      </c>
      <c r="S5260" t="str">
        <f t="shared" si="812"/>
        <v>7240</v>
      </c>
      <c r="T5260" t="s">
        <v>4133</v>
      </c>
      <c r="U5260" t="s">
        <v>106</v>
      </c>
    </row>
    <row r="5261" spans="1:21" ht="15" customHeight="1" x14ac:dyDescent="0.3">
      <c r="A5261" t="s">
        <v>179</v>
      </c>
      <c r="B5261" t="str">
        <f>"00055117"</f>
        <v>00055117</v>
      </c>
      <c r="C5261" t="s">
        <v>4253</v>
      </c>
      <c r="D5261" t="s">
        <v>2160</v>
      </c>
      <c r="E5261" t="str">
        <f>"00047300"</f>
        <v>00047300</v>
      </c>
      <c r="F5261">
        <v>0</v>
      </c>
      <c r="G5261" s="243">
        <v>36172</v>
      </c>
      <c r="H5261" t="s">
        <v>182</v>
      </c>
      <c r="I5261">
        <v>15</v>
      </c>
      <c r="J5261">
        <v>12</v>
      </c>
      <c r="K5261">
        <v>1</v>
      </c>
      <c r="L5261">
        <v>87431</v>
      </c>
      <c r="M5261" t="str">
        <f t="shared" si="808"/>
        <v>13</v>
      </c>
      <c r="N5261" t="s">
        <v>3323</v>
      </c>
      <c r="O5261" t="str">
        <f t="shared" si="813"/>
        <v>72411</v>
      </c>
      <c r="P5261" t="str">
        <f>"2100L"</f>
        <v>2100L</v>
      </c>
      <c r="Q5261" t="str">
        <f t="shared" si="814"/>
        <v>0101</v>
      </c>
      <c r="R5261">
        <v>2100</v>
      </c>
      <c r="S5261" t="str">
        <f t="shared" si="812"/>
        <v>7240</v>
      </c>
      <c r="T5261" t="s">
        <v>4133</v>
      </c>
      <c r="U5261" t="s">
        <v>106</v>
      </c>
    </row>
    <row r="5262" spans="1:21" ht="15" customHeight="1" x14ac:dyDescent="0.3">
      <c r="A5262" t="s">
        <v>179</v>
      </c>
      <c r="B5262" t="str">
        <f>"00055145"</f>
        <v>00055145</v>
      </c>
      <c r="C5262" t="s">
        <v>3670</v>
      </c>
      <c r="D5262" t="s">
        <v>2161</v>
      </c>
      <c r="E5262" t="str">
        <f>"00049251"</f>
        <v>00049251</v>
      </c>
      <c r="F5262">
        <v>0</v>
      </c>
      <c r="G5262" s="243">
        <v>36390</v>
      </c>
      <c r="H5262" t="s">
        <v>182</v>
      </c>
      <c r="I5262">
        <v>8</v>
      </c>
      <c r="J5262">
        <v>4</v>
      </c>
      <c r="K5262">
        <v>1</v>
      </c>
      <c r="L5262">
        <v>89645</v>
      </c>
      <c r="M5262" t="str">
        <f t="shared" si="808"/>
        <v>13</v>
      </c>
      <c r="N5262" t="s">
        <v>3323</v>
      </c>
      <c r="O5262" t="str">
        <f t="shared" si="813"/>
        <v>72411</v>
      </c>
      <c r="P5262" t="str">
        <f>"1501L"</f>
        <v>1501L</v>
      </c>
      <c r="Q5262" t="str">
        <f t="shared" si="814"/>
        <v>0101</v>
      </c>
      <c r="R5262">
        <v>1501</v>
      </c>
      <c r="S5262" t="str">
        <f t="shared" si="812"/>
        <v>7240</v>
      </c>
      <c r="T5262" t="s">
        <v>4133</v>
      </c>
      <c r="U5262" t="s">
        <v>106</v>
      </c>
    </row>
    <row r="5263" spans="1:21" ht="15" customHeight="1" x14ac:dyDescent="0.3">
      <c r="A5263" t="s">
        <v>179</v>
      </c>
      <c r="B5263" t="str">
        <f>"00055334"</f>
        <v>00055334</v>
      </c>
      <c r="C5263" t="s">
        <v>4255</v>
      </c>
      <c r="D5263" t="s">
        <v>2163</v>
      </c>
      <c r="E5263" t="str">
        <f>"00049650"</f>
        <v>00049650</v>
      </c>
      <c r="F5263">
        <v>0</v>
      </c>
      <c r="G5263" s="243">
        <v>36390</v>
      </c>
      <c r="H5263" t="s">
        <v>182</v>
      </c>
      <c r="I5263">
        <v>15</v>
      </c>
      <c r="J5263">
        <v>12</v>
      </c>
      <c r="K5263">
        <v>1</v>
      </c>
      <c r="L5263">
        <v>87431</v>
      </c>
      <c r="M5263" t="str">
        <f t="shared" si="808"/>
        <v>13</v>
      </c>
      <c r="N5263" t="s">
        <v>3323</v>
      </c>
      <c r="O5263" t="str">
        <f t="shared" si="813"/>
        <v>72411</v>
      </c>
      <c r="P5263" t="str">
        <f>"2100L"</f>
        <v>2100L</v>
      </c>
      <c r="Q5263" t="str">
        <f t="shared" si="814"/>
        <v>0101</v>
      </c>
      <c r="R5263">
        <v>2100</v>
      </c>
      <c r="S5263" t="str">
        <f t="shared" si="812"/>
        <v>7240</v>
      </c>
      <c r="T5263" t="s">
        <v>4133</v>
      </c>
      <c r="U5263" t="s">
        <v>106</v>
      </c>
    </row>
    <row r="5264" spans="1:21" ht="15" customHeight="1" x14ac:dyDescent="0.3">
      <c r="A5264" t="s">
        <v>179</v>
      </c>
      <c r="B5264" t="str">
        <f>"00057485"</f>
        <v>00057485</v>
      </c>
      <c r="C5264" t="s">
        <v>4290</v>
      </c>
      <c r="D5264" t="s">
        <v>5840</v>
      </c>
      <c r="E5264" t="str">
        <f>"00067939"</f>
        <v>00067939</v>
      </c>
      <c r="F5264">
        <v>0</v>
      </c>
      <c r="G5264" s="243">
        <v>40973</v>
      </c>
      <c r="H5264" t="s">
        <v>182</v>
      </c>
      <c r="I5264">
        <v>4</v>
      </c>
      <c r="J5264">
        <v>1</v>
      </c>
      <c r="K5264">
        <v>0.875</v>
      </c>
      <c r="L5264">
        <v>22454.25</v>
      </c>
      <c r="M5264" t="str">
        <f t="shared" si="808"/>
        <v>13</v>
      </c>
      <c r="N5264" t="s">
        <v>3370</v>
      </c>
      <c r="O5264" t="str">
        <f t="shared" si="813"/>
        <v>72411</v>
      </c>
      <c r="P5264" t="str">
        <f>"3030L"</f>
        <v>3030L</v>
      </c>
      <c r="Q5264" t="str">
        <f t="shared" si="814"/>
        <v>0101</v>
      </c>
      <c r="R5264">
        <v>3030</v>
      </c>
      <c r="S5264" t="str">
        <f t="shared" si="812"/>
        <v>7240</v>
      </c>
      <c r="T5264" t="s">
        <v>4133</v>
      </c>
      <c r="U5264" t="s">
        <v>106</v>
      </c>
    </row>
    <row r="5265" spans="1:21" ht="15" customHeight="1" x14ac:dyDescent="0.3">
      <c r="A5265" t="s">
        <v>179</v>
      </c>
      <c r="B5265" t="str">
        <f>"00057525"</f>
        <v>00057525</v>
      </c>
      <c r="C5265" t="s">
        <v>4260</v>
      </c>
      <c r="D5265" t="s">
        <v>2164</v>
      </c>
      <c r="E5265" t="str">
        <f>"00046109"</f>
        <v>00046109</v>
      </c>
      <c r="F5265">
        <v>0</v>
      </c>
      <c r="G5265" s="243">
        <v>37498</v>
      </c>
      <c r="H5265" t="s">
        <v>182</v>
      </c>
      <c r="I5265">
        <v>15</v>
      </c>
      <c r="J5265">
        <v>16</v>
      </c>
      <c r="K5265">
        <v>1</v>
      </c>
      <c r="L5265">
        <v>106540</v>
      </c>
      <c r="M5265" t="str">
        <f t="shared" si="808"/>
        <v>13</v>
      </c>
      <c r="N5265" t="s">
        <v>3323</v>
      </c>
      <c r="O5265" t="str">
        <f t="shared" si="813"/>
        <v>72411</v>
      </c>
      <c r="P5265" t="str">
        <f t="shared" ref="P5265:P5270" si="815">"2100L"</f>
        <v>2100L</v>
      </c>
      <c r="Q5265" t="str">
        <f t="shared" si="814"/>
        <v>0101</v>
      </c>
      <c r="R5265">
        <v>2100</v>
      </c>
      <c r="S5265" t="str">
        <f t="shared" si="812"/>
        <v>7240</v>
      </c>
      <c r="T5265" t="s">
        <v>4133</v>
      </c>
      <c r="U5265" t="s">
        <v>106</v>
      </c>
    </row>
    <row r="5266" spans="1:21" ht="15" customHeight="1" x14ac:dyDescent="0.3">
      <c r="A5266" t="s">
        <v>179</v>
      </c>
      <c r="B5266" t="str">
        <f>"00058095"</f>
        <v>00058095</v>
      </c>
      <c r="C5266" t="s">
        <v>4253</v>
      </c>
      <c r="D5266" t="s">
        <v>5841</v>
      </c>
      <c r="E5266" t="str">
        <f>"00064291"</f>
        <v>00064291</v>
      </c>
      <c r="F5266">
        <v>1</v>
      </c>
      <c r="H5266" t="s">
        <v>182</v>
      </c>
      <c r="I5266">
        <v>15</v>
      </c>
      <c r="J5266">
        <v>6</v>
      </c>
      <c r="K5266">
        <v>1</v>
      </c>
      <c r="L5266">
        <v>66078</v>
      </c>
      <c r="M5266" t="str">
        <f t="shared" si="808"/>
        <v>13</v>
      </c>
      <c r="N5266" t="s">
        <v>3323</v>
      </c>
      <c r="O5266" t="str">
        <f t="shared" si="813"/>
        <v>72411</v>
      </c>
      <c r="P5266" t="str">
        <f t="shared" si="815"/>
        <v>2100L</v>
      </c>
      <c r="Q5266" t="str">
        <f t="shared" si="814"/>
        <v>0101</v>
      </c>
      <c r="R5266">
        <v>2100</v>
      </c>
      <c r="S5266" t="str">
        <f t="shared" si="812"/>
        <v>7240</v>
      </c>
      <c r="T5266" t="s">
        <v>4133</v>
      </c>
      <c r="U5266" t="s">
        <v>106</v>
      </c>
    </row>
    <row r="5267" spans="1:21" ht="15" customHeight="1" x14ac:dyDescent="0.3">
      <c r="A5267" t="s">
        <v>179</v>
      </c>
      <c r="B5267" t="str">
        <f>"00059233"</f>
        <v>00059233</v>
      </c>
      <c r="C5267" t="s">
        <v>4253</v>
      </c>
      <c r="D5267" t="s">
        <v>5842</v>
      </c>
      <c r="E5267" t="str">
        <f>"00067718"</f>
        <v>00067718</v>
      </c>
      <c r="F5267">
        <v>0</v>
      </c>
      <c r="G5267" s="243">
        <v>40938</v>
      </c>
      <c r="H5267" t="s">
        <v>182</v>
      </c>
      <c r="I5267">
        <v>15</v>
      </c>
      <c r="J5267">
        <v>1</v>
      </c>
      <c r="K5267">
        <v>1</v>
      </c>
      <c r="L5267">
        <v>51539</v>
      </c>
      <c r="M5267" t="str">
        <f t="shared" si="808"/>
        <v>13</v>
      </c>
      <c r="N5267" t="s">
        <v>3323</v>
      </c>
      <c r="O5267" t="str">
        <f t="shared" si="813"/>
        <v>72411</v>
      </c>
      <c r="P5267" t="str">
        <f t="shared" si="815"/>
        <v>2100L</v>
      </c>
      <c r="Q5267" t="str">
        <f t="shared" si="814"/>
        <v>0101</v>
      </c>
      <c r="R5267">
        <v>2100</v>
      </c>
      <c r="S5267" t="str">
        <f t="shared" si="812"/>
        <v>7240</v>
      </c>
      <c r="T5267" t="s">
        <v>4133</v>
      </c>
      <c r="U5267" t="s">
        <v>106</v>
      </c>
    </row>
    <row r="5268" spans="1:21" ht="15" customHeight="1" x14ac:dyDescent="0.3">
      <c r="A5268" t="s">
        <v>179</v>
      </c>
      <c r="B5268" t="str">
        <f>"00059237"</f>
        <v>00059237</v>
      </c>
      <c r="C5268" t="s">
        <v>4253</v>
      </c>
      <c r="D5268" t="s">
        <v>2165</v>
      </c>
      <c r="E5268" t="str">
        <f>"00045250"</f>
        <v>00045250</v>
      </c>
      <c r="F5268">
        <v>0</v>
      </c>
      <c r="G5268" s="243">
        <v>38587</v>
      </c>
      <c r="H5268" t="s">
        <v>182</v>
      </c>
      <c r="I5268">
        <v>15</v>
      </c>
      <c r="J5268">
        <v>8</v>
      </c>
      <c r="K5268">
        <v>1</v>
      </c>
      <c r="L5268">
        <v>63517</v>
      </c>
      <c r="M5268" t="str">
        <f t="shared" si="808"/>
        <v>13</v>
      </c>
      <c r="N5268" t="s">
        <v>3323</v>
      </c>
      <c r="O5268" t="str">
        <f t="shared" si="813"/>
        <v>72411</v>
      </c>
      <c r="P5268" t="str">
        <f t="shared" si="815"/>
        <v>2100L</v>
      </c>
      <c r="Q5268" t="str">
        <f t="shared" si="814"/>
        <v>0101</v>
      </c>
      <c r="R5268">
        <v>2100</v>
      </c>
      <c r="S5268" t="str">
        <f t="shared" si="812"/>
        <v>7240</v>
      </c>
      <c r="T5268" t="s">
        <v>4133</v>
      </c>
      <c r="U5268" t="s">
        <v>106</v>
      </c>
    </row>
    <row r="5269" spans="1:21" ht="15" customHeight="1" x14ac:dyDescent="0.3">
      <c r="A5269" t="s">
        <v>179</v>
      </c>
      <c r="B5269" t="str">
        <f>"00059253"</f>
        <v>00059253</v>
      </c>
      <c r="C5269" t="s">
        <v>4253</v>
      </c>
      <c r="D5269" t="s">
        <v>2166</v>
      </c>
      <c r="E5269" t="str">
        <f>"00045625"</f>
        <v>00045625</v>
      </c>
      <c r="F5269">
        <v>0</v>
      </c>
      <c r="G5269" s="243">
        <v>38587</v>
      </c>
      <c r="H5269" t="s">
        <v>182</v>
      </c>
      <c r="I5269">
        <v>15</v>
      </c>
      <c r="J5269">
        <v>8</v>
      </c>
      <c r="K5269">
        <v>1</v>
      </c>
      <c r="L5269">
        <v>72171</v>
      </c>
      <c r="M5269" t="str">
        <f t="shared" si="808"/>
        <v>13</v>
      </c>
      <c r="N5269" t="s">
        <v>3323</v>
      </c>
      <c r="O5269" t="str">
        <f t="shared" si="813"/>
        <v>72411</v>
      </c>
      <c r="P5269" t="str">
        <f t="shared" si="815"/>
        <v>2100L</v>
      </c>
      <c r="Q5269" t="str">
        <f t="shared" si="814"/>
        <v>0101</v>
      </c>
      <c r="R5269">
        <v>2100</v>
      </c>
      <c r="S5269" t="str">
        <f t="shared" ref="S5269:S5300" si="816">"7240"</f>
        <v>7240</v>
      </c>
      <c r="T5269" t="s">
        <v>4133</v>
      </c>
      <c r="U5269" t="s">
        <v>106</v>
      </c>
    </row>
    <row r="5270" spans="1:21" ht="15" customHeight="1" x14ac:dyDescent="0.3">
      <c r="A5270" t="s">
        <v>179</v>
      </c>
      <c r="B5270" t="str">
        <f>"00059259"</f>
        <v>00059259</v>
      </c>
      <c r="C5270" t="s">
        <v>4253</v>
      </c>
      <c r="H5270" t="s">
        <v>170</v>
      </c>
      <c r="I5270">
        <v>15</v>
      </c>
      <c r="J5270">
        <v>1</v>
      </c>
      <c r="K5270">
        <v>1</v>
      </c>
      <c r="L5270">
        <v>56693</v>
      </c>
      <c r="M5270" t="str">
        <f t="shared" si="808"/>
        <v>13</v>
      </c>
      <c r="N5270" t="s">
        <v>3323</v>
      </c>
      <c r="O5270" t="str">
        <f t="shared" si="813"/>
        <v>72411</v>
      </c>
      <c r="P5270" t="str">
        <f t="shared" si="815"/>
        <v>2100L</v>
      </c>
      <c r="Q5270" t="str">
        <f t="shared" si="814"/>
        <v>0101</v>
      </c>
      <c r="R5270">
        <v>2100</v>
      </c>
      <c r="S5270" t="str">
        <f t="shared" si="816"/>
        <v>7240</v>
      </c>
      <c r="T5270" t="s">
        <v>4133</v>
      </c>
      <c r="U5270" t="s">
        <v>106</v>
      </c>
    </row>
    <row r="5271" spans="1:21" ht="15" customHeight="1" x14ac:dyDescent="0.3">
      <c r="A5271" t="s">
        <v>179</v>
      </c>
      <c r="B5271" t="str">
        <f>"00059297"</f>
        <v>00059297</v>
      </c>
      <c r="C5271" t="s">
        <v>4333</v>
      </c>
      <c r="D5271" t="s">
        <v>2183</v>
      </c>
      <c r="E5271" t="str">
        <f>"00052169"</f>
        <v>00052169</v>
      </c>
      <c r="F5271">
        <v>0</v>
      </c>
      <c r="G5271" s="243">
        <v>40093</v>
      </c>
      <c r="H5271" t="s">
        <v>182</v>
      </c>
      <c r="I5271">
        <v>12</v>
      </c>
      <c r="J5271">
        <v>1</v>
      </c>
      <c r="K5271">
        <v>1</v>
      </c>
      <c r="L5271">
        <v>59480</v>
      </c>
      <c r="M5271" t="str">
        <f t="shared" si="808"/>
        <v>13</v>
      </c>
      <c r="N5271" t="s">
        <v>3370</v>
      </c>
      <c r="O5271" t="str">
        <f t="shared" si="813"/>
        <v>72411</v>
      </c>
      <c r="P5271" t="str">
        <f>"1502L"</f>
        <v>1502L</v>
      </c>
      <c r="Q5271" t="str">
        <f t="shared" si="814"/>
        <v>0101</v>
      </c>
      <c r="R5271">
        <v>1502</v>
      </c>
      <c r="S5271" t="str">
        <f t="shared" si="816"/>
        <v>7240</v>
      </c>
      <c r="T5271" t="s">
        <v>4133</v>
      </c>
      <c r="U5271" t="s">
        <v>106</v>
      </c>
    </row>
    <row r="5272" spans="1:21" ht="15" customHeight="1" x14ac:dyDescent="0.3">
      <c r="A5272" t="s">
        <v>179</v>
      </c>
      <c r="B5272" t="str">
        <f>"00059524"</f>
        <v>00059524</v>
      </c>
      <c r="C5272" t="s">
        <v>4260</v>
      </c>
      <c r="H5272" t="s">
        <v>170</v>
      </c>
      <c r="I5272">
        <v>15</v>
      </c>
      <c r="J5272">
        <v>1</v>
      </c>
      <c r="K5272">
        <v>1</v>
      </c>
      <c r="L5272">
        <v>54975</v>
      </c>
      <c r="M5272" t="str">
        <f t="shared" si="808"/>
        <v>13</v>
      </c>
      <c r="N5272" t="s">
        <v>3323</v>
      </c>
      <c r="O5272" t="str">
        <f t="shared" si="813"/>
        <v>72411</v>
      </c>
      <c r="P5272" t="str">
        <f t="shared" ref="P5272:P5278" si="817">"2100L"</f>
        <v>2100L</v>
      </c>
      <c r="Q5272" t="str">
        <f t="shared" si="814"/>
        <v>0101</v>
      </c>
      <c r="R5272">
        <v>2100</v>
      </c>
      <c r="S5272" t="str">
        <f t="shared" si="816"/>
        <v>7240</v>
      </c>
      <c r="T5272" t="s">
        <v>4133</v>
      </c>
      <c r="U5272" t="s">
        <v>106</v>
      </c>
    </row>
    <row r="5273" spans="1:21" ht="15" customHeight="1" x14ac:dyDescent="0.3">
      <c r="A5273" t="s">
        <v>179</v>
      </c>
      <c r="B5273" t="str">
        <f>"00059554"</f>
        <v>00059554</v>
      </c>
      <c r="C5273" t="s">
        <v>4255</v>
      </c>
      <c r="D5273" t="s">
        <v>5843</v>
      </c>
      <c r="E5273" t="str">
        <f>"00069768"</f>
        <v>00069768</v>
      </c>
      <c r="F5273">
        <v>0</v>
      </c>
      <c r="G5273" s="243">
        <v>41133</v>
      </c>
      <c r="H5273" t="s">
        <v>182</v>
      </c>
      <c r="I5273">
        <v>15</v>
      </c>
      <c r="J5273">
        <v>5</v>
      </c>
      <c r="K5273">
        <v>1</v>
      </c>
      <c r="L5273">
        <v>68537</v>
      </c>
      <c r="M5273" t="str">
        <f t="shared" si="808"/>
        <v>13</v>
      </c>
      <c r="N5273" t="s">
        <v>3370</v>
      </c>
      <c r="O5273" t="str">
        <f t="shared" si="813"/>
        <v>72411</v>
      </c>
      <c r="P5273" t="str">
        <f t="shared" si="817"/>
        <v>2100L</v>
      </c>
      <c r="Q5273" t="str">
        <f t="shared" si="814"/>
        <v>0101</v>
      </c>
      <c r="R5273">
        <v>2100</v>
      </c>
      <c r="S5273" t="str">
        <f t="shared" si="816"/>
        <v>7240</v>
      </c>
      <c r="T5273" t="s">
        <v>4133</v>
      </c>
      <c r="U5273" t="s">
        <v>106</v>
      </c>
    </row>
    <row r="5274" spans="1:21" ht="15" customHeight="1" x14ac:dyDescent="0.3">
      <c r="A5274" t="s">
        <v>179</v>
      </c>
      <c r="B5274" t="str">
        <f>"00060668"</f>
        <v>00060668</v>
      </c>
      <c r="C5274" t="s">
        <v>4857</v>
      </c>
      <c r="H5274" t="s">
        <v>170</v>
      </c>
      <c r="I5274">
        <v>9</v>
      </c>
      <c r="J5274">
        <v>1</v>
      </c>
      <c r="K5274">
        <v>0.5</v>
      </c>
      <c r="L5274">
        <v>56461</v>
      </c>
      <c r="M5274" t="str">
        <f t="shared" si="808"/>
        <v>13</v>
      </c>
      <c r="N5274" t="s">
        <v>3323</v>
      </c>
      <c r="O5274" t="str">
        <f t="shared" si="813"/>
        <v>72411</v>
      </c>
      <c r="P5274" t="str">
        <f t="shared" si="817"/>
        <v>2100L</v>
      </c>
      <c r="Q5274" t="str">
        <f t="shared" si="814"/>
        <v>0101</v>
      </c>
      <c r="R5274">
        <v>2100</v>
      </c>
      <c r="S5274" t="str">
        <f t="shared" si="816"/>
        <v>7240</v>
      </c>
      <c r="T5274" t="s">
        <v>4133</v>
      </c>
      <c r="U5274" t="s">
        <v>106</v>
      </c>
    </row>
    <row r="5275" spans="1:21" ht="15" customHeight="1" x14ac:dyDescent="0.3">
      <c r="A5275" t="s">
        <v>179</v>
      </c>
      <c r="B5275" t="str">
        <f>"00061090"</f>
        <v>00061090</v>
      </c>
      <c r="C5275" t="s">
        <v>4260</v>
      </c>
      <c r="D5275" t="s">
        <v>5844</v>
      </c>
      <c r="E5275" t="str">
        <f>"00070139"</f>
        <v>00070139</v>
      </c>
      <c r="F5275">
        <v>0</v>
      </c>
      <c r="G5275" s="243">
        <v>41133</v>
      </c>
      <c r="H5275" t="s">
        <v>182</v>
      </c>
      <c r="I5275">
        <v>15</v>
      </c>
      <c r="J5275">
        <v>4</v>
      </c>
      <c r="K5275">
        <v>1</v>
      </c>
      <c r="L5275">
        <v>54725</v>
      </c>
      <c r="M5275" t="str">
        <f t="shared" si="808"/>
        <v>13</v>
      </c>
      <c r="N5275" t="s">
        <v>3323</v>
      </c>
      <c r="O5275" t="str">
        <f t="shared" si="813"/>
        <v>72411</v>
      </c>
      <c r="P5275" t="str">
        <f t="shared" si="817"/>
        <v>2100L</v>
      </c>
      <c r="Q5275" t="str">
        <f t="shared" si="814"/>
        <v>0101</v>
      </c>
      <c r="R5275">
        <v>2100</v>
      </c>
      <c r="S5275" t="str">
        <f t="shared" si="816"/>
        <v>7240</v>
      </c>
      <c r="T5275" t="s">
        <v>4133</v>
      </c>
      <c r="U5275" t="s">
        <v>106</v>
      </c>
    </row>
    <row r="5276" spans="1:21" ht="15" customHeight="1" x14ac:dyDescent="0.3">
      <c r="A5276" t="s">
        <v>179</v>
      </c>
      <c r="B5276" t="str">
        <f>"00061107"</f>
        <v>00061107</v>
      </c>
      <c r="C5276" t="s">
        <v>4260</v>
      </c>
      <c r="D5276" t="s">
        <v>2198</v>
      </c>
      <c r="E5276" t="str">
        <f>"00059041"</f>
        <v>00059041</v>
      </c>
      <c r="F5276">
        <v>0</v>
      </c>
      <c r="G5276" s="243">
        <v>40099</v>
      </c>
      <c r="H5276" t="s">
        <v>182</v>
      </c>
      <c r="I5276">
        <v>15</v>
      </c>
      <c r="J5276">
        <v>5</v>
      </c>
      <c r="K5276">
        <v>1</v>
      </c>
      <c r="L5276">
        <v>63611</v>
      </c>
      <c r="M5276" t="str">
        <f t="shared" si="808"/>
        <v>13</v>
      </c>
      <c r="N5276" t="s">
        <v>3323</v>
      </c>
      <c r="O5276" t="str">
        <f t="shared" si="813"/>
        <v>72411</v>
      </c>
      <c r="P5276" t="str">
        <f t="shared" si="817"/>
        <v>2100L</v>
      </c>
      <c r="Q5276" t="str">
        <f t="shared" si="814"/>
        <v>0101</v>
      </c>
      <c r="R5276">
        <v>2100</v>
      </c>
      <c r="S5276" t="str">
        <f t="shared" si="816"/>
        <v>7240</v>
      </c>
      <c r="T5276" t="s">
        <v>4133</v>
      </c>
      <c r="U5276" t="s">
        <v>106</v>
      </c>
    </row>
    <row r="5277" spans="1:21" ht="15" customHeight="1" x14ac:dyDescent="0.3">
      <c r="A5277" t="s">
        <v>179</v>
      </c>
      <c r="B5277" t="str">
        <f>"00061201"</f>
        <v>00061201</v>
      </c>
      <c r="C5277" t="s">
        <v>4253</v>
      </c>
      <c r="D5277" t="s">
        <v>5845</v>
      </c>
      <c r="E5277" t="str">
        <f>"00069900"</f>
        <v>00069900</v>
      </c>
      <c r="F5277">
        <v>0</v>
      </c>
      <c r="G5277" s="243">
        <v>41133</v>
      </c>
      <c r="H5277" t="s">
        <v>182</v>
      </c>
      <c r="I5277">
        <v>15</v>
      </c>
      <c r="J5277">
        <v>6</v>
      </c>
      <c r="K5277">
        <v>1</v>
      </c>
      <c r="L5277">
        <v>61032</v>
      </c>
      <c r="M5277" t="str">
        <f t="shared" si="808"/>
        <v>13</v>
      </c>
      <c r="N5277" t="s">
        <v>3370</v>
      </c>
      <c r="O5277" t="str">
        <f t="shared" si="813"/>
        <v>72411</v>
      </c>
      <c r="P5277" t="str">
        <f t="shared" si="817"/>
        <v>2100L</v>
      </c>
      <c r="Q5277" t="str">
        <f t="shared" si="814"/>
        <v>0101</v>
      </c>
      <c r="R5277">
        <v>2100</v>
      </c>
      <c r="S5277" t="str">
        <f t="shared" si="816"/>
        <v>7240</v>
      </c>
      <c r="T5277" t="s">
        <v>4133</v>
      </c>
      <c r="U5277" t="s">
        <v>106</v>
      </c>
    </row>
    <row r="5278" spans="1:21" ht="15" customHeight="1" x14ac:dyDescent="0.3">
      <c r="A5278" t="s">
        <v>179</v>
      </c>
      <c r="B5278" t="str">
        <f>"00061213"</f>
        <v>00061213</v>
      </c>
      <c r="C5278" t="s">
        <v>4260</v>
      </c>
      <c r="D5278" t="s">
        <v>2170</v>
      </c>
      <c r="E5278" t="str">
        <f>"00057474"</f>
        <v>00057474</v>
      </c>
      <c r="F5278">
        <v>0</v>
      </c>
      <c r="G5278" s="243">
        <v>40406</v>
      </c>
      <c r="H5278" t="s">
        <v>182</v>
      </c>
      <c r="I5278">
        <v>15</v>
      </c>
      <c r="J5278">
        <v>3</v>
      </c>
      <c r="K5278">
        <v>1</v>
      </c>
      <c r="L5278">
        <v>55210</v>
      </c>
      <c r="M5278" t="str">
        <f t="shared" si="808"/>
        <v>13</v>
      </c>
      <c r="N5278" t="s">
        <v>3323</v>
      </c>
      <c r="O5278" t="str">
        <f t="shared" si="813"/>
        <v>72411</v>
      </c>
      <c r="P5278" t="str">
        <f t="shared" si="817"/>
        <v>2100L</v>
      </c>
      <c r="Q5278" t="str">
        <f t="shared" si="814"/>
        <v>0101</v>
      </c>
      <c r="R5278">
        <v>2100</v>
      </c>
      <c r="S5278" t="str">
        <f t="shared" si="816"/>
        <v>7240</v>
      </c>
      <c r="T5278" t="s">
        <v>4133</v>
      </c>
      <c r="U5278" t="s">
        <v>106</v>
      </c>
    </row>
    <row r="5279" spans="1:21" ht="15" customHeight="1" x14ac:dyDescent="0.3">
      <c r="A5279" t="s">
        <v>179</v>
      </c>
      <c r="B5279" t="str">
        <f>"00061372"</f>
        <v>00061372</v>
      </c>
      <c r="C5279" t="s">
        <v>4253</v>
      </c>
      <c r="D5279" t="s">
        <v>2171</v>
      </c>
      <c r="E5279" t="str">
        <f>"00057940"</f>
        <v>00057940</v>
      </c>
      <c r="F5279">
        <v>0</v>
      </c>
      <c r="G5279" s="243">
        <v>40056</v>
      </c>
      <c r="H5279" t="s">
        <v>182</v>
      </c>
      <c r="I5279">
        <v>15</v>
      </c>
      <c r="J5279">
        <v>3</v>
      </c>
      <c r="K5279">
        <v>1</v>
      </c>
      <c r="L5279">
        <v>52777</v>
      </c>
      <c r="M5279" t="str">
        <f t="shared" si="808"/>
        <v>13</v>
      </c>
      <c r="N5279" t="s">
        <v>3323</v>
      </c>
      <c r="O5279" t="str">
        <f t="shared" si="813"/>
        <v>72411</v>
      </c>
      <c r="P5279" t="str">
        <f>"3030L"</f>
        <v>3030L</v>
      </c>
      <c r="Q5279" t="str">
        <f t="shared" si="814"/>
        <v>0101</v>
      </c>
      <c r="R5279">
        <v>3030</v>
      </c>
      <c r="S5279" t="str">
        <f t="shared" si="816"/>
        <v>7240</v>
      </c>
      <c r="T5279" t="s">
        <v>4133</v>
      </c>
      <c r="U5279" t="s">
        <v>106</v>
      </c>
    </row>
    <row r="5280" spans="1:21" ht="15" customHeight="1" x14ac:dyDescent="0.3">
      <c r="A5280" t="s">
        <v>179</v>
      </c>
      <c r="B5280" t="str">
        <f>"00061416"</f>
        <v>00061416</v>
      </c>
      <c r="C5280" t="s">
        <v>4253</v>
      </c>
      <c r="D5280" t="s">
        <v>5846</v>
      </c>
      <c r="E5280" t="str">
        <f>"00069674"</f>
        <v>00069674</v>
      </c>
      <c r="F5280">
        <v>0</v>
      </c>
      <c r="G5280" s="243">
        <v>41133</v>
      </c>
      <c r="H5280" t="s">
        <v>182</v>
      </c>
      <c r="I5280">
        <v>15</v>
      </c>
      <c r="J5280">
        <v>2</v>
      </c>
      <c r="K5280">
        <v>1</v>
      </c>
      <c r="L5280">
        <v>51716</v>
      </c>
      <c r="M5280" t="str">
        <f t="shared" si="808"/>
        <v>13</v>
      </c>
      <c r="N5280" t="s">
        <v>3370</v>
      </c>
      <c r="O5280" t="str">
        <f t="shared" si="813"/>
        <v>72411</v>
      </c>
      <c r="P5280" t="str">
        <f>"2100L"</f>
        <v>2100L</v>
      </c>
      <c r="Q5280" t="str">
        <f t="shared" si="814"/>
        <v>0101</v>
      </c>
      <c r="R5280">
        <v>2100</v>
      </c>
      <c r="S5280" t="str">
        <f t="shared" si="816"/>
        <v>7240</v>
      </c>
      <c r="T5280" t="s">
        <v>4133</v>
      </c>
      <c r="U5280" t="s">
        <v>106</v>
      </c>
    </row>
    <row r="5281" spans="1:21" ht="15" customHeight="1" x14ac:dyDescent="0.3">
      <c r="A5281" t="s">
        <v>179</v>
      </c>
      <c r="B5281" t="str">
        <f>"00061823"</f>
        <v>00061823</v>
      </c>
      <c r="C5281" t="s">
        <v>3798</v>
      </c>
      <c r="D5281" t="s">
        <v>2173</v>
      </c>
      <c r="E5281" t="str">
        <f>"00062257"</f>
        <v>00062257</v>
      </c>
      <c r="F5281">
        <v>0</v>
      </c>
      <c r="G5281" s="243">
        <v>40371</v>
      </c>
      <c r="H5281" t="s">
        <v>182</v>
      </c>
      <c r="I5281">
        <v>65</v>
      </c>
      <c r="J5281">
        <v>6</v>
      </c>
      <c r="K5281">
        <v>1</v>
      </c>
      <c r="L5281">
        <v>137000</v>
      </c>
      <c r="M5281" t="str">
        <f t="shared" si="808"/>
        <v>13</v>
      </c>
      <c r="N5281" t="s">
        <v>3323</v>
      </c>
      <c r="O5281" t="str">
        <f t="shared" si="813"/>
        <v>72411</v>
      </c>
      <c r="P5281" t="str">
        <f>"1501L"</f>
        <v>1501L</v>
      </c>
      <c r="Q5281" t="str">
        <f t="shared" si="814"/>
        <v>0101</v>
      </c>
      <c r="R5281">
        <v>1501</v>
      </c>
      <c r="S5281" t="str">
        <f t="shared" si="816"/>
        <v>7240</v>
      </c>
      <c r="T5281" t="s">
        <v>4133</v>
      </c>
      <c r="U5281" t="s">
        <v>106</v>
      </c>
    </row>
    <row r="5282" spans="1:21" ht="15" customHeight="1" x14ac:dyDescent="0.3">
      <c r="A5282" t="s">
        <v>179</v>
      </c>
      <c r="B5282" t="str">
        <f>"00061950"</f>
        <v>00061950</v>
      </c>
      <c r="C5282" t="s">
        <v>4263</v>
      </c>
      <c r="H5282" t="s">
        <v>170</v>
      </c>
      <c r="I5282">
        <v>15</v>
      </c>
      <c r="J5282">
        <v>1</v>
      </c>
      <c r="K5282">
        <v>1</v>
      </c>
      <c r="L5282">
        <v>56693</v>
      </c>
      <c r="M5282" t="str">
        <f t="shared" si="808"/>
        <v>13</v>
      </c>
      <c r="N5282" t="s">
        <v>3323</v>
      </c>
      <c r="O5282" t="str">
        <f t="shared" si="813"/>
        <v>72411</v>
      </c>
      <c r="P5282" t="str">
        <f>"2100L"</f>
        <v>2100L</v>
      </c>
      <c r="Q5282" t="str">
        <f t="shared" si="814"/>
        <v>0101</v>
      </c>
      <c r="R5282">
        <v>2100</v>
      </c>
      <c r="S5282" t="str">
        <f t="shared" si="816"/>
        <v>7240</v>
      </c>
      <c r="T5282" t="s">
        <v>4133</v>
      </c>
      <c r="U5282" t="s">
        <v>106</v>
      </c>
    </row>
    <row r="5283" spans="1:21" ht="15" customHeight="1" x14ac:dyDescent="0.3">
      <c r="A5283" t="s">
        <v>179</v>
      </c>
      <c r="B5283" t="str">
        <f>"00062093"</f>
        <v>00062093</v>
      </c>
      <c r="C5283" t="s">
        <v>4266</v>
      </c>
      <c r="D5283" t="s">
        <v>4138</v>
      </c>
      <c r="E5283" t="str">
        <f>"00066895"</f>
        <v>00066895</v>
      </c>
      <c r="F5283">
        <v>0</v>
      </c>
      <c r="G5283" s="243">
        <v>40826</v>
      </c>
      <c r="H5283" t="s">
        <v>182</v>
      </c>
      <c r="I5283">
        <v>15</v>
      </c>
      <c r="J5283">
        <v>4</v>
      </c>
      <c r="K5283">
        <v>1</v>
      </c>
      <c r="L5283">
        <v>61158</v>
      </c>
      <c r="M5283" t="str">
        <f t="shared" si="808"/>
        <v>13</v>
      </c>
      <c r="N5283" t="s">
        <v>3323</v>
      </c>
      <c r="O5283" t="str">
        <f t="shared" si="813"/>
        <v>72411</v>
      </c>
      <c r="P5283" t="str">
        <f>"2300L"</f>
        <v>2300L</v>
      </c>
      <c r="Q5283" t="str">
        <f t="shared" si="814"/>
        <v>0101</v>
      </c>
      <c r="R5283">
        <v>2300</v>
      </c>
      <c r="S5283" t="str">
        <f t="shared" si="816"/>
        <v>7240</v>
      </c>
      <c r="T5283" t="s">
        <v>4133</v>
      </c>
      <c r="U5283" t="s">
        <v>106</v>
      </c>
    </row>
    <row r="5284" spans="1:21" ht="15" customHeight="1" x14ac:dyDescent="0.3">
      <c r="A5284" t="s">
        <v>179</v>
      </c>
      <c r="B5284" t="str">
        <f>"00062097"</f>
        <v>00062097</v>
      </c>
      <c r="C5284" t="s">
        <v>4266</v>
      </c>
      <c r="D5284" t="s">
        <v>4140</v>
      </c>
      <c r="E5284" t="str">
        <f>"00066953"</f>
        <v>00066953</v>
      </c>
      <c r="F5284">
        <v>0</v>
      </c>
      <c r="G5284" s="243">
        <v>40813</v>
      </c>
      <c r="H5284" t="s">
        <v>182</v>
      </c>
      <c r="I5284">
        <v>15</v>
      </c>
      <c r="J5284">
        <v>8</v>
      </c>
      <c r="K5284">
        <v>1</v>
      </c>
      <c r="L5284">
        <v>74640</v>
      </c>
      <c r="M5284" t="str">
        <f t="shared" si="808"/>
        <v>13</v>
      </c>
      <c r="N5284" t="s">
        <v>3370</v>
      </c>
      <c r="O5284" t="str">
        <f t="shared" si="813"/>
        <v>72411</v>
      </c>
      <c r="P5284" t="str">
        <f>"2300L"</f>
        <v>2300L</v>
      </c>
      <c r="Q5284" t="str">
        <f t="shared" si="814"/>
        <v>0101</v>
      </c>
      <c r="R5284">
        <v>2300</v>
      </c>
      <c r="S5284" t="str">
        <f t="shared" si="816"/>
        <v>7240</v>
      </c>
      <c r="T5284" t="s">
        <v>4133</v>
      </c>
      <c r="U5284" t="s">
        <v>106</v>
      </c>
    </row>
    <row r="5285" spans="1:21" ht="15" customHeight="1" x14ac:dyDescent="0.3">
      <c r="A5285" t="s">
        <v>179</v>
      </c>
      <c r="B5285" t="str">
        <f>"00062148"</f>
        <v>00062148</v>
      </c>
      <c r="C5285" t="s">
        <v>4266</v>
      </c>
      <c r="D5285" t="s">
        <v>5847</v>
      </c>
      <c r="E5285" t="str">
        <f>"00069716"</f>
        <v>00069716</v>
      </c>
      <c r="F5285">
        <v>0</v>
      </c>
      <c r="G5285" s="243">
        <v>41133</v>
      </c>
      <c r="H5285" t="s">
        <v>182</v>
      </c>
      <c r="I5285">
        <v>15</v>
      </c>
      <c r="J5285">
        <v>5</v>
      </c>
      <c r="K5285">
        <v>1</v>
      </c>
      <c r="L5285">
        <v>66078</v>
      </c>
      <c r="M5285" t="str">
        <f t="shared" si="808"/>
        <v>13</v>
      </c>
      <c r="N5285" t="s">
        <v>3323</v>
      </c>
      <c r="O5285" t="str">
        <f t="shared" si="813"/>
        <v>72411</v>
      </c>
      <c r="P5285" t="str">
        <f>"2300L"</f>
        <v>2300L</v>
      </c>
      <c r="Q5285" t="str">
        <f t="shared" si="814"/>
        <v>0101</v>
      </c>
      <c r="R5285">
        <v>2300</v>
      </c>
      <c r="S5285" t="str">
        <f t="shared" si="816"/>
        <v>7240</v>
      </c>
      <c r="T5285" t="s">
        <v>4133</v>
      </c>
      <c r="U5285" t="s">
        <v>106</v>
      </c>
    </row>
    <row r="5286" spans="1:21" ht="15" customHeight="1" x14ac:dyDescent="0.3">
      <c r="A5286" t="s">
        <v>179</v>
      </c>
      <c r="B5286" t="str">
        <f>"00062205"</f>
        <v>00062205</v>
      </c>
      <c r="C5286" t="s">
        <v>3670</v>
      </c>
      <c r="D5286" t="s">
        <v>2174</v>
      </c>
      <c r="E5286" t="str">
        <f>"00049362"</f>
        <v>00049362</v>
      </c>
      <c r="F5286">
        <v>0</v>
      </c>
      <c r="G5286" s="243">
        <v>39685</v>
      </c>
      <c r="H5286" t="s">
        <v>182</v>
      </c>
      <c r="I5286">
        <v>8</v>
      </c>
      <c r="J5286">
        <v>5</v>
      </c>
      <c r="K5286">
        <v>1</v>
      </c>
      <c r="L5286">
        <v>92198</v>
      </c>
      <c r="M5286" t="str">
        <f t="shared" si="808"/>
        <v>13</v>
      </c>
      <c r="N5286" t="s">
        <v>3323</v>
      </c>
      <c r="O5286" t="str">
        <f t="shared" si="813"/>
        <v>72411</v>
      </c>
      <c r="P5286" t="str">
        <f>"1501L"</f>
        <v>1501L</v>
      </c>
      <c r="Q5286" t="str">
        <f t="shared" si="814"/>
        <v>0101</v>
      </c>
      <c r="R5286">
        <v>1501</v>
      </c>
      <c r="S5286" t="str">
        <f t="shared" si="816"/>
        <v>7240</v>
      </c>
      <c r="T5286" t="s">
        <v>4133</v>
      </c>
      <c r="U5286" t="s">
        <v>106</v>
      </c>
    </row>
    <row r="5287" spans="1:21" ht="15" customHeight="1" x14ac:dyDescent="0.3">
      <c r="A5287" t="s">
        <v>179</v>
      </c>
      <c r="B5287" t="str">
        <f>"00062415"</f>
        <v>00062415</v>
      </c>
      <c r="C5287" t="s">
        <v>200</v>
      </c>
      <c r="D5287" t="s">
        <v>2175</v>
      </c>
      <c r="E5287" t="str">
        <f>"00048519"</f>
        <v>00048519</v>
      </c>
      <c r="F5287">
        <v>0</v>
      </c>
      <c r="G5287" s="243">
        <v>39679</v>
      </c>
      <c r="H5287" t="s">
        <v>182</v>
      </c>
      <c r="I5287">
        <v>15</v>
      </c>
      <c r="J5287">
        <v>12</v>
      </c>
      <c r="K5287">
        <v>1</v>
      </c>
      <c r="L5287">
        <v>92613</v>
      </c>
      <c r="M5287" t="str">
        <f t="shared" si="808"/>
        <v>13</v>
      </c>
      <c r="N5287" t="s">
        <v>3323</v>
      </c>
      <c r="O5287" t="str">
        <f t="shared" si="813"/>
        <v>72411</v>
      </c>
      <c r="P5287" t="str">
        <f>"3030L"</f>
        <v>3030L</v>
      </c>
      <c r="Q5287" t="str">
        <f t="shared" si="814"/>
        <v>0101</v>
      </c>
      <c r="R5287">
        <v>3030</v>
      </c>
      <c r="S5287" t="str">
        <f t="shared" si="816"/>
        <v>7240</v>
      </c>
      <c r="T5287" t="s">
        <v>4133</v>
      </c>
      <c r="U5287" t="s">
        <v>106</v>
      </c>
    </row>
    <row r="5288" spans="1:21" ht="15" customHeight="1" x14ac:dyDescent="0.3">
      <c r="A5288" t="s">
        <v>179</v>
      </c>
      <c r="B5288" t="str">
        <f>"00062549"</f>
        <v>00062549</v>
      </c>
      <c r="C5288" t="s">
        <v>4253</v>
      </c>
      <c r="H5288" t="s">
        <v>170</v>
      </c>
      <c r="I5288">
        <v>15</v>
      </c>
      <c r="J5288">
        <v>1</v>
      </c>
      <c r="K5288">
        <v>1</v>
      </c>
      <c r="L5288">
        <v>51539</v>
      </c>
      <c r="M5288" t="str">
        <f t="shared" si="808"/>
        <v>13</v>
      </c>
      <c r="N5288" t="s">
        <v>3370</v>
      </c>
      <c r="O5288" t="str">
        <f t="shared" si="813"/>
        <v>72411</v>
      </c>
      <c r="P5288" t="str">
        <f>"3030L"</f>
        <v>3030L</v>
      </c>
      <c r="Q5288" t="str">
        <f t="shared" si="814"/>
        <v>0101</v>
      </c>
      <c r="R5288">
        <v>3030</v>
      </c>
      <c r="S5288" t="str">
        <f t="shared" si="816"/>
        <v>7240</v>
      </c>
      <c r="T5288" t="s">
        <v>4133</v>
      </c>
      <c r="U5288" t="s">
        <v>106</v>
      </c>
    </row>
    <row r="5289" spans="1:21" ht="15" customHeight="1" x14ac:dyDescent="0.3">
      <c r="A5289" t="s">
        <v>179</v>
      </c>
      <c r="B5289" t="str">
        <f>"00062615"</f>
        <v>00062615</v>
      </c>
      <c r="C5289" t="s">
        <v>4343</v>
      </c>
      <c r="D5289" t="s">
        <v>5848</v>
      </c>
      <c r="E5289" t="str">
        <f>"00070026"</f>
        <v>00070026</v>
      </c>
      <c r="F5289">
        <v>0</v>
      </c>
      <c r="G5289" s="243">
        <v>41133</v>
      </c>
      <c r="H5289" t="s">
        <v>182</v>
      </c>
      <c r="I5289">
        <v>15</v>
      </c>
      <c r="J5289">
        <v>4</v>
      </c>
      <c r="K5289">
        <v>1</v>
      </c>
      <c r="L5289">
        <v>67274</v>
      </c>
      <c r="M5289" t="str">
        <f t="shared" si="808"/>
        <v>13</v>
      </c>
      <c r="N5289" t="s">
        <v>3323</v>
      </c>
      <c r="O5289" t="str">
        <f t="shared" si="813"/>
        <v>72411</v>
      </c>
      <c r="P5289" t="str">
        <f>"2300L"</f>
        <v>2300L</v>
      </c>
      <c r="Q5289" t="str">
        <f t="shared" si="814"/>
        <v>0101</v>
      </c>
      <c r="R5289">
        <v>2300</v>
      </c>
      <c r="S5289" t="str">
        <f t="shared" si="816"/>
        <v>7240</v>
      </c>
      <c r="T5289" t="s">
        <v>4133</v>
      </c>
      <c r="U5289" t="s">
        <v>106</v>
      </c>
    </row>
    <row r="5290" spans="1:21" ht="15" customHeight="1" x14ac:dyDescent="0.3">
      <c r="A5290" t="s">
        <v>179</v>
      </c>
      <c r="B5290" t="str">
        <f>"00062838"</f>
        <v>00062838</v>
      </c>
      <c r="C5290" t="s">
        <v>4260</v>
      </c>
      <c r="D5290" t="s">
        <v>4139</v>
      </c>
      <c r="E5290" t="str">
        <f>"00066150"</f>
        <v>00066150</v>
      </c>
      <c r="F5290">
        <v>0</v>
      </c>
      <c r="G5290" s="243">
        <v>40755</v>
      </c>
      <c r="H5290" t="s">
        <v>182</v>
      </c>
      <c r="I5290">
        <v>15</v>
      </c>
      <c r="J5290">
        <v>7</v>
      </c>
      <c r="K5290">
        <v>1</v>
      </c>
      <c r="L5290">
        <v>61068</v>
      </c>
      <c r="M5290" t="str">
        <f t="shared" si="808"/>
        <v>13</v>
      </c>
      <c r="N5290" t="s">
        <v>3323</v>
      </c>
      <c r="O5290" t="str">
        <f t="shared" si="813"/>
        <v>72411</v>
      </c>
      <c r="P5290" t="str">
        <f>"3030L"</f>
        <v>3030L</v>
      </c>
      <c r="Q5290" t="str">
        <f t="shared" si="814"/>
        <v>0101</v>
      </c>
      <c r="R5290">
        <v>3030</v>
      </c>
      <c r="S5290" t="str">
        <f t="shared" si="816"/>
        <v>7240</v>
      </c>
      <c r="T5290" t="s">
        <v>4133</v>
      </c>
      <c r="U5290" t="s">
        <v>106</v>
      </c>
    </row>
    <row r="5291" spans="1:21" ht="15" customHeight="1" x14ac:dyDescent="0.3">
      <c r="A5291" t="s">
        <v>179</v>
      </c>
      <c r="B5291" t="str">
        <f>"00066155"</f>
        <v>00066155</v>
      </c>
      <c r="C5291" t="s">
        <v>4290</v>
      </c>
      <c r="D5291" t="s">
        <v>5849</v>
      </c>
      <c r="E5291" t="str">
        <f>"00069762"</f>
        <v>00069762</v>
      </c>
      <c r="F5291">
        <v>0</v>
      </c>
      <c r="G5291" s="243">
        <v>41133</v>
      </c>
      <c r="H5291" t="s">
        <v>182</v>
      </c>
      <c r="I5291">
        <v>4</v>
      </c>
      <c r="J5291">
        <v>4</v>
      </c>
      <c r="K5291">
        <v>1</v>
      </c>
      <c r="L5291">
        <v>24543.75</v>
      </c>
      <c r="M5291" t="str">
        <f t="shared" si="808"/>
        <v>13</v>
      </c>
      <c r="N5291" t="s">
        <v>3370</v>
      </c>
      <c r="O5291" t="str">
        <f t="shared" ref="O5291:O5323" si="818">"72411"</f>
        <v>72411</v>
      </c>
      <c r="P5291" t="str">
        <f>"3030L"</f>
        <v>3030L</v>
      </c>
      <c r="Q5291" t="str">
        <f t="shared" ref="Q5291:Q5323" si="819">"0101"</f>
        <v>0101</v>
      </c>
      <c r="R5291">
        <v>3030</v>
      </c>
      <c r="S5291" t="str">
        <f t="shared" si="816"/>
        <v>7240</v>
      </c>
      <c r="T5291" t="s">
        <v>4133</v>
      </c>
      <c r="U5291" t="s">
        <v>106</v>
      </c>
    </row>
    <row r="5292" spans="1:21" ht="15" customHeight="1" x14ac:dyDescent="0.3">
      <c r="A5292" t="s">
        <v>179</v>
      </c>
      <c r="B5292" t="str">
        <f>"00066156"</f>
        <v>00066156</v>
      </c>
      <c r="C5292" t="s">
        <v>4290</v>
      </c>
      <c r="D5292" t="s">
        <v>5850</v>
      </c>
      <c r="E5292" t="str">
        <f>"00069782"</f>
        <v>00069782</v>
      </c>
      <c r="F5292">
        <v>0</v>
      </c>
      <c r="G5292" s="243">
        <v>41133</v>
      </c>
      <c r="H5292" t="s">
        <v>182</v>
      </c>
      <c r="I5292">
        <v>4</v>
      </c>
      <c r="J5292">
        <v>6</v>
      </c>
      <c r="K5292">
        <v>1</v>
      </c>
      <c r="L5292">
        <v>25935.88</v>
      </c>
      <c r="M5292" t="str">
        <f t="shared" si="808"/>
        <v>13</v>
      </c>
      <c r="N5292" t="s">
        <v>3370</v>
      </c>
      <c r="O5292" t="str">
        <f t="shared" si="818"/>
        <v>72411</v>
      </c>
      <c r="P5292" t="str">
        <f>"3030L"</f>
        <v>3030L</v>
      </c>
      <c r="Q5292" t="str">
        <f t="shared" si="819"/>
        <v>0101</v>
      </c>
      <c r="R5292">
        <v>3030</v>
      </c>
      <c r="S5292" t="str">
        <f t="shared" si="816"/>
        <v>7240</v>
      </c>
      <c r="T5292" t="s">
        <v>4133</v>
      </c>
      <c r="U5292" t="s">
        <v>106</v>
      </c>
    </row>
    <row r="5293" spans="1:21" ht="15" customHeight="1" x14ac:dyDescent="0.3">
      <c r="A5293" t="s">
        <v>179</v>
      </c>
      <c r="B5293" t="str">
        <f>"00066157"</f>
        <v>00066157</v>
      </c>
      <c r="C5293" t="s">
        <v>4290</v>
      </c>
      <c r="D5293" t="s">
        <v>5851</v>
      </c>
      <c r="E5293" t="str">
        <f>"00057741"</f>
        <v>00057741</v>
      </c>
      <c r="F5293">
        <v>0</v>
      </c>
      <c r="G5293" s="243">
        <v>40045</v>
      </c>
      <c r="H5293" t="s">
        <v>182</v>
      </c>
      <c r="I5293">
        <v>4</v>
      </c>
      <c r="J5293">
        <v>7</v>
      </c>
      <c r="K5293">
        <v>1</v>
      </c>
      <c r="L5293">
        <v>26633.25</v>
      </c>
      <c r="M5293" t="str">
        <f t="shared" ref="M5293:M5350" si="820">"13"</f>
        <v>13</v>
      </c>
      <c r="N5293" t="s">
        <v>3323</v>
      </c>
      <c r="O5293" t="str">
        <f t="shared" si="818"/>
        <v>72411</v>
      </c>
      <c r="P5293" t="str">
        <f>"3030L"</f>
        <v>3030L</v>
      </c>
      <c r="Q5293" t="str">
        <f t="shared" si="819"/>
        <v>0101</v>
      </c>
      <c r="R5293">
        <v>3030</v>
      </c>
      <c r="S5293" t="str">
        <f t="shared" si="816"/>
        <v>7240</v>
      </c>
      <c r="T5293" t="s">
        <v>4133</v>
      </c>
      <c r="U5293" t="s">
        <v>106</v>
      </c>
    </row>
    <row r="5294" spans="1:21" ht="15" customHeight="1" x14ac:dyDescent="0.3">
      <c r="A5294" t="s">
        <v>179</v>
      </c>
      <c r="B5294" t="str">
        <f>"00066618"</f>
        <v>00066618</v>
      </c>
      <c r="C5294" t="s">
        <v>4253</v>
      </c>
      <c r="D5294" t="s">
        <v>2890</v>
      </c>
      <c r="E5294" t="str">
        <f>"00051739"</f>
        <v>00051739</v>
      </c>
      <c r="F5294">
        <v>0</v>
      </c>
      <c r="G5294" s="243">
        <v>38587</v>
      </c>
      <c r="H5294" t="s">
        <v>182</v>
      </c>
      <c r="I5294">
        <v>15</v>
      </c>
      <c r="J5294">
        <v>7</v>
      </c>
      <c r="K5294">
        <v>1</v>
      </c>
      <c r="L5294">
        <v>71581</v>
      </c>
      <c r="M5294" t="str">
        <f t="shared" si="820"/>
        <v>13</v>
      </c>
      <c r="N5294" t="s">
        <v>3370</v>
      </c>
      <c r="O5294" t="str">
        <f t="shared" si="818"/>
        <v>72411</v>
      </c>
      <c r="P5294" t="str">
        <f>"2100L"</f>
        <v>2100L</v>
      </c>
      <c r="Q5294" t="str">
        <f t="shared" si="819"/>
        <v>0101</v>
      </c>
      <c r="R5294">
        <v>2100</v>
      </c>
      <c r="S5294" t="str">
        <f t="shared" si="816"/>
        <v>7240</v>
      </c>
      <c r="T5294" t="s">
        <v>4133</v>
      </c>
      <c r="U5294" t="s">
        <v>106</v>
      </c>
    </row>
    <row r="5295" spans="1:21" ht="15" customHeight="1" x14ac:dyDescent="0.3">
      <c r="A5295" t="s">
        <v>179</v>
      </c>
      <c r="B5295" t="str">
        <f>"00066619"</f>
        <v>00066619</v>
      </c>
      <c r="C5295" t="s">
        <v>4260</v>
      </c>
      <c r="D5295" t="s">
        <v>2176</v>
      </c>
      <c r="E5295" t="str">
        <f>"00057905"</f>
        <v>00057905</v>
      </c>
      <c r="F5295">
        <v>0</v>
      </c>
      <c r="G5295" s="243">
        <v>40042</v>
      </c>
      <c r="H5295" t="s">
        <v>182</v>
      </c>
      <c r="I5295">
        <v>15</v>
      </c>
      <c r="J5295">
        <v>4</v>
      </c>
      <c r="K5295">
        <v>1</v>
      </c>
      <c r="L5295">
        <v>54725</v>
      </c>
      <c r="M5295" t="str">
        <f t="shared" si="820"/>
        <v>13</v>
      </c>
      <c r="N5295" t="s">
        <v>3323</v>
      </c>
      <c r="O5295" t="str">
        <f t="shared" si="818"/>
        <v>72411</v>
      </c>
      <c r="P5295" t="str">
        <f>"3030L"</f>
        <v>3030L</v>
      </c>
      <c r="Q5295" t="str">
        <f t="shared" si="819"/>
        <v>0101</v>
      </c>
      <c r="R5295">
        <v>3030</v>
      </c>
      <c r="S5295" t="str">
        <f t="shared" si="816"/>
        <v>7240</v>
      </c>
      <c r="T5295" t="s">
        <v>4133</v>
      </c>
      <c r="U5295" t="s">
        <v>106</v>
      </c>
    </row>
    <row r="5296" spans="1:21" ht="15" customHeight="1" x14ac:dyDescent="0.3">
      <c r="A5296" t="s">
        <v>179</v>
      </c>
      <c r="B5296" t="str">
        <f>"00067356"</f>
        <v>00067356</v>
      </c>
      <c r="C5296" t="s">
        <v>4290</v>
      </c>
      <c r="D5296" t="s">
        <v>5852</v>
      </c>
      <c r="E5296" t="str">
        <f>"00057737"</f>
        <v>00057737</v>
      </c>
      <c r="F5296">
        <v>0</v>
      </c>
      <c r="G5296" s="243">
        <v>40042</v>
      </c>
      <c r="H5296" t="s">
        <v>182</v>
      </c>
      <c r="I5296">
        <v>4</v>
      </c>
      <c r="J5296">
        <v>6</v>
      </c>
      <c r="K5296">
        <v>1</v>
      </c>
      <c r="L5296">
        <v>25935.88</v>
      </c>
      <c r="M5296" t="str">
        <f t="shared" si="820"/>
        <v>13</v>
      </c>
      <c r="N5296" t="s">
        <v>3323</v>
      </c>
      <c r="O5296" t="str">
        <f t="shared" si="818"/>
        <v>72411</v>
      </c>
      <c r="P5296" t="str">
        <f>"2100L"</f>
        <v>2100L</v>
      </c>
      <c r="Q5296" t="str">
        <f t="shared" si="819"/>
        <v>0101</v>
      </c>
      <c r="R5296">
        <v>2100</v>
      </c>
      <c r="S5296" t="str">
        <f t="shared" si="816"/>
        <v>7240</v>
      </c>
      <c r="T5296" t="s">
        <v>4133</v>
      </c>
      <c r="U5296" t="s">
        <v>106</v>
      </c>
    </row>
    <row r="5297" spans="1:21" ht="15" customHeight="1" x14ac:dyDescent="0.3">
      <c r="A5297" t="s">
        <v>179</v>
      </c>
      <c r="B5297" t="str">
        <f>"00068165"</f>
        <v>00068165</v>
      </c>
      <c r="C5297" t="s">
        <v>4341</v>
      </c>
      <c r="D5297" t="s">
        <v>2177</v>
      </c>
      <c r="E5297" t="str">
        <f>"00062961"</f>
        <v>00062961</v>
      </c>
      <c r="F5297">
        <v>0</v>
      </c>
      <c r="G5297" s="243">
        <v>40407</v>
      </c>
      <c r="H5297" t="s">
        <v>182</v>
      </c>
      <c r="I5297">
        <v>10</v>
      </c>
      <c r="J5297">
        <v>5</v>
      </c>
      <c r="K5297">
        <v>1</v>
      </c>
      <c r="L5297">
        <v>72387</v>
      </c>
      <c r="M5297" t="str">
        <f t="shared" si="820"/>
        <v>13</v>
      </c>
      <c r="N5297" t="s">
        <v>3323</v>
      </c>
      <c r="O5297" t="str">
        <f t="shared" si="818"/>
        <v>72411</v>
      </c>
      <c r="P5297" t="str">
        <f>"3030L"</f>
        <v>3030L</v>
      </c>
      <c r="Q5297" t="str">
        <f t="shared" si="819"/>
        <v>0101</v>
      </c>
      <c r="R5297">
        <v>3030</v>
      </c>
      <c r="S5297" t="str">
        <f t="shared" si="816"/>
        <v>7240</v>
      </c>
      <c r="T5297" t="s">
        <v>4133</v>
      </c>
      <c r="U5297" t="s">
        <v>106</v>
      </c>
    </row>
    <row r="5298" spans="1:21" ht="15" customHeight="1" x14ac:dyDescent="0.3">
      <c r="A5298" t="s">
        <v>179</v>
      </c>
      <c r="B5298" t="str">
        <f>"00068258"</f>
        <v>00068258</v>
      </c>
      <c r="C5298" t="s">
        <v>4260</v>
      </c>
      <c r="D5298" t="s">
        <v>5853</v>
      </c>
      <c r="E5298" t="str">
        <f>"00067537"</f>
        <v>00067537</v>
      </c>
      <c r="F5298">
        <v>0</v>
      </c>
      <c r="G5298" s="243">
        <v>40924</v>
      </c>
      <c r="H5298" t="s">
        <v>182</v>
      </c>
      <c r="I5298">
        <v>15</v>
      </c>
      <c r="J5298">
        <v>1</v>
      </c>
      <c r="K5298">
        <v>1</v>
      </c>
      <c r="L5298">
        <v>54975</v>
      </c>
      <c r="M5298" t="str">
        <f t="shared" si="820"/>
        <v>13</v>
      </c>
      <c r="N5298" t="s">
        <v>3323</v>
      </c>
      <c r="O5298" t="str">
        <f t="shared" si="818"/>
        <v>72411</v>
      </c>
      <c r="P5298" t="str">
        <f t="shared" ref="P5298:P5303" si="821">"2100L"</f>
        <v>2100L</v>
      </c>
      <c r="Q5298" t="str">
        <f t="shared" si="819"/>
        <v>0101</v>
      </c>
      <c r="R5298">
        <v>2100</v>
      </c>
      <c r="S5298" t="str">
        <f t="shared" si="816"/>
        <v>7240</v>
      </c>
      <c r="T5298" t="s">
        <v>4133</v>
      </c>
      <c r="U5298" t="s">
        <v>106</v>
      </c>
    </row>
    <row r="5299" spans="1:21" ht="15" customHeight="1" x14ac:dyDescent="0.3">
      <c r="A5299" t="s">
        <v>179</v>
      </c>
      <c r="B5299" t="str">
        <f>"00068260"</f>
        <v>00068260</v>
      </c>
      <c r="C5299" t="s">
        <v>4253</v>
      </c>
      <c r="D5299" t="s">
        <v>4136</v>
      </c>
      <c r="E5299" t="str">
        <f>"00065900"</f>
        <v>00065900</v>
      </c>
      <c r="F5299">
        <v>0</v>
      </c>
      <c r="G5299" s="243">
        <v>40755</v>
      </c>
      <c r="H5299" t="s">
        <v>182</v>
      </c>
      <c r="I5299">
        <v>15</v>
      </c>
      <c r="J5299">
        <v>2</v>
      </c>
      <c r="K5299">
        <v>1</v>
      </c>
      <c r="L5299">
        <v>51716</v>
      </c>
      <c r="M5299" t="str">
        <f t="shared" si="820"/>
        <v>13</v>
      </c>
      <c r="N5299" t="s">
        <v>3323</v>
      </c>
      <c r="O5299" t="str">
        <f t="shared" si="818"/>
        <v>72411</v>
      </c>
      <c r="P5299" t="str">
        <f t="shared" si="821"/>
        <v>2100L</v>
      </c>
      <c r="Q5299" t="str">
        <f t="shared" si="819"/>
        <v>0101</v>
      </c>
      <c r="R5299">
        <v>2100</v>
      </c>
      <c r="S5299" t="str">
        <f t="shared" si="816"/>
        <v>7240</v>
      </c>
      <c r="T5299" t="s">
        <v>4133</v>
      </c>
      <c r="U5299" t="s">
        <v>106</v>
      </c>
    </row>
    <row r="5300" spans="1:21" ht="15" customHeight="1" x14ac:dyDescent="0.3">
      <c r="A5300" t="s">
        <v>179</v>
      </c>
      <c r="B5300" t="str">
        <f>"00069537"</f>
        <v>00069537</v>
      </c>
      <c r="C5300" t="s">
        <v>4260</v>
      </c>
      <c r="D5300" t="s">
        <v>2178</v>
      </c>
      <c r="E5300" t="str">
        <f>"00046947"</f>
        <v>00046947</v>
      </c>
      <c r="F5300">
        <v>0</v>
      </c>
      <c r="G5300" s="243">
        <v>37124</v>
      </c>
      <c r="H5300" t="s">
        <v>182</v>
      </c>
      <c r="I5300">
        <v>15</v>
      </c>
      <c r="J5300">
        <v>12</v>
      </c>
      <c r="K5300">
        <v>1</v>
      </c>
      <c r="L5300">
        <v>87431</v>
      </c>
      <c r="M5300" t="str">
        <f t="shared" si="820"/>
        <v>13</v>
      </c>
      <c r="N5300" t="s">
        <v>3370</v>
      </c>
      <c r="O5300" t="str">
        <f t="shared" si="818"/>
        <v>72411</v>
      </c>
      <c r="P5300" t="str">
        <f t="shared" si="821"/>
        <v>2100L</v>
      </c>
      <c r="Q5300" t="str">
        <f t="shared" si="819"/>
        <v>0101</v>
      </c>
      <c r="R5300">
        <v>2100</v>
      </c>
      <c r="S5300" t="str">
        <f t="shared" si="816"/>
        <v>7240</v>
      </c>
      <c r="T5300" t="s">
        <v>4133</v>
      </c>
      <c r="U5300" t="s">
        <v>106</v>
      </c>
    </row>
    <row r="5301" spans="1:21" ht="15" customHeight="1" x14ac:dyDescent="0.3">
      <c r="A5301" t="s">
        <v>179</v>
      </c>
      <c r="B5301" t="str">
        <f>"00070730"</f>
        <v>00070730</v>
      </c>
      <c r="C5301" t="s">
        <v>4253</v>
      </c>
      <c r="D5301" t="s">
        <v>2179</v>
      </c>
      <c r="E5301" t="str">
        <f>"00062494"</f>
        <v>00062494</v>
      </c>
      <c r="F5301">
        <v>0</v>
      </c>
      <c r="G5301" s="243">
        <v>40406</v>
      </c>
      <c r="H5301" t="s">
        <v>182</v>
      </c>
      <c r="I5301">
        <v>15</v>
      </c>
      <c r="J5301">
        <v>3</v>
      </c>
      <c r="K5301">
        <v>1</v>
      </c>
      <c r="L5301">
        <v>52777</v>
      </c>
      <c r="M5301" t="str">
        <f t="shared" si="820"/>
        <v>13</v>
      </c>
      <c r="N5301" t="s">
        <v>3370</v>
      </c>
      <c r="O5301" t="str">
        <f t="shared" si="818"/>
        <v>72411</v>
      </c>
      <c r="P5301" t="str">
        <f t="shared" si="821"/>
        <v>2100L</v>
      </c>
      <c r="Q5301" t="str">
        <f t="shared" si="819"/>
        <v>0101</v>
      </c>
      <c r="R5301">
        <v>2100</v>
      </c>
      <c r="S5301" t="str">
        <f t="shared" ref="S5301:S5325" si="822">"7240"</f>
        <v>7240</v>
      </c>
      <c r="T5301" t="s">
        <v>4133</v>
      </c>
      <c r="U5301" t="s">
        <v>106</v>
      </c>
    </row>
    <row r="5302" spans="1:21" ht="15" customHeight="1" x14ac:dyDescent="0.3">
      <c r="A5302" t="s">
        <v>179</v>
      </c>
      <c r="B5302" t="str">
        <f>"00072276"</f>
        <v>00072276</v>
      </c>
      <c r="C5302" t="s">
        <v>4253</v>
      </c>
      <c r="D5302" t="s">
        <v>5854</v>
      </c>
      <c r="E5302" t="str">
        <f>"00069662"</f>
        <v>00069662</v>
      </c>
      <c r="F5302">
        <v>0</v>
      </c>
      <c r="G5302" s="243">
        <v>41133</v>
      </c>
      <c r="H5302" t="s">
        <v>182</v>
      </c>
      <c r="I5302">
        <v>15</v>
      </c>
      <c r="J5302">
        <v>7</v>
      </c>
      <c r="K5302">
        <v>1</v>
      </c>
      <c r="L5302">
        <v>69132</v>
      </c>
      <c r="M5302" t="str">
        <f t="shared" si="820"/>
        <v>13</v>
      </c>
      <c r="N5302" t="s">
        <v>3370</v>
      </c>
      <c r="O5302" t="str">
        <f t="shared" si="818"/>
        <v>72411</v>
      </c>
      <c r="P5302" t="str">
        <f t="shared" si="821"/>
        <v>2100L</v>
      </c>
      <c r="Q5302" t="str">
        <f t="shared" si="819"/>
        <v>0101</v>
      </c>
      <c r="R5302">
        <v>2100</v>
      </c>
      <c r="S5302" t="str">
        <f t="shared" si="822"/>
        <v>7240</v>
      </c>
      <c r="T5302" t="s">
        <v>4133</v>
      </c>
      <c r="U5302" t="s">
        <v>106</v>
      </c>
    </row>
    <row r="5303" spans="1:21" ht="15" customHeight="1" x14ac:dyDescent="0.3">
      <c r="A5303" t="s">
        <v>179</v>
      </c>
      <c r="B5303" t="str">
        <f>"00072500"</f>
        <v>00072500</v>
      </c>
      <c r="C5303" t="s">
        <v>4290</v>
      </c>
      <c r="H5303" t="s">
        <v>170</v>
      </c>
      <c r="I5303">
        <v>4</v>
      </c>
      <c r="J5303">
        <v>1</v>
      </c>
      <c r="K5303">
        <v>0.71</v>
      </c>
      <c r="L5303">
        <v>25662</v>
      </c>
      <c r="M5303" t="str">
        <f t="shared" si="820"/>
        <v>13</v>
      </c>
      <c r="N5303" t="s">
        <v>3323</v>
      </c>
      <c r="O5303" t="str">
        <f t="shared" si="818"/>
        <v>72411</v>
      </c>
      <c r="P5303" t="str">
        <f t="shared" si="821"/>
        <v>2100L</v>
      </c>
      <c r="Q5303" t="str">
        <f t="shared" si="819"/>
        <v>0101</v>
      </c>
      <c r="R5303">
        <v>2100</v>
      </c>
      <c r="S5303" t="str">
        <f t="shared" si="822"/>
        <v>7240</v>
      </c>
      <c r="T5303" t="s">
        <v>4133</v>
      </c>
      <c r="U5303" t="s">
        <v>106</v>
      </c>
    </row>
    <row r="5304" spans="1:21" ht="15" customHeight="1" x14ac:dyDescent="0.3">
      <c r="A5304" t="s">
        <v>179</v>
      </c>
      <c r="B5304" t="str">
        <f>"00072780"</f>
        <v>00072780</v>
      </c>
      <c r="C5304" t="s">
        <v>4261</v>
      </c>
      <c r="D5304" t="s">
        <v>2181</v>
      </c>
      <c r="E5304" t="str">
        <f>"00052077"</f>
        <v>00052077</v>
      </c>
      <c r="F5304">
        <v>0</v>
      </c>
      <c r="G5304" s="243">
        <v>36390</v>
      </c>
      <c r="H5304" t="s">
        <v>182</v>
      </c>
      <c r="I5304">
        <v>15</v>
      </c>
      <c r="J5304">
        <v>14</v>
      </c>
      <c r="K5304">
        <v>1</v>
      </c>
      <c r="L5304">
        <v>112377</v>
      </c>
      <c r="M5304" t="str">
        <f t="shared" si="820"/>
        <v>13</v>
      </c>
      <c r="N5304" t="s">
        <v>3323</v>
      </c>
      <c r="O5304" t="str">
        <f t="shared" si="818"/>
        <v>72411</v>
      </c>
      <c r="P5304" t="str">
        <f>"2100L"</f>
        <v>2100L</v>
      </c>
      <c r="Q5304" t="str">
        <f t="shared" si="819"/>
        <v>0101</v>
      </c>
      <c r="R5304">
        <v>2100</v>
      </c>
      <c r="S5304" t="str">
        <f t="shared" si="822"/>
        <v>7240</v>
      </c>
      <c r="T5304" t="s">
        <v>4133</v>
      </c>
      <c r="U5304" t="s">
        <v>106</v>
      </c>
    </row>
    <row r="5305" spans="1:21" ht="15" customHeight="1" x14ac:dyDescent="0.3">
      <c r="A5305" t="s">
        <v>179</v>
      </c>
      <c r="B5305" t="str">
        <f>"00072782"</f>
        <v>00072782</v>
      </c>
      <c r="C5305" t="s">
        <v>4260</v>
      </c>
      <c r="D5305" t="s">
        <v>2182</v>
      </c>
      <c r="E5305" t="str">
        <f>"00047248"</f>
        <v>00047248</v>
      </c>
      <c r="F5305">
        <v>0</v>
      </c>
      <c r="G5305" s="243">
        <v>32050</v>
      </c>
      <c r="H5305" t="s">
        <v>182</v>
      </c>
      <c r="I5305">
        <v>15</v>
      </c>
      <c r="J5305">
        <v>16</v>
      </c>
      <c r="K5305">
        <v>1</v>
      </c>
      <c r="L5305">
        <v>100839</v>
      </c>
      <c r="M5305" t="str">
        <f t="shared" si="820"/>
        <v>13</v>
      </c>
      <c r="N5305" t="s">
        <v>3323</v>
      </c>
      <c r="O5305" t="str">
        <f t="shared" si="818"/>
        <v>72411</v>
      </c>
      <c r="P5305" t="str">
        <f>"2100L"</f>
        <v>2100L</v>
      </c>
      <c r="Q5305" t="str">
        <f t="shared" si="819"/>
        <v>0101</v>
      </c>
      <c r="R5305">
        <v>2100</v>
      </c>
      <c r="S5305" t="str">
        <f t="shared" si="822"/>
        <v>7240</v>
      </c>
      <c r="T5305" t="s">
        <v>4133</v>
      </c>
      <c r="U5305" t="s">
        <v>106</v>
      </c>
    </row>
    <row r="5306" spans="1:21" ht="15" customHeight="1" x14ac:dyDescent="0.3">
      <c r="A5306" t="s">
        <v>179</v>
      </c>
      <c r="B5306" t="str">
        <f>"00073761"</f>
        <v>00073761</v>
      </c>
      <c r="C5306" t="s">
        <v>4255</v>
      </c>
      <c r="D5306" t="s">
        <v>2172</v>
      </c>
      <c r="E5306" t="str">
        <f>"00049221"</f>
        <v>00049221</v>
      </c>
      <c r="F5306">
        <v>0</v>
      </c>
      <c r="G5306" s="243">
        <v>39453</v>
      </c>
      <c r="H5306" t="s">
        <v>182</v>
      </c>
      <c r="I5306">
        <v>15</v>
      </c>
      <c r="J5306">
        <v>11</v>
      </c>
      <c r="K5306">
        <v>0.5</v>
      </c>
      <c r="L5306">
        <v>81335</v>
      </c>
      <c r="M5306" t="str">
        <f t="shared" si="820"/>
        <v>13</v>
      </c>
      <c r="N5306" t="s">
        <v>3323</v>
      </c>
      <c r="O5306" t="str">
        <f t="shared" si="818"/>
        <v>72411</v>
      </c>
      <c r="P5306" t="str">
        <f>"2100L"</f>
        <v>2100L</v>
      </c>
      <c r="Q5306" t="str">
        <f t="shared" si="819"/>
        <v>0101</v>
      </c>
      <c r="R5306">
        <v>2100</v>
      </c>
      <c r="S5306" t="str">
        <f t="shared" si="822"/>
        <v>7240</v>
      </c>
      <c r="T5306" t="s">
        <v>4133</v>
      </c>
      <c r="U5306" t="s">
        <v>106</v>
      </c>
    </row>
    <row r="5307" spans="1:21" ht="15" customHeight="1" x14ac:dyDescent="0.3">
      <c r="A5307" t="s">
        <v>179</v>
      </c>
      <c r="B5307" t="str">
        <f>"00074044"</f>
        <v>00074044</v>
      </c>
      <c r="C5307" t="s">
        <v>4360</v>
      </c>
      <c r="D5307" t="s">
        <v>5855</v>
      </c>
      <c r="E5307" t="str">
        <f>"00047499"</f>
        <v>00047499</v>
      </c>
      <c r="F5307">
        <v>0</v>
      </c>
      <c r="G5307" s="243">
        <v>38951</v>
      </c>
      <c r="H5307" t="s">
        <v>182</v>
      </c>
      <c r="I5307">
        <v>7</v>
      </c>
      <c r="J5307">
        <v>6</v>
      </c>
      <c r="K5307">
        <v>1</v>
      </c>
      <c r="L5307">
        <v>40407</v>
      </c>
      <c r="M5307" t="str">
        <f t="shared" si="820"/>
        <v>13</v>
      </c>
      <c r="N5307" t="s">
        <v>3323</v>
      </c>
      <c r="O5307" t="str">
        <f t="shared" si="818"/>
        <v>72411</v>
      </c>
      <c r="P5307" t="str">
        <f>"1502L"</f>
        <v>1502L</v>
      </c>
      <c r="Q5307" t="str">
        <f t="shared" si="819"/>
        <v>0101</v>
      </c>
      <c r="R5307">
        <v>1502</v>
      </c>
      <c r="S5307" t="str">
        <f t="shared" si="822"/>
        <v>7240</v>
      </c>
      <c r="T5307" t="s">
        <v>4133</v>
      </c>
      <c r="U5307" t="s">
        <v>106</v>
      </c>
    </row>
    <row r="5308" spans="1:21" ht="15" customHeight="1" x14ac:dyDescent="0.3">
      <c r="A5308" t="s">
        <v>179</v>
      </c>
      <c r="B5308" t="str">
        <f>"00074045"</f>
        <v>00074045</v>
      </c>
      <c r="C5308" t="s">
        <v>4360</v>
      </c>
      <c r="D5308" t="s">
        <v>5856</v>
      </c>
      <c r="E5308" t="str">
        <f>"00049494"</f>
        <v>00049494</v>
      </c>
      <c r="F5308">
        <v>0</v>
      </c>
      <c r="G5308" s="243">
        <v>31359</v>
      </c>
      <c r="H5308" t="s">
        <v>182</v>
      </c>
      <c r="I5308">
        <v>7</v>
      </c>
      <c r="J5308">
        <v>2</v>
      </c>
      <c r="K5308">
        <v>1</v>
      </c>
      <c r="L5308">
        <v>35977</v>
      </c>
      <c r="M5308" t="str">
        <f t="shared" si="820"/>
        <v>13</v>
      </c>
      <c r="N5308" t="s">
        <v>3323</v>
      </c>
      <c r="O5308" t="str">
        <f t="shared" si="818"/>
        <v>72411</v>
      </c>
      <c r="P5308" t="str">
        <f>"1502L"</f>
        <v>1502L</v>
      </c>
      <c r="Q5308" t="str">
        <f t="shared" si="819"/>
        <v>0101</v>
      </c>
      <c r="R5308">
        <v>1502</v>
      </c>
      <c r="S5308" t="str">
        <f t="shared" si="822"/>
        <v>7240</v>
      </c>
      <c r="T5308" t="s">
        <v>4133</v>
      </c>
      <c r="U5308" t="s">
        <v>106</v>
      </c>
    </row>
    <row r="5309" spans="1:21" ht="15" customHeight="1" x14ac:dyDescent="0.3">
      <c r="A5309" t="s">
        <v>179</v>
      </c>
      <c r="B5309" t="str">
        <f>"00074046"</f>
        <v>00074046</v>
      </c>
      <c r="C5309" t="s">
        <v>4333</v>
      </c>
      <c r="D5309" t="s">
        <v>5857</v>
      </c>
      <c r="E5309" t="str">
        <f>"00002615"</f>
        <v>00002615</v>
      </c>
      <c r="F5309">
        <v>0</v>
      </c>
      <c r="G5309" s="243">
        <v>40413</v>
      </c>
      <c r="H5309" t="s">
        <v>182</v>
      </c>
      <c r="I5309">
        <v>12</v>
      </c>
      <c r="J5309">
        <v>1</v>
      </c>
      <c r="K5309">
        <v>1</v>
      </c>
      <c r="L5309">
        <v>59480</v>
      </c>
      <c r="M5309" t="str">
        <f t="shared" si="820"/>
        <v>13</v>
      </c>
      <c r="N5309" t="s">
        <v>3323</v>
      </c>
      <c r="O5309" t="str">
        <f t="shared" si="818"/>
        <v>72411</v>
      </c>
      <c r="P5309" t="str">
        <f>"1502L"</f>
        <v>1502L</v>
      </c>
      <c r="Q5309" t="str">
        <f t="shared" si="819"/>
        <v>0101</v>
      </c>
      <c r="R5309">
        <v>1502</v>
      </c>
      <c r="S5309" t="str">
        <f t="shared" si="822"/>
        <v>7240</v>
      </c>
      <c r="T5309" t="s">
        <v>4133</v>
      </c>
      <c r="U5309" t="s">
        <v>106</v>
      </c>
    </row>
    <row r="5310" spans="1:21" ht="15" customHeight="1" x14ac:dyDescent="0.3">
      <c r="A5310" t="s">
        <v>179</v>
      </c>
      <c r="B5310" t="str">
        <f>"00074051"</f>
        <v>00074051</v>
      </c>
      <c r="C5310" t="s">
        <v>5819</v>
      </c>
      <c r="D5310" t="s">
        <v>2192</v>
      </c>
      <c r="E5310" t="str">
        <f>"00044494"</f>
        <v>00044494</v>
      </c>
      <c r="F5310">
        <v>0</v>
      </c>
      <c r="G5310" s="243">
        <v>40769</v>
      </c>
      <c r="H5310" t="s">
        <v>182</v>
      </c>
      <c r="I5310">
        <v>12</v>
      </c>
      <c r="J5310">
        <v>7</v>
      </c>
      <c r="K5310">
        <v>1</v>
      </c>
      <c r="L5310">
        <v>57131</v>
      </c>
      <c r="M5310" t="str">
        <f t="shared" si="820"/>
        <v>13</v>
      </c>
      <c r="N5310" t="s">
        <v>3370</v>
      </c>
      <c r="O5310" t="str">
        <f t="shared" si="818"/>
        <v>72411</v>
      </c>
      <c r="P5310" t="str">
        <f>"2100L"</f>
        <v>2100L</v>
      </c>
      <c r="Q5310" t="str">
        <f t="shared" si="819"/>
        <v>0101</v>
      </c>
      <c r="R5310">
        <v>2100</v>
      </c>
      <c r="S5310" t="str">
        <f t="shared" si="822"/>
        <v>7240</v>
      </c>
      <c r="T5310" t="s">
        <v>4133</v>
      </c>
      <c r="U5310" t="s">
        <v>106</v>
      </c>
    </row>
    <row r="5311" spans="1:21" ht="15" customHeight="1" x14ac:dyDescent="0.3">
      <c r="A5311" t="s">
        <v>179</v>
      </c>
      <c r="B5311" t="str">
        <f>"00074083"</f>
        <v>00074083</v>
      </c>
      <c r="C5311" t="s">
        <v>200</v>
      </c>
      <c r="D5311" t="s">
        <v>5858</v>
      </c>
      <c r="E5311" t="str">
        <f>"00058842"</f>
        <v>00058842</v>
      </c>
      <c r="F5311">
        <v>0</v>
      </c>
      <c r="G5311" s="243">
        <v>41162</v>
      </c>
      <c r="H5311" t="s">
        <v>182</v>
      </c>
      <c r="I5311">
        <v>15</v>
      </c>
      <c r="J5311">
        <v>6</v>
      </c>
      <c r="K5311">
        <v>1</v>
      </c>
      <c r="L5311">
        <v>66078</v>
      </c>
      <c r="M5311" t="str">
        <f t="shared" si="820"/>
        <v>13</v>
      </c>
      <c r="N5311" t="s">
        <v>3323</v>
      </c>
      <c r="O5311" t="str">
        <f t="shared" si="818"/>
        <v>72411</v>
      </c>
      <c r="P5311" t="str">
        <f>"2100L"</f>
        <v>2100L</v>
      </c>
      <c r="Q5311" t="str">
        <f t="shared" si="819"/>
        <v>0101</v>
      </c>
      <c r="R5311">
        <v>2100</v>
      </c>
      <c r="S5311" t="str">
        <f t="shared" si="822"/>
        <v>7240</v>
      </c>
      <c r="T5311" t="s">
        <v>4133</v>
      </c>
      <c r="U5311" t="s">
        <v>106</v>
      </c>
    </row>
    <row r="5312" spans="1:21" ht="15" customHeight="1" x14ac:dyDescent="0.3">
      <c r="A5312" t="s">
        <v>179</v>
      </c>
      <c r="B5312" t="str">
        <f>"00074475"</f>
        <v>00074475</v>
      </c>
      <c r="C5312" t="s">
        <v>200</v>
      </c>
      <c r="D5312" t="s">
        <v>4134</v>
      </c>
      <c r="E5312" t="str">
        <f>"00045496"</f>
        <v>00045496</v>
      </c>
      <c r="F5312">
        <v>0</v>
      </c>
      <c r="G5312" s="243">
        <v>35863</v>
      </c>
      <c r="H5312" t="s">
        <v>182</v>
      </c>
      <c r="I5312">
        <v>15</v>
      </c>
      <c r="J5312">
        <v>16</v>
      </c>
      <c r="K5312">
        <v>1</v>
      </c>
      <c r="L5312">
        <v>103347</v>
      </c>
      <c r="M5312" t="str">
        <f t="shared" si="820"/>
        <v>13</v>
      </c>
      <c r="N5312" t="s">
        <v>3323</v>
      </c>
      <c r="O5312" t="str">
        <f t="shared" si="818"/>
        <v>72411</v>
      </c>
      <c r="P5312" t="str">
        <f>"2100L"</f>
        <v>2100L</v>
      </c>
      <c r="Q5312" t="str">
        <f t="shared" si="819"/>
        <v>0101</v>
      </c>
      <c r="R5312">
        <v>2100</v>
      </c>
      <c r="S5312" t="str">
        <f t="shared" si="822"/>
        <v>7240</v>
      </c>
      <c r="T5312" t="s">
        <v>4133</v>
      </c>
      <c r="U5312" t="s">
        <v>106</v>
      </c>
    </row>
    <row r="5313" spans="1:21" ht="15" customHeight="1" x14ac:dyDescent="0.3">
      <c r="A5313" t="s">
        <v>179</v>
      </c>
      <c r="B5313" t="str">
        <f>"00074685"</f>
        <v>00074685</v>
      </c>
      <c r="C5313" t="s">
        <v>4574</v>
      </c>
      <c r="H5313" t="s">
        <v>170</v>
      </c>
      <c r="I5313">
        <v>15</v>
      </c>
      <c r="J5313">
        <v>1</v>
      </c>
      <c r="K5313">
        <v>0.5</v>
      </c>
      <c r="L5313">
        <v>54975</v>
      </c>
      <c r="M5313" t="str">
        <f t="shared" si="820"/>
        <v>13</v>
      </c>
      <c r="N5313" t="s">
        <v>3323</v>
      </c>
      <c r="O5313" t="str">
        <f t="shared" si="818"/>
        <v>72411</v>
      </c>
      <c r="P5313" t="str">
        <f>"2300L"</f>
        <v>2300L</v>
      </c>
      <c r="Q5313" t="str">
        <f t="shared" si="819"/>
        <v>0101</v>
      </c>
      <c r="R5313">
        <v>2300</v>
      </c>
      <c r="S5313" t="str">
        <f t="shared" si="822"/>
        <v>7240</v>
      </c>
      <c r="T5313" t="s">
        <v>4133</v>
      </c>
      <c r="U5313" t="s">
        <v>106</v>
      </c>
    </row>
    <row r="5314" spans="1:21" ht="15" customHeight="1" x14ac:dyDescent="0.3">
      <c r="A5314" t="s">
        <v>179</v>
      </c>
      <c r="B5314" t="str">
        <f>"00074743"</f>
        <v>00074743</v>
      </c>
      <c r="C5314" t="s">
        <v>5819</v>
      </c>
      <c r="D5314" t="s">
        <v>1815</v>
      </c>
      <c r="E5314" t="str">
        <f>"00045170"</f>
        <v>00045170</v>
      </c>
      <c r="F5314">
        <v>0</v>
      </c>
      <c r="G5314" s="243">
        <v>36724</v>
      </c>
      <c r="H5314" t="s">
        <v>182</v>
      </c>
      <c r="I5314">
        <v>12</v>
      </c>
      <c r="J5314">
        <v>6</v>
      </c>
      <c r="K5314">
        <v>1</v>
      </c>
      <c r="L5314">
        <v>55598</v>
      </c>
      <c r="M5314" t="str">
        <f t="shared" si="820"/>
        <v>13</v>
      </c>
      <c r="N5314" t="s">
        <v>3323</v>
      </c>
      <c r="O5314" t="str">
        <f t="shared" si="818"/>
        <v>72411</v>
      </c>
      <c r="P5314" t="str">
        <f>"2100L"</f>
        <v>2100L</v>
      </c>
      <c r="Q5314" t="str">
        <f t="shared" si="819"/>
        <v>0101</v>
      </c>
      <c r="R5314">
        <v>2100</v>
      </c>
      <c r="S5314" t="str">
        <f t="shared" si="822"/>
        <v>7240</v>
      </c>
      <c r="T5314" t="s">
        <v>4133</v>
      </c>
      <c r="U5314" t="s">
        <v>106</v>
      </c>
    </row>
    <row r="5315" spans="1:21" ht="15" customHeight="1" x14ac:dyDescent="0.3">
      <c r="A5315" t="s">
        <v>179</v>
      </c>
      <c r="B5315" t="str">
        <f>"00075555"</f>
        <v>00075555</v>
      </c>
      <c r="C5315" t="s">
        <v>3670</v>
      </c>
      <c r="D5315" t="s">
        <v>5859</v>
      </c>
      <c r="E5315" t="str">
        <f>"00069257"</f>
        <v>00069257</v>
      </c>
      <c r="F5315">
        <v>0</v>
      </c>
      <c r="G5315" s="243">
        <v>41092</v>
      </c>
      <c r="H5315" t="s">
        <v>182</v>
      </c>
      <c r="I5315">
        <v>8</v>
      </c>
      <c r="J5315">
        <v>2</v>
      </c>
      <c r="K5315">
        <v>1</v>
      </c>
      <c r="L5315">
        <v>86197</v>
      </c>
      <c r="M5315" t="str">
        <f t="shared" si="820"/>
        <v>13</v>
      </c>
      <c r="N5315" t="s">
        <v>3370</v>
      </c>
      <c r="O5315" t="str">
        <f t="shared" si="818"/>
        <v>72411</v>
      </c>
      <c r="P5315" t="str">
        <f>"1502L"</f>
        <v>1502L</v>
      </c>
      <c r="Q5315" t="str">
        <f t="shared" si="819"/>
        <v>0101</v>
      </c>
      <c r="R5315">
        <v>1502</v>
      </c>
      <c r="S5315" t="str">
        <f t="shared" si="822"/>
        <v>7240</v>
      </c>
      <c r="T5315" t="s">
        <v>4133</v>
      </c>
      <c r="U5315" t="s">
        <v>106</v>
      </c>
    </row>
    <row r="5316" spans="1:21" ht="15" customHeight="1" x14ac:dyDescent="0.3">
      <c r="A5316" t="s">
        <v>179</v>
      </c>
      <c r="B5316" t="str">
        <f>"00076295"</f>
        <v>00076295</v>
      </c>
      <c r="C5316" t="s">
        <v>4253</v>
      </c>
      <c r="D5316" t="s">
        <v>1181</v>
      </c>
      <c r="E5316" t="str">
        <f>"00046130"</f>
        <v>00046130</v>
      </c>
      <c r="F5316">
        <v>0</v>
      </c>
      <c r="G5316" s="243">
        <v>39573</v>
      </c>
      <c r="H5316" t="s">
        <v>182</v>
      </c>
      <c r="I5316">
        <v>15</v>
      </c>
      <c r="J5316">
        <v>9</v>
      </c>
      <c r="K5316">
        <v>1</v>
      </c>
      <c r="L5316">
        <v>75232</v>
      </c>
      <c r="M5316" t="str">
        <f t="shared" si="820"/>
        <v>13</v>
      </c>
      <c r="N5316" t="s">
        <v>3323</v>
      </c>
      <c r="O5316" t="str">
        <f t="shared" si="818"/>
        <v>72411</v>
      </c>
      <c r="P5316" t="str">
        <f t="shared" ref="P5316:P5322" si="823">"2100L"</f>
        <v>2100L</v>
      </c>
      <c r="Q5316" t="str">
        <f t="shared" si="819"/>
        <v>0101</v>
      </c>
      <c r="R5316">
        <v>2100</v>
      </c>
      <c r="S5316" t="str">
        <f t="shared" si="822"/>
        <v>7240</v>
      </c>
      <c r="T5316" t="s">
        <v>4133</v>
      </c>
      <c r="U5316" t="s">
        <v>106</v>
      </c>
    </row>
    <row r="5317" spans="1:21" ht="15" customHeight="1" x14ac:dyDescent="0.3">
      <c r="A5317" t="s">
        <v>179</v>
      </c>
      <c r="B5317" t="str">
        <f>"00076296"</f>
        <v>00076296</v>
      </c>
      <c r="C5317" t="s">
        <v>4410</v>
      </c>
      <c r="D5317" t="s">
        <v>716</v>
      </c>
      <c r="E5317" t="str">
        <f>"00057732"</f>
        <v>00057732</v>
      </c>
      <c r="F5317">
        <v>0</v>
      </c>
      <c r="G5317" s="243">
        <v>40042</v>
      </c>
      <c r="H5317" t="s">
        <v>182</v>
      </c>
      <c r="I5317">
        <v>5</v>
      </c>
      <c r="J5317">
        <v>7</v>
      </c>
      <c r="K5317">
        <v>1</v>
      </c>
      <c r="L5317">
        <v>33861</v>
      </c>
      <c r="M5317" t="str">
        <f t="shared" si="820"/>
        <v>13</v>
      </c>
      <c r="N5317" t="s">
        <v>3370</v>
      </c>
      <c r="O5317" t="str">
        <f t="shared" si="818"/>
        <v>72411</v>
      </c>
      <c r="P5317" t="str">
        <f t="shared" si="823"/>
        <v>2100L</v>
      </c>
      <c r="Q5317" t="str">
        <f t="shared" si="819"/>
        <v>0101</v>
      </c>
      <c r="R5317">
        <v>2100</v>
      </c>
      <c r="S5317" t="str">
        <f t="shared" si="822"/>
        <v>7240</v>
      </c>
      <c r="T5317" t="s">
        <v>4133</v>
      </c>
      <c r="U5317" t="s">
        <v>106</v>
      </c>
    </row>
    <row r="5318" spans="1:21" ht="15" customHeight="1" x14ac:dyDescent="0.3">
      <c r="A5318" t="s">
        <v>179</v>
      </c>
      <c r="B5318" t="str">
        <f>"00076297"</f>
        <v>00076297</v>
      </c>
      <c r="C5318" t="s">
        <v>4410</v>
      </c>
      <c r="D5318" t="s">
        <v>5860</v>
      </c>
      <c r="E5318" t="str">
        <f>"00065999"</f>
        <v>00065999</v>
      </c>
      <c r="F5318">
        <v>0</v>
      </c>
      <c r="G5318" s="243">
        <v>40770</v>
      </c>
      <c r="H5318" t="s">
        <v>182</v>
      </c>
      <c r="I5318">
        <v>5</v>
      </c>
      <c r="J5318">
        <v>1</v>
      </c>
      <c r="K5318">
        <v>1</v>
      </c>
      <c r="L5318">
        <v>28486</v>
      </c>
      <c r="M5318" t="str">
        <f t="shared" si="820"/>
        <v>13</v>
      </c>
      <c r="N5318" t="s">
        <v>3370</v>
      </c>
      <c r="O5318" t="str">
        <f t="shared" si="818"/>
        <v>72411</v>
      </c>
      <c r="P5318" t="str">
        <f t="shared" si="823"/>
        <v>2100L</v>
      </c>
      <c r="Q5318" t="str">
        <f t="shared" si="819"/>
        <v>0101</v>
      </c>
      <c r="R5318">
        <v>2100</v>
      </c>
      <c r="S5318" t="str">
        <f t="shared" si="822"/>
        <v>7240</v>
      </c>
      <c r="T5318" t="s">
        <v>4133</v>
      </c>
      <c r="U5318" t="s">
        <v>106</v>
      </c>
    </row>
    <row r="5319" spans="1:21" ht="15" customHeight="1" x14ac:dyDescent="0.3">
      <c r="A5319" t="s">
        <v>179</v>
      </c>
      <c r="B5319" t="str">
        <f>"00076298"</f>
        <v>00076298</v>
      </c>
      <c r="C5319" t="s">
        <v>4253</v>
      </c>
      <c r="D5319" t="s">
        <v>5861</v>
      </c>
      <c r="E5319" t="str">
        <f>"00069824"</f>
        <v>00069824</v>
      </c>
      <c r="F5319">
        <v>0</v>
      </c>
      <c r="G5319" s="243">
        <v>41133</v>
      </c>
      <c r="H5319" t="s">
        <v>182</v>
      </c>
      <c r="I5319">
        <v>15</v>
      </c>
      <c r="J5319">
        <v>4</v>
      </c>
      <c r="K5319">
        <v>1</v>
      </c>
      <c r="L5319">
        <v>54725</v>
      </c>
      <c r="M5319" t="str">
        <f t="shared" si="820"/>
        <v>13</v>
      </c>
      <c r="N5319" t="s">
        <v>3323</v>
      </c>
      <c r="O5319" t="str">
        <f t="shared" si="818"/>
        <v>72411</v>
      </c>
      <c r="P5319" t="str">
        <f t="shared" si="823"/>
        <v>2100L</v>
      </c>
      <c r="Q5319" t="str">
        <f t="shared" si="819"/>
        <v>0101</v>
      </c>
      <c r="R5319">
        <v>2100</v>
      </c>
      <c r="S5319" t="str">
        <f t="shared" si="822"/>
        <v>7240</v>
      </c>
      <c r="T5319" t="s">
        <v>4133</v>
      </c>
      <c r="U5319" t="s">
        <v>106</v>
      </c>
    </row>
    <row r="5320" spans="1:21" ht="15" customHeight="1" x14ac:dyDescent="0.3">
      <c r="A5320" t="s">
        <v>179</v>
      </c>
      <c r="B5320" t="str">
        <f>"00076300"</f>
        <v>00076300</v>
      </c>
      <c r="C5320" t="s">
        <v>5662</v>
      </c>
      <c r="D5320" t="s">
        <v>5862</v>
      </c>
      <c r="E5320" t="str">
        <f>"00069828"</f>
        <v>00069828</v>
      </c>
      <c r="F5320">
        <v>0</v>
      </c>
      <c r="G5320" s="243">
        <v>41133</v>
      </c>
      <c r="H5320" t="s">
        <v>182</v>
      </c>
      <c r="I5320">
        <v>15</v>
      </c>
      <c r="J5320">
        <v>13</v>
      </c>
      <c r="K5320">
        <v>1</v>
      </c>
      <c r="L5320">
        <v>81724</v>
      </c>
      <c r="M5320" t="str">
        <f t="shared" si="820"/>
        <v>13</v>
      </c>
      <c r="N5320" t="s">
        <v>3323</v>
      </c>
      <c r="O5320" t="str">
        <f t="shared" si="818"/>
        <v>72411</v>
      </c>
      <c r="P5320" t="str">
        <f t="shared" si="823"/>
        <v>2100L</v>
      </c>
      <c r="Q5320" t="str">
        <f t="shared" si="819"/>
        <v>0101</v>
      </c>
      <c r="R5320">
        <v>2100</v>
      </c>
      <c r="S5320" t="str">
        <f t="shared" si="822"/>
        <v>7240</v>
      </c>
      <c r="T5320" t="s">
        <v>4133</v>
      </c>
      <c r="U5320" t="s">
        <v>106</v>
      </c>
    </row>
    <row r="5321" spans="1:21" ht="15" customHeight="1" x14ac:dyDescent="0.3">
      <c r="A5321" t="s">
        <v>179</v>
      </c>
      <c r="B5321" t="str">
        <f>"00076301"</f>
        <v>00076301</v>
      </c>
      <c r="C5321" t="s">
        <v>4438</v>
      </c>
      <c r="H5321" t="s">
        <v>170</v>
      </c>
      <c r="I5321">
        <v>11</v>
      </c>
      <c r="J5321">
        <v>0</v>
      </c>
      <c r="K5321">
        <v>0.5</v>
      </c>
      <c r="L5321">
        <v>60779</v>
      </c>
      <c r="M5321" t="str">
        <f t="shared" si="820"/>
        <v>13</v>
      </c>
      <c r="N5321" t="s">
        <v>3323</v>
      </c>
      <c r="O5321" t="str">
        <f t="shared" si="818"/>
        <v>72411</v>
      </c>
      <c r="P5321" t="str">
        <f t="shared" si="823"/>
        <v>2100L</v>
      </c>
      <c r="Q5321" t="str">
        <f t="shared" si="819"/>
        <v>0101</v>
      </c>
      <c r="R5321">
        <v>2100</v>
      </c>
      <c r="S5321" t="str">
        <f t="shared" si="822"/>
        <v>7240</v>
      </c>
      <c r="T5321" t="s">
        <v>4133</v>
      </c>
      <c r="U5321" t="s">
        <v>106</v>
      </c>
    </row>
    <row r="5322" spans="1:21" ht="15" customHeight="1" x14ac:dyDescent="0.3">
      <c r="A5322" t="s">
        <v>179</v>
      </c>
      <c r="B5322" t="str">
        <f>"00076302"</f>
        <v>00076302</v>
      </c>
      <c r="C5322" t="s">
        <v>4253</v>
      </c>
      <c r="D5322" t="s">
        <v>1765</v>
      </c>
      <c r="E5322" t="str">
        <f>"00047574"</f>
        <v>00047574</v>
      </c>
      <c r="F5322">
        <v>0</v>
      </c>
      <c r="G5322" s="243">
        <v>35675</v>
      </c>
      <c r="H5322" t="s">
        <v>182</v>
      </c>
      <c r="I5322">
        <v>15</v>
      </c>
      <c r="J5322">
        <v>15</v>
      </c>
      <c r="K5322">
        <v>1</v>
      </c>
      <c r="L5322">
        <v>103985</v>
      </c>
      <c r="M5322" t="str">
        <f t="shared" si="820"/>
        <v>13</v>
      </c>
      <c r="N5322" t="s">
        <v>3323</v>
      </c>
      <c r="O5322" t="str">
        <f t="shared" si="818"/>
        <v>72411</v>
      </c>
      <c r="P5322" t="str">
        <f t="shared" si="823"/>
        <v>2100L</v>
      </c>
      <c r="Q5322" t="str">
        <f t="shared" si="819"/>
        <v>0101</v>
      </c>
      <c r="R5322">
        <v>2100</v>
      </c>
      <c r="S5322" t="str">
        <f t="shared" si="822"/>
        <v>7240</v>
      </c>
      <c r="T5322" t="s">
        <v>4133</v>
      </c>
      <c r="U5322" t="s">
        <v>106</v>
      </c>
    </row>
    <row r="5323" spans="1:21" ht="15" customHeight="1" x14ac:dyDescent="0.3">
      <c r="A5323" t="s">
        <v>179</v>
      </c>
      <c r="B5323" t="str">
        <f>"00076443"</f>
        <v>00076443</v>
      </c>
      <c r="C5323" t="s">
        <v>4306</v>
      </c>
      <c r="D5323" t="s">
        <v>5863</v>
      </c>
      <c r="E5323" t="str">
        <f>"00070509"</f>
        <v>00070509</v>
      </c>
      <c r="F5323">
        <v>0</v>
      </c>
      <c r="G5323" s="243">
        <v>41179</v>
      </c>
      <c r="H5323" t="s">
        <v>182</v>
      </c>
      <c r="I5323">
        <v>9</v>
      </c>
      <c r="J5323">
        <v>1</v>
      </c>
      <c r="K5323">
        <v>1</v>
      </c>
      <c r="L5323">
        <v>33163</v>
      </c>
      <c r="M5323" t="str">
        <f t="shared" si="820"/>
        <v>13</v>
      </c>
      <c r="N5323" t="s">
        <v>3323</v>
      </c>
      <c r="O5323" t="str">
        <f t="shared" si="818"/>
        <v>72411</v>
      </c>
      <c r="P5323" t="str">
        <f>"1502L"</f>
        <v>1502L</v>
      </c>
      <c r="Q5323" t="str">
        <f t="shared" si="819"/>
        <v>0101</v>
      </c>
      <c r="R5323">
        <v>1502</v>
      </c>
      <c r="S5323" t="str">
        <f t="shared" si="822"/>
        <v>7240</v>
      </c>
      <c r="T5323" t="s">
        <v>4133</v>
      </c>
      <c r="U5323" t="s">
        <v>106</v>
      </c>
    </row>
    <row r="5324" spans="1:21" ht="15" customHeight="1" x14ac:dyDescent="0.3">
      <c r="A5324" t="s">
        <v>179</v>
      </c>
      <c r="B5324" t="str">
        <f>"00076789"</f>
        <v>00076789</v>
      </c>
      <c r="C5324" t="s">
        <v>200</v>
      </c>
      <c r="H5324" t="s">
        <v>170</v>
      </c>
      <c r="I5324">
        <v>15</v>
      </c>
      <c r="J5324">
        <v>0</v>
      </c>
      <c r="K5324">
        <v>1</v>
      </c>
      <c r="L5324">
        <v>54975</v>
      </c>
      <c r="M5324" t="str">
        <f t="shared" si="820"/>
        <v>13</v>
      </c>
      <c r="N5324" t="s">
        <v>3370</v>
      </c>
      <c r="O5324" t="str">
        <f>"7240G"</f>
        <v>7240G</v>
      </c>
      <c r="P5324" t="str">
        <f>"5600F"</f>
        <v>5600F</v>
      </c>
      <c r="Q5324" t="str">
        <f>"8200"</f>
        <v>8200</v>
      </c>
      <c r="R5324">
        <v>5600</v>
      </c>
      <c r="S5324" t="str">
        <f t="shared" si="822"/>
        <v>7240</v>
      </c>
      <c r="T5324" t="s">
        <v>4133</v>
      </c>
      <c r="U5324" t="s">
        <v>106</v>
      </c>
    </row>
    <row r="5325" spans="1:21" ht="15" customHeight="1" x14ac:dyDescent="0.3">
      <c r="A5325" t="s">
        <v>179</v>
      </c>
      <c r="B5325" t="str">
        <f>"00076798"</f>
        <v>00076798</v>
      </c>
      <c r="C5325" t="s">
        <v>200</v>
      </c>
      <c r="H5325" t="s">
        <v>170</v>
      </c>
      <c r="I5325">
        <v>15</v>
      </c>
      <c r="J5325">
        <v>0</v>
      </c>
      <c r="K5325">
        <v>1</v>
      </c>
      <c r="L5325">
        <v>54975</v>
      </c>
      <c r="M5325" t="str">
        <f t="shared" si="820"/>
        <v>13</v>
      </c>
      <c r="N5325" t="s">
        <v>3370</v>
      </c>
      <c r="O5325" t="str">
        <f>"7240G"</f>
        <v>7240G</v>
      </c>
      <c r="P5325" t="str">
        <f>"5600F"</f>
        <v>5600F</v>
      </c>
      <c r="Q5325" t="str">
        <f>"8200"</f>
        <v>8200</v>
      </c>
      <c r="R5325">
        <v>5600</v>
      </c>
      <c r="S5325" t="str">
        <f t="shared" si="822"/>
        <v>7240</v>
      </c>
      <c r="T5325" t="s">
        <v>4133</v>
      </c>
      <c r="U5325" t="s">
        <v>106</v>
      </c>
    </row>
    <row r="5326" spans="1:21" ht="15" customHeight="1" x14ac:dyDescent="0.3">
      <c r="A5326" t="s">
        <v>179</v>
      </c>
      <c r="B5326" t="str">
        <f>"00051646"</f>
        <v>00051646</v>
      </c>
      <c r="C5326" t="s">
        <v>4253</v>
      </c>
      <c r="D5326" t="s">
        <v>2231</v>
      </c>
      <c r="E5326" t="str">
        <f>"00045288"</f>
        <v>00045288</v>
      </c>
      <c r="F5326">
        <v>0</v>
      </c>
      <c r="G5326" s="243">
        <v>35675</v>
      </c>
      <c r="H5326" t="s">
        <v>182</v>
      </c>
      <c r="I5326">
        <v>15</v>
      </c>
      <c r="J5326">
        <v>15</v>
      </c>
      <c r="K5326">
        <v>1</v>
      </c>
      <c r="L5326">
        <v>98285</v>
      </c>
      <c r="M5326" t="str">
        <f t="shared" si="820"/>
        <v>13</v>
      </c>
      <c r="N5326" t="s">
        <v>3323</v>
      </c>
      <c r="O5326" t="str">
        <f t="shared" ref="O5326:O5353" si="824">"72511"</f>
        <v>72511</v>
      </c>
      <c r="P5326" t="str">
        <f>"2100L"</f>
        <v>2100L</v>
      </c>
      <c r="Q5326" t="str">
        <f t="shared" ref="Q5326:Q5353" si="825">"0101"</f>
        <v>0101</v>
      </c>
      <c r="R5326">
        <v>2100</v>
      </c>
      <c r="S5326" t="str">
        <f t="shared" ref="S5326:S5353" si="826">"7250"</f>
        <v>7250</v>
      </c>
      <c r="T5326" t="s">
        <v>3859</v>
      </c>
      <c r="U5326" t="s">
        <v>2232</v>
      </c>
    </row>
    <row r="5327" spans="1:21" ht="15" customHeight="1" x14ac:dyDescent="0.3">
      <c r="A5327" t="s">
        <v>179</v>
      </c>
      <c r="B5327" t="str">
        <f>"00051660"</f>
        <v>00051660</v>
      </c>
      <c r="C5327" t="s">
        <v>4257</v>
      </c>
      <c r="D5327" t="s">
        <v>2233</v>
      </c>
      <c r="E5327" t="str">
        <f>"00045344"</f>
        <v>00045344</v>
      </c>
      <c r="F5327">
        <v>0</v>
      </c>
      <c r="G5327" s="243">
        <v>27786</v>
      </c>
      <c r="H5327" t="s">
        <v>182</v>
      </c>
      <c r="I5327">
        <v>15</v>
      </c>
      <c r="J5327">
        <v>16</v>
      </c>
      <c r="K5327">
        <v>1</v>
      </c>
      <c r="L5327">
        <v>100839</v>
      </c>
      <c r="M5327" t="str">
        <f t="shared" si="820"/>
        <v>13</v>
      </c>
      <c r="N5327" t="s">
        <v>3323</v>
      </c>
      <c r="O5327" t="str">
        <f t="shared" si="824"/>
        <v>72511</v>
      </c>
      <c r="P5327" t="str">
        <f>"2100L"</f>
        <v>2100L</v>
      </c>
      <c r="Q5327" t="str">
        <f t="shared" si="825"/>
        <v>0101</v>
      </c>
      <c r="R5327">
        <v>2100</v>
      </c>
      <c r="S5327" t="str">
        <f t="shared" si="826"/>
        <v>7250</v>
      </c>
      <c r="T5327" t="s">
        <v>3859</v>
      </c>
      <c r="U5327" t="s">
        <v>2232</v>
      </c>
    </row>
    <row r="5328" spans="1:21" ht="15" customHeight="1" x14ac:dyDescent="0.3">
      <c r="A5328" t="s">
        <v>179</v>
      </c>
      <c r="B5328" t="str">
        <f>"00052033"</f>
        <v>00052033</v>
      </c>
      <c r="C5328" t="s">
        <v>4253</v>
      </c>
      <c r="D5328" t="s">
        <v>2234</v>
      </c>
      <c r="E5328" t="str">
        <f>"00047061"</f>
        <v>00047061</v>
      </c>
      <c r="F5328">
        <v>0</v>
      </c>
      <c r="G5328" s="243">
        <v>27436</v>
      </c>
      <c r="H5328" t="s">
        <v>182</v>
      </c>
      <c r="I5328">
        <v>15</v>
      </c>
      <c r="J5328">
        <v>16</v>
      </c>
      <c r="K5328">
        <v>1</v>
      </c>
      <c r="L5328">
        <v>106540</v>
      </c>
      <c r="M5328" t="str">
        <f t="shared" si="820"/>
        <v>13</v>
      </c>
      <c r="N5328" t="s">
        <v>3323</v>
      </c>
      <c r="O5328" t="str">
        <f t="shared" si="824"/>
        <v>72511</v>
      </c>
      <c r="P5328" t="str">
        <f>"2100L"</f>
        <v>2100L</v>
      </c>
      <c r="Q5328" t="str">
        <f t="shared" si="825"/>
        <v>0101</v>
      </c>
      <c r="R5328">
        <v>2100</v>
      </c>
      <c r="S5328" t="str">
        <f t="shared" si="826"/>
        <v>7250</v>
      </c>
      <c r="T5328" t="s">
        <v>3859</v>
      </c>
      <c r="U5328" t="s">
        <v>2232</v>
      </c>
    </row>
    <row r="5329" spans="1:21" ht="15" customHeight="1" x14ac:dyDescent="0.3">
      <c r="A5329" t="s">
        <v>179</v>
      </c>
      <c r="B5329" t="str">
        <f>"00052142"</f>
        <v>00052142</v>
      </c>
      <c r="C5329" t="s">
        <v>4263</v>
      </c>
      <c r="D5329" t="s">
        <v>2235</v>
      </c>
      <c r="E5329" t="str">
        <f>"00047430"</f>
        <v>00047430</v>
      </c>
      <c r="F5329">
        <v>0</v>
      </c>
      <c r="G5329" s="243">
        <v>35675</v>
      </c>
      <c r="H5329" t="s">
        <v>182</v>
      </c>
      <c r="I5329">
        <v>15</v>
      </c>
      <c r="J5329">
        <v>16</v>
      </c>
      <c r="K5329">
        <v>1</v>
      </c>
      <c r="L5329">
        <v>103347</v>
      </c>
      <c r="M5329" t="str">
        <f t="shared" si="820"/>
        <v>13</v>
      </c>
      <c r="N5329" t="s">
        <v>3323</v>
      </c>
      <c r="O5329" t="str">
        <f t="shared" si="824"/>
        <v>72511</v>
      </c>
      <c r="P5329" t="str">
        <f>"2300L"</f>
        <v>2300L</v>
      </c>
      <c r="Q5329" t="str">
        <f t="shared" si="825"/>
        <v>0101</v>
      </c>
      <c r="R5329">
        <v>2300</v>
      </c>
      <c r="S5329" t="str">
        <f t="shared" si="826"/>
        <v>7250</v>
      </c>
      <c r="T5329" t="s">
        <v>3859</v>
      </c>
      <c r="U5329" t="s">
        <v>2232</v>
      </c>
    </row>
    <row r="5330" spans="1:21" ht="15" customHeight="1" x14ac:dyDescent="0.3">
      <c r="A5330" t="s">
        <v>179</v>
      </c>
      <c r="B5330" t="str">
        <f>"00052207"</f>
        <v>00052207</v>
      </c>
      <c r="C5330" t="s">
        <v>4263</v>
      </c>
      <c r="D5330" t="s">
        <v>2236</v>
      </c>
      <c r="E5330" t="str">
        <f>"00047652"</f>
        <v>00047652</v>
      </c>
      <c r="F5330">
        <v>0</v>
      </c>
      <c r="G5330" s="243">
        <v>35850</v>
      </c>
      <c r="H5330" t="s">
        <v>182</v>
      </c>
      <c r="I5330">
        <v>15</v>
      </c>
      <c r="J5330">
        <v>15</v>
      </c>
      <c r="K5330">
        <v>1</v>
      </c>
      <c r="L5330">
        <v>98285</v>
      </c>
      <c r="M5330" t="str">
        <f t="shared" si="820"/>
        <v>13</v>
      </c>
      <c r="N5330" t="s">
        <v>3323</v>
      </c>
      <c r="O5330" t="str">
        <f t="shared" si="824"/>
        <v>72511</v>
      </c>
      <c r="P5330" t="str">
        <f>"2100L"</f>
        <v>2100L</v>
      </c>
      <c r="Q5330" t="str">
        <f t="shared" si="825"/>
        <v>0101</v>
      </c>
      <c r="R5330">
        <v>2100</v>
      </c>
      <c r="S5330" t="str">
        <f t="shared" si="826"/>
        <v>7250</v>
      </c>
      <c r="T5330" t="s">
        <v>3859</v>
      </c>
      <c r="U5330" t="s">
        <v>2232</v>
      </c>
    </row>
    <row r="5331" spans="1:21" ht="15" customHeight="1" x14ac:dyDescent="0.3">
      <c r="A5331" t="s">
        <v>179</v>
      </c>
      <c r="B5331" t="str">
        <f>"00052263"</f>
        <v>00052263</v>
      </c>
      <c r="C5331" t="s">
        <v>4258</v>
      </c>
      <c r="D5331" t="s">
        <v>2129</v>
      </c>
      <c r="E5331" t="str">
        <f>"00047854"</f>
        <v>00047854</v>
      </c>
      <c r="F5331">
        <v>0</v>
      </c>
      <c r="G5331" s="243">
        <v>41132</v>
      </c>
      <c r="H5331" t="s">
        <v>182</v>
      </c>
      <c r="I5331">
        <v>15</v>
      </c>
      <c r="J5331">
        <v>13</v>
      </c>
      <c r="K5331">
        <v>1</v>
      </c>
      <c r="L5331">
        <v>86613</v>
      </c>
      <c r="M5331" t="str">
        <f t="shared" si="820"/>
        <v>13</v>
      </c>
      <c r="N5331" t="s">
        <v>3323</v>
      </c>
      <c r="O5331" t="str">
        <f t="shared" si="824"/>
        <v>72511</v>
      </c>
      <c r="P5331" t="str">
        <f>"2100L"</f>
        <v>2100L</v>
      </c>
      <c r="Q5331" t="str">
        <f t="shared" si="825"/>
        <v>0101</v>
      </c>
      <c r="R5331">
        <v>2100</v>
      </c>
      <c r="S5331" t="str">
        <f t="shared" si="826"/>
        <v>7250</v>
      </c>
      <c r="T5331" t="s">
        <v>3859</v>
      </c>
      <c r="U5331" t="s">
        <v>2232</v>
      </c>
    </row>
    <row r="5332" spans="1:21" ht="15" customHeight="1" x14ac:dyDescent="0.3">
      <c r="A5332" t="s">
        <v>179</v>
      </c>
      <c r="B5332" t="str">
        <f>"00052711"</f>
        <v>00052711</v>
      </c>
      <c r="C5332" t="s">
        <v>4263</v>
      </c>
      <c r="D5332" t="s">
        <v>2237</v>
      </c>
      <c r="E5332" t="str">
        <f>"00011843"</f>
        <v>00011843</v>
      </c>
      <c r="F5332">
        <v>1</v>
      </c>
      <c r="G5332" s="243">
        <v>32244</v>
      </c>
      <c r="H5332" t="s">
        <v>182</v>
      </c>
      <c r="I5332">
        <v>15</v>
      </c>
      <c r="J5332">
        <v>16</v>
      </c>
      <c r="K5332">
        <v>1</v>
      </c>
      <c r="L5332">
        <v>103347</v>
      </c>
      <c r="M5332" t="str">
        <f t="shared" si="820"/>
        <v>13</v>
      </c>
      <c r="N5332" t="s">
        <v>3323</v>
      </c>
      <c r="O5332" t="str">
        <f t="shared" si="824"/>
        <v>72511</v>
      </c>
      <c r="P5332" t="str">
        <f>"2100L"</f>
        <v>2100L</v>
      </c>
      <c r="Q5332" t="str">
        <f t="shared" si="825"/>
        <v>0101</v>
      </c>
      <c r="R5332">
        <v>2100</v>
      </c>
      <c r="S5332" t="str">
        <f t="shared" si="826"/>
        <v>7250</v>
      </c>
      <c r="T5332" t="s">
        <v>3859</v>
      </c>
      <c r="U5332" t="s">
        <v>2232</v>
      </c>
    </row>
    <row r="5333" spans="1:21" ht="15" customHeight="1" x14ac:dyDescent="0.3">
      <c r="A5333" t="s">
        <v>179</v>
      </c>
      <c r="B5333" t="str">
        <f>"00052929"</f>
        <v>00052929</v>
      </c>
      <c r="C5333" t="s">
        <v>4253</v>
      </c>
      <c r="D5333" t="s">
        <v>2238</v>
      </c>
      <c r="E5333" t="str">
        <f>"00013923"</f>
        <v>00013923</v>
      </c>
      <c r="F5333">
        <v>1</v>
      </c>
      <c r="G5333" s="243">
        <v>34578</v>
      </c>
      <c r="H5333" t="s">
        <v>182</v>
      </c>
      <c r="I5333">
        <v>15</v>
      </c>
      <c r="J5333">
        <v>16</v>
      </c>
      <c r="K5333">
        <v>1</v>
      </c>
      <c r="L5333">
        <v>106540</v>
      </c>
      <c r="M5333" t="str">
        <f t="shared" si="820"/>
        <v>13</v>
      </c>
      <c r="N5333" t="s">
        <v>3323</v>
      </c>
      <c r="O5333" t="str">
        <f t="shared" si="824"/>
        <v>72511</v>
      </c>
      <c r="P5333" t="str">
        <f>"2100L"</f>
        <v>2100L</v>
      </c>
      <c r="Q5333" t="str">
        <f t="shared" si="825"/>
        <v>0101</v>
      </c>
      <c r="R5333">
        <v>2100</v>
      </c>
      <c r="S5333" t="str">
        <f t="shared" si="826"/>
        <v>7250</v>
      </c>
      <c r="T5333" t="s">
        <v>3859</v>
      </c>
      <c r="U5333" t="s">
        <v>2232</v>
      </c>
    </row>
    <row r="5334" spans="1:21" ht="15" customHeight="1" x14ac:dyDescent="0.3">
      <c r="A5334" t="s">
        <v>179</v>
      </c>
      <c r="B5334" t="str">
        <f>"00052931"</f>
        <v>00052931</v>
      </c>
      <c r="C5334" t="s">
        <v>3670</v>
      </c>
      <c r="D5334" t="s">
        <v>2239</v>
      </c>
      <c r="E5334" t="str">
        <f>"00050225"</f>
        <v>00050225</v>
      </c>
      <c r="F5334">
        <v>0</v>
      </c>
      <c r="G5334" s="243">
        <v>31651</v>
      </c>
      <c r="H5334" t="s">
        <v>182</v>
      </c>
      <c r="I5334">
        <v>8</v>
      </c>
      <c r="J5334">
        <v>6</v>
      </c>
      <c r="K5334">
        <v>1</v>
      </c>
      <c r="L5334">
        <v>98078</v>
      </c>
      <c r="M5334" t="str">
        <f t="shared" si="820"/>
        <v>13</v>
      </c>
      <c r="N5334" t="s">
        <v>3323</v>
      </c>
      <c r="O5334" t="str">
        <f t="shared" si="824"/>
        <v>72511</v>
      </c>
      <c r="P5334" t="str">
        <f>"1501L"</f>
        <v>1501L</v>
      </c>
      <c r="Q5334" t="str">
        <f t="shared" si="825"/>
        <v>0101</v>
      </c>
      <c r="R5334">
        <v>1501</v>
      </c>
      <c r="S5334" t="str">
        <f t="shared" si="826"/>
        <v>7250</v>
      </c>
      <c r="T5334" t="s">
        <v>3859</v>
      </c>
      <c r="U5334" t="s">
        <v>2232</v>
      </c>
    </row>
    <row r="5335" spans="1:21" ht="15" customHeight="1" x14ac:dyDescent="0.3">
      <c r="A5335" t="s">
        <v>179</v>
      </c>
      <c r="B5335" t="str">
        <f>"00053966"</f>
        <v>00053966</v>
      </c>
      <c r="C5335" t="s">
        <v>4258</v>
      </c>
      <c r="D5335" t="s">
        <v>2240</v>
      </c>
      <c r="E5335" t="str">
        <f>"00021061"</f>
        <v>00021061</v>
      </c>
      <c r="F5335">
        <v>1</v>
      </c>
      <c r="G5335" s="243">
        <v>30889</v>
      </c>
      <c r="H5335" t="s">
        <v>182</v>
      </c>
      <c r="I5335">
        <v>15</v>
      </c>
      <c r="J5335">
        <v>16</v>
      </c>
      <c r="K5335">
        <v>1</v>
      </c>
      <c r="L5335">
        <v>103347</v>
      </c>
      <c r="M5335" t="str">
        <f t="shared" si="820"/>
        <v>13</v>
      </c>
      <c r="N5335" t="s">
        <v>3323</v>
      </c>
      <c r="O5335" t="str">
        <f t="shared" si="824"/>
        <v>72511</v>
      </c>
      <c r="P5335" t="str">
        <f>"2100L"</f>
        <v>2100L</v>
      </c>
      <c r="Q5335" t="str">
        <f t="shared" si="825"/>
        <v>0101</v>
      </c>
      <c r="R5335">
        <v>2100</v>
      </c>
      <c r="S5335" t="str">
        <f t="shared" si="826"/>
        <v>7250</v>
      </c>
      <c r="T5335" t="s">
        <v>3859</v>
      </c>
      <c r="U5335" t="s">
        <v>2232</v>
      </c>
    </row>
    <row r="5336" spans="1:21" ht="15" customHeight="1" x14ac:dyDescent="0.3">
      <c r="A5336" t="s">
        <v>179</v>
      </c>
      <c r="B5336" t="str">
        <f>"00054011"</f>
        <v>00054011</v>
      </c>
      <c r="C5336" t="s">
        <v>4253</v>
      </c>
      <c r="D5336" t="s">
        <v>675</v>
      </c>
      <c r="E5336" t="str">
        <f>"00044593"</f>
        <v>00044593</v>
      </c>
      <c r="F5336">
        <v>0</v>
      </c>
      <c r="G5336" s="243">
        <v>30015</v>
      </c>
      <c r="H5336" t="s">
        <v>182</v>
      </c>
      <c r="I5336">
        <v>15</v>
      </c>
      <c r="J5336">
        <v>16</v>
      </c>
      <c r="K5336">
        <v>1</v>
      </c>
      <c r="L5336">
        <v>100839</v>
      </c>
      <c r="M5336" t="str">
        <f t="shared" si="820"/>
        <v>13</v>
      </c>
      <c r="N5336" t="s">
        <v>3323</v>
      </c>
      <c r="O5336" t="str">
        <f t="shared" si="824"/>
        <v>72511</v>
      </c>
      <c r="P5336" t="str">
        <f>"2100L"</f>
        <v>2100L</v>
      </c>
      <c r="Q5336" t="str">
        <f t="shared" si="825"/>
        <v>0101</v>
      </c>
      <c r="R5336">
        <v>2100</v>
      </c>
      <c r="S5336" t="str">
        <f t="shared" si="826"/>
        <v>7250</v>
      </c>
      <c r="T5336" t="s">
        <v>3859</v>
      </c>
      <c r="U5336" t="s">
        <v>2232</v>
      </c>
    </row>
    <row r="5337" spans="1:21" ht="15" customHeight="1" x14ac:dyDescent="0.3">
      <c r="A5337" t="s">
        <v>179</v>
      </c>
      <c r="B5337" t="str">
        <f>"00054136"</f>
        <v>00054136</v>
      </c>
      <c r="C5337" t="s">
        <v>4254</v>
      </c>
      <c r="D5337" t="s">
        <v>2241</v>
      </c>
      <c r="E5337" t="str">
        <f>"00053093"</f>
        <v>00053093</v>
      </c>
      <c r="F5337">
        <v>0</v>
      </c>
      <c r="G5337" s="243">
        <v>33918</v>
      </c>
      <c r="H5337" t="s">
        <v>182</v>
      </c>
      <c r="I5337">
        <v>15</v>
      </c>
      <c r="J5337">
        <v>13</v>
      </c>
      <c r="K5337">
        <v>1</v>
      </c>
      <c r="L5337">
        <v>81724</v>
      </c>
      <c r="M5337" t="str">
        <f t="shared" si="820"/>
        <v>13</v>
      </c>
      <c r="N5337" t="s">
        <v>3323</v>
      </c>
      <c r="O5337" t="str">
        <f t="shared" si="824"/>
        <v>72511</v>
      </c>
      <c r="P5337" t="str">
        <f>"2100L"</f>
        <v>2100L</v>
      </c>
      <c r="Q5337" t="str">
        <f t="shared" si="825"/>
        <v>0101</v>
      </c>
      <c r="R5337">
        <v>2100</v>
      </c>
      <c r="S5337" t="str">
        <f t="shared" si="826"/>
        <v>7250</v>
      </c>
      <c r="T5337" t="s">
        <v>3859</v>
      </c>
      <c r="U5337" t="s">
        <v>2232</v>
      </c>
    </row>
    <row r="5338" spans="1:21" ht="15" customHeight="1" x14ac:dyDescent="0.3">
      <c r="A5338" t="s">
        <v>179</v>
      </c>
      <c r="B5338" t="str">
        <f>"00054277"</f>
        <v>00054277</v>
      </c>
      <c r="C5338" t="s">
        <v>4360</v>
      </c>
      <c r="D5338" t="s">
        <v>5864</v>
      </c>
      <c r="E5338" t="str">
        <f>"00053441"</f>
        <v>00053441</v>
      </c>
      <c r="F5338">
        <v>0</v>
      </c>
      <c r="G5338" s="243">
        <v>35356</v>
      </c>
      <c r="H5338" t="s">
        <v>182</v>
      </c>
      <c r="I5338">
        <v>7</v>
      </c>
      <c r="J5338">
        <v>8</v>
      </c>
      <c r="K5338">
        <v>1</v>
      </c>
      <c r="L5338">
        <v>42621</v>
      </c>
      <c r="M5338" t="str">
        <f t="shared" si="820"/>
        <v>13</v>
      </c>
      <c r="N5338" t="s">
        <v>3323</v>
      </c>
      <c r="O5338" t="str">
        <f t="shared" si="824"/>
        <v>72511</v>
      </c>
      <c r="P5338" t="str">
        <f>"1502L"</f>
        <v>1502L</v>
      </c>
      <c r="Q5338" t="str">
        <f t="shared" si="825"/>
        <v>0101</v>
      </c>
      <c r="R5338">
        <v>1502</v>
      </c>
      <c r="S5338" t="str">
        <f t="shared" si="826"/>
        <v>7250</v>
      </c>
      <c r="T5338" t="s">
        <v>3859</v>
      </c>
      <c r="U5338" t="s">
        <v>2232</v>
      </c>
    </row>
    <row r="5339" spans="1:21" ht="15" customHeight="1" x14ac:dyDescent="0.3">
      <c r="A5339" t="s">
        <v>179</v>
      </c>
      <c r="B5339" t="str">
        <f>"00055239"</f>
        <v>00055239</v>
      </c>
      <c r="C5339" t="s">
        <v>4263</v>
      </c>
      <c r="D5339" t="s">
        <v>2242</v>
      </c>
      <c r="E5339" t="str">
        <f>"00044457"</f>
        <v>00044457</v>
      </c>
      <c r="F5339">
        <v>0</v>
      </c>
      <c r="G5339" s="243">
        <v>36966</v>
      </c>
      <c r="H5339" t="s">
        <v>182</v>
      </c>
      <c r="I5339">
        <v>15</v>
      </c>
      <c r="J5339">
        <v>14</v>
      </c>
      <c r="K5339">
        <v>1</v>
      </c>
      <c r="L5339">
        <v>96460</v>
      </c>
      <c r="M5339" t="str">
        <f t="shared" si="820"/>
        <v>13</v>
      </c>
      <c r="N5339" t="s">
        <v>3323</v>
      </c>
      <c r="O5339" t="str">
        <f t="shared" si="824"/>
        <v>72511</v>
      </c>
      <c r="P5339" t="str">
        <f>"2100L"</f>
        <v>2100L</v>
      </c>
      <c r="Q5339" t="str">
        <f t="shared" si="825"/>
        <v>0101</v>
      </c>
      <c r="R5339">
        <v>2100</v>
      </c>
      <c r="S5339" t="str">
        <f t="shared" si="826"/>
        <v>7250</v>
      </c>
      <c r="T5339" t="s">
        <v>3859</v>
      </c>
      <c r="U5339" t="s">
        <v>2232</v>
      </c>
    </row>
    <row r="5340" spans="1:21" ht="15" customHeight="1" x14ac:dyDescent="0.3">
      <c r="A5340" t="s">
        <v>179</v>
      </c>
      <c r="B5340" t="str">
        <f>"00055320"</f>
        <v>00055320</v>
      </c>
      <c r="C5340" t="s">
        <v>4253</v>
      </c>
      <c r="D5340" t="s">
        <v>2243</v>
      </c>
      <c r="E5340" t="str">
        <f>"00044595"</f>
        <v>00044595</v>
      </c>
      <c r="F5340">
        <v>0</v>
      </c>
      <c r="G5340" s="243">
        <v>35839</v>
      </c>
      <c r="H5340" t="s">
        <v>182</v>
      </c>
      <c r="I5340">
        <v>15</v>
      </c>
      <c r="J5340">
        <v>16</v>
      </c>
      <c r="K5340">
        <v>1</v>
      </c>
      <c r="L5340">
        <v>100839</v>
      </c>
      <c r="M5340" t="str">
        <f t="shared" si="820"/>
        <v>13</v>
      </c>
      <c r="N5340" t="s">
        <v>3323</v>
      </c>
      <c r="O5340" t="str">
        <f t="shared" si="824"/>
        <v>72511</v>
      </c>
      <c r="P5340" t="str">
        <f>"2100L"</f>
        <v>2100L</v>
      </c>
      <c r="Q5340" t="str">
        <f t="shared" si="825"/>
        <v>0101</v>
      </c>
      <c r="R5340">
        <v>2100</v>
      </c>
      <c r="S5340" t="str">
        <f t="shared" si="826"/>
        <v>7250</v>
      </c>
      <c r="T5340" t="s">
        <v>3859</v>
      </c>
      <c r="U5340" t="s">
        <v>2232</v>
      </c>
    </row>
    <row r="5341" spans="1:21" ht="15" customHeight="1" x14ac:dyDescent="0.3">
      <c r="A5341" t="s">
        <v>179</v>
      </c>
      <c r="B5341" t="str">
        <f>"00056952"</f>
        <v>00056952</v>
      </c>
      <c r="C5341" t="s">
        <v>4260</v>
      </c>
      <c r="D5341" t="s">
        <v>2244</v>
      </c>
      <c r="E5341" t="str">
        <f>"00054297"</f>
        <v>00054297</v>
      </c>
      <c r="F5341">
        <v>0</v>
      </c>
      <c r="G5341" s="243">
        <v>32050</v>
      </c>
      <c r="H5341" t="s">
        <v>182</v>
      </c>
      <c r="I5341">
        <v>15</v>
      </c>
      <c r="J5341">
        <v>16</v>
      </c>
      <c r="K5341">
        <v>1</v>
      </c>
      <c r="L5341">
        <v>100839</v>
      </c>
      <c r="M5341" t="str">
        <f t="shared" si="820"/>
        <v>13</v>
      </c>
      <c r="N5341" t="s">
        <v>3323</v>
      </c>
      <c r="O5341" t="str">
        <f t="shared" si="824"/>
        <v>72511</v>
      </c>
      <c r="P5341" t="str">
        <f>"3030L"</f>
        <v>3030L</v>
      </c>
      <c r="Q5341" t="str">
        <f t="shared" si="825"/>
        <v>0101</v>
      </c>
      <c r="R5341">
        <v>3030</v>
      </c>
      <c r="S5341" t="str">
        <f t="shared" si="826"/>
        <v>7250</v>
      </c>
      <c r="T5341" t="s">
        <v>3859</v>
      </c>
      <c r="U5341" t="s">
        <v>2232</v>
      </c>
    </row>
    <row r="5342" spans="1:21" ht="15" customHeight="1" x14ac:dyDescent="0.3">
      <c r="A5342" t="s">
        <v>179</v>
      </c>
      <c r="B5342" t="str">
        <f>"00058107"</f>
        <v>00058107</v>
      </c>
      <c r="C5342" t="s">
        <v>4253</v>
      </c>
      <c r="D5342" t="s">
        <v>2245</v>
      </c>
      <c r="E5342" t="str">
        <f>"00045098"</f>
        <v>00045098</v>
      </c>
      <c r="F5342">
        <v>0</v>
      </c>
      <c r="G5342" s="243">
        <v>37124</v>
      </c>
      <c r="H5342" t="s">
        <v>182</v>
      </c>
      <c r="I5342">
        <v>15</v>
      </c>
      <c r="J5342">
        <v>14</v>
      </c>
      <c r="K5342">
        <v>1</v>
      </c>
      <c r="L5342">
        <v>96460</v>
      </c>
      <c r="M5342" t="str">
        <f t="shared" si="820"/>
        <v>13</v>
      </c>
      <c r="N5342" t="s">
        <v>3323</v>
      </c>
      <c r="O5342" t="str">
        <f t="shared" si="824"/>
        <v>72511</v>
      </c>
      <c r="P5342" t="str">
        <f t="shared" ref="P5342:P5351" si="827">"2100L"</f>
        <v>2100L</v>
      </c>
      <c r="Q5342" t="str">
        <f t="shared" si="825"/>
        <v>0101</v>
      </c>
      <c r="R5342">
        <v>2100</v>
      </c>
      <c r="S5342" t="str">
        <f t="shared" si="826"/>
        <v>7250</v>
      </c>
      <c r="T5342" t="s">
        <v>3859</v>
      </c>
      <c r="U5342" t="s">
        <v>2232</v>
      </c>
    </row>
    <row r="5343" spans="1:21" ht="15" customHeight="1" x14ac:dyDescent="0.3">
      <c r="A5343" t="s">
        <v>179</v>
      </c>
      <c r="B5343" t="str">
        <f>"00058186"</f>
        <v>00058186</v>
      </c>
      <c r="C5343" t="s">
        <v>4253</v>
      </c>
      <c r="D5343" t="s">
        <v>2246</v>
      </c>
      <c r="E5343" t="str">
        <f>"00047871"</f>
        <v>00047871</v>
      </c>
      <c r="F5343">
        <v>0</v>
      </c>
      <c r="G5343" s="243">
        <v>37131</v>
      </c>
      <c r="H5343" t="s">
        <v>182</v>
      </c>
      <c r="I5343">
        <v>15</v>
      </c>
      <c r="J5343">
        <v>14</v>
      </c>
      <c r="K5343">
        <v>1</v>
      </c>
      <c r="L5343">
        <v>96460</v>
      </c>
      <c r="M5343" t="str">
        <f t="shared" si="820"/>
        <v>13</v>
      </c>
      <c r="N5343" t="s">
        <v>3323</v>
      </c>
      <c r="O5343" t="str">
        <f t="shared" si="824"/>
        <v>72511</v>
      </c>
      <c r="P5343" t="str">
        <f t="shared" si="827"/>
        <v>2100L</v>
      </c>
      <c r="Q5343" t="str">
        <f t="shared" si="825"/>
        <v>0101</v>
      </c>
      <c r="R5343">
        <v>2100</v>
      </c>
      <c r="S5343" t="str">
        <f t="shared" si="826"/>
        <v>7250</v>
      </c>
      <c r="T5343" t="s">
        <v>3859</v>
      </c>
      <c r="U5343" t="s">
        <v>2232</v>
      </c>
    </row>
    <row r="5344" spans="1:21" ht="15" customHeight="1" x14ac:dyDescent="0.3">
      <c r="A5344" t="s">
        <v>179</v>
      </c>
      <c r="B5344" t="str">
        <f>"00058187"</f>
        <v>00058187</v>
      </c>
      <c r="C5344" t="s">
        <v>4253</v>
      </c>
      <c r="D5344" t="s">
        <v>2247</v>
      </c>
      <c r="E5344" t="str">
        <f>"00051747"</f>
        <v>00051747</v>
      </c>
      <c r="F5344">
        <v>0</v>
      </c>
      <c r="G5344" s="243">
        <v>37124</v>
      </c>
      <c r="H5344" t="s">
        <v>182</v>
      </c>
      <c r="I5344">
        <v>15</v>
      </c>
      <c r="J5344">
        <v>12</v>
      </c>
      <c r="K5344">
        <v>1</v>
      </c>
      <c r="L5344">
        <v>89887</v>
      </c>
      <c r="M5344" t="str">
        <f t="shared" si="820"/>
        <v>13</v>
      </c>
      <c r="N5344" t="s">
        <v>3323</v>
      </c>
      <c r="O5344" t="str">
        <f t="shared" si="824"/>
        <v>72511</v>
      </c>
      <c r="P5344" t="str">
        <f t="shared" si="827"/>
        <v>2100L</v>
      </c>
      <c r="Q5344" t="str">
        <f t="shared" si="825"/>
        <v>0101</v>
      </c>
      <c r="R5344">
        <v>2100</v>
      </c>
      <c r="S5344" t="str">
        <f t="shared" si="826"/>
        <v>7250</v>
      </c>
      <c r="T5344" t="s">
        <v>3859</v>
      </c>
      <c r="U5344" t="s">
        <v>2232</v>
      </c>
    </row>
    <row r="5345" spans="1:21" ht="15" customHeight="1" x14ac:dyDescent="0.3">
      <c r="A5345" t="s">
        <v>179</v>
      </c>
      <c r="B5345" t="str">
        <f>"00058404"</f>
        <v>00058404</v>
      </c>
      <c r="C5345" t="s">
        <v>4253</v>
      </c>
      <c r="D5345" t="s">
        <v>2248</v>
      </c>
      <c r="E5345" t="str">
        <f>"00047472"</f>
        <v>00047472</v>
      </c>
      <c r="F5345">
        <v>0</v>
      </c>
      <c r="G5345" s="243">
        <v>37154</v>
      </c>
      <c r="H5345" t="s">
        <v>182</v>
      </c>
      <c r="I5345">
        <v>15</v>
      </c>
      <c r="J5345">
        <v>13</v>
      </c>
      <c r="K5345">
        <v>1</v>
      </c>
      <c r="L5345">
        <v>95366</v>
      </c>
      <c r="M5345" t="str">
        <f t="shared" si="820"/>
        <v>13</v>
      </c>
      <c r="N5345" t="s">
        <v>3323</v>
      </c>
      <c r="O5345" t="str">
        <f t="shared" si="824"/>
        <v>72511</v>
      </c>
      <c r="P5345" t="str">
        <f t="shared" si="827"/>
        <v>2100L</v>
      </c>
      <c r="Q5345" t="str">
        <f t="shared" si="825"/>
        <v>0101</v>
      </c>
      <c r="R5345">
        <v>2100</v>
      </c>
      <c r="S5345" t="str">
        <f t="shared" si="826"/>
        <v>7250</v>
      </c>
      <c r="T5345" t="s">
        <v>3859</v>
      </c>
      <c r="U5345" t="s">
        <v>2232</v>
      </c>
    </row>
    <row r="5346" spans="1:21" ht="15" customHeight="1" x14ac:dyDescent="0.3">
      <c r="A5346" t="s">
        <v>179</v>
      </c>
      <c r="B5346" t="str">
        <f>"00058568"</f>
        <v>00058568</v>
      </c>
      <c r="C5346" t="s">
        <v>4253</v>
      </c>
      <c r="D5346" t="s">
        <v>2249</v>
      </c>
      <c r="E5346" t="str">
        <f>"00062063"</f>
        <v>00062063</v>
      </c>
      <c r="F5346">
        <v>0</v>
      </c>
      <c r="G5346" s="243">
        <v>40341</v>
      </c>
      <c r="H5346" t="s">
        <v>182</v>
      </c>
      <c r="I5346">
        <v>15</v>
      </c>
      <c r="J5346">
        <v>12</v>
      </c>
      <c r="K5346">
        <v>1</v>
      </c>
      <c r="L5346">
        <v>87431</v>
      </c>
      <c r="M5346" t="str">
        <f t="shared" si="820"/>
        <v>13</v>
      </c>
      <c r="N5346" t="s">
        <v>3323</v>
      </c>
      <c r="O5346" t="str">
        <f t="shared" si="824"/>
        <v>72511</v>
      </c>
      <c r="P5346" t="str">
        <f t="shared" si="827"/>
        <v>2100L</v>
      </c>
      <c r="Q5346" t="str">
        <f t="shared" si="825"/>
        <v>0101</v>
      </c>
      <c r="R5346">
        <v>2100</v>
      </c>
      <c r="S5346" t="str">
        <f t="shared" si="826"/>
        <v>7250</v>
      </c>
      <c r="T5346" t="s">
        <v>3859</v>
      </c>
      <c r="U5346" t="s">
        <v>2232</v>
      </c>
    </row>
    <row r="5347" spans="1:21" ht="15" customHeight="1" x14ac:dyDescent="0.3">
      <c r="A5347" t="s">
        <v>179</v>
      </c>
      <c r="B5347" t="str">
        <f>"00058993"</f>
        <v>00058993</v>
      </c>
      <c r="C5347" t="s">
        <v>4254</v>
      </c>
      <c r="D5347" t="s">
        <v>2251</v>
      </c>
      <c r="E5347" t="str">
        <f>"00045777"</f>
        <v>00045777</v>
      </c>
      <c r="F5347">
        <v>0</v>
      </c>
      <c r="G5347" s="243">
        <v>36084</v>
      </c>
      <c r="H5347" t="s">
        <v>182</v>
      </c>
      <c r="I5347">
        <v>15</v>
      </c>
      <c r="J5347">
        <v>13</v>
      </c>
      <c r="K5347">
        <v>1</v>
      </c>
      <c r="L5347">
        <v>95366</v>
      </c>
      <c r="M5347" t="str">
        <f t="shared" si="820"/>
        <v>13</v>
      </c>
      <c r="N5347" t="s">
        <v>3323</v>
      </c>
      <c r="O5347" t="str">
        <f t="shared" si="824"/>
        <v>72511</v>
      </c>
      <c r="P5347" t="str">
        <f t="shared" si="827"/>
        <v>2100L</v>
      </c>
      <c r="Q5347" t="str">
        <f t="shared" si="825"/>
        <v>0101</v>
      </c>
      <c r="R5347">
        <v>2100</v>
      </c>
      <c r="S5347" t="str">
        <f t="shared" si="826"/>
        <v>7250</v>
      </c>
      <c r="T5347" t="s">
        <v>3859</v>
      </c>
      <c r="U5347" t="s">
        <v>2232</v>
      </c>
    </row>
    <row r="5348" spans="1:21" ht="15" customHeight="1" x14ac:dyDescent="0.3">
      <c r="A5348" t="s">
        <v>179</v>
      </c>
      <c r="B5348" t="str">
        <f>"00059328"</f>
        <v>00059328</v>
      </c>
      <c r="C5348" t="s">
        <v>4253</v>
      </c>
      <c r="D5348" t="s">
        <v>2252</v>
      </c>
      <c r="E5348" t="str">
        <f>"00044792"</f>
        <v>00044792</v>
      </c>
      <c r="F5348">
        <v>0</v>
      </c>
      <c r="G5348" s="243">
        <v>37861</v>
      </c>
      <c r="H5348" t="s">
        <v>182</v>
      </c>
      <c r="I5348">
        <v>15</v>
      </c>
      <c r="J5348">
        <v>10</v>
      </c>
      <c r="K5348">
        <v>1</v>
      </c>
      <c r="L5348">
        <v>78273</v>
      </c>
      <c r="M5348" t="str">
        <f t="shared" si="820"/>
        <v>13</v>
      </c>
      <c r="N5348" t="s">
        <v>3323</v>
      </c>
      <c r="O5348" t="str">
        <f t="shared" si="824"/>
        <v>72511</v>
      </c>
      <c r="P5348" t="str">
        <f t="shared" si="827"/>
        <v>2100L</v>
      </c>
      <c r="Q5348" t="str">
        <f t="shared" si="825"/>
        <v>0101</v>
      </c>
      <c r="R5348">
        <v>2100</v>
      </c>
      <c r="S5348" t="str">
        <f t="shared" si="826"/>
        <v>7250</v>
      </c>
      <c r="T5348" t="s">
        <v>3859</v>
      </c>
      <c r="U5348" t="s">
        <v>2232</v>
      </c>
    </row>
    <row r="5349" spans="1:21" ht="15" customHeight="1" x14ac:dyDescent="0.3">
      <c r="A5349" t="s">
        <v>179</v>
      </c>
      <c r="B5349" t="str">
        <f>"00059432"</f>
        <v>00059432</v>
      </c>
      <c r="C5349" t="s">
        <v>4256</v>
      </c>
      <c r="D5349" t="s">
        <v>2253</v>
      </c>
      <c r="E5349" t="str">
        <f>"00054435"</f>
        <v>00054435</v>
      </c>
      <c r="F5349">
        <v>0</v>
      </c>
      <c r="G5349" s="243">
        <v>37893</v>
      </c>
      <c r="H5349" t="s">
        <v>182</v>
      </c>
      <c r="I5349">
        <v>15</v>
      </c>
      <c r="J5349">
        <v>15</v>
      </c>
      <c r="K5349">
        <v>1</v>
      </c>
      <c r="L5349">
        <v>98285</v>
      </c>
      <c r="M5349" t="str">
        <f t="shared" si="820"/>
        <v>13</v>
      </c>
      <c r="N5349" t="s">
        <v>3323</v>
      </c>
      <c r="O5349" t="str">
        <f t="shared" si="824"/>
        <v>72511</v>
      </c>
      <c r="P5349" t="str">
        <f t="shared" si="827"/>
        <v>2100L</v>
      </c>
      <c r="Q5349" t="str">
        <f t="shared" si="825"/>
        <v>0101</v>
      </c>
      <c r="R5349">
        <v>2100</v>
      </c>
      <c r="S5349" t="str">
        <f t="shared" si="826"/>
        <v>7250</v>
      </c>
      <c r="T5349" t="s">
        <v>3859</v>
      </c>
      <c r="U5349" t="s">
        <v>2232</v>
      </c>
    </row>
    <row r="5350" spans="1:21" ht="15" customHeight="1" x14ac:dyDescent="0.3">
      <c r="A5350" t="s">
        <v>179</v>
      </c>
      <c r="B5350" t="str">
        <f>"00059814"</f>
        <v>00059814</v>
      </c>
      <c r="C5350" t="s">
        <v>4253</v>
      </c>
      <c r="D5350" t="s">
        <v>677</v>
      </c>
      <c r="E5350" t="str">
        <f>"00044483"</f>
        <v>00044483</v>
      </c>
      <c r="F5350">
        <v>0</v>
      </c>
      <c r="G5350" s="243">
        <v>36762</v>
      </c>
      <c r="H5350" t="s">
        <v>182</v>
      </c>
      <c r="I5350">
        <v>15</v>
      </c>
      <c r="J5350">
        <v>12</v>
      </c>
      <c r="K5350">
        <v>1</v>
      </c>
      <c r="L5350">
        <v>89887</v>
      </c>
      <c r="M5350" t="str">
        <f t="shared" si="820"/>
        <v>13</v>
      </c>
      <c r="N5350" t="s">
        <v>3370</v>
      </c>
      <c r="O5350" t="str">
        <f t="shared" si="824"/>
        <v>72511</v>
      </c>
      <c r="P5350" t="str">
        <f t="shared" si="827"/>
        <v>2100L</v>
      </c>
      <c r="Q5350" t="str">
        <f t="shared" si="825"/>
        <v>0101</v>
      </c>
      <c r="R5350">
        <v>2100</v>
      </c>
      <c r="S5350" t="str">
        <f t="shared" si="826"/>
        <v>7250</v>
      </c>
      <c r="T5350" t="s">
        <v>3859</v>
      </c>
      <c r="U5350" t="s">
        <v>2232</v>
      </c>
    </row>
    <row r="5351" spans="1:21" ht="15" customHeight="1" x14ac:dyDescent="0.3">
      <c r="A5351" t="s">
        <v>179</v>
      </c>
      <c r="B5351" t="str">
        <f>"00060232"</f>
        <v>00060232</v>
      </c>
      <c r="C5351" t="s">
        <v>4257</v>
      </c>
      <c r="D5351" t="s">
        <v>2254</v>
      </c>
      <c r="E5351" t="str">
        <f>"00049296"</f>
        <v>00049296</v>
      </c>
      <c r="F5351">
        <v>0</v>
      </c>
      <c r="G5351" s="243">
        <v>38446</v>
      </c>
      <c r="H5351" t="s">
        <v>182</v>
      </c>
      <c r="I5351">
        <v>15</v>
      </c>
      <c r="J5351">
        <v>11</v>
      </c>
      <c r="K5351">
        <v>1</v>
      </c>
      <c r="L5351">
        <v>81335</v>
      </c>
      <c r="M5351" t="str">
        <f t="shared" ref="M5351:M5405" si="828">"13"</f>
        <v>13</v>
      </c>
      <c r="N5351" t="s">
        <v>3323</v>
      </c>
      <c r="O5351" t="str">
        <f t="shared" si="824"/>
        <v>72511</v>
      </c>
      <c r="P5351" t="str">
        <f t="shared" si="827"/>
        <v>2100L</v>
      </c>
      <c r="Q5351" t="str">
        <f t="shared" si="825"/>
        <v>0101</v>
      </c>
      <c r="R5351">
        <v>2100</v>
      </c>
      <c r="S5351" t="str">
        <f t="shared" si="826"/>
        <v>7250</v>
      </c>
      <c r="T5351" t="s">
        <v>3859</v>
      </c>
      <c r="U5351" t="s">
        <v>2232</v>
      </c>
    </row>
    <row r="5352" spans="1:21" ht="15" customHeight="1" x14ac:dyDescent="0.3">
      <c r="A5352" t="s">
        <v>179</v>
      </c>
      <c r="B5352" t="str">
        <f>"00060528"</f>
        <v>00060528</v>
      </c>
      <c r="C5352" t="s">
        <v>3798</v>
      </c>
      <c r="D5352" t="s">
        <v>5865</v>
      </c>
      <c r="E5352" t="str">
        <f>"00045254"</f>
        <v>00045254</v>
      </c>
      <c r="F5352">
        <v>0</v>
      </c>
      <c r="G5352" s="243">
        <v>38936</v>
      </c>
      <c r="H5352" t="s">
        <v>182</v>
      </c>
      <c r="I5352">
        <v>65</v>
      </c>
      <c r="J5352">
        <v>10</v>
      </c>
      <c r="K5352">
        <v>1</v>
      </c>
      <c r="L5352">
        <v>149000</v>
      </c>
      <c r="M5352" t="str">
        <f t="shared" si="828"/>
        <v>13</v>
      </c>
      <c r="N5352" t="s">
        <v>3323</v>
      </c>
      <c r="O5352" t="str">
        <f t="shared" si="824"/>
        <v>72511</v>
      </c>
      <c r="P5352" t="str">
        <f>"1501L"</f>
        <v>1501L</v>
      </c>
      <c r="Q5352" t="str">
        <f t="shared" si="825"/>
        <v>0101</v>
      </c>
      <c r="R5352">
        <v>1501</v>
      </c>
      <c r="S5352" t="str">
        <f t="shared" si="826"/>
        <v>7250</v>
      </c>
      <c r="T5352" t="s">
        <v>3859</v>
      </c>
      <c r="U5352" t="s">
        <v>2232</v>
      </c>
    </row>
    <row r="5353" spans="1:21" ht="15" customHeight="1" x14ac:dyDescent="0.3">
      <c r="A5353" t="s">
        <v>179</v>
      </c>
      <c r="B5353" t="str">
        <f>"00060701"</f>
        <v>00060701</v>
      </c>
      <c r="C5353" t="s">
        <v>4261</v>
      </c>
      <c r="D5353" t="s">
        <v>2255</v>
      </c>
      <c r="E5353" t="str">
        <f>"00052271"</f>
        <v>00052271</v>
      </c>
      <c r="F5353">
        <v>0</v>
      </c>
      <c r="G5353" s="243">
        <v>39104</v>
      </c>
      <c r="H5353" t="s">
        <v>182</v>
      </c>
      <c r="I5353">
        <v>15</v>
      </c>
      <c r="J5353">
        <v>12</v>
      </c>
      <c r="K5353">
        <v>1</v>
      </c>
      <c r="L5353">
        <v>99302</v>
      </c>
      <c r="M5353" t="str">
        <f t="shared" si="828"/>
        <v>13</v>
      </c>
      <c r="N5353" t="s">
        <v>3323</v>
      </c>
      <c r="O5353" t="str">
        <f t="shared" si="824"/>
        <v>72511</v>
      </c>
      <c r="P5353" t="str">
        <f>"2100L"</f>
        <v>2100L</v>
      </c>
      <c r="Q5353" t="str">
        <f t="shared" si="825"/>
        <v>0101</v>
      </c>
      <c r="R5353">
        <v>2100</v>
      </c>
      <c r="S5353" t="str">
        <f t="shared" si="826"/>
        <v>7250</v>
      </c>
      <c r="T5353" t="s">
        <v>3859</v>
      </c>
      <c r="U5353" t="s">
        <v>2232</v>
      </c>
    </row>
    <row r="5354" spans="1:21" ht="15" customHeight="1" x14ac:dyDescent="0.3">
      <c r="A5354" t="s">
        <v>179</v>
      </c>
      <c r="B5354" t="str">
        <f>"00060969"</f>
        <v>00060969</v>
      </c>
      <c r="C5354" t="s">
        <v>4253</v>
      </c>
      <c r="D5354" t="s">
        <v>2256</v>
      </c>
      <c r="E5354" t="str">
        <f>"00055194"</f>
        <v>00055194</v>
      </c>
      <c r="F5354">
        <v>0</v>
      </c>
      <c r="G5354" s="243">
        <v>39314</v>
      </c>
      <c r="H5354" t="s">
        <v>182</v>
      </c>
      <c r="I5354">
        <v>15</v>
      </c>
      <c r="J5354">
        <v>6</v>
      </c>
      <c r="K5354">
        <v>1</v>
      </c>
      <c r="L5354">
        <v>66078</v>
      </c>
      <c r="M5354" t="str">
        <f t="shared" si="828"/>
        <v>13</v>
      </c>
      <c r="N5354" t="s">
        <v>3323</v>
      </c>
      <c r="O5354" t="str">
        <f t="shared" ref="O5354:O5375" si="829">"72511"</f>
        <v>72511</v>
      </c>
      <c r="P5354" t="str">
        <f>"2100L"</f>
        <v>2100L</v>
      </c>
      <c r="Q5354" t="str">
        <f t="shared" ref="Q5354:Q5382" si="830">"0101"</f>
        <v>0101</v>
      </c>
      <c r="R5354">
        <v>2100</v>
      </c>
      <c r="S5354" t="str">
        <f t="shared" ref="S5354:S5375" si="831">"7250"</f>
        <v>7250</v>
      </c>
      <c r="T5354" t="s">
        <v>3859</v>
      </c>
      <c r="U5354" t="s">
        <v>2232</v>
      </c>
    </row>
    <row r="5355" spans="1:21" ht="15" customHeight="1" x14ac:dyDescent="0.3">
      <c r="A5355" t="s">
        <v>179</v>
      </c>
      <c r="B5355" t="str">
        <f>"00060971"</f>
        <v>00060971</v>
      </c>
      <c r="C5355" t="s">
        <v>4253</v>
      </c>
      <c r="D5355" t="s">
        <v>2257</v>
      </c>
      <c r="E5355" t="str">
        <f>"00053621"</f>
        <v>00053621</v>
      </c>
      <c r="F5355">
        <v>0</v>
      </c>
      <c r="G5355" s="243">
        <v>39314</v>
      </c>
      <c r="H5355" t="s">
        <v>182</v>
      </c>
      <c r="I5355">
        <v>15</v>
      </c>
      <c r="J5355">
        <v>6</v>
      </c>
      <c r="K5355">
        <v>1</v>
      </c>
      <c r="L5355">
        <v>66078</v>
      </c>
      <c r="M5355" t="str">
        <f t="shared" si="828"/>
        <v>13</v>
      </c>
      <c r="N5355" t="s">
        <v>3323</v>
      </c>
      <c r="O5355" t="str">
        <f t="shared" si="829"/>
        <v>72511</v>
      </c>
      <c r="P5355" t="str">
        <f>"2100L"</f>
        <v>2100L</v>
      </c>
      <c r="Q5355" t="str">
        <f t="shared" si="830"/>
        <v>0101</v>
      </c>
      <c r="R5355">
        <v>2100</v>
      </c>
      <c r="S5355" t="str">
        <f t="shared" si="831"/>
        <v>7250</v>
      </c>
      <c r="T5355" t="s">
        <v>3859</v>
      </c>
      <c r="U5355" t="s">
        <v>2232</v>
      </c>
    </row>
    <row r="5356" spans="1:21" ht="15" customHeight="1" x14ac:dyDescent="0.3">
      <c r="A5356" t="s">
        <v>179</v>
      </c>
      <c r="B5356" t="str">
        <f>"00060973"</f>
        <v>00060973</v>
      </c>
      <c r="C5356" t="s">
        <v>4253</v>
      </c>
      <c r="D5356" t="s">
        <v>4143</v>
      </c>
      <c r="E5356" t="str">
        <f>"00066178"</f>
        <v>00066178</v>
      </c>
      <c r="F5356">
        <v>0</v>
      </c>
      <c r="G5356" s="243">
        <v>40755</v>
      </c>
      <c r="H5356" t="s">
        <v>182</v>
      </c>
      <c r="I5356">
        <v>15</v>
      </c>
      <c r="J5356">
        <v>8</v>
      </c>
      <c r="K5356">
        <v>1</v>
      </c>
      <c r="L5356">
        <v>72171</v>
      </c>
      <c r="M5356" t="str">
        <f t="shared" si="828"/>
        <v>13</v>
      </c>
      <c r="N5356" t="s">
        <v>3323</v>
      </c>
      <c r="O5356" t="str">
        <f t="shared" si="829"/>
        <v>72511</v>
      </c>
      <c r="P5356" t="str">
        <f>"2100L"</f>
        <v>2100L</v>
      </c>
      <c r="Q5356" t="str">
        <f t="shared" si="830"/>
        <v>0101</v>
      </c>
      <c r="R5356">
        <v>2100</v>
      </c>
      <c r="S5356" t="str">
        <f t="shared" si="831"/>
        <v>7250</v>
      </c>
      <c r="T5356" t="s">
        <v>3859</v>
      </c>
      <c r="U5356" t="s">
        <v>2232</v>
      </c>
    </row>
    <row r="5357" spans="1:21" ht="15" customHeight="1" x14ac:dyDescent="0.3">
      <c r="A5357" t="s">
        <v>179</v>
      </c>
      <c r="B5357" t="str">
        <f>"00061541"</f>
        <v>00061541</v>
      </c>
      <c r="C5357" t="s">
        <v>3670</v>
      </c>
      <c r="H5357" t="s">
        <v>170</v>
      </c>
      <c r="I5357">
        <v>8</v>
      </c>
      <c r="J5357">
        <v>1</v>
      </c>
      <c r="K5357">
        <v>1</v>
      </c>
      <c r="L5357">
        <v>82397</v>
      </c>
      <c r="M5357" t="str">
        <f t="shared" si="828"/>
        <v>13</v>
      </c>
      <c r="N5357" t="s">
        <v>3370</v>
      </c>
      <c r="O5357" t="str">
        <f t="shared" si="829"/>
        <v>72511</v>
      </c>
      <c r="P5357" t="str">
        <f>"1501L"</f>
        <v>1501L</v>
      </c>
      <c r="Q5357" t="str">
        <f t="shared" si="830"/>
        <v>0101</v>
      </c>
      <c r="R5357">
        <v>1501</v>
      </c>
      <c r="S5357" t="str">
        <f t="shared" si="831"/>
        <v>7250</v>
      </c>
      <c r="T5357" t="s">
        <v>4101</v>
      </c>
      <c r="U5357" t="s">
        <v>103</v>
      </c>
    </row>
    <row r="5358" spans="1:21" ht="15" customHeight="1" x14ac:dyDescent="0.3">
      <c r="A5358" t="s">
        <v>179</v>
      </c>
      <c r="B5358" t="str">
        <f>"00061859"</f>
        <v>00061859</v>
      </c>
      <c r="C5358" t="s">
        <v>4261</v>
      </c>
      <c r="D5358" t="s">
        <v>2258</v>
      </c>
      <c r="E5358" t="str">
        <f>"00062972"</f>
        <v>00062972</v>
      </c>
      <c r="F5358">
        <v>0</v>
      </c>
      <c r="G5358" s="243">
        <v>40406</v>
      </c>
      <c r="H5358" t="s">
        <v>182</v>
      </c>
      <c r="I5358">
        <v>15</v>
      </c>
      <c r="J5358">
        <v>5</v>
      </c>
      <c r="K5358">
        <v>1</v>
      </c>
      <c r="L5358">
        <v>73934</v>
      </c>
      <c r="M5358" t="str">
        <f t="shared" si="828"/>
        <v>13</v>
      </c>
      <c r="N5358" t="s">
        <v>3323</v>
      </c>
      <c r="O5358" t="str">
        <f t="shared" si="829"/>
        <v>72511</v>
      </c>
      <c r="P5358" t="str">
        <f t="shared" ref="P5358:P5363" si="832">"2100L"</f>
        <v>2100L</v>
      </c>
      <c r="Q5358" t="str">
        <f t="shared" si="830"/>
        <v>0101</v>
      </c>
      <c r="R5358">
        <v>2100</v>
      </c>
      <c r="S5358" t="str">
        <f t="shared" si="831"/>
        <v>7250</v>
      </c>
      <c r="T5358" t="s">
        <v>3859</v>
      </c>
      <c r="U5358" t="s">
        <v>2232</v>
      </c>
    </row>
    <row r="5359" spans="1:21" ht="15" customHeight="1" x14ac:dyDescent="0.3">
      <c r="A5359" t="s">
        <v>179</v>
      </c>
      <c r="B5359" t="str">
        <f>"00061946"</f>
        <v>00061946</v>
      </c>
      <c r="C5359" t="s">
        <v>4253</v>
      </c>
      <c r="D5359" t="s">
        <v>2259</v>
      </c>
      <c r="E5359" t="str">
        <f>"00049096"</f>
        <v>00049096</v>
      </c>
      <c r="F5359">
        <v>0</v>
      </c>
      <c r="G5359" s="243">
        <v>39679</v>
      </c>
      <c r="H5359" t="s">
        <v>182</v>
      </c>
      <c r="I5359">
        <v>15</v>
      </c>
      <c r="J5359">
        <v>5</v>
      </c>
      <c r="K5359">
        <v>1</v>
      </c>
      <c r="L5359">
        <v>56655</v>
      </c>
      <c r="M5359" t="str">
        <f t="shared" si="828"/>
        <v>13</v>
      </c>
      <c r="N5359" t="s">
        <v>3323</v>
      </c>
      <c r="O5359" t="str">
        <f t="shared" si="829"/>
        <v>72511</v>
      </c>
      <c r="P5359" t="str">
        <f t="shared" si="832"/>
        <v>2100L</v>
      </c>
      <c r="Q5359" t="str">
        <f t="shared" si="830"/>
        <v>0101</v>
      </c>
      <c r="R5359">
        <v>2100</v>
      </c>
      <c r="S5359" t="str">
        <f t="shared" si="831"/>
        <v>7250</v>
      </c>
      <c r="T5359" t="s">
        <v>3859</v>
      </c>
      <c r="U5359" t="s">
        <v>2232</v>
      </c>
    </row>
    <row r="5360" spans="1:21" ht="15" customHeight="1" x14ac:dyDescent="0.3">
      <c r="A5360" t="s">
        <v>179</v>
      </c>
      <c r="B5360" t="str">
        <f>"00061948"</f>
        <v>00061948</v>
      </c>
      <c r="C5360" t="s">
        <v>4253</v>
      </c>
      <c r="D5360" t="s">
        <v>2260</v>
      </c>
      <c r="E5360" t="str">
        <f>"00053751"</f>
        <v>00053751</v>
      </c>
      <c r="F5360">
        <v>0</v>
      </c>
      <c r="G5360" s="243">
        <v>39679</v>
      </c>
      <c r="H5360" t="s">
        <v>182</v>
      </c>
      <c r="I5360">
        <v>15</v>
      </c>
      <c r="J5360">
        <v>5</v>
      </c>
      <c r="K5360">
        <v>1</v>
      </c>
      <c r="L5360">
        <v>63611</v>
      </c>
      <c r="M5360" t="str">
        <f t="shared" si="828"/>
        <v>13</v>
      </c>
      <c r="N5360" t="s">
        <v>3323</v>
      </c>
      <c r="O5360" t="str">
        <f t="shared" si="829"/>
        <v>72511</v>
      </c>
      <c r="P5360" t="str">
        <f t="shared" si="832"/>
        <v>2100L</v>
      </c>
      <c r="Q5360" t="str">
        <f t="shared" si="830"/>
        <v>0101</v>
      </c>
      <c r="R5360">
        <v>2100</v>
      </c>
      <c r="S5360" t="str">
        <f t="shared" si="831"/>
        <v>7250</v>
      </c>
      <c r="T5360" t="s">
        <v>3859</v>
      </c>
      <c r="U5360" t="s">
        <v>2232</v>
      </c>
    </row>
    <row r="5361" spans="1:21" ht="15" customHeight="1" x14ac:dyDescent="0.3">
      <c r="A5361" t="s">
        <v>179</v>
      </c>
      <c r="B5361" t="str">
        <f>"00062161"</f>
        <v>00062161</v>
      </c>
      <c r="C5361" t="s">
        <v>4253</v>
      </c>
      <c r="D5361" t="s">
        <v>2262</v>
      </c>
      <c r="E5361" t="str">
        <f>"00045031"</f>
        <v>00045031</v>
      </c>
      <c r="F5361">
        <v>0</v>
      </c>
      <c r="G5361" s="243">
        <v>39679</v>
      </c>
      <c r="H5361" t="s">
        <v>182</v>
      </c>
      <c r="I5361">
        <v>15</v>
      </c>
      <c r="J5361">
        <v>8</v>
      </c>
      <c r="K5361">
        <v>1</v>
      </c>
      <c r="L5361">
        <v>72171</v>
      </c>
      <c r="M5361" t="str">
        <f t="shared" si="828"/>
        <v>13</v>
      </c>
      <c r="N5361" t="s">
        <v>3323</v>
      </c>
      <c r="O5361" t="str">
        <f t="shared" si="829"/>
        <v>72511</v>
      </c>
      <c r="P5361" t="str">
        <f t="shared" si="832"/>
        <v>2100L</v>
      </c>
      <c r="Q5361" t="str">
        <f t="shared" si="830"/>
        <v>0101</v>
      </c>
      <c r="R5361">
        <v>2100</v>
      </c>
      <c r="S5361" t="str">
        <f t="shared" si="831"/>
        <v>7250</v>
      </c>
      <c r="T5361" t="s">
        <v>3859</v>
      </c>
      <c r="U5361" t="s">
        <v>2232</v>
      </c>
    </row>
    <row r="5362" spans="1:21" ht="15" customHeight="1" x14ac:dyDescent="0.3">
      <c r="A5362" t="s">
        <v>179</v>
      </c>
      <c r="B5362" t="str">
        <f>"00062163"</f>
        <v>00062163</v>
      </c>
      <c r="C5362" t="s">
        <v>4253</v>
      </c>
      <c r="D5362" t="s">
        <v>2263</v>
      </c>
      <c r="E5362" t="str">
        <f>"00049360"</f>
        <v>00049360</v>
      </c>
      <c r="F5362">
        <v>0</v>
      </c>
      <c r="G5362" s="243">
        <v>39679</v>
      </c>
      <c r="H5362" t="s">
        <v>182</v>
      </c>
      <c r="I5362">
        <v>15</v>
      </c>
      <c r="J5362">
        <v>8</v>
      </c>
      <c r="K5362">
        <v>1</v>
      </c>
      <c r="L5362">
        <v>63517</v>
      </c>
      <c r="M5362" t="str">
        <f t="shared" si="828"/>
        <v>13</v>
      </c>
      <c r="N5362" t="s">
        <v>3323</v>
      </c>
      <c r="O5362" t="str">
        <f t="shared" si="829"/>
        <v>72511</v>
      </c>
      <c r="P5362" t="str">
        <f t="shared" si="832"/>
        <v>2100L</v>
      </c>
      <c r="Q5362" t="str">
        <f t="shared" si="830"/>
        <v>0101</v>
      </c>
      <c r="R5362">
        <v>2100</v>
      </c>
      <c r="S5362" t="str">
        <f t="shared" si="831"/>
        <v>7250</v>
      </c>
      <c r="T5362" t="s">
        <v>3859</v>
      </c>
      <c r="U5362" t="s">
        <v>2232</v>
      </c>
    </row>
    <row r="5363" spans="1:21" ht="15" customHeight="1" x14ac:dyDescent="0.3">
      <c r="A5363" t="s">
        <v>179</v>
      </c>
      <c r="B5363" t="str">
        <f>"00062460"</f>
        <v>00062460</v>
      </c>
      <c r="C5363" t="s">
        <v>4253</v>
      </c>
      <c r="D5363" t="s">
        <v>2264</v>
      </c>
      <c r="E5363" t="str">
        <f>"00048855"</f>
        <v>00048855</v>
      </c>
      <c r="F5363">
        <v>0</v>
      </c>
      <c r="G5363" s="243">
        <v>39679</v>
      </c>
      <c r="H5363" t="s">
        <v>182</v>
      </c>
      <c r="I5363">
        <v>15</v>
      </c>
      <c r="J5363">
        <v>5</v>
      </c>
      <c r="K5363">
        <v>1</v>
      </c>
      <c r="L5363">
        <v>63611</v>
      </c>
      <c r="M5363" t="str">
        <f t="shared" si="828"/>
        <v>13</v>
      </c>
      <c r="N5363" t="s">
        <v>3323</v>
      </c>
      <c r="O5363" t="str">
        <f t="shared" si="829"/>
        <v>72511</v>
      </c>
      <c r="P5363" t="str">
        <f t="shared" si="832"/>
        <v>2100L</v>
      </c>
      <c r="Q5363" t="str">
        <f t="shared" si="830"/>
        <v>0101</v>
      </c>
      <c r="R5363">
        <v>2100</v>
      </c>
      <c r="S5363" t="str">
        <f t="shared" si="831"/>
        <v>7250</v>
      </c>
      <c r="T5363" t="s">
        <v>3859</v>
      </c>
      <c r="U5363" t="s">
        <v>2232</v>
      </c>
    </row>
    <row r="5364" spans="1:21" ht="15" customHeight="1" x14ac:dyDescent="0.3">
      <c r="A5364" t="s">
        <v>179</v>
      </c>
      <c r="B5364" t="str">
        <f>"00064507"</f>
        <v>00064507</v>
      </c>
      <c r="C5364" t="s">
        <v>4261</v>
      </c>
      <c r="D5364" t="s">
        <v>2265</v>
      </c>
      <c r="E5364" t="str">
        <f>"00056632"</f>
        <v>00056632</v>
      </c>
      <c r="F5364">
        <v>0</v>
      </c>
      <c r="G5364" s="243">
        <v>39999</v>
      </c>
      <c r="H5364" t="s">
        <v>182</v>
      </c>
      <c r="I5364">
        <v>15</v>
      </c>
      <c r="J5364">
        <v>5</v>
      </c>
      <c r="K5364">
        <v>1</v>
      </c>
      <c r="L5364">
        <v>73934</v>
      </c>
      <c r="M5364" t="str">
        <f t="shared" si="828"/>
        <v>13</v>
      </c>
      <c r="N5364" t="s">
        <v>3370</v>
      </c>
      <c r="O5364" t="str">
        <f t="shared" si="829"/>
        <v>72511</v>
      </c>
      <c r="P5364" t="str">
        <f>"2100L"</f>
        <v>2100L</v>
      </c>
      <c r="Q5364" t="str">
        <f t="shared" si="830"/>
        <v>0101</v>
      </c>
      <c r="R5364">
        <v>2100</v>
      </c>
      <c r="S5364" t="str">
        <f t="shared" si="831"/>
        <v>7250</v>
      </c>
      <c r="T5364" t="s">
        <v>3859</v>
      </c>
      <c r="U5364" t="s">
        <v>2232</v>
      </c>
    </row>
    <row r="5365" spans="1:21" ht="15" customHeight="1" x14ac:dyDescent="0.3">
      <c r="A5365" t="s">
        <v>179</v>
      </c>
      <c r="B5365" t="str">
        <f>"00066627"</f>
        <v>00066627</v>
      </c>
      <c r="C5365" t="s">
        <v>4253</v>
      </c>
      <c r="D5365" t="s">
        <v>895</v>
      </c>
      <c r="E5365" t="str">
        <f>"00044510"</f>
        <v>00044510</v>
      </c>
      <c r="F5365">
        <v>0</v>
      </c>
      <c r="G5365" s="243">
        <v>39679</v>
      </c>
      <c r="H5365" t="s">
        <v>182</v>
      </c>
      <c r="I5365">
        <v>15</v>
      </c>
      <c r="J5365">
        <v>9</v>
      </c>
      <c r="K5365">
        <v>1</v>
      </c>
      <c r="L5365">
        <v>68414</v>
      </c>
      <c r="M5365" t="str">
        <f t="shared" si="828"/>
        <v>13</v>
      </c>
      <c r="N5365" t="s">
        <v>3370</v>
      </c>
      <c r="O5365" t="str">
        <f t="shared" si="829"/>
        <v>72511</v>
      </c>
      <c r="P5365" t="str">
        <f>"2100L"</f>
        <v>2100L</v>
      </c>
      <c r="Q5365" t="str">
        <f t="shared" si="830"/>
        <v>0101</v>
      </c>
      <c r="R5365">
        <v>2100</v>
      </c>
      <c r="S5365" t="str">
        <f t="shared" si="831"/>
        <v>7250</v>
      </c>
      <c r="T5365" t="s">
        <v>3859</v>
      </c>
      <c r="U5365" t="s">
        <v>2232</v>
      </c>
    </row>
    <row r="5366" spans="1:21" ht="15" customHeight="1" x14ac:dyDescent="0.3">
      <c r="A5366" t="s">
        <v>179</v>
      </c>
      <c r="B5366" t="str">
        <f>"00066628"</f>
        <v>00066628</v>
      </c>
      <c r="C5366" t="s">
        <v>4253</v>
      </c>
      <c r="D5366" t="s">
        <v>2266</v>
      </c>
      <c r="E5366" t="str">
        <f>"00057436"</f>
        <v>00057436</v>
      </c>
      <c r="F5366">
        <v>0</v>
      </c>
      <c r="G5366" s="243">
        <v>40042</v>
      </c>
      <c r="H5366" t="s">
        <v>182</v>
      </c>
      <c r="I5366">
        <v>15</v>
      </c>
      <c r="J5366">
        <v>10</v>
      </c>
      <c r="K5366">
        <v>1</v>
      </c>
      <c r="L5366">
        <v>78273</v>
      </c>
      <c r="M5366" t="str">
        <f t="shared" si="828"/>
        <v>13</v>
      </c>
      <c r="N5366" t="s">
        <v>3323</v>
      </c>
      <c r="O5366" t="str">
        <f t="shared" si="829"/>
        <v>72511</v>
      </c>
      <c r="P5366" t="str">
        <f>"2100L"</f>
        <v>2100L</v>
      </c>
      <c r="Q5366" t="str">
        <f t="shared" si="830"/>
        <v>0101</v>
      </c>
      <c r="R5366">
        <v>2100</v>
      </c>
      <c r="S5366" t="str">
        <f t="shared" si="831"/>
        <v>7250</v>
      </c>
      <c r="T5366" t="s">
        <v>3859</v>
      </c>
      <c r="U5366" t="s">
        <v>2232</v>
      </c>
    </row>
    <row r="5367" spans="1:21" ht="15" customHeight="1" x14ac:dyDescent="0.3">
      <c r="A5367" t="s">
        <v>179</v>
      </c>
      <c r="B5367" t="str">
        <f>"00072345"</f>
        <v>00072345</v>
      </c>
      <c r="C5367" t="s">
        <v>4263</v>
      </c>
      <c r="D5367" t="s">
        <v>2268</v>
      </c>
      <c r="E5367" t="str">
        <f>"00062593"</f>
        <v>00062593</v>
      </c>
      <c r="F5367">
        <v>0</v>
      </c>
      <c r="G5367" s="243">
        <v>40406</v>
      </c>
      <c r="H5367" t="s">
        <v>182</v>
      </c>
      <c r="I5367">
        <v>15</v>
      </c>
      <c r="J5367">
        <v>12</v>
      </c>
      <c r="K5367">
        <v>1</v>
      </c>
      <c r="L5367">
        <v>87431</v>
      </c>
      <c r="M5367" t="str">
        <f t="shared" si="828"/>
        <v>13</v>
      </c>
      <c r="N5367" t="s">
        <v>3323</v>
      </c>
      <c r="O5367" t="str">
        <f t="shared" si="829"/>
        <v>72511</v>
      </c>
      <c r="P5367" t="str">
        <f>"2100L"</f>
        <v>2100L</v>
      </c>
      <c r="Q5367" t="str">
        <f t="shared" si="830"/>
        <v>0101</v>
      </c>
      <c r="R5367">
        <v>2100</v>
      </c>
      <c r="S5367" t="str">
        <f t="shared" si="831"/>
        <v>7250</v>
      </c>
      <c r="T5367" t="s">
        <v>3859</v>
      </c>
      <c r="U5367" t="s">
        <v>2232</v>
      </c>
    </row>
    <row r="5368" spans="1:21" ht="15" customHeight="1" x14ac:dyDescent="0.3">
      <c r="A5368" t="s">
        <v>179</v>
      </c>
      <c r="B5368" t="str">
        <f>"00072404"</f>
        <v>00072404</v>
      </c>
      <c r="C5368" t="s">
        <v>4253</v>
      </c>
      <c r="D5368" t="s">
        <v>2269</v>
      </c>
      <c r="E5368" t="str">
        <f>"00049346"</f>
        <v>00049346</v>
      </c>
      <c r="F5368">
        <v>0</v>
      </c>
      <c r="G5368" s="243">
        <v>40406</v>
      </c>
      <c r="H5368" t="s">
        <v>182</v>
      </c>
      <c r="I5368">
        <v>15</v>
      </c>
      <c r="J5368">
        <v>6</v>
      </c>
      <c r="K5368">
        <v>1</v>
      </c>
      <c r="L5368">
        <v>61032</v>
      </c>
      <c r="M5368" t="str">
        <f t="shared" si="828"/>
        <v>13</v>
      </c>
      <c r="N5368" t="s">
        <v>3323</v>
      </c>
      <c r="O5368" t="str">
        <f t="shared" si="829"/>
        <v>72511</v>
      </c>
      <c r="P5368" t="str">
        <f>"2100L"</f>
        <v>2100L</v>
      </c>
      <c r="Q5368" t="str">
        <f t="shared" si="830"/>
        <v>0101</v>
      </c>
      <c r="R5368">
        <v>2100</v>
      </c>
      <c r="S5368" t="str">
        <f t="shared" si="831"/>
        <v>7250</v>
      </c>
      <c r="T5368" t="s">
        <v>3859</v>
      </c>
      <c r="U5368" t="s">
        <v>2232</v>
      </c>
    </row>
    <row r="5369" spans="1:21" ht="15" customHeight="1" x14ac:dyDescent="0.3">
      <c r="A5369" t="s">
        <v>179</v>
      </c>
      <c r="B5369" t="str">
        <f>"00073786"</f>
        <v>00073786</v>
      </c>
      <c r="C5369" t="s">
        <v>4266</v>
      </c>
      <c r="D5369" t="s">
        <v>2270</v>
      </c>
      <c r="E5369" t="str">
        <f>"00062651"</f>
        <v>00062651</v>
      </c>
      <c r="F5369">
        <v>0</v>
      </c>
      <c r="G5369" s="243">
        <v>40406</v>
      </c>
      <c r="H5369" t="s">
        <v>182</v>
      </c>
      <c r="I5369">
        <v>15</v>
      </c>
      <c r="J5369">
        <v>3</v>
      </c>
      <c r="K5369">
        <v>1</v>
      </c>
      <c r="L5369">
        <v>58699</v>
      </c>
      <c r="M5369" t="str">
        <f t="shared" si="828"/>
        <v>13</v>
      </c>
      <c r="N5369" t="s">
        <v>3323</v>
      </c>
      <c r="O5369" t="str">
        <f t="shared" si="829"/>
        <v>72511</v>
      </c>
      <c r="P5369" t="str">
        <f>"2300L"</f>
        <v>2300L</v>
      </c>
      <c r="Q5369" t="str">
        <f t="shared" si="830"/>
        <v>0101</v>
      </c>
      <c r="R5369">
        <v>2300</v>
      </c>
      <c r="S5369" t="str">
        <f t="shared" si="831"/>
        <v>7250</v>
      </c>
      <c r="T5369" t="s">
        <v>3859</v>
      </c>
      <c r="U5369" t="s">
        <v>2232</v>
      </c>
    </row>
    <row r="5370" spans="1:21" ht="15" customHeight="1" x14ac:dyDescent="0.3">
      <c r="A5370" t="s">
        <v>179</v>
      </c>
      <c r="B5370" t="str">
        <f>"00073896"</f>
        <v>00073896</v>
      </c>
      <c r="C5370" t="s">
        <v>4265</v>
      </c>
      <c r="D5370" t="s">
        <v>4118</v>
      </c>
      <c r="E5370" t="str">
        <f>"00049125"</f>
        <v>00049125</v>
      </c>
      <c r="F5370">
        <v>0</v>
      </c>
      <c r="G5370" s="243">
        <v>35257</v>
      </c>
      <c r="H5370" t="s">
        <v>182</v>
      </c>
      <c r="I5370">
        <v>15</v>
      </c>
      <c r="J5370">
        <v>16</v>
      </c>
      <c r="K5370">
        <v>0.5</v>
      </c>
      <c r="L5370">
        <v>106540</v>
      </c>
      <c r="M5370" t="str">
        <f t="shared" si="828"/>
        <v>13</v>
      </c>
      <c r="N5370" t="s">
        <v>3323</v>
      </c>
      <c r="O5370" t="str">
        <f t="shared" si="829"/>
        <v>72511</v>
      </c>
      <c r="P5370" t="str">
        <f>"2100L"</f>
        <v>2100L</v>
      </c>
      <c r="Q5370" t="str">
        <f t="shared" si="830"/>
        <v>0101</v>
      </c>
      <c r="R5370">
        <v>2100</v>
      </c>
      <c r="S5370" t="str">
        <f t="shared" si="831"/>
        <v>7250</v>
      </c>
      <c r="T5370" t="s">
        <v>4119</v>
      </c>
      <c r="U5370" t="s">
        <v>930</v>
      </c>
    </row>
    <row r="5371" spans="1:21" ht="15" customHeight="1" x14ac:dyDescent="0.3">
      <c r="A5371" t="s">
        <v>179</v>
      </c>
      <c r="B5371" t="str">
        <f>"00075565"</f>
        <v>00075565</v>
      </c>
      <c r="C5371" t="s">
        <v>3670</v>
      </c>
      <c r="D5371" t="s">
        <v>5866</v>
      </c>
      <c r="E5371" t="str">
        <f>"00069320"</f>
        <v>00069320</v>
      </c>
      <c r="F5371">
        <v>0</v>
      </c>
      <c r="G5371" s="243">
        <v>41092</v>
      </c>
      <c r="H5371" t="s">
        <v>182</v>
      </c>
      <c r="I5371">
        <v>8</v>
      </c>
      <c r="J5371">
        <v>1</v>
      </c>
      <c r="K5371">
        <v>1</v>
      </c>
      <c r="L5371">
        <v>82397</v>
      </c>
      <c r="M5371" t="str">
        <f t="shared" si="828"/>
        <v>13</v>
      </c>
      <c r="N5371" t="s">
        <v>3323</v>
      </c>
      <c r="O5371" t="str">
        <f t="shared" si="829"/>
        <v>72511</v>
      </c>
      <c r="P5371" t="str">
        <f>"1501L"</f>
        <v>1501L</v>
      </c>
      <c r="Q5371" t="str">
        <f t="shared" si="830"/>
        <v>0101</v>
      </c>
      <c r="R5371">
        <v>1501</v>
      </c>
      <c r="S5371" t="str">
        <f t="shared" si="831"/>
        <v>7250</v>
      </c>
      <c r="T5371" t="s">
        <v>3859</v>
      </c>
      <c r="U5371" t="s">
        <v>2232</v>
      </c>
    </row>
    <row r="5372" spans="1:21" ht="15" customHeight="1" x14ac:dyDescent="0.3">
      <c r="A5372" t="s">
        <v>179</v>
      </c>
      <c r="B5372" t="str">
        <f>"00076309"</f>
        <v>00076309</v>
      </c>
      <c r="C5372" t="s">
        <v>4253</v>
      </c>
      <c r="D5372" t="s">
        <v>776</v>
      </c>
      <c r="E5372" t="str">
        <f>"00062621"</f>
        <v>00062621</v>
      </c>
      <c r="F5372">
        <v>0</v>
      </c>
      <c r="G5372" s="243">
        <v>40406</v>
      </c>
      <c r="H5372" t="s">
        <v>182</v>
      </c>
      <c r="I5372">
        <v>15</v>
      </c>
      <c r="J5372">
        <v>6</v>
      </c>
      <c r="K5372">
        <v>1</v>
      </c>
      <c r="L5372">
        <v>66078</v>
      </c>
      <c r="M5372" t="str">
        <f t="shared" si="828"/>
        <v>13</v>
      </c>
      <c r="N5372" t="s">
        <v>3370</v>
      </c>
      <c r="O5372" t="str">
        <f t="shared" si="829"/>
        <v>72511</v>
      </c>
      <c r="P5372" t="str">
        <f>"2100L"</f>
        <v>2100L</v>
      </c>
      <c r="Q5372" t="str">
        <f t="shared" si="830"/>
        <v>0101</v>
      </c>
      <c r="R5372">
        <v>2100</v>
      </c>
      <c r="S5372" t="str">
        <f t="shared" si="831"/>
        <v>7250</v>
      </c>
      <c r="T5372" t="s">
        <v>3859</v>
      </c>
      <c r="U5372" t="s">
        <v>2232</v>
      </c>
    </row>
    <row r="5373" spans="1:21" ht="15" customHeight="1" x14ac:dyDescent="0.3">
      <c r="A5373" t="s">
        <v>179</v>
      </c>
      <c r="B5373" t="str">
        <f>"00076311"</f>
        <v>00076311</v>
      </c>
      <c r="C5373" t="s">
        <v>4253</v>
      </c>
      <c r="H5373" t="s">
        <v>170</v>
      </c>
      <c r="I5373">
        <v>15</v>
      </c>
      <c r="J5373">
        <v>0</v>
      </c>
      <c r="K5373">
        <v>1</v>
      </c>
      <c r="L5373">
        <v>51539</v>
      </c>
      <c r="M5373" t="str">
        <f t="shared" si="828"/>
        <v>13</v>
      </c>
      <c r="N5373" t="s">
        <v>3370</v>
      </c>
      <c r="O5373" t="str">
        <f t="shared" si="829"/>
        <v>72511</v>
      </c>
      <c r="P5373" t="str">
        <f>"2100L"</f>
        <v>2100L</v>
      </c>
      <c r="Q5373" t="str">
        <f t="shared" si="830"/>
        <v>0101</v>
      </c>
      <c r="R5373">
        <v>2100</v>
      </c>
      <c r="S5373" t="str">
        <f t="shared" si="831"/>
        <v>7250</v>
      </c>
      <c r="T5373" t="s">
        <v>3859</v>
      </c>
      <c r="U5373" t="s">
        <v>2232</v>
      </c>
    </row>
    <row r="5374" spans="1:21" ht="15" customHeight="1" x14ac:dyDescent="0.3">
      <c r="A5374" t="s">
        <v>179</v>
      </c>
      <c r="B5374" t="str">
        <f>"00076465"</f>
        <v>00076465</v>
      </c>
      <c r="C5374" t="s">
        <v>4306</v>
      </c>
      <c r="D5374" t="s">
        <v>5867</v>
      </c>
      <c r="E5374" t="str">
        <f>"00030198"</f>
        <v>00030198</v>
      </c>
      <c r="F5374">
        <v>0</v>
      </c>
      <c r="G5374" s="243">
        <v>41134</v>
      </c>
      <c r="H5374" t="s">
        <v>182</v>
      </c>
      <c r="I5374">
        <v>9</v>
      </c>
      <c r="J5374">
        <v>10</v>
      </c>
      <c r="K5374">
        <v>1</v>
      </c>
      <c r="L5374">
        <v>42730</v>
      </c>
      <c r="M5374" t="str">
        <f t="shared" si="828"/>
        <v>13</v>
      </c>
      <c r="N5374" t="s">
        <v>3323</v>
      </c>
      <c r="O5374" t="str">
        <f t="shared" si="829"/>
        <v>72511</v>
      </c>
      <c r="P5374" t="str">
        <f>"1502L"</f>
        <v>1502L</v>
      </c>
      <c r="Q5374" t="str">
        <f t="shared" si="830"/>
        <v>0101</v>
      </c>
      <c r="R5374">
        <v>1502</v>
      </c>
      <c r="S5374" t="str">
        <f t="shared" si="831"/>
        <v>7250</v>
      </c>
      <c r="T5374" t="s">
        <v>3859</v>
      </c>
      <c r="U5374" t="s">
        <v>2232</v>
      </c>
    </row>
    <row r="5375" spans="1:21" ht="15" customHeight="1" x14ac:dyDescent="0.3">
      <c r="A5375" t="s">
        <v>179</v>
      </c>
      <c r="B5375" t="str">
        <f>"00076556"</f>
        <v>00076556</v>
      </c>
      <c r="C5375" t="s">
        <v>200</v>
      </c>
      <c r="H5375" t="s">
        <v>170</v>
      </c>
      <c r="I5375">
        <v>15</v>
      </c>
      <c r="J5375">
        <v>0</v>
      </c>
      <c r="K5375">
        <v>0.5</v>
      </c>
      <c r="L5375">
        <v>51539</v>
      </c>
      <c r="M5375" t="str">
        <f t="shared" si="828"/>
        <v>13</v>
      </c>
      <c r="N5375" t="s">
        <v>3323</v>
      </c>
      <c r="O5375" t="str">
        <f t="shared" si="829"/>
        <v>72511</v>
      </c>
      <c r="P5375" t="str">
        <f>"3030L"</f>
        <v>3030L</v>
      </c>
      <c r="Q5375" t="str">
        <f t="shared" si="830"/>
        <v>0101</v>
      </c>
      <c r="R5375">
        <v>3030</v>
      </c>
      <c r="S5375" t="str">
        <f t="shared" si="831"/>
        <v>7250</v>
      </c>
      <c r="T5375" t="s">
        <v>3859</v>
      </c>
      <c r="U5375" t="s">
        <v>2232</v>
      </c>
    </row>
    <row r="5376" spans="1:21" ht="15" customHeight="1" x14ac:dyDescent="0.3">
      <c r="A5376" t="s">
        <v>179</v>
      </c>
      <c r="B5376" t="str">
        <f>"00051683"</f>
        <v>00051683</v>
      </c>
      <c r="C5376" t="s">
        <v>4254</v>
      </c>
      <c r="D5376" t="s">
        <v>2407</v>
      </c>
      <c r="E5376" t="str">
        <f>"00002267"</f>
        <v>00002267</v>
      </c>
      <c r="F5376">
        <v>2</v>
      </c>
      <c r="G5376" s="243">
        <v>26207</v>
      </c>
      <c r="H5376" t="s">
        <v>182</v>
      </c>
      <c r="I5376">
        <v>15</v>
      </c>
      <c r="J5376">
        <v>16</v>
      </c>
      <c r="K5376">
        <v>1</v>
      </c>
      <c r="L5376">
        <v>100839</v>
      </c>
      <c r="M5376" t="str">
        <f t="shared" si="828"/>
        <v>13</v>
      </c>
      <c r="N5376" t="s">
        <v>3323</v>
      </c>
      <c r="O5376" t="str">
        <f t="shared" ref="O5376:O5394" si="833">"72611"</f>
        <v>72611</v>
      </c>
      <c r="P5376" t="str">
        <f>"2100L"</f>
        <v>2100L</v>
      </c>
      <c r="Q5376" t="str">
        <f t="shared" si="830"/>
        <v>0101</v>
      </c>
      <c r="R5376">
        <v>2100</v>
      </c>
      <c r="S5376" t="str">
        <f t="shared" ref="S5376:S5401" si="834">"7260"</f>
        <v>7260</v>
      </c>
      <c r="T5376" t="s">
        <v>3838</v>
      </c>
      <c r="U5376" t="s">
        <v>107</v>
      </c>
    </row>
    <row r="5377" spans="1:21" ht="15" customHeight="1" x14ac:dyDescent="0.3">
      <c r="A5377" t="s">
        <v>179</v>
      </c>
      <c r="B5377" t="str">
        <f>"00051725"</f>
        <v>00051725</v>
      </c>
      <c r="C5377" t="s">
        <v>4255</v>
      </c>
      <c r="D5377" t="s">
        <v>2408</v>
      </c>
      <c r="E5377" t="str">
        <f>"00045673"</f>
        <v>00045673</v>
      </c>
      <c r="F5377">
        <v>0</v>
      </c>
      <c r="G5377" s="243">
        <v>31236</v>
      </c>
      <c r="H5377" t="s">
        <v>182</v>
      </c>
      <c r="I5377">
        <v>15</v>
      </c>
      <c r="J5377">
        <v>16</v>
      </c>
      <c r="K5377">
        <v>1</v>
      </c>
      <c r="L5377">
        <v>103347</v>
      </c>
      <c r="M5377" t="str">
        <f t="shared" si="828"/>
        <v>13</v>
      </c>
      <c r="N5377" t="s">
        <v>3323</v>
      </c>
      <c r="O5377" t="str">
        <f t="shared" si="833"/>
        <v>72611</v>
      </c>
      <c r="P5377" t="str">
        <f>"2100L"</f>
        <v>2100L</v>
      </c>
      <c r="Q5377" t="str">
        <f t="shared" si="830"/>
        <v>0101</v>
      </c>
      <c r="R5377">
        <v>2100</v>
      </c>
      <c r="S5377" t="str">
        <f t="shared" si="834"/>
        <v>7260</v>
      </c>
      <c r="T5377" t="s">
        <v>3838</v>
      </c>
      <c r="U5377" t="s">
        <v>107</v>
      </c>
    </row>
    <row r="5378" spans="1:21" ht="15" customHeight="1" x14ac:dyDescent="0.3">
      <c r="A5378" t="s">
        <v>179</v>
      </c>
      <c r="B5378" t="str">
        <f>"00051759"</f>
        <v>00051759</v>
      </c>
      <c r="C5378" t="s">
        <v>4260</v>
      </c>
      <c r="D5378" t="s">
        <v>2410</v>
      </c>
      <c r="E5378" t="str">
        <f>"00045784"</f>
        <v>00045784</v>
      </c>
      <c r="F5378">
        <v>0</v>
      </c>
      <c r="G5378" s="243">
        <v>32050</v>
      </c>
      <c r="H5378" t="s">
        <v>182</v>
      </c>
      <c r="I5378">
        <v>15</v>
      </c>
      <c r="J5378">
        <v>16</v>
      </c>
      <c r="K5378">
        <v>1</v>
      </c>
      <c r="L5378">
        <v>103347</v>
      </c>
      <c r="M5378" t="str">
        <f t="shared" si="828"/>
        <v>13</v>
      </c>
      <c r="N5378" t="s">
        <v>3323</v>
      </c>
      <c r="O5378" t="str">
        <f t="shared" si="833"/>
        <v>72611</v>
      </c>
      <c r="P5378" t="str">
        <f>"3030L"</f>
        <v>3030L</v>
      </c>
      <c r="Q5378" t="str">
        <f t="shared" si="830"/>
        <v>0101</v>
      </c>
      <c r="R5378">
        <v>3030</v>
      </c>
      <c r="S5378" t="str">
        <f t="shared" si="834"/>
        <v>7260</v>
      </c>
      <c r="T5378" t="s">
        <v>3838</v>
      </c>
      <c r="U5378" t="s">
        <v>107</v>
      </c>
    </row>
    <row r="5379" spans="1:21" ht="15" customHeight="1" x14ac:dyDescent="0.3">
      <c r="A5379" t="s">
        <v>179</v>
      </c>
      <c r="B5379" t="str">
        <f>"00052541"</f>
        <v>00052541</v>
      </c>
      <c r="C5379" t="s">
        <v>4367</v>
      </c>
      <c r="D5379" t="s">
        <v>5868</v>
      </c>
      <c r="E5379" t="str">
        <f>"00048520"</f>
        <v>00048520</v>
      </c>
      <c r="F5379">
        <v>0</v>
      </c>
      <c r="G5379" s="243">
        <v>30327</v>
      </c>
      <c r="H5379" t="s">
        <v>182</v>
      </c>
      <c r="I5379">
        <v>9</v>
      </c>
      <c r="J5379">
        <v>10</v>
      </c>
      <c r="K5379">
        <v>1</v>
      </c>
      <c r="L5379">
        <v>47347</v>
      </c>
      <c r="M5379" t="str">
        <f t="shared" si="828"/>
        <v>13</v>
      </c>
      <c r="N5379" t="s">
        <v>3323</v>
      </c>
      <c r="O5379" t="str">
        <f t="shared" si="833"/>
        <v>72611</v>
      </c>
      <c r="P5379" t="str">
        <f t="shared" ref="P5379:P5384" si="835">"2100L"</f>
        <v>2100L</v>
      </c>
      <c r="Q5379" t="str">
        <f t="shared" si="830"/>
        <v>0101</v>
      </c>
      <c r="R5379">
        <v>2100</v>
      </c>
      <c r="S5379" t="str">
        <f t="shared" si="834"/>
        <v>7260</v>
      </c>
      <c r="T5379" t="s">
        <v>3838</v>
      </c>
      <c r="U5379" t="s">
        <v>107</v>
      </c>
    </row>
    <row r="5380" spans="1:21" ht="15" customHeight="1" x14ac:dyDescent="0.3">
      <c r="A5380" t="s">
        <v>179</v>
      </c>
      <c r="B5380" t="str">
        <f>"00052598"</f>
        <v>00052598</v>
      </c>
      <c r="C5380" t="s">
        <v>4255</v>
      </c>
      <c r="D5380" t="s">
        <v>2411</v>
      </c>
      <c r="E5380" t="str">
        <f>"00048653"</f>
        <v>00048653</v>
      </c>
      <c r="F5380">
        <v>0</v>
      </c>
      <c r="G5380" s="243">
        <v>31173</v>
      </c>
      <c r="H5380" t="s">
        <v>182</v>
      </c>
      <c r="I5380">
        <v>15</v>
      </c>
      <c r="J5380">
        <v>16</v>
      </c>
      <c r="K5380">
        <v>1</v>
      </c>
      <c r="L5380">
        <v>100839</v>
      </c>
      <c r="M5380" t="str">
        <f t="shared" si="828"/>
        <v>13</v>
      </c>
      <c r="N5380" t="s">
        <v>3323</v>
      </c>
      <c r="O5380" t="str">
        <f t="shared" si="833"/>
        <v>72611</v>
      </c>
      <c r="P5380" t="str">
        <f t="shared" si="835"/>
        <v>2100L</v>
      </c>
      <c r="Q5380" t="str">
        <f t="shared" si="830"/>
        <v>0101</v>
      </c>
      <c r="R5380">
        <v>2100</v>
      </c>
      <c r="S5380" t="str">
        <f t="shared" si="834"/>
        <v>7260</v>
      </c>
      <c r="T5380" t="s">
        <v>3838</v>
      </c>
      <c r="U5380" t="s">
        <v>107</v>
      </c>
    </row>
    <row r="5381" spans="1:21" ht="15" customHeight="1" x14ac:dyDescent="0.3">
      <c r="A5381" t="s">
        <v>179</v>
      </c>
      <c r="B5381" t="str">
        <f>"00053035"</f>
        <v>00053035</v>
      </c>
      <c r="C5381" t="s">
        <v>4255</v>
      </c>
      <c r="D5381" t="s">
        <v>5869</v>
      </c>
      <c r="E5381" t="str">
        <f>"00054673"</f>
        <v>00054673</v>
      </c>
      <c r="F5381">
        <v>0</v>
      </c>
      <c r="G5381" s="243">
        <v>41133</v>
      </c>
      <c r="H5381" t="s">
        <v>182</v>
      </c>
      <c r="I5381">
        <v>15</v>
      </c>
      <c r="J5381">
        <v>16</v>
      </c>
      <c r="K5381">
        <v>1</v>
      </c>
      <c r="L5381">
        <v>106540</v>
      </c>
      <c r="M5381" t="str">
        <f t="shared" si="828"/>
        <v>13</v>
      </c>
      <c r="N5381" t="s">
        <v>3370</v>
      </c>
      <c r="O5381" t="str">
        <f t="shared" si="833"/>
        <v>72611</v>
      </c>
      <c r="P5381" t="str">
        <f t="shared" si="835"/>
        <v>2100L</v>
      </c>
      <c r="Q5381" t="str">
        <f t="shared" si="830"/>
        <v>0101</v>
      </c>
      <c r="R5381">
        <v>2100</v>
      </c>
      <c r="S5381" t="str">
        <f t="shared" si="834"/>
        <v>7260</v>
      </c>
      <c r="T5381" t="s">
        <v>3838</v>
      </c>
      <c r="U5381" t="s">
        <v>107</v>
      </c>
    </row>
    <row r="5382" spans="1:21" ht="15" customHeight="1" x14ac:dyDescent="0.3">
      <c r="A5382" t="s">
        <v>179</v>
      </c>
      <c r="B5382" t="str">
        <f>"00053042"</f>
        <v>00053042</v>
      </c>
      <c r="C5382" t="s">
        <v>4255</v>
      </c>
      <c r="D5382" t="s">
        <v>2413</v>
      </c>
      <c r="E5382" t="str">
        <f>"00050858"</f>
        <v>00050858</v>
      </c>
      <c r="F5382">
        <v>0</v>
      </c>
      <c r="G5382" s="243">
        <v>34213</v>
      </c>
      <c r="H5382" t="s">
        <v>182</v>
      </c>
      <c r="I5382">
        <v>15</v>
      </c>
      <c r="J5382">
        <v>13</v>
      </c>
      <c r="K5382">
        <v>1</v>
      </c>
      <c r="L5382">
        <v>81724</v>
      </c>
      <c r="M5382" t="str">
        <f t="shared" si="828"/>
        <v>13</v>
      </c>
      <c r="N5382" t="s">
        <v>3323</v>
      </c>
      <c r="O5382" t="str">
        <f t="shared" si="833"/>
        <v>72611</v>
      </c>
      <c r="P5382" t="str">
        <f t="shared" si="835"/>
        <v>2100L</v>
      </c>
      <c r="Q5382" t="str">
        <f t="shared" si="830"/>
        <v>0101</v>
      </c>
      <c r="R5382">
        <v>2100</v>
      </c>
      <c r="S5382" t="str">
        <f t="shared" si="834"/>
        <v>7260</v>
      </c>
      <c r="T5382" t="s">
        <v>3838</v>
      </c>
      <c r="U5382" t="s">
        <v>107</v>
      </c>
    </row>
    <row r="5383" spans="1:21" ht="15" customHeight="1" x14ac:dyDescent="0.3">
      <c r="A5383" t="s">
        <v>179</v>
      </c>
      <c r="B5383" t="str">
        <f>"00053801"</f>
        <v>00053801</v>
      </c>
      <c r="C5383" t="s">
        <v>4253</v>
      </c>
      <c r="H5383" t="s">
        <v>170</v>
      </c>
      <c r="I5383">
        <v>15</v>
      </c>
      <c r="J5383">
        <v>1</v>
      </c>
      <c r="K5383">
        <v>1</v>
      </c>
      <c r="L5383">
        <v>60128</v>
      </c>
      <c r="M5383" t="str">
        <f t="shared" si="828"/>
        <v>13</v>
      </c>
      <c r="N5383" t="s">
        <v>3323</v>
      </c>
      <c r="O5383" t="str">
        <f t="shared" si="833"/>
        <v>72611</v>
      </c>
      <c r="P5383" t="str">
        <f t="shared" si="835"/>
        <v>2100L</v>
      </c>
      <c r="Q5383" t="str">
        <f t="shared" ref="Q5383:Q5394" si="836">"0101"</f>
        <v>0101</v>
      </c>
      <c r="R5383">
        <v>2100</v>
      </c>
      <c r="S5383" t="str">
        <f t="shared" si="834"/>
        <v>7260</v>
      </c>
      <c r="T5383" t="s">
        <v>3838</v>
      </c>
      <c r="U5383" t="s">
        <v>107</v>
      </c>
    </row>
    <row r="5384" spans="1:21" ht="15" customHeight="1" x14ac:dyDescent="0.3">
      <c r="A5384" t="s">
        <v>179</v>
      </c>
      <c r="B5384" t="str">
        <f>"00053935"</f>
        <v>00053935</v>
      </c>
      <c r="C5384" t="s">
        <v>4257</v>
      </c>
      <c r="D5384" t="s">
        <v>711</v>
      </c>
      <c r="E5384" t="str">
        <f>"00054966"</f>
        <v>00054966</v>
      </c>
      <c r="F5384">
        <v>0</v>
      </c>
      <c r="G5384" s="243">
        <v>40770</v>
      </c>
      <c r="H5384" t="s">
        <v>182</v>
      </c>
      <c r="I5384">
        <v>15</v>
      </c>
      <c r="J5384">
        <v>13</v>
      </c>
      <c r="K5384">
        <v>1</v>
      </c>
      <c r="L5384">
        <v>86613</v>
      </c>
      <c r="M5384" t="str">
        <f t="shared" si="828"/>
        <v>13</v>
      </c>
      <c r="N5384" t="s">
        <v>3323</v>
      </c>
      <c r="O5384" t="str">
        <f t="shared" si="833"/>
        <v>72611</v>
      </c>
      <c r="P5384" t="str">
        <f t="shared" si="835"/>
        <v>2100L</v>
      </c>
      <c r="Q5384" t="str">
        <f t="shared" si="836"/>
        <v>0101</v>
      </c>
      <c r="R5384">
        <v>2100</v>
      </c>
      <c r="S5384" t="str">
        <f t="shared" si="834"/>
        <v>7260</v>
      </c>
      <c r="T5384" t="s">
        <v>3838</v>
      </c>
      <c r="U5384" t="s">
        <v>107</v>
      </c>
    </row>
    <row r="5385" spans="1:21" ht="15" customHeight="1" x14ac:dyDescent="0.3">
      <c r="A5385" t="s">
        <v>179</v>
      </c>
      <c r="B5385" t="str">
        <f>"00054070"</f>
        <v>00054070</v>
      </c>
      <c r="C5385" t="s">
        <v>4260</v>
      </c>
      <c r="D5385" t="s">
        <v>2415</v>
      </c>
      <c r="E5385" t="str">
        <f>"00052970"</f>
        <v>00052970</v>
      </c>
      <c r="F5385">
        <v>0</v>
      </c>
      <c r="G5385" s="243">
        <v>30070</v>
      </c>
      <c r="H5385" t="s">
        <v>182</v>
      </c>
      <c r="I5385">
        <v>15</v>
      </c>
      <c r="J5385">
        <v>16</v>
      </c>
      <c r="K5385">
        <v>1</v>
      </c>
      <c r="L5385">
        <v>100839</v>
      </c>
      <c r="M5385" t="str">
        <f t="shared" si="828"/>
        <v>13</v>
      </c>
      <c r="N5385" t="s">
        <v>3323</v>
      </c>
      <c r="O5385" t="str">
        <f t="shared" si="833"/>
        <v>72611</v>
      </c>
      <c r="P5385" t="str">
        <f>"3030L"</f>
        <v>3030L</v>
      </c>
      <c r="Q5385" t="str">
        <f t="shared" si="836"/>
        <v>0101</v>
      </c>
      <c r="R5385">
        <v>3030</v>
      </c>
      <c r="S5385" t="str">
        <f t="shared" si="834"/>
        <v>7260</v>
      </c>
      <c r="T5385" t="s">
        <v>3838</v>
      </c>
      <c r="U5385" t="s">
        <v>107</v>
      </c>
    </row>
    <row r="5386" spans="1:21" ht="15" customHeight="1" x14ac:dyDescent="0.3">
      <c r="A5386" t="s">
        <v>179</v>
      </c>
      <c r="B5386" t="str">
        <f>"00054111"</f>
        <v>00054111</v>
      </c>
      <c r="C5386" t="s">
        <v>4260</v>
      </c>
      <c r="D5386" t="s">
        <v>2416</v>
      </c>
      <c r="E5386" t="str">
        <f>"00053046"</f>
        <v>00053046</v>
      </c>
      <c r="F5386">
        <v>0</v>
      </c>
      <c r="G5386" s="243">
        <v>36136</v>
      </c>
      <c r="H5386" t="s">
        <v>182</v>
      </c>
      <c r="I5386">
        <v>15</v>
      </c>
      <c r="J5386">
        <v>12</v>
      </c>
      <c r="K5386">
        <v>1</v>
      </c>
      <c r="L5386">
        <v>87431</v>
      </c>
      <c r="M5386" t="str">
        <f t="shared" si="828"/>
        <v>13</v>
      </c>
      <c r="N5386" t="s">
        <v>3323</v>
      </c>
      <c r="O5386" t="str">
        <f t="shared" si="833"/>
        <v>72611</v>
      </c>
      <c r="P5386" t="str">
        <f>"3030L"</f>
        <v>3030L</v>
      </c>
      <c r="Q5386" t="str">
        <f t="shared" si="836"/>
        <v>0101</v>
      </c>
      <c r="R5386">
        <v>3030</v>
      </c>
      <c r="S5386" t="str">
        <f t="shared" si="834"/>
        <v>7260</v>
      </c>
      <c r="T5386" t="s">
        <v>3838</v>
      </c>
      <c r="U5386" t="s">
        <v>107</v>
      </c>
    </row>
    <row r="5387" spans="1:21" ht="15" customHeight="1" x14ac:dyDescent="0.3">
      <c r="A5387" t="s">
        <v>179</v>
      </c>
      <c r="B5387" t="str">
        <f>"00054350"</f>
        <v>00054350</v>
      </c>
      <c r="C5387" t="s">
        <v>4253</v>
      </c>
      <c r="D5387" t="s">
        <v>4152</v>
      </c>
      <c r="E5387" t="str">
        <f>"00055103"</f>
        <v>00055103</v>
      </c>
      <c r="F5387">
        <v>0</v>
      </c>
      <c r="G5387" s="243">
        <v>38961</v>
      </c>
      <c r="H5387" t="s">
        <v>182</v>
      </c>
      <c r="I5387">
        <v>15</v>
      </c>
      <c r="J5387">
        <v>12</v>
      </c>
      <c r="K5387">
        <v>1</v>
      </c>
      <c r="L5387">
        <v>92613</v>
      </c>
      <c r="M5387" t="str">
        <f t="shared" si="828"/>
        <v>13</v>
      </c>
      <c r="N5387" t="s">
        <v>3370</v>
      </c>
      <c r="O5387" t="str">
        <f t="shared" si="833"/>
        <v>72611</v>
      </c>
      <c r="P5387" t="str">
        <f>"2100L"</f>
        <v>2100L</v>
      </c>
      <c r="Q5387" t="str">
        <f t="shared" si="836"/>
        <v>0101</v>
      </c>
      <c r="R5387">
        <v>2100</v>
      </c>
      <c r="S5387" t="str">
        <f t="shared" si="834"/>
        <v>7260</v>
      </c>
      <c r="T5387" t="s">
        <v>3838</v>
      </c>
      <c r="U5387" t="s">
        <v>107</v>
      </c>
    </row>
    <row r="5388" spans="1:21" ht="15" customHeight="1" x14ac:dyDescent="0.3">
      <c r="A5388" t="s">
        <v>179</v>
      </c>
      <c r="B5388" t="str">
        <f>"00054392"</f>
        <v>00054392</v>
      </c>
      <c r="C5388" t="s">
        <v>4253</v>
      </c>
      <c r="H5388" t="s">
        <v>170</v>
      </c>
      <c r="I5388">
        <v>15</v>
      </c>
      <c r="J5388">
        <v>1</v>
      </c>
      <c r="K5388">
        <v>1</v>
      </c>
      <c r="L5388">
        <v>54975</v>
      </c>
      <c r="M5388" t="str">
        <f t="shared" si="828"/>
        <v>13</v>
      </c>
      <c r="N5388" t="s">
        <v>3323</v>
      </c>
      <c r="O5388" t="str">
        <f t="shared" si="833"/>
        <v>72611</v>
      </c>
      <c r="P5388" t="str">
        <f>"2100L"</f>
        <v>2100L</v>
      </c>
      <c r="Q5388" t="str">
        <f t="shared" si="836"/>
        <v>0101</v>
      </c>
      <c r="R5388">
        <v>2100</v>
      </c>
      <c r="S5388" t="str">
        <f t="shared" si="834"/>
        <v>7260</v>
      </c>
      <c r="T5388" t="s">
        <v>3838</v>
      </c>
      <c r="U5388" t="s">
        <v>107</v>
      </c>
    </row>
    <row r="5389" spans="1:21" ht="15" customHeight="1" x14ac:dyDescent="0.3">
      <c r="A5389" t="s">
        <v>179</v>
      </c>
      <c r="B5389" t="str">
        <f>"00054425"</f>
        <v>00054425</v>
      </c>
      <c r="C5389" t="s">
        <v>4260</v>
      </c>
      <c r="D5389" t="s">
        <v>4149</v>
      </c>
      <c r="E5389" t="str">
        <f>"00065675"</f>
        <v>00065675</v>
      </c>
      <c r="F5389">
        <v>0</v>
      </c>
      <c r="G5389" s="243">
        <v>40755</v>
      </c>
      <c r="H5389" t="s">
        <v>182</v>
      </c>
      <c r="I5389">
        <v>15</v>
      </c>
      <c r="J5389">
        <v>3</v>
      </c>
      <c r="K5389">
        <v>1</v>
      </c>
      <c r="L5389">
        <v>52777</v>
      </c>
      <c r="M5389" t="str">
        <f t="shared" si="828"/>
        <v>13</v>
      </c>
      <c r="N5389" t="s">
        <v>3323</v>
      </c>
      <c r="O5389" t="str">
        <f t="shared" si="833"/>
        <v>72611</v>
      </c>
      <c r="P5389" t="str">
        <f>"3030L"</f>
        <v>3030L</v>
      </c>
      <c r="Q5389" t="str">
        <f t="shared" si="836"/>
        <v>0101</v>
      </c>
      <c r="R5389">
        <v>3030</v>
      </c>
      <c r="S5389" t="str">
        <f t="shared" si="834"/>
        <v>7260</v>
      </c>
      <c r="T5389" t="s">
        <v>3838</v>
      </c>
      <c r="U5389" t="s">
        <v>107</v>
      </c>
    </row>
    <row r="5390" spans="1:21" ht="15" customHeight="1" x14ac:dyDescent="0.3">
      <c r="A5390" t="s">
        <v>179</v>
      </c>
      <c r="B5390" t="str">
        <f>"00054448"</f>
        <v>00054448</v>
      </c>
      <c r="C5390" t="s">
        <v>4254</v>
      </c>
      <c r="D5390" t="s">
        <v>2418</v>
      </c>
      <c r="E5390" t="str">
        <f>"00054037"</f>
        <v>00054037</v>
      </c>
      <c r="F5390">
        <v>0</v>
      </c>
      <c r="G5390" s="243">
        <v>26831</v>
      </c>
      <c r="H5390" t="s">
        <v>182</v>
      </c>
      <c r="I5390">
        <v>15</v>
      </c>
      <c r="J5390">
        <v>16</v>
      </c>
      <c r="K5390">
        <v>1</v>
      </c>
      <c r="L5390">
        <v>100839</v>
      </c>
      <c r="M5390" t="str">
        <f t="shared" si="828"/>
        <v>13</v>
      </c>
      <c r="N5390" t="s">
        <v>3323</v>
      </c>
      <c r="O5390" t="str">
        <f t="shared" si="833"/>
        <v>72611</v>
      </c>
      <c r="P5390" t="str">
        <f>"2100L"</f>
        <v>2100L</v>
      </c>
      <c r="Q5390" t="str">
        <f t="shared" si="836"/>
        <v>0101</v>
      </c>
      <c r="R5390">
        <v>2100</v>
      </c>
      <c r="S5390" t="str">
        <f t="shared" si="834"/>
        <v>7260</v>
      </c>
      <c r="T5390" t="s">
        <v>3838</v>
      </c>
      <c r="U5390" t="s">
        <v>107</v>
      </c>
    </row>
    <row r="5391" spans="1:21" ht="15" customHeight="1" x14ac:dyDescent="0.3">
      <c r="A5391" t="s">
        <v>179</v>
      </c>
      <c r="B5391" t="str">
        <f>"00054571"</f>
        <v>00054571</v>
      </c>
      <c r="C5391" t="s">
        <v>4261</v>
      </c>
      <c r="D5391" t="s">
        <v>2419</v>
      </c>
      <c r="E5391" t="str">
        <f>"00054217"</f>
        <v>00054217</v>
      </c>
      <c r="F5391">
        <v>0</v>
      </c>
      <c r="G5391" s="243">
        <v>31025</v>
      </c>
      <c r="H5391" t="s">
        <v>182</v>
      </c>
      <c r="I5391">
        <v>15</v>
      </c>
      <c r="J5391">
        <v>16</v>
      </c>
      <c r="K5391">
        <v>1</v>
      </c>
      <c r="L5391">
        <v>113681</v>
      </c>
      <c r="M5391" t="str">
        <f t="shared" si="828"/>
        <v>13</v>
      </c>
      <c r="N5391" t="s">
        <v>3323</v>
      </c>
      <c r="O5391" t="str">
        <f t="shared" si="833"/>
        <v>72611</v>
      </c>
      <c r="P5391" t="str">
        <f>"2100L"</f>
        <v>2100L</v>
      </c>
      <c r="Q5391" t="str">
        <f t="shared" si="836"/>
        <v>0101</v>
      </c>
      <c r="R5391">
        <v>2100</v>
      </c>
      <c r="S5391" t="str">
        <f t="shared" si="834"/>
        <v>7260</v>
      </c>
      <c r="T5391" t="s">
        <v>3838</v>
      </c>
      <c r="U5391" t="s">
        <v>107</v>
      </c>
    </row>
    <row r="5392" spans="1:21" ht="15" customHeight="1" x14ac:dyDescent="0.3">
      <c r="A5392" t="s">
        <v>179</v>
      </c>
      <c r="B5392" t="str">
        <f>"00054664"</f>
        <v>00054664</v>
      </c>
      <c r="C5392" t="s">
        <v>4260</v>
      </c>
      <c r="D5392" t="s">
        <v>2420</v>
      </c>
      <c r="E5392" t="str">
        <f>"00054366"</f>
        <v>00054366</v>
      </c>
      <c r="F5392">
        <v>0</v>
      </c>
      <c r="G5392" s="243">
        <v>32050</v>
      </c>
      <c r="H5392" t="s">
        <v>182</v>
      </c>
      <c r="I5392">
        <v>15</v>
      </c>
      <c r="J5392">
        <v>16</v>
      </c>
      <c r="K5392">
        <v>1</v>
      </c>
      <c r="L5392">
        <v>106540</v>
      </c>
      <c r="M5392" t="str">
        <f t="shared" si="828"/>
        <v>13</v>
      </c>
      <c r="N5392" t="s">
        <v>3323</v>
      </c>
      <c r="O5392" t="str">
        <f t="shared" si="833"/>
        <v>72611</v>
      </c>
      <c r="P5392" t="str">
        <f>"3030L"</f>
        <v>3030L</v>
      </c>
      <c r="Q5392" t="str">
        <f t="shared" si="836"/>
        <v>0101</v>
      </c>
      <c r="R5392">
        <v>3030</v>
      </c>
      <c r="S5392" t="str">
        <f t="shared" si="834"/>
        <v>7260</v>
      </c>
      <c r="T5392" t="s">
        <v>3838</v>
      </c>
      <c r="U5392" t="s">
        <v>107</v>
      </c>
    </row>
    <row r="5393" spans="1:21" ht="15" customHeight="1" x14ac:dyDescent="0.3">
      <c r="A5393" t="s">
        <v>179</v>
      </c>
      <c r="B5393" t="str">
        <f>"00055121"</f>
        <v>00055121</v>
      </c>
      <c r="C5393" t="s">
        <v>4258</v>
      </c>
      <c r="D5393" t="s">
        <v>712</v>
      </c>
      <c r="E5393" t="str">
        <f>"00053763"</f>
        <v>00053763</v>
      </c>
      <c r="F5393">
        <v>0</v>
      </c>
      <c r="G5393" s="243">
        <v>36809</v>
      </c>
      <c r="H5393" t="s">
        <v>182</v>
      </c>
      <c r="I5393">
        <v>15</v>
      </c>
      <c r="J5393">
        <v>12</v>
      </c>
      <c r="K5393">
        <v>1</v>
      </c>
      <c r="L5393">
        <v>87431</v>
      </c>
      <c r="M5393" t="str">
        <f t="shared" si="828"/>
        <v>13</v>
      </c>
      <c r="N5393" t="s">
        <v>3323</v>
      </c>
      <c r="O5393" t="str">
        <f t="shared" si="833"/>
        <v>72611</v>
      </c>
      <c r="P5393" t="str">
        <f>"2100L"</f>
        <v>2100L</v>
      </c>
      <c r="Q5393" t="str">
        <f t="shared" si="836"/>
        <v>0101</v>
      </c>
      <c r="R5393">
        <v>2100</v>
      </c>
      <c r="S5393" t="str">
        <f t="shared" si="834"/>
        <v>7260</v>
      </c>
      <c r="T5393" t="s">
        <v>3838</v>
      </c>
      <c r="U5393" t="s">
        <v>107</v>
      </c>
    </row>
    <row r="5394" spans="1:21" ht="15" customHeight="1" x14ac:dyDescent="0.3">
      <c r="A5394" t="s">
        <v>179</v>
      </c>
      <c r="B5394" t="str">
        <f>"00056922"</f>
        <v>00056922</v>
      </c>
      <c r="C5394" t="s">
        <v>3798</v>
      </c>
      <c r="D5394" t="s">
        <v>2421</v>
      </c>
      <c r="E5394" t="str">
        <f>"00054202"</f>
        <v>00054202</v>
      </c>
      <c r="F5394">
        <v>0</v>
      </c>
      <c r="G5394" s="243">
        <v>32756</v>
      </c>
      <c r="H5394" t="s">
        <v>182</v>
      </c>
      <c r="I5394">
        <v>66</v>
      </c>
      <c r="J5394">
        <v>10</v>
      </c>
      <c r="K5394">
        <v>1</v>
      </c>
      <c r="L5394">
        <v>152000</v>
      </c>
      <c r="M5394" t="str">
        <f t="shared" si="828"/>
        <v>13</v>
      </c>
      <c r="N5394" t="s">
        <v>3323</v>
      </c>
      <c r="O5394" t="str">
        <f t="shared" si="833"/>
        <v>72611</v>
      </c>
      <c r="P5394" t="str">
        <f>"1501L"</f>
        <v>1501L</v>
      </c>
      <c r="Q5394" t="str">
        <f t="shared" si="836"/>
        <v>0101</v>
      </c>
      <c r="R5394">
        <v>1501</v>
      </c>
      <c r="S5394" t="str">
        <f t="shared" si="834"/>
        <v>7260</v>
      </c>
      <c r="T5394" t="s">
        <v>3838</v>
      </c>
      <c r="U5394" t="s">
        <v>107</v>
      </c>
    </row>
    <row r="5395" spans="1:21" ht="15" customHeight="1" x14ac:dyDescent="0.3">
      <c r="A5395" t="s">
        <v>179</v>
      </c>
      <c r="B5395" t="str">
        <f>"00057108"</f>
        <v>00057108</v>
      </c>
      <c r="C5395" t="s">
        <v>5657</v>
      </c>
      <c r="D5395" t="s">
        <v>2422</v>
      </c>
      <c r="E5395" t="str">
        <f>"00048744"</f>
        <v>00048744</v>
      </c>
      <c r="F5395">
        <v>0</v>
      </c>
      <c r="G5395" s="243">
        <v>36497</v>
      </c>
      <c r="H5395" t="s">
        <v>182</v>
      </c>
      <c r="I5395">
        <v>15</v>
      </c>
      <c r="J5395">
        <v>10</v>
      </c>
      <c r="K5395">
        <v>0.5</v>
      </c>
      <c r="L5395">
        <v>77862</v>
      </c>
      <c r="M5395" t="str">
        <f t="shared" si="828"/>
        <v>13</v>
      </c>
      <c r="N5395" t="s">
        <v>3323</v>
      </c>
      <c r="O5395" t="str">
        <f>"72682"</f>
        <v>72682</v>
      </c>
      <c r="P5395" t="str">
        <f>"5700S"</f>
        <v>5700S</v>
      </c>
      <c r="Q5395" t="str">
        <f>"0602"</f>
        <v>0602</v>
      </c>
      <c r="R5395">
        <v>5700</v>
      </c>
      <c r="S5395" t="str">
        <f t="shared" si="834"/>
        <v>7260</v>
      </c>
      <c r="T5395" t="s">
        <v>3838</v>
      </c>
      <c r="U5395" t="s">
        <v>107</v>
      </c>
    </row>
    <row r="5396" spans="1:21" ht="15" customHeight="1" x14ac:dyDescent="0.3">
      <c r="A5396" t="s">
        <v>179</v>
      </c>
      <c r="B5396" t="str">
        <f>"00057108"</f>
        <v>00057108</v>
      </c>
      <c r="C5396" t="s">
        <v>5657</v>
      </c>
      <c r="D5396" t="s">
        <v>2422</v>
      </c>
      <c r="E5396" t="str">
        <f>"00048744"</f>
        <v>00048744</v>
      </c>
      <c r="F5396">
        <v>0</v>
      </c>
      <c r="G5396" s="243">
        <v>36497</v>
      </c>
      <c r="H5396" t="s">
        <v>182</v>
      </c>
      <c r="I5396">
        <v>15</v>
      </c>
      <c r="J5396">
        <v>10</v>
      </c>
      <c r="K5396">
        <v>0.5</v>
      </c>
      <c r="L5396">
        <v>77862</v>
      </c>
      <c r="M5396" t="str">
        <f t="shared" si="828"/>
        <v>13</v>
      </c>
      <c r="N5396" t="s">
        <v>3323</v>
      </c>
      <c r="O5396" t="str">
        <f t="shared" ref="O5396:O5408" si="837">"72611"</f>
        <v>72611</v>
      </c>
      <c r="P5396" t="str">
        <f>"5700L"</f>
        <v>5700L</v>
      </c>
      <c r="Q5396" t="str">
        <f t="shared" ref="Q5396:Q5408" si="838">"0101"</f>
        <v>0101</v>
      </c>
      <c r="R5396">
        <v>5700</v>
      </c>
      <c r="S5396" t="str">
        <f t="shared" si="834"/>
        <v>7260</v>
      </c>
      <c r="T5396" t="s">
        <v>3838</v>
      </c>
      <c r="U5396" t="s">
        <v>107</v>
      </c>
    </row>
    <row r="5397" spans="1:21" ht="15" customHeight="1" x14ac:dyDescent="0.3">
      <c r="A5397" t="s">
        <v>179</v>
      </c>
      <c r="B5397" t="str">
        <f>"00057388"</f>
        <v>00057388</v>
      </c>
      <c r="C5397" t="s">
        <v>4290</v>
      </c>
      <c r="D5397" t="s">
        <v>5870</v>
      </c>
      <c r="E5397" t="str">
        <f>"00051411"</f>
        <v>00051411</v>
      </c>
      <c r="F5397">
        <v>0</v>
      </c>
      <c r="G5397" s="243">
        <v>36768</v>
      </c>
      <c r="H5397" t="s">
        <v>182</v>
      </c>
      <c r="I5397">
        <v>4</v>
      </c>
      <c r="J5397">
        <v>8</v>
      </c>
      <c r="K5397">
        <v>0.875</v>
      </c>
      <c r="L5397">
        <v>27329.75</v>
      </c>
      <c r="M5397" t="str">
        <f t="shared" si="828"/>
        <v>13</v>
      </c>
      <c r="N5397" t="s">
        <v>3323</v>
      </c>
      <c r="O5397" t="str">
        <f t="shared" si="837"/>
        <v>72611</v>
      </c>
      <c r="P5397" t="str">
        <f>"2100L"</f>
        <v>2100L</v>
      </c>
      <c r="Q5397" t="str">
        <f t="shared" si="838"/>
        <v>0101</v>
      </c>
      <c r="R5397">
        <v>2100</v>
      </c>
      <c r="S5397" t="str">
        <f t="shared" si="834"/>
        <v>7260</v>
      </c>
      <c r="T5397" t="s">
        <v>3838</v>
      </c>
      <c r="U5397" t="s">
        <v>107</v>
      </c>
    </row>
    <row r="5398" spans="1:21" ht="15" customHeight="1" x14ac:dyDescent="0.3">
      <c r="A5398" t="s">
        <v>179</v>
      </c>
      <c r="B5398" t="str">
        <f>"00057429"</f>
        <v>00057429</v>
      </c>
      <c r="C5398" t="s">
        <v>4253</v>
      </c>
      <c r="H5398" t="s">
        <v>170</v>
      </c>
      <c r="I5398">
        <v>15</v>
      </c>
      <c r="J5398">
        <v>1</v>
      </c>
      <c r="K5398">
        <v>1</v>
      </c>
      <c r="L5398">
        <v>60128</v>
      </c>
      <c r="M5398" t="str">
        <f t="shared" si="828"/>
        <v>13</v>
      </c>
      <c r="N5398" t="s">
        <v>3323</v>
      </c>
      <c r="O5398" t="str">
        <f t="shared" si="837"/>
        <v>72611</v>
      </c>
      <c r="P5398" t="str">
        <f>"2100L"</f>
        <v>2100L</v>
      </c>
      <c r="Q5398" t="str">
        <f t="shared" si="838"/>
        <v>0101</v>
      </c>
      <c r="R5398">
        <v>2100</v>
      </c>
      <c r="S5398" t="str">
        <f t="shared" si="834"/>
        <v>7260</v>
      </c>
      <c r="T5398" t="s">
        <v>3838</v>
      </c>
      <c r="U5398" t="s">
        <v>107</v>
      </c>
    </row>
    <row r="5399" spans="1:21" ht="15" customHeight="1" x14ac:dyDescent="0.3">
      <c r="A5399" t="s">
        <v>179</v>
      </c>
      <c r="B5399" t="str">
        <f>"00057508"</f>
        <v>00057508</v>
      </c>
      <c r="C5399" t="s">
        <v>4290</v>
      </c>
      <c r="D5399" t="s">
        <v>5871</v>
      </c>
      <c r="E5399" t="str">
        <f>"00048288"</f>
        <v>00048288</v>
      </c>
      <c r="F5399">
        <v>0</v>
      </c>
      <c r="G5399" s="243">
        <v>36761</v>
      </c>
      <c r="H5399" t="s">
        <v>182</v>
      </c>
      <c r="I5399">
        <v>4</v>
      </c>
      <c r="J5399">
        <v>8</v>
      </c>
      <c r="K5399">
        <v>0.75</v>
      </c>
      <c r="L5399">
        <v>23425.5</v>
      </c>
      <c r="M5399" t="str">
        <f t="shared" si="828"/>
        <v>13</v>
      </c>
      <c r="N5399" t="s">
        <v>3323</v>
      </c>
      <c r="O5399" t="str">
        <f t="shared" si="837"/>
        <v>72611</v>
      </c>
      <c r="P5399" t="str">
        <f>"2100L"</f>
        <v>2100L</v>
      </c>
      <c r="Q5399" t="str">
        <f t="shared" si="838"/>
        <v>0101</v>
      </c>
      <c r="R5399">
        <v>2100</v>
      </c>
      <c r="S5399" t="str">
        <f t="shared" si="834"/>
        <v>7260</v>
      </c>
      <c r="T5399" t="s">
        <v>3838</v>
      </c>
      <c r="U5399" t="s">
        <v>107</v>
      </c>
    </row>
    <row r="5400" spans="1:21" ht="15" customHeight="1" x14ac:dyDescent="0.3">
      <c r="A5400" t="s">
        <v>179</v>
      </c>
      <c r="B5400" t="str">
        <f>"00058193"</f>
        <v>00058193</v>
      </c>
      <c r="C5400" t="s">
        <v>4253</v>
      </c>
      <c r="D5400" t="s">
        <v>2424</v>
      </c>
      <c r="E5400" t="str">
        <f>"00056912"</f>
        <v>00056912</v>
      </c>
      <c r="F5400">
        <v>0</v>
      </c>
      <c r="G5400" s="243">
        <v>40042</v>
      </c>
      <c r="H5400" t="s">
        <v>182</v>
      </c>
      <c r="I5400">
        <v>15</v>
      </c>
      <c r="J5400">
        <v>3</v>
      </c>
      <c r="K5400">
        <v>1</v>
      </c>
      <c r="L5400">
        <v>58699</v>
      </c>
      <c r="M5400" t="str">
        <f t="shared" si="828"/>
        <v>13</v>
      </c>
      <c r="N5400" t="s">
        <v>3323</v>
      </c>
      <c r="O5400" t="str">
        <f t="shared" si="837"/>
        <v>72611</v>
      </c>
      <c r="P5400" t="str">
        <f>"2100L"</f>
        <v>2100L</v>
      </c>
      <c r="Q5400" t="str">
        <f t="shared" si="838"/>
        <v>0101</v>
      </c>
      <c r="R5400">
        <v>2100</v>
      </c>
      <c r="S5400" t="str">
        <f t="shared" si="834"/>
        <v>7260</v>
      </c>
      <c r="T5400" t="s">
        <v>3838</v>
      </c>
      <c r="U5400" t="s">
        <v>107</v>
      </c>
    </row>
    <row r="5401" spans="1:21" ht="15" customHeight="1" x14ac:dyDescent="0.3">
      <c r="A5401" t="s">
        <v>179</v>
      </c>
      <c r="B5401" t="str">
        <f>"00058273"</f>
        <v>00058273</v>
      </c>
      <c r="C5401" t="s">
        <v>4260</v>
      </c>
      <c r="D5401" t="s">
        <v>2425</v>
      </c>
      <c r="E5401" t="str">
        <f>"00047485"</f>
        <v>00047485</v>
      </c>
      <c r="F5401">
        <v>0</v>
      </c>
      <c r="G5401" s="243">
        <v>38949</v>
      </c>
      <c r="H5401" t="s">
        <v>182</v>
      </c>
      <c r="I5401">
        <v>15</v>
      </c>
      <c r="J5401">
        <v>15</v>
      </c>
      <c r="K5401">
        <v>1</v>
      </c>
      <c r="L5401">
        <v>103985</v>
      </c>
      <c r="M5401" t="str">
        <f t="shared" si="828"/>
        <v>13</v>
      </c>
      <c r="N5401" t="s">
        <v>3323</v>
      </c>
      <c r="O5401" t="str">
        <f t="shared" si="837"/>
        <v>72611</v>
      </c>
      <c r="P5401" t="str">
        <f>"3030L"</f>
        <v>3030L</v>
      </c>
      <c r="Q5401" t="str">
        <f t="shared" si="838"/>
        <v>0101</v>
      </c>
      <c r="R5401">
        <v>3030</v>
      </c>
      <c r="S5401" t="str">
        <f t="shared" si="834"/>
        <v>7260</v>
      </c>
      <c r="T5401" t="s">
        <v>3838</v>
      </c>
      <c r="U5401" t="s">
        <v>107</v>
      </c>
    </row>
    <row r="5402" spans="1:21" ht="15" customHeight="1" x14ac:dyDescent="0.3">
      <c r="A5402" t="s">
        <v>179</v>
      </c>
      <c r="B5402" t="str">
        <f>"00058387"</f>
        <v>00058387</v>
      </c>
      <c r="C5402" t="s">
        <v>4410</v>
      </c>
      <c r="H5402" t="s">
        <v>170</v>
      </c>
      <c r="I5402">
        <v>5</v>
      </c>
      <c r="J5402">
        <v>1</v>
      </c>
      <c r="K5402">
        <v>1</v>
      </c>
      <c r="L5402">
        <v>28486</v>
      </c>
      <c r="M5402" t="str">
        <f t="shared" si="828"/>
        <v>13</v>
      </c>
      <c r="N5402" t="s">
        <v>3323</v>
      </c>
      <c r="O5402" t="str">
        <f t="shared" si="837"/>
        <v>72611</v>
      </c>
      <c r="P5402" t="str">
        <f>"2100L"</f>
        <v>2100L</v>
      </c>
      <c r="Q5402" t="str">
        <f t="shared" si="838"/>
        <v>0101</v>
      </c>
      <c r="R5402">
        <v>2100</v>
      </c>
      <c r="S5402" t="str">
        <f t="shared" ref="S5402:S5428" si="839">"7260"</f>
        <v>7260</v>
      </c>
      <c r="T5402" t="s">
        <v>3838</v>
      </c>
      <c r="U5402" t="s">
        <v>107</v>
      </c>
    </row>
    <row r="5403" spans="1:21" ht="15" customHeight="1" x14ac:dyDescent="0.3">
      <c r="A5403" t="s">
        <v>179</v>
      </c>
      <c r="B5403" t="str">
        <f>"00058545"</f>
        <v>00058545</v>
      </c>
      <c r="C5403" t="s">
        <v>4290</v>
      </c>
      <c r="D5403" t="s">
        <v>5872</v>
      </c>
      <c r="E5403" t="str">
        <f>"00049585"</f>
        <v>00049585</v>
      </c>
      <c r="F5403">
        <v>0</v>
      </c>
      <c r="G5403" s="243">
        <v>37328</v>
      </c>
      <c r="H5403" t="s">
        <v>182</v>
      </c>
      <c r="I5403">
        <v>4</v>
      </c>
      <c r="J5403">
        <v>9</v>
      </c>
      <c r="K5403">
        <v>0.875</v>
      </c>
      <c r="L5403">
        <v>32029</v>
      </c>
      <c r="M5403" t="str">
        <f t="shared" si="828"/>
        <v>13</v>
      </c>
      <c r="N5403" t="s">
        <v>3323</v>
      </c>
      <c r="O5403" t="str">
        <f t="shared" si="837"/>
        <v>72611</v>
      </c>
      <c r="P5403" t="str">
        <f>"2100L"</f>
        <v>2100L</v>
      </c>
      <c r="Q5403" t="str">
        <f t="shared" si="838"/>
        <v>0101</v>
      </c>
      <c r="R5403">
        <v>2100</v>
      </c>
      <c r="S5403" t="str">
        <f t="shared" si="839"/>
        <v>7260</v>
      </c>
      <c r="T5403" t="s">
        <v>3838</v>
      </c>
      <c r="U5403" t="s">
        <v>107</v>
      </c>
    </row>
    <row r="5404" spans="1:21" ht="15" customHeight="1" x14ac:dyDescent="0.3">
      <c r="A5404" t="s">
        <v>179</v>
      </c>
      <c r="B5404" t="str">
        <f>"00059350"</f>
        <v>00059350</v>
      </c>
      <c r="C5404" t="s">
        <v>4290</v>
      </c>
      <c r="D5404" t="s">
        <v>5873</v>
      </c>
      <c r="E5404" t="str">
        <f>"00053058"</f>
        <v>00053058</v>
      </c>
      <c r="F5404">
        <v>0</v>
      </c>
      <c r="G5404" s="243">
        <v>34151</v>
      </c>
      <c r="H5404" t="s">
        <v>182</v>
      </c>
      <c r="I5404">
        <v>4</v>
      </c>
      <c r="J5404">
        <v>9</v>
      </c>
      <c r="K5404">
        <v>0.875</v>
      </c>
      <c r="L5404">
        <v>28025.38</v>
      </c>
      <c r="M5404" t="str">
        <f t="shared" si="828"/>
        <v>13</v>
      </c>
      <c r="N5404" t="s">
        <v>3323</v>
      </c>
      <c r="O5404" t="str">
        <f t="shared" si="837"/>
        <v>72611</v>
      </c>
      <c r="P5404" t="str">
        <f>"3030L"</f>
        <v>3030L</v>
      </c>
      <c r="Q5404" t="str">
        <f t="shared" si="838"/>
        <v>0101</v>
      </c>
      <c r="R5404">
        <v>3030</v>
      </c>
      <c r="S5404" t="str">
        <f t="shared" si="839"/>
        <v>7260</v>
      </c>
      <c r="T5404" t="s">
        <v>3838</v>
      </c>
      <c r="U5404" t="s">
        <v>107</v>
      </c>
    </row>
    <row r="5405" spans="1:21" ht="15" customHeight="1" x14ac:dyDescent="0.3">
      <c r="A5405" t="s">
        <v>179</v>
      </c>
      <c r="B5405" t="str">
        <f>"00060681"</f>
        <v>00060681</v>
      </c>
      <c r="C5405" t="s">
        <v>4253</v>
      </c>
      <c r="D5405" t="s">
        <v>2426</v>
      </c>
      <c r="E5405" t="str">
        <f>"00051901"</f>
        <v>00051901</v>
      </c>
      <c r="F5405">
        <v>0</v>
      </c>
      <c r="G5405" s="243">
        <v>39104</v>
      </c>
      <c r="H5405" t="s">
        <v>182</v>
      </c>
      <c r="I5405">
        <v>15</v>
      </c>
      <c r="J5405">
        <v>12</v>
      </c>
      <c r="K5405">
        <v>1</v>
      </c>
      <c r="L5405">
        <v>87431</v>
      </c>
      <c r="M5405" t="str">
        <f t="shared" si="828"/>
        <v>13</v>
      </c>
      <c r="N5405" t="s">
        <v>3323</v>
      </c>
      <c r="O5405" t="str">
        <f t="shared" si="837"/>
        <v>72611</v>
      </c>
      <c r="P5405" t="str">
        <f>"2100L"</f>
        <v>2100L</v>
      </c>
      <c r="Q5405" t="str">
        <f t="shared" si="838"/>
        <v>0101</v>
      </c>
      <c r="R5405">
        <v>2100</v>
      </c>
      <c r="S5405" t="str">
        <f t="shared" si="839"/>
        <v>7260</v>
      </c>
      <c r="T5405" t="s">
        <v>3838</v>
      </c>
      <c r="U5405" t="s">
        <v>107</v>
      </c>
    </row>
    <row r="5406" spans="1:21" ht="15" customHeight="1" x14ac:dyDescent="0.3">
      <c r="A5406" t="s">
        <v>179</v>
      </c>
      <c r="B5406" t="str">
        <f>"00060898"</f>
        <v>00060898</v>
      </c>
      <c r="C5406" t="s">
        <v>4260</v>
      </c>
      <c r="D5406" t="s">
        <v>2427</v>
      </c>
      <c r="E5406" t="str">
        <f>"00046030"</f>
        <v>00046030</v>
      </c>
      <c r="F5406">
        <v>0</v>
      </c>
      <c r="G5406" s="243">
        <v>39314</v>
      </c>
      <c r="H5406" t="s">
        <v>182</v>
      </c>
      <c r="I5406">
        <v>15</v>
      </c>
      <c r="J5406">
        <v>6</v>
      </c>
      <c r="K5406">
        <v>1</v>
      </c>
      <c r="L5406">
        <v>66078</v>
      </c>
      <c r="M5406" t="str">
        <f t="shared" ref="M5406:M5463" si="840">"13"</f>
        <v>13</v>
      </c>
      <c r="N5406" t="s">
        <v>3323</v>
      </c>
      <c r="O5406" t="str">
        <f t="shared" si="837"/>
        <v>72611</v>
      </c>
      <c r="P5406" t="str">
        <f>"2100L"</f>
        <v>2100L</v>
      </c>
      <c r="Q5406" t="str">
        <f t="shared" si="838"/>
        <v>0101</v>
      </c>
      <c r="R5406">
        <v>2100</v>
      </c>
      <c r="S5406" t="str">
        <f t="shared" si="839"/>
        <v>7260</v>
      </c>
      <c r="T5406" t="s">
        <v>3838</v>
      </c>
      <c r="U5406" t="s">
        <v>107</v>
      </c>
    </row>
    <row r="5407" spans="1:21" ht="15" customHeight="1" x14ac:dyDescent="0.3">
      <c r="A5407" t="s">
        <v>179</v>
      </c>
      <c r="B5407" t="str">
        <f>"00061323"</f>
        <v>00061323</v>
      </c>
      <c r="C5407" t="s">
        <v>4261</v>
      </c>
      <c r="D5407" t="s">
        <v>4144</v>
      </c>
      <c r="E5407" t="str">
        <f>"00048708"</f>
        <v>00048708</v>
      </c>
      <c r="F5407">
        <v>0</v>
      </c>
      <c r="G5407" s="243">
        <v>39315</v>
      </c>
      <c r="H5407" t="s">
        <v>182</v>
      </c>
      <c r="I5407">
        <v>15</v>
      </c>
      <c r="J5407">
        <v>7</v>
      </c>
      <c r="K5407">
        <v>1</v>
      </c>
      <c r="L5407">
        <v>76045</v>
      </c>
      <c r="M5407" t="str">
        <f t="shared" si="840"/>
        <v>13</v>
      </c>
      <c r="N5407" t="s">
        <v>3323</v>
      </c>
      <c r="O5407" t="str">
        <f t="shared" si="837"/>
        <v>72611</v>
      </c>
      <c r="P5407" t="str">
        <f>"2100L"</f>
        <v>2100L</v>
      </c>
      <c r="Q5407" t="str">
        <f t="shared" si="838"/>
        <v>0101</v>
      </c>
      <c r="R5407">
        <v>2100</v>
      </c>
      <c r="S5407" t="str">
        <f t="shared" si="839"/>
        <v>7260</v>
      </c>
      <c r="T5407" t="s">
        <v>3838</v>
      </c>
      <c r="U5407" t="s">
        <v>107</v>
      </c>
    </row>
    <row r="5408" spans="1:21" ht="15" customHeight="1" x14ac:dyDescent="0.3">
      <c r="A5408" t="s">
        <v>179</v>
      </c>
      <c r="B5408" t="str">
        <f>"00061417"</f>
        <v>00061417</v>
      </c>
      <c r="C5408" t="s">
        <v>4260</v>
      </c>
      <c r="D5408" t="s">
        <v>2428</v>
      </c>
      <c r="E5408" t="str">
        <f>"00044731"</f>
        <v>00044731</v>
      </c>
      <c r="F5408">
        <v>0</v>
      </c>
      <c r="G5408" s="243">
        <v>39315</v>
      </c>
      <c r="H5408" t="s">
        <v>182</v>
      </c>
      <c r="I5408">
        <v>15</v>
      </c>
      <c r="J5408">
        <v>5</v>
      </c>
      <c r="K5408">
        <v>1</v>
      </c>
      <c r="L5408">
        <v>63611</v>
      </c>
      <c r="M5408" t="str">
        <f t="shared" si="840"/>
        <v>13</v>
      </c>
      <c r="N5408" t="s">
        <v>3323</v>
      </c>
      <c r="O5408" t="str">
        <f t="shared" si="837"/>
        <v>72611</v>
      </c>
      <c r="P5408" t="str">
        <f>"3030L"</f>
        <v>3030L</v>
      </c>
      <c r="Q5408" t="str">
        <f t="shared" si="838"/>
        <v>0101</v>
      </c>
      <c r="R5408">
        <v>3030</v>
      </c>
      <c r="S5408" t="str">
        <f t="shared" si="839"/>
        <v>7260</v>
      </c>
      <c r="T5408" t="s">
        <v>3838</v>
      </c>
      <c r="U5408" t="s">
        <v>107</v>
      </c>
    </row>
    <row r="5409" spans="1:21" ht="15" customHeight="1" x14ac:dyDescent="0.3">
      <c r="A5409" t="s">
        <v>179</v>
      </c>
      <c r="B5409" t="str">
        <f>"00061558"</f>
        <v>00061558</v>
      </c>
      <c r="C5409" t="s">
        <v>5657</v>
      </c>
      <c r="D5409" t="s">
        <v>2429</v>
      </c>
      <c r="E5409" t="str">
        <f>"00050022"</f>
        <v>00050022</v>
      </c>
      <c r="F5409">
        <v>0</v>
      </c>
      <c r="G5409" s="243">
        <v>39364</v>
      </c>
      <c r="H5409" t="s">
        <v>182</v>
      </c>
      <c r="I5409">
        <v>15</v>
      </c>
      <c r="J5409">
        <v>11</v>
      </c>
      <c r="K5409">
        <v>0.5</v>
      </c>
      <c r="L5409">
        <v>78805</v>
      </c>
      <c r="M5409" t="str">
        <f t="shared" si="840"/>
        <v>13</v>
      </c>
      <c r="N5409" t="s">
        <v>3323</v>
      </c>
      <c r="O5409" t="str">
        <f>"72682"</f>
        <v>72682</v>
      </c>
      <c r="P5409" t="str">
        <f>"5700S"</f>
        <v>5700S</v>
      </c>
      <c r="Q5409" t="str">
        <f>"0602"</f>
        <v>0602</v>
      </c>
      <c r="R5409">
        <v>5700</v>
      </c>
      <c r="S5409" t="str">
        <f t="shared" si="839"/>
        <v>7260</v>
      </c>
      <c r="T5409" t="s">
        <v>3838</v>
      </c>
      <c r="U5409" t="s">
        <v>107</v>
      </c>
    </row>
    <row r="5410" spans="1:21" ht="15" customHeight="1" x14ac:dyDescent="0.3">
      <c r="A5410" t="s">
        <v>179</v>
      </c>
      <c r="B5410" t="str">
        <f>"00061558"</f>
        <v>00061558</v>
      </c>
      <c r="C5410" t="s">
        <v>5657</v>
      </c>
      <c r="D5410" t="s">
        <v>2429</v>
      </c>
      <c r="E5410" t="str">
        <f>"00050022"</f>
        <v>00050022</v>
      </c>
      <c r="F5410">
        <v>0</v>
      </c>
      <c r="G5410" s="243">
        <v>39364</v>
      </c>
      <c r="H5410" t="s">
        <v>182</v>
      </c>
      <c r="I5410">
        <v>15</v>
      </c>
      <c r="J5410">
        <v>11</v>
      </c>
      <c r="K5410">
        <v>0.5</v>
      </c>
      <c r="L5410">
        <v>78805</v>
      </c>
      <c r="M5410" t="str">
        <f t="shared" si="840"/>
        <v>13</v>
      </c>
      <c r="N5410" t="s">
        <v>3323</v>
      </c>
      <c r="O5410" t="str">
        <f t="shared" ref="O5410:O5438" si="841">"72611"</f>
        <v>72611</v>
      </c>
      <c r="P5410" t="str">
        <f>"5700L"</f>
        <v>5700L</v>
      </c>
      <c r="Q5410" t="str">
        <f t="shared" ref="Q5410:Q5452" si="842">"0101"</f>
        <v>0101</v>
      </c>
      <c r="R5410">
        <v>5700</v>
      </c>
      <c r="S5410" t="str">
        <f t="shared" si="839"/>
        <v>7260</v>
      </c>
      <c r="T5410" t="s">
        <v>3838</v>
      </c>
      <c r="U5410" t="s">
        <v>107</v>
      </c>
    </row>
    <row r="5411" spans="1:21" ht="15" customHeight="1" x14ac:dyDescent="0.3">
      <c r="A5411" t="s">
        <v>179</v>
      </c>
      <c r="B5411" t="str">
        <f>"00061969"</f>
        <v>00061969</v>
      </c>
      <c r="C5411" t="s">
        <v>4260</v>
      </c>
      <c r="D5411" t="s">
        <v>2430</v>
      </c>
      <c r="E5411" t="str">
        <f>"00050227"</f>
        <v>00050227</v>
      </c>
      <c r="F5411">
        <v>0</v>
      </c>
      <c r="G5411" s="243">
        <v>39679</v>
      </c>
      <c r="H5411" t="s">
        <v>182</v>
      </c>
      <c r="I5411">
        <v>15</v>
      </c>
      <c r="J5411">
        <v>12</v>
      </c>
      <c r="K5411">
        <v>1</v>
      </c>
      <c r="L5411">
        <v>89887</v>
      </c>
      <c r="M5411" t="str">
        <f t="shared" si="840"/>
        <v>13</v>
      </c>
      <c r="N5411" t="s">
        <v>3323</v>
      </c>
      <c r="O5411" t="str">
        <f t="shared" si="841"/>
        <v>72611</v>
      </c>
      <c r="P5411" t="str">
        <f>"3030L"</f>
        <v>3030L</v>
      </c>
      <c r="Q5411" t="str">
        <f t="shared" si="842"/>
        <v>0101</v>
      </c>
      <c r="R5411">
        <v>3030</v>
      </c>
      <c r="S5411" t="str">
        <f t="shared" si="839"/>
        <v>7260</v>
      </c>
      <c r="T5411" t="s">
        <v>3838</v>
      </c>
      <c r="U5411" t="s">
        <v>107</v>
      </c>
    </row>
    <row r="5412" spans="1:21" ht="15" customHeight="1" x14ac:dyDescent="0.3">
      <c r="A5412" t="s">
        <v>179</v>
      </c>
      <c r="B5412" t="str">
        <f>"00061981"</f>
        <v>00061981</v>
      </c>
      <c r="C5412" t="s">
        <v>4260</v>
      </c>
      <c r="D5412" t="s">
        <v>2409</v>
      </c>
      <c r="E5412" t="str">
        <f>"00045736"</f>
        <v>00045736</v>
      </c>
      <c r="F5412">
        <v>0</v>
      </c>
      <c r="G5412" s="243">
        <v>31160</v>
      </c>
      <c r="H5412" t="s">
        <v>182</v>
      </c>
      <c r="I5412">
        <v>15</v>
      </c>
      <c r="J5412">
        <v>16</v>
      </c>
      <c r="K5412">
        <v>1</v>
      </c>
      <c r="L5412">
        <v>100839</v>
      </c>
      <c r="M5412" t="str">
        <f t="shared" si="840"/>
        <v>13</v>
      </c>
      <c r="N5412" t="s">
        <v>3370</v>
      </c>
      <c r="O5412" t="str">
        <f t="shared" si="841"/>
        <v>72611</v>
      </c>
      <c r="P5412" t="str">
        <f>"3030L"</f>
        <v>3030L</v>
      </c>
      <c r="Q5412" t="str">
        <f t="shared" si="842"/>
        <v>0101</v>
      </c>
      <c r="R5412">
        <v>3030</v>
      </c>
      <c r="S5412" t="str">
        <f t="shared" si="839"/>
        <v>7260</v>
      </c>
      <c r="T5412" t="s">
        <v>3838</v>
      </c>
      <c r="U5412" t="s">
        <v>107</v>
      </c>
    </row>
    <row r="5413" spans="1:21" ht="15" customHeight="1" x14ac:dyDescent="0.3">
      <c r="A5413" t="s">
        <v>179</v>
      </c>
      <c r="B5413" t="str">
        <f>"00062047"</f>
        <v>00062047</v>
      </c>
      <c r="C5413" t="s">
        <v>4253</v>
      </c>
      <c r="H5413" t="s">
        <v>170</v>
      </c>
      <c r="I5413">
        <v>15</v>
      </c>
      <c r="J5413">
        <v>1</v>
      </c>
      <c r="K5413">
        <v>1</v>
      </c>
      <c r="L5413">
        <v>60128</v>
      </c>
      <c r="M5413" t="str">
        <f t="shared" si="840"/>
        <v>13</v>
      </c>
      <c r="N5413" t="s">
        <v>3370</v>
      </c>
      <c r="O5413" t="str">
        <f t="shared" si="841"/>
        <v>72611</v>
      </c>
      <c r="P5413" t="str">
        <f>"2100L"</f>
        <v>2100L</v>
      </c>
      <c r="Q5413" t="str">
        <f t="shared" si="842"/>
        <v>0101</v>
      </c>
      <c r="R5413">
        <v>2100</v>
      </c>
      <c r="S5413" t="str">
        <f t="shared" si="839"/>
        <v>7260</v>
      </c>
      <c r="T5413" t="s">
        <v>3838</v>
      </c>
      <c r="U5413" t="s">
        <v>107</v>
      </c>
    </row>
    <row r="5414" spans="1:21" ht="15" customHeight="1" x14ac:dyDescent="0.3">
      <c r="A5414" t="s">
        <v>179</v>
      </c>
      <c r="B5414" t="str">
        <f>"00062090"</f>
        <v>00062090</v>
      </c>
      <c r="C5414" t="s">
        <v>4253</v>
      </c>
      <c r="H5414" t="s">
        <v>170</v>
      </c>
      <c r="I5414">
        <v>15</v>
      </c>
      <c r="J5414">
        <v>1</v>
      </c>
      <c r="K5414">
        <v>1</v>
      </c>
      <c r="L5414">
        <v>51539</v>
      </c>
      <c r="M5414" t="str">
        <f t="shared" si="840"/>
        <v>13</v>
      </c>
      <c r="N5414" t="s">
        <v>3323</v>
      </c>
      <c r="O5414" t="str">
        <f t="shared" si="841"/>
        <v>72611</v>
      </c>
      <c r="P5414" t="str">
        <f>"2100L"</f>
        <v>2100L</v>
      </c>
      <c r="Q5414" t="str">
        <f t="shared" si="842"/>
        <v>0101</v>
      </c>
      <c r="R5414">
        <v>2100</v>
      </c>
      <c r="S5414" t="str">
        <f t="shared" si="839"/>
        <v>7260</v>
      </c>
      <c r="T5414" t="s">
        <v>3838</v>
      </c>
      <c r="U5414" t="s">
        <v>107</v>
      </c>
    </row>
    <row r="5415" spans="1:21" ht="15" customHeight="1" x14ac:dyDescent="0.3">
      <c r="A5415" t="s">
        <v>179</v>
      </c>
      <c r="B5415" t="str">
        <f>"00062206"</f>
        <v>00062206</v>
      </c>
      <c r="C5415" t="s">
        <v>3670</v>
      </c>
      <c r="D5415" t="s">
        <v>5874</v>
      </c>
      <c r="E5415" t="str">
        <f>"00069678"</f>
        <v>00069678</v>
      </c>
      <c r="F5415">
        <v>0</v>
      </c>
      <c r="G5415" s="243">
        <v>41133</v>
      </c>
      <c r="H5415" t="s">
        <v>182</v>
      </c>
      <c r="I5415">
        <v>8</v>
      </c>
      <c r="J5415">
        <v>4</v>
      </c>
      <c r="K5415">
        <v>1</v>
      </c>
      <c r="L5415">
        <v>89645</v>
      </c>
      <c r="M5415" t="str">
        <f t="shared" si="840"/>
        <v>13</v>
      </c>
      <c r="N5415" t="s">
        <v>3370</v>
      </c>
      <c r="O5415" t="str">
        <f t="shared" si="841"/>
        <v>72611</v>
      </c>
      <c r="P5415" t="str">
        <f>"1501L"</f>
        <v>1501L</v>
      </c>
      <c r="Q5415" t="str">
        <f t="shared" si="842"/>
        <v>0101</v>
      </c>
      <c r="R5415">
        <v>1501</v>
      </c>
      <c r="S5415" t="str">
        <f t="shared" si="839"/>
        <v>7260</v>
      </c>
      <c r="T5415" t="s">
        <v>3838</v>
      </c>
      <c r="U5415" t="s">
        <v>107</v>
      </c>
    </row>
    <row r="5416" spans="1:21" ht="15" customHeight="1" x14ac:dyDescent="0.3">
      <c r="A5416" t="s">
        <v>179</v>
      </c>
      <c r="B5416" t="str">
        <f>"00062423"</f>
        <v>00062423</v>
      </c>
      <c r="C5416" t="s">
        <v>4290</v>
      </c>
      <c r="D5416" t="s">
        <v>5875</v>
      </c>
      <c r="E5416" t="str">
        <f>"00044452"</f>
        <v>00044452</v>
      </c>
      <c r="F5416">
        <v>0</v>
      </c>
      <c r="G5416" s="243">
        <v>39694</v>
      </c>
      <c r="H5416" t="s">
        <v>182</v>
      </c>
      <c r="I5416">
        <v>4</v>
      </c>
      <c r="J5416">
        <v>4</v>
      </c>
      <c r="K5416">
        <v>0.875</v>
      </c>
      <c r="L5416">
        <v>24543.75</v>
      </c>
      <c r="M5416" t="str">
        <f t="shared" si="840"/>
        <v>13</v>
      </c>
      <c r="N5416" t="s">
        <v>3323</v>
      </c>
      <c r="O5416" t="str">
        <f t="shared" si="841"/>
        <v>72611</v>
      </c>
      <c r="P5416" t="str">
        <f>"3030L"</f>
        <v>3030L</v>
      </c>
      <c r="Q5416" t="str">
        <f t="shared" si="842"/>
        <v>0101</v>
      </c>
      <c r="R5416">
        <v>3030</v>
      </c>
      <c r="S5416" t="str">
        <f t="shared" si="839"/>
        <v>7260</v>
      </c>
      <c r="T5416" t="s">
        <v>3838</v>
      </c>
      <c r="U5416" t="s">
        <v>107</v>
      </c>
    </row>
    <row r="5417" spans="1:21" ht="15" customHeight="1" x14ac:dyDescent="0.3">
      <c r="A5417" t="s">
        <v>179</v>
      </c>
      <c r="B5417" t="str">
        <f>"00062497"</f>
        <v>00062497</v>
      </c>
      <c r="C5417" t="s">
        <v>4253</v>
      </c>
      <c r="D5417" t="s">
        <v>2431</v>
      </c>
      <c r="E5417" t="str">
        <f>"00062687"</f>
        <v>00062687</v>
      </c>
      <c r="F5417">
        <v>0</v>
      </c>
      <c r="G5417" s="243">
        <v>40406</v>
      </c>
      <c r="H5417" t="s">
        <v>182</v>
      </c>
      <c r="I5417">
        <v>15</v>
      </c>
      <c r="J5417">
        <v>8</v>
      </c>
      <c r="K5417">
        <v>1</v>
      </c>
      <c r="L5417">
        <v>77101</v>
      </c>
      <c r="M5417" t="str">
        <f t="shared" si="840"/>
        <v>13</v>
      </c>
      <c r="N5417" t="s">
        <v>3323</v>
      </c>
      <c r="O5417" t="str">
        <f t="shared" si="841"/>
        <v>72611</v>
      </c>
      <c r="P5417" t="str">
        <f t="shared" ref="P5417:P5423" si="843">"2100L"</f>
        <v>2100L</v>
      </c>
      <c r="Q5417" t="str">
        <f t="shared" si="842"/>
        <v>0101</v>
      </c>
      <c r="R5417">
        <v>2100</v>
      </c>
      <c r="S5417" t="str">
        <f t="shared" si="839"/>
        <v>7260</v>
      </c>
      <c r="T5417" t="s">
        <v>3838</v>
      </c>
      <c r="U5417" t="s">
        <v>107</v>
      </c>
    </row>
    <row r="5418" spans="1:21" ht="15" customHeight="1" x14ac:dyDescent="0.3">
      <c r="A5418" t="s">
        <v>179</v>
      </c>
      <c r="B5418" t="str">
        <f>"00062562"</f>
        <v>00062562</v>
      </c>
      <c r="C5418" t="s">
        <v>4253</v>
      </c>
      <c r="D5418" t="s">
        <v>1892</v>
      </c>
      <c r="E5418" t="str">
        <f>"00050749"</f>
        <v>00050749</v>
      </c>
      <c r="F5418">
        <v>0</v>
      </c>
      <c r="G5418" s="243">
        <v>41133</v>
      </c>
      <c r="H5418" t="s">
        <v>182</v>
      </c>
      <c r="I5418">
        <v>15</v>
      </c>
      <c r="J5418">
        <v>11</v>
      </c>
      <c r="K5418">
        <v>1</v>
      </c>
      <c r="L5418">
        <v>73325</v>
      </c>
      <c r="M5418" t="str">
        <f t="shared" si="840"/>
        <v>13</v>
      </c>
      <c r="N5418" t="s">
        <v>3323</v>
      </c>
      <c r="O5418" t="str">
        <f t="shared" si="841"/>
        <v>72611</v>
      </c>
      <c r="P5418" t="str">
        <f t="shared" si="843"/>
        <v>2100L</v>
      </c>
      <c r="Q5418" t="str">
        <f t="shared" si="842"/>
        <v>0101</v>
      </c>
      <c r="R5418">
        <v>2100</v>
      </c>
      <c r="S5418" t="str">
        <f t="shared" si="839"/>
        <v>7260</v>
      </c>
      <c r="T5418" t="s">
        <v>3838</v>
      </c>
      <c r="U5418" t="s">
        <v>107</v>
      </c>
    </row>
    <row r="5419" spans="1:21" ht="15" customHeight="1" x14ac:dyDescent="0.3">
      <c r="A5419" t="s">
        <v>179</v>
      </c>
      <c r="B5419" t="str">
        <f>"00062892"</f>
        <v>00062892</v>
      </c>
      <c r="C5419" t="s">
        <v>4253</v>
      </c>
      <c r="D5419" t="s">
        <v>4148</v>
      </c>
      <c r="E5419" t="str">
        <f>"00061842"</f>
        <v>00061842</v>
      </c>
      <c r="F5419">
        <v>0</v>
      </c>
      <c r="G5419" s="243">
        <v>40406</v>
      </c>
      <c r="H5419" t="s">
        <v>182</v>
      </c>
      <c r="I5419">
        <v>15</v>
      </c>
      <c r="J5419">
        <v>8</v>
      </c>
      <c r="K5419">
        <v>1</v>
      </c>
      <c r="L5419">
        <v>72171</v>
      </c>
      <c r="M5419" t="str">
        <f t="shared" si="840"/>
        <v>13</v>
      </c>
      <c r="N5419" t="s">
        <v>3323</v>
      </c>
      <c r="O5419" t="str">
        <f t="shared" si="841"/>
        <v>72611</v>
      </c>
      <c r="P5419" t="str">
        <f t="shared" si="843"/>
        <v>2100L</v>
      </c>
      <c r="Q5419" t="str">
        <f t="shared" si="842"/>
        <v>0101</v>
      </c>
      <c r="R5419">
        <v>2100</v>
      </c>
      <c r="S5419" t="str">
        <f t="shared" si="839"/>
        <v>7260</v>
      </c>
      <c r="T5419" t="s">
        <v>3838</v>
      </c>
      <c r="U5419" t="s">
        <v>107</v>
      </c>
    </row>
    <row r="5420" spans="1:21" ht="15" customHeight="1" x14ac:dyDescent="0.3">
      <c r="A5420" t="s">
        <v>179</v>
      </c>
      <c r="B5420" t="str">
        <f>"00065970"</f>
        <v>00065970</v>
      </c>
      <c r="C5420" t="s">
        <v>4253</v>
      </c>
      <c r="D5420" t="s">
        <v>2423</v>
      </c>
      <c r="E5420" t="str">
        <f>"00047504"</f>
        <v>00047504</v>
      </c>
      <c r="F5420">
        <v>0</v>
      </c>
      <c r="G5420" s="243">
        <v>33911</v>
      </c>
      <c r="H5420" t="s">
        <v>182</v>
      </c>
      <c r="I5420">
        <v>15</v>
      </c>
      <c r="J5420">
        <v>16</v>
      </c>
      <c r="K5420">
        <v>1</v>
      </c>
      <c r="L5420">
        <v>106540</v>
      </c>
      <c r="M5420" t="str">
        <f t="shared" si="840"/>
        <v>13</v>
      </c>
      <c r="N5420" t="s">
        <v>3370</v>
      </c>
      <c r="O5420" t="str">
        <f t="shared" si="841"/>
        <v>72611</v>
      </c>
      <c r="P5420" t="str">
        <f t="shared" si="843"/>
        <v>2100L</v>
      </c>
      <c r="Q5420" t="str">
        <f t="shared" si="842"/>
        <v>0101</v>
      </c>
      <c r="R5420">
        <v>2100</v>
      </c>
      <c r="S5420" t="str">
        <f t="shared" si="839"/>
        <v>7260</v>
      </c>
      <c r="T5420" t="s">
        <v>3838</v>
      </c>
      <c r="U5420" t="s">
        <v>107</v>
      </c>
    </row>
    <row r="5421" spans="1:21" ht="15" customHeight="1" x14ac:dyDescent="0.3">
      <c r="A5421" t="s">
        <v>179</v>
      </c>
      <c r="B5421" t="str">
        <f>"00065972"</f>
        <v>00065972</v>
      </c>
      <c r="C5421" t="s">
        <v>4253</v>
      </c>
      <c r="D5421" t="s">
        <v>2435</v>
      </c>
      <c r="E5421" t="str">
        <f>"00057099"</f>
        <v>00057099</v>
      </c>
      <c r="F5421">
        <v>0</v>
      </c>
      <c r="G5421" s="243">
        <v>40042</v>
      </c>
      <c r="H5421" t="s">
        <v>182</v>
      </c>
      <c r="I5421">
        <v>15</v>
      </c>
      <c r="J5421">
        <v>3</v>
      </c>
      <c r="K5421">
        <v>1</v>
      </c>
      <c r="L5421">
        <v>55210</v>
      </c>
      <c r="M5421" t="str">
        <f t="shared" si="840"/>
        <v>13</v>
      </c>
      <c r="N5421" t="s">
        <v>3323</v>
      </c>
      <c r="O5421" t="str">
        <f t="shared" si="841"/>
        <v>72611</v>
      </c>
      <c r="P5421" t="str">
        <f t="shared" si="843"/>
        <v>2100L</v>
      </c>
      <c r="Q5421" t="str">
        <f t="shared" si="842"/>
        <v>0101</v>
      </c>
      <c r="R5421">
        <v>2100</v>
      </c>
      <c r="S5421" t="str">
        <f t="shared" si="839"/>
        <v>7260</v>
      </c>
      <c r="T5421" t="s">
        <v>3838</v>
      </c>
      <c r="U5421" t="s">
        <v>107</v>
      </c>
    </row>
    <row r="5422" spans="1:21" ht="15" customHeight="1" x14ac:dyDescent="0.3">
      <c r="A5422" t="s">
        <v>179</v>
      </c>
      <c r="B5422" t="str">
        <f>"00065993"</f>
        <v>00065993</v>
      </c>
      <c r="C5422" t="s">
        <v>4253</v>
      </c>
      <c r="D5422" t="s">
        <v>5876</v>
      </c>
      <c r="E5422" t="str">
        <f>"00067533"</f>
        <v>00067533</v>
      </c>
      <c r="F5422">
        <v>0</v>
      </c>
      <c r="G5422" s="243">
        <v>40896</v>
      </c>
      <c r="H5422" t="s">
        <v>182</v>
      </c>
      <c r="I5422">
        <v>15</v>
      </c>
      <c r="J5422">
        <v>14</v>
      </c>
      <c r="K5422">
        <v>1</v>
      </c>
      <c r="L5422">
        <v>102160</v>
      </c>
      <c r="M5422" t="str">
        <f t="shared" si="840"/>
        <v>13</v>
      </c>
      <c r="N5422" t="s">
        <v>3323</v>
      </c>
      <c r="O5422" t="str">
        <f t="shared" si="841"/>
        <v>72611</v>
      </c>
      <c r="P5422" t="str">
        <f t="shared" si="843"/>
        <v>2100L</v>
      </c>
      <c r="Q5422" t="str">
        <f t="shared" si="842"/>
        <v>0101</v>
      </c>
      <c r="R5422">
        <v>2100</v>
      </c>
      <c r="S5422" t="str">
        <f t="shared" si="839"/>
        <v>7260</v>
      </c>
      <c r="T5422" t="s">
        <v>3838</v>
      </c>
      <c r="U5422" t="s">
        <v>107</v>
      </c>
    </row>
    <row r="5423" spans="1:21" ht="15" customHeight="1" x14ac:dyDescent="0.3">
      <c r="A5423" t="s">
        <v>179</v>
      </c>
      <c r="B5423" t="str">
        <f>"00065995"</f>
        <v>00065995</v>
      </c>
      <c r="C5423" t="s">
        <v>4263</v>
      </c>
      <c r="H5423" t="s">
        <v>170</v>
      </c>
      <c r="I5423">
        <v>15</v>
      </c>
      <c r="J5423">
        <v>1</v>
      </c>
      <c r="K5423">
        <v>1</v>
      </c>
      <c r="L5423">
        <v>53256</v>
      </c>
      <c r="M5423" t="str">
        <f t="shared" si="840"/>
        <v>13</v>
      </c>
      <c r="N5423" t="s">
        <v>3323</v>
      </c>
      <c r="O5423" t="str">
        <f t="shared" si="841"/>
        <v>72611</v>
      </c>
      <c r="P5423" t="str">
        <f t="shared" si="843"/>
        <v>2100L</v>
      </c>
      <c r="Q5423" t="str">
        <f t="shared" si="842"/>
        <v>0101</v>
      </c>
      <c r="R5423">
        <v>2100</v>
      </c>
      <c r="S5423" t="str">
        <f t="shared" si="839"/>
        <v>7260</v>
      </c>
      <c r="T5423" t="s">
        <v>3838</v>
      </c>
      <c r="U5423" t="s">
        <v>107</v>
      </c>
    </row>
    <row r="5424" spans="1:21" ht="15" customHeight="1" x14ac:dyDescent="0.3">
      <c r="A5424" t="s">
        <v>179</v>
      </c>
      <c r="B5424" t="str">
        <f>"00067088"</f>
        <v>00067088</v>
      </c>
      <c r="C5424" t="s">
        <v>3670</v>
      </c>
      <c r="D5424" t="s">
        <v>2436</v>
      </c>
      <c r="E5424" t="str">
        <f>"00057799"</f>
        <v>00057799</v>
      </c>
      <c r="F5424">
        <v>0</v>
      </c>
      <c r="G5424" s="243">
        <v>40042</v>
      </c>
      <c r="H5424" t="s">
        <v>182</v>
      </c>
      <c r="I5424">
        <v>8</v>
      </c>
      <c r="J5424">
        <v>4</v>
      </c>
      <c r="K5424">
        <v>1</v>
      </c>
      <c r="L5424">
        <v>89645</v>
      </c>
      <c r="M5424" t="str">
        <f t="shared" si="840"/>
        <v>13</v>
      </c>
      <c r="N5424" t="s">
        <v>3323</v>
      </c>
      <c r="O5424" t="str">
        <f t="shared" si="841"/>
        <v>72611</v>
      </c>
      <c r="P5424" t="str">
        <f>"1501L"</f>
        <v>1501L</v>
      </c>
      <c r="Q5424" t="str">
        <f t="shared" si="842"/>
        <v>0101</v>
      </c>
      <c r="R5424">
        <v>1501</v>
      </c>
      <c r="S5424" t="str">
        <f t="shared" si="839"/>
        <v>7260</v>
      </c>
      <c r="T5424" t="s">
        <v>3838</v>
      </c>
      <c r="U5424" t="s">
        <v>107</v>
      </c>
    </row>
    <row r="5425" spans="1:21" ht="15" customHeight="1" x14ac:dyDescent="0.3">
      <c r="A5425" t="s">
        <v>179</v>
      </c>
      <c r="B5425" t="str">
        <f>"00068167"</f>
        <v>00068167</v>
      </c>
      <c r="C5425" t="s">
        <v>4341</v>
      </c>
      <c r="H5425" t="s">
        <v>170</v>
      </c>
      <c r="I5425">
        <v>10</v>
      </c>
      <c r="J5425">
        <v>1</v>
      </c>
      <c r="K5425">
        <v>1</v>
      </c>
      <c r="L5425">
        <v>66247</v>
      </c>
      <c r="M5425" t="str">
        <f t="shared" si="840"/>
        <v>13</v>
      </c>
      <c r="N5425" t="s">
        <v>3323</v>
      </c>
      <c r="O5425" t="str">
        <f t="shared" si="841"/>
        <v>72611</v>
      </c>
      <c r="P5425" t="str">
        <f>"3030L"</f>
        <v>3030L</v>
      </c>
      <c r="Q5425" t="str">
        <f t="shared" si="842"/>
        <v>0101</v>
      </c>
      <c r="R5425">
        <v>3030</v>
      </c>
      <c r="S5425" t="str">
        <f t="shared" si="839"/>
        <v>7260</v>
      </c>
      <c r="T5425" t="s">
        <v>3838</v>
      </c>
      <c r="U5425" t="s">
        <v>107</v>
      </c>
    </row>
    <row r="5426" spans="1:21" ht="15" customHeight="1" x14ac:dyDescent="0.3">
      <c r="A5426" t="s">
        <v>179</v>
      </c>
      <c r="B5426" t="str">
        <f>"00068168"</f>
        <v>00068168</v>
      </c>
      <c r="C5426" t="s">
        <v>4614</v>
      </c>
      <c r="D5426" t="s">
        <v>2437</v>
      </c>
      <c r="E5426" t="str">
        <f>"00053364"</f>
        <v>00053364</v>
      </c>
      <c r="F5426">
        <v>0</v>
      </c>
      <c r="G5426" s="243">
        <v>40042</v>
      </c>
      <c r="H5426" t="s">
        <v>182</v>
      </c>
      <c r="I5426">
        <v>7</v>
      </c>
      <c r="J5426">
        <v>10</v>
      </c>
      <c r="K5426">
        <v>1</v>
      </c>
      <c r="L5426">
        <v>44837</v>
      </c>
      <c r="M5426" t="str">
        <f t="shared" si="840"/>
        <v>13</v>
      </c>
      <c r="N5426" t="s">
        <v>3323</v>
      </c>
      <c r="O5426" t="str">
        <f t="shared" si="841"/>
        <v>72611</v>
      </c>
      <c r="P5426" t="str">
        <f>"1502L"</f>
        <v>1502L</v>
      </c>
      <c r="Q5426" t="str">
        <f t="shared" si="842"/>
        <v>0101</v>
      </c>
      <c r="R5426">
        <v>1502</v>
      </c>
      <c r="S5426" t="str">
        <f t="shared" si="839"/>
        <v>7260</v>
      </c>
      <c r="T5426" t="s">
        <v>3838</v>
      </c>
      <c r="U5426" t="s">
        <v>107</v>
      </c>
    </row>
    <row r="5427" spans="1:21" ht="15" customHeight="1" x14ac:dyDescent="0.3">
      <c r="A5427" t="s">
        <v>179</v>
      </c>
      <c r="B5427" t="str">
        <f>"00072480"</f>
        <v>00072480</v>
      </c>
      <c r="C5427" t="s">
        <v>4290</v>
      </c>
      <c r="D5427" t="s">
        <v>5877</v>
      </c>
      <c r="E5427" t="str">
        <f>"00058713"</f>
        <v>00058713</v>
      </c>
      <c r="F5427">
        <v>0</v>
      </c>
      <c r="G5427" s="243">
        <v>40093</v>
      </c>
      <c r="H5427" t="s">
        <v>182</v>
      </c>
      <c r="I5427">
        <v>4</v>
      </c>
      <c r="J5427">
        <v>6</v>
      </c>
      <c r="K5427">
        <v>0.71</v>
      </c>
      <c r="L5427">
        <v>25935.88</v>
      </c>
      <c r="M5427" t="str">
        <f t="shared" si="840"/>
        <v>13</v>
      </c>
      <c r="N5427" t="s">
        <v>3323</v>
      </c>
      <c r="O5427" t="str">
        <f t="shared" si="841"/>
        <v>72611</v>
      </c>
      <c r="P5427" t="str">
        <f>"3030L"</f>
        <v>3030L</v>
      </c>
      <c r="Q5427" t="str">
        <f t="shared" si="842"/>
        <v>0101</v>
      </c>
      <c r="R5427">
        <v>3030</v>
      </c>
      <c r="S5427" t="str">
        <f t="shared" si="839"/>
        <v>7260</v>
      </c>
      <c r="T5427" t="s">
        <v>3838</v>
      </c>
      <c r="U5427" t="s">
        <v>107</v>
      </c>
    </row>
    <row r="5428" spans="1:21" ht="15" customHeight="1" x14ac:dyDescent="0.3">
      <c r="A5428" t="s">
        <v>179</v>
      </c>
      <c r="B5428" t="str">
        <f>"00072510"</f>
        <v>00072510</v>
      </c>
      <c r="C5428" t="s">
        <v>4367</v>
      </c>
      <c r="D5428" t="s">
        <v>5878</v>
      </c>
      <c r="E5428" t="str">
        <f>"00052623"</f>
        <v>00052623</v>
      </c>
      <c r="F5428">
        <v>0</v>
      </c>
      <c r="G5428" s="243">
        <v>31618</v>
      </c>
      <c r="H5428" t="s">
        <v>182</v>
      </c>
      <c r="I5428">
        <v>9</v>
      </c>
      <c r="J5428">
        <v>6</v>
      </c>
      <c r="K5428">
        <v>1</v>
      </c>
      <c r="L5428">
        <v>42649</v>
      </c>
      <c r="M5428" t="str">
        <f t="shared" si="840"/>
        <v>13</v>
      </c>
      <c r="N5428" t="s">
        <v>3323</v>
      </c>
      <c r="O5428" t="str">
        <f t="shared" si="841"/>
        <v>72611</v>
      </c>
      <c r="P5428" t="str">
        <f>"2100L"</f>
        <v>2100L</v>
      </c>
      <c r="Q5428" t="str">
        <f t="shared" si="842"/>
        <v>0101</v>
      </c>
      <c r="R5428">
        <v>2100</v>
      </c>
      <c r="S5428" t="str">
        <f t="shared" si="839"/>
        <v>7260</v>
      </c>
      <c r="T5428" t="s">
        <v>3838</v>
      </c>
      <c r="U5428" t="s">
        <v>107</v>
      </c>
    </row>
    <row r="5429" spans="1:21" ht="15" customHeight="1" x14ac:dyDescent="0.3">
      <c r="A5429" t="s">
        <v>179</v>
      </c>
      <c r="B5429" t="str">
        <f>"00073502"</f>
        <v>00073502</v>
      </c>
      <c r="C5429" t="s">
        <v>4263</v>
      </c>
      <c r="D5429" t="s">
        <v>965</v>
      </c>
      <c r="E5429" t="str">
        <f>"00048017"</f>
        <v>00048017</v>
      </c>
      <c r="F5429">
        <v>0</v>
      </c>
      <c r="G5429" s="243">
        <v>32125</v>
      </c>
      <c r="H5429" t="s">
        <v>182</v>
      </c>
      <c r="I5429">
        <v>15</v>
      </c>
      <c r="J5429">
        <v>16</v>
      </c>
      <c r="K5429">
        <v>1</v>
      </c>
      <c r="L5429">
        <v>103347</v>
      </c>
      <c r="M5429" t="str">
        <f t="shared" si="840"/>
        <v>13</v>
      </c>
      <c r="N5429" t="s">
        <v>3370</v>
      </c>
      <c r="O5429" t="str">
        <f t="shared" si="841"/>
        <v>72611</v>
      </c>
      <c r="P5429" t="str">
        <f>"2100L"</f>
        <v>2100L</v>
      </c>
      <c r="Q5429" t="str">
        <f t="shared" si="842"/>
        <v>0101</v>
      </c>
      <c r="R5429">
        <v>2100</v>
      </c>
      <c r="S5429" t="str">
        <f t="shared" ref="S5429:S5438" si="844">"7260"</f>
        <v>7260</v>
      </c>
      <c r="T5429" t="s">
        <v>3838</v>
      </c>
      <c r="U5429" t="s">
        <v>107</v>
      </c>
    </row>
    <row r="5430" spans="1:21" ht="15" customHeight="1" x14ac:dyDescent="0.3">
      <c r="A5430" t="s">
        <v>179</v>
      </c>
      <c r="B5430" t="str">
        <f>"00074478"</f>
        <v>00074478</v>
      </c>
      <c r="C5430" t="s">
        <v>200</v>
      </c>
      <c r="D5430" t="s">
        <v>4145</v>
      </c>
      <c r="E5430" t="str">
        <f>"00037594"</f>
        <v>00037594</v>
      </c>
      <c r="F5430">
        <v>1</v>
      </c>
      <c r="G5430" s="243">
        <v>37835</v>
      </c>
      <c r="H5430" t="s">
        <v>182</v>
      </c>
      <c r="I5430">
        <v>15</v>
      </c>
      <c r="J5430">
        <v>12</v>
      </c>
      <c r="K5430">
        <v>1</v>
      </c>
      <c r="L5430">
        <v>87431</v>
      </c>
      <c r="M5430" t="str">
        <f t="shared" si="840"/>
        <v>13</v>
      </c>
      <c r="N5430" t="s">
        <v>3323</v>
      </c>
      <c r="O5430" t="str">
        <f t="shared" si="841"/>
        <v>72611</v>
      </c>
      <c r="P5430" t="str">
        <f>"2100L"</f>
        <v>2100L</v>
      </c>
      <c r="Q5430" t="str">
        <f t="shared" si="842"/>
        <v>0101</v>
      </c>
      <c r="R5430">
        <v>2100</v>
      </c>
      <c r="S5430" t="str">
        <f t="shared" si="844"/>
        <v>7260</v>
      </c>
      <c r="T5430" t="s">
        <v>3838</v>
      </c>
      <c r="U5430" t="s">
        <v>107</v>
      </c>
    </row>
    <row r="5431" spans="1:21" ht="15" customHeight="1" x14ac:dyDescent="0.3">
      <c r="A5431" t="s">
        <v>179</v>
      </c>
      <c r="B5431" t="str">
        <f>"00074479"</f>
        <v>00074479</v>
      </c>
      <c r="C5431" t="s">
        <v>200</v>
      </c>
      <c r="D5431" t="s">
        <v>4146</v>
      </c>
      <c r="E5431" t="str">
        <f>"00046213"</f>
        <v>00046213</v>
      </c>
      <c r="F5431">
        <v>0</v>
      </c>
      <c r="G5431" s="243">
        <v>36430</v>
      </c>
      <c r="H5431" t="s">
        <v>182</v>
      </c>
      <c r="I5431">
        <v>15</v>
      </c>
      <c r="J5431">
        <v>11</v>
      </c>
      <c r="K5431">
        <v>1</v>
      </c>
      <c r="L5431">
        <v>81335</v>
      </c>
      <c r="M5431" t="str">
        <f t="shared" si="840"/>
        <v>13</v>
      </c>
      <c r="N5431" t="s">
        <v>3323</v>
      </c>
      <c r="O5431" t="str">
        <f t="shared" si="841"/>
        <v>72611</v>
      </c>
      <c r="P5431" t="str">
        <f>"2100L"</f>
        <v>2100L</v>
      </c>
      <c r="Q5431" t="str">
        <f t="shared" si="842"/>
        <v>0101</v>
      </c>
      <c r="R5431">
        <v>2100</v>
      </c>
      <c r="S5431" t="str">
        <f t="shared" si="844"/>
        <v>7260</v>
      </c>
      <c r="T5431" t="s">
        <v>3838</v>
      </c>
      <c r="U5431" t="s">
        <v>107</v>
      </c>
    </row>
    <row r="5432" spans="1:21" ht="15" customHeight="1" x14ac:dyDescent="0.3">
      <c r="A5432" t="s">
        <v>179</v>
      </c>
      <c r="B5432" t="str">
        <f>"00074480"</f>
        <v>00074480</v>
      </c>
      <c r="C5432" t="s">
        <v>4410</v>
      </c>
      <c r="H5432" t="s">
        <v>170</v>
      </c>
      <c r="I5432">
        <v>5</v>
      </c>
      <c r="J5432">
        <v>1</v>
      </c>
      <c r="K5432">
        <v>1</v>
      </c>
      <c r="L5432">
        <v>28486</v>
      </c>
      <c r="M5432" t="str">
        <f t="shared" si="840"/>
        <v>13</v>
      </c>
      <c r="N5432" t="s">
        <v>3323</v>
      </c>
      <c r="O5432" t="str">
        <f t="shared" si="841"/>
        <v>72611</v>
      </c>
      <c r="P5432" t="str">
        <f>"2100L"</f>
        <v>2100L</v>
      </c>
      <c r="Q5432" t="str">
        <f t="shared" si="842"/>
        <v>0101</v>
      </c>
      <c r="R5432">
        <v>2100</v>
      </c>
      <c r="S5432" t="str">
        <f t="shared" si="844"/>
        <v>7260</v>
      </c>
      <c r="T5432" t="s">
        <v>3838</v>
      </c>
      <c r="U5432" t="s">
        <v>107</v>
      </c>
    </row>
    <row r="5433" spans="1:21" ht="15" customHeight="1" x14ac:dyDescent="0.3">
      <c r="A5433" t="s">
        <v>179</v>
      </c>
      <c r="B5433" t="str">
        <f>"00074618"</f>
        <v>00074618</v>
      </c>
      <c r="C5433" t="s">
        <v>4299</v>
      </c>
      <c r="D5433" t="s">
        <v>5879</v>
      </c>
      <c r="E5433" t="str">
        <f>"00047399"</f>
        <v>00047399</v>
      </c>
      <c r="F5433">
        <v>0</v>
      </c>
      <c r="G5433" s="243">
        <v>36602</v>
      </c>
      <c r="H5433" t="s">
        <v>182</v>
      </c>
      <c r="I5433">
        <v>7</v>
      </c>
      <c r="J5433">
        <v>10</v>
      </c>
      <c r="K5433">
        <v>1</v>
      </c>
      <c r="L5433">
        <v>45943</v>
      </c>
      <c r="M5433" t="str">
        <f t="shared" si="840"/>
        <v>13</v>
      </c>
      <c r="N5433" t="s">
        <v>3323</v>
      </c>
      <c r="O5433" t="str">
        <f t="shared" si="841"/>
        <v>72611</v>
      </c>
      <c r="P5433" t="str">
        <f>"1502L"</f>
        <v>1502L</v>
      </c>
      <c r="Q5433" t="str">
        <f t="shared" si="842"/>
        <v>0101</v>
      </c>
      <c r="R5433">
        <v>1502</v>
      </c>
      <c r="S5433" t="str">
        <f t="shared" si="844"/>
        <v>7260</v>
      </c>
      <c r="T5433" t="s">
        <v>3838</v>
      </c>
      <c r="U5433" t="s">
        <v>107</v>
      </c>
    </row>
    <row r="5434" spans="1:21" ht="15" customHeight="1" x14ac:dyDescent="0.3">
      <c r="A5434" t="s">
        <v>179</v>
      </c>
      <c r="B5434" t="str">
        <f>"00074619"</f>
        <v>00074619</v>
      </c>
      <c r="C5434" t="s">
        <v>5819</v>
      </c>
      <c r="D5434" t="s">
        <v>2438</v>
      </c>
      <c r="E5434" t="str">
        <f>"00051696"</f>
        <v>00051696</v>
      </c>
      <c r="F5434">
        <v>0</v>
      </c>
      <c r="G5434" s="243">
        <v>32762</v>
      </c>
      <c r="H5434" t="s">
        <v>182</v>
      </c>
      <c r="I5434">
        <v>12</v>
      </c>
      <c r="J5434">
        <v>10</v>
      </c>
      <c r="K5434">
        <v>1</v>
      </c>
      <c r="L5434">
        <v>61732</v>
      </c>
      <c r="M5434" t="str">
        <f t="shared" si="840"/>
        <v>13</v>
      </c>
      <c r="N5434" t="s">
        <v>3323</v>
      </c>
      <c r="O5434" t="str">
        <f t="shared" si="841"/>
        <v>72611</v>
      </c>
      <c r="P5434" t="str">
        <f>"2100L"</f>
        <v>2100L</v>
      </c>
      <c r="Q5434" t="str">
        <f t="shared" si="842"/>
        <v>0101</v>
      </c>
      <c r="R5434">
        <v>2100</v>
      </c>
      <c r="S5434" t="str">
        <f t="shared" si="844"/>
        <v>7260</v>
      </c>
      <c r="T5434" t="s">
        <v>3838</v>
      </c>
      <c r="U5434" t="s">
        <v>107</v>
      </c>
    </row>
    <row r="5435" spans="1:21" ht="15" customHeight="1" x14ac:dyDescent="0.3">
      <c r="A5435" t="s">
        <v>179</v>
      </c>
      <c r="B5435" t="str">
        <f>"00074927"</f>
        <v>00074927</v>
      </c>
      <c r="C5435" t="s">
        <v>4253</v>
      </c>
      <c r="D5435" t="s">
        <v>707</v>
      </c>
      <c r="E5435" t="str">
        <f>"00054724"</f>
        <v>00054724</v>
      </c>
      <c r="F5435">
        <v>0</v>
      </c>
      <c r="G5435" s="243">
        <v>32021</v>
      </c>
      <c r="H5435" t="s">
        <v>182</v>
      </c>
      <c r="I5435">
        <v>15</v>
      </c>
      <c r="J5435">
        <v>16</v>
      </c>
      <c r="K5435">
        <v>1</v>
      </c>
      <c r="L5435">
        <v>100839</v>
      </c>
      <c r="M5435" t="str">
        <f t="shared" si="840"/>
        <v>13</v>
      </c>
      <c r="N5435" t="s">
        <v>3323</v>
      </c>
      <c r="O5435" t="str">
        <f t="shared" si="841"/>
        <v>72611</v>
      </c>
      <c r="P5435" t="str">
        <f t="shared" ref="P5435:P5441" si="845">"2100L"</f>
        <v>2100L</v>
      </c>
      <c r="Q5435" t="str">
        <f t="shared" si="842"/>
        <v>0101</v>
      </c>
      <c r="R5435">
        <v>2100</v>
      </c>
      <c r="S5435" t="str">
        <f t="shared" si="844"/>
        <v>7260</v>
      </c>
      <c r="T5435" t="s">
        <v>3838</v>
      </c>
      <c r="U5435" t="s">
        <v>107</v>
      </c>
    </row>
    <row r="5436" spans="1:21" ht="15" customHeight="1" x14ac:dyDescent="0.3">
      <c r="A5436" t="s">
        <v>179</v>
      </c>
      <c r="B5436" t="str">
        <f>"00074928"</f>
        <v>00074928</v>
      </c>
      <c r="C5436" t="s">
        <v>4253</v>
      </c>
      <c r="D5436" t="s">
        <v>964</v>
      </c>
      <c r="E5436" t="str">
        <f>"00045840"</f>
        <v>00045840</v>
      </c>
      <c r="F5436">
        <v>0</v>
      </c>
      <c r="G5436" s="243">
        <v>32050</v>
      </c>
      <c r="H5436" t="s">
        <v>182</v>
      </c>
      <c r="I5436">
        <v>15</v>
      </c>
      <c r="J5436">
        <v>16</v>
      </c>
      <c r="K5436">
        <v>1</v>
      </c>
      <c r="L5436">
        <v>103347</v>
      </c>
      <c r="M5436" t="str">
        <f t="shared" si="840"/>
        <v>13</v>
      </c>
      <c r="N5436" t="s">
        <v>3323</v>
      </c>
      <c r="O5436" t="str">
        <f t="shared" si="841"/>
        <v>72611</v>
      </c>
      <c r="P5436" t="str">
        <f t="shared" si="845"/>
        <v>2100L</v>
      </c>
      <c r="Q5436" t="str">
        <f t="shared" si="842"/>
        <v>0101</v>
      </c>
      <c r="R5436">
        <v>2100</v>
      </c>
      <c r="S5436" t="str">
        <f t="shared" si="844"/>
        <v>7260</v>
      </c>
      <c r="T5436" t="s">
        <v>3838</v>
      </c>
      <c r="U5436" t="s">
        <v>107</v>
      </c>
    </row>
    <row r="5437" spans="1:21" ht="15" customHeight="1" x14ac:dyDescent="0.3">
      <c r="A5437" t="s">
        <v>179</v>
      </c>
      <c r="B5437" t="str">
        <f>"00076335"</f>
        <v>00076335</v>
      </c>
      <c r="C5437" t="s">
        <v>4438</v>
      </c>
      <c r="H5437" t="s">
        <v>170</v>
      </c>
      <c r="I5437">
        <v>11</v>
      </c>
      <c r="J5437">
        <v>0</v>
      </c>
      <c r="K5437">
        <v>1</v>
      </c>
      <c r="L5437">
        <v>60779</v>
      </c>
      <c r="M5437" t="str">
        <f t="shared" si="840"/>
        <v>13</v>
      </c>
      <c r="N5437" t="s">
        <v>3323</v>
      </c>
      <c r="O5437" t="str">
        <f t="shared" si="841"/>
        <v>72611</v>
      </c>
      <c r="P5437" t="str">
        <f t="shared" si="845"/>
        <v>2100L</v>
      </c>
      <c r="Q5437" t="str">
        <f t="shared" si="842"/>
        <v>0101</v>
      </c>
      <c r="R5437">
        <v>2100</v>
      </c>
      <c r="S5437" t="str">
        <f t="shared" si="844"/>
        <v>7260</v>
      </c>
      <c r="T5437" t="s">
        <v>3838</v>
      </c>
      <c r="U5437" t="s">
        <v>107</v>
      </c>
    </row>
    <row r="5438" spans="1:21" ht="15" customHeight="1" x14ac:dyDescent="0.3">
      <c r="A5438" t="s">
        <v>179</v>
      </c>
      <c r="B5438" t="str">
        <f>"00076856"</f>
        <v>00076856</v>
      </c>
      <c r="C5438" t="s">
        <v>5819</v>
      </c>
      <c r="D5438" t="s">
        <v>2923</v>
      </c>
      <c r="E5438" t="str">
        <f>"00057550"</f>
        <v>00057550</v>
      </c>
      <c r="F5438">
        <v>0</v>
      </c>
      <c r="G5438" s="243">
        <v>41133</v>
      </c>
      <c r="H5438" t="s">
        <v>182</v>
      </c>
      <c r="I5438">
        <v>12</v>
      </c>
      <c r="J5438">
        <v>4</v>
      </c>
      <c r="K5438">
        <v>1</v>
      </c>
      <c r="L5438">
        <v>52529</v>
      </c>
      <c r="M5438" t="str">
        <f t="shared" si="840"/>
        <v>13</v>
      </c>
      <c r="N5438" t="s">
        <v>3323</v>
      </c>
      <c r="O5438" t="str">
        <f t="shared" si="841"/>
        <v>72611</v>
      </c>
      <c r="P5438" t="str">
        <f t="shared" si="845"/>
        <v>2100L</v>
      </c>
      <c r="Q5438" t="str">
        <f t="shared" si="842"/>
        <v>0101</v>
      </c>
      <c r="R5438">
        <v>2100</v>
      </c>
      <c r="S5438" t="str">
        <f t="shared" si="844"/>
        <v>7260</v>
      </c>
      <c r="T5438" t="s">
        <v>3732</v>
      </c>
      <c r="U5438" t="s">
        <v>2853</v>
      </c>
    </row>
    <row r="5439" spans="1:21" ht="15" customHeight="1" x14ac:dyDescent="0.3">
      <c r="A5439" t="s">
        <v>179</v>
      </c>
      <c r="B5439" t="str">
        <f>"00051541"</f>
        <v>00051541</v>
      </c>
      <c r="C5439" t="s">
        <v>4255</v>
      </c>
      <c r="D5439" t="s">
        <v>2963</v>
      </c>
      <c r="E5439" t="str">
        <f>"00044776"</f>
        <v>00044776</v>
      </c>
      <c r="F5439">
        <v>0</v>
      </c>
      <c r="G5439" s="243">
        <v>35866</v>
      </c>
      <c r="H5439" t="s">
        <v>182</v>
      </c>
      <c r="I5439">
        <v>15</v>
      </c>
      <c r="J5439">
        <v>12</v>
      </c>
      <c r="K5439">
        <v>1</v>
      </c>
      <c r="L5439">
        <v>87431</v>
      </c>
      <c r="M5439" t="str">
        <f t="shared" si="840"/>
        <v>13</v>
      </c>
      <c r="N5439" t="s">
        <v>3323</v>
      </c>
      <c r="O5439" t="str">
        <f t="shared" ref="O5439:O5452" si="846">"72811"</f>
        <v>72811</v>
      </c>
      <c r="P5439" t="str">
        <f t="shared" si="845"/>
        <v>2100L</v>
      </c>
      <c r="Q5439" t="str">
        <f t="shared" si="842"/>
        <v>0101</v>
      </c>
      <c r="R5439">
        <v>2100</v>
      </c>
      <c r="S5439" t="str">
        <f t="shared" ref="S5439:S5465" si="847">"7280"</f>
        <v>7280</v>
      </c>
      <c r="T5439" t="s">
        <v>3712</v>
      </c>
      <c r="U5439" t="s">
        <v>2957</v>
      </c>
    </row>
    <row r="5440" spans="1:21" ht="15" customHeight="1" x14ac:dyDescent="0.3">
      <c r="A5440" t="s">
        <v>179</v>
      </c>
      <c r="B5440" t="str">
        <f>"00051557"</f>
        <v>00051557</v>
      </c>
      <c r="C5440" t="s">
        <v>4253</v>
      </c>
      <c r="D5440" t="s">
        <v>2958</v>
      </c>
      <c r="E5440" t="str">
        <f>"00049828"</f>
        <v>00049828</v>
      </c>
      <c r="F5440">
        <v>0</v>
      </c>
      <c r="G5440" s="243">
        <v>32021</v>
      </c>
      <c r="H5440" t="s">
        <v>182</v>
      </c>
      <c r="I5440">
        <v>15</v>
      </c>
      <c r="J5440">
        <v>16</v>
      </c>
      <c r="K5440">
        <v>1</v>
      </c>
      <c r="L5440">
        <v>103347</v>
      </c>
      <c r="M5440" t="str">
        <f t="shared" si="840"/>
        <v>13</v>
      </c>
      <c r="N5440" t="s">
        <v>3323</v>
      </c>
      <c r="O5440" t="str">
        <f t="shared" si="846"/>
        <v>72811</v>
      </c>
      <c r="P5440" t="str">
        <f t="shared" si="845"/>
        <v>2100L</v>
      </c>
      <c r="Q5440" t="str">
        <f t="shared" si="842"/>
        <v>0101</v>
      </c>
      <c r="R5440">
        <v>2100</v>
      </c>
      <c r="S5440" t="str">
        <f t="shared" si="847"/>
        <v>7280</v>
      </c>
      <c r="T5440" t="s">
        <v>4158</v>
      </c>
      <c r="U5440" t="s">
        <v>2957</v>
      </c>
    </row>
    <row r="5441" spans="1:21" ht="15" customHeight="1" x14ac:dyDescent="0.3">
      <c r="A5441" t="s">
        <v>179</v>
      </c>
      <c r="B5441" t="str">
        <f>"00051730"</f>
        <v>00051730</v>
      </c>
      <c r="C5441" t="s">
        <v>4253</v>
      </c>
      <c r="D5441" t="s">
        <v>2956</v>
      </c>
      <c r="E5441" t="str">
        <f>"00045689"</f>
        <v>00045689</v>
      </c>
      <c r="F5441">
        <v>0</v>
      </c>
      <c r="G5441" s="243">
        <v>32050</v>
      </c>
      <c r="H5441" t="s">
        <v>182</v>
      </c>
      <c r="I5441">
        <v>15</v>
      </c>
      <c r="J5441">
        <v>16</v>
      </c>
      <c r="K5441">
        <v>1</v>
      </c>
      <c r="L5441">
        <v>106540</v>
      </c>
      <c r="M5441" t="str">
        <f t="shared" si="840"/>
        <v>13</v>
      </c>
      <c r="N5441" t="s">
        <v>3323</v>
      </c>
      <c r="O5441" t="str">
        <f t="shared" si="846"/>
        <v>72811</v>
      </c>
      <c r="P5441" t="str">
        <f t="shared" si="845"/>
        <v>2100L</v>
      </c>
      <c r="Q5441" t="str">
        <f t="shared" si="842"/>
        <v>0101</v>
      </c>
      <c r="R5441">
        <v>2100</v>
      </c>
      <c r="S5441" t="str">
        <f t="shared" si="847"/>
        <v>7280</v>
      </c>
      <c r="T5441" t="s">
        <v>3712</v>
      </c>
      <c r="U5441" t="s">
        <v>2957</v>
      </c>
    </row>
    <row r="5442" spans="1:21" ht="15" customHeight="1" x14ac:dyDescent="0.3">
      <c r="A5442" t="s">
        <v>179</v>
      </c>
      <c r="B5442" t="str">
        <f>"00051995"</f>
        <v>00051995</v>
      </c>
      <c r="C5442" t="s">
        <v>4260</v>
      </c>
      <c r="D5442" t="s">
        <v>2964</v>
      </c>
      <c r="E5442" t="str">
        <f>"00046862"</f>
        <v>00046862</v>
      </c>
      <c r="F5442">
        <v>0</v>
      </c>
      <c r="G5442" s="243">
        <v>36105</v>
      </c>
      <c r="H5442" t="s">
        <v>182</v>
      </c>
      <c r="I5442">
        <v>15</v>
      </c>
      <c r="J5442">
        <v>16</v>
      </c>
      <c r="K5442">
        <v>1</v>
      </c>
      <c r="L5442">
        <v>106540</v>
      </c>
      <c r="M5442" t="str">
        <f t="shared" si="840"/>
        <v>13</v>
      </c>
      <c r="N5442" t="s">
        <v>3323</v>
      </c>
      <c r="O5442" t="str">
        <f t="shared" si="846"/>
        <v>72811</v>
      </c>
      <c r="P5442" t="str">
        <f>"3030L"</f>
        <v>3030L</v>
      </c>
      <c r="Q5442" t="str">
        <f t="shared" si="842"/>
        <v>0101</v>
      </c>
      <c r="R5442">
        <v>3030</v>
      </c>
      <c r="S5442" t="str">
        <f t="shared" si="847"/>
        <v>7280</v>
      </c>
      <c r="T5442" t="s">
        <v>3712</v>
      </c>
      <c r="U5442" t="s">
        <v>2957</v>
      </c>
    </row>
    <row r="5443" spans="1:21" ht="15" customHeight="1" x14ac:dyDescent="0.3">
      <c r="A5443" t="s">
        <v>179</v>
      </c>
      <c r="B5443" t="str">
        <f>"00052229"</f>
        <v>00052229</v>
      </c>
      <c r="C5443" t="s">
        <v>4255</v>
      </c>
      <c r="D5443" t="s">
        <v>2965</v>
      </c>
      <c r="E5443" t="str">
        <f>"00047703"</f>
        <v>00047703</v>
      </c>
      <c r="F5443">
        <v>0</v>
      </c>
      <c r="G5443" s="243">
        <v>32156</v>
      </c>
      <c r="H5443" t="s">
        <v>182</v>
      </c>
      <c r="I5443">
        <v>15</v>
      </c>
      <c r="J5443">
        <v>16</v>
      </c>
      <c r="K5443">
        <v>1</v>
      </c>
      <c r="L5443">
        <v>100839</v>
      </c>
      <c r="M5443" t="str">
        <f t="shared" si="840"/>
        <v>13</v>
      </c>
      <c r="N5443" t="s">
        <v>3323</v>
      </c>
      <c r="O5443" t="str">
        <f t="shared" si="846"/>
        <v>72811</v>
      </c>
      <c r="P5443" t="str">
        <f t="shared" ref="P5443:P5449" si="848">"2100L"</f>
        <v>2100L</v>
      </c>
      <c r="Q5443" t="str">
        <f t="shared" si="842"/>
        <v>0101</v>
      </c>
      <c r="R5443">
        <v>2100</v>
      </c>
      <c r="S5443" t="str">
        <f t="shared" si="847"/>
        <v>7280</v>
      </c>
      <c r="T5443" t="s">
        <v>3712</v>
      </c>
      <c r="U5443" t="s">
        <v>2957</v>
      </c>
    </row>
    <row r="5444" spans="1:21" ht="15" customHeight="1" x14ac:dyDescent="0.3">
      <c r="A5444" t="s">
        <v>179</v>
      </c>
      <c r="B5444" t="str">
        <f>"00052437"</f>
        <v>00052437</v>
      </c>
      <c r="C5444" t="s">
        <v>4253</v>
      </c>
      <c r="D5444" t="s">
        <v>2966</v>
      </c>
      <c r="E5444" t="str">
        <f>"00048261"</f>
        <v>00048261</v>
      </c>
      <c r="F5444">
        <v>0</v>
      </c>
      <c r="G5444" s="243">
        <v>32050</v>
      </c>
      <c r="H5444" t="s">
        <v>182</v>
      </c>
      <c r="I5444">
        <v>15</v>
      </c>
      <c r="J5444">
        <v>13</v>
      </c>
      <c r="K5444">
        <v>1</v>
      </c>
      <c r="L5444">
        <v>81724</v>
      </c>
      <c r="M5444" t="str">
        <f t="shared" si="840"/>
        <v>13</v>
      </c>
      <c r="N5444" t="s">
        <v>3323</v>
      </c>
      <c r="O5444" t="str">
        <f t="shared" si="846"/>
        <v>72811</v>
      </c>
      <c r="P5444" t="str">
        <f t="shared" si="848"/>
        <v>2100L</v>
      </c>
      <c r="Q5444" t="str">
        <f t="shared" si="842"/>
        <v>0101</v>
      </c>
      <c r="R5444">
        <v>2100</v>
      </c>
      <c r="S5444" t="str">
        <f t="shared" si="847"/>
        <v>7280</v>
      </c>
      <c r="T5444" t="s">
        <v>3712</v>
      </c>
      <c r="U5444" t="s">
        <v>2957</v>
      </c>
    </row>
    <row r="5445" spans="1:21" ht="15" customHeight="1" x14ac:dyDescent="0.3">
      <c r="A5445" t="s">
        <v>179</v>
      </c>
      <c r="B5445" t="str">
        <f>"00052449"</f>
        <v>00052449</v>
      </c>
      <c r="C5445" t="s">
        <v>4261</v>
      </c>
      <c r="D5445" t="s">
        <v>2967</v>
      </c>
      <c r="E5445" t="str">
        <f>"00048302"</f>
        <v>00048302</v>
      </c>
      <c r="F5445">
        <v>0</v>
      </c>
      <c r="G5445" s="243">
        <v>30914</v>
      </c>
      <c r="H5445" t="s">
        <v>182</v>
      </c>
      <c r="I5445">
        <v>15</v>
      </c>
      <c r="J5445">
        <v>16</v>
      </c>
      <c r="K5445">
        <v>1</v>
      </c>
      <c r="L5445">
        <v>110923</v>
      </c>
      <c r="M5445" t="str">
        <f t="shared" si="840"/>
        <v>13</v>
      </c>
      <c r="N5445" t="s">
        <v>3323</v>
      </c>
      <c r="O5445" t="str">
        <f t="shared" si="846"/>
        <v>72811</v>
      </c>
      <c r="P5445" t="str">
        <f t="shared" si="848"/>
        <v>2100L</v>
      </c>
      <c r="Q5445" t="str">
        <f t="shared" si="842"/>
        <v>0101</v>
      </c>
      <c r="R5445">
        <v>2100</v>
      </c>
      <c r="S5445" t="str">
        <f t="shared" si="847"/>
        <v>7280</v>
      </c>
      <c r="T5445" t="s">
        <v>3712</v>
      </c>
      <c r="U5445" t="s">
        <v>2957</v>
      </c>
    </row>
    <row r="5446" spans="1:21" ht="15" customHeight="1" x14ac:dyDescent="0.3">
      <c r="A5446" t="s">
        <v>179</v>
      </c>
      <c r="B5446" t="str">
        <f>"00052620"</f>
        <v>00052620</v>
      </c>
      <c r="C5446" t="s">
        <v>4341</v>
      </c>
      <c r="D5446" t="s">
        <v>2968</v>
      </c>
      <c r="E5446" t="str">
        <f>"00050313"</f>
        <v>00050313</v>
      </c>
      <c r="F5446">
        <v>0</v>
      </c>
      <c r="G5446" s="243">
        <v>37493</v>
      </c>
      <c r="H5446" t="s">
        <v>182</v>
      </c>
      <c r="I5446">
        <v>10</v>
      </c>
      <c r="J5446">
        <v>3</v>
      </c>
      <c r="K5446">
        <v>1</v>
      </c>
      <c r="L5446">
        <v>67198</v>
      </c>
      <c r="M5446" t="str">
        <f t="shared" si="840"/>
        <v>13</v>
      </c>
      <c r="N5446" t="s">
        <v>3323</v>
      </c>
      <c r="O5446" t="str">
        <f t="shared" si="846"/>
        <v>72811</v>
      </c>
      <c r="P5446" t="str">
        <f t="shared" si="848"/>
        <v>2100L</v>
      </c>
      <c r="Q5446" t="str">
        <f t="shared" si="842"/>
        <v>0101</v>
      </c>
      <c r="R5446">
        <v>2100</v>
      </c>
      <c r="S5446" t="str">
        <f t="shared" si="847"/>
        <v>7280</v>
      </c>
      <c r="T5446" t="s">
        <v>3712</v>
      </c>
      <c r="U5446" t="s">
        <v>2957</v>
      </c>
    </row>
    <row r="5447" spans="1:21" ht="15" customHeight="1" x14ac:dyDescent="0.3">
      <c r="A5447" t="s">
        <v>179</v>
      </c>
      <c r="B5447" t="str">
        <f>"00052696"</f>
        <v>00052696</v>
      </c>
      <c r="C5447" t="s">
        <v>4253</v>
      </c>
      <c r="D5447" t="s">
        <v>5880</v>
      </c>
      <c r="E5447" t="str">
        <f>"00066051"</f>
        <v>00066051</v>
      </c>
      <c r="F5447">
        <v>0</v>
      </c>
      <c r="G5447" s="243">
        <v>40755</v>
      </c>
      <c r="H5447" t="s">
        <v>182</v>
      </c>
      <c r="I5447">
        <v>15</v>
      </c>
      <c r="J5447">
        <v>8</v>
      </c>
      <c r="K5447">
        <v>1</v>
      </c>
      <c r="L5447">
        <v>72171</v>
      </c>
      <c r="M5447" t="str">
        <f t="shared" si="840"/>
        <v>13</v>
      </c>
      <c r="N5447" t="s">
        <v>3370</v>
      </c>
      <c r="O5447" t="str">
        <f t="shared" si="846"/>
        <v>72811</v>
      </c>
      <c r="P5447" t="str">
        <f t="shared" si="848"/>
        <v>2100L</v>
      </c>
      <c r="Q5447" t="str">
        <f t="shared" si="842"/>
        <v>0101</v>
      </c>
      <c r="R5447">
        <v>2100</v>
      </c>
      <c r="S5447" t="str">
        <f t="shared" si="847"/>
        <v>7280</v>
      </c>
      <c r="T5447" t="s">
        <v>3712</v>
      </c>
      <c r="U5447" t="s">
        <v>2957</v>
      </c>
    </row>
    <row r="5448" spans="1:21" ht="15" customHeight="1" x14ac:dyDescent="0.3">
      <c r="A5448" t="s">
        <v>179</v>
      </c>
      <c r="B5448" t="str">
        <f>"00052773"</f>
        <v>00052773</v>
      </c>
      <c r="C5448" t="s">
        <v>4253</v>
      </c>
      <c r="D5448" t="s">
        <v>4165</v>
      </c>
      <c r="E5448" t="str">
        <f>"00065854"</f>
        <v>00065854</v>
      </c>
      <c r="F5448">
        <v>0</v>
      </c>
      <c r="G5448" s="243">
        <v>40755</v>
      </c>
      <c r="H5448" t="s">
        <v>182</v>
      </c>
      <c r="I5448">
        <v>15</v>
      </c>
      <c r="J5448">
        <v>2</v>
      </c>
      <c r="K5448">
        <v>1</v>
      </c>
      <c r="L5448">
        <v>61158</v>
      </c>
      <c r="M5448" t="str">
        <f t="shared" si="840"/>
        <v>13</v>
      </c>
      <c r="N5448" t="s">
        <v>3323</v>
      </c>
      <c r="O5448" t="str">
        <f t="shared" si="846"/>
        <v>72811</v>
      </c>
      <c r="P5448" t="str">
        <f t="shared" si="848"/>
        <v>2100L</v>
      </c>
      <c r="Q5448" t="str">
        <f t="shared" si="842"/>
        <v>0101</v>
      </c>
      <c r="R5448">
        <v>2100</v>
      </c>
      <c r="S5448" t="str">
        <f t="shared" si="847"/>
        <v>7280</v>
      </c>
      <c r="T5448" t="s">
        <v>3712</v>
      </c>
      <c r="U5448" t="s">
        <v>2957</v>
      </c>
    </row>
    <row r="5449" spans="1:21" ht="15" customHeight="1" x14ac:dyDescent="0.3">
      <c r="A5449" t="s">
        <v>179</v>
      </c>
      <c r="B5449" t="str">
        <f>"00052841"</f>
        <v>00052841</v>
      </c>
      <c r="C5449" t="s">
        <v>4253</v>
      </c>
      <c r="D5449" t="s">
        <v>2969</v>
      </c>
      <c r="E5449" t="str">
        <f>"00049644"</f>
        <v>00049644</v>
      </c>
      <c r="F5449">
        <v>0</v>
      </c>
      <c r="G5449" s="243">
        <v>32387</v>
      </c>
      <c r="H5449" t="s">
        <v>182</v>
      </c>
      <c r="I5449">
        <v>15</v>
      </c>
      <c r="J5449">
        <v>16</v>
      </c>
      <c r="K5449">
        <v>1</v>
      </c>
      <c r="L5449">
        <v>106540</v>
      </c>
      <c r="M5449" t="str">
        <f t="shared" si="840"/>
        <v>13</v>
      </c>
      <c r="N5449" t="s">
        <v>3323</v>
      </c>
      <c r="O5449" t="str">
        <f t="shared" si="846"/>
        <v>72811</v>
      </c>
      <c r="P5449" t="str">
        <f t="shared" si="848"/>
        <v>2100L</v>
      </c>
      <c r="Q5449" t="str">
        <f t="shared" si="842"/>
        <v>0101</v>
      </c>
      <c r="R5449">
        <v>2100</v>
      </c>
      <c r="S5449" t="str">
        <f t="shared" si="847"/>
        <v>7280</v>
      </c>
      <c r="T5449" t="s">
        <v>3712</v>
      </c>
      <c r="U5449" t="s">
        <v>2957</v>
      </c>
    </row>
    <row r="5450" spans="1:21" ht="15" customHeight="1" x14ac:dyDescent="0.3">
      <c r="A5450" t="s">
        <v>179</v>
      </c>
      <c r="B5450" t="str">
        <f>"00052842"</f>
        <v>00052842</v>
      </c>
      <c r="C5450" t="s">
        <v>4260</v>
      </c>
      <c r="D5450" t="s">
        <v>5881</v>
      </c>
      <c r="E5450" t="str">
        <f>"00049144"</f>
        <v>00049144</v>
      </c>
      <c r="F5450">
        <v>0</v>
      </c>
      <c r="G5450" s="243">
        <v>38587</v>
      </c>
      <c r="H5450" t="s">
        <v>182</v>
      </c>
      <c r="I5450">
        <v>15</v>
      </c>
      <c r="J5450">
        <v>9</v>
      </c>
      <c r="K5450">
        <v>1</v>
      </c>
      <c r="L5450">
        <v>75232</v>
      </c>
      <c r="M5450" t="str">
        <f t="shared" si="840"/>
        <v>13</v>
      </c>
      <c r="N5450" t="s">
        <v>3323</v>
      </c>
      <c r="O5450" t="str">
        <f t="shared" si="846"/>
        <v>72811</v>
      </c>
      <c r="P5450" t="str">
        <f>"3030L"</f>
        <v>3030L</v>
      </c>
      <c r="Q5450" t="str">
        <f t="shared" si="842"/>
        <v>0101</v>
      </c>
      <c r="R5450">
        <v>3030</v>
      </c>
      <c r="S5450" t="str">
        <f t="shared" si="847"/>
        <v>7280</v>
      </c>
      <c r="T5450" t="s">
        <v>3712</v>
      </c>
      <c r="U5450" t="s">
        <v>2957</v>
      </c>
    </row>
    <row r="5451" spans="1:21" ht="15" customHeight="1" x14ac:dyDescent="0.3">
      <c r="A5451" t="s">
        <v>179</v>
      </c>
      <c r="B5451" t="str">
        <f>"00052876"</f>
        <v>00052876</v>
      </c>
      <c r="C5451" t="s">
        <v>4253</v>
      </c>
      <c r="D5451" t="s">
        <v>4167</v>
      </c>
      <c r="E5451" t="str">
        <f>"00066556"</f>
        <v>00066556</v>
      </c>
      <c r="F5451">
        <v>0</v>
      </c>
      <c r="G5451" s="243">
        <v>41105</v>
      </c>
      <c r="H5451" t="s">
        <v>182</v>
      </c>
      <c r="I5451">
        <v>15</v>
      </c>
      <c r="J5451">
        <v>2</v>
      </c>
      <c r="K5451">
        <v>1</v>
      </c>
      <c r="L5451">
        <v>51716</v>
      </c>
      <c r="M5451" t="str">
        <f t="shared" si="840"/>
        <v>13</v>
      </c>
      <c r="N5451" t="s">
        <v>3323</v>
      </c>
      <c r="O5451" t="str">
        <f t="shared" si="846"/>
        <v>72811</v>
      </c>
      <c r="P5451" t="str">
        <f>"2100L"</f>
        <v>2100L</v>
      </c>
      <c r="Q5451" t="str">
        <f t="shared" si="842"/>
        <v>0101</v>
      </c>
      <c r="R5451">
        <v>2100</v>
      </c>
      <c r="S5451" t="str">
        <f t="shared" si="847"/>
        <v>7280</v>
      </c>
      <c r="T5451" t="s">
        <v>4158</v>
      </c>
      <c r="U5451" t="s">
        <v>2957</v>
      </c>
    </row>
    <row r="5452" spans="1:21" ht="15" customHeight="1" x14ac:dyDescent="0.3">
      <c r="A5452" t="s">
        <v>179</v>
      </c>
      <c r="B5452" t="str">
        <f>"00052879"</f>
        <v>00052879</v>
      </c>
      <c r="C5452" t="s">
        <v>5657</v>
      </c>
      <c r="D5452" t="s">
        <v>2970</v>
      </c>
      <c r="E5452" t="str">
        <f>"00049847"</f>
        <v>00049847</v>
      </c>
      <c r="F5452">
        <v>0</v>
      </c>
      <c r="G5452" s="243">
        <v>35066</v>
      </c>
      <c r="H5452" t="s">
        <v>182</v>
      </c>
      <c r="I5452">
        <v>15</v>
      </c>
      <c r="J5452">
        <v>18</v>
      </c>
      <c r="K5452">
        <v>0.5</v>
      </c>
      <c r="L5452">
        <v>96455</v>
      </c>
      <c r="M5452" t="str">
        <f t="shared" si="840"/>
        <v>13</v>
      </c>
      <c r="N5452" t="s">
        <v>3323</v>
      </c>
      <c r="O5452" t="str">
        <f t="shared" si="846"/>
        <v>72811</v>
      </c>
      <c r="P5452" t="str">
        <f>"5700L"</f>
        <v>5700L</v>
      </c>
      <c r="Q5452" t="str">
        <f t="shared" si="842"/>
        <v>0101</v>
      </c>
      <c r="R5452">
        <v>5700</v>
      </c>
      <c r="S5452" t="str">
        <f t="shared" si="847"/>
        <v>7280</v>
      </c>
      <c r="T5452" t="s">
        <v>3712</v>
      </c>
      <c r="U5452" t="s">
        <v>2957</v>
      </c>
    </row>
    <row r="5453" spans="1:21" ht="15" customHeight="1" x14ac:dyDescent="0.3">
      <c r="A5453" t="s">
        <v>179</v>
      </c>
      <c r="B5453" t="str">
        <f>"00052879"</f>
        <v>00052879</v>
      </c>
      <c r="C5453" t="s">
        <v>5657</v>
      </c>
      <c r="D5453" t="s">
        <v>2970</v>
      </c>
      <c r="E5453" t="str">
        <f>"00049847"</f>
        <v>00049847</v>
      </c>
      <c r="F5453">
        <v>0</v>
      </c>
      <c r="G5453" s="243">
        <v>35066</v>
      </c>
      <c r="H5453" t="s">
        <v>182</v>
      </c>
      <c r="I5453">
        <v>15</v>
      </c>
      <c r="J5453">
        <v>18</v>
      </c>
      <c r="K5453">
        <v>0.5</v>
      </c>
      <c r="L5453">
        <v>96455</v>
      </c>
      <c r="M5453" t="str">
        <f t="shared" si="840"/>
        <v>13</v>
      </c>
      <c r="N5453" t="s">
        <v>3323</v>
      </c>
      <c r="O5453" t="str">
        <f>"72882"</f>
        <v>72882</v>
      </c>
      <c r="P5453" t="str">
        <f>"5700S"</f>
        <v>5700S</v>
      </c>
      <c r="Q5453" t="str">
        <f>"0602"</f>
        <v>0602</v>
      </c>
      <c r="R5453">
        <v>5700</v>
      </c>
      <c r="S5453" t="str">
        <f t="shared" si="847"/>
        <v>7280</v>
      </c>
      <c r="T5453" t="s">
        <v>3712</v>
      </c>
      <c r="U5453" t="s">
        <v>2957</v>
      </c>
    </row>
    <row r="5454" spans="1:21" ht="15" customHeight="1" x14ac:dyDescent="0.3">
      <c r="A5454" t="s">
        <v>179</v>
      </c>
      <c r="B5454" t="str">
        <f>"00053029"</f>
        <v>00053029</v>
      </c>
      <c r="C5454" t="s">
        <v>4263</v>
      </c>
      <c r="D5454" t="s">
        <v>2440</v>
      </c>
      <c r="E5454" t="str">
        <f>"00050822"</f>
        <v>00050822</v>
      </c>
      <c r="F5454">
        <v>0</v>
      </c>
      <c r="G5454" s="243">
        <v>32050</v>
      </c>
      <c r="H5454" t="s">
        <v>182</v>
      </c>
      <c r="I5454">
        <v>15</v>
      </c>
      <c r="J5454">
        <v>16</v>
      </c>
      <c r="K5454">
        <v>1</v>
      </c>
      <c r="L5454">
        <v>106540</v>
      </c>
      <c r="M5454" t="str">
        <f t="shared" si="840"/>
        <v>13</v>
      </c>
      <c r="N5454" t="s">
        <v>3323</v>
      </c>
      <c r="O5454" t="str">
        <f t="shared" ref="O5454:O5459" si="849">"72811"</f>
        <v>72811</v>
      </c>
      <c r="P5454" t="str">
        <f>"2100L"</f>
        <v>2100L</v>
      </c>
      <c r="Q5454" t="str">
        <f t="shared" ref="Q5454:Q5459" si="850">"0101"</f>
        <v>0101</v>
      </c>
      <c r="R5454">
        <v>2100</v>
      </c>
      <c r="S5454" t="str">
        <f t="shared" si="847"/>
        <v>7280</v>
      </c>
      <c r="T5454" t="s">
        <v>3712</v>
      </c>
      <c r="U5454" t="s">
        <v>2957</v>
      </c>
    </row>
    <row r="5455" spans="1:21" ht="15" customHeight="1" x14ac:dyDescent="0.3">
      <c r="A5455" t="s">
        <v>179</v>
      </c>
      <c r="B5455" t="str">
        <f>"00053090"</f>
        <v>00053090</v>
      </c>
      <c r="C5455" t="s">
        <v>4253</v>
      </c>
      <c r="D5455" t="s">
        <v>2971</v>
      </c>
      <c r="E5455" t="str">
        <f>"00050939"</f>
        <v>00050939</v>
      </c>
      <c r="F5455">
        <v>0</v>
      </c>
      <c r="G5455" s="243">
        <v>32050</v>
      </c>
      <c r="H5455" t="s">
        <v>182</v>
      </c>
      <c r="I5455">
        <v>15</v>
      </c>
      <c r="J5455">
        <v>16</v>
      </c>
      <c r="K5455">
        <v>1</v>
      </c>
      <c r="L5455">
        <v>100839</v>
      </c>
      <c r="M5455" t="str">
        <f t="shared" si="840"/>
        <v>13</v>
      </c>
      <c r="N5455" t="s">
        <v>3323</v>
      </c>
      <c r="O5455" t="str">
        <f t="shared" si="849"/>
        <v>72811</v>
      </c>
      <c r="P5455" t="str">
        <f>"2100L"</f>
        <v>2100L</v>
      </c>
      <c r="Q5455" t="str">
        <f t="shared" si="850"/>
        <v>0101</v>
      </c>
      <c r="R5455">
        <v>2100</v>
      </c>
      <c r="S5455" t="str">
        <f t="shared" si="847"/>
        <v>7280</v>
      </c>
      <c r="T5455" t="s">
        <v>3712</v>
      </c>
      <c r="U5455" t="s">
        <v>2957</v>
      </c>
    </row>
    <row r="5456" spans="1:21" ht="15" customHeight="1" x14ac:dyDescent="0.3">
      <c r="A5456" t="s">
        <v>179</v>
      </c>
      <c r="B5456" t="str">
        <f>"00053406"</f>
        <v>00053406</v>
      </c>
      <c r="C5456" t="s">
        <v>4260</v>
      </c>
      <c r="D5456" t="s">
        <v>2972</v>
      </c>
      <c r="E5456" t="str">
        <f>"00051430"</f>
        <v>00051430</v>
      </c>
      <c r="F5456">
        <v>0</v>
      </c>
      <c r="G5456" s="243">
        <v>31847</v>
      </c>
      <c r="H5456" t="s">
        <v>182</v>
      </c>
      <c r="I5456">
        <v>15</v>
      </c>
      <c r="J5456">
        <v>16</v>
      </c>
      <c r="K5456">
        <v>1</v>
      </c>
      <c r="L5456">
        <v>100839</v>
      </c>
      <c r="M5456" t="str">
        <f t="shared" si="840"/>
        <v>13</v>
      </c>
      <c r="N5456" t="s">
        <v>3323</v>
      </c>
      <c r="O5456" t="str">
        <f t="shared" si="849"/>
        <v>72811</v>
      </c>
      <c r="P5456" t="str">
        <f>"3030L"</f>
        <v>3030L</v>
      </c>
      <c r="Q5456" t="str">
        <f t="shared" si="850"/>
        <v>0101</v>
      </c>
      <c r="R5456">
        <v>3030</v>
      </c>
      <c r="S5456" t="str">
        <f t="shared" si="847"/>
        <v>7280</v>
      </c>
      <c r="T5456" t="s">
        <v>3712</v>
      </c>
      <c r="U5456" t="s">
        <v>2957</v>
      </c>
    </row>
    <row r="5457" spans="1:21" ht="15" customHeight="1" x14ac:dyDescent="0.3">
      <c r="A5457" t="s">
        <v>179</v>
      </c>
      <c r="B5457" t="str">
        <f>"00053824"</f>
        <v>00053824</v>
      </c>
      <c r="C5457" t="s">
        <v>4261</v>
      </c>
      <c r="D5457" t="s">
        <v>2973</v>
      </c>
      <c r="E5457" t="str">
        <f>"00052590"</f>
        <v>00052590</v>
      </c>
      <c r="F5457">
        <v>0</v>
      </c>
      <c r="G5457" s="243">
        <v>32050</v>
      </c>
      <c r="H5457" t="s">
        <v>182</v>
      </c>
      <c r="I5457">
        <v>15</v>
      </c>
      <c r="J5457">
        <v>16</v>
      </c>
      <c r="K5457">
        <v>1</v>
      </c>
      <c r="L5457">
        <v>110923</v>
      </c>
      <c r="M5457" t="str">
        <f t="shared" si="840"/>
        <v>13</v>
      </c>
      <c r="N5457" t="s">
        <v>3323</v>
      </c>
      <c r="O5457" t="str">
        <f t="shared" si="849"/>
        <v>72811</v>
      </c>
      <c r="P5457" t="str">
        <f>"2100L"</f>
        <v>2100L</v>
      </c>
      <c r="Q5457" t="str">
        <f t="shared" si="850"/>
        <v>0101</v>
      </c>
      <c r="R5457">
        <v>2100</v>
      </c>
      <c r="S5457" t="str">
        <f t="shared" si="847"/>
        <v>7280</v>
      </c>
      <c r="T5457" t="s">
        <v>3712</v>
      </c>
      <c r="U5457" t="s">
        <v>2957</v>
      </c>
    </row>
    <row r="5458" spans="1:21" ht="15" customHeight="1" x14ac:dyDescent="0.3">
      <c r="A5458" t="s">
        <v>179</v>
      </c>
      <c r="B5458" t="str">
        <f>"00054500"</f>
        <v>00054500</v>
      </c>
      <c r="C5458" t="s">
        <v>4255</v>
      </c>
      <c r="D5458" t="s">
        <v>2974</v>
      </c>
      <c r="E5458" t="str">
        <f>"00054115"</f>
        <v>00054115</v>
      </c>
      <c r="F5458">
        <v>0</v>
      </c>
      <c r="G5458" s="243">
        <v>31444</v>
      </c>
      <c r="H5458" t="s">
        <v>182</v>
      </c>
      <c r="I5458">
        <v>15</v>
      </c>
      <c r="J5458">
        <v>16</v>
      </c>
      <c r="K5458">
        <v>1</v>
      </c>
      <c r="L5458">
        <v>103347</v>
      </c>
      <c r="M5458" t="str">
        <f t="shared" si="840"/>
        <v>13</v>
      </c>
      <c r="N5458" t="s">
        <v>3323</v>
      </c>
      <c r="O5458" t="str">
        <f t="shared" si="849"/>
        <v>72811</v>
      </c>
      <c r="P5458" t="str">
        <f>"2100L"</f>
        <v>2100L</v>
      </c>
      <c r="Q5458" t="str">
        <f t="shared" si="850"/>
        <v>0101</v>
      </c>
      <c r="R5458">
        <v>2100</v>
      </c>
      <c r="S5458" t="str">
        <f t="shared" si="847"/>
        <v>7280</v>
      </c>
      <c r="T5458" t="s">
        <v>3712</v>
      </c>
      <c r="U5458" t="s">
        <v>2957</v>
      </c>
    </row>
    <row r="5459" spans="1:21" ht="15" customHeight="1" x14ac:dyDescent="0.3">
      <c r="A5459" t="s">
        <v>179</v>
      </c>
      <c r="B5459" t="str">
        <f>"00054801"</f>
        <v>00054801</v>
      </c>
      <c r="C5459" t="s">
        <v>5662</v>
      </c>
      <c r="D5459" t="s">
        <v>2975</v>
      </c>
      <c r="E5459" t="str">
        <f>"00054662"</f>
        <v>00054662</v>
      </c>
      <c r="F5459">
        <v>0</v>
      </c>
      <c r="G5459" s="243">
        <v>35096</v>
      </c>
      <c r="H5459" t="s">
        <v>182</v>
      </c>
      <c r="I5459">
        <v>9</v>
      </c>
      <c r="J5459">
        <v>13</v>
      </c>
      <c r="K5459">
        <v>0.5</v>
      </c>
      <c r="L5459">
        <v>72899</v>
      </c>
      <c r="M5459" t="str">
        <f t="shared" si="840"/>
        <v>13</v>
      </c>
      <c r="N5459" t="s">
        <v>3323</v>
      </c>
      <c r="O5459" t="str">
        <f t="shared" si="849"/>
        <v>72811</v>
      </c>
      <c r="P5459" t="str">
        <f>"5700L"</f>
        <v>5700L</v>
      </c>
      <c r="Q5459" t="str">
        <f t="shared" si="850"/>
        <v>0101</v>
      </c>
      <c r="R5459">
        <v>5700</v>
      </c>
      <c r="S5459" t="str">
        <f t="shared" si="847"/>
        <v>7280</v>
      </c>
      <c r="T5459" t="s">
        <v>3712</v>
      </c>
      <c r="U5459" t="s">
        <v>2957</v>
      </c>
    </row>
    <row r="5460" spans="1:21" ht="15" customHeight="1" x14ac:dyDescent="0.3">
      <c r="A5460" t="s">
        <v>179</v>
      </c>
      <c r="B5460" t="str">
        <f>"00054801"</f>
        <v>00054801</v>
      </c>
      <c r="C5460" t="s">
        <v>5662</v>
      </c>
      <c r="D5460" t="s">
        <v>2975</v>
      </c>
      <c r="E5460" t="str">
        <f>"00054662"</f>
        <v>00054662</v>
      </c>
      <c r="F5460">
        <v>0</v>
      </c>
      <c r="G5460" s="243">
        <v>35096</v>
      </c>
      <c r="H5460" t="s">
        <v>182</v>
      </c>
      <c r="I5460">
        <v>9</v>
      </c>
      <c r="J5460">
        <v>13</v>
      </c>
      <c r="K5460">
        <v>0.5</v>
      </c>
      <c r="L5460">
        <v>72899</v>
      </c>
      <c r="M5460" t="str">
        <f t="shared" si="840"/>
        <v>13</v>
      </c>
      <c r="N5460" t="s">
        <v>3323</v>
      </c>
      <c r="O5460" t="str">
        <f>"72882"</f>
        <v>72882</v>
      </c>
      <c r="P5460" t="str">
        <f>"5700S"</f>
        <v>5700S</v>
      </c>
      <c r="Q5460" t="str">
        <f>"0602"</f>
        <v>0602</v>
      </c>
      <c r="R5460">
        <v>5700</v>
      </c>
      <c r="S5460" t="str">
        <f t="shared" si="847"/>
        <v>7280</v>
      </c>
      <c r="T5460" t="s">
        <v>3712</v>
      </c>
      <c r="U5460" t="s">
        <v>2957</v>
      </c>
    </row>
    <row r="5461" spans="1:21" ht="15" customHeight="1" x14ac:dyDescent="0.3">
      <c r="A5461" t="s">
        <v>179</v>
      </c>
      <c r="B5461" t="str">
        <f>"00054809"</f>
        <v>00054809</v>
      </c>
      <c r="C5461" t="s">
        <v>4290</v>
      </c>
      <c r="D5461" t="s">
        <v>5882</v>
      </c>
      <c r="E5461" t="str">
        <f>"00054675"</f>
        <v>00054675</v>
      </c>
      <c r="F5461">
        <v>0</v>
      </c>
      <c r="G5461" s="243">
        <v>31700</v>
      </c>
      <c r="H5461" t="s">
        <v>182</v>
      </c>
      <c r="I5461">
        <v>4</v>
      </c>
      <c r="J5461">
        <v>10</v>
      </c>
      <c r="K5461">
        <v>0.875</v>
      </c>
      <c r="L5461">
        <v>28721</v>
      </c>
      <c r="M5461" t="str">
        <f t="shared" si="840"/>
        <v>13</v>
      </c>
      <c r="N5461" t="s">
        <v>3323</v>
      </c>
      <c r="O5461" t="str">
        <f t="shared" ref="O5461:O5487" si="851">"72811"</f>
        <v>72811</v>
      </c>
      <c r="P5461" t="str">
        <f>"3030L"</f>
        <v>3030L</v>
      </c>
      <c r="Q5461" t="str">
        <f t="shared" ref="Q5461:Q5487" si="852">"0101"</f>
        <v>0101</v>
      </c>
      <c r="R5461">
        <v>3030</v>
      </c>
      <c r="S5461" t="str">
        <f t="shared" si="847"/>
        <v>7280</v>
      </c>
      <c r="T5461" t="s">
        <v>3712</v>
      </c>
      <c r="U5461" t="s">
        <v>2957</v>
      </c>
    </row>
    <row r="5462" spans="1:21" ht="15" customHeight="1" x14ac:dyDescent="0.3">
      <c r="A5462" t="s">
        <v>179</v>
      </c>
      <c r="B5462" t="str">
        <f>"00055213"</f>
        <v>00055213</v>
      </c>
      <c r="C5462" t="s">
        <v>4260</v>
      </c>
      <c r="D5462" t="s">
        <v>5883</v>
      </c>
      <c r="E5462" t="str">
        <f>"00047419"</f>
        <v>00047419</v>
      </c>
      <c r="F5462">
        <v>0</v>
      </c>
      <c r="G5462" s="243">
        <v>36390</v>
      </c>
      <c r="H5462" t="s">
        <v>182</v>
      </c>
      <c r="I5462">
        <v>15</v>
      </c>
      <c r="J5462">
        <v>14</v>
      </c>
      <c r="K5462">
        <v>1</v>
      </c>
      <c r="L5462">
        <v>96460</v>
      </c>
      <c r="M5462" t="str">
        <f t="shared" si="840"/>
        <v>13</v>
      </c>
      <c r="N5462" t="s">
        <v>3323</v>
      </c>
      <c r="O5462" t="str">
        <f t="shared" si="851"/>
        <v>72811</v>
      </c>
      <c r="P5462" t="str">
        <f>"3030L"</f>
        <v>3030L</v>
      </c>
      <c r="Q5462" t="str">
        <f t="shared" si="852"/>
        <v>0101</v>
      </c>
      <c r="R5462">
        <v>3030</v>
      </c>
      <c r="S5462" t="str">
        <f t="shared" si="847"/>
        <v>7280</v>
      </c>
      <c r="T5462" t="s">
        <v>3712</v>
      </c>
      <c r="U5462" t="s">
        <v>2957</v>
      </c>
    </row>
    <row r="5463" spans="1:21" ht="15" customHeight="1" x14ac:dyDescent="0.3">
      <c r="A5463" t="s">
        <v>179</v>
      </c>
      <c r="B5463" t="str">
        <f>"00055226"</f>
        <v>00055226</v>
      </c>
      <c r="C5463" t="s">
        <v>4253</v>
      </c>
      <c r="D5463" t="s">
        <v>5884</v>
      </c>
      <c r="E5463" t="str">
        <f>"00069663"</f>
        <v>00069663</v>
      </c>
      <c r="F5463">
        <v>0</v>
      </c>
      <c r="G5463" s="243">
        <v>41133</v>
      </c>
      <c r="H5463" t="s">
        <v>182</v>
      </c>
      <c r="I5463">
        <v>15</v>
      </c>
      <c r="J5463">
        <v>3</v>
      </c>
      <c r="K5463">
        <v>1</v>
      </c>
      <c r="L5463">
        <v>58699</v>
      </c>
      <c r="M5463" t="str">
        <f t="shared" si="840"/>
        <v>13</v>
      </c>
      <c r="N5463" t="s">
        <v>3370</v>
      </c>
      <c r="O5463" t="str">
        <f t="shared" si="851"/>
        <v>72811</v>
      </c>
      <c r="P5463" t="str">
        <f>"2100L"</f>
        <v>2100L</v>
      </c>
      <c r="Q5463" t="str">
        <f t="shared" si="852"/>
        <v>0101</v>
      </c>
      <c r="R5463">
        <v>2100</v>
      </c>
      <c r="S5463" t="str">
        <f t="shared" si="847"/>
        <v>7280</v>
      </c>
      <c r="T5463" t="s">
        <v>3712</v>
      </c>
      <c r="U5463" t="s">
        <v>2957</v>
      </c>
    </row>
    <row r="5464" spans="1:21" ht="15" customHeight="1" x14ac:dyDescent="0.3">
      <c r="A5464" t="s">
        <v>179</v>
      </c>
      <c r="B5464" t="str">
        <f>"00056545"</f>
        <v>00056545</v>
      </c>
      <c r="C5464" t="s">
        <v>4290</v>
      </c>
      <c r="D5464" t="s">
        <v>5885</v>
      </c>
      <c r="E5464" t="str">
        <f>"00053286"</f>
        <v>00053286</v>
      </c>
      <c r="F5464">
        <v>0</v>
      </c>
      <c r="G5464" s="243">
        <v>36397</v>
      </c>
      <c r="H5464" t="s">
        <v>182</v>
      </c>
      <c r="I5464">
        <v>4</v>
      </c>
      <c r="J5464">
        <v>10</v>
      </c>
      <c r="K5464">
        <v>0.875</v>
      </c>
      <c r="L5464">
        <v>28721</v>
      </c>
      <c r="M5464" t="str">
        <f t="shared" ref="M5464:M5518" si="853">"13"</f>
        <v>13</v>
      </c>
      <c r="N5464" t="s">
        <v>3323</v>
      </c>
      <c r="O5464" t="str">
        <f t="shared" si="851"/>
        <v>72811</v>
      </c>
      <c r="P5464" t="str">
        <f>"3030L"</f>
        <v>3030L</v>
      </c>
      <c r="Q5464" t="str">
        <f t="shared" si="852"/>
        <v>0101</v>
      </c>
      <c r="R5464">
        <v>3030</v>
      </c>
      <c r="S5464" t="str">
        <f t="shared" si="847"/>
        <v>7280</v>
      </c>
      <c r="T5464" t="s">
        <v>3712</v>
      </c>
      <c r="U5464" t="s">
        <v>2957</v>
      </c>
    </row>
    <row r="5465" spans="1:21" ht="15" customHeight="1" x14ac:dyDescent="0.3">
      <c r="A5465" t="s">
        <v>179</v>
      </c>
      <c r="B5465" t="str">
        <f>"00056553"</f>
        <v>00056553</v>
      </c>
      <c r="C5465" t="s">
        <v>4614</v>
      </c>
      <c r="H5465" t="s">
        <v>170</v>
      </c>
      <c r="I5465">
        <v>7</v>
      </c>
      <c r="J5465">
        <v>1</v>
      </c>
      <c r="K5465">
        <v>1</v>
      </c>
      <c r="L5465">
        <v>34871</v>
      </c>
      <c r="M5465" t="str">
        <f t="shared" si="853"/>
        <v>13</v>
      </c>
      <c r="N5465" t="s">
        <v>3323</v>
      </c>
      <c r="O5465" t="str">
        <f t="shared" si="851"/>
        <v>72811</v>
      </c>
      <c r="P5465" t="str">
        <f>"1502L"</f>
        <v>1502L</v>
      </c>
      <c r="Q5465" t="str">
        <f t="shared" si="852"/>
        <v>0101</v>
      </c>
      <c r="R5465">
        <v>1502</v>
      </c>
      <c r="S5465" t="str">
        <f t="shared" si="847"/>
        <v>7280</v>
      </c>
      <c r="T5465" t="s">
        <v>3712</v>
      </c>
      <c r="U5465" t="s">
        <v>2957</v>
      </c>
    </row>
    <row r="5466" spans="1:21" ht="15" customHeight="1" x14ac:dyDescent="0.3">
      <c r="A5466" t="s">
        <v>179</v>
      </c>
      <c r="B5466" t="str">
        <f>"00057815"</f>
        <v>00057815</v>
      </c>
      <c r="C5466" t="s">
        <v>4260</v>
      </c>
      <c r="D5466" t="s">
        <v>2977</v>
      </c>
      <c r="E5466" t="str">
        <f>"00053284"</f>
        <v>00053284</v>
      </c>
      <c r="F5466">
        <v>0</v>
      </c>
      <c r="G5466" s="243">
        <v>36920</v>
      </c>
      <c r="H5466" t="s">
        <v>182</v>
      </c>
      <c r="I5466">
        <v>15</v>
      </c>
      <c r="J5466">
        <v>16</v>
      </c>
      <c r="K5466">
        <v>1</v>
      </c>
      <c r="L5466">
        <v>103347</v>
      </c>
      <c r="M5466" t="str">
        <f t="shared" si="853"/>
        <v>13</v>
      </c>
      <c r="N5466" t="s">
        <v>3323</v>
      </c>
      <c r="O5466" t="str">
        <f t="shared" si="851"/>
        <v>72811</v>
      </c>
      <c r="P5466" t="str">
        <f>"3030L"</f>
        <v>3030L</v>
      </c>
      <c r="Q5466" t="str">
        <f t="shared" si="852"/>
        <v>0101</v>
      </c>
      <c r="R5466">
        <v>3030</v>
      </c>
      <c r="S5466" t="str">
        <f t="shared" ref="S5466:S5495" si="854">"7280"</f>
        <v>7280</v>
      </c>
      <c r="T5466" t="s">
        <v>3712</v>
      </c>
      <c r="U5466" t="s">
        <v>2957</v>
      </c>
    </row>
    <row r="5467" spans="1:21" ht="15" customHeight="1" x14ac:dyDescent="0.3">
      <c r="A5467" t="s">
        <v>179</v>
      </c>
      <c r="B5467" t="str">
        <f>"00058121"</f>
        <v>00058121</v>
      </c>
      <c r="C5467" t="s">
        <v>4256</v>
      </c>
      <c r="D5467" t="s">
        <v>321</v>
      </c>
      <c r="E5467" t="str">
        <f>"00051951"</f>
        <v>00051951</v>
      </c>
      <c r="F5467">
        <v>0</v>
      </c>
      <c r="G5467" s="243">
        <v>37124</v>
      </c>
      <c r="H5467" t="s">
        <v>182</v>
      </c>
      <c r="I5467">
        <v>15</v>
      </c>
      <c r="J5467">
        <v>16</v>
      </c>
      <c r="K5467">
        <v>1</v>
      </c>
      <c r="L5467">
        <v>100839</v>
      </c>
      <c r="M5467" t="str">
        <f t="shared" si="853"/>
        <v>13</v>
      </c>
      <c r="N5467" t="s">
        <v>3323</v>
      </c>
      <c r="O5467" t="str">
        <f t="shared" si="851"/>
        <v>72811</v>
      </c>
      <c r="P5467" t="str">
        <f>"2100L"</f>
        <v>2100L</v>
      </c>
      <c r="Q5467" t="str">
        <f t="shared" si="852"/>
        <v>0101</v>
      </c>
      <c r="R5467">
        <v>2100</v>
      </c>
      <c r="S5467" t="str">
        <f t="shared" si="854"/>
        <v>7280</v>
      </c>
      <c r="T5467" t="s">
        <v>3712</v>
      </c>
      <c r="U5467" t="s">
        <v>2957</v>
      </c>
    </row>
    <row r="5468" spans="1:21" ht="15" customHeight="1" x14ac:dyDescent="0.3">
      <c r="A5468" t="s">
        <v>179</v>
      </c>
      <c r="B5468" t="str">
        <f>"00058234"</f>
        <v>00058234</v>
      </c>
      <c r="C5468" t="s">
        <v>4253</v>
      </c>
      <c r="D5468" t="s">
        <v>2978</v>
      </c>
      <c r="E5468" t="str">
        <f>"00055261"</f>
        <v>00055261</v>
      </c>
      <c r="F5468">
        <v>0</v>
      </c>
      <c r="G5468" s="243">
        <v>38587</v>
      </c>
      <c r="H5468" t="s">
        <v>182</v>
      </c>
      <c r="I5468">
        <v>15</v>
      </c>
      <c r="J5468">
        <v>14</v>
      </c>
      <c r="K5468">
        <v>1</v>
      </c>
      <c r="L5468">
        <v>96460</v>
      </c>
      <c r="M5468" t="str">
        <f t="shared" si="853"/>
        <v>13</v>
      </c>
      <c r="N5468" t="s">
        <v>3323</v>
      </c>
      <c r="O5468" t="str">
        <f t="shared" si="851"/>
        <v>72811</v>
      </c>
      <c r="P5468" t="str">
        <f>"2100L"</f>
        <v>2100L</v>
      </c>
      <c r="Q5468" t="str">
        <f t="shared" si="852"/>
        <v>0101</v>
      </c>
      <c r="R5468">
        <v>2100</v>
      </c>
      <c r="S5468" t="str">
        <f t="shared" si="854"/>
        <v>7280</v>
      </c>
      <c r="T5468" t="s">
        <v>3712</v>
      </c>
      <c r="U5468" t="s">
        <v>2957</v>
      </c>
    </row>
    <row r="5469" spans="1:21" ht="15" customHeight="1" x14ac:dyDescent="0.3">
      <c r="A5469" t="s">
        <v>179</v>
      </c>
      <c r="B5469" t="str">
        <f>"00058577"</f>
        <v>00058577</v>
      </c>
      <c r="C5469" t="s">
        <v>4253</v>
      </c>
      <c r="D5469" t="s">
        <v>2979</v>
      </c>
      <c r="E5469" t="str">
        <f>"00049927"</f>
        <v>00049927</v>
      </c>
      <c r="F5469">
        <v>0</v>
      </c>
      <c r="G5469" s="243">
        <v>38951</v>
      </c>
      <c r="H5469" t="s">
        <v>182</v>
      </c>
      <c r="I5469">
        <v>15</v>
      </c>
      <c r="J5469">
        <v>6</v>
      </c>
      <c r="K5469">
        <v>1</v>
      </c>
      <c r="L5469">
        <v>70997</v>
      </c>
      <c r="M5469" t="str">
        <f t="shared" si="853"/>
        <v>13</v>
      </c>
      <c r="N5469" t="s">
        <v>3323</v>
      </c>
      <c r="O5469" t="str">
        <f t="shared" si="851"/>
        <v>72811</v>
      </c>
      <c r="P5469" t="str">
        <f>"2100L"</f>
        <v>2100L</v>
      </c>
      <c r="Q5469" t="str">
        <f t="shared" si="852"/>
        <v>0101</v>
      </c>
      <c r="R5469">
        <v>2100</v>
      </c>
      <c r="S5469" t="str">
        <f t="shared" si="854"/>
        <v>7280</v>
      </c>
      <c r="T5469" t="s">
        <v>3712</v>
      </c>
      <c r="U5469" t="s">
        <v>2957</v>
      </c>
    </row>
    <row r="5470" spans="1:21" ht="15" customHeight="1" x14ac:dyDescent="0.3">
      <c r="A5470" t="s">
        <v>179</v>
      </c>
      <c r="B5470" t="str">
        <f>"00059528"</f>
        <v>00059528</v>
      </c>
      <c r="C5470" t="s">
        <v>4260</v>
      </c>
      <c r="H5470" t="s">
        <v>170</v>
      </c>
      <c r="I5470">
        <v>15</v>
      </c>
      <c r="J5470">
        <v>1</v>
      </c>
      <c r="K5470">
        <v>1</v>
      </c>
      <c r="L5470">
        <v>60128</v>
      </c>
      <c r="M5470" t="str">
        <f t="shared" si="853"/>
        <v>13</v>
      </c>
      <c r="N5470" t="s">
        <v>3323</v>
      </c>
      <c r="O5470" t="str">
        <f t="shared" si="851"/>
        <v>72811</v>
      </c>
      <c r="P5470" t="str">
        <f>"2100L"</f>
        <v>2100L</v>
      </c>
      <c r="Q5470" t="str">
        <f t="shared" si="852"/>
        <v>0101</v>
      </c>
      <c r="R5470">
        <v>2100</v>
      </c>
      <c r="S5470" t="str">
        <f t="shared" si="854"/>
        <v>7280</v>
      </c>
      <c r="T5470" t="s">
        <v>3712</v>
      </c>
      <c r="U5470" t="s">
        <v>2957</v>
      </c>
    </row>
    <row r="5471" spans="1:21" ht="15" customHeight="1" x14ac:dyDescent="0.3">
      <c r="A5471" t="s">
        <v>179</v>
      </c>
      <c r="B5471" t="str">
        <f>"00059558"</f>
        <v>00059558</v>
      </c>
      <c r="C5471" t="s">
        <v>4259</v>
      </c>
      <c r="H5471" t="s">
        <v>170</v>
      </c>
      <c r="I5471">
        <v>15</v>
      </c>
      <c r="J5471">
        <v>1</v>
      </c>
      <c r="K5471">
        <v>1</v>
      </c>
      <c r="L5471">
        <v>54975</v>
      </c>
      <c r="M5471" t="str">
        <f t="shared" si="853"/>
        <v>13</v>
      </c>
      <c r="N5471" t="s">
        <v>3323</v>
      </c>
      <c r="O5471" t="str">
        <f t="shared" si="851"/>
        <v>72811</v>
      </c>
      <c r="P5471" t="str">
        <f>"2100L"</f>
        <v>2100L</v>
      </c>
      <c r="Q5471" t="str">
        <f t="shared" si="852"/>
        <v>0101</v>
      </c>
      <c r="R5471">
        <v>2100</v>
      </c>
      <c r="S5471" t="str">
        <f t="shared" si="854"/>
        <v>7280</v>
      </c>
      <c r="T5471" t="s">
        <v>3712</v>
      </c>
      <c r="U5471" t="s">
        <v>2957</v>
      </c>
    </row>
    <row r="5472" spans="1:21" ht="15" customHeight="1" x14ac:dyDescent="0.3">
      <c r="A5472" t="s">
        <v>179</v>
      </c>
      <c r="B5472" t="str">
        <f>"00060551"</f>
        <v>00060551</v>
      </c>
      <c r="C5472" t="s">
        <v>4260</v>
      </c>
      <c r="D5472" t="s">
        <v>2981</v>
      </c>
      <c r="E5472" t="str">
        <f>"00047125"</f>
        <v>00047125</v>
      </c>
      <c r="F5472">
        <v>0</v>
      </c>
      <c r="G5472" s="243">
        <v>38951</v>
      </c>
      <c r="H5472" t="s">
        <v>182</v>
      </c>
      <c r="I5472">
        <v>15</v>
      </c>
      <c r="J5472">
        <v>11</v>
      </c>
      <c r="K5472">
        <v>1</v>
      </c>
      <c r="L5472">
        <v>73325</v>
      </c>
      <c r="M5472" t="str">
        <f t="shared" si="853"/>
        <v>13</v>
      </c>
      <c r="N5472" t="s">
        <v>3323</v>
      </c>
      <c r="O5472" t="str">
        <f t="shared" si="851"/>
        <v>72811</v>
      </c>
      <c r="P5472" t="str">
        <f>"3030L"</f>
        <v>3030L</v>
      </c>
      <c r="Q5472" t="str">
        <f t="shared" si="852"/>
        <v>0101</v>
      </c>
      <c r="R5472">
        <v>3030</v>
      </c>
      <c r="S5472" t="str">
        <f t="shared" si="854"/>
        <v>7280</v>
      </c>
      <c r="T5472" t="s">
        <v>3712</v>
      </c>
      <c r="U5472" t="s">
        <v>2957</v>
      </c>
    </row>
    <row r="5473" spans="1:21" ht="15" customHeight="1" x14ac:dyDescent="0.3">
      <c r="A5473" t="s">
        <v>179</v>
      </c>
      <c r="B5473" t="str">
        <f>"00060950"</f>
        <v>00060950</v>
      </c>
      <c r="C5473" t="s">
        <v>4253</v>
      </c>
      <c r="D5473" t="s">
        <v>2959</v>
      </c>
      <c r="E5473" t="str">
        <f>"00050134"</f>
        <v>00050134</v>
      </c>
      <c r="F5473">
        <v>0</v>
      </c>
      <c r="G5473" s="243">
        <v>39314</v>
      </c>
      <c r="H5473" t="s">
        <v>182</v>
      </c>
      <c r="I5473">
        <v>15</v>
      </c>
      <c r="J5473">
        <v>6</v>
      </c>
      <c r="K5473">
        <v>1</v>
      </c>
      <c r="L5473">
        <v>66078</v>
      </c>
      <c r="M5473" t="str">
        <f t="shared" si="853"/>
        <v>13</v>
      </c>
      <c r="N5473" t="s">
        <v>3323</v>
      </c>
      <c r="O5473" t="str">
        <f t="shared" si="851"/>
        <v>72811</v>
      </c>
      <c r="P5473" t="str">
        <f>"2100L"</f>
        <v>2100L</v>
      </c>
      <c r="Q5473" t="str">
        <f t="shared" si="852"/>
        <v>0101</v>
      </c>
      <c r="R5473">
        <v>2100</v>
      </c>
      <c r="S5473" t="str">
        <f t="shared" si="854"/>
        <v>7280</v>
      </c>
      <c r="T5473" t="s">
        <v>3712</v>
      </c>
      <c r="U5473" t="s">
        <v>2957</v>
      </c>
    </row>
    <row r="5474" spans="1:21" ht="15" customHeight="1" x14ac:dyDescent="0.3">
      <c r="A5474" t="s">
        <v>179</v>
      </c>
      <c r="B5474" t="str">
        <f>"00061824"</f>
        <v>00061824</v>
      </c>
      <c r="C5474" t="s">
        <v>3798</v>
      </c>
      <c r="D5474" t="s">
        <v>2982</v>
      </c>
      <c r="E5474" t="str">
        <f>"00047592"</f>
        <v>00047592</v>
      </c>
      <c r="F5474">
        <v>0</v>
      </c>
      <c r="G5474" s="243">
        <v>36670</v>
      </c>
      <c r="H5474" t="s">
        <v>182</v>
      </c>
      <c r="I5474">
        <v>66</v>
      </c>
      <c r="J5474">
        <v>5</v>
      </c>
      <c r="K5474">
        <v>1</v>
      </c>
      <c r="L5474">
        <v>135000</v>
      </c>
      <c r="M5474" t="str">
        <f t="shared" si="853"/>
        <v>13</v>
      </c>
      <c r="N5474" t="s">
        <v>3323</v>
      </c>
      <c r="O5474" t="str">
        <f t="shared" si="851"/>
        <v>72811</v>
      </c>
      <c r="P5474" t="str">
        <f>"1501L"</f>
        <v>1501L</v>
      </c>
      <c r="Q5474" t="str">
        <f t="shared" si="852"/>
        <v>0101</v>
      </c>
      <c r="R5474">
        <v>1501</v>
      </c>
      <c r="S5474" t="str">
        <f t="shared" si="854"/>
        <v>7280</v>
      </c>
      <c r="T5474" t="s">
        <v>3712</v>
      </c>
      <c r="U5474" t="s">
        <v>2957</v>
      </c>
    </row>
    <row r="5475" spans="1:21" ht="15" customHeight="1" x14ac:dyDescent="0.3">
      <c r="A5475" t="s">
        <v>179</v>
      </c>
      <c r="B5475" t="str">
        <f>"00061824"</f>
        <v>00061824</v>
      </c>
      <c r="C5475" t="s">
        <v>3798</v>
      </c>
      <c r="D5475" t="s">
        <v>5886</v>
      </c>
      <c r="E5475" t="str">
        <f>"00069345"</f>
        <v>00069345</v>
      </c>
      <c r="F5475">
        <v>0</v>
      </c>
      <c r="G5475" s="243">
        <v>41106</v>
      </c>
      <c r="H5475" t="s">
        <v>182</v>
      </c>
      <c r="I5475">
        <v>65</v>
      </c>
      <c r="J5475">
        <v>13</v>
      </c>
      <c r="K5475">
        <v>1</v>
      </c>
      <c r="L5475">
        <v>157000</v>
      </c>
      <c r="M5475" t="str">
        <f t="shared" si="853"/>
        <v>13</v>
      </c>
      <c r="N5475" t="s">
        <v>3323</v>
      </c>
      <c r="O5475" t="str">
        <f t="shared" si="851"/>
        <v>72811</v>
      </c>
      <c r="P5475" t="str">
        <f>"1501L"</f>
        <v>1501L</v>
      </c>
      <c r="Q5475" t="str">
        <f t="shared" si="852"/>
        <v>0101</v>
      </c>
      <c r="R5475">
        <v>1501</v>
      </c>
      <c r="S5475" t="str">
        <f t="shared" si="854"/>
        <v>7280</v>
      </c>
      <c r="T5475" t="s">
        <v>3712</v>
      </c>
      <c r="U5475" t="s">
        <v>2957</v>
      </c>
    </row>
    <row r="5476" spans="1:21" ht="15" customHeight="1" x14ac:dyDescent="0.3">
      <c r="A5476" t="s">
        <v>179</v>
      </c>
      <c r="B5476" t="str">
        <f>"00061871"</f>
        <v>00061871</v>
      </c>
      <c r="C5476" t="s">
        <v>3670</v>
      </c>
      <c r="D5476" t="s">
        <v>2983</v>
      </c>
      <c r="E5476" t="str">
        <f>"00052192"</f>
        <v>00052192</v>
      </c>
      <c r="F5476">
        <v>0</v>
      </c>
      <c r="G5476" s="243">
        <v>36039</v>
      </c>
      <c r="H5476" t="s">
        <v>182</v>
      </c>
      <c r="I5476">
        <v>8</v>
      </c>
      <c r="J5476">
        <v>6</v>
      </c>
      <c r="K5476">
        <v>1</v>
      </c>
      <c r="L5476">
        <v>94825</v>
      </c>
      <c r="M5476" t="str">
        <f t="shared" si="853"/>
        <v>13</v>
      </c>
      <c r="N5476" t="s">
        <v>3323</v>
      </c>
      <c r="O5476" t="str">
        <f t="shared" si="851"/>
        <v>72811</v>
      </c>
      <c r="P5476" t="str">
        <f>"1501L"</f>
        <v>1501L</v>
      </c>
      <c r="Q5476" t="str">
        <f t="shared" si="852"/>
        <v>0101</v>
      </c>
      <c r="R5476">
        <v>1501</v>
      </c>
      <c r="S5476" t="str">
        <f t="shared" si="854"/>
        <v>7280</v>
      </c>
      <c r="T5476" t="s">
        <v>3712</v>
      </c>
      <c r="U5476" t="s">
        <v>2957</v>
      </c>
    </row>
    <row r="5477" spans="1:21" ht="15" customHeight="1" x14ac:dyDescent="0.3">
      <c r="A5477" t="s">
        <v>179</v>
      </c>
      <c r="B5477" t="str">
        <f>"00061878"</f>
        <v>00061878</v>
      </c>
      <c r="C5477" t="s">
        <v>200</v>
      </c>
      <c r="D5477" t="s">
        <v>2984</v>
      </c>
      <c r="E5477" t="str">
        <f>"00029470"</f>
        <v>00029470</v>
      </c>
      <c r="F5477">
        <v>1</v>
      </c>
      <c r="G5477" s="243">
        <v>39677</v>
      </c>
      <c r="H5477" t="s">
        <v>182</v>
      </c>
      <c r="I5477">
        <v>15</v>
      </c>
      <c r="J5477">
        <v>12</v>
      </c>
      <c r="K5477">
        <v>1</v>
      </c>
      <c r="L5477">
        <v>87431</v>
      </c>
      <c r="M5477" t="str">
        <f t="shared" si="853"/>
        <v>13</v>
      </c>
      <c r="N5477" t="s">
        <v>3323</v>
      </c>
      <c r="O5477" t="str">
        <f t="shared" si="851"/>
        <v>72811</v>
      </c>
      <c r="P5477" t="str">
        <f>"2100L"</f>
        <v>2100L</v>
      </c>
      <c r="Q5477" t="str">
        <f t="shared" si="852"/>
        <v>0101</v>
      </c>
      <c r="R5477">
        <v>2100</v>
      </c>
      <c r="S5477" t="str">
        <f t="shared" si="854"/>
        <v>7280</v>
      </c>
      <c r="T5477" t="s">
        <v>3712</v>
      </c>
      <c r="U5477" t="s">
        <v>2957</v>
      </c>
    </row>
    <row r="5478" spans="1:21" ht="15" customHeight="1" x14ac:dyDescent="0.3">
      <c r="A5478" t="s">
        <v>179</v>
      </c>
      <c r="B5478" t="str">
        <f>"00062024"</f>
        <v>00062024</v>
      </c>
      <c r="C5478" t="s">
        <v>4253</v>
      </c>
      <c r="D5478" t="s">
        <v>5887</v>
      </c>
      <c r="E5478" t="str">
        <f>"00065971"</f>
        <v>00065971</v>
      </c>
      <c r="F5478">
        <v>0</v>
      </c>
      <c r="G5478" s="243">
        <v>41133</v>
      </c>
      <c r="H5478" t="s">
        <v>182</v>
      </c>
      <c r="I5478">
        <v>15</v>
      </c>
      <c r="J5478">
        <v>1</v>
      </c>
      <c r="K5478">
        <v>1</v>
      </c>
      <c r="L5478">
        <v>60128</v>
      </c>
      <c r="M5478" t="str">
        <f t="shared" si="853"/>
        <v>13</v>
      </c>
      <c r="N5478" t="s">
        <v>3370</v>
      </c>
      <c r="O5478" t="str">
        <f t="shared" si="851"/>
        <v>72811</v>
      </c>
      <c r="P5478" t="str">
        <f>"2100L"</f>
        <v>2100L</v>
      </c>
      <c r="Q5478" t="str">
        <f t="shared" si="852"/>
        <v>0101</v>
      </c>
      <c r="R5478">
        <v>2100</v>
      </c>
      <c r="S5478" t="str">
        <f t="shared" si="854"/>
        <v>7280</v>
      </c>
      <c r="T5478" t="s">
        <v>3712</v>
      </c>
      <c r="U5478" t="s">
        <v>2957</v>
      </c>
    </row>
    <row r="5479" spans="1:21" ht="15" customHeight="1" x14ac:dyDescent="0.3">
      <c r="A5479" t="s">
        <v>179</v>
      </c>
      <c r="B5479" t="str">
        <f>"00062092"</f>
        <v>00062092</v>
      </c>
      <c r="C5479" t="s">
        <v>4253</v>
      </c>
      <c r="D5479" t="s">
        <v>2433</v>
      </c>
      <c r="E5479" t="str">
        <f>"00048881"</f>
        <v>00048881</v>
      </c>
      <c r="F5479">
        <v>0</v>
      </c>
      <c r="G5479" s="243">
        <v>39679</v>
      </c>
      <c r="H5479" t="s">
        <v>182</v>
      </c>
      <c r="I5479">
        <v>15</v>
      </c>
      <c r="J5479">
        <v>5</v>
      </c>
      <c r="K5479">
        <v>1</v>
      </c>
      <c r="L5479">
        <v>63611</v>
      </c>
      <c r="M5479" t="str">
        <f t="shared" si="853"/>
        <v>13</v>
      </c>
      <c r="N5479" t="s">
        <v>3323</v>
      </c>
      <c r="O5479" t="str">
        <f t="shared" si="851"/>
        <v>72811</v>
      </c>
      <c r="P5479" t="str">
        <f>"2100L"</f>
        <v>2100L</v>
      </c>
      <c r="Q5479" t="str">
        <f t="shared" si="852"/>
        <v>0101</v>
      </c>
      <c r="R5479">
        <v>2100</v>
      </c>
      <c r="S5479" t="str">
        <f t="shared" si="854"/>
        <v>7280</v>
      </c>
      <c r="T5479" t="s">
        <v>3712</v>
      </c>
      <c r="U5479" t="s">
        <v>2957</v>
      </c>
    </row>
    <row r="5480" spans="1:21" ht="15" customHeight="1" x14ac:dyDescent="0.3">
      <c r="A5480" t="s">
        <v>179</v>
      </c>
      <c r="B5480" t="str">
        <f>"00062101"</f>
        <v>00062101</v>
      </c>
      <c r="C5480" t="s">
        <v>4260</v>
      </c>
      <c r="D5480" t="s">
        <v>2985</v>
      </c>
      <c r="E5480" t="str">
        <f>"00045412"</f>
        <v>00045412</v>
      </c>
      <c r="F5480">
        <v>0</v>
      </c>
      <c r="G5480" s="243">
        <v>40406</v>
      </c>
      <c r="H5480" t="s">
        <v>182</v>
      </c>
      <c r="I5480">
        <v>15</v>
      </c>
      <c r="J5480">
        <v>9</v>
      </c>
      <c r="K5480">
        <v>1</v>
      </c>
      <c r="L5480">
        <v>75232</v>
      </c>
      <c r="M5480" t="str">
        <f t="shared" si="853"/>
        <v>13</v>
      </c>
      <c r="N5480" t="s">
        <v>3323</v>
      </c>
      <c r="O5480" t="str">
        <f t="shared" si="851"/>
        <v>72811</v>
      </c>
      <c r="P5480" t="str">
        <f>"3030L"</f>
        <v>3030L</v>
      </c>
      <c r="Q5480" t="str">
        <f t="shared" si="852"/>
        <v>0101</v>
      </c>
      <c r="R5480">
        <v>3030</v>
      </c>
      <c r="S5480" t="str">
        <f t="shared" si="854"/>
        <v>7280</v>
      </c>
      <c r="T5480" t="s">
        <v>3712</v>
      </c>
      <c r="U5480" t="s">
        <v>2957</v>
      </c>
    </row>
    <row r="5481" spans="1:21" ht="15" customHeight="1" x14ac:dyDescent="0.3">
      <c r="A5481" t="s">
        <v>179</v>
      </c>
      <c r="B5481" t="str">
        <f>"00062173"</f>
        <v>00062173</v>
      </c>
      <c r="C5481" t="s">
        <v>4253</v>
      </c>
      <c r="D5481" t="s">
        <v>4164</v>
      </c>
      <c r="E5481" t="str">
        <f>"00058287"</f>
        <v>00058287</v>
      </c>
      <c r="F5481">
        <v>0</v>
      </c>
      <c r="G5481" s="243">
        <v>40406</v>
      </c>
      <c r="H5481" t="s">
        <v>182</v>
      </c>
      <c r="I5481">
        <v>15</v>
      </c>
      <c r="J5481">
        <v>2</v>
      </c>
      <c r="K5481">
        <v>1</v>
      </c>
      <c r="L5481">
        <v>56242</v>
      </c>
      <c r="M5481" t="str">
        <f t="shared" si="853"/>
        <v>13</v>
      </c>
      <c r="N5481" t="s">
        <v>3323</v>
      </c>
      <c r="O5481" t="str">
        <f t="shared" si="851"/>
        <v>72811</v>
      </c>
      <c r="P5481" t="str">
        <f t="shared" ref="P5481:P5487" si="855">"2100L"</f>
        <v>2100L</v>
      </c>
      <c r="Q5481" t="str">
        <f t="shared" si="852"/>
        <v>0101</v>
      </c>
      <c r="R5481">
        <v>2100</v>
      </c>
      <c r="S5481" t="str">
        <f t="shared" si="854"/>
        <v>7280</v>
      </c>
      <c r="T5481" t="s">
        <v>3712</v>
      </c>
      <c r="U5481" t="s">
        <v>2957</v>
      </c>
    </row>
    <row r="5482" spans="1:21" ht="15" customHeight="1" x14ac:dyDescent="0.3">
      <c r="A5482" t="s">
        <v>179</v>
      </c>
      <c r="B5482" t="str">
        <f>"00062364"</f>
        <v>00062364</v>
      </c>
      <c r="C5482" t="s">
        <v>4258</v>
      </c>
      <c r="D5482" t="s">
        <v>3603</v>
      </c>
      <c r="E5482" t="str">
        <f>"00064026"</f>
        <v>00064026</v>
      </c>
      <c r="F5482">
        <v>0</v>
      </c>
      <c r="G5482" s="243">
        <v>40451</v>
      </c>
      <c r="H5482" t="s">
        <v>182</v>
      </c>
      <c r="I5482">
        <v>15</v>
      </c>
      <c r="J5482">
        <v>7</v>
      </c>
      <c r="K5482">
        <v>1</v>
      </c>
      <c r="L5482">
        <v>69132</v>
      </c>
      <c r="M5482" t="str">
        <f t="shared" si="853"/>
        <v>13</v>
      </c>
      <c r="N5482" t="s">
        <v>3323</v>
      </c>
      <c r="O5482" t="str">
        <f t="shared" si="851"/>
        <v>72811</v>
      </c>
      <c r="P5482" t="str">
        <f t="shared" si="855"/>
        <v>2100L</v>
      </c>
      <c r="Q5482" t="str">
        <f t="shared" si="852"/>
        <v>0101</v>
      </c>
      <c r="R5482">
        <v>2100</v>
      </c>
      <c r="S5482" t="str">
        <f t="shared" si="854"/>
        <v>7280</v>
      </c>
      <c r="T5482" t="s">
        <v>3712</v>
      </c>
      <c r="U5482" t="s">
        <v>2957</v>
      </c>
    </row>
    <row r="5483" spans="1:21" ht="15" customHeight="1" x14ac:dyDescent="0.3">
      <c r="A5483" t="s">
        <v>179</v>
      </c>
      <c r="B5483" t="str">
        <f>"00062531"</f>
        <v>00062531</v>
      </c>
      <c r="C5483" t="s">
        <v>4253</v>
      </c>
      <c r="D5483" t="s">
        <v>5888</v>
      </c>
      <c r="E5483" t="str">
        <f>"00069827"</f>
        <v>00069827</v>
      </c>
      <c r="F5483">
        <v>0</v>
      </c>
      <c r="G5483" s="243">
        <v>41133</v>
      </c>
      <c r="H5483" t="s">
        <v>182</v>
      </c>
      <c r="I5483">
        <v>15</v>
      </c>
      <c r="J5483">
        <v>2</v>
      </c>
      <c r="K5483">
        <v>1</v>
      </c>
      <c r="L5483">
        <v>51716</v>
      </c>
      <c r="M5483" t="str">
        <f t="shared" si="853"/>
        <v>13</v>
      </c>
      <c r="N5483" t="s">
        <v>3370</v>
      </c>
      <c r="O5483" t="str">
        <f t="shared" si="851"/>
        <v>72811</v>
      </c>
      <c r="P5483" t="str">
        <f t="shared" si="855"/>
        <v>2100L</v>
      </c>
      <c r="Q5483" t="str">
        <f t="shared" si="852"/>
        <v>0101</v>
      </c>
      <c r="R5483">
        <v>2100</v>
      </c>
      <c r="S5483" t="str">
        <f t="shared" si="854"/>
        <v>7280</v>
      </c>
      <c r="T5483" t="s">
        <v>3712</v>
      </c>
      <c r="U5483" t="s">
        <v>2957</v>
      </c>
    </row>
    <row r="5484" spans="1:21" ht="15" customHeight="1" x14ac:dyDescent="0.3">
      <c r="A5484" t="s">
        <v>179</v>
      </c>
      <c r="B5484" t="str">
        <f>"00062727"</f>
        <v>00062727</v>
      </c>
      <c r="C5484" t="s">
        <v>4253</v>
      </c>
      <c r="D5484" t="s">
        <v>4166</v>
      </c>
      <c r="E5484" t="str">
        <f>"00066184"</f>
        <v>00066184</v>
      </c>
      <c r="F5484">
        <v>0</v>
      </c>
      <c r="G5484" s="243">
        <v>40755</v>
      </c>
      <c r="H5484" t="s">
        <v>182</v>
      </c>
      <c r="I5484">
        <v>15</v>
      </c>
      <c r="J5484">
        <v>2</v>
      </c>
      <c r="K5484">
        <v>1</v>
      </c>
      <c r="L5484">
        <v>51716</v>
      </c>
      <c r="M5484" t="str">
        <f t="shared" si="853"/>
        <v>13</v>
      </c>
      <c r="N5484" t="s">
        <v>3323</v>
      </c>
      <c r="O5484" t="str">
        <f t="shared" si="851"/>
        <v>72811</v>
      </c>
      <c r="P5484" t="str">
        <f t="shared" si="855"/>
        <v>2100L</v>
      </c>
      <c r="Q5484" t="str">
        <f t="shared" si="852"/>
        <v>0101</v>
      </c>
      <c r="R5484">
        <v>2100</v>
      </c>
      <c r="S5484" t="str">
        <f t="shared" si="854"/>
        <v>7280</v>
      </c>
      <c r="T5484" t="s">
        <v>4158</v>
      </c>
      <c r="U5484" t="s">
        <v>2957</v>
      </c>
    </row>
    <row r="5485" spans="1:21" ht="15" customHeight="1" x14ac:dyDescent="0.3">
      <c r="A5485" t="s">
        <v>179</v>
      </c>
      <c r="B5485" t="str">
        <f>"00063072"</f>
        <v>00063072</v>
      </c>
      <c r="C5485" t="s">
        <v>4253</v>
      </c>
      <c r="D5485" t="s">
        <v>5889</v>
      </c>
      <c r="E5485" t="str">
        <f>"00069623"</f>
        <v>00069623</v>
      </c>
      <c r="F5485">
        <v>0</v>
      </c>
      <c r="G5485" s="243">
        <v>41133</v>
      </c>
      <c r="H5485" t="s">
        <v>182</v>
      </c>
      <c r="I5485">
        <v>15</v>
      </c>
      <c r="J5485">
        <v>1</v>
      </c>
      <c r="K5485">
        <v>1</v>
      </c>
      <c r="L5485">
        <v>51539</v>
      </c>
      <c r="M5485" t="str">
        <f t="shared" si="853"/>
        <v>13</v>
      </c>
      <c r="N5485" t="s">
        <v>3370</v>
      </c>
      <c r="O5485" t="str">
        <f t="shared" si="851"/>
        <v>72811</v>
      </c>
      <c r="P5485" t="str">
        <f t="shared" si="855"/>
        <v>2100L</v>
      </c>
      <c r="Q5485" t="str">
        <f t="shared" si="852"/>
        <v>0101</v>
      </c>
      <c r="R5485">
        <v>2100</v>
      </c>
      <c r="S5485" t="str">
        <f t="shared" si="854"/>
        <v>7280</v>
      </c>
      <c r="T5485" t="s">
        <v>3712</v>
      </c>
      <c r="U5485" t="s">
        <v>2957</v>
      </c>
    </row>
    <row r="5486" spans="1:21" ht="15" customHeight="1" x14ac:dyDescent="0.3">
      <c r="A5486" t="s">
        <v>179</v>
      </c>
      <c r="B5486" t="str">
        <f>"00065644"</f>
        <v>00065644</v>
      </c>
      <c r="C5486" t="s">
        <v>4253</v>
      </c>
      <c r="D5486" t="s">
        <v>5890</v>
      </c>
      <c r="E5486" t="str">
        <f>"00069773"</f>
        <v>00069773</v>
      </c>
      <c r="F5486">
        <v>0</v>
      </c>
      <c r="G5486" s="243">
        <v>41133</v>
      </c>
      <c r="H5486" t="s">
        <v>182</v>
      </c>
      <c r="I5486">
        <v>15</v>
      </c>
      <c r="J5486">
        <v>1</v>
      </c>
      <c r="K5486">
        <v>1</v>
      </c>
      <c r="L5486">
        <v>51539</v>
      </c>
      <c r="M5486" t="str">
        <f t="shared" si="853"/>
        <v>13</v>
      </c>
      <c r="N5486" t="s">
        <v>3370</v>
      </c>
      <c r="O5486" t="str">
        <f t="shared" si="851"/>
        <v>72811</v>
      </c>
      <c r="P5486" t="str">
        <f t="shared" si="855"/>
        <v>2100L</v>
      </c>
      <c r="Q5486" t="str">
        <f t="shared" si="852"/>
        <v>0101</v>
      </c>
      <c r="R5486">
        <v>2100</v>
      </c>
      <c r="S5486" t="str">
        <f t="shared" si="854"/>
        <v>7280</v>
      </c>
      <c r="T5486" t="s">
        <v>3712</v>
      </c>
      <c r="U5486" t="s">
        <v>2957</v>
      </c>
    </row>
    <row r="5487" spans="1:21" ht="15" customHeight="1" x14ac:dyDescent="0.3">
      <c r="A5487" t="s">
        <v>179</v>
      </c>
      <c r="B5487" t="str">
        <f>"00065653"</f>
        <v>00065653</v>
      </c>
      <c r="C5487" t="s">
        <v>4263</v>
      </c>
      <c r="D5487" t="s">
        <v>2987</v>
      </c>
      <c r="E5487" t="str">
        <f>"00057765"</f>
        <v>00057765</v>
      </c>
      <c r="F5487">
        <v>0</v>
      </c>
      <c r="G5487" s="243">
        <v>40045</v>
      </c>
      <c r="H5487" t="s">
        <v>182</v>
      </c>
      <c r="I5487">
        <v>15</v>
      </c>
      <c r="J5487">
        <v>12</v>
      </c>
      <c r="K5487">
        <v>1</v>
      </c>
      <c r="L5487">
        <v>89887</v>
      </c>
      <c r="M5487" t="str">
        <f t="shared" si="853"/>
        <v>13</v>
      </c>
      <c r="N5487" t="s">
        <v>3323</v>
      </c>
      <c r="O5487" t="str">
        <f t="shared" si="851"/>
        <v>72811</v>
      </c>
      <c r="P5487" t="str">
        <f t="shared" si="855"/>
        <v>2100L</v>
      </c>
      <c r="Q5487" t="str">
        <f t="shared" si="852"/>
        <v>0101</v>
      </c>
      <c r="R5487">
        <v>2100</v>
      </c>
      <c r="S5487" t="str">
        <f t="shared" si="854"/>
        <v>7280</v>
      </c>
      <c r="T5487" t="s">
        <v>3712</v>
      </c>
      <c r="U5487" t="s">
        <v>2957</v>
      </c>
    </row>
    <row r="5488" spans="1:21" ht="15" customHeight="1" x14ac:dyDescent="0.3">
      <c r="A5488" t="s">
        <v>179</v>
      </c>
      <c r="B5488" t="str">
        <f>"00065989"</f>
        <v>00065989</v>
      </c>
      <c r="C5488" t="s">
        <v>4253</v>
      </c>
      <c r="D5488" t="s">
        <v>5891</v>
      </c>
      <c r="E5488" t="str">
        <f>"00069841"</f>
        <v>00069841</v>
      </c>
      <c r="F5488">
        <v>0</v>
      </c>
      <c r="G5488" s="243">
        <v>41133</v>
      </c>
      <c r="H5488" t="s">
        <v>182</v>
      </c>
      <c r="I5488">
        <v>15</v>
      </c>
      <c r="J5488">
        <v>1</v>
      </c>
      <c r="K5488">
        <v>1</v>
      </c>
      <c r="L5488">
        <v>54975</v>
      </c>
      <c r="M5488" t="str">
        <f t="shared" si="853"/>
        <v>13</v>
      </c>
      <c r="N5488" t="s">
        <v>3370</v>
      </c>
      <c r="O5488" t="str">
        <f t="shared" ref="O5488:O5516" si="856">"72811"</f>
        <v>72811</v>
      </c>
      <c r="P5488" t="str">
        <f>"3030L"</f>
        <v>3030L</v>
      </c>
      <c r="Q5488" t="str">
        <f t="shared" ref="Q5488:Q5516" si="857">"0101"</f>
        <v>0101</v>
      </c>
      <c r="R5488">
        <v>3030</v>
      </c>
      <c r="S5488" t="str">
        <f t="shared" si="854"/>
        <v>7280</v>
      </c>
      <c r="T5488" t="s">
        <v>3712</v>
      </c>
      <c r="U5488" t="s">
        <v>2957</v>
      </c>
    </row>
    <row r="5489" spans="1:21" ht="15" customHeight="1" x14ac:dyDescent="0.3">
      <c r="A5489" t="s">
        <v>179</v>
      </c>
      <c r="B5489" t="str">
        <f>"00066182"</f>
        <v>00066182</v>
      </c>
      <c r="C5489" t="s">
        <v>4290</v>
      </c>
      <c r="D5489" t="s">
        <v>5892</v>
      </c>
      <c r="E5489" t="str">
        <f>"00051689"</f>
        <v>00051689</v>
      </c>
      <c r="F5489">
        <v>0</v>
      </c>
      <c r="G5489" s="243">
        <v>34446</v>
      </c>
      <c r="H5489" t="s">
        <v>182</v>
      </c>
      <c r="I5489">
        <v>4</v>
      </c>
      <c r="J5489">
        <v>10</v>
      </c>
      <c r="K5489">
        <v>1</v>
      </c>
      <c r="L5489">
        <v>28721</v>
      </c>
      <c r="M5489" t="str">
        <f t="shared" si="853"/>
        <v>13</v>
      </c>
      <c r="N5489" t="s">
        <v>3323</v>
      </c>
      <c r="O5489" t="str">
        <f t="shared" si="856"/>
        <v>72811</v>
      </c>
      <c r="P5489" t="str">
        <f>"2100L"</f>
        <v>2100L</v>
      </c>
      <c r="Q5489" t="str">
        <f t="shared" si="857"/>
        <v>0101</v>
      </c>
      <c r="R5489">
        <v>2100</v>
      </c>
      <c r="S5489" t="str">
        <f t="shared" si="854"/>
        <v>7280</v>
      </c>
      <c r="T5489" t="s">
        <v>3712</v>
      </c>
      <c r="U5489" t="s">
        <v>2957</v>
      </c>
    </row>
    <row r="5490" spans="1:21" ht="15" customHeight="1" x14ac:dyDescent="0.3">
      <c r="A5490" t="s">
        <v>179</v>
      </c>
      <c r="B5490" t="str">
        <f>"00066821"</f>
        <v>00066821</v>
      </c>
      <c r="C5490" t="s">
        <v>4253</v>
      </c>
      <c r="D5490" t="s">
        <v>821</v>
      </c>
      <c r="E5490" t="str">
        <f>"00053824"</f>
        <v>00053824</v>
      </c>
      <c r="F5490">
        <v>0</v>
      </c>
      <c r="G5490" s="243">
        <v>40042</v>
      </c>
      <c r="H5490" t="s">
        <v>182</v>
      </c>
      <c r="I5490">
        <v>15</v>
      </c>
      <c r="J5490">
        <v>12</v>
      </c>
      <c r="K5490">
        <v>1</v>
      </c>
      <c r="L5490">
        <v>89887</v>
      </c>
      <c r="M5490" t="str">
        <f t="shared" si="853"/>
        <v>13</v>
      </c>
      <c r="N5490" t="s">
        <v>3323</v>
      </c>
      <c r="O5490" t="str">
        <f t="shared" si="856"/>
        <v>72811</v>
      </c>
      <c r="P5490" t="str">
        <f>"2100L"</f>
        <v>2100L</v>
      </c>
      <c r="Q5490" t="str">
        <f t="shared" si="857"/>
        <v>0101</v>
      </c>
      <c r="R5490">
        <v>2100</v>
      </c>
      <c r="S5490" t="str">
        <f t="shared" si="854"/>
        <v>7280</v>
      </c>
      <c r="T5490" t="s">
        <v>3712</v>
      </c>
      <c r="U5490" t="s">
        <v>2957</v>
      </c>
    </row>
    <row r="5491" spans="1:21" ht="15" customHeight="1" x14ac:dyDescent="0.3">
      <c r="A5491" t="s">
        <v>179</v>
      </c>
      <c r="B5491" t="str">
        <f>"00066982"</f>
        <v>00066982</v>
      </c>
      <c r="C5491" t="s">
        <v>4395</v>
      </c>
      <c r="D5491" t="s">
        <v>2962</v>
      </c>
      <c r="E5491" t="str">
        <f>"00048789"</f>
        <v>00048789</v>
      </c>
      <c r="F5491">
        <v>0</v>
      </c>
      <c r="G5491" s="243">
        <v>36332</v>
      </c>
      <c r="H5491" t="s">
        <v>182</v>
      </c>
      <c r="I5491">
        <v>10</v>
      </c>
      <c r="J5491">
        <v>9</v>
      </c>
      <c r="K5491">
        <v>1</v>
      </c>
      <c r="L5491">
        <v>84226</v>
      </c>
      <c r="M5491" t="str">
        <f t="shared" si="853"/>
        <v>13</v>
      </c>
      <c r="N5491" t="s">
        <v>3323</v>
      </c>
      <c r="O5491" t="str">
        <f t="shared" si="856"/>
        <v>72811</v>
      </c>
      <c r="P5491" t="str">
        <f>"1502L"</f>
        <v>1502L</v>
      </c>
      <c r="Q5491" t="str">
        <f t="shared" si="857"/>
        <v>0101</v>
      </c>
      <c r="R5491">
        <v>1502</v>
      </c>
      <c r="S5491" t="str">
        <f t="shared" si="854"/>
        <v>7280</v>
      </c>
      <c r="T5491" t="s">
        <v>3712</v>
      </c>
      <c r="U5491" t="s">
        <v>2957</v>
      </c>
    </row>
    <row r="5492" spans="1:21" ht="15" customHeight="1" x14ac:dyDescent="0.3">
      <c r="A5492" t="s">
        <v>179</v>
      </c>
      <c r="B5492" t="str">
        <f>"00067300"</f>
        <v>00067300</v>
      </c>
      <c r="C5492" t="s">
        <v>4290</v>
      </c>
      <c r="D5492" t="s">
        <v>5893</v>
      </c>
      <c r="E5492" t="str">
        <f>"00066159"</f>
        <v>00066159</v>
      </c>
      <c r="F5492">
        <v>0</v>
      </c>
      <c r="G5492" s="243">
        <v>40770</v>
      </c>
      <c r="H5492" t="s">
        <v>182</v>
      </c>
      <c r="I5492">
        <v>4</v>
      </c>
      <c r="J5492">
        <v>9</v>
      </c>
      <c r="K5492">
        <v>1</v>
      </c>
      <c r="L5492">
        <v>28025.38</v>
      </c>
      <c r="M5492" t="str">
        <f t="shared" si="853"/>
        <v>13</v>
      </c>
      <c r="N5492" t="s">
        <v>3323</v>
      </c>
      <c r="O5492" t="str">
        <f t="shared" si="856"/>
        <v>72811</v>
      </c>
      <c r="P5492" t="str">
        <f>"2100L"</f>
        <v>2100L</v>
      </c>
      <c r="Q5492" t="str">
        <f t="shared" si="857"/>
        <v>0101</v>
      </c>
      <c r="R5492">
        <v>2100</v>
      </c>
      <c r="S5492" t="str">
        <f t="shared" si="854"/>
        <v>7280</v>
      </c>
      <c r="T5492" t="s">
        <v>3712</v>
      </c>
      <c r="U5492" t="s">
        <v>2957</v>
      </c>
    </row>
    <row r="5493" spans="1:21" ht="15" customHeight="1" x14ac:dyDescent="0.3">
      <c r="A5493" t="s">
        <v>179</v>
      </c>
      <c r="B5493" t="str">
        <f>"00067641"</f>
        <v>00067641</v>
      </c>
      <c r="C5493" t="s">
        <v>4253</v>
      </c>
      <c r="D5493" t="s">
        <v>5894</v>
      </c>
      <c r="E5493" t="str">
        <f>"00070082"</f>
        <v>00070082</v>
      </c>
      <c r="F5493">
        <v>0</v>
      </c>
      <c r="G5493" s="243">
        <v>41133</v>
      </c>
      <c r="H5493" t="s">
        <v>182</v>
      </c>
      <c r="I5493">
        <v>15</v>
      </c>
      <c r="J5493">
        <v>4</v>
      </c>
      <c r="K5493">
        <v>1</v>
      </c>
      <c r="L5493">
        <v>54725</v>
      </c>
      <c r="M5493" t="str">
        <f t="shared" si="853"/>
        <v>13</v>
      </c>
      <c r="N5493" t="s">
        <v>3323</v>
      </c>
      <c r="O5493" t="str">
        <f t="shared" si="856"/>
        <v>72811</v>
      </c>
      <c r="P5493" t="str">
        <f>"2100L"</f>
        <v>2100L</v>
      </c>
      <c r="Q5493" t="str">
        <f t="shared" si="857"/>
        <v>0101</v>
      </c>
      <c r="R5493">
        <v>2100</v>
      </c>
      <c r="S5493" t="str">
        <f t="shared" si="854"/>
        <v>7280</v>
      </c>
      <c r="T5493" t="s">
        <v>3712</v>
      </c>
      <c r="U5493" t="s">
        <v>2957</v>
      </c>
    </row>
    <row r="5494" spans="1:21" ht="15" customHeight="1" x14ac:dyDescent="0.3">
      <c r="A5494" t="s">
        <v>179</v>
      </c>
      <c r="B5494" t="str">
        <f>"00068261"</f>
        <v>00068261</v>
      </c>
      <c r="C5494" t="s">
        <v>4260</v>
      </c>
      <c r="D5494" t="s">
        <v>4156</v>
      </c>
      <c r="E5494" t="str">
        <f>"00057129"</f>
        <v>00057129</v>
      </c>
      <c r="F5494">
        <v>0</v>
      </c>
      <c r="G5494" s="243">
        <v>40729</v>
      </c>
      <c r="H5494" t="s">
        <v>182</v>
      </c>
      <c r="I5494">
        <v>15</v>
      </c>
      <c r="J5494">
        <v>11</v>
      </c>
      <c r="K5494">
        <v>1</v>
      </c>
      <c r="L5494">
        <v>83774</v>
      </c>
      <c r="M5494" t="str">
        <f t="shared" si="853"/>
        <v>13</v>
      </c>
      <c r="N5494" t="s">
        <v>3323</v>
      </c>
      <c r="O5494" t="str">
        <f t="shared" si="856"/>
        <v>72811</v>
      </c>
      <c r="P5494" t="str">
        <f>"2100L"</f>
        <v>2100L</v>
      </c>
      <c r="Q5494" t="str">
        <f t="shared" si="857"/>
        <v>0101</v>
      </c>
      <c r="R5494">
        <v>2100</v>
      </c>
      <c r="S5494" t="str">
        <f t="shared" si="854"/>
        <v>7280</v>
      </c>
      <c r="T5494" t="s">
        <v>3712</v>
      </c>
      <c r="U5494" t="s">
        <v>2957</v>
      </c>
    </row>
    <row r="5495" spans="1:21" ht="15" customHeight="1" x14ac:dyDescent="0.3">
      <c r="A5495" t="s">
        <v>179</v>
      </c>
      <c r="B5495" t="str">
        <f>"00071535"</f>
        <v>00071535</v>
      </c>
      <c r="C5495" t="s">
        <v>3670</v>
      </c>
      <c r="D5495" t="s">
        <v>2990</v>
      </c>
      <c r="E5495" t="str">
        <f>"00050568"</f>
        <v>00050568</v>
      </c>
      <c r="F5495">
        <v>0</v>
      </c>
      <c r="G5495" s="243">
        <v>35927</v>
      </c>
      <c r="H5495" t="s">
        <v>182</v>
      </c>
      <c r="I5495">
        <v>8</v>
      </c>
      <c r="J5495">
        <v>7</v>
      </c>
      <c r="K5495">
        <v>1</v>
      </c>
      <c r="L5495">
        <v>97953</v>
      </c>
      <c r="M5495" t="str">
        <f t="shared" si="853"/>
        <v>13</v>
      </c>
      <c r="N5495" t="s">
        <v>3323</v>
      </c>
      <c r="O5495" t="str">
        <f t="shared" si="856"/>
        <v>72811</v>
      </c>
      <c r="P5495" t="str">
        <f>"1501L"</f>
        <v>1501L</v>
      </c>
      <c r="Q5495" t="str">
        <f t="shared" si="857"/>
        <v>0101</v>
      </c>
      <c r="R5495">
        <v>1501</v>
      </c>
      <c r="S5495" t="str">
        <f t="shared" si="854"/>
        <v>7280</v>
      </c>
      <c r="T5495" t="s">
        <v>3712</v>
      </c>
      <c r="U5495" t="s">
        <v>2957</v>
      </c>
    </row>
    <row r="5496" spans="1:21" ht="15" customHeight="1" x14ac:dyDescent="0.3">
      <c r="A5496" t="s">
        <v>179</v>
      </c>
      <c r="B5496" t="str">
        <f>"00072383"</f>
        <v>00072383</v>
      </c>
      <c r="C5496" t="s">
        <v>4260</v>
      </c>
      <c r="D5496" t="s">
        <v>2991</v>
      </c>
      <c r="E5496" t="str">
        <f>"00062643"</f>
        <v>00062643</v>
      </c>
      <c r="F5496">
        <v>0</v>
      </c>
      <c r="G5496" s="243">
        <v>40406</v>
      </c>
      <c r="H5496" t="s">
        <v>182</v>
      </c>
      <c r="I5496">
        <v>15</v>
      </c>
      <c r="J5496">
        <v>3</v>
      </c>
      <c r="K5496">
        <v>1</v>
      </c>
      <c r="L5496">
        <v>58699</v>
      </c>
      <c r="M5496" t="str">
        <f t="shared" si="853"/>
        <v>13</v>
      </c>
      <c r="N5496" t="s">
        <v>3323</v>
      </c>
      <c r="O5496" t="str">
        <f t="shared" si="856"/>
        <v>72811</v>
      </c>
      <c r="P5496" t="str">
        <f>"2100L"</f>
        <v>2100L</v>
      </c>
      <c r="Q5496" t="str">
        <f t="shared" si="857"/>
        <v>0101</v>
      </c>
      <c r="R5496">
        <v>2100</v>
      </c>
      <c r="S5496" t="str">
        <f t="shared" ref="S5496:S5523" si="858">"7280"</f>
        <v>7280</v>
      </c>
      <c r="T5496" t="s">
        <v>3712</v>
      </c>
      <c r="U5496" t="s">
        <v>2957</v>
      </c>
    </row>
    <row r="5497" spans="1:21" ht="15" customHeight="1" x14ac:dyDescent="0.3">
      <c r="A5497" t="s">
        <v>179</v>
      </c>
      <c r="B5497" t="str">
        <f>"00072410"</f>
        <v>00072410</v>
      </c>
      <c r="C5497" t="s">
        <v>4410</v>
      </c>
      <c r="D5497" t="s">
        <v>2955</v>
      </c>
      <c r="E5497" t="str">
        <f>"00054974"</f>
        <v>00054974</v>
      </c>
      <c r="F5497">
        <v>0</v>
      </c>
      <c r="G5497" s="243">
        <v>36397</v>
      </c>
      <c r="H5497" t="s">
        <v>182</v>
      </c>
      <c r="I5497">
        <v>5</v>
      </c>
      <c r="J5497">
        <v>9</v>
      </c>
      <c r="K5497">
        <v>1</v>
      </c>
      <c r="L5497">
        <v>35653</v>
      </c>
      <c r="M5497" t="str">
        <f t="shared" si="853"/>
        <v>13</v>
      </c>
      <c r="N5497" t="s">
        <v>3323</v>
      </c>
      <c r="O5497" t="str">
        <f t="shared" si="856"/>
        <v>72811</v>
      </c>
      <c r="P5497" t="str">
        <f>"2100L"</f>
        <v>2100L</v>
      </c>
      <c r="Q5497" t="str">
        <f t="shared" si="857"/>
        <v>0101</v>
      </c>
      <c r="R5497">
        <v>2100</v>
      </c>
      <c r="S5497" t="str">
        <f t="shared" si="858"/>
        <v>7280</v>
      </c>
      <c r="T5497" t="s">
        <v>4158</v>
      </c>
      <c r="U5497" t="s">
        <v>2957</v>
      </c>
    </row>
    <row r="5498" spans="1:21" ht="15" customHeight="1" x14ac:dyDescent="0.3">
      <c r="A5498" t="s">
        <v>179</v>
      </c>
      <c r="B5498" t="str">
        <f>"00072646"</f>
        <v>00072646</v>
      </c>
      <c r="C5498" t="s">
        <v>4290</v>
      </c>
      <c r="D5498" t="s">
        <v>5895</v>
      </c>
      <c r="E5498" t="str">
        <f>"00051484"</f>
        <v>00051484</v>
      </c>
      <c r="F5498">
        <v>0</v>
      </c>
      <c r="G5498" s="243">
        <v>37533</v>
      </c>
      <c r="H5498" t="s">
        <v>182</v>
      </c>
      <c r="I5498">
        <v>4</v>
      </c>
      <c r="J5498">
        <v>7</v>
      </c>
      <c r="K5498">
        <v>0.71</v>
      </c>
      <c r="L5498">
        <v>26633.25</v>
      </c>
      <c r="M5498" t="str">
        <f t="shared" si="853"/>
        <v>13</v>
      </c>
      <c r="N5498" t="s">
        <v>3323</v>
      </c>
      <c r="O5498" t="str">
        <f t="shared" si="856"/>
        <v>72811</v>
      </c>
      <c r="P5498" t="str">
        <f t="shared" ref="P5498:P5504" si="859">"2100L"</f>
        <v>2100L</v>
      </c>
      <c r="Q5498" t="str">
        <f t="shared" si="857"/>
        <v>0101</v>
      </c>
      <c r="R5498">
        <v>2100</v>
      </c>
      <c r="S5498" t="str">
        <f t="shared" si="858"/>
        <v>7280</v>
      </c>
      <c r="T5498" t="s">
        <v>3712</v>
      </c>
      <c r="U5498" t="s">
        <v>2957</v>
      </c>
    </row>
    <row r="5499" spans="1:21" ht="15" customHeight="1" x14ac:dyDescent="0.3">
      <c r="A5499" t="s">
        <v>179</v>
      </c>
      <c r="B5499" t="str">
        <f>"00072649"</f>
        <v>00072649</v>
      </c>
      <c r="C5499" t="s">
        <v>4290</v>
      </c>
      <c r="H5499" t="s">
        <v>170</v>
      </c>
      <c r="I5499">
        <v>4</v>
      </c>
      <c r="J5499">
        <v>1</v>
      </c>
      <c r="K5499">
        <v>0.71</v>
      </c>
      <c r="L5499">
        <v>25662</v>
      </c>
      <c r="M5499" t="str">
        <f t="shared" si="853"/>
        <v>13</v>
      </c>
      <c r="N5499" t="s">
        <v>3323</v>
      </c>
      <c r="O5499" t="str">
        <f t="shared" si="856"/>
        <v>72811</v>
      </c>
      <c r="P5499" t="str">
        <f t="shared" si="859"/>
        <v>2100L</v>
      </c>
      <c r="Q5499" t="str">
        <f t="shared" si="857"/>
        <v>0101</v>
      </c>
      <c r="R5499">
        <v>2100</v>
      </c>
      <c r="S5499" t="str">
        <f t="shared" si="858"/>
        <v>7280</v>
      </c>
      <c r="T5499" t="s">
        <v>3712</v>
      </c>
      <c r="U5499" t="s">
        <v>2957</v>
      </c>
    </row>
    <row r="5500" spans="1:21" ht="15" customHeight="1" x14ac:dyDescent="0.3">
      <c r="A5500" t="s">
        <v>179</v>
      </c>
      <c r="B5500" t="str">
        <f>"00072838"</f>
        <v>00072838</v>
      </c>
      <c r="C5500" t="s">
        <v>4257</v>
      </c>
      <c r="D5500" t="s">
        <v>4157</v>
      </c>
      <c r="E5500" t="str">
        <f>"00065660"</f>
        <v>00065660</v>
      </c>
      <c r="F5500">
        <v>0</v>
      </c>
      <c r="G5500" s="243">
        <v>40729</v>
      </c>
      <c r="H5500" t="s">
        <v>182</v>
      </c>
      <c r="I5500">
        <v>15</v>
      </c>
      <c r="J5500">
        <v>2</v>
      </c>
      <c r="K5500">
        <v>1</v>
      </c>
      <c r="L5500">
        <v>56242</v>
      </c>
      <c r="M5500" t="str">
        <f t="shared" si="853"/>
        <v>13</v>
      </c>
      <c r="N5500" t="s">
        <v>3323</v>
      </c>
      <c r="O5500" t="str">
        <f t="shared" si="856"/>
        <v>72811</v>
      </c>
      <c r="P5500" t="str">
        <f t="shared" si="859"/>
        <v>2100L</v>
      </c>
      <c r="Q5500" t="str">
        <f t="shared" si="857"/>
        <v>0101</v>
      </c>
      <c r="R5500">
        <v>2100</v>
      </c>
      <c r="S5500" t="str">
        <f t="shared" si="858"/>
        <v>7280</v>
      </c>
      <c r="T5500" t="s">
        <v>3712</v>
      </c>
      <c r="U5500" t="s">
        <v>2957</v>
      </c>
    </row>
    <row r="5501" spans="1:21" ht="15" customHeight="1" x14ac:dyDescent="0.3">
      <c r="A5501" t="s">
        <v>179</v>
      </c>
      <c r="B5501" t="str">
        <f>"00072840"</f>
        <v>00072840</v>
      </c>
      <c r="C5501" t="s">
        <v>4254</v>
      </c>
      <c r="D5501" t="s">
        <v>2994</v>
      </c>
      <c r="E5501" t="str">
        <f>"00054630"</f>
        <v>00054630</v>
      </c>
      <c r="F5501">
        <v>0</v>
      </c>
      <c r="G5501" s="243">
        <v>32050</v>
      </c>
      <c r="H5501" t="s">
        <v>182</v>
      </c>
      <c r="I5501">
        <v>15</v>
      </c>
      <c r="J5501">
        <v>13</v>
      </c>
      <c r="K5501">
        <v>1</v>
      </c>
      <c r="L5501">
        <v>81724</v>
      </c>
      <c r="M5501" t="str">
        <f t="shared" si="853"/>
        <v>13</v>
      </c>
      <c r="N5501" t="s">
        <v>3323</v>
      </c>
      <c r="O5501" t="str">
        <f t="shared" si="856"/>
        <v>72811</v>
      </c>
      <c r="P5501" t="str">
        <f t="shared" si="859"/>
        <v>2100L</v>
      </c>
      <c r="Q5501" t="str">
        <f t="shared" si="857"/>
        <v>0101</v>
      </c>
      <c r="R5501">
        <v>2100</v>
      </c>
      <c r="S5501" t="str">
        <f t="shared" si="858"/>
        <v>7280</v>
      </c>
      <c r="T5501" t="s">
        <v>3712</v>
      </c>
      <c r="U5501" t="s">
        <v>2957</v>
      </c>
    </row>
    <row r="5502" spans="1:21" ht="15" customHeight="1" x14ac:dyDescent="0.3">
      <c r="A5502" t="s">
        <v>179</v>
      </c>
      <c r="B5502" t="str">
        <f>"00073752"</f>
        <v>00073752</v>
      </c>
      <c r="C5502" t="s">
        <v>200</v>
      </c>
      <c r="D5502" t="s">
        <v>4154</v>
      </c>
      <c r="E5502" t="str">
        <f>"00016734"</f>
        <v>00016734</v>
      </c>
      <c r="F5502">
        <v>1</v>
      </c>
      <c r="G5502" s="243">
        <v>36724</v>
      </c>
      <c r="H5502" t="s">
        <v>182</v>
      </c>
      <c r="I5502">
        <v>15</v>
      </c>
      <c r="J5502">
        <v>12</v>
      </c>
      <c r="K5502">
        <v>1</v>
      </c>
      <c r="L5502">
        <v>87431</v>
      </c>
      <c r="M5502" t="str">
        <f t="shared" si="853"/>
        <v>13</v>
      </c>
      <c r="N5502" t="s">
        <v>3323</v>
      </c>
      <c r="O5502" t="str">
        <f t="shared" si="856"/>
        <v>72811</v>
      </c>
      <c r="P5502" t="str">
        <f t="shared" si="859"/>
        <v>2100L</v>
      </c>
      <c r="Q5502" t="str">
        <f t="shared" si="857"/>
        <v>0101</v>
      </c>
      <c r="R5502">
        <v>2100</v>
      </c>
      <c r="S5502" t="str">
        <f t="shared" si="858"/>
        <v>7280</v>
      </c>
      <c r="T5502" t="s">
        <v>3712</v>
      </c>
      <c r="U5502" t="s">
        <v>2957</v>
      </c>
    </row>
    <row r="5503" spans="1:21" ht="15" customHeight="1" x14ac:dyDescent="0.3">
      <c r="A5503" t="s">
        <v>179</v>
      </c>
      <c r="B5503" t="str">
        <f>"00073774"</f>
        <v>00073774</v>
      </c>
      <c r="C5503" t="s">
        <v>4260</v>
      </c>
      <c r="D5503" t="s">
        <v>1822</v>
      </c>
      <c r="E5503" t="str">
        <f>"00046964"</f>
        <v>00046964</v>
      </c>
      <c r="F5503">
        <v>0</v>
      </c>
      <c r="G5503" s="243">
        <v>39314</v>
      </c>
      <c r="H5503" t="s">
        <v>182</v>
      </c>
      <c r="I5503">
        <v>15</v>
      </c>
      <c r="J5503">
        <v>12</v>
      </c>
      <c r="K5503">
        <v>1</v>
      </c>
      <c r="L5503">
        <v>89887</v>
      </c>
      <c r="M5503" t="str">
        <f t="shared" si="853"/>
        <v>13</v>
      </c>
      <c r="N5503" t="s">
        <v>3323</v>
      </c>
      <c r="O5503" t="str">
        <f t="shared" si="856"/>
        <v>72811</v>
      </c>
      <c r="P5503" t="str">
        <f t="shared" si="859"/>
        <v>2100L</v>
      </c>
      <c r="Q5503" t="str">
        <f t="shared" si="857"/>
        <v>0101</v>
      </c>
      <c r="R5503">
        <v>2100</v>
      </c>
      <c r="S5503" t="str">
        <f t="shared" si="858"/>
        <v>7280</v>
      </c>
      <c r="T5503" t="s">
        <v>3712</v>
      </c>
      <c r="U5503" t="s">
        <v>2957</v>
      </c>
    </row>
    <row r="5504" spans="1:21" ht="15" customHeight="1" x14ac:dyDescent="0.3">
      <c r="A5504" t="s">
        <v>179</v>
      </c>
      <c r="B5504" t="str">
        <f>"00074052"</f>
        <v>00074052</v>
      </c>
      <c r="C5504" t="s">
        <v>4253</v>
      </c>
      <c r="D5504" t="s">
        <v>4159</v>
      </c>
      <c r="E5504" t="str">
        <f>"00065815"</f>
        <v>00065815</v>
      </c>
      <c r="F5504">
        <v>0</v>
      </c>
      <c r="G5504" s="243">
        <v>40755</v>
      </c>
      <c r="H5504" t="s">
        <v>182</v>
      </c>
      <c r="I5504">
        <v>15</v>
      </c>
      <c r="J5504">
        <v>2</v>
      </c>
      <c r="K5504">
        <v>1</v>
      </c>
      <c r="L5504">
        <v>56242</v>
      </c>
      <c r="M5504" t="str">
        <f t="shared" si="853"/>
        <v>13</v>
      </c>
      <c r="N5504" t="s">
        <v>3323</v>
      </c>
      <c r="O5504" t="str">
        <f t="shared" si="856"/>
        <v>72811</v>
      </c>
      <c r="P5504" t="str">
        <f t="shared" si="859"/>
        <v>2100L</v>
      </c>
      <c r="Q5504" t="str">
        <f t="shared" si="857"/>
        <v>0101</v>
      </c>
      <c r="R5504">
        <v>2100</v>
      </c>
      <c r="S5504" t="str">
        <f t="shared" si="858"/>
        <v>7280</v>
      </c>
      <c r="T5504" t="s">
        <v>3712</v>
      </c>
      <c r="U5504" t="s">
        <v>2957</v>
      </c>
    </row>
    <row r="5505" spans="1:21" ht="15" customHeight="1" x14ac:dyDescent="0.3">
      <c r="A5505" t="s">
        <v>179</v>
      </c>
      <c r="B5505" t="str">
        <f>"00074053"</f>
        <v>00074053</v>
      </c>
      <c r="C5505" t="s">
        <v>4367</v>
      </c>
      <c r="D5505" t="s">
        <v>5896</v>
      </c>
      <c r="E5505" t="str">
        <f>"00047957"</f>
        <v>00047957</v>
      </c>
      <c r="F5505">
        <v>0</v>
      </c>
      <c r="G5505" s="243">
        <v>34151</v>
      </c>
      <c r="H5505" t="s">
        <v>182</v>
      </c>
      <c r="I5505">
        <v>9</v>
      </c>
      <c r="J5505">
        <v>10</v>
      </c>
      <c r="K5505">
        <v>1</v>
      </c>
      <c r="L5505">
        <v>47347</v>
      </c>
      <c r="M5505" t="str">
        <f t="shared" si="853"/>
        <v>13</v>
      </c>
      <c r="N5505" t="s">
        <v>3323</v>
      </c>
      <c r="O5505" t="str">
        <f t="shared" si="856"/>
        <v>72811</v>
      </c>
      <c r="P5505" t="str">
        <f>"1502L"</f>
        <v>1502L</v>
      </c>
      <c r="Q5505" t="str">
        <f t="shared" si="857"/>
        <v>0101</v>
      </c>
      <c r="R5505">
        <v>1502</v>
      </c>
      <c r="S5505" t="str">
        <f t="shared" si="858"/>
        <v>7280</v>
      </c>
      <c r="T5505" t="s">
        <v>3712</v>
      </c>
      <c r="U5505" t="s">
        <v>2957</v>
      </c>
    </row>
    <row r="5506" spans="1:21" ht="15" customHeight="1" x14ac:dyDescent="0.3">
      <c r="A5506" t="s">
        <v>179</v>
      </c>
      <c r="B5506" t="str">
        <f>"00074054"</f>
        <v>00074054</v>
      </c>
      <c r="C5506" t="s">
        <v>4410</v>
      </c>
      <c r="D5506" t="s">
        <v>2993</v>
      </c>
      <c r="E5506" t="str">
        <f>"00063497"</f>
        <v>00063497</v>
      </c>
      <c r="F5506">
        <v>0</v>
      </c>
      <c r="G5506" s="243">
        <v>40448</v>
      </c>
      <c r="H5506" t="s">
        <v>182</v>
      </c>
      <c r="I5506">
        <v>5</v>
      </c>
      <c r="J5506">
        <v>8</v>
      </c>
      <c r="K5506">
        <v>1</v>
      </c>
      <c r="L5506">
        <v>34758</v>
      </c>
      <c r="M5506" t="str">
        <f t="shared" si="853"/>
        <v>13</v>
      </c>
      <c r="N5506" t="s">
        <v>3323</v>
      </c>
      <c r="O5506" t="str">
        <f t="shared" si="856"/>
        <v>72811</v>
      </c>
      <c r="P5506" t="str">
        <f t="shared" ref="P5506:P5514" si="860">"2100L"</f>
        <v>2100L</v>
      </c>
      <c r="Q5506" t="str">
        <f t="shared" si="857"/>
        <v>0101</v>
      </c>
      <c r="R5506">
        <v>2100</v>
      </c>
      <c r="S5506" t="str">
        <f t="shared" si="858"/>
        <v>7280</v>
      </c>
      <c r="T5506" t="s">
        <v>3712</v>
      </c>
      <c r="U5506" t="s">
        <v>2957</v>
      </c>
    </row>
    <row r="5507" spans="1:21" ht="15" customHeight="1" x14ac:dyDescent="0.3">
      <c r="A5507" t="s">
        <v>179</v>
      </c>
      <c r="B5507" t="str">
        <f>"00074055"</f>
        <v>00074055</v>
      </c>
      <c r="C5507" t="s">
        <v>4410</v>
      </c>
      <c r="D5507" t="s">
        <v>2992</v>
      </c>
      <c r="E5507" t="str">
        <f>"00039997"</f>
        <v>00039997</v>
      </c>
      <c r="F5507">
        <v>0</v>
      </c>
      <c r="G5507" s="243">
        <v>40085</v>
      </c>
      <c r="H5507" t="s">
        <v>182</v>
      </c>
      <c r="I5507">
        <v>5</v>
      </c>
      <c r="J5507">
        <v>4</v>
      </c>
      <c r="K5507">
        <v>1</v>
      </c>
      <c r="L5507">
        <v>31174</v>
      </c>
      <c r="M5507" t="str">
        <f t="shared" si="853"/>
        <v>13</v>
      </c>
      <c r="N5507" t="s">
        <v>3323</v>
      </c>
      <c r="O5507" t="str">
        <f t="shared" si="856"/>
        <v>72811</v>
      </c>
      <c r="P5507" t="str">
        <f t="shared" si="860"/>
        <v>2100L</v>
      </c>
      <c r="Q5507" t="str">
        <f t="shared" si="857"/>
        <v>0101</v>
      </c>
      <c r="R5507">
        <v>2100</v>
      </c>
      <c r="S5507" t="str">
        <f t="shared" si="858"/>
        <v>7280</v>
      </c>
      <c r="T5507" t="s">
        <v>3712</v>
      </c>
      <c r="U5507" t="s">
        <v>2957</v>
      </c>
    </row>
    <row r="5508" spans="1:21" ht="15" customHeight="1" x14ac:dyDescent="0.3">
      <c r="A5508" t="s">
        <v>179</v>
      </c>
      <c r="B5508" t="str">
        <f>"00074056"</f>
        <v>00074056</v>
      </c>
      <c r="C5508" t="s">
        <v>4410</v>
      </c>
      <c r="D5508" t="s">
        <v>2989</v>
      </c>
      <c r="E5508" t="str">
        <f>"00018569"</f>
        <v>00018569</v>
      </c>
      <c r="F5508">
        <v>0</v>
      </c>
      <c r="G5508" s="243">
        <v>40406</v>
      </c>
      <c r="H5508" t="s">
        <v>182</v>
      </c>
      <c r="I5508">
        <v>5</v>
      </c>
      <c r="J5508">
        <v>8</v>
      </c>
      <c r="K5508">
        <v>1</v>
      </c>
      <c r="L5508">
        <v>34758</v>
      </c>
      <c r="M5508" t="str">
        <f t="shared" si="853"/>
        <v>13</v>
      </c>
      <c r="N5508" t="s">
        <v>3323</v>
      </c>
      <c r="O5508" t="str">
        <f t="shared" si="856"/>
        <v>72811</v>
      </c>
      <c r="P5508" t="str">
        <f t="shared" si="860"/>
        <v>2100L</v>
      </c>
      <c r="Q5508" t="str">
        <f t="shared" si="857"/>
        <v>0101</v>
      </c>
      <c r="R5508">
        <v>2100</v>
      </c>
      <c r="S5508" t="str">
        <f t="shared" si="858"/>
        <v>7280</v>
      </c>
      <c r="T5508" t="s">
        <v>3712</v>
      </c>
      <c r="U5508" t="s">
        <v>2957</v>
      </c>
    </row>
    <row r="5509" spans="1:21" ht="15" customHeight="1" x14ac:dyDescent="0.3">
      <c r="A5509" t="s">
        <v>179</v>
      </c>
      <c r="B5509" t="str">
        <f>"00074216"</f>
        <v>00074216</v>
      </c>
      <c r="C5509" t="s">
        <v>4253</v>
      </c>
      <c r="D5509" t="s">
        <v>5897</v>
      </c>
      <c r="E5509" t="str">
        <f>"00069849"</f>
        <v>00069849</v>
      </c>
      <c r="F5509">
        <v>0</v>
      </c>
      <c r="G5509" s="243">
        <v>41133</v>
      </c>
      <c r="H5509" t="s">
        <v>182</v>
      </c>
      <c r="I5509">
        <v>15</v>
      </c>
      <c r="J5509">
        <v>2</v>
      </c>
      <c r="K5509">
        <v>1</v>
      </c>
      <c r="L5509">
        <v>56242</v>
      </c>
      <c r="M5509" t="str">
        <f t="shared" si="853"/>
        <v>13</v>
      </c>
      <c r="N5509" t="s">
        <v>3370</v>
      </c>
      <c r="O5509" t="str">
        <f t="shared" si="856"/>
        <v>72811</v>
      </c>
      <c r="P5509" t="str">
        <f t="shared" si="860"/>
        <v>2100L</v>
      </c>
      <c r="Q5509" t="str">
        <f t="shared" si="857"/>
        <v>0101</v>
      </c>
      <c r="R5509">
        <v>2100</v>
      </c>
      <c r="S5509" t="str">
        <f t="shared" si="858"/>
        <v>7280</v>
      </c>
      <c r="T5509" t="s">
        <v>3712</v>
      </c>
      <c r="U5509" t="s">
        <v>2957</v>
      </c>
    </row>
    <row r="5510" spans="1:21" ht="15" customHeight="1" x14ac:dyDescent="0.3">
      <c r="A5510" t="s">
        <v>179</v>
      </c>
      <c r="B5510" t="str">
        <f>"00074227"</f>
        <v>00074227</v>
      </c>
      <c r="C5510" t="s">
        <v>4253</v>
      </c>
      <c r="D5510" t="s">
        <v>2960</v>
      </c>
      <c r="E5510" t="str">
        <f>"00045513"</f>
        <v>00045513</v>
      </c>
      <c r="F5510">
        <v>0</v>
      </c>
      <c r="G5510" s="243">
        <v>39742</v>
      </c>
      <c r="H5510" t="s">
        <v>182</v>
      </c>
      <c r="I5510">
        <v>15</v>
      </c>
      <c r="J5510">
        <v>12</v>
      </c>
      <c r="K5510">
        <v>1</v>
      </c>
      <c r="L5510">
        <v>92613</v>
      </c>
      <c r="M5510" t="str">
        <f t="shared" si="853"/>
        <v>13</v>
      </c>
      <c r="N5510" t="s">
        <v>3323</v>
      </c>
      <c r="O5510" t="str">
        <f t="shared" si="856"/>
        <v>72811</v>
      </c>
      <c r="P5510" t="str">
        <f t="shared" si="860"/>
        <v>2100L</v>
      </c>
      <c r="Q5510" t="str">
        <f t="shared" si="857"/>
        <v>0101</v>
      </c>
      <c r="R5510">
        <v>2100</v>
      </c>
      <c r="S5510" t="str">
        <f t="shared" si="858"/>
        <v>7280</v>
      </c>
      <c r="T5510" t="s">
        <v>3712</v>
      </c>
      <c r="U5510" t="s">
        <v>2957</v>
      </c>
    </row>
    <row r="5511" spans="1:21" ht="15" customHeight="1" x14ac:dyDescent="0.3">
      <c r="A5511" t="s">
        <v>179</v>
      </c>
      <c r="B5511" t="str">
        <f>"00074484"</f>
        <v>00074484</v>
      </c>
      <c r="C5511" t="s">
        <v>4253</v>
      </c>
      <c r="D5511" t="s">
        <v>4160</v>
      </c>
      <c r="E5511" t="str">
        <f>"00065770"</f>
        <v>00065770</v>
      </c>
      <c r="F5511">
        <v>0</v>
      </c>
      <c r="G5511" s="243">
        <v>40729</v>
      </c>
      <c r="H5511" t="s">
        <v>182</v>
      </c>
      <c r="I5511">
        <v>15</v>
      </c>
      <c r="J5511">
        <v>7</v>
      </c>
      <c r="K5511">
        <v>1</v>
      </c>
      <c r="L5511">
        <v>61068</v>
      </c>
      <c r="M5511" t="str">
        <f t="shared" si="853"/>
        <v>13</v>
      </c>
      <c r="N5511" t="s">
        <v>3323</v>
      </c>
      <c r="O5511" t="str">
        <f t="shared" si="856"/>
        <v>72811</v>
      </c>
      <c r="P5511" t="str">
        <f t="shared" si="860"/>
        <v>2100L</v>
      </c>
      <c r="Q5511" t="str">
        <f t="shared" si="857"/>
        <v>0101</v>
      </c>
      <c r="R5511">
        <v>2100</v>
      </c>
      <c r="S5511" t="str">
        <f t="shared" si="858"/>
        <v>7280</v>
      </c>
      <c r="T5511" t="s">
        <v>3712</v>
      </c>
      <c r="U5511" t="s">
        <v>2957</v>
      </c>
    </row>
    <row r="5512" spans="1:21" ht="15" customHeight="1" x14ac:dyDescent="0.3">
      <c r="A5512" t="s">
        <v>179</v>
      </c>
      <c r="B5512" t="str">
        <f>"00074485"</f>
        <v>00074485</v>
      </c>
      <c r="C5512" t="s">
        <v>4253</v>
      </c>
      <c r="D5512" t="s">
        <v>945</v>
      </c>
      <c r="E5512" t="str">
        <f>"00060075"</f>
        <v>00060075</v>
      </c>
      <c r="F5512">
        <v>0</v>
      </c>
      <c r="G5512" s="243">
        <v>40182</v>
      </c>
      <c r="H5512" t="s">
        <v>182</v>
      </c>
      <c r="I5512">
        <v>15</v>
      </c>
      <c r="J5512">
        <v>3</v>
      </c>
      <c r="K5512">
        <v>1</v>
      </c>
      <c r="L5512">
        <v>52777</v>
      </c>
      <c r="M5512" t="str">
        <f t="shared" si="853"/>
        <v>13</v>
      </c>
      <c r="N5512" t="s">
        <v>3323</v>
      </c>
      <c r="O5512" t="str">
        <f t="shared" si="856"/>
        <v>72811</v>
      </c>
      <c r="P5512" t="str">
        <f t="shared" si="860"/>
        <v>2100L</v>
      </c>
      <c r="Q5512" t="str">
        <f t="shared" si="857"/>
        <v>0101</v>
      </c>
      <c r="R5512">
        <v>2100</v>
      </c>
      <c r="S5512" t="str">
        <f t="shared" si="858"/>
        <v>7280</v>
      </c>
      <c r="T5512" t="s">
        <v>3712</v>
      </c>
      <c r="U5512" t="s">
        <v>2957</v>
      </c>
    </row>
    <row r="5513" spans="1:21" ht="15" customHeight="1" x14ac:dyDescent="0.3">
      <c r="A5513" t="s">
        <v>179</v>
      </c>
      <c r="B5513" t="str">
        <f>"00074488"</f>
        <v>00074488</v>
      </c>
      <c r="C5513" t="s">
        <v>4260</v>
      </c>
      <c r="D5513" t="s">
        <v>968</v>
      </c>
      <c r="E5513" t="str">
        <f>"00054173"</f>
        <v>00054173</v>
      </c>
      <c r="F5513">
        <v>0</v>
      </c>
      <c r="G5513" s="243">
        <v>32050</v>
      </c>
      <c r="H5513" t="s">
        <v>182</v>
      </c>
      <c r="I5513">
        <v>15</v>
      </c>
      <c r="J5513">
        <v>16</v>
      </c>
      <c r="K5513">
        <v>1</v>
      </c>
      <c r="L5513">
        <v>103347</v>
      </c>
      <c r="M5513" t="str">
        <f t="shared" si="853"/>
        <v>13</v>
      </c>
      <c r="N5513" t="s">
        <v>3370</v>
      </c>
      <c r="O5513" t="str">
        <f t="shared" si="856"/>
        <v>72811</v>
      </c>
      <c r="P5513" t="str">
        <f t="shared" si="860"/>
        <v>2100L</v>
      </c>
      <c r="Q5513" t="str">
        <f t="shared" si="857"/>
        <v>0101</v>
      </c>
      <c r="R5513">
        <v>2100</v>
      </c>
      <c r="S5513" t="str">
        <f t="shared" si="858"/>
        <v>7280</v>
      </c>
      <c r="T5513" t="s">
        <v>3712</v>
      </c>
      <c r="U5513" t="s">
        <v>2957</v>
      </c>
    </row>
    <row r="5514" spans="1:21" ht="15" customHeight="1" x14ac:dyDescent="0.3">
      <c r="A5514" t="s">
        <v>179</v>
      </c>
      <c r="B5514" t="str">
        <f>"00074489"</f>
        <v>00074489</v>
      </c>
      <c r="C5514" t="s">
        <v>200</v>
      </c>
      <c r="H5514" t="s">
        <v>170</v>
      </c>
      <c r="I5514">
        <v>15</v>
      </c>
      <c r="J5514">
        <v>1</v>
      </c>
      <c r="K5514">
        <v>0.5</v>
      </c>
      <c r="L5514">
        <v>54975</v>
      </c>
      <c r="M5514" t="str">
        <f t="shared" si="853"/>
        <v>13</v>
      </c>
      <c r="N5514" t="s">
        <v>3370</v>
      </c>
      <c r="O5514" t="str">
        <f t="shared" si="856"/>
        <v>72811</v>
      </c>
      <c r="P5514" t="str">
        <f t="shared" si="860"/>
        <v>2100L</v>
      </c>
      <c r="Q5514" t="str">
        <f t="shared" si="857"/>
        <v>0101</v>
      </c>
      <c r="R5514">
        <v>2100</v>
      </c>
      <c r="S5514" t="str">
        <f t="shared" si="858"/>
        <v>7280</v>
      </c>
      <c r="T5514" t="s">
        <v>3712</v>
      </c>
      <c r="U5514" t="s">
        <v>2957</v>
      </c>
    </row>
    <row r="5515" spans="1:21" ht="15" customHeight="1" x14ac:dyDescent="0.3">
      <c r="A5515" t="s">
        <v>179</v>
      </c>
      <c r="B5515" t="str">
        <f>"00074623"</f>
        <v>00074623</v>
      </c>
      <c r="C5515" t="s">
        <v>4254</v>
      </c>
      <c r="D5515" t="s">
        <v>4161</v>
      </c>
      <c r="E5515" t="str">
        <f>"00065417"</f>
        <v>00065417</v>
      </c>
      <c r="F5515">
        <v>0</v>
      </c>
      <c r="G5515" s="243">
        <v>40729</v>
      </c>
      <c r="H5515" t="s">
        <v>182</v>
      </c>
      <c r="I5515">
        <v>15</v>
      </c>
      <c r="J5515">
        <v>5</v>
      </c>
      <c r="K5515">
        <v>1</v>
      </c>
      <c r="L5515">
        <v>63611</v>
      </c>
      <c r="M5515" t="str">
        <f t="shared" si="853"/>
        <v>13</v>
      </c>
      <c r="N5515" t="s">
        <v>3323</v>
      </c>
      <c r="O5515" t="str">
        <f t="shared" si="856"/>
        <v>72811</v>
      </c>
      <c r="P5515" t="str">
        <f t="shared" ref="P5515:P5522" si="861">"2100L"</f>
        <v>2100L</v>
      </c>
      <c r="Q5515" t="str">
        <f t="shared" si="857"/>
        <v>0101</v>
      </c>
      <c r="R5515">
        <v>2100</v>
      </c>
      <c r="S5515" t="str">
        <f t="shared" si="858"/>
        <v>7280</v>
      </c>
      <c r="T5515" t="s">
        <v>3712</v>
      </c>
      <c r="U5515" t="s">
        <v>2957</v>
      </c>
    </row>
    <row r="5516" spans="1:21" ht="15" customHeight="1" x14ac:dyDescent="0.3">
      <c r="A5516" t="s">
        <v>179</v>
      </c>
      <c r="B5516" t="str">
        <f>"00074675"</f>
        <v>00074675</v>
      </c>
      <c r="C5516" t="s">
        <v>200</v>
      </c>
      <c r="D5516" t="s">
        <v>4155</v>
      </c>
      <c r="E5516" t="str">
        <f>"00053185"</f>
        <v>00053185</v>
      </c>
      <c r="F5516">
        <v>0</v>
      </c>
      <c r="G5516" s="243">
        <v>32819</v>
      </c>
      <c r="H5516" t="s">
        <v>182</v>
      </c>
      <c r="I5516">
        <v>15</v>
      </c>
      <c r="J5516">
        <v>15</v>
      </c>
      <c r="K5516">
        <v>1</v>
      </c>
      <c r="L5516">
        <v>98285</v>
      </c>
      <c r="M5516" t="str">
        <f t="shared" si="853"/>
        <v>13</v>
      </c>
      <c r="N5516" t="s">
        <v>3370</v>
      </c>
      <c r="O5516" t="str">
        <f t="shared" si="856"/>
        <v>72811</v>
      </c>
      <c r="P5516" t="str">
        <f t="shared" si="861"/>
        <v>2100L</v>
      </c>
      <c r="Q5516" t="str">
        <f t="shared" si="857"/>
        <v>0101</v>
      </c>
      <c r="R5516">
        <v>2100</v>
      </c>
      <c r="S5516" t="str">
        <f t="shared" si="858"/>
        <v>7280</v>
      </c>
      <c r="T5516" t="s">
        <v>3712</v>
      </c>
      <c r="U5516" t="s">
        <v>2957</v>
      </c>
    </row>
    <row r="5517" spans="1:21" ht="15" customHeight="1" x14ac:dyDescent="0.3">
      <c r="A5517" t="s">
        <v>179</v>
      </c>
      <c r="B5517" t="str">
        <f>"00074678"</f>
        <v>00074678</v>
      </c>
      <c r="C5517" t="s">
        <v>4253</v>
      </c>
      <c r="D5517" t="s">
        <v>2150</v>
      </c>
      <c r="E5517" t="str">
        <f>"00045968"</f>
        <v>00045968</v>
      </c>
      <c r="F5517">
        <v>0</v>
      </c>
      <c r="G5517" s="243">
        <v>32050</v>
      </c>
      <c r="H5517" t="s">
        <v>182</v>
      </c>
      <c r="I5517">
        <v>15</v>
      </c>
      <c r="J5517">
        <v>16</v>
      </c>
      <c r="K5517">
        <v>1</v>
      </c>
      <c r="L5517">
        <v>106540</v>
      </c>
      <c r="M5517" t="str">
        <f t="shared" si="853"/>
        <v>13</v>
      </c>
      <c r="N5517" t="s">
        <v>3323</v>
      </c>
      <c r="O5517" t="str">
        <f t="shared" ref="O5517:O5536" si="862">"72811"</f>
        <v>72811</v>
      </c>
      <c r="P5517" t="str">
        <f t="shared" si="861"/>
        <v>2100L</v>
      </c>
      <c r="Q5517" t="str">
        <f t="shared" ref="Q5517:Q5536" si="863">"0101"</f>
        <v>0101</v>
      </c>
      <c r="R5517">
        <v>2100</v>
      </c>
      <c r="S5517" t="str">
        <f t="shared" si="858"/>
        <v>7280</v>
      </c>
      <c r="T5517" t="s">
        <v>3712</v>
      </c>
      <c r="U5517" t="s">
        <v>2957</v>
      </c>
    </row>
    <row r="5518" spans="1:21" ht="15" customHeight="1" x14ac:dyDescent="0.3">
      <c r="A5518" t="s">
        <v>179</v>
      </c>
      <c r="B5518" t="str">
        <f>"00074707"</f>
        <v>00074707</v>
      </c>
      <c r="C5518" t="s">
        <v>4260</v>
      </c>
      <c r="D5518" t="s">
        <v>4162</v>
      </c>
      <c r="E5518" t="str">
        <f>"00065641"</f>
        <v>00065641</v>
      </c>
      <c r="F5518">
        <v>0</v>
      </c>
      <c r="G5518" s="243">
        <v>40729</v>
      </c>
      <c r="H5518" t="s">
        <v>182</v>
      </c>
      <c r="I5518">
        <v>15</v>
      </c>
      <c r="J5518">
        <v>7</v>
      </c>
      <c r="K5518">
        <v>1</v>
      </c>
      <c r="L5518">
        <v>69132</v>
      </c>
      <c r="M5518" t="str">
        <f t="shared" si="853"/>
        <v>13</v>
      </c>
      <c r="N5518" t="s">
        <v>3323</v>
      </c>
      <c r="O5518" t="str">
        <f t="shared" si="862"/>
        <v>72811</v>
      </c>
      <c r="P5518" t="str">
        <f t="shared" si="861"/>
        <v>2100L</v>
      </c>
      <c r="Q5518" t="str">
        <f t="shared" si="863"/>
        <v>0101</v>
      </c>
      <c r="R5518">
        <v>2100</v>
      </c>
      <c r="S5518" t="str">
        <f t="shared" si="858"/>
        <v>7280</v>
      </c>
      <c r="T5518" t="s">
        <v>3712</v>
      </c>
      <c r="U5518" t="s">
        <v>2957</v>
      </c>
    </row>
    <row r="5519" spans="1:21" ht="15" customHeight="1" x14ac:dyDescent="0.3">
      <c r="A5519" t="s">
        <v>179</v>
      </c>
      <c r="B5519" t="str">
        <f>"00074708"</f>
        <v>00074708</v>
      </c>
      <c r="C5519" t="s">
        <v>4410</v>
      </c>
      <c r="H5519" t="s">
        <v>170</v>
      </c>
      <c r="I5519">
        <v>5</v>
      </c>
      <c r="J5519">
        <v>1</v>
      </c>
      <c r="K5519">
        <v>1</v>
      </c>
      <c r="L5519">
        <v>28486</v>
      </c>
      <c r="M5519" t="str">
        <f t="shared" ref="M5519:M5572" si="864">"13"</f>
        <v>13</v>
      </c>
      <c r="N5519" t="s">
        <v>3323</v>
      </c>
      <c r="O5519" t="str">
        <f t="shared" si="862"/>
        <v>72811</v>
      </c>
      <c r="P5519" t="str">
        <f t="shared" si="861"/>
        <v>2100L</v>
      </c>
      <c r="Q5519" t="str">
        <f t="shared" si="863"/>
        <v>0101</v>
      </c>
      <c r="R5519">
        <v>2100</v>
      </c>
      <c r="S5519" t="str">
        <f t="shared" si="858"/>
        <v>7280</v>
      </c>
      <c r="T5519" t="s">
        <v>3712</v>
      </c>
      <c r="U5519" t="s">
        <v>2957</v>
      </c>
    </row>
    <row r="5520" spans="1:21" ht="15" customHeight="1" x14ac:dyDescent="0.3">
      <c r="A5520" t="s">
        <v>179</v>
      </c>
      <c r="B5520" t="str">
        <f>"00074710"</f>
        <v>00074710</v>
      </c>
      <c r="C5520" t="s">
        <v>4263</v>
      </c>
      <c r="D5520" t="s">
        <v>1692</v>
      </c>
      <c r="E5520" t="str">
        <f>"00053825"</f>
        <v>00053825</v>
      </c>
      <c r="F5520">
        <v>0</v>
      </c>
      <c r="G5520" s="243">
        <v>39706</v>
      </c>
      <c r="H5520" t="s">
        <v>182</v>
      </c>
      <c r="I5520">
        <v>15</v>
      </c>
      <c r="J5520">
        <v>10</v>
      </c>
      <c r="K5520">
        <v>1</v>
      </c>
      <c r="L5520">
        <v>78273</v>
      </c>
      <c r="M5520" t="str">
        <f t="shared" si="864"/>
        <v>13</v>
      </c>
      <c r="N5520" t="s">
        <v>3370</v>
      </c>
      <c r="O5520" t="str">
        <f t="shared" si="862"/>
        <v>72811</v>
      </c>
      <c r="P5520" t="str">
        <f t="shared" si="861"/>
        <v>2100L</v>
      </c>
      <c r="Q5520" t="str">
        <f t="shared" si="863"/>
        <v>0101</v>
      </c>
      <c r="R5520">
        <v>2100</v>
      </c>
      <c r="S5520" t="str">
        <f t="shared" si="858"/>
        <v>7280</v>
      </c>
      <c r="T5520" t="s">
        <v>3712</v>
      </c>
      <c r="U5520" t="s">
        <v>2957</v>
      </c>
    </row>
    <row r="5521" spans="1:21" ht="15" customHeight="1" x14ac:dyDescent="0.3">
      <c r="A5521" t="s">
        <v>179</v>
      </c>
      <c r="B5521" t="str">
        <f>"00074711"</f>
        <v>00074711</v>
      </c>
      <c r="C5521" t="s">
        <v>4260</v>
      </c>
      <c r="D5521" t="s">
        <v>1824</v>
      </c>
      <c r="E5521" t="str">
        <f>"00052031"</f>
        <v>00052031</v>
      </c>
      <c r="F5521">
        <v>0</v>
      </c>
      <c r="G5521" s="243">
        <v>39028</v>
      </c>
      <c r="H5521" t="s">
        <v>182</v>
      </c>
      <c r="I5521">
        <v>15</v>
      </c>
      <c r="J5521">
        <v>12</v>
      </c>
      <c r="K5521">
        <v>1</v>
      </c>
      <c r="L5521">
        <v>87431</v>
      </c>
      <c r="M5521" t="str">
        <f t="shared" si="864"/>
        <v>13</v>
      </c>
      <c r="N5521" t="s">
        <v>3323</v>
      </c>
      <c r="O5521" t="str">
        <f t="shared" si="862"/>
        <v>72811</v>
      </c>
      <c r="P5521" t="str">
        <f t="shared" si="861"/>
        <v>2100L</v>
      </c>
      <c r="Q5521" t="str">
        <f t="shared" si="863"/>
        <v>0101</v>
      </c>
      <c r="R5521">
        <v>2100</v>
      </c>
      <c r="S5521" t="str">
        <f t="shared" si="858"/>
        <v>7280</v>
      </c>
      <c r="T5521" t="s">
        <v>3712</v>
      </c>
      <c r="U5521" t="s">
        <v>2957</v>
      </c>
    </row>
    <row r="5522" spans="1:21" ht="15" customHeight="1" x14ac:dyDescent="0.3">
      <c r="A5522" t="s">
        <v>179</v>
      </c>
      <c r="B5522" t="str">
        <f>"00074749"</f>
        <v>00074749</v>
      </c>
      <c r="C5522" t="s">
        <v>4253</v>
      </c>
      <c r="D5522" t="s">
        <v>4163</v>
      </c>
      <c r="E5522" t="str">
        <f>"00066314"</f>
        <v>00066314</v>
      </c>
      <c r="F5522">
        <v>0</v>
      </c>
      <c r="G5522" s="243">
        <v>40755</v>
      </c>
      <c r="H5522" t="s">
        <v>182</v>
      </c>
      <c r="I5522">
        <v>15</v>
      </c>
      <c r="J5522">
        <v>2</v>
      </c>
      <c r="K5522">
        <v>1</v>
      </c>
      <c r="L5522">
        <v>51716</v>
      </c>
      <c r="M5522" t="str">
        <f t="shared" si="864"/>
        <v>13</v>
      </c>
      <c r="N5522" t="s">
        <v>3323</v>
      </c>
      <c r="O5522" t="str">
        <f t="shared" si="862"/>
        <v>72811</v>
      </c>
      <c r="P5522" t="str">
        <f t="shared" si="861"/>
        <v>2100L</v>
      </c>
      <c r="Q5522" t="str">
        <f t="shared" si="863"/>
        <v>0101</v>
      </c>
      <c r="R5522">
        <v>2100</v>
      </c>
      <c r="S5522" t="str">
        <f t="shared" si="858"/>
        <v>7280</v>
      </c>
      <c r="T5522" t="s">
        <v>3712</v>
      </c>
      <c r="U5522" t="s">
        <v>2957</v>
      </c>
    </row>
    <row r="5523" spans="1:21" ht="15" customHeight="1" x14ac:dyDescent="0.3">
      <c r="A5523" t="s">
        <v>179</v>
      </c>
      <c r="B5523" t="str">
        <f>"00075561"</f>
        <v>00075561</v>
      </c>
      <c r="C5523" t="s">
        <v>3670</v>
      </c>
      <c r="D5523" t="s">
        <v>5898</v>
      </c>
      <c r="E5523" t="str">
        <f>"00069492"</f>
        <v>00069492</v>
      </c>
      <c r="F5523">
        <v>0</v>
      </c>
      <c r="G5523" s="243">
        <v>41120</v>
      </c>
      <c r="H5523" t="s">
        <v>182</v>
      </c>
      <c r="I5523">
        <v>8</v>
      </c>
      <c r="J5523">
        <v>5</v>
      </c>
      <c r="K5523">
        <v>1</v>
      </c>
      <c r="L5523">
        <v>93780</v>
      </c>
      <c r="M5523" t="str">
        <f t="shared" si="864"/>
        <v>13</v>
      </c>
      <c r="N5523" t="s">
        <v>3370</v>
      </c>
      <c r="O5523" t="str">
        <f t="shared" si="862"/>
        <v>72811</v>
      </c>
      <c r="P5523" t="str">
        <f>"1501L"</f>
        <v>1501L</v>
      </c>
      <c r="Q5523" t="str">
        <f t="shared" si="863"/>
        <v>0101</v>
      </c>
      <c r="R5523">
        <v>1501</v>
      </c>
      <c r="S5523" t="str">
        <f t="shared" si="858"/>
        <v>7280</v>
      </c>
      <c r="T5523" t="s">
        <v>3712</v>
      </c>
      <c r="U5523" t="s">
        <v>2957</v>
      </c>
    </row>
    <row r="5524" spans="1:21" ht="15" customHeight="1" x14ac:dyDescent="0.3">
      <c r="A5524" t="s">
        <v>179</v>
      </c>
      <c r="B5524" t="str">
        <f>"00075563"</f>
        <v>00075563</v>
      </c>
      <c r="C5524" t="s">
        <v>3670</v>
      </c>
      <c r="D5524" t="s">
        <v>5899</v>
      </c>
      <c r="E5524" t="str">
        <f>"00069500"</f>
        <v>00069500</v>
      </c>
      <c r="F5524">
        <v>0</v>
      </c>
      <c r="G5524" s="243">
        <v>41121</v>
      </c>
      <c r="H5524" t="s">
        <v>182</v>
      </c>
      <c r="I5524">
        <v>8</v>
      </c>
      <c r="J5524">
        <v>1</v>
      </c>
      <c r="K5524">
        <v>1</v>
      </c>
      <c r="L5524">
        <v>82397</v>
      </c>
      <c r="M5524" t="str">
        <f t="shared" si="864"/>
        <v>13</v>
      </c>
      <c r="N5524" t="s">
        <v>3370</v>
      </c>
      <c r="O5524" t="str">
        <f t="shared" si="862"/>
        <v>72811</v>
      </c>
      <c r="P5524" t="str">
        <f>"1501L"</f>
        <v>1501L</v>
      </c>
      <c r="Q5524" t="str">
        <f t="shared" si="863"/>
        <v>0101</v>
      </c>
      <c r="R5524">
        <v>1501</v>
      </c>
      <c r="S5524" t="str">
        <f t="shared" ref="S5524:S5538" si="865">"7280"</f>
        <v>7280</v>
      </c>
      <c r="T5524" t="s">
        <v>3712</v>
      </c>
      <c r="U5524" t="s">
        <v>2957</v>
      </c>
    </row>
    <row r="5525" spans="1:21" ht="15" customHeight="1" x14ac:dyDescent="0.3">
      <c r="A5525" t="s">
        <v>179</v>
      </c>
      <c r="B5525" t="str">
        <f>"00076430"</f>
        <v>00076430</v>
      </c>
      <c r="C5525" t="s">
        <v>4253</v>
      </c>
      <c r="D5525" t="s">
        <v>5900</v>
      </c>
      <c r="E5525" t="str">
        <f>"00069657"</f>
        <v>00069657</v>
      </c>
      <c r="F5525">
        <v>0</v>
      </c>
      <c r="G5525" s="243">
        <v>41133</v>
      </c>
      <c r="H5525" t="s">
        <v>182</v>
      </c>
      <c r="I5525">
        <v>15</v>
      </c>
      <c r="J5525">
        <v>4</v>
      </c>
      <c r="K5525">
        <v>1</v>
      </c>
      <c r="L5525">
        <v>54725</v>
      </c>
      <c r="M5525" t="str">
        <f t="shared" si="864"/>
        <v>13</v>
      </c>
      <c r="N5525" t="s">
        <v>3370</v>
      </c>
      <c r="O5525" t="str">
        <f t="shared" si="862"/>
        <v>72811</v>
      </c>
      <c r="P5525" t="str">
        <f t="shared" ref="P5525:P5536" si="866">"2100L"</f>
        <v>2100L</v>
      </c>
      <c r="Q5525" t="str">
        <f t="shared" si="863"/>
        <v>0101</v>
      </c>
      <c r="R5525">
        <v>2100</v>
      </c>
      <c r="S5525" t="str">
        <f t="shared" si="865"/>
        <v>7280</v>
      </c>
      <c r="T5525" t="s">
        <v>3712</v>
      </c>
      <c r="U5525" t="s">
        <v>2957</v>
      </c>
    </row>
    <row r="5526" spans="1:21" ht="15" customHeight="1" x14ac:dyDescent="0.3">
      <c r="A5526" t="s">
        <v>179</v>
      </c>
      <c r="B5526" t="str">
        <f>"00076431"</f>
        <v>00076431</v>
      </c>
      <c r="C5526" t="s">
        <v>4372</v>
      </c>
      <c r="D5526" t="s">
        <v>5901</v>
      </c>
      <c r="E5526" t="str">
        <f>"00048160"</f>
        <v>00048160</v>
      </c>
      <c r="F5526">
        <v>0</v>
      </c>
      <c r="G5526" s="243">
        <v>35538</v>
      </c>
      <c r="H5526" t="s">
        <v>182</v>
      </c>
      <c r="I5526">
        <v>4</v>
      </c>
      <c r="J5526">
        <v>8</v>
      </c>
      <c r="K5526">
        <v>1</v>
      </c>
      <c r="L5526">
        <v>31234</v>
      </c>
      <c r="M5526" t="str">
        <f t="shared" si="864"/>
        <v>13</v>
      </c>
      <c r="N5526" t="s">
        <v>3370</v>
      </c>
      <c r="O5526" t="str">
        <f t="shared" si="862"/>
        <v>72811</v>
      </c>
      <c r="P5526" t="str">
        <f t="shared" si="866"/>
        <v>2100L</v>
      </c>
      <c r="Q5526" t="str">
        <f t="shared" si="863"/>
        <v>0101</v>
      </c>
      <c r="R5526">
        <v>2100</v>
      </c>
      <c r="S5526" t="str">
        <f t="shared" si="865"/>
        <v>7280</v>
      </c>
      <c r="T5526" t="s">
        <v>3712</v>
      </c>
      <c r="U5526" t="s">
        <v>2957</v>
      </c>
    </row>
    <row r="5527" spans="1:21" ht="15" customHeight="1" x14ac:dyDescent="0.3">
      <c r="A5527" t="s">
        <v>179</v>
      </c>
      <c r="B5527" t="str">
        <f>"00076433"</f>
        <v>00076433</v>
      </c>
      <c r="C5527" t="s">
        <v>4253</v>
      </c>
      <c r="D5527" t="s">
        <v>5902</v>
      </c>
      <c r="E5527" t="str">
        <f>"00052122"</f>
        <v>00052122</v>
      </c>
      <c r="F5527">
        <v>0</v>
      </c>
      <c r="G5527" s="243">
        <v>41133</v>
      </c>
      <c r="H5527" t="s">
        <v>182</v>
      </c>
      <c r="I5527">
        <v>15</v>
      </c>
      <c r="J5527">
        <v>3</v>
      </c>
      <c r="K5527">
        <v>1</v>
      </c>
      <c r="L5527">
        <v>52777</v>
      </c>
      <c r="M5527" t="str">
        <f t="shared" si="864"/>
        <v>13</v>
      </c>
      <c r="N5527" t="s">
        <v>3323</v>
      </c>
      <c r="O5527" t="str">
        <f t="shared" si="862"/>
        <v>72811</v>
      </c>
      <c r="P5527" t="str">
        <f t="shared" si="866"/>
        <v>2100L</v>
      </c>
      <c r="Q5527" t="str">
        <f t="shared" si="863"/>
        <v>0101</v>
      </c>
      <c r="R5527">
        <v>2100</v>
      </c>
      <c r="S5527" t="str">
        <f t="shared" si="865"/>
        <v>7280</v>
      </c>
      <c r="T5527" t="s">
        <v>3712</v>
      </c>
      <c r="U5527" t="s">
        <v>2957</v>
      </c>
    </row>
    <row r="5528" spans="1:21" ht="15" customHeight="1" x14ac:dyDescent="0.3">
      <c r="A5528" t="s">
        <v>179</v>
      </c>
      <c r="B5528" t="str">
        <f>"00076434"</f>
        <v>00076434</v>
      </c>
      <c r="C5528" t="s">
        <v>4253</v>
      </c>
      <c r="D5528" t="s">
        <v>1972</v>
      </c>
      <c r="E5528" t="str">
        <f>"00053690"</f>
        <v>00053690</v>
      </c>
      <c r="F5528">
        <v>0</v>
      </c>
      <c r="G5528" s="243">
        <v>36217</v>
      </c>
      <c r="H5528" t="s">
        <v>182</v>
      </c>
      <c r="I5528">
        <v>15</v>
      </c>
      <c r="J5528">
        <v>12</v>
      </c>
      <c r="K5528">
        <v>1</v>
      </c>
      <c r="L5528">
        <v>87431</v>
      </c>
      <c r="M5528" t="str">
        <f t="shared" si="864"/>
        <v>13</v>
      </c>
      <c r="N5528" t="s">
        <v>3370</v>
      </c>
      <c r="O5528" t="str">
        <f t="shared" si="862"/>
        <v>72811</v>
      </c>
      <c r="P5528" t="str">
        <f t="shared" si="866"/>
        <v>2100L</v>
      </c>
      <c r="Q5528" t="str">
        <f t="shared" si="863"/>
        <v>0101</v>
      </c>
      <c r="R5528">
        <v>2100</v>
      </c>
      <c r="S5528" t="str">
        <f t="shared" si="865"/>
        <v>7280</v>
      </c>
      <c r="T5528" t="s">
        <v>3712</v>
      </c>
      <c r="U5528" t="s">
        <v>2957</v>
      </c>
    </row>
    <row r="5529" spans="1:21" ht="15" customHeight="1" x14ac:dyDescent="0.3">
      <c r="A5529" t="s">
        <v>179</v>
      </c>
      <c r="B5529" t="str">
        <f>"00076435"</f>
        <v>00076435</v>
      </c>
      <c r="C5529" t="s">
        <v>4253</v>
      </c>
      <c r="D5529" t="s">
        <v>2976</v>
      </c>
      <c r="E5529" t="str">
        <f>"00051519"</f>
        <v>00051519</v>
      </c>
      <c r="F5529">
        <v>0</v>
      </c>
      <c r="G5529" s="243">
        <v>36397</v>
      </c>
      <c r="H5529" t="s">
        <v>182</v>
      </c>
      <c r="I5529">
        <v>15</v>
      </c>
      <c r="J5529">
        <v>1</v>
      </c>
      <c r="K5529">
        <v>1</v>
      </c>
      <c r="L5529">
        <v>51539</v>
      </c>
      <c r="M5529" t="str">
        <f t="shared" si="864"/>
        <v>13</v>
      </c>
      <c r="N5529" t="s">
        <v>3370</v>
      </c>
      <c r="O5529" t="str">
        <f t="shared" si="862"/>
        <v>72811</v>
      </c>
      <c r="P5529" t="str">
        <f t="shared" si="866"/>
        <v>2100L</v>
      </c>
      <c r="Q5529" t="str">
        <f t="shared" si="863"/>
        <v>0101</v>
      </c>
      <c r="R5529">
        <v>2100</v>
      </c>
      <c r="S5529" t="str">
        <f t="shared" si="865"/>
        <v>7280</v>
      </c>
      <c r="T5529" t="s">
        <v>3712</v>
      </c>
      <c r="U5529" t="s">
        <v>2957</v>
      </c>
    </row>
    <row r="5530" spans="1:21" ht="15" customHeight="1" x14ac:dyDescent="0.3">
      <c r="A5530" t="s">
        <v>179</v>
      </c>
      <c r="B5530" t="str">
        <f>"00076436"</f>
        <v>00076436</v>
      </c>
      <c r="C5530" t="s">
        <v>4438</v>
      </c>
      <c r="D5530" t="s">
        <v>5903</v>
      </c>
      <c r="E5530" t="str">
        <f>"00052143"</f>
        <v>00052143</v>
      </c>
      <c r="F5530">
        <v>0</v>
      </c>
      <c r="G5530" s="243">
        <v>37124</v>
      </c>
      <c r="H5530" t="s">
        <v>182</v>
      </c>
      <c r="I5530">
        <v>11</v>
      </c>
      <c r="J5530">
        <v>9</v>
      </c>
      <c r="K5530">
        <v>1</v>
      </c>
      <c r="L5530">
        <v>85324</v>
      </c>
      <c r="M5530" t="str">
        <f t="shared" si="864"/>
        <v>13</v>
      </c>
      <c r="N5530" t="s">
        <v>3370</v>
      </c>
      <c r="O5530" t="str">
        <f t="shared" si="862"/>
        <v>72811</v>
      </c>
      <c r="P5530" t="str">
        <f t="shared" si="866"/>
        <v>2100L</v>
      </c>
      <c r="Q5530" t="str">
        <f t="shared" si="863"/>
        <v>0101</v>
      </c>
      <c r="R5530">
        <v>2100</v>
      </c>
      <c r="S5530" t="str">
        <f t="shared" si="865"/>
        <v>7280</v>
      </c>
      <c r="T5530" t="s">
        <v>3712</v>
      </c>
      <c r="U5530" t="s">
        <v>2957</v>
      </c>
    </row>
    <row r="5531" spans="1:21" ht="15" customHeight="1" x14ac:dyDescent="0.3">
      <c r="A5531" t="s">
        <v>179</v>
      </c>
      <c r="B5531" t="str">
        <f>"00076437"</f>
        <v>00076437</v>
      </c>
      <c r="C5531" t="s">
        <v>4438</v>
      </c>
      <c r="D5531" t="s">
        <v>5904</v>
      </c>
      <c r="E5531" t="str">
        <f>"00047691"</f>
        <v>00047691</v>
      </c>
      <c r="F5531">
        <v>0</v>
      </c>
      <c r="G5531" s="243">
        <v>36392</v>
      </c>
      <c r="H5531" t="s">
        <v>182</v>
      </c>
      <c r="I5531">
        <v>11</v>
      </c>
      <c r="J5531">
        <v>9</v>
      </c>
      <c r="K5531">
        <v>1</v>
      </c>
      <c r="L5531">
        <v>83427</v>
      </c>
      <c r="M5531" t="str">
        <f t="shared" si="864"/>
        <v>13</v>
      </c>
      <c r="N5531" t="s">
        <v>3323</v>
      </c>
      <c r="O5531" t="str">
        <f t="shared" si="862"/>
        <v>72811</v>
      </c>
      <c r="P5531" t="str">
        <f t="shared" si="866"/>
        <v>2100L</v>
      </c>
      <c r="Q5531" t="str">
        <f t="shared" si="863"/>
        <v>0101</v>
      </c>
      <c r="R5531">
        <v>2100</v>
      </c>
      <c r="S5531" t="str">
        <f t="shared" si="865"/>
        <v>7280</v>
      </c>
      <c r="T5531" t="s">
        <v>3712</v>
      </c>
      <c r="U5531" t="s">
        <v>2957</v>
      </c>
    </row>
    <row r="5532" spans="1:21" ht="15" customHeight="1" x14ac:dyDescent="0.3">
      <c r="A5532" t="s">
        <v>179</v>
      </c>
      <c r="B5532" t="str">
        <f>"00076438"</f>
        <v>00076438</v>
      </c>
      <c r="C5532" t="s">
        <v>4261</v>
      </c>
      <c r="D5532" t="s">
        <v>709</v>
      </c>
      <c r="E5532" t="str">
        <f>"00050116"</f>
        <v>00050116</v>
      </c>
      <c r="F5532">
        <v>0</v>
      </c>
      <c r="G5532" s="243">
        <v>36390</v>
      </c>
      <c r="H5532" t="s">
        <v>182</v>
      </c>
      <c r="I5532">
        <v>15</v>
      </c>
      <c r="J5532">
        <v>12</v>
      </c>
      <c r="K5532">
        <v>1</v>
      </c>
      <c r="L5532">
        <v>98875</v>
      </c>
      <c r="M5532" t="str">
        <f t="shared" si="864"/>
        <v>13</v>
      </c>
      <c r="N5532" t="s">
        <v>3370</v>
      </c>
      <c r="O5532" t="str">
        <f t="shared" si="862"/>
        <v>72811</v>
      </c>
      <c r="P5532" t="str">
        <f t="shared" si="866"/>
        <v>2100L</v>
      </c>
      <c r="Q5532" t="str">
        <f t="shared" si="863"/>
        <v>0101</v>
      </c>
      <c r="R5532">
        <v>2100</v>
      </c>
      <c r="S5532" t="str">
        <f t="shared" si="865"/>
        <v>7280</v>
      </c>
      <c r="T5532" t="s">
        <v>3712</v>
      </c>
      <c r="U5532" t="s">
        <v>2957</v>
      </c>
    </row>
    <row r="5533" spans="1:21" ht="15" customHeight="1" x14ac:dyDescent="0.3">
      <c r="A5533" t="s">
        <v>179</v>
      </c>
      <c r="B5533" t="str">
        <f>"00076439"</f>
        <v>00076439</v>
      </c>
      <c r="C5533" t="s">
        <v>4261</v>
      </c>
      <c r="D5533" t="s">
        <v>5905</v>
      </c>
      <c r="E5533" t="str">
        <f>"00047306"</f>
        <v>00047306</v>
      </c>
      <c r="F5533">
        <v>0</v>
      </c>
      <c r="G5533" s="243">
        <v>31293</v>
      </c>
      <c r="H5533" t="s">
        <v>182</v>
      </c>
      <c r="I5533">
        <v>15</v>
      </c>
      <c r="J5533">
        <v>16</v>
      </c>
      <c r="K5533">
        <v>1</v>
      </c>
      <c r="L5533">
        <v>110923</v>
      </c>
      <c r="M5533" t="str">
        <f t="shared" si="864"/>
        <v>13</v>
      </c>
      <c r="N5533" t="s">
        <v>3323</v>
      </c>
      <c r="O5533" t="str">
        <f t="shared" si="862"/>
        <v>72811</v>
      </c>
      <c r="P5533" t="str">
        <f t="shared" si="866"/>
        <v>2100L</v>
      </c>
      <c r="Q5533" t="str">
        <f t="shared" si="863"/>
        <v>0101</v>
      </c>
      <c r="R5533">
        <v>2100</v>
      </c>
      <c r="S5533" t="str">
        <f t="shared" si="865"/>
        <v>7280</v>
      </c>
      <c r="T5533" t="s">
        <v>3712</v>
      </c>
      <c r="U5533" t="s">
        <v>2957</v>
      </c>
    </row>
    <row r="5534" spans="1:21" ht="15" customHeight="1" x14ac:dyDescent="0.3">
      <c r="A5534" t="s">
        <v>179</v>
      </c>
      <c r="B5534" t="str">
        <f>"00076440"</f>
        <v>00076440</v>
      </c>
      <c r="C5534" t="s">
        <v>4253</v>
      </c>
      <c r="D5534" t="s">
        <v>1814</v>
      </c>
      <c r="E5534" t="str">
        <f>"00047533"</f>
        <v>00047533</v>
      </c>
      <c r="F5534">
        <v>0</v>
      </c>
      <c r="G5534" s="243">
        <v>36390</v>
      </c>
      <c r="H5534" t="s">
        <v>182</v>
      </c>
      <c r="I5534">
        <v>15</v>
      </c>
      <c r="J5534">
        <v>16</v>
      </c>
      <c r="K5534">
        <v>1</v>
      </c>
      <c r="L5534">
        <v>106540</v>
      </c>
      <c r="M5534" t="str">
        <f t="shared" si="864"/>
        <v>13</v>
      </c>
      <c r="N5534" t="s">
        <v>3323</v>
      </c>
      <c r="O5534" t="str">
        <f t="shared" si="862"/>
        <v>72811</v>
      </c>
      <c r="P5534" t="str">
        <f t="shared" si="866"/>
        <v>2100L</v>
      </c>
      <c r="Q5534" t="str">
        <f t="shared" si="863"/>
        <v>0101</v>
      </c>
      <c r="R5534">
        <v>2100</v>
      </c>
      <c r="S5534" t="str">
        <f t="shared" si="865"/>
        <v>7280</v>
      </c>
      <c r="T5534" t="s">
        <v>3712</v>
      </c>
      <c r="U5534" t="s">
        <v>2957</v>
      </c>
    </row>
    <row r="5535" spans="1:21" ht="15" customHeight="1" x14ac:dyDescent="0.3">
      <c r="A5535" t="s">
        <v>179</v>
      </c>
      <c r="B5535" t="str">
        <f>"00076441"</f>
        <v>00076441</v>
      </c>
      <c r="C5535" t="s">
        <v>4253</v>
      </c>
      <c r="D5535" t="s">
        <v>4094</v>
      </c>
      <c r="E5535" t="str">
        <f>"00061775"</f>
        <v>00061775</v>
      </c>
      <c r="F5535">
        <v>0</v>
      </c>
      <c r="G5535" s="243">
        <v>40755</v>
      </c>
      <c r="H5535" t="s">
        <v>182</v>
      </c>
      <c r="I5535">
        <v>15</v>
      </c>
      <c r="J5535">
        <v>3</v>
      </c>
      <c r="K5535">
        <v>1</v>
      </c>
      <c r="L5535">
        <v>58699</v>
      </c>
      <c r="M5535" t="str">
        <f t="shared" si="864"/>
        <v>13</v>
      </c>
      <c r="N5535" t="s">
        <v>3370</v>
      </c>
      <c r="O5535" t="str">
        <f t="shared" si="862"/>
        <v>72811</v>
      </c>
      <c r="P5535" t="str">
        <f t="shared" si="866"/>
        <v>2100L</v>
      </c>
      <c r="Q5535" t="str">
        <f t="shared" si="863"/>
        <v>0101</v>
      </c>
      <c r="R5535">
        <v>2100</v>
      </c>
      <c r="S5535" t="str">
        <f t="shared" si="865"/>
        <v>7280</v>
      </c>
      <c r="T5535" t="s">
        <v>3712</v>
      </c>
      <c r="U5535" t="s">
        <v>2957</v>
      </c>
    </row>
    <row r="5536" spans="1:21" ht="15" customHeight="1" x14ac:dyDescent="0.3">
      <c r="A5536" t="s">
        <v>179</v>
      </c>
      <c r="B5536" t="str">
        <f>"00076442"</f>
        <v>00076442</v>
      </c>
      <c r="C5536" t="s">
        <v>200</v>
      </c>
      <c r="D5536" t="s">
        <v>2378</v>
      </c>
      <c r="E5536" t="str">
        <f>"00054516"</f>
        <v>00054516</v>
      </c>
      <c r="F5536">
        <v>0</v>
      </c>
      <c r="G5536" s="243">
        <v>39679</v>
      </c>
      <c r="H5536" t="s">
        <v>182</v>
      </c>
      <c r="I5536">
        <v>15</v>
      </c>
      <c r="J5536">
        <v>11</v>
      </c>
      <c r="K5536">
        <v>1</v>
      </c>
      <c r="L5536">
        <v>81335</v>
      </c>
      <c r="M5536" t="str">
        <f t="shared" si="864"/>
        <v>13</v>
      </c>
      <c r="N5536" t="s">
        <v>3323</v>
      </c>
      <c r="O5536" t="str">
        <f t="shared" si="862"/>
        <v>72811</v>
      </c>
      <c r="P5536" t="str">
        <f t="shared" si="866"/>
        <v>2100L</v>
      </c>
      <c r="Q5536" t="str">
        <f t="shared" si="863"/>
        <v>0101</v>
      </c>
      <c r="R5536">
        <v>2100</v>
      </c>
      <c r="S5536" t="str">
        <f t="shared" si="865"/>
        <v>7280</v>
      </c>
      <c r="T5536" t="s">
        <v>3712</v>
      </c>
      <c r="U5536" t="s">
        <v>2957</v>
      </c>
    </row>
    <row r="5537" spans="1:21" ht="15" customHeight="1" x14ac:dyDescent="0.3">
      <c r="A5537" t="s">
        <v>179</v>
      </c>
      <c r="B5537" t="str">
        <f>"00076791"</f>
        <v>00076791</v>
      </c>
      <c r="C5537" t="s">
        <v>200</v>
      </c>
      <c r="D5537" t="s">
        <v>5906</v>
      </c>
      <c r="E5537" t="str">
        <f>"00059800"</f>
        <v>00059800</v>
      </c>
      <c r="F5537">
        <v>0</v>
      </c>
      <c r="G5537" s="243">
        <v>41133</v>
      </c>
      <c r="H5537" t="s">
        <v>182</v>
      </c>
      <c r="I5537">
        <v>15</v>
      </c>
      <c r="J5537">
        <v>6</v>
      </c>
      <c r="K5537">
        <v>1</v>
      </c>
      <c r="L5537">
        <v>66078</v>
      </c>
      <c r="M5537" t="str">
        <f t="shared" si="864"/>
        <v>13</v>
      </c>
      <c r="N5537" t="s">
        <v>3370</v>
      </c>
      <c r="O5537" t="str">
        <f>"7280G"</f>
        <v>7280G</v>
      </c>
      <c r="P5537" t="str">
        <f>"5600F"</f>
        <v>5600F</v>
      </c>
      <c r="Q5537" t="str">
        <f>"8200"</f>
        <v>8200</v>
      </c>
      <c r="R5537">
        <v>5600</v>
      </c>
      <c r="S5537" t="str">
        <f t="shared" si="865"/>
        <v>7280</v>
      </c>
      <c r="T5537" t="s">
        <v>3712</v>
      </c>
      <c r="U5537" t="s">
        <v>2957</v>
      </c>
    </row>
    <row r="5538" spans="1:21" ht="15" customHeight="1" x14ac:dyDescent="0.3">
      <c r="A5538" t="s">
        <v>179</v>
      </c>
      <c r="B5538" t="str">
        <f>"00076846"</f>
        <v>00076846</v>
      </c>
      <c r="C5538" t="s">
        <v>4260</v>
      </c>
      <c r="H5538" t="s">
        <v>170</v>
      </c>
      <c r="I5538">
        <v>15</v>
      </c>
      <c r="J5538">
        <v>0</v>
      </c>
      <c r="K5538">
        <v>1</v>
      </c>
      <c r="L5538">
        <v>51539</v>
      </c>
      <c r="M5538" t="str">
        <f t="shared" si="864"/>
        <v>13</v>
      </c>
      <c r="N5538" t="s">
        <v>3370</v>
      </c>
      <c r="O5538" t="str">
        <f>"72811"</f>
        <v>72811</v>
      </c>
      <c r="P5538" t="str">
        <f>"2100L"</f>
        <v>2100L</v>
      </c>
      <c r="Q5538" t="str">
        <f t="shared" ref="Q5538:Q5563" si="867">"0101"</f>
        <v>0101</v>
      </c>
      <c r="R5538">
        <v>2100</v>
      </c>
      <c r="S5538" t="str">
        <f t="shared" si="865"/>
        <v>7280</v>
      </c>
      <c r="T5538" t="s">
        <v>3712</v>
      </c>
      <c r="U5538" t="s">
        <v>2957</v>
      </c>
    </row>
    <row r="5539" spans="1:21" ht="15" customHeight="1" x14ac:dyDescent="0.3">
      <c r="A5539" t="s">
        <v>179</v>
      </c>
      <c r="B5539" t="str">
        <f>"00051609"</f>
        <v>00051609</v>
      </c>
      <c r="C5539" t="s">
        <v>4253</v>
      </c>
      <c r="D5539" t="s">
        <v>2852</v>
      </c>
      <c r="E5539" t="str">
        <f>"00045062"</f>
        <v>00045062</v>
      </c>
      <c r="F5539">
        <v>0</v>
      </c>
      <c r="G5539" s="243">
        <v>32392</v>
      </c>
      <c r="H5539" t="s">
        <v>182</v>
      </c>
      <c r="I5539">
        <v>15</v>
      </c>
      <c r="J5539">
        <v>16</v>
      </c>
      <c r="K5539">
        <v>1</v>
      </c>
      <c r="L5539">
        <v>106540</v>
      </c>
      <c r="M5539" t="str">
        <f t="shared" si="864"/>
        <v>13</v>
      </c>
      <c r="N5539" t="s">
        <v>3323</v>
      </c>
      <c r="O5539" t="str">
        <f t="shared" ref="O5539:O5577" si="868">"73011"</f>
        <v>73011</v>
      </c>
      <c r="P5539" t="str">
        <f>"2100L"</f>
        <v>2100L</v>
      </c>
      <c r="Q5539" t="str">
        <f t="shared" si="867"/>
        <v>0101</v>
      </c>
      <c r="R5539">
        <v>2100</v>
      </c>
      <c r="S5539" t="str">
        <f t="shared" ref="S5539:S5563" si="869">"7300"</f>
        <v>7300</v>
      </c>
      <c r="T5539" t="s">
        <v>3732</v>
      </c>
      <c r="U5539" t="s">
        <v>2853</v>
      </c>
    </row>
    <row r="5540" spans="1:21" ht="15" customHeight="1" x14ac:dyDescent="0.3">
      <c r="A5540" t="s">
        <v>179</v>
      </c>
      <c r="B5540" t="str">
        <f>"00051634"</f>
        <v>00051634</v>
      </c>
      <c r="C5540" t="s">
        <v>4800</v>
      </c>
      <c r="D5540" t="s">
        <v>4168</v>
      </c>
      <c r="E5540" t="str">
        <f>"00045197"</f>
        <v>00045197</v>
      </c>
      <c r="F5540">
        <v>0</v>
      </c>
      <c r="G5540" s="243">
        <v>36262</v>
      </c>
      <c r="H5540" t="s">
        <v>182</v>
      </c>
      <c r="I5540">
        <v>10</v>
      </c>
      <c r="J5540">
        <v>9</v>
      </c>
      <c r="K5540">
        <v>1</v>
      </c>
      <c r="L5540">
        <v>84226</v>
      </c>
      <c r="M5540" t="str">
        <f t="shared" si="864"/>
        <v>13</v>
      </c>
      <c r="N5540" t="s">
        <v>3323</v>
      </c>
      <c r="O5540" t="str">
        <f t="shared" si="868"/>
        <v>73011</v>
      </c>
      <c r="P5540" t="str">
        <f>"1502L"</f>
        <v>1502L</v>
      </c>
      <c r="Q5540" t="str">
        <f t="shared" si="867"/>
        <v>0101</v>
      </c>
      <c r="R5540">
        <v>1502</v>
      </c>
      <c r="S5540" t="str">
        <f t="shared" si="869"/>
        <v>7300</v>
      </c>
      <c r="T5540" t="s">
        <v>3732</v>
      </c>
      <c r="U5540" t="s">
        <v>2853</v>
      </c>
    </row>
    <row r="5541" spans="1:21" ht="15" customHeight="1" x14ac:dyDescent="0.3">
      <c r="A5541" t="s">
        <v>179</v>
      </c>
      <c r="B5541" t="str">
        <f>"00051685"</f>
        <v>00051685</v>
      </c>
      <c r="C5541" t="s">
        <v>5907</v>
      </c>
      <c r="D5541" t="s">
        <v>5908</v>
      </c>
      <c r="E5541" t="str">
        <f>"00070140"</f>
        <v>00070140</v>
      </c>
      <c r="F5541">
        <v>0</v>
      </c>
      <c r="G5541" s="243">
        <v>41133</v>
      </c>
      <c r="H5541" t="s">
        <v>182</v>
      </c>
      <c r="I5541">
        <v>15</v>
      </c>
      <c r="J5541">
        <v>10</v>
      </c>
      <c r="K5541">
        <v>0.5</v>
      </c>
      <c r="L5541">
        <v>78273</v>
      </c>
      <c r="M5541" t="str">
        <f t="shared" si="864"/>
        <v>13</v>
      </c>
      <c r="N5541" t="s">
        <v>3370</v>
      </c>
      <c r="O5541" t="str">
        <f t="shared" si="868"/>
        <v>73011</v>
      </c>
      <c r="P5541" t="str">
        <f>"3030L"</f>
        <v>3030L</v>
      </c>
      <c r="Q5541" t="str">
        <f t="shared" si="867"/>
        <v>0101</v>
      </c>
      <c r="R5541">
        <v>3030</v>
      </c>
      <c r="S5541" t="str">
        <f t="shared" si="869"/>
        <v>7300</v>
      </c>
      <c r="T5541" t="s">
        <v>3732</v>
      </c>
      <c r="U5541" t="s">
        <v>2853</v>
      </c>
    </row>
    <row r="5542" spans="1:21" ht="15" customHeight="1" x14ac:dyDescent="0.3">
      <c r="A5542" t="s">
        <v>179</v>
      </c>
      <c r="B5542" t="str">
        <f>"00051719"</f>
        <v>00051719</v>
      </c>
      <c r="C5542" t="s">
        <v>4258</v>
      </c>
      <c r="D5542" t="s">
        <v>974</v>
      </c>
      <c r="E5542" t="str">
        <f>"00046151"</f>
        <v>00046151</v>
      </c>
      <c r="F5542">
        <v>0</v>
      </c>
      <c r="G5542" s="243">
        <v>39329</v>
      </c>
      <c r="H5542" t="s">
        <v>182</v>
      </c>
      <c r="I5542">
        <v>15</v>
      </c>
      <c r="J5542">
        <v>11</v>
      </c>
      <c r="K5542">
        <v>1</v>
      </c>
      <c r="L5542">
        <v>81335</v>
      </c>
      <c r="M5542" t="str">
        <f t="shared" si="864"/>
        <v>13</v>
      </c>
      <c r="N5542" t="s">
        <v>3370</v>
      </c>
      <c r="O5542" t="str">
        <f t="shared" si="868"/>
        <v>73011</v>
      </c>
      <c r="P5542" t="str">
        <f>"2100L"</f>
        <v>2100L</v>
      </c>
      <c r="Q5542" t="str">
        <f t="shared" si="867"/>
        <v>0101</v>
      </c>
      <c r="R5542">
        <v>2100</v>
      </c>
      <c r="S5542" t="str">
        <f t="shared" si="869"/>
        <v>7300</v>
      </c>
      <c r="T5542" t="s">
        <v>3732</v>
      </c>
      <c r="U5542" t="s">
        <v>2853</v>
      </c>
    </row>
    <row r="5543" spans="1:21" ht="15" customHeight="1" x14ac:dyDescent="0.3">
      <c r="A5543" t="s">
        <v>179</v>
      </c>
      <c r="B5543" t="str">
        <f>"00051733"</f>
        <v>00051733</v>
      </c>
      <c r="C5543" t="s">
        <v>4253</v>
      </c>
      <c r="D5543" t="s">
        <v>2854</v>
      </c>
      <c r="E5543" t="str">
        <f>"00045694"</f>
        <v>00045694</v>
      </c>
      <c r="F5543">
        <v>0</v>
      </c>
      <c r="G5543" s="243">
        <v>35779</v>
      </c>
      <c r="H5543" t="s">
        <v>182</v>
      </c>
      <c r="I5543">
        <v>15</v>
      </c>
      <c r="J5543">
        <v>16</v>
      </c>
      <c r="K5543">
        <v>1</v>
      </c>
      <c r="L5543">
        <v>103347</v>
      </c>
      <c r="M5543" t="str">
        <f t="shared" si="864"/>
        <v>13</v>
      </c>
      <c r="N5543" t="s">
        <v>3323</v>
      </c>
      <c r="O5543" t="str">
        <f t="shared" si="868"/>
        <v>73011</v>
      </c>
      <c r="P5543" t="str">
        <f>"2100L"</f>
        <v>2100L</v>
      </c>
      <c r="Q5543" t="str">
        <f t="shared" si="867"/>
        <v>0101</v>
      </c>
      <c r="R5543">
        <v>2100</v>
      </c>
      <c r="S5543" t="str">
        <f t="shared" si="869"/>
        <v>7300</v>
      </c>
      <c r="T5543" t="s">
        <v>3732</v>
      </c>
      <c r="U5543" t="s">
        <v>2853</v>
      </c>
    </row>
    <row r="5544" spans="1:21" ht="15" customHeight="1" x14ac:dyDescent="0.3">
      <c r="A5544" t="s">
        <v>179</v>
      </c>
      <c r="B5544" t="str">
        <f>"00051794"</f>
        <v>00051794</v>
      </c>
      <c r="C5544" t="s">
        <v>4266</v>
      </c>
      <c r="D5544" t="s">
        <v>2855</v>
      </c>
      <c r="E5544" t="str">
        <f>"00045935"</f>
        <v>00045935</v>
      </c>
      <c r="F5544">
        <v>0</v>
      </c>
      <c r="G5544" s="243">
        <v>32511</v>
      </c>
      <c r="H5544" t="s">
        <v>182</v>
      </c>
      <c r="I5544">
        <v>15</v>
      </c>
      <c r="J5544">
        <v>16</v>
      </c>
      <c r="K5544">
        <v>1</v>
      </c>
      <c r="L5544">
        <v>100839</v>
      </c>
      <c r="M5544" t="str">
        <f t="shared" si="864"/>
        <v>13</v>
      </c>
      <c r="N5544" t="s">
        <v>3323</v>
      </c>
      <c r="O5544" t="str">
        <f t="shared" si="868"/>
        <v>73011</v>
      </c>
      <c r="P5544" t="str">
        <f>"2300L"</f>
        <v>2300L</v>
      </c>
      <c r="Q5544" t="str">
        <f t="shared" si="867"/>
        <v>0101</v>
      </c>
      <c r="R5544">
        <v>2300</v>
      </c>
      <c r="S5544" t="str">
        <f t="shared" si="869"/>
        <v>7300</v>
      </c>
      <c r="T5544" t="s">
        <v>3732</v>
      </c>
      <c r="U5544" t="s">
        <v>2853</v>
      </c>
    </row>
    <row r="5545" spans="1:21" ht="15" customHeight="1" x14ac:dyDescent="0.3">
      <c r="A5545" t="s">
        <v>179</v>
      </c>
      <c r="B5545" t="str">
        <f>"00051854"</f>
        <v>00051854</v>
      </c>
      <c r="C5545" t="s">
        <v>4360</v>
      </c>
      <c r="D5545" t="s">
        <v>5909</v>
      </c>
      <c r="E5545" t="str">
        <f>"00046275"</f>
        <v>00046275</v>
      </c>
      <c r="F5545">
        <v>0</v>
      </c>
      <c r="G5545" s="243">
        <v>34199</v>
      </c>
      <c r="H5545" t="s">
        <v>182</v>
      </c>
      <c r="I5545">
        <v>7</v>
      </c>
      <c r="J5545">
        <v>7</v>
      </c>
      <c r="K5545">
        <v>1</v>
      </c>
      <c r="L5545">
        <v>41514</v>
      </c>
      <c r="M5545" t="str">
        <f t="shared" si="864"/>
        <v>13</v>
      </c>
      <c r="N5545" t="s">
        <v>3323</v>
      </c>
      <c r="O5545" t="str">
        <f t="shared" si="868"/>
        <v>73011</v>
      </c>
      <c r="P5545" t="str">
        <f>"1502L"</f>
        <v>1502L</v>
      </c>
      <c r="Q5545" t="str">
        <f t="shared" si="867"/>
        <v>0101</v>
      </c>
      <c r="R5545">
        <v>1502</v>
      </c>
      <c r="S5545" t="str">
        <f t="shared" si="869"/>
        <v>7300</v>
      </c>
      <c r="T5545" t="s">
        <v>3732</v>
      </c>
      <c r="U5545" t="s">
        <v>2853</v>
      </c>
    </row>
    <row r="5546" spans="1:21" ht="15" customHeight="1" x14ac:dyDescent="0.3">
      <c r="A5546" t="s">
        <v>179</v>
      </c>
      <c r="B5546" t="str">
        <f>"00051969"</f>
        <v>00051969</v>
      </c>
      <c r="C5546" t="s">
        <v>4360</v>
      </c>
      <c r="D5546" t="s">
        <v>5910</v>
      </c>
      <c r="E5546" t="str">
        <f>"00046732"</f>
        <v>00046732</v>
      </c>
      <c r="F5546">
        <v>0</v>
      </c>
      <c r="G5546" s="243">
        <v>35695</v>
      </c>
      <c r="H5546" t="s">
        <v>182</v>
      </c>
      <c r="I5546">
        <v>7</v>
      </c>
      <c r="J5546">
        <v>8</v>
      </c>
      <c r="K5546">
        <v>1</v>
      </c>
      <c r="L5546">
        <v>42621</v>
      </c>
      <c r="M5546" t="str">
        <f t="shared" si="864"/>
        <v>13</v>
      </c>
      <c r="N5546" t="s">
        <v>3323</v>
      </c>
      <c r="O5546" t="str">
        <f t="shared" si="868"/>
        <v>73011</v>
      </c>
      <c r="P5546" t="str">
        <f>"1502L"</f>
        <v>1502L</v>
      </c>
      <c r="Q5546" t="str">
        <f t="shared" si="867"/>
        <v>0101</v>
      </c>
      <c r="R5546">
        <v>1502</v>
      </c>
      <c r="S5546" t="str">
        <f t="shared" si="869"/>
        <v>7300</v>
      </c>
      <c r="T5546" t="s">
        <v>3732</v>
      </c>
      <c r="U5546" t="s">
        <v>2853</v>
      </c>
    </row>
    <row r="5547" spans="1:21" ht="15" customHeight="1" x14ac:dyDescent="0.3">
      <c r="A5547" t="s">
        <v>179</v>
      </c>
      <c r="B5547" t="str">
        <f>"00052030"</f>
        <v>00052030</v>
      </c>
      <c r="C5547" t="s">
        <v>4253</v>
      </c>
      <c r="D5547" t="s">
        <v>4188</v>
      </c>
      <c r="E5547" t="str">
        <f>"00065618"</f>
        <v>00065618</v>
      </c>
      <c r="F5547">
        <v>0</v>
      </c>
      <c r="G5547" s="243">
        <v>40755</v>
      </c>
      <c r="H5547" t="s">
        <v>182</v>
      </c>
      <c r="I5547">
        <v>15</v>
      </c>
      <c r="J5547">
        <v>11</v>
      </c>
      <c r="K5547">
        <v>1</v>
      </c>
      <c r="L5547">
        <v>81335</v>
      </c>
      <c r="M5547" t="str">
        <f t="shared" si="864"/>
        <v>13</v>
      </c>
      <c r="N5547" t="s">
        <v>3323</v>
      </c>
      <c r="O5547" t="str">
        <f t="shared" si="868"/>
        <v>73011</v>
      </c>
      <c r="P5547" t="str">
        <f t="shared" ref="P5547:P5555" si="870">"2100L"</f>
        <v>2100L</v>
      </c>
      <c r="Q5547" t="str">
        <f t="shared" si="867"/>
        <v>0101</v>
      </c>
      <c r="R5547">
        <v>2100</v>
      </c>
      <c r="S5547" t="str">
        <f t="shared" si="869"/>
        <v>7300</v>
      </c>
      <c r="T5547" t="s">
        <v>3732</v>
      </c>
      <c r="U5547" t="s">
        <v>2853</v>
      </c>
    </row>
    <row r="5548" spans="1:21" ht="15" customHeight="1" x14ac:dyDescent="0.3">
      <c r="A5548" t="s">
        <v>179</v>
      </c>
      <c r="B5548" t="str">
        <f>"00052156"</f>
        <v>00052156</v>
      </c>
      <c r="C5548" t="s">
        <v>4254</v>
      </c>
      <c r="D5548" t="s">
        <v>5911</v>
      </c>
      <c r="E5548" t="str">
        <f>"00069807"</f>
        <v>00069807</v>
      </c>
      <c r="F5548">
        <v>0</v>
      </c>
      <c r="G5548" s="243">
        <v>41133</v>
      </c>
      <c r="H5548" t="s">
        <v>182</v>
      </c>
      <c r="I5548">
        <v>15</v>
      </c>
      <c r="J5548">
        <v>10</v>
      </c>
      <c r="K5548">
        <v>1</v>
      </c>
      <c r="L5548">
        <v>80729</v>
      </c>
      <c r="M5548" t="str">
        <f t="shared" si="864"/>
        <v>13</v>
      </c>
      <c r="N5548" t="s">
        <v>3370</v>
      </c>
      <c r="O5548" t="str">
        <f t="shared" si="868"/>
        <v>73011</v>
      </c>
      <c r="P5548" t="str">
        <f t="shared" si="870"/>
        <v>2100L</v>
      </c>
      <c r="Q5548" t="str">
        <f t="shared" si="867"/>
        <v>0101</v>
      </c>
      <c r="R5548">
        <v>2100</v>
      </c>
      <c r="S5548" t="str">
        <f t="shared" si="869"/>
        <v>7300</v>
      </c>
      <c r="T5548" t="s">
        <v>3732</v>
      </c>
      <c r="U5548" t="s">
        <v>2853</v>
      </c>
    </row>
    <row r="5549" spans="1:21" ht="15" customHeight="1" x14ac:dyDescent="0.3">
      <c r="A5549" t="s">
        <v>179</v>
      </c>
      <c r="B5549" t="str">
        <f>"00052259"</f>
        <v>00052259</v>
      </c>
      <c r="C5549" t="s">
        <v>4253</v>
      </c>
      <c r="D5549" t="s">
        <v>2856</v>
      </c>
      <c r="E5549" t="str">
        <f>"00051629"</f>
        <v>00051629</v>
      </c>
      <c r="F5549">
        <v>0</v>
      </c>
      <c r="G5549" s="243">
        <v>33896</v>
      </c>
      <c r="H5549" t="s">
        <v>182</v>
      </c>
      <c r="I5549">
        <v>15</v>
      </c>
      <c r="J5549">
        <v>15</v>
      </c>
      <c r="K5549">
        <v>1</v>
      </c>
      <c r="L5549">
        <v>98285</v>
      </c>
      <c r="M5549" t="str">
        <f t="shared" si="864"/>
        <v>13</v>
      </c>
      <c r="N5549" t="s">
        <v>3323</v>
      </c>
      <c r="O5549" t="str">
        <f t="shared" si="868"/>
        <v>73011</v>
      </c>
      <c r="P5549" t="str">
        <f t="shared" si="870"/>
        <v>2100L</v>
      </c>
      <c r="Q5549" t="str">
        <f t="shared" si="867"/>
        <v>0101</v>
      </c>
      <c r="R5549">
        <v>2100</v>
      </c>
      <c r="S5549" t="str">
        <f t="shared" si="869"/>
        <v>7300</v>
      </c>
      <c r="T5549" t="s">
        <v>3732</v>
      </c>
      <c r="U5549" t="s">
        <v>2853</v>
      </c>
    </row>
    <row r="5550" spans="1:21" ht="15" customHeight="1" x14ac:dyDescent="0.3">
      <c r="A5550" t="s">
        <v>179</v>
      </c>
      <c r="B5550" t="str">
        <f>"00052592"</f>
        <v>00052592</v>
      </c>
      <c r="C5550" t="s">
        <v>4260</v>
      </c>
      <c r="D5550" t="s">
        <v>2857</v>
      </c>
      <c r="E5550" t="str">
        <f>"00048630"</f>
        <v>00048630</v>
      </c>
      <c r="F5550">
        <v>0</v>
      </c>
      <c r="G5550" s="243">
        <v>34251</v>
      </c>
      <c r="H5550" t="s">
        <v>182</v>
      </c>
      <c r="I5550">
        <v>15</v>
      </c>
      <c r="J5550">
        <v>12</v>
      </c>
      <c r="K5550">
        <v>1</v>
      </c>
      <c r="L5550">
        <v>87431</v>
      </c>
      <c r="M5550" t="str">
        <f t="shared" si="864"/>
        <v>13</v>
      </c>
      <c r="N5550" t="s">
        <v>3323</v>
      </c>
      <c r="O5550" t="str">
        <f t="shared" si="868"/>
        <v>73011</v>
      </c>
      <c r="P5550" t="str">
        <f t="shared" si="870"/>
        <v>2100L</v>
      </c>
      <c r="Q5550" t="str">
        <f t="shared" si="867"/>
        <v>0101</v>
      </c>
      <c r="R5550">
        <v>2100</v>
      </c>
      <c r="S5550" t="str">
        <f t="shared" si="869"/>
        <v>7300</v>
      </c>
      <c r="T5550" t="s">
        <v>3732</v>
      </c>
      <c r="U5550" t="s">
        <v>2853</v>
      </c>
    </row>
    <row r="5551" spans="1:21" ht="15" customHeight="1" x14ac:dyDescent="0.3">
      <c r="A5551" t="s">
        <v>179</v>
      </c>
      <c r="B5551" t="str">
        <f>"00052828"</f>
        <v>00052828</v>
      </c>
      <c r="C5551" t="s">
        <v>4253</v>
      </c>
      <c r="D5551" t="s">
        <v>2858</v>
      </c>
      <c r="E5551" t="str">
        <f>"00049600"</f>
        <v>00049600</v>
      </c>
      <c r="F5551">
        <v>0</v>
      </c>
      <c r="G5551" s="243">
        <v>32765</v>
      </c>
      <c r="H5551" t="s">
        <v>182</v>
      </c>
      <c r="I5551">
        <v>15</v>
      </c>
      <c r="J5551">
        <v>16</v>
      </c>
      <c r="K5551">
        <v>1</v>
      </c>
      <c r="L5551">
        <v>103347</v>
      </c>
      <c r="M5551" t="str">
        <f t="shared" si="864"/>
        <v>13</v>
      </c>
      <c r="N5551" t="s">
        <v>3323</v>
      </c>
      <c r="O5551" t="str">
        <f t="shared" si="868"/>
        <v>73011</v>
      </c>
      <c r="P5551" t="str">
        <f t="shared" si="870"/>
        <v>2100L</v>
      </c>
      <c r="Q5551" t="str">
        <f t="shared" si="867"/>
        <v>0101</v>
      </c>
      <c r="R5551">
        <v>2100</v>
      </c>
      <c r="S5551" t="str">
        <f t="shared" si="869"/>
        <v>7300</v>
      </c>
      <c r="T5551" t="s">
        <v>3732</v>
      </c>
      <c r="U5551" t="s">
        <v>2853</v>
      </c>
    </row>
    <row r="5552" spans="1:21" ht="15" customHeight="1" x14ac:dyDescent="0.3">
      <c r="A5552" t="s">
        <v>179</v>
      </c>
      <c r="B5552" t="str">
        <f>"00052901"</f>
        <v>00052901</v>
      </c>
      <c r="C5552" t="s">
        <v>4261</v>
      </c>
      <c r="D5552" t="s">
        <v>2859</v>
      </c>
      <c r="E5552" t="str">
        <f>"00062804"</f>
        <v>00062804</v>
      </c>
      <c r="F5552">
        <v>0</v>
      </c>
      <c r="G5552" s="243">
        <v>40406</v>
      </c>
      <c r="H5552" t="s">
        <v>182</v>
      </c>
      <c r="I5552">
        <v>15</v>
      </c>
      <c r="J5552">
        <v>9</v>
      </c>
      <c r="K5552">
        <v>1</v>
      </c>
      <c r="L5552">
        <v>85456</v>
      </c>
      <c r="M5552" t="str">
        <f t="shared" si="864"/>
        <v>13</v>
      </c>
      <c r="N5552" t="s">
        <v>3323</v>
      </c>
      <c r="O5552" t="str">
        <f t="shared" si="868"/>
        <v>73011</v>
      </c>
      <c r="P5552" t="str">
        <f t="shared" si="870"/>
        <v>2100L</v>
      </c>
      <c r="Q5552" t="str">
        <f t="shared" si="867"/>
        <v>0101</v>
      </c>
      <c r="R5552">
        <v>2100</v>
      </c>
      <c r="S5552" t="str">
        <f t="shared" si="869"/>
        <v>7300</v>
      </c>
      <c r="T5552" t="s">
        <v>3732</v>
      </c>
      <c r="U5552" t="s">
        <v>2853</v>
      </c>
    </row>
    <row r="5553" spans="1:21" ht="15" customHeight="1" x14ac:dyDescent="0.3">
      <c r="A5553" t="s">
        <v>179</v>
      </c>
      <c r="B5553" t="str">
        <f>"00052902"</f>
        <v>00052902</v>
      </c>
      <c r="C5553" t="s">
        <v>4258</v>
      </c>
      <c r="D5553" t="s">
        <v>2860</v>
      </c>
      <c r="E5553" t="str">
        <f>"00050005"</f>
        <v>00050005</v>
      </c>
      <c r="F5553">
        <v>0</v>
      </c>
      <c r="G5553" s="243">
        <v>33539</v>
      </c>
      <c r="H5553" t="s">
        <v>182</v>
      </c>
      <c r="I5553">
        <v>15</v>
      </c>
      <c r="J5553">
        <v>16</v>
      </c>
      <c r="K5553">
        <v>1</v>
      </c>
      <c r="L5553">
        <v>106540</v>
      </c>
      <c r="M5553" t="str">
        <f t="shared" si="864"/>
        <v>13</v>
      </c>
      <c r="N5553" t="s">
        <v>3323</v>
      </c>
      <c r="O5553" t="str">
        <f t="shared" si="868"/>
        <v>73011</v>
      </c>
      <c r="P5553" t="str">
        <f t="shared" si="870"/>
        <v>2100L</v>
      </c>
      <c r="Q5553" t="str">
        <f t="shared" si="867"/>
        <v>0101</v>
      </c>
      <c r="R5553">
        <v>2100</v>
      </c>
      <c r="S5553" t="str">
        <f t="shared" si="869"/>
        <v>7300</v>
      </c>
      <c r="T5553" t="s">
        <v>3732</v>
      </c>
      <c r="U5553" t="s">
        <v>2853</v>
      </c>
    </row>
    <row r="5554" spans="1:21" ht="15" customHeight="1" x14ac:dyDescent="0.3">
      <c r="A5554" t="s">
        <v>179</v>
      </c>
      <c r="B5554" t="str">
        <f>"00052934"</f>
        <v>00052934</v>
      </c>
      <c r="C5554" t="s">
        <v>4253</v>
      </c>
      <c r="D5554" t="s">
        <v>2861</v>
      </c>
      <c r="E5554" t="str">
        <f>"00050277"</f>
        <v>00050277</v>
      </c>
      <c r="F5554">
        <v>0</v>
      </c>
      <c r="G5554" s="243">
        <v>34973</v>
      </c>
      <c r="H5554" t="s">
        <v>182</v>
      </c>
      <c r="I5554">
        <v>15</v>
      </c>
      <c r="J5554">
        <v>15</v>
      </c>
      <c r="K5554">
        <v>1</v>
      </c>
      <c r="L5554">
        <v>103985</v>
      </c>
      <c r="M5554" t="str">
        <f t="shared" si="864"/>
        <v>13</v>
      </c>
      <c r="N5554" t="s">
        <v>3323</v>
      </c>
      <c r="O5554" t="str">
        <f t="shared" si="868"/>
        <v>73011</v>
      </c>
      <c r="P5554" t="str">
        <f t="shared" si="870"/>
        <v>2100L</v>
      </c>
      <c r="Q5554" t="str">
        <f t="shared" si="867"/>
        <v>0101</v>
      </c>
      <c r="R5554">
        <v>2100</v>
      </c>
      <c r="S5554" t="str">
        <f t="shared" si="869"/>
        <v>7300</v>
      </c>
      <c r="T5554" t="s">
        <v>3732</v>
      </c>
      <c r="U5554" t="s">
        <v>2853</v>
      </c>
    </row>
    <row r="5555" spans="1:21" ht="15" customHeight="1" x14ac:dyDescent="0.3">
      <c r="A5555" t="s">
        <v>179</v>
      </c>
      <c r="B5555" t="str">
        <f>"00053003"</f>
        <v>00053003</v>
      </c>
      <c r="C5555" t="s">
        <v>4260</v>
      </c>
      <c r="D5555" t="s">
        <v>4192</v>
      </c>
      <c r="E5555" t="str">
        <f>"00050343"</f>
        <v>00050343</v>
      </c>
      <c r="F5555">
        <v>0</v>
      </c>
      <c r="G5555" s="243">
        <v>40755</v>
      </c>
      <c r="H5555" t="s">
        <v>182</v>
      </c>
      <c r="I5555">
        <v>15</v>
      </c>
      <c r="J5555">
        <v>10</v>
      </c>
      <c r="K5555">
        <v>1</v>
      </c>
      <c r="L5555">
        <v>78273</v>
      </c>
      <c r="M5555" t="str">
        <f t="shared" si="864"/>
        <v>13</v>
      </c>
      <c r="N5555" t="s">
        <v>3323</v>
      </c>
      <c r="O5555" t="str">
        <f t="shared" si="868"/>
        <v>73011</v>
      </c>
      <c r="P5555" t="str">
        <f t="shared" si="870"/>
        <v>2100L</v>
      </c>
      <c r="Q5555" t="str">
        <f t="shared" si="867"/>
        <v>0101</v>
      </c>
      <c r="R5555">
        <v>2100</v>
      </c>
      <c r="S5555" t="str">
        <f t="shared" si="869"/>
        <v>7300</v>
      </c>
      <c r="T5555" t="s">
        <v>3732</v>
      </c>
      <c r="U5555" t="s">
        <v>2853</v>
      </c>
    </row>
    <row r="5556" spans="1:21" ht="15" customHeight="1" x14ac:dyDescent="0.3">
      <c r="A5556" t="s">
        <v>179</v>
      </c>
      <c r="B5556" t="str">
        <f>"00053131"</f>
        <v>00053131</v>
      </c>
      <c r="C5556" t="s">
        <v>4253</v>
      </c>
      <c r="D5556" t="s">
        <v>4150</v>
      </c>
      <c r="E5556" t="str">
        <f>"00065575"</f>
        <v>00065575</v>
      </c>
      <c r="F5556">
        <v>0</v>
      </c>
      <c r="G5556" s="243">
        <v>40755</v>
      </c>
      <c r="H5556" t="s">
        <v>182</v>
      </c>
      <c r="I5556">
        <v>15</v>
      </c>
      <c r="J5556">
        <v>3</v>
      </c>
      <c r="K5556">
        <v>1</v>
      </c>
      <c r="L5556">
        <v>58699</v>
      </c>
      <c r="M5556" t="str">
        <f t="shared" si="864"/>
        <v>13</v>
      </c>
      <c r="N5556" t="s">
        <v>3370</v>
      </c>
      <c r="O5556" t="str">
        <f t="shared" si="868"/>
        <v>73011</v>
      </c>
      <c r="P5556" t="str">
        <f>"2100L"</f>
        <v>2100L</v>
      </c>
      <c r="Q5556" t="str">
        <f t="shared" si="867"/>
        <v>0101</v>
      </c>
      <c r="R5556">
        <v>2100</v>
      </c>
      <c r="S5556" t="str">
        <f t="shared" si="869"/>
        <v>7300</v>
      </c>
      <c r="T5556" t="s">
        <v>3732</v>
      </c>
      <c r="U5556" t="s">
        <v>2853</v>
      </c>
    </row>
    <row r="5557" spans="1:21" ht="15" customHeight="1" x14ac:dyDescent="0.3">
      <c r="A5557" t="s">
        <v>179</v>
      </c>
      <c r="B5557" t="str">
        <f>"00053399"</f>
        <v>00053399</v>
      </c>
      <c r="C5557" t="s">
        <v>4253</v>
      </c>
      <c r="D5557" t="s">
        <v>2862</v>
      </c>
      <c r="E5557" t="str">
        <f>"00051419"</f>
        <v>00051419</v>
      </c>
      <c r="F5557">
        <v>0</v>
      </c>
      <c r="G5557" s="243">
        <v>32050</v>
      </c>
      <c r="H5557" t="s">
        <v>182</v>
      </c>
      <c r="I5557">
        <v>15</v>
      </c>
      <c r="J5557">
        <v>16</v>
      </c>
      <c r="K5557">
        <v>1</v>
      </c>
      <c r="L5557">
        <v>103347</v>
      </c>
      <c r="M5557" t="str">
        <f t="shared" si="864"/>
        <v>13</v>
      </c>
      <c r="N5557" t="s">
        <v>3323</v>
      </c>
      <c r="O5557" t="str">
        <f t="shared" si="868"/>
        <v>73011</v>
      </c>
      <c r="P5557" t="str">
        <f>"2100L"</f>
        <v>2100L</v>
      </c>
      <c r="Q5557" t="str">
        <f t="shared" si="867"/>
        <v>0101</v>
      </c>
      <c r="R5557">
        <v>2100</v>
      </c>
      <c r="S5557" t="str">
        <f t="shared" si="869"/>
        <v>7300</v>
      </c>
      <c r="T5557" t="s">
        <v>3732</v>
      </c>
      <c r="U5557" t="s">
        <v>2853</v>
      </c>
    </row>
    <row r="5558" spans="1:21" ht="15" customHeight="1" x14ac:dyDescent="0.3">
      <c r="A5558" t="s">
        <v>179</v>
      </c>
      <c r="B5558" t="str">
        <f>"00053671"</f>
        <v>00053671</v>
      </c>
      <c r="C5558" t="s">
        <v>4258</v>
      </c>
      <c r="D5558" t="s">
        <v>2863</v>
      </c>
      <c r="E5558" t="str">
        <f>"00052172"</f>
        <v>00052172</v>
      </c>
      <c r="F5558">
        <v>0</v>
      </c>
      <c r="G5558" s="243">
        <v>35311</v>
      </c>
      <c r="H5558" t="s">
        <v>182</v>
      </c>
      <c r="I5558">
        <v>15</v>
      </c>
      <c r="J5558">
        <v>13</v>
      </c>
      <c r="K5558">
        <v>1</v>
      </c>
      <c r="L5558">
        <v>81724</v>
      </c>
      <c r="M5558" t="str">
        <f t="shared" si="864"/>
        <v>13</v>
      </c>
      <c r="N5558" t="s">
        <v>3323</v>
      </c>
      <c r="O5558" t="str">
        <f t="shared" si="868"/>
        <v>73011</v>
      </c>
      <c r="P5558" t="str">
        <f>"2100L"</f>
        <v>2100L</v>
      </c>
      <c r="Q5558" t="str">
        <f t="shared" si="867"/>
        <v>0101</v>
      </c>
      <c r="R5558">
        <v>2100</v>
      </c>
      <c r="S5558" t="str">
        <f t="shared" si="869"/>
        <v>7300</v>
      </c>
      <c r="T5558" t="s">
        <v>3732</v>
      </c>
      <c r="U5558" t="s">
        <v>2853</v>
      </c>
    </row>
    <row r="5559" spans="1:21" ht="15" customHeight="1" x14ac:dyDescent="0.3">
      <c r="A5559" t="s">
        <v>179</v>
      </c>
      <c r="B5559" t="str">
        <f>"00053734"</f>
        <v>00053734</v>
      </c>
      <c r="C5559" t="s">
        <v>4290</v>
      </c>
      <c r="D5559" t="s">
        <v>5912</v>
      </c>
      <c r="E5559" t="str">
        <f>"00052442"</f>
        <v>00052442</v>
      </c>
      <c r="F5559">
        <v>0</v>
      </c>
      <c r="G5559" s="243">
        <v>35161</v>
      </c>
      <c r="H5559" t="s">
        <v>182</v>
      </c>
      <c r="I5559">
        <v>4</v>
      </c>
      <c r="J5559">
        <v>10</v>
      </c>
      <c r="K5559">
        <v>0.875</v>
      </c>
      <c r="L5559">
        <v>28721</v>
      </c>
      <c r="M5559" t="str">
        <f t="shared" si="864"/>
        <v>13</v>
      </c>
      <c r="N5559" t="s">
        <v>3323</v>
      </c>
      <c r="O5559" t="str">
        <f t="shared" si="868"/>
        <v>73011</v>
      </c>
      <c r="P5559" t="str">
        <f>"3030L"</f>
        <v>3030L</v>
      </c>
      <c r="Q5559" t="str">
        <f t="shared" si="867"/>
        <v>0101</v>
      </c>
      <c r="R5559">
        <v>3030</v>
      </c>
      <c r="S5559" t="str">
        <f t="shared" si="869"/>
        <v>7300</v>
      </c>
      <c r="T5559" t="s">
        <v>3732</v>
      </c>
      <c r="U5559" t="s">
        <v>2853</v>
      </c>
    </row>
    <row r="5560" spans="1:21" ht="15" customHeight="1" x14ac:dyDescent="0.3">
      <c r="A5560" t="s">
        <v>179</v>
      </c>
      <c r="B5560" t="str">
        <f>"00053951"</f>
        <v>00053951</v>
      </c>
      <c r="C5560" t="s">
        <v>4271</v>
      </c>
      <c r="D5560" t="s">
        <v>2864</v>
      </c>
      <c r="E5560" t="str">
        <f>"00052785"</f>
        <v>00052785</v>
      </c>
      <c r="F5560">
        <v>0</v>
      </c>
      <c r="G5560" s="243">
        <v>32050</v>
      </c>
      <c r="H5560" t="s">
        <v>182</v>
      </c>
      <c r="I5560">
        <v>15</v>
      </c>
      <c r="J5560">
        <v>16</v>
      </c>
      <c r="K5560">
        <v>1</v>
      </c>
      <c r="L5560">
        <v>106540</v>
      </c>
      <c r="M5560" t="str">
        <f t="shared" si="864"/>
        <v>13</v>
      </c>
      <c r="N5560" t="s">
        <v>3323</v>
      </c>
      <c r="O5560" t="str">
        <f t="shared" si="868"/>
        <v>73011</v>
      </c>
      <c r="P5560" t="str">
        <f>"3030L"</f>
        <v>3030L</v>
      </c>
      <c r="Q5560" t="str">
        <f t="shared" si="867"/>
        <v>0101</v>
      </c>
      <c r="R5560">
        <v>3030</v>
      </c>
      <c r="S5560" t="str">
        <f t="shared" si="869"/>
        <v>7300</v>
      </c>
      <c r="T5560" t="s">
        <v>3732</v>
      </c>
      <c r="U5560" t="s">
        <v>2853</v>
      </c>
    </row>
    <row r="5561" spans="1:21" ht="15" customHeight="1" x14ac:dyDescent="0.3">
      <c r="A5561" t="s">
        <v>179</v>
      </c>
      <c r="B5561" t="str">
        <f>"00054010"</f>
        <v>00054010</v>
      </c>
      <c r="C5561" t="s">
        <v>4306</v>
      </c>
      <c r="D5561" t="s">
        <v>5913</v>
      </c>
      <c r="E5561" t="str">
        <f>"00052871"</f>
        <v>00052871</v>
      </c>
      <c r="F5561">
        <v>0</v>
      </c>
      <c r="G5561" s="243">
        <v>27738</v>
      </c>
      <c r="H5561" t="s">
        <v>182</v>
      </c>
      <c r="I5561">
        <v>9</v>
      </c>
      <c r="J5561">
        <v>7</v>
      </c>
      <c r="K5561">
        <v>1</v>
      </c>
      <c r="L5561">
        <v>39541</v>
      </c>
      <c r="M5561" t="str">
        <f t="shared" si="864"/>
        <v>13</v>
      </c>
      <c r="N5561" t="s">
        <v>3323</v>
      </c>
      <c r="O5561" t="str">
        <f t="shared" si="868"/>
        <v>73011</v>
      </c>
      <c r="P5561" t="str">
        <f>"1502L"</f>
        <v>1502L</v>
      </c>
      <c r="Q5561" t="str">
        <f t="shared" si="867"/>
        <v>0101</v>
      </c>
      <c r="R5561">
        <v>1502</v>
      </c>
      <c r="S5561" t="str">
        <f t="shared" si="869"/>
        <v>7300</v>
      </c>
      <c r="T5561" t="s">
        <v>3732</v>
      </c>
      <c r="U5561" t="s">
        <v>2853</v>
      </c>
    </row>
    <row r="5562" spans="1:21" ht="15" customHeight="1" x14ac:dyDescent="0.3">
      <c r="A5562" t="s">
        <v>179</v>
      </c>
      <c r="B5562" t="str">
        <f>"00054246"</f>
        <v>00054246</v>
      </c>
      <c r="C5562" t="s">
        <v>4255</v>
      </c>
      <c r="D5562" t="s">
        <v>2865</v>
      </c>
      <c r="E5562" t="str">
        <f>"00053358"</f>
        <v>00053358</v>
      </c>
      <c r="F5562">
        <v>0</v>
      </c>
      <c r="G5562" s="243">
        <v>32171</v>
      </c>
      <c r="H5562" t="s">
        <v>182</v>
      </c>
      <c r="I5562">
        <v>15</v>
      </c>
      <c r="J5562">
        <v>16</v>
      </c>
      <c r="K5562">
        <v>1</v>
      </c>
      <c r="L5562">
        <v>100839</v>
      </c>
      <c r="M5562" t="str">
        <f t="shared" si="864"/>
        <v>13</v>
      </c>
      <c r="N5562" t="s">
        <v>3323</v>
      </c>
      <c r="O5562" t="str">
        <f t="shared" si="868"/>
        <v>73011</v>
      </c>
      <c r="P5562" t="str">
        <f>"2100L"</f>
        <v>2100L</v>
      </c>
      <c r="Q5562" t="str">
        <f t="shared" si="867"/>
        <v>0101</v>
      </c>
      <c r="R5562">
        <v>2100</v>
      </c>
      <c r="S5562" t="str">
        <f t="shared" si="869"/>
        <v>7300</v>
      </c>
      <c r="T5562" t="s">
        <v>3732</v>
      </c>
      <c r="U5562" t="s">
        <v>2853</v>
      </c>
    </row>
    <row r="5563" spans="1:21" ht="15" customHeight="1" x14ac:dyDescent="0.3">
      <c r="A5563" t="s">
        <v>179</v>
      </c>
      <c r="B5563" t="str">
        <f>"00054348"</f>
        <v>00054348</v>
      </c>
      <c r="C5563" t="s">
        <v>4253</v>
      </c>
      <c r="D5563" t="s">
        <v>2866</v>
      </c>
      <c r="E5563" t="str">
        <f>"00053781"</f>
        <v>00053781</v>
      </c>
      <c r="F5563">
        <v>0</v>
      </c>
      <c r="G5563" s="243">
        <v>35306</v>
      </c>
      <c r="H5563" t="s">
        <v>182</v>
      </c>
      <c r="I5563">
        <v>15</v>
      </c>
      <c r="J5563">
        <v>15</v>
      </c>
      <c r="K5563">
        <v>1</v>
      </c>
      <c r="L5563">
        <v>98285</v>
      </c>
      <c r="M5563" t="str">
        <f t="shared" si="864"/>
        <v>13</v>
      </c>
      <c r="N5563" t="s">
        <v>3323</v>
      </c>
      <c r="O5563" t="str">
        <f t="shared" si="868"/>
        <v>73011</v>
      </c>
      <c r="P5563" t="str">
        <f>"2100L"</f>
        <v>2100L</v>
      </c>
      <c r="Q5563" t="str">
        <f t="shared" si="867"/>
        <v>0101</v>
      </c>
      <c r="R5563">
        <v>2100</v>
      </c>
      <c r="S5563" t="str">
        <f t="shared" si="869"/>
        <v>7300</v>
      </c>
      <c r="T5563" t="s">
        <v>3732</v>
      </c>
      <c r="U5563" t="s">
        <v>2853</v>
      </c>
    </row>
    <row r="5564" spans="1:21" ht="15" customHeight="1" x14ac:dyDescent="0.3">
      <c r="A5564" t="s">
        <v>179</v>
      </c>
      <c r="B5564" t="str">
        <f>"00054955"</f>
        <v>00054955</v>
      </c>
      <c r="C5564" t="s">
        <v>4343</v>
      </c>
      <c r="D5564" t="s">
        <v>2867</v>
      </c>
      <c r="E5564" t="str">
        <f>"00052971"</f>
        <v>00052971</v>
      </c>
      <c r="F5564">
        <v>0</v>
      </c>
      <c r="G5564" s="243">
        <v>33120</v>
      </c>
      <c r="H5564" t="s">
        <v>182</v>
      </c>
      <c r="I5564">
        <v>15</v>
      </c>
      <c r="J5564">
        <v>16</v>
      </c>
      <c r="K5564">
        <v>1</v>
      </c>
      <c r="L5564">
        <v>110923</v>
      </c>
      <c r="M5564" t="str">
        <f t="shared" si="864"/>
        <v>13</v>
      </c>
      <c r="N5564" t="s">
        <v>3323</v>
      </c>
      <c r="O5564" t="str">
        <f t="shared" si="868"/>
        <v>73011</v>
      </c>
      <c r="P5564" t="str">
        <f>"2300L"</f>
        <v>2300L</v>
      </c>
      <c r="Q5564" t="str">
        <f t="shared" ref="Q5564:Q5577" si="871">"0101"</f>
        <v>0101</v>
      </c>
      <c r="R5564">
        <v>2300</v>
      </c>
      <c r="S5564" t="str">
        <f t="shared" ref="S5564:S5592" si="872">"7300"</f>
        <v>7300</v>
      </c>
      <c r="T5564" t="s">
        <v>3732</v>
      </c>
      <c r="U5564" t="s">
        <v>2853</v>
      </c>
    </row>
    <row r="5565" spans="1:21" ht="15" customHeight="1" x14ac:dyDescent="0.3">
      <c r="A5565" t="s">
        <v>179</v>
      </c>
      <c r="B5565" t="str">
        <f>"00055137"</f>
        <v>00055137</v>
      </c>
      <c r="C5565" t="s">
        <v>4253</v>
      </c>
      <c r="D5565" t="s">
        <v>2868</v>
      </c>
      <c r="E5565" t="str">
        <f>"00045423"</f>
        <v>00045423</v>
      </c>
      <c r="F5565">
        <v>0</v>
      </c>
      <c r="G5565" s="243">
        <v>36390</v>
      </c>
      <c r="H5565" t="s">
        <v>182</v>
      </c>
      <c r="I5565">
        <v>15</v>
      </c>
      <c r="J5565">
        <v>12</v>
      </c>
      <c r="K5565">
        <v>1</v>
      </c>
      <c r="L5565">
        <v>87431</v>
      </c>
      <c r="M5565" t="str">
        <f t="shared" si="864"/>
        <v>13</v>
      </c>
      <c r="N5565" t="s">
        <v>3323</v>
      </c>
      <c r="O5565" t="str">
        <f t="shared" si="868"/>
        <v>73011</v>
      </c>
      <c r="P5565" t="str">
        <f>"2100L"</f>
        <v>2100L</v>
      </c>
      <c r="Q5565" t="str">
        <f t="shared" si="871"/>
        <v>0101</v>
      </c>
      <c r="R5565">
        <v>2100</v>
      </c>
      <c r="S5565" t="str">
        <f t="shared" si="872"/>
        <v>7300</v>
      </c>
      <c r="T5565" t="s">
        <v>3732</v>
      </c>
      <c r="U5565" t="s">
        <v>2853</v>
      </c>
    </row>
    <row r="5566" spans="1:21" ht="15" customHeight="1" x14ac:dyDescent="0.3">
      <c r="A5566" t="s">
        <v>179</v>
      </c>
      <c r="B5566" t="str">
        <f>"00055228"</f>
        <v>00055228</v>
      </c>
      <c r="C5566" t="s">
        <v>4253</v>
      </c>
      <c r="D5566" t="s">
        <v>2869</v>
      </c>
      <c r="E5566" t="str">
        <f>"00047678"</f>
        <v>00047678</v>
      </c>
      <c r="F5566">
        <v>0</v>
      </c>
      <c r="G5566" s="243">
        <v>36390</v>
      </c>
      <c r="H5566" t="s">
        <v>182</v>
      </c>
      <c r="I5566">
        <v>15</v>
      </c>
      <c r="J5566">
        <v>16</v>
      </c>
      <c r="K5566">
        <v>1</v>
      </c>
      <c r="L5566">
        <v>106540</v>
      </c>
      <c r="M5566" t="str">
        <f t="shared" si="864"/>
        <v>13</v>
      </c>
      <c r="N5566" t="s">
        <v>3323</v>
      </c>
      <c r="O5566" t="str">
        <f t="shared" si="868"/>
        <v>73011</v>
      </c>
      <c r="P5566" t="str">
        <f>"2100L"</f>
        <v>2100L</v>
      </c>
      <c r="Q5566" t="str">
        <f t="shared" si="871"/>
        <v>0101</v>
      </c>
      <c r="R5566">
        <v>2100</v>
      </c>
      <c r="S5566" t="str">
        <f t="shared" si="872"/>
        <v>7300</v>
      </c>
      <c r="T5566" t="s">
        <v>3732</v>
      </c>
      <c r="U5566" t="s">
        <v>2853</v>
      </c>
    </row>
    <row r="5567" spans="1:21" ht="15" customHeight="1" x14ac:dyDescent="0.3">
      <c r="A5567" t="s">
        <v>179</v>
      </c>
      <c r="B5567" t="str">
        <f>"00055245"</f>
        <v>00055245</v>
      </c>
      <c r="C5567" t="s">
        <v>4263</v>
      </c>
      <c r="D5567" t="s">
        <v>2870</v>
      </c>
      <c r="E5567" t="str">
        <f>"00049905"</f>
        <v>00049905</v>
      </c>
      <c r="F5567">
        <v>0</v>
      </c>
      <c r="G5567" s="243">
        <v>38740</v>
      </c>
      <c r="H5567" t="s">
        <v>182</v>
      </c>
      <c r="I5567">
        <v>15</v>
      </c>
      <c r="J5567">
        <v>13</v>
      </c>
      <c r="K5567">
        <v>1</v>
      </c>
      <c r="L5567">
        <v>95366</v>
      </c>
      <c r="M5567" t="str">
        <f t="shared" si="864"/>
        <v>13</v>
      </c>
      <c r="N5567" t="s">
        <v>3323</v>
      </c>
      <c r="O5567" t="str">
        <f t="shared" si="868"/>
        <v>73011</v>
      </c>
      <c r="P5567" t="str">
        <f>"2100L"</f>
        <v>2100L</v>
      </c>
      <c r="Q5567" t="str">
        <f t="shared" si="871"/>
        <v>0101</v>
      </c>
      <c r="R5567">
        <v>2100</v>
      </c>
      <c r="S5567" t="str">
        <f t="shared" si="872"/>
        <v>7300</v>
      </c>
      <c r="T5567" t="s">
        <v>3732</v>
      </c>
      <c r="U5567" t="s">
        <v>2853</v>
      </c>
    </row>
    <row r="5568" spans="1:21" ht="15" customHeight="1" x14ac:dyDescent="0.3">
      <c r="A5568" t="s">
        <v>179</v>
      </c>
      <c r="B5568" t="str">
        <f>"00055329"</f>
        <v>00055329</v>
      </c>
      <c r="C5568" t="s">
        <v>4266</v>
      </c>
      <c r="D5568" t="s">
        <v>2871</v>
      </c>
      <c r="E5568" t="str">
        <f>"00055016"</f>
        <v>00055016</v>
      </c>
      <c r="F5568">
        <v>0</v>
      </c>
      <c r="G5568" s="243">
        <v>36465</v>
      </c>
      <c r="H5568" t="s">
        <v>182</v>
      </c>
      <c r="I5568">
        <v>15</v>
      </c>
      <c r="J5568">
        <v>14</v>
      </c>
      <c r="K5568">
        <v>1</v>
      </c>
      <c r="L5568">
        <v>96460</v>
      </c>
      <c r="M5568" t="str">
        <f t="shared" si="864"/>
        <v>13</v>
      </c>
      <c r="N5568" t="s">
        <v>3323</v>
      </c>
      <c r="O5568" t="str">
        <f t="shared" si="868"/>
        <v>73011</v>
      </c>
      <c r="P5568" t="str">
        <f>"2300L"</f>
        <v>2300L</v>
      </c>
      <c r="Q5568" t="str">
        <f t="shared" si="871"/>
        <v>0101</v>
      </c>
      <c r="R5568">
        <v>2300</v>
      </c>
      <c r="S5568" t="str">
        <f t="shared" si="872"/>
        <v>7300</v>
      </c>
      <c r="T5568" t="s">
        <v>3732</v>
      </c>
      <c r="U5568" t="s">
        <v>2853</v>
      </c>
    </row>
    <row r="5569" spans="1:21" ht="15" customHeight="1" x14ac:dyDescent="0.3">
      <c r="A5569" t="s">
        <v>179</v>
      </c>
      <c r="B5569" t="str">
        <f>"00056534"</f>
        <v>00056534</v>
      </c>
      <c r="C5569" t="s">
        <v>4266</v>
      </c>
      <c r="D5569" t="s">
        <v>4189</v>
      </c>
      <c r="E5569" t="str">
        <f>"00066155"</f>
        <v>00066155</v>
      </c>
      <c r="F5569">
        <v>0</v>
      </c>
      <c r="G5569" s="243">
        <v>40755</v>
      </c>
      <c r="H5569" t="s">
        <v>182</v>
      </c>
      <c r="I5569">
        <v>15</v>
      </c>
      <c r="J5569">
        <v>2</v>
      </c>
      <c r="K5569">
        <v>1</v>
      </c>
      <c r="L5569">
        <v>56242</v>
      </c>
      <c r="M5569" t="str">
        <f t="shared" si="864"/>
        <v>13</v>
      </c>
      <c r="N5569" t="s">
        <v>3323</v>
      </c>
      <c r="O5569" t="str">
        <f t="shared" si="868"/>
        <v>73011</v>
      </c>
      <c r="P5569" t="str">
        <f>"2300L"</f>
        <v>2300L</v>
      </c>
      <c r="Q5569" t="str">
        <f t="shared" si="871"/>
        <v>0101</v>
      </c>
      <c r="R5569">
        <v>2300</v>
      </c>
      <c r="S5569" t="str">
        <f t="shared" si="872"/>
        <v>7300</v>
      </c>
      <c r="T5569" t="s">
        <v>3732</v>
      </c>
      <c r="U5569" t="s">
        <v>2853</v>
      </c>
    </row>
    <row r="5570" spans="1:21" ht="15" customHeight="1" x14ac:dyDescent="0.3">
      <c r="A5570" t="s">
        <v>179</v>
      </c>
      <c r="B5570" t="str">
        <f>"00056781"</f>
        <v>00056781</v>
      </c>
      <c r="C5570" t="s">
        <v>4306</v>
      </c>
      <c r="D5570" t="s">
        <v>5914</v>
      </c>
      <c r="E5570" t="str">
        <f>"00046569"</f>
        <v>00046569</v>
      </c>
      <c r="F5570">
        <v>0</v>
      </c>
      <c r="G5570" s="243">
        <v>36396</v>
      </c>
      <c r="H5570" t="s">
        <v>182</v>
      </c>
      <c r="I5570">
        <v>9</v>
      </c>
      <c r="J5570">
        <v>4</v>
      </c>
      <c r="K5570">
        <v>1</v>
      </c>
      <c r="L5570">
        <v>36352</v>
      </c>
      <c r="M5570" t="str">
        <f t="shared" si="864"/>
        <v>13</v>
      </c>
      <c r="N5570" t="s">
        <v>3323</v>
      </c>
      <c r="O5570" t="str">
        <f t="shared" si="868"/>
        <v>73011</v>
      </c>
      <c r="P5570" t="str">
        <f>"1502L"</f>
        <v>1502L</v>
      </c>
      <c r="Q5570" t="str">
        <f t="shared" si="871"/>
        <v>0101</v>
      </c>
      <c r="R5570">
        <v>1502</v>
      </c>
      <c r="S5570" t="str">
        <f t="shared" si="872"/>
        <v>7300</v>
      </c>
      <c r="T5570" t="s">
        <v>3732</v>
      </c>
      <c r="U5570" t="s">
        <v>2853</v>
      </c>
    </row>
    <row r="5571" spans="1:21" ht="15" customHeight="1" x14ac:dyDescent="0.3">
      <c r="A5571" t="s">
        <v>179</v>
      </c>
      <c r="B5571" t="str">
        <f>"00056787"</f>
        <v>00056787</v>
      </c>
      <c r="C5571" t="s">
        <v>4253</v>
      </c>
      <c r="D5571" t="s">
        <v>2872</v>
      </c>
      <c r="E5571" t="str">
        <f>"00050198"</f>
        <v>00050198</v>
      </c>
      <c r="F5571">
        <v>0</v>
      </c>
      <c r="G5571" s="243">
        <v>36395</v>
      </c>
      <c r="H5571" t="s">
        <v>182</v>
      </c>
      <c r="I5571">
        <v>15</v>
      </c>
      <c r="J5571">
        <v>12</v>
      </c>
      <c r="K5571">
        <v>1</v>
      </c>
      <c r="L5571">
        <v>87431</v>
      </c>
      <c r="M5571" t="str">
        <f t="shared" si="864"/>
        <v>13</v>
      </c>
      <c r="N5571" t="s">
        <v>3323</v>
      </c>
      <c r="O5571" t="str">
        <f t="shared" si="868"/>
        <v>73011</v>
      </c>
      <c r="P5571" t="str">
        <f>"2100L"</f>
        <v>2100L</v>
      </c>
      <c r="Q5571" t="str">
        <f t="shared" si="871"/>
        <v>0101</v>
      </c>
      <c r="R5571">
        <v>2100</v>
      </c>
      <c r="S5571" t="str">
        <f t="shared" si="872"/>
        <v>7300</v>
      </c>
      <c r="T5571" t="s">
        <v>3732</v>
      </c>
      <c r="U5571" t="s">
        <v>2853</v>
      </c>
    </row>
    <row r="5572" spans="1:21" ht="15" customHeight="1" x14ac:dyDescent="0.3">
      <c r="A5572" t="s">
        <v>179</v>
      </c>
      <c r="B5572" t="str">
        <f>"00056843"</f>
        <v>00056843</v>
      </c>
      <c r="C5572" t="s">
        <v>4263</v>
      </c>
      <c r="D5572" t="s">
        <v>4184</v>
      </c>
      <c r="E5572" t="str">
        <f>"00065884"</f>
        <v>00065884</v>
      </c>
      <c r="F5572">
        <v>0</v>
      </c>
      <c r="G5572" s="243">
        <v>40755</v>
      </c>
      <c r="H5572" t="s">
        <v>182</v>
      </c>
      <c r="I5572">
        <v>15</v>
      </c>
      <c r="J5572">
        <v>2</v>
      </c>
      <c r="K5572">
        <v>1</v>
      </c>
      <c r="L5572">
        <v>56242</v>
      </c>
      <c r="M5572" t="str">
        <f t="shared" si="864"/>
        <v>13</v>
      </c>
      <c r="N5572" t="s">
        <v>3323</v>
      </c>
      <c r="O5572" t="str">
        <f t="shared" si="868"/>
        <v>73011</v>
      </c>
      <c r="P5572" t="str">
        <f>"2100L"</f>
        <v>2100L</v>
      </c>
      <c r="Q5572" t="str">
        <f t="shared" si="871"/>
        <v>0101</v>
      </c>
      <c r="R5572">
        <v>2100</v>
      </c>
      <c r="S5572" t="str">
        <f t="shared" si="872"/>
        <v>7300</v>
      </c>
      <c r="T5572" t="s">
        <v>3732</v>
      </c>
      <c r="U5572" t="s">
        <v>2853</v>
      </c>
    </row>
    <row r="5573" spans="1:21" ht="15" customHeight="1" x14ac:dyDescent="0.3">
      <c r="A5573" t="s">
        <v>179</v>
      </c>
      <c r="B5573" t="str">
        <f>"00056907"</f>
        <v>00056907</v>
      </c>
      <c r="C5573" t="s">
        <v>4266</v>
      </c>
      <c r="D5573" t="s">
        <v>2873</v>
      </c>
      <c r="E5573" t="str">
        <f>"00044641"</f>
        <v>00044641</v>
      </c>
      <c r="F5573">
        <v>0</v>
      </c>
      <c r="G5573" s="243">
        <v>34213</v>
      </c>
      <c r="H5573" t="s">
        <v>182</v>
      </c>
      <c r="I5573">
        <v>15</v>
      </c>
      <c r="J5573">
        <v>16</v>
      </c>
      <c r="K5573">
        <v>1</v>
      </c>
      <c r="L5573">
        <v>106540</v>
      </c>
      <c r="M5573" t="str">
        <f t="shared" ref="M5573:M5634" si="873">"13"</f>
        <v>13</v>
      </c>
      <c r="N5573" t="s">
        <v>3323</v>
      </c>
      <c r="O5573" t="str">
        <f t="shared" si="868"/>
        <v>73011</v>
      </c>
      <c r="P5573" t="str">
        <f>"2300L"</f>
        <v>2300L</v>
      </c>
      <c r="Q5573" t="str">
        <f t="shared" si="871"/>
        <v>0101</v>
      </c>
      <c r="R5573">
        <v>2300</v>
      </c>
      <c r="S5573" t="str">
        <f t="shared" si="872"/>
        <v>7300</v>
      </c>
      <c r="T5573" t="s">
        <v>3732</v>
      </c>
      <c r="U5573" t="s">
        <v>2853</v>
      </c>
    </row>
    <row r="5574" spans="1:21" ht="15" customHeight="1" x14ac:dyDescent="0.3">
      <c r="A5574" t="s">
        <v>179</v>
      </c>
      <c r="B5574" t="str">
        <f>"00056936"</f>
        <v>00056936</v>
      </c>
      <c r="C5574" t="s">
        <v>3670</v>
      </c>
      <c r="D5574" t="s">
        <v>2874</v>
      </c>
      <c r="E5574" t="str">
        <f>"00047720"</f>
        <v>00047720</v>
      </c>
      <c r="F5574">
        <v>0</v>
      </c>
      <c r="G5574" s="243">
        <v>36364</v>
      </c>
      <c r="H5574" t="s">
        <v>182</v>
      </c>
      <c r="I5574">
        <v>8</v>
      </c>
      <c r="J5574">
        <v>4</v>
      </c>
      <c r="K5574">
        <v>1</v>
      </c>
      <c r="L5574">
        <v>89645</v>
      </c>
      <c r="M5574" t="str">
        <f t="shared" si="873"/>
        <v>13</v>
      </c>
      <c r="N5574" t="s">
        <v>3323</v>
      </c>
      <c r="O5574" t="str">
        <f t="shared" si="868"/>
        <v>73011</v>
      </c>
      <c r="P5574" t="str">
        <f>"1501L"</f>
        <v>1501L</v>
      </c>
      <c r="Q5574" t="str">
        <f t="shared" si="871"/>
        <v>0101</v>
      </c>
      <c r="R5574">
        <v>1501</v>
      </c>
      <c r="S5574" t="str">
        <f t="shared" si="872"/>
        <v>7300</v>
      </c>
      <c r="T5574" t="s">
        <v>3732</v>
      </c>
      <c r="U5574" t="s">
        <v>2853</v>
      </c>
    </row>
    <row r="5575" spans="1:21" ht="15" customHeight="1" x14ac:dyDescent="0.3">
      <c r="A5575" t="s">
        <v>179</v>
      </c>
      <c r="B5575" t="str">
        <f>"00057113"</f>
        <v>00057113</v>
      </c>
      <c r="C5575" t="s">
        <v>4253</v>
      </c>
      <c r="D5575" t="s">
        <v>4190</v>
      </c>
      <c r="E5575" t="str">
        <f>"00065615"</f>
        <v>00065615</v>
      </c>
      <c r="F5575">
        <v>0</v>
      </c>
      <c r="G5575" s="243">
        <v>40755</v>
      </c>
      <c r="H5575" t="s">
        <v>182</v>
      </c>
      <c r="I5575">
        <v>15</v>
      </c>
      <c r="J5575">
        <v>2</v>
      </c>
      <c r="K5575">
        <v>1</v>
      </c>
      <c r="L5575">
        <v>51716</v>
      </c>
      <c r="M5575" t="str">
        <f t="shared" si="873"/>
        <v>13</v>
      </c>
      <c r="N5575" t="s">
        <v>3323</v>
      </c>
      <c r="O5575" t="str">
        <f t="shared" si="868"/>
        <v>73011</v>
      </c>
      <c r="P5575" t="str">
        <f>"2100L"</f>
        <v>2100L</v>
      </c>
      <c r="Q5575" t="str">
        <f t="shared" si="871"/>
        <v>0101</v>
      </c>
      <c r="R5575">
        <v>2100</v>
      </c>
      <c r="S5575" t="str">
        <f t="shared" si="872"/>
        <v>7300</v>
      </c>
      <c r="T5575" t="s">
        <v>3732</v>
      </c>
      <c r="U5575" t="s">
        <v>2853</v>
      </c>
    </row>
    <row r="5576" spans="1:21" ht="15" customHeight="1" x14ac:dyDescent="0.3">
      <c r="A5576" t="s">
        <v>179</v>
      </c>
      <c r="B5576" t="str">
        <f>"00057125"</f>
        <v>00057125</v>
      </c>
      <c r="C5576" t="s">
        <v>4253</v>
      </c>
      <c r="D5576" t="s">
        <v>2875</v>
      </c>
      <c r="E5576" t="str">
        <f>"00050060"</f>
        <v>00050060</v>
      </c>
      <c r="F5576">
        <v>0</v>
      </c>
      <c r="G5576" s="243">
        <v>35858</v>
      </c>
      <c r="H5576" t="s">
        <v>182</v>
      </c>
      <c r="I5576">
        <v>15</v>
      </c>
      <c r="J5576">
        <v>12</v>
      </c>
      <c r="K5576">
        <v>1</v>
      </c>
      <c r="L5576">
        <v>87431</v>
      </c>
      <c r="M5576" t="str">
        <f t="shared" si="873"/>
        <v>13</v>
      </c>
      <c r="N5576" t="s">
        <v>3323</v>
      </c>
      <c r="O5576" t="str">
        <f t="shared" si="868"/>
        <v>73011</v>
      </c>
      <c r="P5576" t="str">
        <f>"2100L"</f>
        <v>2100L</v>
      </c>
      <c r="Q5576" t="str">
        <f t="shared" si="871"/>
        <v>0101</v>
      </c>
      <c r="R5576">
        <v>2100</v>
      </c>
      <c r="S5576" t="str">
        <f t="shared" si="872"/>
        <v>7300</v>
      </c>
      <c r="T5576" t="s">
        <v>3732</v>
      </c>
      <c r="U5576" t="s">
        <v>2853</v>
      </c>
    </row>
    <row r="5577" spans="1:21" ht="15" customHeight="1" x14ac:dyDescent="0.3">
      <c r="A5577" t="s">
        <v>179</v>
      </c>
      <c r="B5577" t="str">
        <f>"00057238"</f>
        <v>00057238</v>
      </c>
      <c r="C5577" t="s">
        <v>5657</v>
      </c>
      <c r="D5577" t="s">
        <v>2876</v>
      </c>
      <c r="E5577" t="str">
        <f>"00044843"</f>
        <v>00044843</v>
      </c>
      <c r="F5577">
        <v>0</v>
      </c>
      <c r="G5577" s="243">
        <v>34822</v>
      </c>
      <c r="H5577" t="s">
        <v>182</v>
      </c>
      <c r="I5577">
        <v>15</v>
      </c>
      <c r="J5577">
        <v>16</v>
      </c>
      <c r="K5577">
        <v>0.5</v>
      </c>
      <c r="L5577">
        <v>92723</v>
      </c>
      <c r="M5577" t="str">
        <f t="shared" si="873"/>
        <v>13</v>
      </c>
      <c r="N5577" t="s">
        <v>3323</v>
      </c>
      <c r="O5577" t="str">
        <f t="shared" si="868"/>
        <v>73011</v>
      </c>
      <c r="P5577" t="str">
        <f>"5700L"</f>
        <v>5700L</v>
      </c>
      <c r="Q5577" t="str">
        <f t="shared" si="871"/>
        <v>0101</v>
      </c>
      <c r="R5577">
        <v>5700</v>
      </c>
      <c r="S5577" t="str">
        <f t="shared" si="872"/>
        <v>7300</v>
      </c>
      <c r="T5577" t="s">
        <v>3732</v>
      </c>
      <c r="U5577" t="s">
        <v>2853</v>
      </c>
    </row>
    <row r="5578" spans="1:21" ht="15" customHeight="1" x14ac:dyDescent="0.3">
      <c r="A5578" t="s">
        <v>179</v>
      </c>
      <c r="B5578" t="str">
        <f>"00057238"</f>
        <v>00057238</v>
      </c>
      <c r="C5578" t="s">
        <v>5657</v>
      </c>
      <c r="D5578" t="s">
        <v>2876</v>
      </c>
      <c r="E5578" t="str">
        <f>"00044843"</f>
        <v>00044843</v>
      </c>
      <c r="F5578">
        <v>0</v>
      </c>
      <c r="G5578" s="243">
        <v>34822</v>
      </c>
      <c r="H5578" t="s">
        <v>182</v>
      </c>
      <c r="I5578">
        <v>15</v>
      </c>
      <c r="J5578">
        <v>16</v>
      </c>
      <c r="K5578">
        <v>0.5</v>
      </c>
      <c r="L5578">
        <v>92723</v>
      </c>
      <c r="M5578" t="str">
        <f t="shared" si="873"/>
        <v>13</v>
      </c>
      <c r="N5578" t="s">
        <v>3323</v>
      </c>
      <c r="O5578" t="str">
        <f>"73082"</f>
        <v>73082</v>
      </c>
      <c r="P5578" t="str">
        <f>"5700S"</f>
        <v>5700S</v>
      </c>
      <c r="Q5578" t="str">
        <f>"0602"</f>
        <v>0602</v>
      </c>
      <c r="R5578">
        <v>5700</v>
      </c>
      <c r="S5578" t="str">
        <f t="shared" si="872"/>
        <v>7300</v>
      </c>
      <c r="T5578" t="s">
        <v>3732</v>
      </c>
      <c r="U5578" t="s">
        <v>2853</v>
      </c>
    </row>
    <row r="5579" spans="1:21" ht="15" customHeight="1" x14ac:dyDescent="0.3">
      <c r="A5579" t="s">
        <v>179</v>
      </c>
      <c r="B5579" t="str">
        <f>"00057589"</f>
        <v>00057589</v>
      </c>
      <c r="C5579" t="s">
        <v>4260</v>
      </c>
      <c r="D5579" t="s">
        <v>2877</v>
      </c>
      <c r="E5579" t="str">
        <f>"00052302"</f>
        <v>00052302</v>
      </c>
      <c r="F5579">
        <v>0</v>
      </c>
      <c r="G5579" s="243">
        <v>36397</v>
      </c>
      <c r="H5579" t="s">
        <v>182</v>
      </c>
      <c r="I5579">
        <v>15</v>
      </c>
      <c r="J5579">
        <v>14</v>
      </c>
      <c r="K5579">
        <v>1</v>
      </c>
      <c r="L5579">
        <v>96460</v>
      </c>
      <c r="M5579" t="str">
        <f t="shared" si="873"/>
        <v>13</v>
      </c>
      <c r="N5579" t="s">
        <v>3323</v>
      </c>
      <c r="O5579" t="str">
        <f t="shared" ref="O5579:O5608" si="874">"73011"</f>
        <v>73011</v>
      </c>
      <c r="P5579" t="str">
        <f>"3030L"</f>
        <v>3030L</v>
      </c>
      <c r="Q5579" t="str">
        <f t="shared" ref="Q5579:Q5608" si="875">"0101"</f>
        <v>0101</v>
      </c>
      <c r="R5579">
        <v>3030</v>
      </c>
      <c r="S5579" t="str">
        <f t="shared" si="872"/>
        <v>7300</v>
      </c>
      <c r="T5579" t="s">
        <v>3732</v>
      </c>
      <c r="U5579" t="s">
        <v>2853</v>
      </c>
    </row>
    <row r="5580" spans="1:21" ht="15" customHeight="1" x14ac:dyDescent="0.3">
      <c r="A5580" t="s">
        <v>179</v>
      </c>
      <c r="B5580" t="str">
        <f>"00057627"</f>
        <v>00057627</v>
      </c>
      <c r="C5580" t="s">
        <v>4360</v>
      </c>
      <c r="D5580" t="s">
        <v>5915</v>
      </c>
      <c r="E5580" t="str">
        <f>"00053125"</f>
        <v>00053125</v>
      </c>
      <c r="F5580">
        <v>0</v>
      </c>
      <c r="G5580" s="243">
        <v>31297</v>
      </c>
      <c r="H5580" t="s">
        <v>182</v>
      </c>
      <c r="I5580">
        <v>7</v>
      </c>
      <c r="J5580">
        <v>6</v>
      </c>
      <c r="K5580">
        <v>1</v>
      </c>
      <c r="L5580">
        <v>40407</v>
      </c>
      <c r="M5580" t="str">
        <f t="shared" si="873"/>
        <v>13</v>
      </c>
      <c r="N5580" t="s">
        <v>3323</v>
      </c>
      <c r="O5580" t="str">
        <f t="shared" si="874"/>
        <v>73011</v>
      </c>
      <c r="P5580" t="str">
        <f>"1502L"</f>
        <v>1502L</v>
      </c>
      <c r="Q5580" t="str">
        <f t="shared" si="875"/>
        <v>0101</v>
      </c>
      <c r="R5580">
        <v>1502</v>
      </c>
      <c r="S5580" t="str">
        <f t="shared" si="872"/>
        <v>7300</v>
      </c>
      <c r="T5580" t="s">
        <v>3732</v>
      </c>
      <c r="U5580" t="s">
        <v>2853</v>
      </c>
    </row>
    <row r="5581" spans="1:21" ht="15" customHeight="1" x14ac:dyDescent="0.3">
      <c r="A5581" t="s">
        <v>179</v>
      </c>
      <c r="B5581" t="str">
        <f>"00058066"</f>
        <v>00058066</v>
      </c>
      <c r="C5581" t="s">
        <v>4253</v>
      </c>
      <c r="D5581" t="s">
        <v>2878</v>
      </c>
      <c r="E5581" t="str">
        <f>"00044913"</f>
        <v>00044913</v>
      </c>
      <c r="F5581">
        <v>0</v>
      </c>
      <c r="G5581" s="243">
        <v>37124</v>
      </c>
      <c r="H5581" t="s">
        <v>182</v>
      </c>
      <c r="I5581">
        <v>15</v>
      </c>
      <c r="J5581">
        <v>16</v>
      </c>
      <c r="K5581">
        <v>1</v>
      </c>
      <c r="L5581">
        <v>100839</v>
      </c>
      <c r="M5581" t="str">
        <f t="shared" si="873"/>
        <v>13</v>
      </c>
      <c r="N5581" t="s">
        <v>3323</v>
      </c>
      <c r="O5581" t="str">
        <f t="shared" si="874"/>
        <v>73011</v>
      </c>
      <c r="P5581" t="str">
        <f t="shared" ref="P5581:P5588" si="876">"2100L"</f>
        <v>2100L</v>
      </c>
      <c r="Q5581" t="str">
        <f t="shared" si="875"/>
        <v>0101</v>
      </c>
      <c r="R5581">
        <v>2100</v>
      </c>
      <c r="S5581" t="str">
        <f t="shared" si="872"/>
        <v>7300</v>
      </c>
      <c r="T5581" t="s">
        <v>3732</v>
      </c>
      <c r="U5581" t="s">
        <v>2853</v>
      </c>
    </row>
    <row r="5582" spans="1:21" ht="15" customHeight="1" x14ac:dyDescent="0.3">
      <c r="A5582" t="s">
        <v>179</v>
      </c>
      <c r="B5582" t="str">
        <f>"00058080"</f>
        <v>00058080</v>
      </c>
      <c r="C5582" t="s">
        <v>4253</v>
      </c>
      <c r="D5582" t="s">
        <v>2879</v>
      </c>
      <c r="E5582" t="str">
        <f>"00045434"</f>
        <v>00045434</v>
      </c>
      <c r="F5582">
        <v>0</v>
      </c>
      <c r="G5582" s="243">
        <v>37124</v>
      </c>
      <c r="H5582" t="s">
        <v>182</v>
      </c>
      <c r="I5582">
        <v>15</v>
      </c>
      <c r="J5582">
        <v>14</v>
      </c>
      <c r="K5582">
        <v>1</v>
      </c>
      <c r="L5582">
        <v>96460</v>
      </c>
      <c r="M5582" t="str">
        <f t="shared" si="873"/>
        <v>13</v>
      </c>
      <c r="N5582" t="s">
        <v>3323</v>
      </c>
      <c r="O5582" t="str">
        <f t="shared" si="874"/>
        <v>73011</v>
      </c>
      <c r="P5582" t="str">
        <f t="shared" si="876"/>
        <v>2100L</v>
      </c>
      <c r="Q5582" t="str">
        <f t="shared" si="875"/>
        <v>0101</v>
      </c>
      <c r="R5582">
        <v>2100</v>
      </c>
      <c r="S5582" t="str">
        <f t="shared" si="872"/>
        <v>7300</v>
      </c>
      <c r="T5582" t="s">
        <v>3732</v>
      </c>
      <c r="U5582" t="s">
        <v>2853</v>
      </c>
    </row>
    <row r="5583" spans="1:21" ht="15" customHeight="1" x14ac:dyDescent="0.3">
      <c r="A5583" t="s">
        <v>179</v>
      </c>
      <c r="B5583" t="str">
        <f>"00058180"</f>
        <v>00058180</v>
      </c>
      <c r="C5583" t="s">
        <v>4253</v>
      </c>
      <c r="D5583" t="s">
        <v>2880</v>
      </c>
      <c r="E5583" t="str">
        <f>"00054211"</f>
        <v>00054211</v>
      </c>
      <c r="F5583">
        <v>0</v>
      </c>
      <c r="G5583" s="243">
        <v>37124</v>
      </c>
      <c r="H5583" t="s">
        <v>182</v>
      </c>
      <c r="I5583">
        <v>15</v>
      </c>
      <c r="J5583">
        <v>16</v>
      </c>
      <c r="K5583">
        <v>1</v>
      </c>
      <c r="L5583">
        <v>100839</v>
      </c>
      <c r="M5583" t="str">
        <f t="shared" si="873"/>
        <v>13</v>
      </c>
      <c r="N5583" t="s">
        <v>3323</v>
      </c>
      <c r="O5583" t="str">
        <f t="shared" si="874"/>
        <v>73011</v>
      </c>
      <c r="P5583" t="str">
        <f t="shared" si="876"/>
        <v>2100L</v>
      </c>
      <c r="Q5583" t="str">
        <f t="shared" si="875"/>
        <v>0101</v>
      </c>
      <c r="R5583">
        <v>2100</v>
      </c>
      <c r="S5583" t="str">
        <f t="shared" si="872"/>
        <v>7300</v>
      </c>
      <c r="T5583" t="s">
        <v>3732</v>
      </c>
      <c r="U5583" t="s">
        <v>4269</v>
      </c>
    </row>
    <row r="5584" spans="1:21" ht="15" customHeight="1" x14ac:dyDescent="0.3">
      <c r="A5584" t="s">
        <v>179</v>
      </c>
      <c r="B5584" t="str">
        <f>"00058194"</f>
        <v>00058194</v>
      </c>
      <c r="C5584" t="s">
        <v>4255</v>
      </c>
      <c r="D5584" t="s">
        <v>2881</v>
      </c>
      <c r="E5584" t="str">
        <f>"00053372"</f>
        <v>00053372</v>
      </c>
      <c r="F5584">
        <v>0</v>
      </c>
      <c r="G5584" s="243">
        <v>37124</v>
      </c>
      <c r="H5584" t="s">
        <v>182</v>
      </c>
      <c r="I5584">
        <v>15</v>
      </c>
      <c r="J5584">
        <v>16</v>
      </c>
      <c r="K5584">
        <v>1</v>
      </c>
      <c r="L5584">
        <v>100839</v>
      </c>
      <c r="M5584" t="str">
        <f t="shared" si="873"/>
        <v>13</v>
      </c>
      <c r="N5584" t="s">
        <v>3323</v>
      </c>
      <c r="O5584" t="str">
        <f t="shared" si="874"/>
        <v>73011</v>
      </c>
      <c r="P5584" t="str">
        <f t="shared" si="876"/>
        <v>2100L</v>
      </c>
      <c r="Q5584" t="str">
        <f t="shared" si="875"/>
        <v>0101</v>
      </c>
      <c r="R5584">
        <v>2100</v>
      </c>
      <c r="S5584" t="str">
        <f t="shared" si="872"/>
        <v>7300</v>
      </c>
      <c r="T5584" t="s">
        <v>3732</v>
      </c>
      <c r="U5584" t="s">
        <v>2853</v>
      </c>
    </row>
    <row r="5585" spans="1:21" ht="15" customHeight="1" x14ac:dyDescent="0.3">
      <c r="A5585" t="s">
        <v>179</v>
      </c>
      <c r="B5585" t="str">
        <f>"00058226"</f>
        <v>00058226</v>
      </c>
      <c r="C5585" t="s">
        <v>4263</v>
      </c>
      <c r="D5585" t="s">
        <v>2882</v>
      </c>
      <c r="E5585" t="str">
        <f>"00049390"</f>
        <v>00049390</v>
      </c>
      <c r="F5585">
        <v>0</v>
      </c>
      <c r="G5585" s="243">
        <v>38951</v>
      </c>
      <c r="H5585" t="s">
        <v>182</v>
      </c>
      <c r="I5585">
        <v>15</v>
      </c>
      <c r="J5585">
        <v>13</v>
      </c>
      <c r="K5585">
        <v>1</v>
      </c>
      <c r="L5585">
        <v>101066</v>
      </c>
      <c r="M5585" t="str">
        <f t="shared" si="873"/>
        <v>13</v>
      </c>
      <c r="N5585" t="s">
        <v>3323</v>
      </c>
      <c r="O5585" t="str">
        <f t="shared" si="874"/>
        <v>73011</v>
      </c>
      <c r="P5585" t="str">
        <f t="shared" si="876"/>
        <v>2100L</v>
      </c>
      <c r="Q5585" t="str">
        <f t="shared" si="875"/>
        <v>0101</v>
      </c>
      <c r="R5585">
        <v>2100</v>
      </c>
      <c r="S5585" t="str">
        <f t="shared" si="872"/>
        <v>7300</v>
      </c>
      <c r="T5585" t="s">
        <v>3732</v>
      </c>
      <c r="U5585" t="s">
        <v>2853</v>
      </c>
    </row>
    <row r="5586" spans="1:21" ht="15" customHeight="1" x14ac:dyDescent="0.3">
      <c r="A5586" t="s">
        <v>179</v>
      </c>
      <c r="B5586" t="str">
        <f>"00058243"</f>
        <v>00058243</v>
      </c>
      <c r="C5586" t="s">
        <v>4253</v>
      </c>
      <c r="D5586" t="s">
        <v>2883</v>
      </c>
      <c r="E5586" t="str">
        <f>"00047793"</f>
        <v>00047793</v>
      </c>
      <c r="F5586">
        <v>0</v>
      </c>
      <c r="G5586" s="243">
        <v>38951</v>
      </c>
      <c r="H5586" t="s">
        <v>182</v>
      </c>
      <c r="I5586">
        <v>15</v>
      </c>
      <c r="J5586">
        <v>11</v>
      </c>
      <c r="K5586">
        <v>1</v>
      </c>
      <c r="L5586">
        <v>81335</v>
      </c>
      <c r="M5586" t="str">
        <f t="shared" si="873"/>
        <v>13</v>
      </c>
      <c r="N5586" t="s">
        <v>3323</v>
      </c>
      <c r="O5586" t="str">
        <f t="shared" si="874"/>
        <v>73011</v>
      </c>
      <c r="P5586" t="str">
        <f t="shared" si="876"/>
        <v>2100L</v>
      </c>
      <c r="Q5586" t="str">
        <f t="shared" si="875"/>
        <v>0101</v>
      </c>
      <c r="R5586">
        <v>2100</v>
      </c>
      <c r="S5586" t="str">
        <f t="shared" si="872"/>
        <v>7300</v>
      </c>
      <c r="T5586" t="s">
        <v>3732</v>
      </c>
      <c r="U5586" t="s">
        <v>2853</v>
      </c>
    </row>
    <row r="5587" spans="1:21" ht="15" customHeight="1" x14ac:dyDescent="0.3">
      <c r="A5587" t="s">
        <v>179</v>
      </c>
      <c r="B5587" t="str">
        <f>"00058249"</f>
        <v>00058249</v>
      </c>
      <c r="C5587" t="s">
        <v>4263</v>
      </c>
      <c r="D5587" t="s">
        <v>2884</v>
      </c>
      <c r="E5587" t="str">
        <f>"00046945"</f>
        <v>00046945</v>
      </c>
      <c r="F5587">
        <v>0</v>
      </c>
      <c r="G5587" s="243">
        <v>38587</v>
      </c>
      <c r="H5587" t="s">
        <v>182</v>
      </c>
      <c r="I5587">
        <v>15</v>
      </c>
      <c r="J5587">
        <v>8</v>
      </c>
      <c r="K5587">
        <v>1</v>
      </c>
      <c r="L5587">
        <v>77101</v>
      </c>
      <c r="M5587" t="str">
        <f t="shared" si="873"/>
        <v>13</v>
      </c>
      <c r="N5587" t="s">
        <v>3323</v>
      </c>
      <c r="O5587" t="str">
        <f t="shared" si="874"/>
        <v>73011</v>
      </c>
      <c r="P5587" t="str">
        <f t="shared" si="876"/>
        <v>2100L</v>
      </c>
      <c r="Q5587" t="str">
        <f t="shared" si="875"/>
        <v>0101</v>
      </c>
      <c r="R5587">
        <v>2100</v>
      </c>
      <c r="S5587" t="str">
        <f t="shared" si="872"/>
        <v>7300</v>
      </c>
      <c r="T5587" t="s">
        <v>3732</v>
      </c>
      <c r="U5587" t="s">
        <v>2853</v>
      </c>
    </row>
    <row r="5588" spans="1:21" ht="15" customHeight="1" x14ac:dyDescent="0.3">
      <c r="A5588" t="s">
        <v>179</v>
      </c>
      <c r="B5588" t="str">
        <f>"00058290"</f>
        <v>00058290</v>
      </c>
      <c r="C5588" t="s">
        <v>4253</v>
      </c>
      <c r="D5588" t="s">
        <v>2885</v>
      </c>
      <c r="E5588" t="str">
        <f>"00044919"</f>
        <v>00044919</v>
      </c>
      <c r="F5588">
        <v>0</v>
      </c>
      <c r="G5588" s="243">
        <v>38587</v>
      </c>
      <c r="H5588" t="s">
        <v>182</v>
      </c>
      <c r="I5588">
        <v>15</v>
      </c>
      <c r="J5588">
        <v>15</v>
      </c>
      <c r="K5588">
        <v>1</v>
      </c>
      <c r="L5588">
        <v>98285</v>
      </c>
      <c r="M5588" t="str">
        <f t="shared" si="873"/>
        <v>13</v>
      </c>
      <c r="N5588" t="s">
        <v>3323</v>
      </c>
      <c r="O5588" t="str">
        <f t="shared" si="874"/>
        <v>73011</v>
      </c>
      <c r="P5588" t="str">
        <f t="shared" si="876"/>
        <v>2100L</v>
      </c>
      <c r="Q5588" t="str">
        <f t="shared" si="875"/>
        <v>0101</v>
      </c>
      <c r="R5588">
        <v>2100</v>
      </c>
      <c r="S5588" t="str">
        <f t="shared" si="872"/>
        <v>7300</v>
      </c>
      <c r="T5588" t="s">
        <v>3732</v>
      </c>
      <c r="U5588" t="s">
        <v>2853</v>
      </c>
    </row>
    <row r="5589" spans="1:21" ht="15" customHeight="1" x14ac:dyDescent="0.3">
      <c r="A5589" t="s">
        <v>179</v>
      </c>
      <c r="B5589" t="str">
        <f>"00058430"</f>
        <v>00058430</v>
      </c>
      <c r="C5589" t="s">
        <v>4255</v>
      </c>
      <c r="D5589" t="s">
        <v>2886</v>
      </c>
      <c r="E5589" t="str">
        <f>"00055037"</f>
        <v>00055037</v>
      </c>
      <c r="F5589">
        <v>0</v>
      </c>
      <c r="G5589" s="243">
        <v>37161</v>
      </c>
      <c r="H5589" t="s">
        <v>182</v>
      </c>
      <c r="I5589">
        <v>15</v>
      </c>
      <c r="J5589">
        <v>11</v>
      </c>
      <c r="K5589">
        <v>1</v>
      </c>
      <c r="L5589">
        <v>81335</v>
      </c>
      <c r="M5589" t="str">
        <f t="shared" si="873"/>
        <v>13</v>
      </c>
      <c r="N5589" t="s">
        <v>3323</v>
      </c>
      <c r="O5589" t="str">
        <f t="shared" si="874"/>
        <v>73011</v>
      </c>
      <c r="P5589" t="str">
        <f>"2100L"</f>
        <v>2100L</v>
      </c>
      <c r="Q5589" t="str">
        <f t="shared" si="875"/>
        <v>0101</v>
      </c>
      <c r="R5589">
        <v>2100</v>
      </c>
      <c r="S5589" t="str">
        <f t="shared" si="872"/>
        <v>7300</v>
      </c>
      <c r="T5589" t="s">
        <v>3732</v>
      </c>
      <c r="U5589" t="s">
        <v>2853</v>
      </c>
    </row>
    <row r="5590" spans="1:21" ht="15" customHeight="1" x14ac:dyDescent="0.3">
      <c r="A5590" t="s">
        <v>179</v>
      </c>
      <c r="B5590" t="str">
        <f>"00058476"</f>
        <v>00058476</v>
      </c>
      <c r="C5590" t="s">
        <v>4260</v>
      </c>
      <c r="D5590" t="s">
        <v>5916</v>
      </c>
      <c r="E5590" t="str">
        <f>"00070486"</f>
        <v>00070486</v>
      </c>
      <c r="F5590">
        <v>0</v>
      </c>
      <c r="G5590" s="243">
        <v>41176</v>
      </c>
      <c r="H5590" t="s">
        <v>182</v>
      </c>
      <c r="I5590">
        <v>15</v>
      </c>
      <c r="J5590">
        <v>10</v>
      </c>
      <c r="K5590">
        <v>1</v>
      </c>
      <c r="L5590">
        <v>80729</v>
      </c>
      <c r="M5590" t="str">
        <f t="shared" si="873"/>
        <v>13</v>
      </c>
      <c r="N5590" t="s">
        <v>3323</v>
      </c>
      <c r="O5590" t="str">
        <f t="shared" si="874"/>
        <v>73011</v>
      </c>
      <c r="P5590" t="str">
        <f>"2100L"</f>
        <v>2100L</v>
      </c>
      <c r="Q5590" t="str">
        <f t="shared" si="875"/>
        <v>0101</v>
      </c>
      <c r="R5590">
        <v>2100</v>
      </c>
      <c r="S5590" t="str">
        <f t="shared" si="872"/>
        <v>7300</v>
      </c>
      <c r="T5590" t="s">
        <v>3732</v>
      </c>
      <c r="U5590" t="s">
        <v>2853</v>
      </c>
    </row>
    <row r="5591" spans="1:21" ht="15" customHeight="1" x14ac:dyDescent="0.3">
      <c r="A5591" t="s">
        <v>179</v>
      </c>
      <c r="B5591" t="str">
        <f>"00058496"</f>
        <v>00058496</v>
      </c>
      <c r="C5591" t="s">
        <v>4266</v>
      </c>
      <c r="D5591" t="s">
        <v>2888</v>
      </c>
      <c r="E5591" t="str">
        <f>"00047777"</f>
        <v>00047777</v>
      </c>
      <c r="F5591">
        <v>0</v>
      </c>
      <c r="G5591" s="243">
        <v>32782</v>
      </c>
      <c r="H5591" t="s">
        <v>182</v>
      </c>
      <c r="I5591">
        <v>15</v>
      </c>
      <c r="J5591">
        <v>15</v>
      </c>
      <c r="K5591">
        <v>1</v>
      </c>
      <c r="L5591">
        <v>98285</v>
      </c>
      <c r="M5591" t="str">
        <f t="shared" si="873"/>
        <v>13</v>
      </c>
      <c r="N5591" t="s">
        <v>3323</v>
      </c>
      <c r="O5591" t="str">
        <f t="shared" si="874"/>
        <v>73011</v>
      </c>
      <c r="P5591" t="str">
        <f>"2300L"</f>
        <v>2300L</v>
      </c>
      <c r="Q5591" t="str">
        <f t="shared" si="875"/>
        <v>0101</v>
      </c>
      <c r="R5591">
        <v>2300</v>
      </c>
      <c r="S5591" t="str">
        <f t="shared" si="872"/>
        <v>7300</v>
      </c>
      <c r="T5591" t="s">
        <v>3732</v>
      </c>
      <c r="U5591" t="s">
        <v>2853</v>
      </c>
    </row>
    <row r="5592" spans="1:21" ht="15" customHeight="1" x14ac:dyDescent="0.3">
      <c r="A5592" t="s">
        <v>179</v>
      </c>
      <c r="B5592" t="str">
        <f>"00058575"</f>
        <v>00058575</v>
      </c>
      <c r="C5592" t="s">
        <v>4306</v>
      </c>
      <c r="D5592" t="s">
        <v>5917</v>
      </c>
      <c r="E5592" t="str">
        <f>"00047046"</f>
        <v>00047046</v>
      </c>
      <c r="F5592">
        <v>0</v>
      </c>
      <c r="G5592" s="243">
        <v>38951</v>
      </c>
      <c r="H5592" t="s">
        <v>182</v>
      </c>
      <c r="I5592">
        <v>9</v>
      </c>
      <c r="J5592">
        <v>7</v>
      </c>
      <c r="K5592">
        <v>1</v>
      </c>
      <c r="L5592">
        <v>39541</v>
      </c>
      <c r="M5592" t="str">
        <f t="shared" si="873"/>
        <v>13</v>
      </c>
      <c r="N5592" t="s">
        <v>3323</v>
      </c>
      <c r="O5592" t="str">
        <f t="shared" si="874"/>
        <v>73011</v>
      </c>
      <c r="P5592" t="str">
        <f>"1502L"</f>
        <v>1502L</v>
      </c>
      <c r="Q5592" t="str">
        <f t="shared" si="875"/>
        <v>0101</v>
      </c>
      <c r="R5592">
        <v>1502</v>
      </c>
      <c r="S5592" t="str">
        <f t="shared" si="872"/>
        <v>7300</v>
      </c>
      <c r="T5592" t="s">
        <v>3732</v>
      </c>
      <c r="U5592" t="s">
        <v>2853</v>
      </c>
    </row>
    <row r="5593" spans="1:21" ht="15" customHeight="1" x14ac:dyDescent="0.3">
      <c r="A5593" t="s">
        <v>179</v>
      </c>
      <c r="B5593" t="str">
        <f>"00058576"</f>
        <v>00058576</v>
      </c>
      <c r="C5593" t="s">
        <v>4253</v>
      </c>
      <c r="D5593" t="s">
        <v>2889</v>
      </c>
      <c r="E5593" t="str">
        <f>"00045708"</f>
        <v>00045708</v>
      </c>
      <c r="F5593">
        <v>0</v>
      </c>
      <c r="G5593" s="243">
        <v>38951</v>
      </c>
      <c r="H5593" t="s">
        <v>182</v>
      </c>
      <c r="I5593">
        <v>15</v>
      </c>
      <c r="J5593">
        <v>12</v>
      </c>
      <c r="K5593">
        <v>1</v>
      </c>
      <c r="L5593">
        <v>89887</v>
      </c>
      <c r="M5593" t="str">
        <f t="shared" si="873"/>
        <v>13</v>
      </c>
      <c r="N5593" t="s">
        <v>3323</v>
      </c>
      <c r="O5593" t="str">
        <f t="shared" si="874"/>
        <v>73011</v>
      </c>
      <c r="P5593" t="str">
        <f>"2100L"</f>
        <v>2100L</v>
      </c>
      <c r="Q5593" t="str">
        <f t="shared" si="875"/>
        <v>0101</v>
      </c>
      <c r="R5593">
        <v>2100</v>
      </c>
      <c r="S5593" t="str">
        <f t="shared" ref="S5593:S5623" si="877">"7300"</f>
        <v>7300</v>
      </c>
      <c r="T5593" t="s">
        <v>3732</v>
      </c>
      <c r="U5593" t="s">
        <v>2853</v>
      </c>
    </row>
    <row r="5594" spans="1:21" ht="15" customHeight="1" x14ac:dyDescent="0.3">
      <c r="A5594" t="s">
        <v>179</v>
      </c>
      <c r="B5594" t="str">
        <f>"00058594"</f>
        <v>00058594</v>
      </c>
      <c r="C5594" t="s">
        <v>4299</v>
      </c>
      <c r="D5594" t="s">
        <v>5918</v>
      </c>
      <c r="E5594" t="str">
        <f>"00054907"</f>
        <v>00054907</v>
      </c>
      <c r="F5594">
        <v>0</v>
      </c>
      <c r="G5594" s="243">
        <v>37242</v>
      </c>
      <c r="H5594" t="s">
        <v>182</v>
      </c>
      <c r="I5594">
        <v>7</v>
      </c>
      <c r="J5594">
        <v>5</v>
      </c>
      <c r="K5594">
        <v>1</v>
      </c>
      <c r="L5594">
        <v>40406</v>
      </c>
      <c r="M5594" t="str">
        <f t="shared" si="873"/>
        <v>13</v>
      </c>
      <c r="N5594" t="s">
        <v>3323</v>
      </c>
      <c r="O5594" t="str">
        <f t="shared" si="874"/>
        <v>73011</v>
      </c>
      <c r="P5594" t="str">
        <f>"1502L"</f>
        <v>1502L</v>
      </c>
      <c r="Q5594" t="str">
        <f t="shared" si="875"/>
        <v>0101</v>
      </c>
      <c r="R5594">
        <v>1502</v>
      </c>
      <c r="S5594" t="str">
        <f t="shared" si="877"/>
        <v>7300</v>
      </c>
      <c r="T5594" t="s">
        <v>3732</v>
      </c>
      <c r="U5594" t="s">
        <v>2853</v>
      </c>
    </row>
    <row r="5595" spans="1:21" ht="15" customHeight="1" x14ac:dyDescent="0.3">
      <c r="A5595" t="s">
        <v>179</v>
      </c>
      <c r="B5595" t="str">
        <f>"00058992"</f>
        <v>00058992</v>
      </c>
      <c r="C5595" t="s">
        <v>4266</v>
      </c>
      <c r="D5595" t="s">
        <v>2891</v>
      </c>
      <c r="E5595" t="str">
        <f>"00051026"</f>
        <v>00051026</v>
      </c>
      <c r="F5595">
        <v>0</v>
      </c>
      <c r="G5595" s="243">
        <v>37079</v>
      </c>
      <c r="H5595" t="s">
        <v>182</v>
      </c>
      <c r="I5595">
        <v>15</v>
      </c>
      <c r="J5595">
        <v>16</v>
      </c>
      <c r="K5595">
        <v>1</v>
      </c>
      <c r="L5595">
        <v>106540</v>
      </c>
      <c r="M5595" t="str">
        <f t="shared" si="873"/>
        <v>13</v>
      </c>
      <c r="N5595" t="s">
        <v>3323</v>
      </c>
      <c r="O5595" t="str">
        <f t="shared" si="874"/>
        <v>73011</v>
      </c>
      <c r="P5595" t="str">
        <f>"2300L"</f>
        <v>2300L</v>
      </c>
      <c r="Q5595" t="str">
        <f t="shared" si="875"/>
        <v>0101</v>
      </c>
      <c r="R5595">
        <v>2300</v>
      </c>
      <c r="S5595" t="str">
        <f t="shared" si="877"/>
        <v>7300</v>
      </c>
      <c r="T5595" t="s">
        <v>3732</v>
      </c>
      <c r="U5595" t="s">
        <v>2853</v>
      </c>
    </row>
    <row r="5596" spans="1:21" ht="15" customHeight="1" x14ac:dyDescent="0.3">
      <c r="A5596" t="s">
        <v>179</v>
      </c>
      <c r="B5596" t="str">
        <f>"00059029"</f>
        <v>00059029</v>
      </c>
      <c r="C5596" t="s">
        <v>318</v>
      </c>
      <c r="D5596" t="s">
        <v>2892</v>
      </c>
      <c r="E5596" t="str">
        <f>"00044905"</f>
        <v>00044905</v>
      </c>
      <c r="F5596">
        <v>0</v>
      </c>
      <c r="G5596" s="243">
        <v>41133</v>
      </c>
      <c r="H5596" t="s">
        <v>182</v>
      </c>
      <c r="I5596">
        <v>16</v>
      </c>
      <c r="J5596">
        <v>1</v>
      </c>
      <c r="K5596">
        <v>0.5</v>
      </c>
      <c r="L5596">
        <v>24377.599999999999</v>
      </c>
      <c r="M5596" t="str">
        <f t="shared" si="873"/>
        <v>13</v>
      </c>
      <c r="N5596" t="s">
        <v>3323</v>
      </c>
      <c r="O5596" t="str">
        <f t="shared" si="874"/>
        <v>73011</v>
      </c>
      <c r="P5596" t="str">
        <f>"2100L"</f>
        <v>2100L</v>
      </c>
      <c r="Q5596" t="str">
        <f t="shared" si="875"/>
        <v>0101</v>
      </c>
      <c r="R5596">
        <v>2100</v>
      </c>
      <c r="S5596" t="str">
        <f t="shared" si="877"/>
        <v>7300</v>
      </c>
      <c r="T5596" t="s">
        <v>3732</v>
      </c>
      <c r="U5596" t="s">
        <v>2853</v>
      </c>
    </row>
    <row r="5597" spans="1:21" ht="15" customHeight="1" x14ac:dyDescent="0.3">
      <c r="A5597" t="s">
        <v>179</v>
      </c>
      <c r="B5597" t="str">
        <f>"00059031"</f>
        <v>00059031</v>
      </c>
      <c r="C5597" t="s">
        <v>2893</v>
      </c>
      <c r="H5597" t="s">
        <v>170</v>
      </c>
      <c r="I5597">
        <v>16</v>
      </c>
      <c r="J5597">
        <v>0</v>
      </c>
      <c r="K5597">
        <v>0.5</v>
      </c>
      <c r="L5597">
        <v>48755.199999999997</v>
      </c>
      <c r="M5597" t="str">
        <f t="shared" si="873"/>
        <v>13</v>
      </c>
      <c r="N5597" t="s">
        <v>3323</v>
      </c>
      <c r="O5597" t="str">
        <f t="shared" si="874"/>
        <v>73011</v>
      </c>
      <c r="P5597" t="str">
        <f>"2100L"</f>
        <v>2100L</v>
      </c>
      <c r="Q5597" t="str">
        <f t="shared" si="875"/>
        <v>0101</v>
      </c>
      <c r="R5597">
        <v>2100</v>
      </c>
      <c r="S5597" t="str">
        <f t="shared" si="877"/>
        <v>7300</v>
      </c>
      <c r="T5597" t="s">
        <v>3732</v>
      </c>
      <c r="U5597" t="s">
        <v>2853</v>
      </c>
    </row>
    <row r="5598" spans="1:21" ht="15" customHeight="1" x14ac:dyDescent="0.3">
      <c r="A5598" t="s">
        <v>179</v>
      </c>
      <c r="B5598" t="str">
        <f>"00059112"</f>
        <v>00059112</v>
      </c>
      <c r="C5598" t="s">
        <v>4360</v>
      </c>
      <c r="D5598" t="s">
        <v>5919</v>
      </c>
      <c r="E5598" t="str">
        <f>"00049104"</f>
        <v>00049104</v>
      </c>
      <c r="F5598">
        <v>0</v>
      </c>
      <c r="G5598" s="243">
        <v>36843</v>
      </c>
      <c r="H5598" t="s">
        <v>182</v>
      </c>
      <c r="I5598">
        <v>7</v>
      </c>
      <c r="J5598">
        <v>5</v>
      </c>
      <c r="K5598">
        <v>1</v>
      </c>
      <c r="L5598">
        <v>39300</v>
      </c>
      <c r="M5598" t="str">
        <f t="shared" si="873"/>
        <v>13</v>
      </c>
      <c r="N5598" t="s">
        <v>3323</v>
      </c>
      <c r="O5598" t="str">
        <f t="shared" si="874"/>
        <v>73011</v>
      </c>
      <c r="P5598" t="str">
        <f>"1502L"</f>
        <v>1502L</v>
      </c>
      <c r="Q5598" t="str">
        <f t="shared" si="875"/>
        <v>0101</v>
      </c>
      <c r="R5598">
        <v>1502</v>
      </c>
      <c r="S5598" t="str">
        <f t="shared" si="877"/>
        <v>7300</v>
      </c>
      <c r="T5598" t="s">
        <v>3732</v>
      </c>
      <c r="U5598" t="s">
        <v>2853</v>
      </c>
    </row>
    <row r="5599" spans="1:21" ht="15" customHeight="1" x14ac:dyDescent="0.3">
      <c r="A5599" t="s">
        <v>179</v>
      </c>
      <c r="B5599" t="str">
        <f>"00059690"</f>
        <v>00059690</v>
      </c>
      <c r="C5599" t="s">
        <v>4290</v>
      </c>
      <c r="H5599" t="s">
        <v>170</v>
      </c>
      <c r="I5599">
        <v>4</v>
      </c>
      <c r="J5599">
        <v>1</v>
      </c>
      <c r="K5599">
        <v>0.875</v>
      </c>
      <c r="L5599">
        <v>25662</v>
      </c>
      <c r="M5599" t="str">
        <f t="shared" si="873"/>
        <v>13</v>
      </c>
      <c r="N5599" t="s">
        <v>3323</v>
      </c>
      <c r="O5599" t="str">
        <f t="shared" si="874"/>
        <v>73011</v>
      </c>
      <c r="P5599" t="str">
        <f>"3030L"</f>
        <v>3030L</v>
      </c>
      <c r="Q5599" t="str">
        <f t="shared" si="875"/>
        <v>0101</v>
      </c>
      <c r="R5599">
        <v>3030</v>
      </c>
      <c r="S5599" t="str">
        <f t="shared" si="877"/>
        <v>7300</v>
      </c>
      <c r="T5599" t="s">
        <v>3732</v>
      </c>
      <c r="U5599" t="s">
        <v>2853</v>
      </c>
    </row>
    <row r="5600" spans="1:21" ht="15" customHeight="1" x14ac:dyDescent="0.3">
      <c r="A5600" t="s">
        <v>179</v>
      </c>
      <c r="B5600" t="str">
        <f>"00059822"</f>
        <v>00059822</v>
      </c>
      <c r="C5600" t="s">
        <v>4253</v>
      </c>
      <c r="D5600" t="s">
        <v>2894</v>
      </c>
      <c r="E5600" t="str">
        <f>"00046579"</f>
        <v>00046579</v>
      </c>
      <c r="F5600">
        <v>0</v>
      </c>
      <c r="G5600" s="243">
        <v>38226</v>
      </c>
      <c r="H5600" t="s">
        <v>182</v>
      </c>
      <c r="I5600">
        <v>15</v>
      </c>
      <c r="J5600">
        <v>12</v>
      </c>
      <c r="K5600">
        <v>1</v>
      </c>
      <c r="L5600">
        <v>87431</v>
      </c>
      <c r="M5600" t="str">
        <f t="shared" si="873"/>
        <v>13</v>
      </c>
      <c r="N5600" t="s">
        <v>3323</v>
      </c>
      <c r="O5600" t="str">
        <f t="shared" si="874"/>
        <v>73011</v>
      </c>
      <c r="P5600" t="str">
        <f>"2100L"</f>
        <v>2100L</v>
      </c>
      <c r="Q5600" t="str">
        <f t="shared" si="875"/>
        <v>0101</v>
      </c>
      <c r="R5600">
        <v>2100</v>
      </c>
      <c r="S5600" t="str">
        <f t="shared" si="877"/>
        <v>7300</v>
      </c>
      <c r="T5600" t="s">
        <v>3732</v>
      </c>
      <c r="U5600" t="s">
        <v>2853</v>
      </c>
    </row>
    <row r="5601" spans="1:21" ht="15" customHeight="1" x14ac:dyDescent="0.3">
      <c r="A5601" t="s">
        <v>179</v>
      </c>
      <c r="B5601" t="str">
        <f>"00059920"</f>
        <v>00059920</v>
      </c>
      <c r="C5601" t="s">
        <v>4260</v>
      </c>
      <c r="D5601" t="s">
        <v>2895</v>
      </c>
      <c r="E5601" t="str">
        <f>"00045537"</f>
        <v>00045537</v>
      </c>
      <c r="F5601">
        <v>0</v>
      </c>
      <c r="G5601" s="243">
        <v>38628</v>
      </c>
      <c r="H5601" t="s">
        <v>182</v>
      </c>
      <c r="I5601">
        <v>15</v>
      </c>
      <c r="J5601">
        <v>10</v>
      </c>
      <c r="K5601">
        <v>1</v>
      </c>
      <c r="L5601">
        <v>78273</v>
      </c>
      <c r="M5601" t="str">
        <f t="shared" si="873"/>
        <v>13</v>
      </c>
      <c r="N5601" t="s">
        <v>3323</v>
      </c>
      <c r="O5601" t="str">
        <f t="shared" si="874"/>
        <v>73011</v>
      </c>
      <c r="P5601" t="str">
        <f>"3030L"</f>
        <v>3030L</v>
      </c>
      <c r="Q5601" t="str">
        <f t="shared" si="875"/>
        <v>0101</v>
      </c>
      <c r="R5601">
        <v>3030</v>
      </c>
      <c r="S5601" t="str">
        <f t="shared" si="877"/>
        <v>7300</v>
      </c>
      <c r="T5601" t="s">
        <v>3732</v>
      </c>
      <c r="U5601" t="s">
        <v>2853</v>
      </c>
    </row>
    <row r="5602" spans="1:21" ht="15" customHeight="1" x14ac:dyDescent="0.3">
      <c r="A5602" t="s">
        <v>179</v>
      </c>
      <c r="B5602" t="str">
        <f>"00060046"</f>
        <v>00060046</v>
      </c>
      <c r="C5602" t="s">
        <v>200</v>
      </c>
      <c r="D5602" t="s">
        <v>4170</v>
      </c>
      <c r="E5602" t="str">
        <f>"00050309"</f>
        <v>00050309</v>
      </c>
      <c r="F5602">
        <v>0</v>
      </c>
      <c r="G5602" s="243">
        <v>39874</v>
      </c>
      <c r="H5602" t="s">
        <v>182</v>
      </c>
      <c r="I5602">
        <v>15</v>
      </c>
      <c r="J5602">
        <v>0</v>
      </c>
      <c r="K5602">
        <v>1</v>
      </c>
      <c r="L5602">
        <v>76135</v>
      </c>
      <c r="M5602" t="str">
        <f t="shared" si="873"/>
        <v>13</v>
      </c>
      <c r="N5602" t="s">
        <v>3323</v>
      </c>
      <c r="O5602" t="str">
        <f t="shared" si="874"/>
        <v>73011</v>
      </c>
      <c r="P5602" t="str">
        <f>"2100L"</f>
        <v>2100L</v>
      </c>
      <c r="Q5602" t="str">
        <f t="shared" si="875"/>
        <v>0101</v>
      </c>
      <c r="R5602">
        <v>2100</v>
      </c>
      <c r="S5602" t="str">
        <f t="shared" si="877"/>
        <v>7300</v>
      </c>
      <c r="T5602" t="s">
        <v>3732</v>
      </c>
      <c r="U5602" t="s">
        <v>2853</v>
      </c>
    </row>
    <row r="5603" spans="1:21" ht="15" customHeight="1" x14ac:dyDescent="0.3">
      <c r="A5603" t="s">
        <v>179</v>
      </c>
      <c r="B5603" t="str">
        <f>"00060072"</f>
        <v>00060072</v>
      </c>
      <c r="C5603" t="s">
        <v>4253</v>
      </c>
      <c r="D5603" t="s">
        <v>2896</v>
      </c>
      <c r="E5603" t="str">
        <f>"00046450"</f>
        <v>00046450</v>
      </c>
      <c r="F5603">
        <v>0</v>
      </c>
      <c r="G5603" s="243">
        <v>38287</v>
      </c>
      <c r="H5603" t="s">
        <v>182</v>
      </c>
      <c r="I5603">
        <v>15</v>
      </c>
      <c r="J5603">
        <v>12</v>
      </c>
      <c r="K5603">
        <v>1</v>
      </c>
      <c r="L5603">
        <v>89887</v>
      </c>
      <c r="M5603" t="str">
        <f t="shared" si="873"/>
        <v>13</v>
      </c>
      <c r="N5603" t="s">
        <v>3323</v>
      </c>
      <c r="O5603" t="str">
        <f t="shared" si="874"/>
        <v>73011</v>
      </c>
      <c r="P5603" t="str">
        <f>"2100L"</f>
        <v>2100L</v>
      </c>
      <c r="Q5603" t="str">
        <f t="shared" si="875"/>
        <v>0101</v>
      </c>
      <c r="R5603">
        <v>2100</v>
      </c>
      <c r="S5603" t="str">
        <f t="shared" si="877"/>
        <v>7300</v>
      </c>
      <c r="T5603" t="s">
        <v>3732</v>
      </c>
      <c r="U5603" t="s">
        <v>2853</v>
      </c>
    </row>
    <row r="5604" spans="1:21" ht="15" customHeight="1" x14ac:dyDescent="0.3">
      <c r="A5604" t="s">
        <v>179</v>
      </c>
      <c r="B5604" t="str">
        <f>"00060162"</f>
        <v>00060162</v>
      </c>
      <c r="C5604" t="s">
        <v>4257</v>
      </c>
      <c r="D5604" t="s">
        <v>2897</v>
      </c>
      <c r="E5604" t="str">
        <f>"00046242"</f>
        <v>00046242</v>
      </c>
      <c r="F5604">
        <v>0</v>
      </c>
      <c r="G5604" s="243">
        <v>38397</v>
      </c>
      <c r="H5604" t="s">
        <v>182</v>
      </c>
      <c r="I5604">
        <v>15</v>
      </c>
      <c r="J5604">
        <v>13</v>
      </c>
      <c r="K5604">
        <v>1</v>
      </c>
      <c r="L5604">
        <v>86613</v>
      </c>
      <c r="M5604" t="str">
        <f t="shared" si="873"/>
        <v>13</v>
      </c>
      <c r="N5604" t="s">
        <v>3323</v>
      </c>
      <c r="O5604" t="str">
        <f t="shared" si="874"/>
        <v>73011</v>
      </c>
      <c r="P5604" t="str">
        <f>"2100L"</f>
        <v>2100L</v>
      </c>
      <c r="Q5604" t="str">
        <f t="shared" si="875"/>
        <v>0101</v>
      </c>
      <c r="R5604">
        <v>2100</v>
      </c>
      <c r="S5604" t="str">
        <f t="shared" si="877"/>
        <v>7300</v>
      </c>
      <c r="T5604" t="s">
        <v>3732</v>
      </c>
      <c r="U5604" t="s">
        <v>2853</v>
      </c>
    </row>
    <row r="5605" spans="1:21" ht="15" customHeight="1" x14ac:dyDescent="0.3">
      <c r="A5605" t="s">
        <v>179</v>
      </c>
      <c r="B5605" t="str">
        <f>"00060322"</f>
        <v>00060322</v>
      </c>
      <c r="C5605" t="s">
        <v>4260</v>
      </c>
      <c r="D5605" t="s">
        <v>2898</v>
      </c>
      <c r="E5605" t="str">
        <f>"00047570"</f>
        <v>00047570</v>
      </c>
      <c r="F5605">
        <v>0</v>
      </c>
      <c r="G5605" s="243">
        <v>38593</v>
      </c>
      <c r="H5605" t="s">
        <v>182</v>
      </c>
      <c r="I5605">
        <v>15</v>
      </c>
      <c r="J5605">
        <v>12</v>
      </c>
      <c r="K5605">
        <v>1</v>
      </c>
      <c r="L5605">
        <v>87431</v>
      </c>
      <c r="M5605" t="str">
        <f t="shared" si="873"/>
        <v>13</v>
      </c>
      <c r="N5605" t="s">
        <v>3323</v>
      </c>
      <c r="O5605" t="str">
        <f t="shared" si="874"/>
        <v>73011</v>
      </c>
      <c r="P5605" t="str">
        <f t="shared" ref="P5605:P5611" si="878">"2100L"</f>
        <v>2100L</v>
      </c>
      <c r="Q5605" t="str">
        <f t="shared" si="875"/>
        <v>0101</v>
      </c>
      <c r="R5605">
        <v>2100</v>
      </c>
      <c r="S5605" t="str">
        <f t="shared" si="877"/>
        <v>7300</v>
      </c>
      <c r="T5605" t="s">
        <v>3732</v>
      </c>
      <c r="U5605" t="s">
        <v>2853</v>
      </c>
    </row>
    <row r="5606" spans="1:21" ht="15" customHeight="1" x14ac:dyDescent="0.3">
      <c r="A5606" t="s">
        <v>179</v>
      </c>
      <c r="B5606" t="str">
        <f>"00060358"</f>
        <v>00060358</v>
      </c>
      <c r="C5606" t="s">
        <v>4260</v>
      </c>
      <c r="D5606" t="s">
        <v>4186</v>
      </c>
      <c r="E5606" t="str">
        <f>"00047168"</f>
        <v>00047168</v>
      </c>
      <c r="F5606">
        <v>0</v>
      </c>
      <c r="G5606" s="243">
        <v>38587</v>
      </c>
      <c r="H5606" t="s">
        <v>182</v>
      </c>
      <c r="I5606">
        <v>15</v>
      </c>
      <c r="J5606">
        <v>7</v>
      </c>
      <c r="K5606">
        <v>1</v>
      </c>
      <c r="L5606">
        <v>71581</v>
      </c>
      <c r="M5606" t="str">
        <f t="shared" si="873"/>
        <v>13</v>
      </c>
      <c r="N5606" t="s">
        <v>3323</v>
      </c>
      <c r="O5606" t="str">
        <f t="shared" si="874"/>
        <v>73011</v>
      </c>
      <c r="P5606" t="str">
        <f t="shared" si="878"/>
        <v>2100L</v>
      </c>
      <c r="Q5606" t="str">
        <f t="shared" si="875"/>
        <v>0101</v>
      </c>
      <c r="R5606">
        <v>2100</v>
      </c>
      <c r="S5606" t="str">
        <f t="shared" si="877"/>
        <v>7300</v>
      </c>
      <c r="T5606" t="s">
        <v>3732</v>
      </c>
      <c r="U5606" t="s">
        <v>2853</v>
      </c>
    </row>
    <row r="5607" spans="1:21" ht="15" customHeight="1" x14ac:dyDescent="0.3">
      <c r="A5607" t="s">
        <v>179</v>
      </c>
      <c r="B5607" t="str">
        <f>"00060420"</f>
        <v>00060420</v>
      </c>
      <c r="C5607" t="s">
        <v>4253</v>
      </c>
      <c r="D5607" t="s">
        <v>2899</v>
      </c>
      <c r="E5607" t="str">
        <f>"00045120"</f>
        <v>00045120</v>
      </c>
      <c r="F5607">
        <v>0</v>
      </c>
      <c r="G5607" s="243">
        <v>38609</v>
      </c>
      <c r="H5607" t="s">
        <v>182</v>
      </c>
      <c r="I5607">
        <v>15</v>
      </c>
      <c r="J5607">
        <v>14</v>
      </c>
      <c r="K5607">
        <v>1</v>
      </c>
      <c r="L5607">
        <v>102160</v>
      </c>
      <c r="M5607" t="str">
        <f t="shared" si="873"/>
        <v>13</v>
      </c>
      <c r="N5607" t="s">
        <v>3323</v>
      </c>
      <c r="O5607" t="str">
        <f t="shared" si="874"/>
        <v>73011</v>
      </c>
      <c r="P5607" t="str">
        <f t="shared" si="878"/>
        <v>2100L</v>
      </c>
      <c r="Q5607" t="str">
        <f t="shared" si="875"/>
        <v>0101</v>
      </c>
      <c r="R5607">
        <v>2100</v>
      </c>
      <c r="S5607" t="str">
        <f t="shared" si="877"/>
        <v>7300</v>
      </c>
      <c r="T5607" t="s">
        <v>3732</v>
      </c>
      <c r="U5607" t="s">
        <v>2853</v>
      </c>
    </row>
    <row r="5608" spans="1:21" ht="15" customHeight="1" x14ac:dyDescent="0.3">
      <c r="A5608" t="s">
        <v>179</v>
      </c>
      <c r="B5608" t="str">
        <f>"00060443"</f>
        <v>00060443</v>
      </c>
      <c r="C5608" t="s">
        <v>4253</v>
      </c>
      <c r="D5608" t="s">
        <v>2900</v>
      </c>
      <c r="E5608" t="str">
        <f>"00047714"</f>
        <v>00047714</v>
      </c>
      <c r="F5608">
        <v>0</v>
      </c>
      <c r="G5608" s="243">
        <v>38628</v>
      </c>
      <c r="H5608" t="s">
        <v>182</v>
      </c>
      <c r="I5608">
        <v>15</v>
      </c>
      <c r="J5608">
        <v>9</v>
      </c>
      <c r="K5608">
        <v>1</v>
      </c>
      <c r="L5608">
        <v>77687</v>
      </c>
      <c r="M5608" t="str">
        <f t="shared" si="873"/>
        <v>13</v>
      </c>
      <c r="N5608" t="s">
        <v>3323</v>
      </c>
      <c r="O5608" t="str">
        <f t="shared" si="874"/>
        <v>73011</v>
      </c>
      <c r="P5608" t="str">
        <f t="shared" si="878"/>
        <v>2100L</v>
      </c>
      <c r="Q5608" t="str">
        <f t="shared" si="875"/>
        <v>0101</v>
      </c>
      <c r="R5608">
        <v>2100</v>
      </c>
      <c r="S5608" t="str">
        <f t="shared" si="877"/>
        <v>7300</v>
      </c>
      <c r="T5608" t="s">
        <v>3732</v>
      </c>
      <c r="U5608" t="s">
        <v>2853</v>
      </c>
    </row>
    <row r="5609" spans="1:21" ht="15" customHeight="1" x14ac:dyDescent="0.3">
      <c r="A5609" t="s">
        <v>179</v>
      </c>
      <c r="B5609" t="str">
        <f>"00060461"</f>
        <v>00060461</v>
      </c>
      <c r="C5609" t="s">
        <v>4253</v>
      </c>
      <c r="D5609" t="s">
        <v>4191</v>
      </c>
      <c r="E5609" t="str">
        <f>"00064107"</f>
        <v>00064107</v>
      </c>
      <c r="F5609">
        <v>0</v>
      </c>
      <c r="G5609" s="243">
        <v>40490</v>
      </c>
      <c r="H5609" t="s">
        <v>182</v>
      </c>
      <c r="I5609">
        <v>15</v>
      </c>
      <c r="J5609">
        <v>10</v>
      </c>
      <c r="K5609">
        <v>1</v>
      </c>
      <c r="L5609">
        <v>78273</v>
      </c>
      <c r="M5609" t="str">
        <f t="shared" si="873"/>
        <v>13</v>
      </c>
      <c r="N5609" t="s">
        <v>3323</v>
      </c>
      <c r="O5609" t="str">
        <f t="shared" ref="O5609:O5640" si="879">"73011"</f>
        <v>73011</v>
      </c>
      <c r="P5609" t="str">
        <f t="shared" si="878"/>
        <v>2100L</v>
      </c>
      <c r="Q5609" t="str">
        <f t="shared" ref="Q5609:Q5640" si="880">"0101"</f>
        <v>0101</v>
      </c>
      <c r="R5609">
        <v>2100</v>
      </c>
      <c r="S5609" t="str">
        <f t="shared" si="877"/>
        <v>7300</v>
      </c>
      <c r="T5609" t="s">
        <v>3732</v>
      </c>
      <c r="U5609" t="s">
        <v>2853</v>
      </c>
    </row>
    <row r="5610" spans="1:21" ht="15" customHeight="1" x14ac:dyDescent="0.3">
      <c r="A5610" t="s">
        <v>179</v>
      </c>
      <c r="B5610" t="str">
        <f>"00060487"</f>
        <v>00060487</v>
      </c>
      <c r="C5610" t="s">
        <v>4256</v>
      </c>
      <c r="D5610" t="s">
        <v>2901</v>
      </c>
      <c r="E5610" t="str">
        <f>"00054456"</f>
        <v>00054456</v>
      </c>
      <c r="F5610">
        <v>0</v>
      </c>
      <c r="G5610" s="243">
        <v>33112</v>
      </c>
      <c r="H5610" t="s">
        <v>182</v>
      </c>
      <c r="I5610">
        <v>15</v>
      </c>
      <c r="J5610">
        <v>15</v>
      </c>
      <c r="K5610">
        <v>1</v>
      </c>
      <c r="L5610">
        <v>98285</v>
      </c>
      <c r="M5610" t="str">
        <f t="shared" si="873"/>
        <v>13</v>
      </c>
      <c r="N5610" t="s">
        <v>3323</v>
      </c>
      <c r="O5610" t="str">
        <f t="shared" si="879"/>
        <v>73011</v>
      </c>
      <c r="P5610" t="str">
        <f t="shared" si="878"/>
        <v>2100L</v>
      </c>
      <c r="Q5610" t="str">
        <f t="shared" si="880"/>
        <v>0101</v>
      </c>
      <c r="R5610">
        <v>2100</v>
      </c>
      <c r="S5610" t="str">
        <f t="shared" si="877"/>
        <v>7300</v>
      </c>
      <c r="T5610" t="s">
        <v>3732</v>
      </c>
      <c r="U5610" t="s">
        <v>2853</v>
      </c>
    </row>
    <row r="5611" spans="1:21" ht="15" customHeight="1" x14ac:dyDescent="0.3">
      <c r="A5611" t="s">
        <v>179</v>
      </c>
      <c r="B5611" t="str">
        <f>"00060574"</f>
        <v>00060574</v>
      </c>
      <c r="C5611" t="s">
        <v>4253</v>
      </c>
      <c r="D5611" t="s">
        <v>2902</v>
      </c>
      <c r="E5611" t="str">
        <f>"00048673"</f>
        <v>00048673</v>
      </c>
      <c r="F5611">
        <v>0</v>
      </c>
      <c r="G5611" s="243">
        <v>38796</v>
      </c>
      <c r="H5611" t="s">
        <v>182</v>
      </c>
      <c r="I5611">
        <v>15</v>
      </c>
      <c r="J5611">
        <v>14</v>
      </c>
      <c r="K5611">
        <v>1</v>
      </c>
      <c r="L5611">
        <v>96460</v>
      </c>
      <c r="M5611" t="str">
        <f t="shared" si="873"/>
        <v>13</v>
      </c>
      <c r="N5611" t="s">
        <v>3323</v>
      </c>
      <c r="O5611" t="str">
        <f t="shared" si="879"/>
        <v>73011</v>
      </c>
      <c r="P5611" t="str">
        <f t="shared" si="878"/>
        <v>2100L</v>
      </c>
      <c r="Q5611" t="str">
        <f t="shared" si="880"/>
        <v>0101</v>
      </c>
      <c r="R5611">
        <v>2100</v>
      </c>
      <c r="S5611" t="str">
        <f t="shared" si="877"/>
        <v>7300</v>
      </c>
      <c r="T5611" t="s">
        <v>3732</v>
      </c>
      <c r="U5611" t="s">
        <v>2853</v>
      </c>
    </row>
    <row r="5612" spans="1:21" ht="15" customHeight="1" x14ac:dyDescent="0.3">
      <c r="A5612" t="s">
        <v>179</v>
      </c>
      <c r="B5612" t="str">
        <f>"00060607"</f>
        <v>00060607</v>
      </c>
      <c r="C5612" t="s">
        <v>5920</v>
      </c>
      <c r="H5612" t="s">
        <v>170</v>
      </c>
      <c r="I5612">
        <v>4</v>
      </c>
      <c r="J5612">
        <v>1</v>
      </c>
      <c r="K5612">
        <v>0.875</v>
      </c>
      <c r="L5612">
        <v>25662</v>
      </c>
      <c r="M5612" t="str">
        <f t="shared" si="873"/>
        <v>13</v>
      </c>
      <c r="N5612" t="s">
        <v>3323</v>
      </c>
      <c r="O5612" t="str">
        <f t="shared" si="879"/>
        <v>73011</v>
      </c>
      <c r="P5612" t="str">
        <f>"3030L"</f>
        <v>3030L</v>
      </c>
      <c r="Q5612" t="str">
        <f t="shared" si="880"/>
        <v>0101</v>
      </c>
      <c r="R5612">
        <v>3030</v>
      </c>
      <c r="S5612" t="str">
        <f t="shared" si="877"/>
        <v>7300</v>
      </c>
      <c r="T5612" t="s">
        <v>3732</v>
      </c>
      <c r="U5612" t="s">
        <v>2853</v>
      </c>
    </row>
    <row r="5613" spans="1:21" ht="15" customHeight="1" x14ac:dyDescent="0.3">
      <c r="A5613" t="s">
        <v>179</v>
      </c>
      <c r="B5613" t="str">
        <f>"00060752"</f>
        <v>00060752</v>
      </c>
      <c r="C5613" t="s">
        <v>4266</v>
      </c>
      <c r="H5613" t="s">
        <v>170</v>
      </c>
      <c r="I5613">
        <v>15</v>
      </c>
      <c r="J5613">
        <v>1</v>
      </c>
      <c r="K5613">
        <v>1</v>
      </c>
      <c r="L5613">
        <v>54975</v>
      </c>
      <c r="M5613" t="str">
        <f t="shared" si="873"/>
        <v>13</v>
      </c>
      <c r="N5613" t="s">
        <v>3323</v>
      </c>
      <c r="O5613" t="str">
        <f t="shared" si="879"/>
        <v>73011</v>
      </c>
      <c r="P5613" t="str">
        <f>"2300L"</f>
        <v>2300L</v>
      </c>
      <c r="Q5613" t="str">
        <f t="shared" si="880"/>
        <v>0101</v>
      </c>
      <c r="R5613">
        <v>2300</v>
      </c>
      <c r="S5613" t="str">
        <f t="shared" si="877"/>
        <v>7300</v>
      </c>
      <c r="T5613" t="s">
        <v>3732</v>
      </c>
      <c r="U5613" t="s">
        <v>2853</v>
      </c>
    </row>
    <row r="5614" spans="1:21" ht="15" customHeight="1" x14ac:dyDescent="0.3">
      <c r="A5614" t="s">
        <v>179</v>
      </c>
      <c r="B5614" t="str">
        <f>"00061057"</f>
        <v>00061057</v>
      </c>
      <c r="C5614" t="s">
        <v>4263</v>
      </c>
      <c r="D5614" t="s">
        <v>2903</v>
      </c>
      <c r="E5614" t="str">
        <f>"00046328"</f>
        <v>00046328</v>
      </c>
      <c r="F5614">
        <v>0</v>
      </c>
      <c r="G5614" s="243">
        <v>39314</v>
      </c>
      <c r="H5614" t="s">
        <v>182</v>
      </c>
      <c r="I5614">
        <v>15</v>
      </c>
      <c r="J5614">
        <v>9</v>
      </c>
      <c r="K5614">
        <v>1</v>
      </c>
      <c r="L5614">
        <v>75232</v>
      </c>
      <c r="M5614" t="str">
        <f t="shared" si="873"/>
        <v>13</v>
      </c>
      <c r="N5614" t="s">
        <v>3323</v>
      </c>
      <c r="O5614" t="str">
        <f t="shared" si="879"/>
        <v>73011</v>
      </c>
      <c r="P5614" t="str">
        <f>"2100L"</f>
        <v>2100L</v>
      </c>
      <c r="Q5614" t="str">
        <f t="shared" si="880"/>
        <v>0101</v>
      </c>
      <c r="R5614">
        <v>2100</v>
      </c>
      <c r="S5614" t="str">
        <f t="shared" si="877"/>
        <v>7300</v>
      </c>
      <c r="T5614" t="s">
        <v>3732</v>
      </c>
      <c r="U5614" t="s">
        <v>2853</v>
      </c>
    </row>
    <row r="5615" spans="1:21" ht="15" customHeight="1" x14ac:dyDescent="0.3">
      <c r="A5615" t="s">
        <v>179</v>
      </c>
      <c r="B5615" t="str">
        <f>"00061066"</f>
        <v>00061066</v>
      </c>
      <c r="C5615" t="s">
        <v>4253</v>
      </c>
      <c r="D5615" t="s">
        <v>2904</v>
      </c>
      <c r="E5615" t="str">
        <f>"00045056"</f>
        <v>00045056</v>
      </c>
      <c r="F5615">
        <v>0</v>
      </c>
      <c r="G5615" s="243">
        <v>39315</v>
      </c>
      <c r="H5615" t="s">
        <v>182</v>
      </c>
      <c r="I5615">
        <v>15</v>
      </c>
      <c r="J5615">
        <v>13</v>
      </c>
      <c r="K5615">
        <v>1</v>
      </c>
      <c r="L5615">
        <v>86613</v>
      </c>
      <c r="M5615" t="str">
        <f t="shared" si="873"/>
        <v>13</v>
      </c>
      <c r="N5615" t="s">
        <v>3323</v>
      </c>
      <c r="O5615" t="str">
        <f t="shared" si="879"/>
        <v>73011</v>
      </c>
      <c r="P5615" t="str">
        <f>"2100L"</f>
        <v>2100L</v>
      </c>
      <c r="Q5615" t="str">
        <f t="shared" si="880"/>
        <v>0101</v>
      </c>
      <c r="R5615">
        <v>2100</v>
      </c>
      <c r="S5615" t="str">
        <f t="shared" si="877"/>
        <v>7300</v>
      </c>
      <c r="T5615" t="s">
        <v>3732</v>
      </c>
      <c r="U5615" t="s">
        <v>2853</v>
      </c>
    </row>
    <row r="5616" spans="1:21" ht="15" customHeight="1" x14ac:dyDescent="0.3">
      <c r="A5616" t="s">
        <v>179</v>
      </c>
      <c r="B5616" t="str">
        <f>"00061080"</f>
        <v>00061080</v>
      </c>
      <c r="C5616" t="s">
        <v>4253</v>
      </c>
      <c r="D5616" t="s">
        <v>806</v>
      </c>
      <c r="E5616" t="str">
        <f>"00057238"</f>
        <v>00057238</v>
      </c>
      <c r="F5616">
        <v>0</v>
      </c>
      <c r="G5616" s="243">
        <v>40042</v>
      </c>
      <c r="H5616" t="s">
        <v>182</v>
      </c>
      <c r="I5616">
        <v>15</v>
      </c>
      <c r="J5616">
        <v>6</v>
      </c>
      <c r="K5616">
        <v>1</v>
      </c>
      <c r="L5616">
        <v>66078</v>
      </c>
      <c r="M5616" t="str">
        <f t="shared" si="873"/>
        <v>13</v>
      </c>
      <c r="N5616" t="s">
        <v>3370</v>
      </c>
      <c r="O5616" t="str">
        <f t="shared" si="879"/>
        <v>73011</v>
      </c>
      <c r="P5616" t="str">
        <f>"2100L"</f>
        <v>2100L</v>
      </c>
      <c r="Q5616" t="str">
        <f t="shared" si="880"/>
        <v>0101</v>
      </c>
      <c r="R5616">
        <v>2100</v>
      </c>
      <c r="S5616" t="str">
        <f t="shared" si="877"/>
        <v>7300</v>
      </c>
      <c r="T5616" t="s">
        <v>3732</v>
      </c>
      <c r="U5616" t="s">
        <v>2853</v>
      </c>
    </row>
    <row r="5617" spans="1:21" ht="15" customHeight="1" x14ac:dyDescent="0.3">
      <c r="A5617" t="s">
        <v>179</v>
      </c>
      <c r="B5617" t="str">
        <f>"00061325"</f>
        <v>00061325</v>
      </c>
      <c r="C5617" t="s">
        <v>4253</v>
      </c>
      <c r="D5617" t="s">
        <v>2905</v>
      </c>
      <c r="E5617" t="str">
        <f>"00055158"</f>
        <v>00055158</v>
      </c>
      <c r="F5617">
        <v>0</v>
      </c>
      <c r="G5617" s="243">
        <v>39314</v>
      </c>
      <c r="H5617" t="s">
        <v>182</v>
      </c>
      <c r="I5617">
        <v>15</v>
      </c>
      <c r="J5617">
        <v>6</v>
      </c>
      <c r="K5617">
        <v>1</v>
      </c>
      <c r="L5617">
        <v>70997</v>
      </c>
      <c r="M5617" t="str">
        <f t="shared" si="873"/>
        <v>13</v>
      </c>
      <c r="N5617" t="s">
        <v>3323</v>
      </c>
      <c r="O5617" t="str">
        <f t="shared" si="879"/>
        <v>73011</v>
      </c>
      <c r="P5617" t="str">
        <f>"2100L"</f>
        <v>2100L</v>
      </c>
      <c r="Q5617" t="str">
        <f t="shared" si="880"/>
        <v>0101</v>
      </c>
      <c r="R5617">
        <v>2100</v>
      </c>
      <c r="S5617" t="str">
        <f t="shared" si="877"/>
        <v>7300</v>
      </c>
      <c r="T5617" t="s">
        <v>3732</v>
      </c>
      <c r="U5617" t="s">
        <v>2853</v>
      </c>
    </row>
    <row r="5618" spans="1:21" ht="15" customHeight="1" x14ac:dyDescent="0.3">
      <c r="A5618" t="s">
        <v>179</v>
      </c>
      <c r="B5618" t="str">
        <f>"00061654"</f>
        <v>00061654</v>
      </c>
      <c r="C5618" t="s">
        <v>4614</v>
      </c>
      <c r="D5618" t="s">
        <v>2906</v>
      </c>
      <c r="E5618" t="str">
        <f>"00058729"</f>
        <v>00058729</v>
      </c>
      <c r="F5618">
        <v>0</v>
      </c>
      <c r="G5618" s="243">
        <v>40099</v>
      </c>
      <c r="H5618" t="s">
        <v>182</v>
      </c>
      <c r="I5618">
        <v>7</v>
      </c>
      <c r="J5618">
        <v>2</v>
      </c>
      <c r="K5618">
        <v>1</v>
      </c>
      <c r="L5618">
        <v>35977</v>
      </c>
      <c r="M5618" t="str">
        <f t="shared" si="873"/>
        <v>13</v>
      </c>
      <c r="N5618" t="s">
        <v>3323</v>
      </c>
      <c r="O5618" t="str">
        <f t="shared" si="879"/>
        <v>73011</v>
      </c>
      <c r="P5618" t="str">
        <f>"1502L"</f>
        <v>1502L</v>
      </c>
      <c r="Q5618" t="str">
        <f t="shared" si="880"/>
        <v>0101</v>
      </c>
      <c r="R5618">
        <v>1502</v>
      </c>
      <c r="S5618" t="str">
        <f t="shared" si="877"/>
        <v>7300</v>
      </c>
      <c r="T5618" t="s">
        <v>3732</v>
      </c>
      <c r="U5618" t="s">
        <v>2853</v>
      </c>
    </row>
    <row r="5619" spans="1:21" ht="15" customHeight="1" x14ac:dyDescent="0.3">
      <c r="A5619" t="s">
        <v>179</v>
      </c>
      <c r="B5619" t="str">
        <f>"00061748"</f>
        <v>00061748</v>
      </c>
      <c r="C5619" t="s">
        <v>4260</v>
      </c>
      <c r="D5619" t="s">
        <v>2907</v>
      </c>
      <c r="E5619" t="str">
        <f>"00055184"</f>
        <v>00055184</v>
      </c>
      <c r="F5619">
        <v>0</v>
      </c>
      <c r="G5619" s="243">
        <v>39503</v>
      </c>
      <c r="H5619" t="s">
        <v>182</v>
      </c>
      <c r="I5619">
        <v>15</v>
      </c>
      <c r="J5619">
        <v>5</v>
      </c>
      <c r="K5619">
        <v>1</v>
      </c>
      <c r="L5619">
        <v>63611</v>
      </c>
      <c r="M5619" t="str">
        <f t="shared" si="873"/>
        <v>13</v>
      </c>
      <c r="N5619" t="s">
        <v>3323</v>
      </c>
      <c r="O5619" t="str">
        <f t="shared" si="879"/>
        <v>73011</v>
      </c>
      <c r="P5619" t="str">
        <f>"3030L"</f>
        <v>3030L</v>
      </c>
      <c r="Q5619" t="str">
        <f t="shared" si="880"/>
        <v>0101</v>
      </c>
      <c r="R5619">
        <v>3030</v>
      </c>
      <c r="S5619" t="str">
        <f t="shared" si="877"/>
        <v>7300</v>
      </c>
      <c r="T5619" t="s">
        <v>3732</v>
      </c>
      <c r="U5619" t="s">
        <v>2853</v>
      </c>
    </row>
    <row r="5620" spans="1:21" ht="15" customHeight="1" x14ac:dyDescent="0.3">
      <c r="A5620" t="s">
        <v>179</v>
      </c>
      <c r="B5620" t="str">
        <f>"00061808"</f>
        <v>00061808</v>
      </c>
      <c r="C5620" t="s">
        <v>4260</v>
      </c>
      <c r="D5620" t="s">
        <v>2167</v>
      </c>
      <c r="E5620" t="str">
        <f>"00053829"</f>
        <v>00053829</v>
      </c>
      <c r="F5620">
        <v>0</v>
      </c>
      <c r="G5620" s="243">
        <v>37911</v>
      </c>
      <c r="H5620" t="s">
        <v>182</v>
      </c>
      <c r="I5620">
        <v>15</v>
      </c>
      <c r="J5620">
        <v>14</v>
      </c>
      <c r="K5620">
        <v>1</v>
      </c>
      <c r="L5620">
        <v>96460</v>
      </c>
      <c r="M5620" t="str">
        <f t="shared" si="873"/>
        <v>13</v>
      </c>
      <c r="N5620" t="s">
        <v>3323</v>
      </c>
      <c r="O5620" t="str">
        <f t="shared" si="879"/>
        <v>73011</v>
      </c>
      <c r="P5620" t="str">
        <f>"2100L"</f>
        <v>2100L</v>
      </c>
      <c r="Q5620" t="str">
        <f t="shared" si="880"/>
        <v>0101</v>
      </c>
      <c r="R5620">
        <v>2100</v>
      </c>
      <c r="S5620" t="str">
        <f t="shared" si="877"/>
        <v>7300</v>
      </c>
      <c r="T5620" t="s">
        <v>3732</v>
      </c>
      <c r="U5620" t="s">
        <v>2853</v>
      </c>
    </row>
    <row r="5621" spans="1:21" ht="15" customHeight="1" x14ac:dyDescent="0.3">
      <c r="A5621" t="s">
        <v>179</v>
      </c>
      <c r="B5621" t="str">
        <f>"00061827"</f>
        <v>00061827</v>
      </c>
      <c r="C5621" t="s">
        <v>3798</v>
      </c>
      <c r="D5621" t="s">
        <v>2908</v>
      </c>
      <c r="E5621" t="str">
        <f>"00045549"</f>
        <v>00045549</v>
      </c>
      <c r="F5621">
        <v>0</v>
      </c>
      <c r="G5621" s="243">
        <v>39622</v>
      </c>
      <c r="H5621" t="s">
        <v>182</v>
      </c>
      <c r="I5621">
        <v>66</v>
      </c>
      <c r="J5621">
        <v>9</v>
      </c>
      <c r="K5621">
        <v>1</v>
      </c>
      <c r="L5621">
        <v>149000</v>
      </c>
      <c r="M5621" t="str">
        <f t="shared" si="873"/>
        <v>13</v>
      </c>
      <c r="N5621" t="s">
        <v>3323</v>
      </c>
      <c r="O5621" t="str">
        <f t="shared" si="879"/>
        <v>73011</v>
      </c>
      <c r="P5621" t="str">
        <f>"1501L"</f>
        <v>1501L</v>
      </c>
      <c r="Q5621" t="str">
        <f t="shared" si="880"/>
        <v>0101</v>
      </c>
      <c r="R5621">
        <v>1501</v>
      </c>
      <c r="S5621" t="str">
        <f t="shared" si="877"/>
        <v>7300</v>
      </c>
      <c r="T5621" t="s">
        <v>3732</v>
      </c>
      <c r="U5621" t="s">
        <v>2853</v>
      </c>
    </row>
    <row r="5622" spans="1:21" ht="15" customHeight="1" x14ac:dyDescent="0.3">
      <c r="A5622" t="s">
        <v>179</v>
      </c>
      <c r="B5622" t="str">
        <f>"00061829"</f>
        <v>00061829</v>
      </c>
      <c r="C5622" t="s">
        <v>3670</v>
      </c>
      <c r="D5622" t="s">
        <v>2909</v>
      </c>
      <c r="E5622" t="str">
        <f>"00047932"</f>
        <v>00047932</v>
      </c>
      <c r="F5622">
        <v>0</v>
      </c>
      <c r="G5622" s="243">
        <v>39630</v>
      </c>
      <c r="H5622" t="s">
        <v>182</v>
      </c>
      <c r="I5622">
        <v>8</v>
      </c>
      <c r="J5622">
        <v>6</v>
      </c>
      <c r="K5622">
        <v>1</v>
      </c>
      <c r="L5622">
        <v>98078</v>
      </c>
      <c r="M5622" t="str">
        <f t="shared" si="873"/>
        <v>13</v>
      </c>
      <c r="N5622" t="s">
        <v>3323</v>
      </c>
      <c r="O5622" t="str">
        <f t="shared" si="879"/>
        <v>73011</v>
      </c>
      <c r="P5622" t="str">
        <f>"1501L"</f>
        <v>1501L</v>
      </c>
      <c r="Q5622" t="str">
        <f t="shared" si="880"/>
        <v>0101</v>
      </c>
      <c r="R5622">
        <v>1501</v>
      </c>
      <c r="S5622" t="str">
        <f t="shared" si="877"/>
        <v>7300</v>
      </c>
      <c r="T5622" t="s">
        <v>3732</v>
      </c>
      <c r="U5622" t="s">
        <v>2853</v>
      </c>
    </row>
    <row r="5623" spans="1:21" ht="15" customHeight="1" x14ac:dyDescent="0.3">
      <c r="A5623" t="s">
        <v>179</v>
      </c>
      <c r="B5623" t="str">
        <f>"00061854"</f>
        <v>00061854</v>
      </c>
      <c r="C5623" t="s">
        <v>3670</v>
      </c>
      <c r="D5623" t="s">
        <v>2910</v>
      </c>
      <c r="E5623" t="str">
        <f>"00052503"</f>
        <v>00052503</v>
      </c>
      <c r="F5623">
        <v>0</v>
      </c>
      <c r="G5623" s="243">
        <v>39636</v>
      </c>
      <c r="H5623" t="s">
        <v>182</v>
      </c>
      <c r="I5623">
        <v>8</v>
      </c>
      <c r="J5623">
        <v>6</v>
      </c>
      <c r="K5623">
        <v>1</v>
      </c>
      <c r="L5623">
        <v>98078</v>
      </c>
      <c r="M5623" t="str">
        <f t="shared" si="873"/>
        <v>13</v>
      </c>
      <c r="N5623" t="s">
        <v>3323</v>
      </c>
      <c r="O5623" t="str">
        <f t="shared" si="879"/>
        <v>73011</v>
      </c>
      <c r="P5623" t="str">
        <f>"1501L"</f>
        <v>1501L</v>
      </c>
      <c r="Q5623" t="str">
        <f t="shared" si="880"/>
        <v>0101</v>
      </c>
      <c r="R5623">
        <v>1501</v>
      </c>
      <c r="S5623" t="str">
        <f t="shared" si="877"/>
        <v>7300</v>
      </c>
      <c r="T5623" t="s">
        <v>3732</v>
      </c>
      <c r="U5623" t="s">
        <v>2853</v>
      </c>
    </row>
    <row r="5624" spans="1:21" ht="15" customHeight="1" x14ac:dyDescent="0.3">
      <c r="A5624" t="s">
        <v>179</v>
      </c>
      <c r="B5624" t="str">
        <f>"00061949"</f>
        <v>00061949</v>
      </c>
      <c r="C5624" t="s">
        <v>4253</v>
      </c>
      <c r="D5624" t="s">
        <v>2911</v>
      </c>
      <c r="E5624" t="str">
        <f>"00048873"</f>
        <v>00048873</v>
      </c>
      <c r="F5624">
        <v>0</v>
      </c>
      <c r="G5624" s="243">
        <v>39679</v>
      </c>
      <c r="H5624" t="s">
        <v>182</v>
      </c>
      <c r="I5624">
        <v>15</v>
      </c>
      <c r="J5624">
        <v>8</v>
      </c>
      <c r="K5624">
        <v>1</v>
      </c>
      <c r="L5624">
        <v>72171</v>
      </c>
      <c r="M5624" t="str">
        <f t="shared" si="873"/>
        <v>13</v>
      </c>
      <c r="N5624" t="s">
        <v>3323</v>
      </c>
      <c r="O5624" t="str">
        <f t="shared" si="879"/>
        <v>73011</v>
      </c>
      <c r="P5624" t="str">
        <f t="shared" ref="P5624:P5641" si="881">"2100L"</f>
        <v>2100L</v>
      </c>
      <c r="Q5624" t="str">
        <f t="shared" si="880"/>
        <v>0101</v>
      </c>
      <c r="R5624">
        <v>2100</v>
      </c>
      <c r="S5624" t="str">
        <f t="shared" ref="S5624:S5655" si="882">"7300"</f>
        <v>7300</v>
      </c>
      <c r="T5624" t="s">
        <v>3732</v>
      </c>
      <c r="U5624" t="s">
        <v>2853</v>
      </c>
    </row>
    <row r="5625" spans="1:21" ht="15" customHeight="1" x14ac:dyDescent="0.3">
      <c r="A5625" t="s">
        <v>179</v>
      </c>
      <c r="B5625" t="str">
        <f>"00062062"</f>
        <v>00062062</v>
      </c>
      <c r="C5625" t="s">
        <v>4800</v>
      </c>
      <c r="D5625" t="s">
        <v>2926</v>
      </c>
      <c r="E5625" t="str">
        <f>"00062603"</f>
        <v>00062603</v>
      </c>
      <c r="F5625">
        <v>0</v>
      </c>
      <c r="G5625" s="243">
        <v>40409</v>
      </c>
      <c r="H5625" t="s">
        <v>182</v>
      </c>
      <c r="I5625">
        <v>10</v>
      </c>
      <c r="J5625">
        <v>9</v>
      </c>
      <c r="K5625">
        <v>1</v>
      </c>
      <c r="L5625">
        <v>84226</v>
      </c>
      <c r="M5625" t="str">
        <f t="shared" si="873"/>
        <v>13</v>
      </c>
      <c r="N5625" t="s">
        <v>3323</v>
      </c>
      <c r="O5625" t="str">
        <f t="shared" si="879"/>
        <v>73011</v>
      </c>
      <c r="P5625" t="str">
        <f t="shared" si="881"/>
        <v>2100L</v>
      </c>
      <c r="Q5625" t="str">
        <f t="shared" si="880"/>
        <v>0101</v>
      </c>
      <c r="R5625">
        <v>2100</v>
      </c>
      <c r="S5625" t="str">
        <f t="shared" si="882"/>
        <v>7300</v>
      </c>
      <c r="T5625" t="s">
        <v>3732</v>
      </c>
      <c r="U5625" t="s">
        <v>2853</v>
      </c>
    </row>
    <row r="5626" spans="1:21" ht="15" customHeight="1" x14ac:dyDescent="0.3">
      <c r="A5626" t="s">
        <v>179</v>
      </c>
      <c r="B5626" t="str">
        <f>"00062088"</f>
        <v>00062088</v>
      </c>
      <c r="C5626" t="s">
        <v>4253</v>
      </c>
      <c r="D5626" t="s">
        <v>4173</v>
      </c>
      <c r="E5626" t="str">
        <f>"00066000"</f>
        <v>00066000</v>
      </c>
      <c r="F5626">
        <v>0</v>
      </c>
      <c r="G5626" s="243">
        <v>40755</v>
      </c>
      <c r="H5626" t="s">
        <v>182</v>
      </c>
      <c r="I5626">
        <v>15</v>
      </c>
      <c r="J5626">
        <v>4</v>
      </c>
      <c r="K5626">
        <v>1</v>
      </c>
      <c r="L5626">
        <v>54725</v>
      </c>
      <c r="M5626" t="str">
        <f t="shared" si="873"/>
        <v>13</v>
      </c>
      <c r="N5626" t="s">
        <v>3323</v>
      </c>
      <c r="O5626" t="str">
        <f t="shared" si="879"/>
        <v>73011</v>
      </c>
      <c r="P5626" t="str">
        <f t="shared" si="881"/>
        <v>2100L</v>
      </c>
      <c r="Q5626" t="str">
        <f t="shared" si="880"/>
        <v>0101</v>
      </c>
      <c r="R5626">
        <v>2100</v>
      </c>
      <c r="S5626" t="str">
        <f t="shared" si="882"/>
        <v>7300</v>
      </c>
      <c r="T5626" t="s">
        <v>3732</v>
      </c>
      <c r="U5626" t="s">
        <v>2853</v>
      </c>
    </row>
    <row r="5627" spans="1:21" ht="15" customHeight="1" x14ac:dyDescent="0.3">
      <c r="A5627" t="s">
        <v>179</v>
      </c>
      <c r="B5627" t="str">
        <f>"00062108"</f>
        <v>00062108</v>
      </c>
      <c r="C5627" t="s">
        <v>4800</v>
      </c>
      <c r="D5627" t="s">
        <v>2912</v>
      </c>
      <c r="E5627" t="str">
        <f>"00044829"</f>
        <v>00044829</v>
      </c>
      <c r="F5627">
        <v>0</v>
      </c>
      <c r="G5627" s="243">
        <v>39661</v>
      </c>
      <c r="H5627" t="s">
        <v>182</v>
      </c>
      <c r="I5627">
        <v>10</v>
      </c>
      <c r="J5627">
        <v>7</v>
      </c>
      <c r="K5627">
        <v>1</v>
      </c>
      <c r="L5627">
        <v>81541</v>
      </c>
      <c r="M5627" t="str">
        <f t="shared" si="873"/>
        <v>13</v>
      </c>
      <c r="N5627" t="s">
        <v>3323</v>
      </c>
      <c r="O5627" t="str">
        <f t="shared" si="879"/>
        <v>73011</v>
      </c>
      <c r="P5627" t="str">
        <f t="shared" si="881"/>
        <v>2100L</v>
      </c>
      <c r="Q5627" t="str">
        <f t="shared" si="880"/>
        <v>0101</v>
      </c>
      <c r="R5627">
        <v>2100</v>
      </c>
      <c r="S5627" t="str">
        <f t="shared" si="882"/>
        <v>7300</v>
      </c>
      <c r="T5627" t="s">
        <v>3732</v>
      </c>
      <c r="U5627" t="s">
        <v>2853</v>
      </c>
    </row>
    <row r="5628" spans="1:21" ht="15" customHeight="1" x14ac:dyDescent="0.3">
      <c r="A5628" t="s">
        <v>179</v>
      </c>
      <c r="B5628" t="str">
        <f>"00062158"</f>
        <v>00062158</v>
      </c>
      <c r="C5628" t="s">
        <v>4253</v>
      </c>
      <c r="D5628" t="s">
        <v>4187</v>
      </c>
      <c r="E5628" t="str">
        <f>"00065603"</f>
        <v>00065603</v>
      </c>
      <c r="F5628">
        <v>0</v>
      </c>
      <c r="G5628" s="243">
        <v>40755</v>
      </c>
      <c r="H5628" t="s">
        <v>182</v>
      </c>
      <c r="I5628">
        <v>15</v>
      </c>
      <c r="J5628">
        <v>7</v>
      </c>
      <c r="K5628">
        <v>1</v>
      </c>
      <c r="L5628">
        <v>69132</v>
      </c>
      <c r="M5628" t="str">
        <f t="shared" si="873"/>
        <v>13</v>
      </c>
      <c r="N5628" t="s">
        <v>3323</v>
      </c>
      <c r="O5628" t="str">
        <f t="shared" si="879"/>
        <v>73011</v>
      </c>
      <c r="P5628" t="str">
        <f t="shared" si="881"/>
        <v>2100L</v>
      </c>
      <c r="Q5628" t="str">
        <f t="shared" si="880"/>
        <v>0101</v>
      </c>
      <c r="R5628">
        <v>2100</v>
      </c>
      <c r="S5628" t="str">
        <f t="shared" si="882"/>
        <v>7300</v>
      </c>
      <c r="T5628" t="s">
        <v>3732</v>
      </c>
      <c r="U5628" t="s">
        <v>2853</v>
      </c>
    </row>
    <row r="5629" spans="1:21" ht="15" customHeight="1" x14ac:dyDescent="0.3">
      <c r="A5629" t="s">
        <v>179</v>
      </c>
      <c r="B5629" t="str">
        <f>"00062160"</f>
        <v>00062160</v>
      </c>
      <c r="C5629" t="s">
        <v>4261</v>
      </c>
      <c r="D5629" t="s">
        <v>2913</v>
      </c>
      <c r="E5629" t="str">
        <f>"00052082"</f>
        <v>00052082</v>
      </c>
      <c r="F5629">
        <v>0</v>
      </c>
      <c r="G5629" s="243">
        <v>36397</v>
      </c>
      <c r="H5629" t="s">
        <v>182</v>
      </c>
      <c r="I5629">
        <v>15</v>
      </c>
      <c r="J5629">
        <v>6</v>
      </c>
      <c r="K5629">
        <v>1</v>
      </c>
      <c r="L5629">
        <v>78096</v>
      </c>
      <c r="M5629" t="str">
        <f t="shared" si="873"/>
        <v>13</v>
      </c>
      <c r="N5629" t="s">
        <v>3323</v>
      </c>
      <c r="O5629" t="str">
        <f t="shared" si="879"/>
        <v>73011</v>
      </c>
      <c r="P5629" t="str">
        <f t="shared" si="881"/>
        <v>2100L</v>
      </c>
      <c r="Q5629" t="str">
        <f t="shared" si="880"/>
        <v>0101</v>
      </c>
      <c r="R5629">
        <v>2100</v>
      </c>
      <c r="S5629" t="str">
        <f t="shared" si="882"/>
        <v>7300</v>
      </c>
      <c r="T5629" t="s">
        <v>3732</v>
      </c>
      <c r="U5629" t="s">
        <v>2853</v>
      </c>
    </row>
    <row r="5630" spans="1:21" ht="15" customHeight="1" x14ac:dyDescent="0.3">
      <c r="A5630" t="s">
        <v>179</v>
      </c>
      <c r="B5630" t="str">
        <f>"00062371"</f>
        <v>00062371</v>
      </c>
      <c r="C5630" t="s">
        <v>4257</v>
      </c>
      <c r="D5630" t="s">
        <v>2914</v>
      </c>
      <c r="E5630" t="str">
        <f>"00049263"</f>
        <v>00049263</v>
      </c>
      <c r="F5630">
        <v>0</v>
      </c>
      <c r="G5630" s="243">
        <v>39679</v>
      </c>
      <c r="H5630" t="s">
        <v>182</v>
      </c>
      <c r="I5630">
        <v>15</v>
      </c>
      <c r="J5630">
        <v>8</v>
      </c>
      <c r="K5630">
        <v>1</v>
      </c>
      <c r="L5630">
        <v>63517</v>
      </c>
      <c r="M5630" t="str">
        <f t="shared" si="873"/>
        <v>13</v>
      </c>
      <c r="N5630" t="s">
        <v>3323</v>
      </c>
      <c r="O5630" t="str">
        <f t="shared" si="879"/>
        <v>73011</v>
      </c>
      <c r="P5630" t="str">
        <f t="shared" si="881"/>
        <v>2100L</v>
      </c>
      <c r="Q5630" t="str">
        <f t="shared" si="880"/>
        <v>0101</v>
      </c>
      <c r="R5630">
        <v>2100</v>
      </c>
      <c r="S5630" t="str">
        <f t="shared" si="882"/>
        <v>7300</v>
      </c>
      <c r="T5630" t="s">
        <v>3732</v>
      </c>
      <c r="U5630" t="s">
        <v>2853</v>
      </c>
    </row>
    <row r="5631" spans="1:21" ht="15" customHeight="1" x14ac:dyDescent="0.3">
      <c r="A5631" t="s">
        <v>179</v>
      </c>
      <c r="B5631" t="str">
        <f>"00062395"</f>
        <v>00062395</v>
      </c>
      <c r="C5631" t="s">
        <v>4253</v>
      </c>
      <c r="D5631" t="s">
        <v>2915</v>
      </c>
      <c r="E5631" t="str">
        <f>"00045864"</f>
        <v>00045864</v>
      </c>
      <c r="F5631">
        <v>0</v>
      </c>
      <c r="G5631" s="243">
        <v>39679</v>
      </c>
      <c r="H5631" t="s">
        <v>182</v>
      </c>
      <c r="I5631">
        <v>15</v>
      </c>
      <c r="J5631">
        <v>5</v>
      </c>
      <c r="K5631">
        <v>1</v>
      </c>
      <c r="L5631">
        <v>63611</v>
      </c>
      <c r="M5631" t="str">
        <f t="shared" si="873"/>
        <v>13</v>
      </c>
      <c r="N5631" t="s">
        <v>3323</v>
      </c>
      <c r="O5631" t="str">
        <f t="shared" si="879"/>
        <v>73011</v>
      </c>
      <c r="P5631" t="str">
        <f t="shared" si="881"/>
        <v>2100L</v>
      </c>
      <c r="Q5631" t="str">
        <f t="shared" si="880"/>
        <v>0101</v>
      </c>
      <c r="R5631">
        <v>2100</v>
      </c>
      <c r="S5631" t="str">
        <f t="shared" si="882"/>
        <v>7300</v>
      </c>
      <c r="T5631" t="s">
        <v>3732</v>
      </c>
      <c r="U5631" t="s">
        <v>2853</v>
      </c>
    </row>
    <row r="5632" spans="1:21" ht="15" customHeight="1" x14ac:dyDescent="0.3">
      <c r="A5632" t="s">
        <v>179</v>
      </c>
      <c r="B5632" t="str">
        <f>"00062403"</f>
        <v>00062403</v>
      </c>
      <c r="C5632" t="s">
        <v>4257</v>
      </c>
      <c r="D5632" t="s">
        <v>2916</v>
      </c>
      <c r="E5632" t="str">
        <f>"00052092"</f>
        <v>00052092</v>
      </c>
      <c r="F5632">
        <v>0</v>
      </c>
      <c r="G5632" s="243">
        <v>38951</v>
      </c>
      <c r="H5632" t="s">
        <v>182</v>
      </c>
      <c r="I5632">
        <v>15</v>
      </c>
      <c r="J5632">
        <v>6</v>
      </c>
      <c r="K5632">
        <v>1</v>
      </c>
      <c r="L5632">
        <v>66078</v>
      </c>
      <c r="M5632" t="str">
        <f t="shared" si="873"/>
        <v>13</v>
      </c>
      <c r="N5632" t="s">
        <v>3323</v>
      </c>
      <c r="O5632" t="str">
        <f t="shared" si="879"/>
        <v>73011</v>
      </c>
      <c r="P5632" t="str">
        <f t="shared" si="881"/>
        <v>2100L</v>
      </c>
      <c r="Q5632" t="str">
        <f t="shared" si="880"/>
        <v>0101</v>
      </c>
      <c r="R5632">
        <v>2100</v>
      </c>
      <c r="S5632" t="str">
        <f t="shared" si="882"/>
        <v>7300</v>
      </c>
      <c r="T5632" t="s">
        <v>3732</v>
      </c>
      <c r="U5632" t="s">
        <v>2853</v>
      </c>
    </row>
    <row r="5633" spans="1:21" ht="15" customHeight="1" x14ac:dyDescent="0.3">
      <c r="A5633" t="s">
        <v>179</v>
      </c>
      <c r="B5633" t="str">
        <f>"00062441"</f>
        <v>00062441</v>
      </c>
      <c r="C5633" t="s">
        <v>4261</v>
      </c>
      <c r="D5633" t="s">
        <v>2917</v>
      </c>
      <c r="E5633" t="str">
        <f>"00046603"</f>
        <v>00046603</v>
      </c>
      <c r="F5633">
        <v>0</v>
      </c>
      <c r="G5633" s="243">
        <v>39679</v>
      </c>
      <c r="H5633" t="s">
        <v>182</v>
      </c>
      <c r="I5633">
        <v>15</v>
      </c>
      <c r="J5633">
        <v>10</v>
      </c>
      <c r="K5633">
        <v>1</v>
      </c>
      <c r="L5633">
        <v>88802</v>
      </c>
      <c r="M5633" t="str">
        <f t="shared" si="873"/>
        <v>13</v>
      </c>
      <c r="N5633" t="s">
        <v>3323</v>
      </c>
      <c r="O5633" t="str">
        <f t="shared" si="879"/>
        <v>73011</v>
      </c>
      <c r="P5633" t="str">
        <f t="shared" si="881"/>
        <v>2100L</v>
      </c>
      <c r="Q5633" t="str">
        <f t="shared" si="880"/>
        <v>0101</v>
      </c>
      <c r="R5633">
        <v>2100</v>
      </c>
      <c r="S5633" t="str">
        <f t="shared" si="882"/>
        <v>7300</v>
      </c>
      <c r="T5633" t="s">
        <v>3732</v>
      </c>
      <c r="U5633" t="s">
        <v>2853</v>
      </c>
    </row>
    <row r="5634" spans="1:21" ht="15" customHeight="1" x14ac:dyDescent="0.3">
      <c r="A5634" t="s">
        <v>179</v>
      </c>
      <c r="B5634" t="str">
        <f>"00062493"</f>
        <v>00062493</v>
      </c>
      <c r="C5634" t="s">
        <v>4261</v>
      </c>
      <c r="D5634" t="s">
        <v>2918</v>
      </c>
      <c r="E5634" t="str">
        <f>"00050203"</f>
        <v>00050203</v>
      </c>
      <c r="F5634">
        <v>0</v>
      </c>
      <c r="G5634" s="243">
        <v>39679</v>
      </c>
      <c r="H5634" t="s">
        <v>182</v>
      </c>
      <c r="I5634">
        <v>15</v>
      </c>
      <c r="J5634">
        <v>5</v>
      </c>
      <c r="K5634">
        <v>1</v>
      </c>
      <c r="L5634">
        <v>69972</v>
      </c>
      <c r="M5634" t="str">
        <f t="shared" si="873"/>
        <v>13</v>
      </c>
      <c r="N5634" t="s">
        <v>3323</v>
      </c>
      <c r="O5634" t="str">
        <f t="shared" si="879"/>
        <v>73011</v>
      </c>
      <c r="P5634" t="str">
        <f t="shared" si="881"/>
        <v>2100L</v>
      </c>
      <c r="Q5634" t="str">
        <f t="shared" si="880"/>
        <v>0101</v>
      </c>
      <c r="R5634">
        <v>2100</v>
      </c>
      <c r="S5634" t="str">
        <f t="shared" si="882"/>
        <v>7300</v>
      </c>
      <c r="T5634" t="s">
        <v>3732</v>
      </c>
      <c r="U5634" t="s">
        <v>2853</v>
      </c>
    </row>
    <row r="5635" spans="1:21" ht="15" customHeight="1" x14ac:dyDescent="0.3">
      <c r="A5635" t="s">
        <v>179</v>
      </c>
      <c r="B5635" t="str">
        <f>"00062529"</f>
        <v>00062529</v>
      </c>
      <c r="C5635" t="s">
        <v>4253</v>
      </c>
      <c r="D5635" t="s">
        <v>2919</v>
      </c>
      <c r="E5635" t="str">
        <f>"00046528"</f>
        <v>00046528</v>
      </c>
      <c r="F5635">
        <v>0</v>
      </c>
      <c r="G5635" s="243">
        <v>40769</v>
      </c>
      <c r="H5635" t="s">
        <v>182</v>
      </c>
      <c r="I5635">
        <v>15</v>
      </c>
      <c r="J5635">
        <v>4</v>
      </c>
      <c r="K5635">
        <v>1</v>
      </c>
      <c r="L5635">
        <v>54725</v>
      </c>
      <c r="M5635" t="str">
        <f t="shared" ref="M5635:M5696" si="883">"13"</f>
        <v>13</v>
      </c>
      <c r="N5635" t="s">
        <v>3323</v>
      </c>
      <c r="O5635" t="str">
        <f t="shared" si="879"/>
        <v>73011</v>
      </c>
      <c r="P5635" t="str">
        <f t="shared" si="881"/>
        <v>2100L</v>
      </c>
      <c r="Q5635" t="str">
        <f t="shared" si="880"/>
        <v>0101</v>
      </c>
      <c r="R5635">
        <v>2100</v>
      </c>
      <c r="S5635" t="str">
        <f t="shared" si="882"/>
        <v>7300</v>
      </c>
      <c r="T5635" t="s">
        <v>3732</v>
      </c>
      <c r="U5635" t="s">
        <v>2853</v>
      </c>
    </row>
    <row r="5636" spans="1:21" ht="15" customHeight="1" x14ac:dyDescent="0.3">
      <c r="A5636" t="s">
        <v>179</v>
      </c>
      <c r="B5636" t="str">
        <f>"00062560"</f>
        <v>00062560</v>
      </c>
      <c r="C5636" t="s">
        <v>4259</v>
      </c>
      <c r="D5636" t="s">
        <v>4169</v>
      </c>
      <c r="E5636" t="str">
        <f>"00053525"</f>
        <v>00053525</v>
      </c>
      <c r="F5636">
        <v>0</v>
      </c>
      <c r="G5636" s="243">
        <v>35306</v>
      </c>
      <c r="H5636" t="s">
        <v>182</v>
      </c>
      <c r="I5636">
        <v>15</v>
      </c>
      <c r="J5636">
        <v>12</v>
      </c>
      <c r="K5636">
        <v>1</v>
      </c>
      <c r="L5636">
        <v>89887</v>
      </c>
      <c r="M5636" t="str">
        <f t="shared" si="883"/>
        <v>13</v>
      </c>
      <c r="N5636" t="s">
        <v>3323</v>
      </c>
      <c r="O5636" t="str">
        <f t="shared" si="879"/>
        <v>73011</v>
      </c>
      <c r="P5636" t="str">
        <f t="shared" si="881"/>
        <v>2100L</v>
      </c>
      <c r="Q5636" t="str">
        <f t="shared" si="880"/>
        <v>0101</v>
      </c>
      <c r="R5636">
        <v>2100</v>
      </c>
      <c r="S5636" t="str">
        <f t="shared" si="882"/>
        <v>7300</v>
      </c>
      <c r="T5636" t="s">
        <v>3732</v>
      </c>
      <c r="U5636" t="s">
        <v>2853</v>
      </c>
    </row>
    <row r="5637" spans="1:21" ht="15" customHeight="1" x14ac:dyDescent="0.3">
      <c r="A5637" t="s">
        <v>179</v>
      </c>
      <c r="B5637" t="str">
        <f>"00062614"</f>
        <v>00062614</v>
      </c>
      <c r="C5637" t="s">
        <v>4263</v>
      </c>
      <c r="D5637" t="s">
        <v>4185</v>
      </c>
      <c r="E5637" t="str">
        <f>"00066112"</f>
        <v>00066112</v>
      </c>
      <c r="F5637">
        <v>0</v>
      </c>
      <c r="G5637" s="243">
        <v>40770</v>
      </c>
      <c r="H5637" t="s">
        <v>182</v>
      </c>
      <c r="I5637">
        <v>15</v>
      </c>
      <c r="J5637">
        <v>2</v>
      </c>
      <c r="K5637">
        <v>1</v>
      </c>
      <c r="L5637">
        <v>51716</v>
      </c>
      <c r="M5637" t="str">
        <f t="shared" si="883"/>
        <v>13</v>
      </c>
      <c r="N5637" t="s">
        <v>3323</v>
      </c>
      <c r="O5637" t="str">
        <f t="shared" si="879"/>
        <v>73011</v>
      </c>
      <c r="P5637" t="str">
        <f t="shared" si="881"/>
        <v>2100L</v>
      </c>
      <c r="Q5637" t="str">
        <f t="shared" si="880"/>
        <v>0101</v>
      </c>
      <c r="R5637">
        <v>2100</v>
      </c>
      <c r="S5637" t="str">
        <f t="shared" si="882"/>
        <v>7300</v>
      </c>
      <c r="T5637" t="s">
        <v>3732</v>
      </c>
      <c r="U5637" t="s">
        <v>2853</v>
      </c>
    </row>
    <row r="5638" spans="1:21" ht="15" customHeight="1" x14ac:dyDescent="0.3">
      <c r="A5638" t="s">
        <v>179</v>
      </c>
      <c r="B5638" t="str">
        <f>"00062659"</f>
        <v>00062659</v>
      </c>
      <c r="C5638" t="s">
        <v>3471</v>
      </c>
      <c r="D5638" t="s">
        <v>2921</v>
      </c>
      <c r="E5638" t="str">
        <f>"00050285"</f>
        <v>00050285</v>
      </c>
      <c r="F5638">
        <v>0</v>
      </c>
      <c r="G5638" s="243">
        <v>37739</v>
      </c>
      <c r="H5638" t="s">
        <v>182</v>
      </c>
      <c r="I5638">
        <v>15</v>
      </c>
      <c r="J5638">
        <v>5</v>
      </c>
      <c r="K5638">
        <v>1</v>
      </c>
      <c r="L5638">
        <v>56655</v>
      </c>
      <c r="M5638" t="str">
        <f t="shared" si="883"/>
        <v>13</v>
      </c>
      <c r="N5638" t="s">
        <v>3323</v>
      </c>
      <c r="O5638" t="str">
        <f t="shared" si="879"/>
        <v>73011</v>
      </c>
      <c r="P5638" t="str">
        <f t="shared" si="881"/>
        <v>2100L</v>
      </c>
      <c r="Q5638" t="str">
        <f t="shared" si="880"/>
        <v>0101</v>
      </c>
      <c r="R5638">
        <v>2100</v>
      </c>
      <c r="S5638" t="str">
        <f t="shared" si="882"/>
        <v>7300</v>
      </c>
      <c r="T5638" t="s">
        <v>3732</v>
      </c>
      <c r="U5638" t="s">
        <v>2853</v>
      </c>
    </row>
    <row r="5639" spans="1:21" ht="15" customHeight="1" x14ac:dyDescent="0.3">
      <c r="A5639" t="s">
        <v>179</v>
      </c>
      <c r="B5639" t="str">
        <f>"00063117"</f>
        <v>00063117</v>
      </c>
      <c r="C5639" t="s">
        <v>4255</v>
      </c>
      <c r="H5639" t="s">
        <v>170</v>
      </c>
      <c r="I5639">
        <v>15</v>
      </c>
      <c r="J5639">
        <v>1</v>
      </c>
      <c r="K5639">
        <v>1</v>
      </c>
      <c r="L5639">
        <v>51539</v>
      </c>
      <c r="M5639" t="str">
        <f t="shared" si="883"/>
        <v>13</v>
      </c>
      <c r="N5639" t="s">
        <v>3323</v>
      </c>
      <c r="O5639" t="str">
        <f t="shared" si="879"/>
        <v>73011</v>
      </c>
      <c r="P5639" t="str">
        <f t="shared" si="881"/>
        <v>2100L</v>
      </c>
      <c r="Q5639" t="str">
        <f t="shared" si="880"/>
        <v>0101</v>
      </c>
      <c r="R5639">
        <v>2100</v>
      </c>
      <c r="S5639" t="str">
        <f t="shared" si="882"/>
        <v>7300</v>
      </c>
      <c r="T5639" t="s">
        <v>3732</v>
      </c>
      <c r="U5639" t="s">
        <v>2853</v>
      </c>
    </row>
    <row r="5640" spans="1:21" ht="15" customHeight="1" x14ac:dyDescent="0.3">
      <c r="A5640" t="s">
        <v>179</v>
      </c>
      <c r="B5640" t="str">
        <f>"00066094"</f>
        <v>00066094</v>
      </c>
      <c r="C5640" t="s">
        <v>4381</v>
      </c>
      <c r="D5640" t="s">
        <v>2922</v>
      </c>
      <c r="E5640" t="str">
        <f>"00008045"</f>
        <v>00008045</v>
      </c>
      <c r="F5640">
        <v>0</v>
      </c>
      <c r="G5640" s="243">
        <v>40154</v>
      </c>
      <c r="H5640" t="s">
        <v>182</v>
      </c>
      <c r="I5640">
        <v>9</v>
      </c>
      <c r="J5640">
        <v>8</v>
      </c>
      <c r="K5640">
        <v>1</v>
      </c>
      <c r="L5640">
        <v>40604</v>
      </c>
      <c r="M5640" t="str">
        <f t="shared" si="883"/>
        <v>13</v>
      </c>
      <c r="N5640" t="s">
        <v>3323</v>
      </c>
      <c r="O5640" t="str">
        <f t="shared" si="879"/>
        <v>73011</v>
      </c>
      <c r="P5640" t="str">
        <f t="shared" si="881"/>
        <v>2100L</v>
      </c>
      <c r="Q5640" t="str">
        <f t="shared" si="880"/>
        <v>0101</v>
      </c>
      <c r="R5640">
        <v>2100</v>
      </c>
      <c r="S5640" t="str">
        <f t="shared" si="882"/>
        <v>7300</v>
      </c>
      <c r="T5640" t="s">
        <v>3732</v>
      </c>
      <c r="U5640" t="s">
        <v>2853</v>
      </c>
    </row>
    <row r="5641" spans="1:21" ht="15" customHeight="1" x14ac:dyDescent="0.3">
      <c r="A5641" t="s">
        <v>179</v>
      </c>
      <c r="B5641" t="str">
        <f>"00066112"</f>
        <v>00066112</v>
      </c>
      <c r="C5641" t="s">
        <v>314</v>
      </c>
      <c r="D5641" t="s">
        <v>5921</v>
      </c>
      <c r="E5641" t="str">
        <f>"00054876"</f>
        <v>00054876</v>
      </c>
      <c r="F5641">
        <v>0</v>
      </c>
      <c r="G5641" s="243">
        <v>41133</v>
      </c>
      <c r="H5641" t="s">
        <v>182</v>
      </c>
      <c r="I5641">
        <v>16</v>
      </c>
      <c r="J5641">
        <v>1</v>
      </c>
      <c r="K5641">
        <v>1</v>
      </c>
      <c r="L5641">
        <v>5850.62</v>
      </c>
      <c r="M5641" t="str">
        <f t="shared" si="883"/>
        <v>13</v>
      </c>
      <c r="N5641" t="s">
        <v>3323</v>
      </c>
      <c r="O5641" t="str">
        <f t="shared" ref="O5641:O5658" si="884">"73011"</f>
        <v>73011</v>
      </c>
      <c r="P5641" t="str">
        <f t="shared" si="881"/>
        <v>2100L</v>
      </c>
      <c r="Q5641" t="str">
        <f t="shared" ref="Q5641:Q5658" si="885">"0101"</f>
        <v>0101</v>
      </c>
      <c r="R5641">
        <v>2100</v>
      </c>
      <c r="S5641" t="str">
        <f t="shared" si="882"/>
        <v>7300</v>
      </c>
      <c r="T5641" t="s">
        <v>3732</v>
      </c>
      <c r="U5641" t="s">
        <v>2853</v>
      </c>
    </row>
    <row r="5642" spans="1:21" ht="15" customHeight="1" x14ac:dyDescent="0.3">
      <c r="A5642" t="s">
        <v>179</v>
      </c>
      <c r="B5642" t="str">
        <f>"00066173"</f>
        <v>00066173</v>
      </c>
      <c r="C5642" t="s">
        <v>4290</v>
      </c>
      <c r="H5642" t="s">
        <v>170</v>
      </c>
      <c r="I5642">
        <v>4</v>
      </c>
      <c r="J5642">
        <v>1</v>
      </c>
      <c r="K5642">
        <v>1</v>
      </c>
      <c r="L5642">
        <v>25662</v>
      </c>
      <c r="M5642" t="str">
        <f t="shared" si="883"/>
        <v>13</v>
      </c>
      <c r="N5642" t="s">
        <v>3370</v>
      </c>
      <c r="O5642" t="str">
        <f t="shared" si="884"/>
        <v>73011</v>
      </c>
      <c r="P5642" t="str">
        <f>"3030L"</f>
        <v>3030L</v>
      </c>
      <c r="Q5642" t="str">
        <f t="shared" si="885"/>
        <v>0101</v>
      </c>
      <c r="R5642">
        <v>3030</v>
      </c>
      <c r="S5642" t="str">
        <f t="shared" si="882"/>
        <v>7300</v>
      </c>
      <c r="T5642" t="s">
        <v>3732</v>
      </c>
      <c r="U5642" t="s">
        <v>2853</v>
      </c>
    </row>
    <row r="5643" spans="1:21" ht="15" customHeight="1" x14ac:dyDescent="0.3">
      <c r="A5643" t="s">
        <v>179</v>
      </c>
      <c r="B5643" t="str">
        <f>"00066174"</f>
        <v>00066174</v>
      </c>
      <c r="C5643" t="s">
        <v>4290</v>
      </c>
      <c r="D5643" t="s">
        <v>5922</v>
      </c>
      <c r="E5643" t="str">
        <f>"00029166"</f>
        <v>00029166</v>
      </c>
      <c r="F5643">
        <v>0</v>
      </c>
      <c r="G5643" s="243">
        <v>40479</v>
      </c>
      <c r="H5643" t="s">
        <v>182</v>
      </c>
      <c r="I5643">
        <v>4</v>
      </c>
      <c r="J5643">
        <v>6</v>
      </c>
      <c r="K5643">
        <v>1</v>
      </c>
      <c r="L5643">
        <v>25935.88</v>
      </c>
      <c r="M5643" t="str">
        <f t="shared" si="883"/>
        <v>13</v>
      </c>
      <c r="N5643" t="s">
        <v>3323</v>
      </c>
      <c r="O5643" t="str">
        <f t="shared" si="884"/>
        <v>73011</v>
      </c>
      <c r="P5643" t="str">
        <f>"3030L"</f>
        <v>3030L</v>
      </c>
      <c r="Q5643" t="str">
        <f t="shared" si="885"/>
        <v>0101</v>
      </c>
      <c r="R5643">
        <v>3030</v>
      </c>
      <c r="S5643" t="str">
        <f t="shared" si="882"/>
        <v>7300</v>
      </c>
      <c r="T5643" t="s">
        <v>3732</v>
      </c>
      <c r="U5643" t="s">
        <v>2853</v>
      </c>
    </row>
    <row r="5644" spans="1:21" ht="15" customHeight="1" x14ac:dyDescent="0.3">
      <c r="A5644" t="s">
        <v>179</v>
      </c>
      <c r="B5644" t="str">
        <f>"00066180"</f>
        <v>00066180</v>
      </c>
      <c r="C5644" t="s">
        <v>4290</v>
      </c>
      <c r="D5644" t="s">
        <v>5923</v>
      </c>
      <c r="E5644" t="str">
        <f>"00058024"</f>
        <v>00058024</v>
      </c>
      <c r="F5644">
        <v>0</v>
      </c>
      <c r="G5644" s="243">
        <v>40049</v>
      </c>
      <c r="H5644" t="s">
        <v>182</v>
      </c>
      <c r="I5644">
        <v>4</v>
      </c>
      <c r="J5644">
        <v>7</v>
      </c>
      <c r="K5644">
        <v>1</v>
      </c>
      <c r="L5644">
        <v>26633.25</v>
      </c>
      <c r="M5644" t="str">
        <f t="shared" si="883"/>
        <v>13</v>
      </c>
      <c r="N5644" t="s">
        <v>3323</v>
      </c>
      <c r="O5644" t="str">
        <f t="shared" si="884"/>
        <v>73011</v>
      </c>
      <c r="P5644" t="str">
        <f>"3030L"</f>
        <v>3030L</v>
      </c>
      <c r="Q5644" t="str">
        <f t="shared" si="885"/>
        <v>0101</v>
      </c>
      <c r="R5644">
        <v>3030</v>
      </c>
      <c r="S5644" t="str">
        <f t="shared" si="882"/>
        <v>7300</v>
      </c>
      <c r="T5644" t="s">
        <v>3732</v>
      </c>
      <c r="U5644" t="s">
        <v>2853</v>
      </c>
    </row>
    <row r="5645" spans="1:21" ht="15" customHeight="1" x14ac:dyDescent="0.3">
      <c r="A5645" t="s">
        <v>179</v>
      </c>
      <c r="B5645" t="str">
        <f>"00066662"</f>
        <v>00066662</v>
      </c>
      <c r="C5645" t="s">
        <v>4260</v>
      </c>
      <c r="D5645" t="s">
        <v>1294</v>
      </c>
      <c r="E5645" t="str">
        <f>"00049063"</f>
        <v>00049063</v>
      </c>
      <c r="F5645">
        <v>0</v>
      </c>
      <c r="G5645" s="243">
        <v>36761</v>
      </c>
      <c r="H5645" t="s">
        <v>182</v>
      </c>
      <c r="I5645">
        <v>15</v>
      </c>
      <c r="J5645">
        <v>16</v>
      </c>
      <c r="K5645">
        <v>1</v>
      </c>
      <c r="L5645">
        <v>103347</v>
      </c>
      <c r="M5645" t="str">
        <f t="shared" si="883"/>
        <v>13</v>
      </c>
      <c r="N5645" t="s">
        <v>3370</v>
      </c>
      <c r="O5645" t="str">
        <f t="shared" si="884"/>
        <v>73011</v>
      </c>
      <c r="P5645" t="str">
        <f>"3030L"</f>
        <v>3030L</v>
      </c>
      <c r="Q5645" t="str">
        <f t="shared" si="885"/>
        <v>0101</v>
      </c>
      <c r="R5645">
        <v>3030</v>
      </c>
      <c r="S5645" t="str">
        <f t="shared" si="882"/>
        <v>7300</v>
      </c>
      <c r="T5645" t="s">
        <v>3732</v>
      </c>
      <c r="U5645" t="s">
        <v>2853</v>
      </c>
    </row>
    <row r="5646" spans="1:21" ht="15" customHeight="1" x14ac:dyDescent="0.3">
      <c r="A5646" t="s">
        <v>179</v>
      </c>
      <c r="B5646" t="str">
        <f>"00066663"</f>
        <v>00066663</v>
      </c>
      <c r="C5646" t="s">
        <v>4260</v>
      </c>
      <c r="D5646" t="s">
        <v>2924</v>
      </c>
      <c r="E5646" t="str">
        <f>"00057159"</f>
        <v>00057159</v>
      </c>
      <c r="F5646">
        <v>0</v>
      </c>
      <c r="G5646" s="243">
        <v>40042</v>
      </c>
      <c r="H5646" t="s">
        <v>182</v>
      </c>
      <c r="I5646">
        <v>15</v>
      </c>
      <c r="J5646">
        <v>4</v>
      </c>
      <c r="K5646">
        <v>1</v>
      </c>
      <c r="L5646">
        <v>61158</v>
      </c>
      <c r="M5646" t="str">
        <f t="shared" si="883"/>
        <v>13</v>
      </c>
      <c r="N5646" t="s">
        <v>3323</v>
      </c>
      <c r="O5646" t="str">
        <f t="shared" si="884"/>
        <v>73011</v>
      </c>
      <c r="P5646" t="str">
        <f>"3030L"</f>
        <v>3030L</v>
      </c>
      <c r="Q5646" t="str">
        <f t="shared" si="885"/>
        <v>0101</v>
      </c>
      <c r="R5646">
        <v>3030</v>
      </c>
      <c r="S5646" t="str">
        <f t="shared" si="882"/>
        <v>7300</v>
      </c>
      <c r="T5646" t="s">
        <v>3732</v>
      </c>
      <c r="U5646" t="s">
        <v>2853</v>
      </c>
    </row>
    <row r="5647" spans="1:21" ht="15" customHeight="1" x14ac:dyDescent="0.3">
      <c r="A5647" t="s">
        <v>179</v>
      </c>
      <c r="B5647" t="str">
        <f>"00066664"</f>
        <v>00066664</v>
      </c>
      <c r="C5647" t="s">
        <v>4253</v>
      </c>
      <c r="D5647" t="s">
        <v>4174</v>
      </c>
      <c r="E5647" t="str">
        <f>"00065865"</f>
        <v>00065865</v>
      </c>
      <c r="F5647">
        <v>0</v>
      </c>
      <c r="G5647" s="243">
        <v>40755</v>
      </c>
      <c r="H5647" t="s">
        <v>182</v>
      </c>
      <c r="I5647">
        <v>15</v>
      </c>
      <c r="J5647">
        <v>5</v>
      </c>
      <c r="K5647">
        <v>1</v>
      </c>
      <c r="L5647">
        <v>63611</v>
      </c>
      <c r="M5647" t="str">
        <f t="shared" si="883"/>
        <v>13</v>
      </c>
      <c r="N5647" t="s">
        <v>3323</v>
      </c>
      <c r="O5647" t="str">
        <f t="shared" si="884"/>
        <v>73011</v>
      </c>
      <c r="P5647" t="str">
        <f t="shared" ref="P5647:P5657" si="886">"2100L"</f>
        <v>2100L</v>
      </c>
      <c r="Q5647" t="str">
        <f t="shared" si="885"/>
        <v>0101</v>
      </c>
      <c r="R5647">
        <v>2100</v>
      </c>
      <c r="S5647" t="str">
        <f t="shared" si="882"/>
        <v>7300</v>
      </c>
      <c r="T5647" t="s">
        <v>3732</v>
      </c>
      <c r="U5647" t="s">
        <v>2853</v>
      </c>
    </row>
    <row r="5648" spans="1:21" ht="15" customHeight="1" x14ac:dyDescent="0.3">
      <c r="A5648" t="s">
        <v>179</v>
      </c>
      <c r="B5648" t="str">
        <f>"00066666"</f>
        <v>00066666</v>
      </c>
      <c r="C5648" t="s">
        <v>4253</v>
      </c>
      <c r="D5648" t="s">
        <v>4175</v>
      </c>
      <c r="E5648" t="str">
        <f>"00065621"</f>
        <v>00065621</v>
      </c>
      <c r="F5648">
        <v>0</v>
      </c>
      <c r="G5648" s="243">
        <v>40755</v>
      </c>
      <c r="H5648" t="s">
        <v>182</v>
      </c>
      <c r="I5648">
        <v>15</v>
      </c>
      <c r="J5648">
        <v>4</v>
      </c>
      <c r="K5648">
        <v>1</v>
      </c>
      <c r="L5648">
        <v>66078</v>
      </c>
      <c r="M5648" t="str">
        <f t="shared" si="883"/>
        <v>13</v>
      </c>
      <c r="N5648" t="s">
        <v>3323</v>
      </c>
      <c r="O5648" t="str">
        <f t="shared" si="884"/>
        <v>73011</v>
      </c>
      <c r="P5648" t="str">
        <f t="shared" si="886"/>
        <v>2100L</v>
      </c>
      <c r="Q5648" t="str">
        <f t="shared" si="885"/>
        <v>0101</v>
      </c>
      <c r="R5648">
        <v>2100</v>
      </c>
      <c r="S5648" t="str">
        <f t="shared" si="882"/>
        <v>7300</v>
      </c>
      <c r="T5648" t="s">
        <v>3732</v>
      </c>
      <c r="U5648" t="s">
        <v>2853</v>
      </c>
    </row>
    <row r="5649" spans="1:21" ht="15" customHeight="1" x14ac:dyDescent="0.3">
      <c r="A5649" t="s">
        <v>179</v>
      </c>
      <c r="B5649" t="str">
        <f>"00066667"</f>
        <v>00066667</v>
      </c>
      <c r="C5649" t="s">
        <v>4263</v>
      </c>
      <c r="D5649" t="s">
        <v>2925</v>
      </c>
      <c r="E5649" t="str">
        <f>"00057093"</f>
        <v>00057093</v>
      </c>
      <c r="F5649">
        <v>0</v>
      </c>
      <c r="G5649" s="243">
        <v>40042</v>
      </c>
      <c r="H5649" t="s">
        <v>182</v>
      </c>
      <c r="I5649">
        <v>15</v>
      </c>
      <c r="J5649">
        <v>13</v>
      </c>
      <c r="K5649">
        <v>1</v>
      </c>
      <c r="L5649">
        <v>101066</v>
      </c>
      <c r="M5649" t="str">
        <f t="shared" si="883"/>
        <v>13</v>
      </c>
      <c r="N5649" t="s">
        <v>3323</v>
      </c>
      <c r="O5649" t="str">
        <f t="shared" si="884"/>
        <v>73011</v>
      </c>
      <c r="P5649" t="str">
        <f t="shared" si="886"/>
        <v>2100L</v>
      </c>
      <c r="Q5649" t="str">
        <f t="shared" si="885"/>
        <v>0101</v>
      </c>
      <c r="R5649">
        <v>2100</v>
      </c>
      <c r="S5649" t="str">
        <f t="shared" si="882"/>
        <v>7300</v>
      </c>
      <c r="T5649" t="s">
        <v>3732</v>
      </c>
      <c r="U5649" t="s">
        <v>2853</v>
      </c>
    </row>
    <row r="5650" spans="1:21" ht="15" customHeight="1" x14ac:dyDescent="0.3">
      <c r="A5650" t="s">
        <v>179</v>
      </c>
      <c r="B5650" t="str">
        <f>"00066668"</f>
        <v>00066668</v>
      </c>
      <c r="C5650" t="s">
        <v>4254</v>
      </c>
      <c r="D5650" t="s">
        <v>1056</v>
      </c>
      <c r="E5650" t="str">
        <f>"00045387"</f>
        <v>00045387</v>
      </c>
      <c r="F5650">
        <v>0</v>
      </c>
      <c r="G5650" s="243">
        <v>39995</v>
      </c>
      <c r="H5650" t="s">
        <v>182</v>
      </c>
      <c r="I5650">
        <v>15</v>
      </c>
      <c r="J5650">
        <v>4</v>
      </c>
      <c r="K5650">
        <v>1</v>
      </c>
      <c r="L5650">
        <v>57147</v>
      </c>
      <c r="M5650" t="str">
        <f t="shared" si="883"/>
        <v>13</v>
      </c>
      <c r="N5650" t="s">
        <v>3323</v>
      </c>
      <c r="O5650" t="str">
        <f t="shared" si="884"/>
        <v>73011</v>
      </c>
      <c r="P5650" t="str">
        <f t="shared" si="886"/>
        <v>2100L</v>
      </c>
      <c r="Q5650" t="str">
        <f t="shared" si="885"/>
        <v>0101</v>
      </c>
      <c r="R5650">
        <v>2100</v>
      </c>
      <c r="S5650" t="str">
        <f t="shared" si="882"/>
        <v>7300</v>
      </c>
      <c r="T5650" t="s">
        <v>3732</v>
      </c>
      <c r="U5650" t="s">
        <v>2853</v>
      </c>
    </row>
    <row r="5651" spans="1:21" ht="15" customHeight="1" x14ac:dyDescent="0.3">
      <c r="A5651" t="s">
        <v>179</v>
      </c>
      <c r="B5651" t="str">
        <f>"00066669"</f>
        <v>00066669</v>
      </c>
      <c r="C5651" t="s">
        <v>4254</v>
      </c>
      <c r="D5651" t="s">
        <v>5924</v>
      </c>
      <c r="E5651" t="str">
        <f>"00069701"</f>
        <v>00069701</v>
      </c>
      <c r="F5651">
        <v>0</v>
      </c>
      <c r="G5651" s="243">
        <v>41133</v>
      </c>
      <c r="H5651" t="s">
        <v>182</v>
      </c>
      <c r="I5651">
        <v>15</v>
      </c>
      <c r="J5651">
        <v>4</v>
      </c>
      <c r="K5651">
        <v>1</v>
      </c>
      <c r="L5651">
        <v>54725</v>
      </c>
      <c r="M5651" t="str">
        <f t="shared" si="883"/>
        <v>13</v>
      </c>
      <c r="N5651" t="s">
        <v>3323</v>
      </c>
      <c r="O5651" t="str">
        <f t="shared" si="884"/>
        <v>73011</v>
      </c>
      <c r="P5651" t="str">
        <f t="shared" si="886"/>
        <v>2100L</v>
      </c>
      <c r="Q5651" t="str">
        <f t="shared" si="885"/>
        <v>0101</v>
      </c>
      <c r="R5651">
        <v>2100</v>
      </c>
      <c r="S5651" t="str">
        <f t="shared" si="882"/>
        <v>7300</v>
      </c>
      <c r="T5651" t="s">
        <v>3732</v>
      </c>
      <c r="U5651" t="s">
        <v>2853</v>
      </c>
    </row>
    <row r="5652" spans="1:21" ht="15" customHeight="1" x14ac:dyDescent="0.3">
      <c r="A5652" t="s">
        <v>179</v>
      </c>
      <c r="B5652" t="str">
        <f>"00066671"</f>
        <v>00066671</v>
      </c>
      <c r="C5652" t="s">
        <v>4263</v>
      </c>
      <c r="D5652" t="s">
        <v>2927</v>
      </c>
      <c r="E5652" t="str">
        <f>"00055930"</f>
        <v>00055930</v>
      </c>
      <c r="F5652">
        <v>0</v>
      </c>
      <c r="G5652" s="243">
        <v>41133</v>
      </c>
      <c r="H5652" t="s">
        <v>182</v>
      </c>
      <c r="I5652">
        <v>15</v>
      </c>
      <c r="J5652">
        <v>8</v>
      </c>
      <c r="K5652">
        <v>1</v>
      </c>
      <c r="L5652">
        <v>72171</v>
      </c>
      <c r="M5652" t="str">
        <f t="shared" si="883"/>
        <v>13</v>
      </c>
      <c r="N5652" t="s">
        <v>3370</v>
      </c>
      <c r="O5652" t="str">
        <f t="shared" si="884"/>
        <v>73011</v>
      </c>
      <c r="P5652" t="str">
        <f t="shared" si="886"/>
        <v>2100L</v>
      </c>
      <c r="Q5652" t="str">
        <f t="shared" si="885"/>
        <v>0101</v>
      </c>
      <c r="R5652">
        <v>2100</v>
      </c>
      <c r="S5652" t="str">
        <f t="shared" si="882"/>
        <v>7300</v>
      </c>
      <c r="T5652" t="s">
        <v>3732</v>
      </c>
      <c r="U5652" t="s">
        <v>2853</v>
      </c>
    </row>
    <row r="5653" spans="1:21" ht="15" customHeight="1" x14ac:dyDescent="0.3">
      <c r="A5653" t="s">
        <v>179</v>
      </c>
      <c r="B5653" t="str">
        <f>"00066672"</f>
        <v>00066672</v>
      </c>
      <c r="C5653" t="s">
        <v>4253</v>
      </c>
      <c r="D5653" t="s">
        <v>4176</v>
      </c>
      <c r="E5653" t="str">
        <f>"00065845"</f>
        <v>00065845</v>
      </c>
      <c r="F5653">
        <v>0</v>
      </c>
      <c r="G5653" s="243">
        <v>40755</v>
      </c>
      <c r="H5653" t="s">
        <v>182</v>
      </c>
      <c r="I5653">
        <v>15</v>
      </c>
      <c r="J5653">
        <v>2</v>
      </c>
      <c r="K5653">
        <v>1</v>
      </c>
      <c r="L5653">
        <v>51716</v>
      </c>
      <c r="M5653" t="str">
        <f t="shared" si="883"/>
        <v>13</v>
      </c>
      <c r="N5653" t="s">
        <v>3323</v>
      </c>
      <c r="O5653" t="str">
        <f t="shared" si="884"/>
        <v>73011</v>
      </c>
      <c r="P5653" t="str">
        <f t="shared" si="886"/>
        <v>2100L</v>
      </c>
      <c r="Q5653" t="str">
        <f t="shared" si="885"/>
        <v>0101</v>
      </c>
      <c r="R5653">
        <v>2100</v>
      </c>
      <c r="S5653" t="str">
        <f t="shared" si="882"/>
        <v>7300</v>
      </c>
      <c r="T5653" t="s">
        <v>3732</v>
      </c>
      <c r="U5653" t="s">
        <v>2853</v>
      </c>
    </row>
    <row r="5654" spans="1:21" ht="15" customHeight="1" x14ac:dyDescent="0.3">
      <c r="A5654" t="s">
        <v>179</v>
      </c>
      <c r="B5654" t="str">
        <f>"00066673"</f>
        <v>00066673</v>
      </c>
      <c r="C5654" t="s">
        <v>4253</v>
      </c>
      <c r="D5654" t="s">
        <v>5925</v>
      </c>
      <c r="E5654" t="str">
        <f>"00069767"</f>
        <v>00069767</v>
      </c>
      <c r="F5654">
        <v>0</v>
      </c>
      <c r="G5654" s="243">
        <v>41133</v>
      </c>
      <c r="H5654" t="s">
        <v>182</v>
      </c>
      <c r="I5654">
        <v>15</v>
      </c>
      <c r="J5654">
        <v>7</v>
      </c>
      <c r="K5654">
        <v>1</v>
      </c>
      <c r="L5654">
        <v>71581</v>
      </c>
      <c r="M5654" t="str">
        <f t="shared" si="883"/>
        <v>13</v>
      </c>
      <c r="N5654" t="s">
        <v>3370</v>
      </c>
      <c r="O5654" t="str">
        <f t="shared" si="884"/>
        <v>73011</v>
      </c>
      <c r="P5654" t="str">
        <f t="shared" si="886"/>
        <v>2100L</v>
      </c>
      <c r="Q5654" t="str">
        <f t="shared" si="885"/>
        <v>0101</v>
      </c>
      <c r="R5654">
        <v>2100</v>
      </c>
      <c r="S5654" t="str">
        <f t="shared" si="882"/>
        <v>7300</v>
      </c>
      <c r="T5654" t="s">
        <v>3732</v>
      </c>
      <c r="U5654" t="s">
        <v>2853</v>
      </c>
    </row>
    <row r="5655" spans="1:21" ht="15" customHeight="1" x14ac:dyDescent="0.3">
      <c r="A5655" t="s">
        <v>179</v>
      </c>
      <c r="B5655" t="str">
        <f>"00066674"</f>
        <v>00066674</v>
      </c>
      <c r="C5655" t="s">
        <v>4253</v>
      </c>
      <c r="D5655" t="s">
        <v>3943</v>
      </c>
      <c r="E5655" t="str">
        <f>"00065661"</f>
        <v>00065661</v>
      </c>
      <c r="F5655">
        <v>0</v>
      </c>
      <c r="G5655" s="243">
        <v>40755</v>
      </c>
      <c r="H5655" t="s">
        <v>182</v>
      </c>
      <c r="I5655">
        <v>15</v>
      </c>
      <c r="J5655">
        <v>10</v>
      </c>
      <c r="K5655">
        <v>1</v>
      </c>
      <c r="L5655">
        <v>78273</v>
      </c>
      <c r="M5655" t="str">
        <f t="shared" si="883"/>
        <v>13</v>
      </c>
      <c r="N5655" t="s">
        <v>3370</v>
      </c>
      <c r="O5655" t="str">
        <f t="shared" si="884"/>
        <v>73011</v>
      </c>
      <c r="P5655" t="str">
        <f t="shared" si="886"/>
        <v>2100L</v>
      </c>
      <c r="Q5655" t="str">
        <f t="shared" si="885"/>
        <v>0101</v>
      </c>
      <c r="R5655">
        <v>2100</v>
      </c>
      <c r="S5655" t="str">
        <f t="shared" si="882"/>
        <v>7300</v>
      </c>
      <c r="T5655" t="s">
        <v>3732</v>
      </c>
      <c r="U5655" t="s">
        <v>2853</v>
      </c>
    </row>
    <row r="5656" spans="1:21" ht="15" customHeight="1" x14ac:dyDescent="0.3">
      <c r="A5656" t="s">
        <v>179</v>
      </c>
      <c r="B5656" t="str">
        <f>"00066675"</f>
        <v>00066675</v>
      </c>
      <c r="C5656" t="s">
        <v>4253</v>
      </c>
      <c r="D5656" t="s">
        <v>893</v>
      </c>
      <c r="E5656" t="str">
        <f>"00044621"</f>
        <v>00044621</v>
      </c>
      <c r="F5656">
        <v>0</v>
      </c>
      <c r="G5656" s="243">
        <v>37928</v>
      </c>
      <c r="H5656" t="s">
        <v>182</v>
      </c>
      <c r="I5656">
        <v>15</v>
      </c>
      <c r="J5656">
        <v>10</v>
      </c>
      <c r="K5656">
        <v>1</v>
      </c>
      <c r="L5656">
        <v>78273</v>
      </c>
      <c r="M5656" t="str">
        <f t="shared" si="883"/>
        <v>13</v>
      </c>
      <c r="N5656" t="s">
        <v>3323</v>
      </c>
      <c r="O5656" t="str">
        <f t="shared" si="884"/>
        <v>73011</v>
      </c>
      <c r="P5656" t="str">
        <f t="shared" si="886"/>
        <v>2100L</v>
      </c>
      <c r="Q5656" t="str">
        <f t="shared" si="885"/>
        <v>0101</v>
      </c>
      <c r="R5656">
        <v>2100</v>
      </c>
      <c r="S5656" t="str">
        <f t="shared" ref="S5656:S5686" si="887">"7300"</f>
        <v>7300</v>
      </c>
      <c r="T5656" t="s">
        <v>3732</v>
      </c>
      <c r="U5656" t="s">
        <v>2853</v>
      </c>
    </row>
    <row r="5657" spans="1:21" ht="15" customHeight="1" x14ac:dyDescent="0.3">
      <c r="A5657" t="s">
        <v>179</v>
      </c>
      <c r="B5657" t="str">
        <f>"00066676"</f>
        <v>00066676</v>
      </c>
      <c r="C5657" t="s">
        <v>4253</v>
      </c>
      <c r="D5657" t="s">
        <v>2928</v>
      </c>
      <c r="E5657" t="str">
        <f>"00057700"</f>
        <v>00057700</v>
      </c>
      <c r="F5657">
        <v>0</v>
      </c>
      <c r="G5657" s="243">
        <v>40042</v>
      </c>
      <c r="H5657" t="s">
        <v>182</v>
      </c>
      <c r="I5657">
        <v>15</v>
      </c>
      <c r="J5657">
        <v>12</v>
      </c>
      <c r="K5657">
        <v>1</v>
      </c>
      <c r="L5657">
        <v>92613</v>
      </c>
      <c r="M5657" t="str">
        <f t="shared" si="883"/>
        <v>13</v>
      </c>
      <c r="N5657" t="s">
        <v>3323</v>
      </c>
      <c r="O5657" t="str">
        <f t="shared" si="884"/>
        <v>73011</v>
      </c>
      <c r="P5657" t="str">
        <f t="shared" si="886"/>
        <v>2100L</v>
      </c>
      <c r="Q5657" t="str">
        <f t="shared" si="885"/>
        <v>0101</v>
      </c>
      <c r="R5657">
        <v>2100</v>
      </c>
      <c r="S5657" t="str">
        <f t="shared" si="887"/>
        <v>7300</v>
      </c>
      <c r="T5657" t="s">
        <v>3732</v>
      </c>
      <c r="U5657" t="s">
        <v>2853</v>
      </c>
    </row>
    <row r="5658" spans="1:21" ht="15" customHeight="1" x14ac:dyDescent="0.3">
      <c r="A5658" t="s">
        <v>179</v>
      </c>
      <c r="B5658" t="str">
        <f>"00067071"</f>
        <v>00067071</v>
      </c>
      <c r="C5658" t="s">
        <v>3670</v>
      </c>
      <c r="D5658" t="s">
        <v>2929</v>
      </c>
      <c r="E5658" t="str">
        <f>"00048281"</f>
        <v>00048281</v>
      </c>
      <c r="F5658">
        <v>0</v>
      </c>
      <c r="G5658" s="243">
        <v>32636</v>
      </c>
      <c r="H5658" t="s">
        <v>182</v>
      </c>
      <c r="I5658">
        <v>8</v>
      </c>
      <c r="J5658">
        <v>6</v>
      </c>
      <c r="K5658">
        <v>1</v>
      </c>
      <c r="L5658">
        <v>94825</v>
      </c>
      <c r="M5658" t="str">
        <f t="shared" si="883"/>
        <v>13</v>
      </c>
      <c r="N5658" t="s">
        <v>3323</v>
      </c>
      <c r="O5658" t="str">
        <f t="shared" si="884"/>
        <v>73011</v>
      </c>
      <c r="P5658" t="str">
        <f>"1501L"</f>
        <v>1501L</v>
      </c>
      <c r="Q5658" t="str">
        <f t="shared" si="885"/>
        <v>0101</v>
      </c>
      <c r="R5658">
        <v>1501</v>
      </c>
      <c r="S5658" t="str">
        <f t="shared" si="887"/>
        <v>7300</v>
      </c>
      <c r="T5658" t="s">
        <v>3732</v>
      </c>
      <c r="U5658" t="s">
        <v>2853</v>
      </c>
    </row>
    <row r="5659" spans="1:21" ht="15" customHeight="1" x14ac:dyDescent="0.3">
      <c r="A5659" t="s">
        <v>179</v>
      </c>
      <c r="B5659" t="str">
        <f>"00068197"</f>
        <v>00068197</v>
      </c>
      <c r="C5659" t="s">
        <v>5662</v>
      </c>
      <c r="D5659" t="s">
        <v>811</v>
      </c>
      <c r="E5659" t="str">
        <f>"00058192"</f>
        <v>00058192</v>
      </c>
      <c r="F5659">
        <v>0</v>
      </c>
      <c r="G5659" s="243">
        <v>40056</v>
      </c>
      <c r="H5659" t="s">
        <v>182</v>
      </c>
      <c r="I5659">
        <v>9</v>
      </c>
      <c r="J5659">
        <v>12</v>
      </c>
      <c r="K5659">
        <v>0.5</v>
      </c>
      <c r="L5659">
        <v>64339</v>
      </c>
      <c r="M5659" t="str">
        <f t="shared" si="883"/>
        <v>13</v>
      </c>
      <c r="N5659" t="s">
        <v>3370</v>
      </c>
      <c r="O5659" t="str">
        <f>"73082"</f>
        <v>73082</v>
      </c>
      <c r="P5659" t="str">
        <f>"5700S"</f>
        <v>5700S</v>
      </c>
      <c r="Q5659" t="str">
        <f>"0602"</f>
        <v>0602</v>
      </c>
      <c r="R5659">
        <v>5700</v>
      </c>
      <c r="S5659" t="str">
        <f t="shared" si="887"/>
        <v>7300</v>
      </c>
      <c r="T5659" t="s">
        <v>3732</v>
      </c>
      <c r="U5659" t="s">
        <v>2853</v>
      </c>
    </row>
    <row r="5660" spans="1:21" ht="15" customHeight="1" x14ac:dyDescent="0.3">
      <c r="A5660" t="s">
        <v>179</v>
      </c>
      <c r="B5660" t="str">
        <f>"00068197"</f>
        <v>00068197</v>
      </c>
      <c r="C5660" t="s">
        <v>5662</v>
      </c>
      <c r="D5660" t="s">
        <v>811</v>
      </c>
      <c r="E5660" t="str">
        <f>"00058192"</f>
        <v>00058192</v>
      </c>
      <c r="F5660">
        <v>0</v>
      </c>
      <c r="G5660" s="243">
        <v>40056</v>
      </c>
      <c r="H5660" t="s">
        <v>182</v>
      </c>
      <c r="I5660">
        <v>9</v>
      </c>
      <c r="J5660">
        <v>12</v>
      </c>
      <c r="K5660">
        <v>0.5</v>
      </c>
      <c r="L5660">
        <v>64339</v>
      </c>
      <c r="M5660" t="str">
        <f t="shared" si="883"/>
        <v>13</v>
      </c>
      <c r="N5660" t="s">
        <v>3370</v>
      </c>
      <c r="O5660" t="str">
        <f t="shared" ref="O5660:O5690" si="888">"73011"</f>
        <v>73011</v>
      </c>
      <c r="P5660" t="str">
        <f>"5700L"</f>
        <v>5700L</v>
      </c>
      <c r="Q5660" t="str">
        <f t="shared" ref="Q5660:Q5716" si="889">"0101"</f>
        <v>0101</v>
      </c>
      <c r="R5660">
        <v>5700</v>
      </c>
      <c r="S5660" t="str">
        <f t="shared" si="887"/>
        <v>7300</v>
      </c>
      <c r="T5660" t="s">
        <v>3732</v>
      </c>
      <c r="U5660" t="s">
        <v>2853</v>
      </c>
    </row>
    <row r="5661" spans="1:21" ht="15" customHeight="1" x14ac:dyDescent="0.3">
      <c r="A5661" t="s">
        <v>179</v>
      </c>
      <c r="B5661" t="str">
        <f>"00068266"</f>
        <v>00068266</v>
      </c>
      <c r="C5661" t="s">
        <v>4258</v>
      </c>
      <c r="D5661" t="s">
        <v>4177</v>
      </c>
      <c r="E5661" t="str">
        <f>"00066575"</f>
        <v>00066575</v>
      </c>
      <c r="F5661">
        <v>0</v>
      </c>
      <c r="G5661" s="243">
        <v>40798</v>
      </c>
      <c r="H5661" t="s">
        <v>182</v>
      </c>
      <c r="I5661">
        <v>15</v>
      </c>
      <c r="J5661">
        <v>2</v>
      </c>
      <c r="K5661">
        <v>1</v>
      </c>
      <c r="L5661">
        <v>56242</v>
      </c>
      <c r="M5661" t="str">
        <f t="shared" si="883"/>
        <v>13</v>
      </c>
      <c r="N5661" t="s">
        <v>3323</v>
      </c>
      <c r="O5661" t="str">
        <f t="shared" si="888"/>
        <v>73011</v>
      </c>
      <c r="P5661" t="str">
        <f>"2100L"</f>
        <v>2100L</v>
      </c>
      <c r="Q5661" t="str">
        <f t="shared" si="889"/>
        <v>0101</v>
      </c>
      <c r="R5661">
        <v>2100</v>
      </c>
      <c r="S5661" t="str">
        <f t="shared" si="887"/>
        <v>7300</v>
      </c>
      <c r="T5661" t="s">
        <v>3732</v>
      </c>
      <c r="U5661" t="s">
        <v>2853</v>
      </c>
    </row>
    <row r="5662" spans="1:21" ht="15" customHeight="1" x14ac:dyDescent="0.3">
      <c r="A5662" t="s">
        <v>179</v>
      </c>
      <c r="B5662" t="str">
        <f>"00068347"</f>
        <v>00068347</v>
      </c>
      <c r="C5662" t="s">
        <v>4341</v>
      </c>
      <c r="D5662" t="s">
        <v>2930</v>
      </c>
      <c r="E5662" t="str">
        <f>"00049135"</f>
        <v>00049135</v>
      </c>
      <c r="F5662">
        <v>0</v>
      </c>
      <c r="G5662" s="243">
        <v>38474</v>
      </c>
      <c r="H5662" t="s">
        <v>182</v>
      </c>
      <c r="I5662">
        <v>10</v>
      </c>
      <c r="J5662">
        <v>9</v>
      </c>
      <c r="K5662">
        <v>1</v>
      </c>
      <c r="L5662">
        <v>88084</v>
      </c>
      <c r="M5662" t="str">
        <f t="shared" si="883"/>
        <v>13</v>
      </c>
      <c r="N5662" t="s">
        <v>3323</v>
      </c>
      <c r="O5662" t="str">
        <f t="shared" si="888"/>
        <v>73011</v>
      </c>
      <c r="P5662" t="str">
        <f>"3030L"</f>
        <v>3030L</v>
      </c>
      <c r="Q5662" t="str">
        <f t="shared" si="889"/>
        <v>0101</v>
      </c>
      <c r="R5662">
        <v>3030</v>
      </c>
      <c r="S5662" t="str">
        <f t="shared" si="887"/>
        <v>7300</v>
      </c>
      <c r="T5662" t="s">
        <v>3732</v>
      </c>
      <c r="U5662" t="s">
        <v>2853</v>
      </c>
    </row>
    <row r="5663" spans="1:21" ht="15" customHeight="1" x14ac:dyDescent="0.3">
      <c r="A5663" t="s">
        <v>179</v>
      </c>
      <c r="B5663" t="str">
        <f>"00070729"</f>
        <v>00070729</v>
      </c>
      <c r="C5663" t="s">
        <v>4253</v>
      </c>
      <c r="D5663" t="s">
        <v>5926</v>
      </c>
      <c r="E5663" t="str">
        <f>"00069770"</f>
        <v>00069770</v>
      </c>
      <c r="F5663">
        <v>0</v>
      </c>
      <c r="G5663" s="243">
        <v>41133</v>
      </c>
      <c r="H5663" t="s">
        <v>182</v>
      </c>
      <c r="I5663">
        <v>15</v>
      </c>
      <c r="J5663">
        <v>1</v>
      </c>
      <c r="K5663">
        <v>1</v>
      </c>
      <c r="L5663">
        <v>51539</v>
      </c>
      <c r="M5663" t="str">
        <f t="shared" si="883"/>
        <v>13</v>
      </c>
      <c r="N5663" t="s">
        <v>3370</v>
      </c>
      <c r="O5663" t="str">
        <f t="shared" si="888"/>
        <v>73011</v>
      </c>
      <c r="P5663" t="str">
        <f>"2100L"</f>
        <v>2100L</v>
      </c>
      <c r="Q5663" t="str">
        <f t="shared" si="889"/>
        <v>0101</v>
      </c>
      <c r="R5663">
        <v>2100</v>
      </c>
      <c r="S5663" t="str">
        <f t="shared" si="887"/>
        <v>7300</v>
      </c>
      <c r="T5663" t="s">
        <v>3732</v>
      </c>
      <c r="U5663" t="s">
        <v>2853</v>
      </c>
    </row>
    <row r="5664" spans="1:21" ht="15" customHeight="1" x14ac:dyDescent="0.3">
      <c r="A5664" t="s">
        <v>179</v>
      </c>
      <c r="B5664" t="str">
        <f>"00070779"</f>
        <v>00070779</v>
      </c>
      <c r="C5664" t="s">
        <v>4260</v>
      </c>
      <c r="D5664" t="s">
        <v>2931</v>
      </c>
      <c r="E5664" t="str">
        <f>"00048920"</f>
        <v>00048920</v>
      </c>
      <c r="F5664">
        <v>0</v>
      </c>
      <c r="G5664" s="243">
        <v>40135</v>
      </c>
      <c r="H5664" t="s">
        <v>182</v>
      </c>
      <c r="I5664">
        <v>15</v>
      </c>
      <c r="J5664">
        <v>12</v>
      </c>
      <c r="K5664">
        <v>1</v>
      </c>
      <c r="L5664">
        <v>87431</v>
      </c>
      <c r="M5664" t="str">
        <f t="shared" si="883"/>
        <v>13</v>
      </c>
      <c r="N5664" t="s">
        <v>3370</v>
      </c>
      <c r="O5664" t="str">
        <f t="shared" si="888"/>
        <v>73011</v>
      </c>
      <c r="P5664" t="str">
        <f>"3030L"</f>
        <v>3030L</v>
      </c>
      <c r="Q5664" t="str">
        <f t="shared" si="889"/>
        <v>0101</v>
      </c>
      <c r="R5664">
        <v>3030</v>
      </c>
      <c r="S5664" t="str">
        <f t="shared" si="887"/>
        <v>7300</v>
      </c>
      <c r="T5664" t="s">
        <v>3732</v>
      </c>
      <c r="U5664" t="s">
        <v>2853</v>
      </c>
    </row>
    <row r="5665" spans="1:21" ht="15" customHeight="1" x14ac:dyDescent="0.3">
      <c r="A5665" t="s">
        <v>179</v>
      </c>
      <c r="B5665" t="str">
        <f>"00070877"</f>
        <v>00070877</v>
      </c>
      <c r="C5665" t="s">
        <v>4260</v>
      </c>
      <c r="D5665" t="s">
        <v>4178</v>
      </c>
      <c r="E5665" t="str">
        <f>"00049166"</f>
        <v>00049166</v>
      </c>
      <c r="F5665">
        <v>0</v>
      </c>
      <c r="G5665" s="243">
        <v>39662</v>
      </c>
      <c r="H5665" t="s">
        <v>182</v>
      </c>
      <c r="I5665">
        <v>15</v>
      </c>
      <c r="J5665">
        <v>8</v>
      </c>
      <c r="K5665">
        <v>1</v>
      </c>
      <c r="L5665">
        <v>72171</v>
      </c>
      <c r="M5665" t="str">
        <f t="shared" si="883"/>
        <v>13</v>
      </c>
      <c r="N5665" t="s">
        <v>3370</v>
      </c>
      <c r="O5665" t="str">
        <f t="shared" si="888"/>
        <v>73011</v>
      </c>
      <c r="P5665" t="str">
        <f t="shared" ref="P5665:P5675" si="890">"2100L"</f>
        <v>2100L</v>
      </c>
      <c r="Q5665" t="str">
        <f t="shared" si="889"/>
        <v>0101</v>
      </c>
      <c r="R5665">
        <v>2100</v>
      </c>
      <c r="S5665" t="str">
        <f t="shared" si="887"/>
        <v>7300</v>
      </c>
      <c r="T5665" t="s">
        <v>3732</v>
      </c>
      <c r="U5665" t="s">
        <v>2853</v>
      </c>
    </row>
    <row r="5666" spans="1:21" ht="15" customHeight="1" x14ac:dyDescent="0.3">
      <c r="A5666" t="s">
        <v>179</v>
      </c>
      <c r="B5666" t="str">
        <f>"00071339"</f>
        <v>00071339</v>
      </c>
      <c r="C5666" t="s">
        <v>4253</v>
      </c>
      <c r="D5666" t="s">
        <v>2932</v>
      </c>
      <c r="E5666" t="str">
        <f>"00060150"</f>
        <v>00060150</v>
      </c>
      <c r="F5666">
        <v>0</v>
      </c>
      <c r="G5666" s="243">
        <v>40182</v>
      </c>
      <c r="H5666" t="s">
        <v>182</v>
      </c>
      <c r="I5666">
        <v>15</v>
      </c>
      <c r="J5666">
        <v>4</v>
      </c>
      <c r="K5666">
        <v>1</v>
      </c>
      <c r="L5666">
        <v>54725</v>
      </c>
      <c r="M5666" t="str">
        <f t="shared" si="883"/>
        <v>13</v>
      </c>
      <c r="N5666" t="s">
        <v>3370</v>
      </c>
      <c r="O5666" t="str">
        <f t="shared" si="888"/>
        <v>73011</v>
      </c>
      <c r="P5666" t="str">
        <f t="shared" si="890"/>
        <v>2100L</v>
      </c>
      <c r="Q5666" t="str">
        <f t="shared" si="889"/>
        <v>0101</v>
      </c>
      <c r="R5666">
        <v>2100</v>
      </c>
      <c r="S5666" t="str">
        <f t="shared" si="887"/>
        <v>7300</v>
      </c>
      <c r="T5666" t="s">
        <v>3732</v>
      </c>
      <c r="U5666" t="s">
        <v>2853</v>
      </c>
    </row>
    <row r="5667" spans="1:21" ht="15" customHeight="1" x14ac:dyDescent="0.3">
      <c r="A5667" t="s">
        <v>179</v>
      </c>
      <c r="B5667" t="str">
        <f>"00072282"</f>
        <v>00072282</v>
      </c>
      <c r="C5667" t="s">
        <v>4253</v>
      </c>
      <c r="D5667" t="s">
        <v>2933</v>
      </c>
      <c r="E5667" t="str">
        <f>"00062737"</f>
        <v>00062737</v>
      </c>
      <c r="F5667">
        <v>0</v>
      </c>
      <c r="G5667" s="243">
        <v>40406</v>
      </c>
      <c r="H5667" t="s">
        <v>182</v>
      </c>
      <c r="I5667">
        <v>15</v>
      </c>
      <c r="J5667">
        <v>8</v>
      </c>
      <c r="K5667">
        <v>1</v>
      </c>
      <c r="L5667">
        <v>63517</v>
      </c>
      <c r="M5667" t="str">
        <f t="shared" si="883"/>
        <v>13</v>
      </c>
      <c r="N5667" t="s">
        <v>3323</v>
      </c>
      <c r="O5667" t="str">
        <f t="shared" si="888"/>
        <v>73011</v>
      </c>
      <c r="P5667" t="str">
        <f t="shared" si="890"/>
        <v>2100L</v>
      </c>
      <c r="Q5667" t="str">
        <f t="shared" si="889"/>
        <v>0101</v>
      </c>
      <c r="R5667">
        <v>2100</v>
      </c>
      <c r="S5667" t="str">
        <f t="shared" si="887"/>
        <v>7300</v>
      </c>
      <c r="T5667" t="s">
        <v>3732</v>
      </c>
      <c r="U5667" t="s">
        <v>2853</v>
      </c>
    </row>
    <row r="5668" spans="1:21" ht="15" customHeight="1" x14ac:dyDescent="0.3">
      <c r="A5668" t="s">
        <v>179</v>
      </c>
      <c r="B5668" t="str">
        <f>"00072365"</f>
        <v>00072365</v>
      </c>
      <c r="C5668" t="s">
        <v>4253</v>
      </c>
      <c r="D5668" t="s">
        <v>4179</v>
      </c>
      <c r="E5668" t="str">
        <f>"00065762"</f>
        <v>00065762</v>
      </c>
      <c r="F5668">
        <v>0</v>
      </c>
      <c r="G5668" s="243">
        <v>40755</v>
      </c>
      <c r="H5668" t="s">
        <v>182</v>
      </c>
      <c r="I5668">
        <v>15</v>
      </c>
      <c r="J5668">
        <v>1</v>
      </c>
      <c r="K5668">
        <v>0.5</v>
      </c>
      <c r="L5668">
        <v>25769.5</v>
      </c>
      <c r="M5668" t="str">
        <f t="shared" si="883"/>
        <v>13</v>
      </c>
      <c r="N5668" t="s">
        <v>3323</v>
      </c>
      <c r="O5668" t="str">
        <f t="shared" si="888"/>
        <v>73011</v>
      </c>
      <c r="P5668" t="str">
        <f t="shared" si="890"/>
        <v>2100L</v>
      </c>
      <c r="Q5668" t="str">
        <f t="shared" si="889"/>
        <v>0101</v>
      </c>
      <c r="R5668">
        <v>2100</v>
      </c>
      <c r="S5668" t="str">
        <f t="shared" si="887"/>
        <v>7300</v>
      </c>
      <c r="T5668" t="s">
        <v>3732</v>
      </c>
      <c r="U5668" t="s">
        <v>2853</v>
      </c>
    </row>
    <row r="5669" spans="1:21" ht="15" customHeight="1" x14ac:dyDescent="0.3">
      <c r="A5669" t="s">
        <v>179</v>
      </c>
      <c r="B5669" t="str">
        <f>"00072382"</f>
        <v>00072382</v>
      </c>
      <c r="C5669" t="s">
        <v>4253</v>
      </c>
      <c r="D5669" t="s">
        <v>2934</v>
      </c>
      <c r="E5669" t="str">
        <f>"00062802"</f>
        <v>00062802</v>
      </c>
      <c r="F5669">
        <v>0</v>
      </c>
      <c r="G5669" s="243">
        <v>40406</v>
      </c>
      <c r="H5669" t="s">
        <v>182</v>
      </c>
      <c r="I5669">
        <v>15</v>
      </c>
      <c r="J5669">
        <v>12</v>
      </c>
      <c r="K5669">
        <v>1</v>
      </c>
      <c r="L5669">
        <v>87431</v>
      </c>
      <c r="M5669" t="str">
        <f t="shared" si="883"/>
        <v>13</v>
      </c>
      <c r="N5669" t="s">
        <v>3323</v>
      </c>
      <c r="O5669" t="str">
        <f t="shared" si="888"/>
        <v>73011</v>
      </c>
      <c r="P5669" t="str">
        <f t="shared" si="890"/>
        <v>2100L</v>
      </c>
      <c r="Q5669" t="str">
        <f t="shared" si="889"/>
        <v>0101</v>
      </c>
      <c r="R5669">
        <v>2100</v>
      </c>
      <c r="S5669" t="str">
        <f t="shared" si="887"/>
        <v>7300</v>
      </c>
      <c r="T5669" t="s">
        <v>3732</v>
      </c>
      <c r="U5669" t="s">
        <v>2853</v>
      </c>
    </row>
    <row r="5670" spans="1:21" ht="15" customHeight="1" x14ac:dyDescent="0.3">
      <c r="A5670" t="s">
        <v>179</v>
      </c>
      <c r="B5670" t="str">
        <f>"00072406"</f>
        <v>00072406</v>
      </c>
      <c r="C5670" t="s">
        <v>4253</v>
      </c>
      <c r="D5670" t="s">
        <v>4180</v>
      </c>
      <c r="E5670" t="str">
        <f>"00047750"</f>
        <v>00047750</v>
      </c>
      <c r="F5670">
        <v>0</v>
      </c>
      <c r="G5670" s="243">
        <v>41133</v>
      </c>
      <c r="H5670" t="s">
        <v>182</v>
      </c>
      <c r="I5670">
        <v>15</v>
      </c>
      <c r="J5670">
        <v>5</v>
      </c>
      <c r="K5670">
        <v>1</v>
      </c>
      <c r="L5670">
        <v>59087</v>
      </c>
      <c r="M5670" t="str">
        <f t="shared" si="883"/>
        <v>13</v>
      </c>
      <c r="N5670" t="s">
        <v>3323</v>
      </c>
      <c r="O5670" t="str">
        <f t="shared" si="888"/>
        <v>73011</v>
      </c>
      <c r="P5670" t="str">
        <f t="shared" si="890"/>
        <v>2100L</v>
      </c>
      <c r="Q5670" t="str">
        <f t="shared" si="889"/>
        <v>0101</v>
      </c>
      <c r="R5670">
        <v>2100</v>
      </c>
      <c r="S5670" t="str">
        <f t="shared" si="887"/>
        <v>7300</v>
      </c>
      <c r="T5670" t="s">
        <v>3732</v>
      </c>
      <c r="U5670" t="s">
        <v>2853</v>
      </c>
    </row>
    <row r="5671" spans="1:21" ht="15" customHeight="1" x14ac:dyDescent="0.3">
      <c r="A5671" t="s">
        <v>179</v>
      </c>
      <c r="B5671" t="str">
        <f>"00072438"</f>
        <v>00072438</v>
      </c>
      <c r="C5671" t="s">
        <v>4614</v>
      </c>
      <c r="D5671" t="s">
        <v>2935</v>
      </c>
      <c r="E5671" t="str">
        <f>"00046346"</f>
        <v>00046346</v>
      </c>
      <c r="F5671">
        <v>0</v>
      </c>
      <c r="G5671" s="243">
        <v>39482</v>
      </c>
      <c r="H5671" t="s">
        <v>182</v>
      </c>
      <c r="I5671">
        <v>7</v>
      </c>
      <c r="J5671">
        <v>10</v>
      </c>
      <c r="K5671">
        <v>1</v>
      </c>
      <c r="L5671">
        <v>44837</v>
      </c>
      <c r="M5671" t="str">
        <f t="shared" si="883"/>
        <v>13</v>
      </c>
      <c r="N5671" t="s">
        <v>3323</v>
      </c>
      <c r="O5671" t="str">
        <f t="shared" si="888"/>
        <v>73011</v>
      </c>
      <c r="P5671" t="str">
        <f t="shared" si="890"/>
        <v>2100L</v>
      </c>
      <c r="Q5671" t="str">
        <f t="shared" si="889"/>
        <v>0101</v>
      </c>
      <c r="R5671">
        <v>2100</v>
      </c>
      <c r="S5671" t="str">
        <f t="shared" si="887"/>
        <v>7300</v>
      </c>
      <c r="T5671" t="s">
        <v>3732</v>
      </c>
      <c r="U5671" t="s">
        <v>2853</v>
      </c>
    </row>
    <row r="5672" spans="1:21" ht="15" customHeight="1" x14ac:dyDescent="0.3">
      <c r="A5672" t="s">
        <v>179</v>
      </c>
      <c r="B5672" t="str">
        <f>"00072506"</f>
        <v>00072506</v>
      </c>
      <c r="C5672" t="s">
        <v>4290</v>
      </c>
      <c r="D5672" t="s">
        <v>5927</v>
      </c>
      <c r="E5672" t="str">
        <f>"00056173"</f>
        <v>00056173</v>
      </c>
      <c r="F5672">
        <v>0</v>
      </c>
      <c r="G5672" s="243">
        <v>40448</v>
      </c>
      <c r="H5672" t="s">
        <v>182</v>
      </c>
      <c r="I5672">
        <v>4</v>
      </c>
      <c r="J5672">
        <v>5</v>
      </c>
      <c r="K5672">
        <v>0.71</v>
      </c>
      <c r="L5672">
        <v>25239.37</v>
      </c>
      <c r="M5672" t="str">
        <f t="shared" si="883"/>
        <v>13</v>
      </c>
      <c r="N5672" t="s">
        <v>3323</v>
      </c>
      <c r="O5672" t="str">
        <f t="shared" si="888"/>
        <v>73011</v>
      </c>
      <c r="P5672" t="str">
        <f t="shared" si="890"/>
        <v>2100L</v>
      </c>
      <c r="Q5672" t="str">
        <f t="shared" si="889"/>
        <v>0101</v>
      </c>
      <c r="R5672">
        <v>2100</v>
      </c>
      <c r="S5672" t="str">
        <f t="shared" si="887"/>
        <v>7300</v>
      </c>
      <c r="T5672" t="s">
        <v>3732</v>
      </c>
      <c r="U5672" t="s">
        <v>2853</v>
      </c>
    </row>
    <row r="5673" spans="1:21" ht="15" customHeight="1" x14ac:dyDescent="0.3">
      <c r="A5673" t="s">
        <v>179</v>
      </c>
      <c r="B5673" t="str">
        <f>"00072832"</f>
        <v>00072832</v>
      </c>
      <c r="C5673" t="s">
        <v>4574</v>
      </c>
      <c r="D5673" t="s">
        <v>1290</v>
      </c>
      <c r="E5673" t="str">
        <f>"00046906"</f>
        <v>00046906</v>
      </c>
      <c r="F5673">
        <v>0</v>
      </c>
      <c r="G5673" s="243">
        <v>33687</v>
      </c>
      <c r="H5673" t="s">
        <v>182</v>
      </c>
      <c r="I5673">
        <v>15</v>
      </c>
      <c r="J5673">
        <v>16</v>
      </c>
      <c r="K5673">
        <v>1</v>
      </c>
      <c r="L5673">
        <v>103347</v>
      </c>
      <c r="M5673" t="str">
        <f t="shared" si="883"/>
        <v>13</v>
      </c>
      <c r="N5673" t="s">
        <v>3323</v>
      </c>
      <c r="O5673" t="str">
        <f t="shared" si="888"/>
        <v>73011</v>
      </c>
      <c r="P5673" t="str">
        <f t="shared" si="890"/>
        <v>2100L</v>
      </c>
      <c r="Q5673" t="str">
        <f t="shared" si="889"/>
        <v>0101</v>
      </c>
      <c r="R5673">
        <v>2100</v>
      </c>
      <c r="S5673" t="str">
        <f t="shared" si="887"/>
        <v>7300</v>
      </c>
      <c r="T5673" t="s">
        <v>3732</v>
      </c>
      <c r="U5673" t="s">
        <v>2853</v>
      </c>
    </row>
    <row r="5674" spans="1:21" ht="15" customHeight="1" x14ac:dyDescent="0.3">
      <c r="A5674" t="s">
        <v>179</v>
      </c>
      <c r="B5674" t="str">
        <f>"00072833"</f>
        <v>00072833</v>
      </c>
      <c r="C5674" t="s">
        <v>4254</v>
      </c>
      <c r="D5674" t="s">
        <v>2938</v>
      </c>
      <c r="E5674" t="str">
        <f>"00051864"</f>
        <v>00051864</v>
      </c>
      <c r="F5674">
        <v>0</v>
      </c>
      <c r="G5674" s="243">
        <v>40184</v>
      </c>
      <c r="H5674" t="s">
        <v>182</v>
      </c>
      <c r="I5674">
        <v>15</v>
      </c>
      <c r="J5674">
        <v>16</v>
      </c>
      <c r="K5674">
        <v>1</v>
      </c>
      <c r="L5674">
        <v>103347</v>
      </c>
      <c r="M5674" t="str">
        <f t="shared" si="883"/>
        <v>13</v>
      </c>
      <c r="N5674" t="s">
        <v>3323</v>
      </c>
      <c r="O5674" t="str">
        <f t="shared" si="888"/>
        <v>73011</v>
      </c>
      <c r="P5674" t="str">
        <f t="shared" si="890"/>
        <v>2100L</v>
      </c>
      <c r="Q5674" t="str">
        <f t="shared" si="889"/>
        <v>0101</v>
      </c>
      <c r="R5674">
        <v>2100</v>
      </c>
      <c r="S5674" t="str">
        <f t="shared" si="887"/>
        <v>7300</v>
      </c>
      <c r="T5674" t="s">
        <v>3732</v>
      </c>
      <c r="U5674" t="s">
        <v>2853</v>
      </c>
    </row>
    <row r="5675" spans="1:21" ht="15" customHeight="1" x14ac:dyDescent="0.3">
      <c r="A5675" t="s">
        <v>179</v>
      </c>
      <c r="B5675" t="str">
        <f>"00073762"</f>
        <v>00073762</v>
      </c>
      <c r="C5675" t="s">
        <v>4253</v>
      </c>
      <c r="D5675" t="s">
        <v>2920</v>
      </c>
      <c r="E5675" t="str">
        <f>"00044997"</f>
        <v>00044997</v>
      </c>
      <c r="F5675">
        <v>0</v>
      </c>
      <c r="G5675" s="243">
        <v>39679</v>
      </c>
      <c r="H5675" t="s">
        <v>182</v>
      </c>
      <c r="I5675">
        <v>15</v>
      </c>
      <c r="J5675">
        <v>12</v>
      </c>
      <c r="K5675">
        <v>1</v>
      </c>
      <c r="L5675">
        <v>87431</v>
      </c>
      <c r="M5675" t="str">
        <f t="shared" si="883"/>
        <v>13</v>
      </c>
      <c r="N5675" t="s">
        <v>3323</v>
      </c>
      <c r="O5675" t="str">
        <f t="shared" si="888"/>
        <v>73011</v>
      </c>
      <c r="P5675" t="str">
        <f t="shared" si="890"/>
        <v>2100L</v>
      </c>
      <c r="Q5675" t="str">
        <f t="shared" si="889"/>
        <v>0101</v>
      </c>
      <c r="R5675">
        <v>2100</v>
      </c>
      <c r="S5675" t="str">
        <f t="shared" si="887"/>
        <v>7300</v>
      </c>
      <c r="T5675" t="s">
        <v>3732</v>
      </c>
      <c r="U5675" t="s">
        <v>2853</v>
      </c>
    </row>
    <row r="5676" spans="1:21" ht="15" customHeight="1" x14ac:dyDescent="0.3">
      <c r="A5676" t="s">
        <v>179</v>
      </c>
      <c r="B5676" t="str">
        <f>"00074057"</f>
        <v>00074057</v>
      </c>
      <c r="C5676" t="s">
        <v>4306</v>
      </c>
      <c r="D5676" t="s">
        <v>2939</v>
      </c>
      <c r="E5676" t="str">
        <f>"00041176"</f>
        <v>00041176</v>
      </c>
      <c r="F5676">
        <v>0</v>
      </c>
      <c r="G5676" s="243">
        <v>40117</v>
      </c>
      <c r="H5676" t="s">
        <v>182</v>
      </c>
      <c r="I5676">
        <v>9</v>
      </c>
      <c r="J5676">
        <v>4</v>
      </c>
      <c r="K5676">
        <v>1</v>
      </c>
      <c r="L5676">
        <v>36352</v>
      </c>
      <c r="M5676" t="str">
        <f t="shared" si="883"/>
        <v>13</v>
      </c>
      <c r="N5676" t="s">
        <v>3370</v>
      </c>
      <c r="O5676" t="str">
        <f t="shared" si="888"/>
        <v>73011</v>
      </c>
      <c r="P5676" t="str">
        <f>"1502L"</f>
        <v>1502L</v>
      </c>
      <c r="Q5676" t="str">
        <f t="shared" si="889"/>
        <v>0101</v>
      </c>
      <c r="R5676">
        <v>1502</v>
      </c>
      <c r="S5676" t="str">
        <f t="shared" si="887"/>
        <v>7300</v>
      </c>
      <c r="T5676" t="s">
        <v>3732</v>
      </c>
      <c r="U5676" t="s">
        <v>2853</v>
      </c>
    </row>
    <row r="5677" spans="1:21" ht="15" customHeight="1" x14ac:dyDescent="0.3">
      <c r="A5677" t="s">
        <v>179</v>
      </c>
      <c r="B5677" t="str">
        <f>"00074058"</f>
        <v>00074058</v>
      </c>
      <c r="C5677" t="s">
        <v>4306</v>
      </c>
      <c r="D5677" t="s">
        <v>5928</v>
      </c>
      <c r="E5677" t="str">
        <f>"00062630"</f>
        <v>00062630</v>
      </c>
      <c r="F5677">
        <v>0</v>
      </c>
      <c r="G5677" s="243">
        <v>40406</v>
      </c>
      <c r="H5677" t="s">
        <v>182</v>
      </c>
      <c r="I5677">
        <v>9</v>
      </c>
      <c r="J5677">
        <v>1</v>
      </c>
      <c r="K5677">
        <v>1</v>
      </c>
      <c r="L5677">
        <v>33163</v>
      </c>
      <c r="M5677" t="str">
        <f t="shared" si="883"/>
        <v>13</v>
      </c>
      <c r="N5677" t="s">
        <v>3323</v>
      </c>
      <c r="O5677" t="str">
        <f t="shared" si="888"/>
        <v>73011</v>
      </c>
      <c r="P5677" t="str">
        <f>"1502L"</f>
        <v>1502L</v>
      </c>
      <c r="Q5677" t="str">
        <f t="shared" si="889"/>
        <v>0101</v>
      </c>
      <c r="R5677">
        <v>1502</v>
      </c>
      <c r="S5677" t="str">
        <f t="shared" si="887"/>
        <v>7300</v>
      </c>
      <c r="T5677" t="s">
        <v>3732</v>
      </c>
      <c r="U5677" t="s">
        <v>2853</v>
      </c>
    </row>
    <row r="5678" spans="1:21" ht="15" customHeight="1" x14ac:dyDescent="0.3">
      <c r="A5678" t="s">
        <v>179</v>
      </c>
      <c r="B5678" t="str">
        <f>"00074061"</f>
        <v>00074061</v>
      </c>
      <c r="C5678" t="s">
        <v>4306</v>
      </c>
      <c r="D5678" t="s">
        <v>5929</v>
      </c>
      <c r="E5678" t="str">
        <f>"00062672"</f>
        <v>00062672</v>
      </c>
      <c r="F5678">
        <v>0</v>
      </c>
      <c r="G5678" s="243">
        <v>40406</v>
      </c>
      <c r="H5678" t="s">
        <v>182</v>
      </c>
      <c r="I5678">
        <v>9</v>
      </c>
      <c r="J5678">
        <v>1</v>
      </c>
      <c r="K5678">
        <v>1</v>
      </c>
      <c r="L5678">
        <v>33163</v>
      </c>
      <c r="M5678" t="str">
        <f t="shared" si="883"/>
        <v>13</v>
      </c>
      <c r="N5678" t="s">
        <v>3323</v>
      </c>
      <c r="O5678" t="str">
        <f t="shared" si="888"/>
        <v>73011</v>
      </c>
      <c r="P5678" t="str">
        <f>"1502L"</f>
        <v>1502L</v>
      </c>
      <c r="Q5678" t="str">
        <f t="shared" si="889"/>
        <v>0101</v>
      </c>
      <c r="R5678">
        <v>1502</v>
      </c>
      <c r="S5678" t="str">
        <f t="shared" si="887"/>
        <v>7300</v>
      </c>
      <c r="T5678" t="s">
        <v>3732</v>
      </c>
      <c r="U5678" t="s">
        <v>2853</v>
      </c>
    </row>
    <row r="5679" spans="1:21" ht="15" customHeight="1" x14ac:dyDescent="0.3">
      <c r="A5679" t="s">
        <v>179</v>
      </c>
      <c r="B5679" t="str">
        <f>"00074062"</f>
        <v>00074062</v>
      </c>
      <c r="C5679" t="s">
        <v>4367</v>
      </c>
      <c r="D5679" t="s">
        <v>5930</v>
      </c>
      <c r="E5679" t="str">
        <f>"00054914"</f>
        <v>00054914</v>
      </c>
      <c r="F5679">
        <v>0</v>
      </c>
      <c r="G5679" s="243">
        <v>40056</v>
      </c>
      <c r="H5679" t="s">
        <v>182</v>
      </c>
      <c r="I5679">
        <v>9</v>
      </c>
      <c r="J5679">
        <v>2</v>
      </c>
      <c r="K5679">
        <v>1</v>
      </c>
      <c r="L5679">
        <v>37949</v>
      </c>
      <c r="M5679" t="str">
        <f t="shared" si="883"/>
        <v>13</v>
      </c>
      <c r="N5679" t="s">
        <v>3323</v>
      </c>
      <c r="O5679" t="str">
        <f t="shared" si="888"/>
        <v>73011</v>
      </c>
      <c r="P5679" t="str">
        <f>"1502L"</f>
        <v>1502L</v>
      </c>
      <c r="Q5679" t="str">
        <f t="shared" si="889"/>
        <v>0101</v>
      </c>
      <c r="R5679">
        <v>1502</v>
      </c>
      <c r="S5679" t="str">
        <f t="shared" si="887"/>
        <v>7300</v>
      </c>
      <c r="T5679" t="s">
        <v>3732</v>
      </c>
      <c r="U5679" t="s">
        <v>2853</v>
      </c>
    </row>
    <row r="5680" spans="1:21" ht="15" customHeight="1" x14ac:dyDescent="0.3">
      <c r="A5680" t="s">
        <v>179</v>
      </c>
      <c r="B5680" t="str">
        <f>"00074063"</f>
        <v>00074063</v>
      </c>
      <c r="C5680" t="s">
        <v>4253</v>
      </c>
      <c r="D5680" t="s">
        <v>5931</v>
      </c>
      <c r="E5680" t="str">
        <f>"00069833"</f>
        <v>00069833</v>
      </c>
      <c r="F5680">
        <v>0</v>
      </c>
      <c r="G5680" s="243">
        <v>41133</v>
      </c>
      <c r="H5680" t="s">
        <v>182</v>
      </c>
      <c r="I5680">
        <v>15</v>
      </c>
      <c r="J5680">
        <v>1</v>
      </c>
      <c r="K5680">
        <v>1</v>
      </c>
      <c r="L5680">
        <v>51539</v>
      </c>
      <c r="M5680" t="str">
        <f t="shared" si="883"/>
        <v>13</v>
      </c>
      <c r="N5680" t="s">
        <v>3323</v>
      </c>
      <c r="O5680" t="str">
        <f t="shared" si="888"/>
        <v>73011</v>
      </c>
      <c r="P5680" t="str">
        <f t="shared" ref="P5680:P5685" si="891">"2100L"</f>
        <v>2100L</v>
      </c>
      <c r="Q5680" t="str">
        <f t="shared" si="889"/>
        <v>0101</v>
      </c>
      <c r="R5680">
        <v>2100</v>
      </c>
      <c r="S5680" t="str">
        <f t="shared" si="887"/>
        <v>7300</v>
      </c>
      <c r="T5680" t="s">
        <v>3732</v>
      </c>
      <c r="U5680" t="s">
        <v>2853</v>
      </c>
    </row>
    <row r="5681" spans="1:21" ht="15" customHeight="1" x14ac:dyDescent="0.3">
      <c r="A5681" t="s">
        <v>179</v>
      </c>
      <c r="B5681" t="str">
        <f>"00074416"</f>
        <v>00074416</v>
      </c>
      <c r="C5681" t="s">
        <v>4253</v>
      </c>
      <c r="D5681" t="s">
        <v>5932</v>
      </c>
      <c r="E5681" t="str">
        <f>"00059053"</f>
        <v>00059053</v>
      </c>
      <c r="F5681">
        <v>0</v>
      </c>
      <c r="G5681" s="243">
        <v>41175</v>
      </c>
      <c r="H5681" t="s">
        <v>182</v>
      </c>
      <c r="I5681">
        <v>15</v>
      </c>
      <c r="J5681">
        <v>6</v>
      </c>
      <c r="K5681">
        <v>1</v>
      </c>
      <c r="L5681">
        <v>58599</v>
      </c>
      <c r="M5681" t="str">
        <f t="shared" si="883"/>
        <v>13</v>
      </c>
      <c r="N5681" t="s">
        <v>3323</v>
      </c>
      <c r="O5681" t="str">
        <f t="shared" si="888"/>
        <v>73011</v>
      </c>
      <c r="P5681" t="str">
        <f t="shared" si="891"/>
        <v>2100L</v>
      </c>
      <c r="Q5681" t="str">
        <f t="shared" si="889"/>
        <v>0101</v>
      </c>
      <c r="R5681">
        <v>2100</v>
      </c>
      <c r="S5681" t="str">
        <f t="shared" si="887"/>
        <v>7300</v>
      </c>
      <c r="T5681" t="s">
        <v>3732</v>
      </c>
      <c r="U5681" t="s">
        <v>2853</v>
      </c>
    </row>
    <row r="5682" spans="1:21" ht="15" customHeight="1" x14ac:dyDescent="0.3">
      <c r="A5682" t="s">
        <v>179</v>
      </c>
      <c r="B5682" t="str">
        <f>"00074494"</f>
        <v>00074494</v>
      </c>
      <c r="C5682" t="s">
        <v>4253</v>
      </c>
      <c r="D5682" t="s">
        <v>4181</v>
      </c>
      <c r="E5682" t="str">
        <f>"00065664"</f>
        <v>00065664</v>
      </c>
      <c r="F5682">
        <v>0</v>
      </c>
      <c r="G5682" s="243">
        <v>40755</v>
      </c>
      <c r="H5682" t="s">
        <v>182</v>
      </c>
      <c r="I5682">
        <v>15</v>
      </c>
      <c r="J5682">
        <v>9</v>
      </c>
      <c r="K5682">
        <v>1</v>
      </c>
      <c r="L5682">
        <v>75232</v>
      </c>
      <c r="M5682" t="str">
        <f t="shared" si="883"/>
        <v>13</v>
      </c>
      <c r="N5682" t="s">
        <v>3323</v>
      </c>
      <c r="O5682" t="str">
        <f t="shared" si="888"/>
        <v>73011</v>
      </c>
      <c r="P5682" t="str">
        <f t="shared" si="891"/>
        <v>2100L</v>
      </c>
      <c r="Q5682" t="str">
        <f t="shared" si="889"/>
        <v>0101</v>
      </c>
      <c r="R5682">
        <v>2100</v>
      </c>
      <c r="S5682" t="str">
        <f t="shared" si="887"/>
        <v>7300</v>
      </c>
      <c r="T5682" t="s">
        <v>3732</v>
      </c>
      <c r="U5682" t="s">
        <v>2853</v>
      </c>
    </row>
    <row r="5683" spans="1:21" ht="15" customHeight="1" x14ac:dyDescent="0.3">
      <c r="A5683" t="s">
        <v>179</v>
      </c>
      <c r="B5683" t="str">
        <f>"00074495"</f>
        <v>00074495</v>
      </c>
      <c r="C5683" t="s">
        <v>4253</v>
      </c>
      <c r="D5683" t="s">
        <v>4182</v>
      </c>
      <c r="E5683" t="str">
        <f>"00065986"</f>
        <v>00065986</v>
      </c>
      <c r="F5683">
        <v>0</v>
      </c>
      <c r="G5683" s="243">
        <v>40755</v>
      </c>
      <c r="H5683" t="s">
        <v>182</v>
      </c>
      <c r="I5683">
        <v>15</v>
      </c>
      <c r="J5683">
        <v>7</v>
      </c>
      <c r="K5683">
        <v>1</v>
      </c>
      <c r="L5683">
        <v>69132</v>
      </c>
      <c r="M5683" t="str">
        <f t="shared" si="883"/>
        <v>13</v>
      </c>
      <c r="N5683" t="s">
        <v>3323</v>
      </c>
      <c r="O5683" t="str">
        <f t="shared" si="888"/>
        <v>73011</v>
      </c>
      <c r="P5683" t="str">
        <f t="shared" si="891"/>
        <v>2100L</v>
      </c>
      <c r="Q5683" t="str">
        <f t="shared" si="889"/>
        <v>0101</v>
      </c>
      <c r="R5683">
        <v>2100</v>
      </c>
      <c r="S5683" t="str">
        <f t="shared" si="887"/>
        <v>7300</v>
      </c>
      <c r="T5683" t="s">
        <v>3732</v>
      </c>
      <c r="U5683" t="s">
        <v>2853</v>
      </c>
    </row>
    <row r="5684" spans="1:21" ht="15" customHeight="1" x14ac:dyDescent="0.3">
      <c r="A5684" t="s">
        <v>179</v>
      </c>
      <c r="B5684" t="str">
        <f>"00074496"</f>
        <v>00074496</v>
      </c>
      <c r="C5684" t="s">
        <v>4372</v>
      </c>
      <c r="D5684" t="s">
        <v>5933</v>
      </c>
      <c r="E5684" t="str">
        <f>"00067334"</f>
        <v>00067334</v>
      </c>
      <c r="F5684">
        <v>0</v>
      </c>
      <c r="G5684" s="243">
        <v>40882</v>
      </c>
      <c r="H5684" t="s">
        <v>182</v>
      </c>
      <c r="I5684">
        <v>4</v>
      </c>
      <c r="J5684">
        <v>1</v>
      </c>
      <c r="K5684">
        <v>1</v>
      </c>
      <c r="L5684">
        <v>25662</v>
      </c>
      <c r="M5684" t="str">
        <f t="shared" si="883"/>
        <v>13</v>
      </c>
      <c r="N5684" t="s">
        <v>3323</v>
      </c>
      <c r="O5684" t="str">
        <f t="shared" si="888"/>
        <v>73011</v>
      </c>
      <c r="P5684" t="str">
        <f t="shared" si="891"/>
        <v>2100L</v>
      </c>
      <c r="Q5684" t="str">
        <f t="shared" si="889"/>
        <v>0101</v>
      </c>
      <c r="R5684">
        <v>2100</v>
      </c>
      <c r="S5684" t="str">
        <f t="shared" si="887"/>
        <v>7300</v>
      </c>
      <c r="T5684" t="s">
        <v>3732</v>
      </c>
      <c r="U5684" t="s">
        <v>2853</v>
      </c>
    </row>
    <row r="5685" spans="1:21" ht="15" customHeight="1" x14ac:dyDescent="0.3">
      <c r="A5685" t="s">
        <v>179</v>
      </c>
      <c r="B5685" t="str">
        <f>"00074497"</f>
        <v>00074497</v>
      </c>
      <c r="C5685" t="s">
        <v>200</v>
      </c>
      <c r="D5685" t="s">
        <v>4171</v>
      </c>
      <c r="E5685" t="str">
        <f>"00047671"</f>
        <v>00047671</v>
      </c>
      <c r="F5685">
        <v>0</v>
      </c>
      <c r="G5685" s="243">
        <v>27901</v>
      </c>
      <c r="H5685" t="s">
        <v>182</v>
      </c>
      <c r="I5685">
        <v>15</v>
      </c>
      <c r="J5685">
        <v>16</v>
      </c>
      <c r="K5685">
        <v>1</v>
      </c>
      <c r="L5685">
        <v>103347</v>
      </c>
      <c r="M5685" t="str">
        <f t="shared" si="883"/>
        <v>13</v>
      </c>
      <c r="N5685" t="s">
        <v>3323</v>
      </c>
      <c r="O5685" t="str">
        <f t="shared" si="888"/>
        <v>73011</v>
      </c>
      <c r="P5685" t="str">
        <f t="shared" si="891"/>
        <v>2100L</v>
      </c>
      <c r="Q5685" t="str">
        <f t="shared" si="889"/>
        <v>0101</v>
      </c>
      <c r="R5685">
        <v>2100</v>
      </c>
      <c r="S5685" t="str">
        <f t="shared" si="887"/>
        <v>7300</v>
      </c>
      <c r="T5685" t="s">
        <v>3732</v>
      </c>
      <c r="U5685" t="s">
        <v>2853</v>
      </c>
    </row>
    <row r="5686" spans="1:21" ht="15" customHeight="1" x14ac:dyDescent="0.3">
      <c r="A5686" t="s">
        <v>179</v>
      </c>
      <c r="B5686" t="str">
        <f>"00074500"</f>
        <v>00074500</v>
      </c>
      <c r="C5686" t="s">
        <v>4265</v>
      </c>
      <c r="D5686" t="s">
        <v>3731</v>
      </c>
      <c r="E5686" t="str">
        <f>"00063255"</f>
        <v>00063255</v>
      </c>
      <c r="F5686">
        <v>0</v>
      </c>
      <c r="G5686" s="243">
        <v>40428</v>
      </c>
      <c r="H5686" t="s">
        <v>182</v>
      </c>
      <c r="I5686">
        <v>15</v>
      </c>
      <c r="J5686">
        <v>11</v>
      </c>
      <c r="K5686">
        <v>0.25</v>
      </c>
      <c r="L5686">
        <v>81335</v>
      </c>
      <c r="M5686" t="str">
        <f t="shared" si="883"/>
        <v>13</v>
      </c>
      <c r="N5686" t="s">
        <v>3323</v>
      </c>
      <c r="O5686" t="str">
        <f t="shared" si="888"/>
        <v>73011</v>
      </c>
      <c r="P5686" t="str">
        <f>"2100L"</f>
        <v>2100L</v>
      </c>
      <c r="Q5686" t="str">
        <f t="shared" si="889"/>
        <v>0101</v>
      </c>
      <c r="R5686">
        <v>2100</v>
      </c>
      <c r="S5686" t="str">
        <f t="shared" si="887"/>
        <v>7300</v>
      </c>
      <c r="T5686" t="s">
        <v>3732</v>
      </c>
      <c r="U5686" t="s">
        <v>2853</v>
      </c>
    </row>
    <row r="5687" spans="1:21" ht="15" customHeight="1" x14ac:dyDescent="0.3">
      <c r="A5687" t="s">
        <v>179</v>
      </c>
      <c r="B5687" t="str">
        <f>"00074646"</f>
        <v>00074646</v>
      </c>
      <c r="C5687" t="s">
        <v>4254</v>
      </c>
      <c r="D5687" t="s">
        <v>4183</v>
      </c>
      <c r="E5687" t="str">
        <f>"00065827"</f>
        <v>00065827</v>
      </c>
      <c r="F5687">
        <v>0</v>
      </c>
      <c r="G5687" s="243">
        <v>40755</v>
      </c>
      <c r="H5687" t="s">
        <v>182</v>
      </c>
      <c r="I5687">
        <v>15</v>
      </c>
      <c r="J5687">
        <v>4</v>
      </c>
      <c r="K5687">
        <v>1</v>
      </c>
      <c r="L5687">
        <v>54725</v>
      </c>
      <c r="M5687" t="str">
        <f t="shared" si="883"/>
        <v>13</v>
      </c>
      <c r="N5687" t="s">
        <v>3323</v>
      </c>
      <c r="O5687" t="str">
        <f t="shared" si="888"/>
        <v>73011</v>
      </c>
      <c r="P5687" t="str">
        <f>"2100L"</f>
        <v>2100L</v>
      </c>
      <c r="Q5687" t="str">
        <f t="shared" si="889"/>
        <v>0101</v>
      </c>
      <c r="R5687">
        <v>2100</v>
      </c>
      <c r="S5687" t="str">
        <f t="shared" ref="S5687:S5707" si="892">"7300"</f>
        <v>7300</v>
      </c>
      <c r="T5687" t="s">
        <v>3732</v>
      </c>
      <c r="U5687" t="s">
        <v>2853</v>
      </c>
    </row>
    <row r="5688" spans="1:21" ht="15" customHeight="1" x14ac:dyDescent="0.3">
      <c r="A5688" t="s">
        <v>179</v>
      </c>
      <c r="B5688" t="str">
        <f>"00074649"</f>
        <v>00074649</v>
      </c>
      <c r="C5688" t="s">
        <v>314</v>
      </c>
      <c r="D5688" t="s">
        <v>5934</v>
      </c>
      <c r="E5688" t="str">
        <f>"00063559"</f>
        <v>00063559</v>
      </c>
      <c r="F5688">
        <v>0</v>
      </c>
      <c r="G5688" s="243">
        <v>40471</v>
      </c>
      <c r="H5688" t="s">
        <v>182</v>
      </c>
      <c r="I5688">
        <v>16</v>
      </c>
      <c r="J5688">
        <v>1</v>
      </c>
      <c r="K5688">
        <v>0.49</v>
      </c>
      <c r="L5688">
        <v>23890.05</v>
      </c>
      <c r="M5688" t="str">
        <f t="shared" si="883"/>
        <v>13</v>
      </c>
      <c r="N5688" t="s">
        <v>3370</v>
      </c>
      <c r="O5688" t="str">
        <f t="shared" si="888"/>
        <v>73011</v>
      </c>
      <c r="P5688" t="str">
        <f>"2100L"</f>
        <v>2100L</v>
      </c>
      <c r="Q5688" t="str">
        <f t="shared" si="889"/>
        <v>0101</v>
      </c>
      <c r="R5688">
        <v>2100</v>
      </c>
      <c r="S5688" t="str">
        <f t="shared" si="892"/>
        <v>7300</v>
      </c>
      <c r="T5688" t="s">
        <v>3732</v>
      </c>
      <c r="U5688" t="s">
        <v>2853</v>
      </c>
    </row>
    <row r="5689" spans="1:21" ht="15" customHeight="1" x14ac:dyDescent="0.3">
      <c r="A5689" t="s">
        <v>179</v>
      </c>
      <c r="B5689" t="str">
        <f>"00074686"</f>
        <v>00074686</v>
      </c>
      <c r="C5689" t="s">
        <v>4306</v>
      </c>
      <c r="D5689" t="s">
        <v>5935</v>
      </c>
      <c r="E5689" t="str">
        <f>"00062789"</f>
        <v>00062789</v>
      </c>
      <c r="F5689">
        <v>0</v>
      </c>
      <c r="G5689" s="243">
        <v>40406</v>
      </c>
      <c r="H5689" t="s">
        <v>182</v>
      </c>
      <c r="I5689">
        <v>9</v>
      </c>
      <c r="J5689">
        <v>2</v>
      </c>
      <c r="K5689">
        <v>1</v>
      </c>
      <c r="L5689">
        <v>34226</v>
      </c>
      <c r="M5689" t="str">
        <f t="shared" si="883"/>
        <v>13</v>
      </c>
      <c r="N5689" t="s">
        <v>3323</v>
      </c>
      <c r="O5689" t="str">
        <f t="shared" si="888"/>
        <v>73011</v>
      </c>
      <c r="P5689" t="str">
        <f>"1502L"</f>
        <v>1502L</v>
      </c>
      <c r="Q5689" t="str">
        <f t="shared" si="889"/>
        <v>0101</v>
      </c>
      <c r="R5689">
        <v>1502</v>
      </c>
      <c r="S5689" t="str">
        <f t="shared" si="892"/>
        <v>7300</v>
      </c>
      <c r="T5689" t="s">
        <v>3732</v>
      </c>
      <c r="U5689" t="s">
        <v>2853</v>
      </c>
    </row>
    <row r="5690" spans="1:21" ht="15" customHeight="1" x14ac:dyDescent="0.3">
      <c r="A5690" t="s">
        <v>179</v>
      </c>
      <c r="B5690" t="str">
        <f>"00074704"</f>
        <v>00074704</v>
      </c>
      <c r="C5690" t="s">
        <v>200</v>
      </c>
      <c r="D5690" t="s">
        <v>4172</v>
      </c>
      <c r="E5690" t="str">
        <f>"00051235"</f>
        <v>00051235</v>
      </c>
      <c r="F5690">
        <v>0</v>
      </c>
      <c r="G5690" s="243">
        <v>34351</v>
      </c>
      <c r="H5690" t="s">
        <v>182</v>
      </c>
      <c r="I5690">
        <v>15</v>
      </c>
      <c r="J5690">
        <v>15</v>
      </c>
      <c r="K5690">
        <v>1</v>
      </c>
      <c r="L5690">
        <v>103985</v>
      </c>
      <c r="M5690" t="str">
        <f t="shared" si="883"/>
        <v>13</v>
      </c>
      <c r="N5690" t="s">
        <v>3323</v>
      </c>
      <c r="O5690" t="str">
        <f t="shared" si="888"/>
        <v>73011</v>
      </c>
      <c r="P5690" t="str">
        <f>"2100L"</f>
        <v>2100L</v>
      </c>
      <c r="Q5690" t="str">
        <f t="shared" si="889"/>
        <v>0101</v>
      </c>
      <c r="R5690">
        <v>2100</v>
      </c>
      <c r="S5690" t="str">
        <f t="shared" si="892"/>
        <v>7300</v>
      </c>
      <c r="T5690" t="s">
        <v>3732</v>
      </c>
      <c r="U5690" t="s">
        <v>2853</v>
      </c>
    </row>
    <row r="5691" spans="1:21" ht="15" customHeight="1" x14ac:dyDescent="0.3">
      <c r="A5691" t="s">
        <v>179</v>
      </c>
      <c r="B5691" t="str">
        <f>"00075307"</f>
        <v>00075307</v>
      </c>
      <c r="C5691" t="s">
        <v>204</v>
      </c>
      <c r="H5691" t="s">
        <v>170</v>
      </c>
      <c r="I5691">
        <v>15</v>
      </c>
      <c r="J5691">
        <v>0</v>
      </c>
      <c r="K5691">
        <v>1</v>
      </c>
      <c r="L5691">
        <v>51539</v>
      </c>
      <c r="M5691" t="str">
        <f t="shared" si="883"/>
        <v>13</v>
      </c>
      <c r="N5691" t="s">
        <v>3370</v>
      </c>
      <c r="O5691" t="str">
        <f t="shared" ref="O5691:O5707" si="893">"73011"</f>
        <v>73011</v>
      </c>
      <c r="P5691" t="str">
        <f t="shared" ref="P5691:P5699" si="894">"2100L"</f>
        <v>2100L</v>
      </c>
      <c r="Q5691" t="str">
        <f t="shared" si="889"/>
        <v>0101</v>
      </c>
      <c r="R5691">
        <v>2100</v>
      </c>
      <c r="S5691" t="str">
        <f t="shared" si="892"/>
        <v>7300</v>
      </c>
      <c r="T5691" t="s">
        <v>3732</v>
      </c>
      <c r="U5691" t="s">
        <v>2853</v>
      </c>
    </row>
    <row r="5692" spans="1:21" ht="15" customHeight="1" x14ac:dyDescent="0.3">
      <c r="A5692" t="s">
        <v>179</v>
      </c>
      <c r="B5692" t="str">
        <f>"00076415"</f>
        <v>00076415</v>
      </c>
      <c r="C5692" t="s">
        <v>4253</v>
      </c>
      <c r="D5692" t="s">
        <v>5936</v>
      </c>
      <c r="E5692" t="str">
        <f>"00061666"</f>
        <v>00061666</v>
      </c>
      <c r="F5692">
        <v>0</v>
      </c>
      <c r="G5692" s="243">
        <v>41133</v>
      </c>
      <c r="H5692" t="s">
        <v>182</v>
      </c>
      <c r="I5692">
        <v>15</v>
      </c>
      <c r="J5692">
        <v>10</v>
      </c>
      <c r="K5692">
        <v>1</v>
      </c>
      <c r="L5692">
        <v>78273</v>
      </c>
      <c r="M5692" t="str">
        <f t="shared" si="883"/>
        <v>13</v>
      </c>
      <c r="N5692" t="s">
        <v>3323</v>
      </c>
      <c r="O5692" t="str">
        <f t="shared" si="893"/>
        <v>73011</v>
      </c>
      <c r="P5692" t="str">
        <f t="shared" si="894"/>
        <v>2100L</v>
      </c>
      <c r="Q5692" t="str">
        <f t="shared" si="889"/>
        <v>0101</v>
      </c>
      <c r="R5692">
        <v>2100</v>
      </c>
      <c r="S5692" t="str">
        <f t="shared" si="892"/>
        <v>7300</v>
      </c>
      <c r="T5692" t="s">
        <v>3732</v>
      </c>
      <c r="U5692" t="s">
        <v>2853</v>
      </c>
    </row>
    <row r="5693" spans="1:21" ht="15" customHeight="1" x14ac:dyDescent="0.3">
      <c r="A5693" t="s">
        <v>179</v>
      </c>
      <c r="B5693" t="str">
        <f>"00076416"</f>
        <v>00076416</v>
      </c>
      <c r="C5693" t="s">
        <v>4438</v>
      </c>
      <c r="D5693" t="s">
        <v>5937</v>
      </c>
      <c r="E5693" t="str">
        <f>"00069919"</f>
        <v>00069919</v>
      </c>
      <c r="F5693">
        <v>0</v>
      </c>
      <c r="G5693" s="243">
        <v>41133</v>
      </c>
      <c r="H5693" t="s">
        <v>182</v>
      </c>
      <c r="I5693">
        <v>11</v>
      </c>
      <c r="J5693">
        <v>6</v>
      </c>
      <c r="K5693">
        <v>1</v>
      </c>
      <c r="L5693">
        <v>72624</v>
      </c>
      <c r="M5693" t="str">
        <f t="shared" si="883"/>
        <v>13</v>
      </c>
      <c r="N5693" t="s">
        <v>3370</v>
      </c>
      <c r="O5693" t="str">
        <f t="shared" si="893"/>
        <v>73011</v>
      </c>
      <c r="P5693" t="str">
        <f t="shared" si="894"/>
        <v>2100L</v>
      </c>
      <c r="Q5693" t="str">
        <f t="shared" si="889"/>
        <v>0101</v>
      </c>
      <c r="R5693">
        <v>2100</v>
      </c>
      <c r="S5693" t="str">
        <f t="shared" si="892"/>
        <v>7300</v>
      </c>
      <c r="T5693" t="s">
        <v>3732</v>
      </c>
      <c r="U5693" t="s">
        <v>2853</v>
      </c>
    </row>
    <row r="5694" spans="1:21" ht="15" customHeight="1" x14ac:dyDescent="0.3">
      <c r="A5694" t="s">
        <v>179</v>
      </c>
      <c r="B5694" t="str">
        <f>"00076417"</f>
        <v>00076417</v>
      </c>
      <c r="C5694" t="s">
        <v>4253</v>
      </c>
      <c r="D5694" t="s">
        <v>5938</v>
      </c>
      <c r="E5694" t="str">
        <f>"00069781"</f>
        <v>00069781</v>
      </c>
      <c r="F5694">
        <v>0</v>
      </c>
      <c r="G5694" s="243">
        <v>41133</v>
      </c>
      <c r="H5694" t="s">
        <v>182</v>
      </c>
      <c r="I5694">
        <v>15</v>
      </c>
      <c r="J5694">
        <v>10</v>
      </c>
      <c r="K5694">
        <v>1</v>
      </c>
      <c r="L5694">
        <v>80729</v>
      </c>
      <c r="M5694" t="str">
        <f t="shared" si="883"/>
        <v>13</v>
      </c>
      <c r="N5694" t="s">
        <v>3370</v>
      </c>
      <c r="O5694" t="str">
        <f t="shared" si="893"/>
        <v>73011</v>
      </c>
      <c r="P5694" t="str">
        <f t="shared" si="894"/>
        <v>2100L</v>
      </c>
      <c r="Q5694" t="str">
        <f t="shared" si="889"/>
        <v>0101</v>
      </c>
      <c r="R5694">
        <v>2100</v>
      </c>
      <c r="S5694" t="str">
        <f t="shared" si="892"/>
        <v>7300</v>
      </c>
      <c r="T5694" t="s">
        <v>3732</v>
      </c>
      <c r="U5694" t="s">
        <v>2853</v>
      </c>
    </row>
    <row r="5695" spans="1:21" ht="15" customHeight="1" x14ac:dyDescent="0.3">
      <c r="A5695" t="s">
        <v>179</v>
      </c>
      <c r="B5695" t="str">
        <f>"00076418"</f>
        <v>00076418</v>
      </c>
      <c r="C5695" t="s">
        <v>4253</v>
      </c>
      <c r="D5695" t="s">
        <v>5939</v>
      </c>
      <c r="E5695" t="str">
        <f>"00064033"</f>
        <v>00064033</v>
      </c>
      <c r="F5695">
        <v>0</v>
      </c>
      <c r="G5695" s="243">
        <v>40442</v>
      </c>
      <c r="H5695" t="s">
        <v>182</v>
      </c>
      <c r="I5695">
        <v>15</v>
      </c>
      <c r="J5695">
        <v>10</v>
      </c>
      <c r="K5695">
        <v>1</v>
      </c>
      <c r="L5695">
        <v>78273</v>
      </c>
      <c r="M5695" t="str">
        <f t="shared" si="883"/>
        <v>13</v>
      </c>
      <c r="N5695" t="s">
        <v>3323</v>
      </c>
      <c r="O5695" t="str">
        <f t="shared" si="893"/>
        <v>73011</v>
      </c>
      <c r="P5695" t="str">
        <f t="shared" si="894"/>
        <v>2100L</v>
      </c>
      <c r="Q5695" t="str">
        <f t="shared" si="889"/>
        <v>0101</v>
      </c>
      <c r="R5695">
        <v>2100</v>
      </c>
      <c r="S5695" t="str">
        <f t="shared" si="892"/>
        <v>7300</v>
      </c>
      <c r="T5695" t="s">
        <v>3732</v>
      </c>
      <c r="U5695" t="s">
        <v>2853</v>
      </c>
    </row>
    <row r="5696" spans="1:21" ht="15" customHeight="1" x14ac:dyDescent="0.3">
      <c r="A5696" t="s">
        <v>179</v>
      </c>
      <c r="B5696" t="str">
        <f>"00076419"</f>
        <v>00076419</v>
      </c>
      <c r="C5696" t="s">
        <v>4253</v>
      </c>
      <c r="D5696" t="s">
        <v>694</v>
      </c>
      <c r="E5696" t="str">
        <f>"00057184"</f>
        <v>00057184</v>
      </c>
      <c r="F5696">
        <v>0</v>
      </c>
      <c r="G5696" s="243">
        <v>41075</v>
      </c>
      <c r="H5696" t="s">
        <v>182</v>
      </c>
      <c r="I5696">
        <v>15</v>
      </c>
      <c r="J5696">
        <v>5</v>
      </c>
      <c r="K5696">
        <v>1</v>
      </c>
      <c r="L5696">
        <v>63611</v>
      </c>
      <c r="M5696" t="str">
        <f t="shared" si="883"/>
        <v>13</v>
      </c>
      <c r="N5696" t="s">
        <v>3323</v>
      </c>
      <c r="O5696" t="str">
        <f t="shared" si="893"/>
        <v>73011</v>
      </c>
      <c r="P5696" t="str">
        <f t="shared" si="894"/>
        <v>2100L</v>
      </c>
      <c r="Q5696" t="str">
        <f t="shared" si="889"/>
        <v>0101</v>
      </c>
      <c r="R5696">
        <v>2100</v>
      </c>
      <c r="S5696" t="str">
        <f t="shared" si="892"/>
        <v>7300</v>
      </c>
      <c r="T5696" t="s">
        <v>3732</v>
      </c>
      <c r="U5696" t="s">
        <v>2853</v>
      </c>
    </row>
    <row r="5697" spans="1:21" ht="15" customHeight="1" x14ac:dyDescent="0.3">
      <c r="A5697" t="s">
        <v>179</v>
      </c>
      <c r="B5697" t="str">
        <f>"00076420"</f>
        <v>00076420</v>
      </c>
      <c r="C5697" t="s">
        <v>4253</v>
      </c>
      <c r="D5697" t="s">
        <v>4153</v>
      </c>
      <c r="E5697" t="str">
        <f>"00066378"</f>
        <v>00066378</v>
      </c>
      <c r="F5697">
        <v>0</v>
      </c>
      <c r="G5697" s="243">
        <v>40755</v>
      </c>
      <c r="H5697" t="s">
        <v>182</v>
      </c>
      <c r="I5697">
        <v>15</v>
      </c>
      <c r="J5697">
        <v>2</v>
      </c>
      <c r="K5697">
        <v>1</v>
      </c>
      <c r="L5697">
        <v>51716</v>
      </c>
      <c r="M5697" t="str">
        <f t="shared" ref="M5697:M5753" si="895">"13"</f>
        <v>13</v>
      </c>
      <c r="N5697" t="s">
        <v>3370</v>
      </c>
      <c r="O5697" t="str">
        <f t="shared" si="893"/>
        <v>73011</v>
      </c>
      <c r="P5697" t="str">
        <f t="shared" si="894"/>
        <v>2100L</v>
      </c>
      <c r="Q5697" t="str">
        <f t="shared" si="889"/>
        <v>0101</v>
      </c>
      <c r="R5697">
        <v>2100</v>
      </c>
      <c r="S5697" t="str">
        <f t="shared" si="892"/>
        <v>7300</v>
      </c>
      <c r="T5697" t="s">
        <v>3732</v>
      </c>
      <c r="U5697" t="s">
        <v>2853</v>
      </c>
    </row>
    <row r="5698" spans="1:21" ht="15" customHeight="1" x14ac:dyDescent="0.3">
      <c r="A5698" t="s">
        <v>179</v>
      </c>
      <c r="B5698" t="str">
        <f>"00076422"</f>
        <v>00076422</v>
      </c>
      <c r="C5698" t="s">
        <v>5819</v>
      </c>
      <c r="D5698" t="s">
        <v>5940</v>
      </c>
      <c r="E5698" t="str">
        <f>"00056126"</f>
        <v>00056126</v>
      </c>
      <c r="F5698">
        <v>0</v>
      </c>
      <c r="G5698" s="243">
        <v>40049</v>
      </c>
      <c r="H5698" t="s">
        <v>182</v>
      </c>
      <c r="I5698">
        <v>12</v>
      </c>
      <c r="J5698">
        <v>3</v>
      </c>
      <c r="K5698">
        <v>1</v>
      </c>
      <c r="L5698">
        <v>50996</v>
      </c>
      <c r="M5698" t="str">
        <f t="shared" si="895"/>
        <v>13</v>
      </c>
      <c r="N5698" t="s">
        <v>3370</v>
      </c>
      <c r="O5698" t="str">
        <f t="shared" si="893"/>
        <v>73011</v>
      </c>
      <c r="P5698" t="str">
        <f t="shared" si="894"/>
        <v>2100L</v>
      </c>
      <c r="Q5698" t="str">
        <f t="shared" si="889"/>
        <v>0101</v>
      </c>
      <c r="R5698">
        <v>2100</v>
      </c>
      <c r="S5698" t="str">
        <f t="shared" si="892"/>
        <v>7300</v>
      </c>
      <c r="T5698" t="s">
        <v>3732</v>
      </c>
      <c r="U5698" t="s">
        <v>2853</v>
      </c>
    </row>
    <row r="5699" spans="1:21" ht="15" customHeight="1" x14ac:dyDescent="0.3">
      <c r="A5699" t="s">
        <v>179</v>
      </c>
      <c r="B5699" t="str">
        <f>"00076423"</f>
        <v>00076423</v>
      </c>
      <c r="C5699" t="s">
        <v>5761</v>
      </c>
      <c r="H5699" t="s">
        <v>170</v>
      </c>
      <c r="I5699">
        <v>15</v>
      </c>
      <c r="J5699">
        <v>0</v>
      </c>
      <c r="K5699">
        <v>0.5</v>
      </c>
      <c r="L5699">
        <v>56693</v>
      </c>
      <c r="M5699" t="str">
        <f t="shared" si="895"/>
        <v>13</v>
      </c>
      <c r="N5699" t="s">
        <v>3370</v>
      </c>
      <c r="O5699" t="str">
        <f t="shared" si="893"/>
        <v>73011</v>
      </c>
      <c r="P5699" t="str">
        <f t="shared" si="894"/>
        <v>2100L</v>
      </c>
      <c r="Q5699" t="str">
        <f t="shared" si="889"/>
        <v>0101</v>
      </c>
      <c r="R5699">
        <v>2100</v>
      </c>
      <c r="S5699" t="str">
        <f t="shared" si="892"/>
        <v>7300</v>
      </c>
      <c r="T5699" t="s">
        <v>3732</v>
      </c>
      <c r="U5699" t="s">
        <v>2853</v>
      </c>
    </row>
    <row r="5700" spans="1:21" ht="15" customHeight="1" x14ac:dyDescent="0.3">
      <c r="A5700" t="s">
        <v>179</v>
      </c>
      <c r="B5700" t="str">
        <f>"00076575"</f>
        <v>00076575</v>
      </c>
      <c r="C5700" t="s">
        <v>4333</v>
      </c>
      <c r="D5700" t="s">
        <v>5941</v>
      </c>
      <c r="E5700" t="str">
        <f>"00046152"</f>
        <v>00046152</v>
      </c>
      <c r="F5700">
        <v>0</v>
      </c>
      <c r="G5700" s="243">
        <v>39106</v>
      </c>
      <c r="H5700" t="s">
        <v>182</v>
      </c>
      <c r="I5700">
        <v>12</v>
      </c>
      <c r="J5700">
        <v>2</v>
      </c>
      <c r="K5700">
        <v>1</v>
      </c>
      <c r="L5700">
        <v>61462</v>
      </c>
      <c r="M5700" t="str">
        <f t="shared" si="895"/>
        <v>13</v>
      </c>
      <c r="N5700" t="s">
        <v>3370</v>
      </c>
      <c r="O5700" t="str">
        <f t="shared" si="893"/>
        <v>73011</v>
      </c>
      <c r="P5700" t="str">
        <f>"1502L"</f>
        <v>1502L</v>
      </c>
      <c r="Q5700" t="str">
        <f t="shared" si="889"/>
        <v>0101</v>
      </c>
      <c r="R5700">
        <v>1502</v>
      </c>
      <c r="S5700" t="str">
        <f t="shared" si="892"/>
        <v>7300</v>
      </c>
      <c r="T5700" t="s">
        <v>3732</v>
      </c>
      <c r="U5700" t="s">
        <v>2853</v>
      </c>
    </row>
    <row r="5701" spans="1:21" ht="15" customHeight="1" x14ac:dyDescent="0.3">
      <c r="A5701" t="s">
        <v>179</v>
      </c>
      <c r="B5701" t="str">
        <f>"00076587"</f>
        <v>00076587</v>
      </c>
      <c r="C5701" t="s">
        <v>4333</v>
      </c>
      <c r="D5701" t="s">
        <v>2937</v>
      </c>
      <c r="E5701" t="str">
        <f>"00045677"</f>
        <v>00045677</v>
      </c>
      <c r="F5701">
        <v>0</v>
      </c>
      <c r="G5701" s="243">
        <v>40049</v>
      </c>
      <c r="H5701" t="s">
        <v>182</v>
      </c>
      <c r="I5701">
        <v>12</v>
      </c>
      <c r="J5701">
        <v>1</v>
      </c>
      <c r="K5701">
        <v>1</v>
      </c>
      <c r="L5701">
        <v>59480</v>
      </c>
      <c r="M5701" t="str">
        <f t="shared" si="895"/>
        <v>13</v>
      </c>
      <c r="N5701" t="s">
        <v>3370</v>
      </c>
      <c r="O5701" t="str">
        <f t="shared" si="893"/>
        <v>73011</v>
      </c>
      <c r="P5701" t="str">
        <f>"1502L"</f>
        <v>1502L</v>
      </c>
      <c r="Q5701" t="str">
        <f t="shared" si="889"/>
        <v>0101</v>
      </c>
      <c r="R5701">
        <v>1502</v>
      </c>
      <c r="S5701" t="str">
        <f t="shared" si="892"/>
        <v>7300</v>
      </c>
      <c r="T5701" t="s">
        <v>3732</v>
      </c>
      <c r="U5701" t="s">
        <v>2853</v>
      </c>
    </row>
    <row r="5702" spans="1:21" ht="15" customHeight="1" x14ac:dyDescent="0.3">
      <c r="A5702" t="s">
        <v>179</v>
      </c>
      <c r="B5702" t="str">
        <f>"00076598"</f>
        <v>00076598</v>
      </c>
      <c r="C5702" t="s">
        <v>4333</v>
      </c>
      <c r="H5702" t="s">
        <v>170</v>
      </c>
      <c r="I5702">
        <v>12</v>
      </c>
      <c r="J5702">
        <v>0</v>
      </c>
      <c r="K5702">
        <v>1</v>
      </c>
      <c r="L5702">
        <v>59480</v>
      </c>
      <c r="M5702" t="str">
        <f t="shared" si="895"/>
        <v>13</v>
      </c>
      <c r="N5702" t="s">
        <v>3370</v>
      </c>
      <c r="O5702" t="str">
        <f t="shared" si="893"/>
        <v>73011</v>
      </c>
      <c r="P5702" t="str">
        <f>"1502L"</f>
        <v>1502L</v>
      </c>
      <c r="Q5702" t="str">
        <f t="shared" si="889"/>
        <v>0101</v>
      </c>
      <c r="R5702">
        <v>1502</v>
      </c>
      <c r="S5702" t="str">
        <f t="shared" si="892"/>
        <v>7300</v>
      </c>
      <c r="T5702" t="s">
        <v>3732</v>
      </c>
      <c r="U5702" t="s">
        <v>2853</v>
      </c>
    </row>
    <row r="5703" spans="1:21" ht="15" customHeight="1" x14ac:dyDescent="0.3">
      <c r="A5703" t="s">
        <v>179</v>
      </c>
      <c r="B5703" t="str">
        <f>"00076609"</f>
        <v>00076609</v>
      </c>
      <c r="C5703" t="s">
        <v>4333</v>
      </c>
      <c r="D5703" t="s">
        <v>2936</v>
      </c>
      <c r="E5703" t="str">
        <f>"00056036"</f>
        <v>00056036</v>
      </c>
      <c r="F5703">
        <v>0</v>
      </c>
      <c r="G5703" s="243">
        <v>40042</v>
      </c>
      <c r="H5703" t="s">
        <v>182</v>
      </c>
      <c r="I5703">
        <v>12</v>
      </c>
      <c r="J5703">
        <v>1</v>
      </c>
      <c r="K5703">
        <v>1</v>
      </c>
      <c r="L5703">
        <v>59480</v>
      </c>
      <c r="M5703" t="str">
        <f t="shared" si="895"/>
        <v>13</v>
      </c>
      <c r="N5703" t="s">
        <v>3370</v>
      </c>
      <c r="O5703" t="str">
        <f t="shared" si="893"/>
        <v>73011</v>
      </c>
      <c r="P5703" t="str">
        <f>"1502L"</f>
        <v>1502L</v>
      </c>
      <c r="Q5703" t="str">
        <f t="shared" si="889"/>
        <v>0101</v>
      </c>
      <c r="R5703">
        <v>1502</v>
      </c>
      <c r="S5703" t="str">
        <f t="shared" si="892"/>
        <v>7300</v>
      </c>
      <c r="T5703" t="s">
        <v>3732</v>
      </c>
      <c r="U5703" t="s">
        <v>2853</v>
      </c>
    </row>
    <row r="5704" spans="1:21" ht="15" customHeight="1" x14ac:dyDescent="0.3">
      <c r="A5704" t="s">
        <v>179</v>
      </c>
      <c r="B5704" t="str">
        <f>"00076707"</f>
        <v>00076707</v>
      </c>
      <c r="C5704" t="s">
        <v>4261</v>
      </c>
      <c r="D5704" t="s">
        <v>774</v>
      </c>
      <c r="E5704" t="str">
        <f>"00047631"</f>
        <v>00047631</v>
      </c>
      <c r="F5704">
        <v>0</v>
      </c>
      <c r="G5704" s="243">
        <v>39314</v>
      </c>
      <c r="H5704" t="s">
        <v>182</v>
      </c>
      <c r="I5704">
        <v>15</v>
      </c>
      <c r="J5704">
        <v>8</v>
      </c>
      <c r="K5704">
        <v>1</v>
      </c>
      <c r="L5704">
        <v>79388</v>
      </c>
      <c r="M5704" t="str">
        <f t="shared" si="895"/>
        <v>13</v>
      </c>
      <c r="N5704" t="s">
        <v>3370</v>
      </c>
      <c r="O5704" t="str">
        <f t="shared" si="893"/>
        <v>73011</v>
      </c>
      <c r="P5704" t="str">
        <f>"2100L"</f>
        <v>2100L</v>
      </c>
      <c r="Q5704" t="str">
        <f t="shared" si="889"/>
        <v>0101</v>
      </c>
      <c r="R5704">
        <v>2100</v>
      </c>
      <c r="S5704" t="str">
        <f t="shared" si="892"/>
        <v>7300</v>
      </c>
      <c r="T5704" t="s">
        <v>3732</v>
      </c>
      <c r="U5704" t="s">
        <v>2853</v>
      </c>
    </row>
    <row r="5705" spans="1:21" ht="15" customHeight="1" x14ac:dyDescent="0.3">
      <c r="A5705" t="s">
        <v>179</v>
      </c>
      <c r="B5705" t="str">
        <f>"00076777"</f>
        <v>00076777</v>
      </c>
      <c r="C5705" t="s">
        <v>4274</v>
      </c>
      <c r="H5705" t="s">
        <v>170</v>
      </c>
      <c r="I5705">
        <v>4</v>
      </c>
      <c r="J5705">
        <v>0</v>
      </c>
      <c r="K5705">
        <v>1</v>
      </c>
      <c r="L5705">
        <v>25662</v>
      </c>
      <c r="M5705" t="str">
        <f t="shared" si="895"/>
        <v>13</v>
      </c>
      <c r="N5705" t="s">
        <v>3370</v>
      </c>
      <c r="O5705" t="str">
        <f t="shared" si="893"/>
        <v>73011</v>
      </c>
      <c r="P5705" t="str">
        <f>"2100L"</f>
        <v>2100L</v>
      </c>
      <c r="Q5705" t="str">
        <f t="shared" si="889"/>
        <v>0101</v>
      </c>
      <c r="R5705">
        <v>2100</v>
      </c>
      <c r="S5705" t="str">
        <f t="shared" si="892"/>
        <v>7300</v>
      </c>
      <c r="T5705" t="s">
        <v>3830</v>
      </c>
      <c r="U5705" t="s">
        <v>2941</v>
      </c>
    </row>
    <row r="5706" spans="1:21" ht="15" customHeight="1" x14ac:dyDescent="0.3">
      <c r="A5706" t="s">
        <v>179</v>
      </c>
      <c r="B5706" t="str">
        <f>"00076780"</f>
        <v>00076780</v>
      </c>
      <c r="C5706" t="s">
        <v>4262</v>
      </c>
      <c r="D5706" t="s">
        <v>5942</v>
      </c>
      <c r="E5706" t="str">
        <f>"00070376"</f>
        <v>00070376</v>
      </c>
      <c r="F5706">
        <v>0</v>
      </c>
      <c r="G5706" s="243">
        <v>41169</v>
      </c>
      <c r="H5706" t="s">
        <v>182</v>
      </c>
      <c r="I5706">
        <v>15</v>
      </c>
      <c r="J5706">
        <v>1</v>
      </c>
      <c r="K5706">
        <v>1</v>
      </c>
      <c r="L5706">
        <v>53256</v>
      </c>
      <c r="M5706" t="str">
        <f t="shared" si="895"/>
        <v>13</v>
      </c>
      <c r="N5706" t="s">
        <v>3370</v>
      </c>
      <c r="O5706" t="str">
        <f t="shared" si="893"/>
        <v>73011</v>
      </c>
      <c r="P5706" t="str">
        <f>"1502L"</f>
        <v>1502L</v>
      </c>
      <c r="Q5706" t="str">
        <f t="shared" si="889"/>
        <v>0101</v>
      </c>
      <c r="R5706">
        <v>1502</v>
      </c>
      <c r="S5706" t="str">
        <f t="shared" si="892"/>
        <v>7300</v>
      </c>
      <c r="T5706" t="s">
        <v>3732</v>
      </c>
      <c r="U5706" t="s">
        <v>2853</v>
      </c>
    </row>
    <row r="5707" spans="1:21" ht="15" customHeight="1" x14ac:dyDescent="0.3">
      <c r="A5707" t="s">
        <v>179</v>
      </c>
      <c r="B5707" t="str">
        <f>"00076794"</f>
        <v>00076794</v>
      </c>
      <c r="C5707" t="s">
        <v>5761</v>
      </c>
      <c r="H5707" t="s">
        <v>170</v>
      </c>
      <c r="I5707">
        <v>15</v>
      </c>
      <c r="J5707">
        <v>0</v>
      </c>
      <c r="K5707">
        <v>1</v>
      </c>
      <c r="L5707">
        <v>60473</v>
      </c>
      <c r="M5707" t="str">
        <f t="shared" si="895"/>
        <v>13</v>
      </c>
      <c r="N5707" t="s">
        <v>3370</v>
      </c>
      <c r="O5707" t="str">
        <f t="shared" si="893"/>
        <v>73011</v>
      </c>
      <c r="P5707" t="str">
        <f>"2100L"</f>
        <v>2100L</v>
      </c>
      <c r="Q5707" t="str">
        <f t="shared" si="889"/>
        <v>0101</v>
      </c>
      <c r="R5707">
        <v>2100</v>
      </c>
      <c r="S5707" t="str">
        <f t="shared" si="892"/>
        <v>7300</v>
      </c>
      <c r="T5707" t="s">
        <v>3732</v>
      </c>
      <c r="U5707" t="s">
        <v>2853</v>
      </c>
    </row>
    <row r="5708" spans="1:21" ht="15" customHeight="1" x14ac:dyDescent="0.3">
      <c r="A5708" t="s">
        <v>179</v>
      </c>
      <c r="B5708" t="str">
        <f>"00051785"</f>
        <v>00051785</v>
      </c>
      <c r="C5708" t="s">
        <v>3798</v>
      </c>
      <c r="D5708" t="s">
        <v>5943</v>
      </c>
      <c r="E5708" t="str">
        <f>"00069675"</f>
        <v>00069675</v>
      </c>
      <c r="F5708">
        <v>0</v>
      </c>
      <c r="G5708" s="243">
        <v>41141</v>
      </c>
      <c r="H5708" t="s">
        <v>182</v>
      </c>
      <c r="I5708">
        <v>65</v>
      </c>
      <c r="J5708">
        <v>1</v>
      </c>
      <c r="K5708">
        <v>1</v>
      </c>
      <c r="L5708">
        <v>112000</v>
      </c>
      <c r="M5708" t="str">
        <f t="shared" si="895"/>
        <v>13</v>
      </c>
      <c r="N5708" t="s">
        <v>3323</v>
      </c>
      <c r="O5708" t="str">
        <f t="shared" ref="O5708:O5736" si="896">"73111"</f>
        <v>73111</v>
      </c>
      <c r="P5708" t="str">
        <f>"1501L"</f>
        <v>1501L</v>
      </c>
      <c r="Q5708" t="str">
        <f t="shared" si="889"/>
        <v>0101</v>
      </c>
      <c r="R5708">
        <v>1501</v>
      </c>
      <c r="S5708" t="str">
        <f t="shared" ref="S5708:S5736" si="897">"7310"</f>
        <v>7310</v>
      </c>
      <c r="T5708" t="s">
        <v>3835</v>
      </c>
      <c r="U5708" t="s">
        <v>98</v>
      </c>
    </row>
    <row r="5709" spans="1:21" ht="15" customHeight="1" x14ac:dyDescent="0.3">
      <c r="A5709" t="s">
        <v>179</v>
      </c>
      <c r="B5709" t="str">
        <f>"00052161"</f>
        <v>00052161</v>
      </c>
      <c r="C5709" t="s">
        <v>4261</v>
      </c>
      <c r="D5709" t="s">
        <v>313</v>
      </c>
      <c r="E5709" t="str">
        <f>"00047466"</f>
        <v>00047466</v>
      </c>
      <c r="F5709">
        <v>0</v>
      </c>
      <c r="G5709" s="243">
        <v>27904</v>
      </c>
      <c r="H5709" t="s">
        <v>182</v>
      </c>
      <c r="I5709">
        <v>15</v>
      </c>
      <c r="J5709">
        <v>16</v>
      </c>
      <c r="K5709">
        <v>1</v>
      </c>
      <c r="L5709">
        <v>117194</v>
      </c>
      <c r="M5709" t="str">
        <f t="shared" si="895"/>
        <v>13</v>
      </c>
      <c r="N5709" t="s">
        <v>3323</v>
      </c>
      <c r="O5709" t="str">
        <f t="shared" si="896"/>
        <v>73111</v>
      </c>
      <c r="P5709" t="str">
        <f>"2120L"</f>
        <v>2120L</v>
      </c>
      <c r="Q5709" t="str">
        <f t="shared" si="889"/>
        <v>0101</v>
      </c>
      <c r="R5709">
        <v>2120</v>
      </c>
      <c r="S5709" t="str">
        <f t="shared" si="897"/>
        <v>7310</v>
      </c>
      <c r="T5709" t="s">
        <v>3835</v>
      </c>
      <c r="U5709" t="s">
        <v>98</v>
      </c>
    </row>
    <row r="5710" spans="1:21" ht="15" customHeight="1" x14ac:dyDescent="0.3">
      <c r="A5710" t="s">
        <v>179</v>
      </c>
      <c r="B5710" t="str">
        <f>"00054104"</f>
        <v>00054104</v>
      </c>
      <c r="C5710" t="s">
        <v>4360</v>
      </c>
      <c r="D5710" t="s">
        <v>5944</v>
      </c>
      <c r="E5710" t="str">
        <f>"00053026"</f>
        <v>00053026</v>
      </c>
      <c r="F5710">
        <v>0</v>
      </c>
      <c r="G5710" s="243">
        <v>32041</v>
      </c>
      <c r="H5710" t="s">
        <v>182</v>
      </c>
      <c r="I5710">
        <v>7</v>
      </c>
      <c r="J5710">
        <v>8</v>
      </c>
      <c r="K5710">
        <v>1</v>
      </c>
      <c r="L5710">
        <v>42621</v>
      </c>
      <c r="M5710" t="str">
        <f t="shared" si="895"/>
        <v>13</v>
      </c>
      <c r="N5710" t="s">
        <v>3323</v>
      </c>
      <c r="O5710" t="str">
        <f t="shared" si="896"/>
        <v>73111</v>
      </c>
      <c r="P5710" t="str">
        <f>"1502L"</f>
        <v>1502L</v>
      </c>
      <c r="Q5710" t="str">
        <f t="shared" si="889"/>
        <v>0101</v>
      </c>
      <c r="R5710">
        <v>1502</v>
      </c>
      <c r="S5710" t="str">
        <f t="shared" si="897"/>
        <v>7310</v>
      </c>
      <c r="T5710" t="s">
        <v>3835</v>
      </c>
      <c r="U5710" t="s">
        <v>98</v>
      </c>
    </row>
    <row r="5711" spans="1:21" ht="15" customHeight="1" x14ac:dyDescent="0.3">
      <c r="A5711" t="s">
        <v>179</v>
      </c>
      <c r="B5711" t="str">
        <f>"00054856"</f>
        <v>00054856</v>
      </c>
      <c r="C5711" t="s">
        <v>4857</v>
      </c>
      <c r="D5711" t="s">
        <v>347</v>
      </c>
      <c r="E5711" t="str">
        <f>"00054436"</f>
        <v>00054436</v>
      </c>
      <c r="F5711">
        <v>0</v>
      </c>
      <c r="G5711" s="243">
        <v>41133</v>
      </c>
      <c r="H5711" t="s">
        <v>182</v>
      </c>
      <c r="I5711">
        <v>9</v>
      </c>
      <c r="J5711">
        <v>2</v>
      </c>
      <c r="K5711">
        <v>1</v>
      </c>
      <c r="L5711">
        <v>58350</v>
      </c>
      <c r="M5711" t="str">
        <f t="shared" si="895"/>
        <v>13</v>
      </c>
      <c r="N5711" t="s">
        <v>3323</v>
      </c>
      <c r="O5711" t="str">
        <f t="shared" si="896"/>
        <v>73111</v>
      </c>
      <c r="P5711" t="str">
        <f>"2100L"</f>
        <v>2100L</v>
      </c>
      <c r="Q5711" t="str">
        <f t="shared" si="889"/>
        <v>0101</v>
      </c>
      <c r="R5711">
        <v>2100</v>
      </c>
      <c r="S5711" t="str">
        <f t="shared" si="897"/>
        <v>7310</v>
      </c>
      <c r="T5711" t="s">
        <v>3835</v>
      </c>
      <c r="U5711" t="s">
        <v>98</v>
      </c>
    </row>
    <row r="5712" spans="1:21" ht="15" customHeight="1" x14ac:dyDescent="0.3">
      <c r="A5712" t="s">
        <v>179</v>
      </c>
      <c r="B5712" t="str">
        <f>"00056572"</f>
        <v>00056572</v>
      </c>
      <c r="C5712" t="s">
        <v>4857</v>
      </c>
      <c r="D5712" t="s">
        <v>315</v>
      </c>
      <c r="E5712" t="str">
        <f>"00051609"</f>
        <v>00051609</v>
      </c>
      <c r="F5712">
        <v>0</v>
      </c>
      <c r="G5712" s="243">
        <v>36397</v>
      </c>
      <c r="H5712" t="s">
        <v>182</v>
      </c>
      <c r="I5712">
        <v>9</v>
      </c>
      <c r="J5712">
        <v>10</v>
      </c>
      <c r="K5712">
        <v>1</v>
      </c>
      <c r="L5712">
        <v>73460</v>
      </c>
      <c r="M5712" t="str">
        <f t="shared" si="895"/>
        <v>13</v>
      </c>
      <c r="N5712" t="s">
        <v>3323</v>
      </c>
      <c r="O5712" t="str">
        <f t="shared" si="896"/>
        <v>73111</v>
      </c>
      <c r="P5712" t="str">
        <f>"2120L"</f>
        <v>2120L</v>
      </c>
      <c r="Q5712" t="str">
        <f t="shared" si="889"/>
        <v>0101</v>
      </c>
      <c r="R5712">
        <v>2120</v>
      </c>
      <c r="S5712" t="str">
        <f t="shared" si="897"/>
        <v>7310</v>
      </c>
      <c r="T5712" t="s">
        <v>3835</v>
      </c>
      <c r="U5712" t="s">
        <v>98</v>
      </c>
    </row>
    <row r="5713" spans="1:21" ht="15" customHeight="1" x14ac:dyDescent="0.3">
      <c r="A5713" t="s">
        <v>179</v>
      </c>
      <c r="B5713" t="str">
        <f>"00056896"</f>
        <v>00056896</v>
      </c>
      <c r="C5713" t="s">
        <v>4253</v>
      </c>
      <c r="D5713" t="s">
        <v>316</v>
      </c>
      <c r="E5713" t="str">
        <f>"00044555"</f>
        <v>00044555</v>
      </c>
      <c r="F5713">
        <v>0</v>
      </c>
      <c r="G5713" s="243">
        <v>32050</v>
      </c>
      <c r="H5713" t="s">
        <v>182</v>
      </c>
      <c r="I5713">
        <v>15</v>
      </c>
      <c r="J5713">
        <v>16</v>
      </c>
      <c r="K5713">
        <v>1</v>
      </c>
      <c r="L5713">
        <v>106540</v>
      </c>
      <c r="M5713" t="str">
        <f t="shared" si="895"/>
        <v>13</v>
      </c>
      <c r="N5713" t="s">
        <v>3323</v>
      </c>
      <c r="O5713" t="str">
        <f t="shared" si="896"/>
        <v>73111</v>
      </c>
      <c r="P5713" t="str">
        <f>"2120L"</f>
        <v>2120L</v>
      </c>
      <c r="Q5713" t="str">
        <f t="shared" si="889"/>
        <v>0101</v>
      </c>
      <c r="R5713">
        <v>2120</v>
      </c>
      <c r="S5713" t="str">
        <f t="shared" si="897"/>
        <v>7310</v>
      </c>
      <c r="T5713" t="s">
        <v>3835</v>
      </c>
      <c r="U5713" t="s">
        <v>98</v>
      </c>
    </row>
    <row r="5714" spans="1:21" ht="15" customHeight="1" x14ac:dyDescent="0.3">
      <c r="A5714" t="s">
        <v>179</v>
      </c>
      <c r="B5714" t="str">
        <f>"00057003"</f>
        <v>00057003</v>
      </c>
      <c r="C5714" t="s">
        <v>203</v>
      </c>
      <c r="D5714" t="s">
        <v>317</v>
      </c>
      <c r="E5714" t="str">
        <f>"00053770"</f>
        <v>00053770</v>
      </c>
      <c r="F5714">
        <v>0</v>
      </c>
      <c r="G5714" s="243">
        <v>35195</v>
      </c>
      <c r="H5714" t="s">
        <v>182</v>
      </c>
      <c r="I5714">
        <v>9</v>
      </c>
      <c r="J5714">
        <v>9</v>
      </c>
      <c r="K5714">
        <v>1</v>
      </c>
      <c r="L5714">
        <v>41667</v>
      </c>
      <c r="M5714" t="str">
        <f t="shared" si="895"/>
        <v>13</v>
      </c>
      <c r="N5714" t="s">
        <v>3323</v>
      </c>
      <c r="O5714" t="str">
        <f t="shared" si="896"/>
        <v>73111</v>
      </c>
      <c r="P5714" t="str">
        <f>"2120L"</f>
        <v>2120L</v>
      </c>
      <c r="Q5714" t="str">
        <f t="shared" si="889"/>
        <v>0101</v>
      </c>
      <c r="R5714">
        <v>2120</v>
      </c>
      <c r="S5714" t="str">
        <f t="shared" si="897"/>
        <v>7310</v>
      </c>
      <c r="T5714" t="s">
        <v>3835</v>
      </c>
      <c r="U5714" t="s">
        <v>98</v>
      </c>
    </row>
    <row r="5715" spans="1:21" ht="15" customHeight="1" x14ac:dyDescent="0.3">
      <c r="A5715" t="s">
        <v>179</v>
      </c>
      <c r="B5715" t="str">
        <f>"00057174"</f>
        <v>00057174</v>
      </c>
      <c r="C5715" t="s">
        <v>318</v>
      </c>
      <c r="H5715" t="s">
        <v>170</v>
      </c>
      <c r="I5715">
        <v>16</v>
      </c>
      <c r="J5715">
        <v>0</v>
      </c>
      <c r="K5715">
        <v>0.5</v>
      </c>
      <c r="L5715">
        <v>48755.199999999997</v>
      </c>
      <c r="M5715" t="str">
        <f t="shared" si="895"/>
        <v>13</v>
      </c>
      <c r="N5715" t="s">
        <v>3323</v>
      </c>
      <c r="O5715" t="str">
        <f t="shared" si="896"/>
        <v>73111</v>
      </c>
      <c r="P5715" t="str">
        <f>"2120L"</f>
        <v>2120L</v>
      </c>
      <c r="Q5715" t="str">
        <f t="shared" si="889"/>
        <v>0101</v>
      </c>
      <c r="R5715">
        <v>2120</v>
      </c>
      <c r="S5715" t="str">
        <f t="shared" si="897"/>
        <v>7310</v>
      </c>
      <c r="T5715" t="s">
        <v>3835</v>
      </c>
      <c r="U5715" t="s">
        <v>98</v>
      </c>
    </row>
    <row r="5716" spans="1:21" ht="15" customHeight="1" x14ac:dyDescent="0.3">
      <c r="A5716" t="s">
        <v>179</v>
      </c>
      <c r="B5716" t="str">
        <f>"00057395"</f>
        <v>00057395</v>
      </c>
      <c r="C5716" t="s">
        <v>4253</v>
      </c>
      <c r="D5716" t="s">
        <v>319</v>
      </c>
      <c r="E5716" t="str">
        <f>"00046559"</f>
        <v>00046559</v>
      </c>
      <c r="F5716">
        <v>0</v>
      </c>
      <c r="G5716" s="243">
        <v>36761</v>
      </c>
      <c r="H5716" t="s">
        <v>182</v>
      </c>
      <c r="I5716">
        <v>15</v>
      </c>
      <c r="J5716">
        <v>12</v>
      </c>
      <c r="K5716">
        <v>1</v>
      </c>
      <c r="L5716">
        <v>89887</v>
      </c>
      <c r="M5716" t="str">
        <f t="shared" si="895"/>
        <v>13</v>
      </c>
      <c r="N5716" t="s">
        <v>3323</v>
      </c>
      <c r="O5716" t="str">
        <f t="shared" si="896"/>
        <v>73111</v>
      </c>
      <c r="P5716" t="str">
        <f>"2120L"</f>
        <v>2120L</v>
      </c>
      <c r="Q5716" t="str">
        <f t="shared" si="889"/>
        <v>0101</v>
      </c>
      <c r="R5716">
        <v>2120</v>
      </c>
      <c r="S5716" t="str">
        <f t="shared" si="897"/>
        <v>7310</v>
      </c>
      <c r="T5716" t="s">
        <v>3835</v>
      </c>
      <c r="U5716" t="s">
        <v>98</v>
      </c>
    </row>
    <row r="5717" spans="1:21" ht="15" customHeight="1" x14ac:dyDescent="0.3">
      <c r="A5717" t="s">
        <v>179</v>
      </c>
      <c r="B5717" t="str">
        <f>"00057925"</f>
        <v>00057925</v>
      </c>
      <c r="C5717" t="s">
        <v>314</v>
      </c>
      <c r="H5717" t="s">
        <v>170</v>
      </c>
      <c r="I5717">
        <v>16</v>
      </c>
      <c r="J5717">
        <v>0</v>
      </c>
      <c r="K5717">
        <v>0.5</v>
      </c>
      <c r="L5717">
        <v>48755.199999999997</v>
      </c>
      <c r="M5717" t="str">
        <f t="shared" si="895"/>
        <v>13</v>
      </c>
      <c r="N5717" t="s">
        <v>3323</v>
      </c>
      <c r="O5717" t="str">
        <f t="shared" si="896"/>
        <v>73111</v>
      </c>
      <c r="P5717" t="str">
        <f t="shared" ref="P5717:P5723" si="898">"2120L"</f>
        <v>2120L</v>
      </c>
      <c r="Q5717" t="str">
        <f t="shared" ref="Q5717:Q5777" si="899">"0101"</f>
        <v>0101</v>
      </c>
      <c r="R5717">
        <v>2120</v>
      </c>
      <c r="S5717" t="str">
        <f t="shared" si="897"/>
        <v>7310</v>
      </c>
      <c r="T5717" t="s">
        <v>3835</v>
      </c>
      <c r="U5717" t="s">
        <v>98</v>
      </c>
    </row>
    <row r="5718" spans="1:21" ht="15" customHeight="1" x14ac:dyDescent="0.3">
      <c r="A5718" t="s">
        <v>179</v>
      </c>
      <c r="B5718" t="str">
        <f>"00057939"</f>
        <v>00057939</v>
      </c>
      <c r="C5718" t="s">
        <v>322</v>
      </c>
      <c r="D5718" t="s">
        <v>323</v>
      </c>
      <c r="E5718" t="str">
        <f>"00046333"</f>
        <v>00046333</v>
      </c>
      <c r="F5718">
        <v>0</v>
      </c>
      <c r="G5718" s="243">
        <v>41133</v>
      </c>
      <c r="H5718" t="s">
        <v>182</v>
      </c>
      <c r="I5718">
        <v>16</v>
      </c>
      <c r="J5718">
        <v>1</v>
      </c>
      <c r="K5718">
        <v>0.5</v>
      </c>
      <c r="L5718">
        <v>24377.599999999999</v>
      </c>
      <c r="M5718" t="str">
        <f t="shared" si="895"/>
        <v>13</v>
      </c>
      <c r="N5718" t="s">
        <v>3323</v>
      </c>
      <c r="O5718" t="str">
        <f t="shared" si="896"/>
        <v>73111</v>
      </c>
      <c r="P5718" t="str">
        <f t="shared" si="898"/>
        <v>2120L</v>
      </c>
      <c r="Q5718" t="str">
        <f t="shared" si="899"/>
        <v>0101</v>
      </c>
      <c r="R5718">
        <v>2120</v>
      </c>
      <c r="S5718" t="str">
        <f t="shared" si="897"/>
        <v>7310</v>
      </c>
      <c r="T5718" t="s">
        <v>3835</v>
      </c>
      <c r="U5718" t="s">
        <v>98</v>
      </c>
    </row>
    <row r="5719" spans="1:21" ht="15" customHeight="1" x14ac:dyDescent="0.3">
      <c r="A5719" t="s">
        <v>179</v>
      </c>
      <c r="B5719" t="str">
        <f>"00058344"</f>
        <v>00058344</v>
      </c>
      <c r="C5719" t="s">
        <v>314</v>
      </c>
      <c r="H5719" t="s">
        <v>170</v>
      </c>
      <c r="I5719">
        <v>16</v>
      </c>
      <c r="J5719">
        <v>0</v>
      </c>
      <c r="K5719">
        <v>0.5</v>
      </c>
      <c r="L5719">
        <v>48755.199999999997</v>
      </c>
      <c r="M5719" t="str">
        <f t="shared" si="895"/>
        <v>13</v>
      </c>
      <c r="N5719" t="s">
        <v>3323</v>
      </c>
      <c r="O5719" t="str">
        <f t="shared" si="896"/>
        <v>73111</v>
      </c>
      <c r="P5719" t="str">
        <f t="shared" si="898"/>
        <v>2120L</v>
      </c>
      <c r="Q5719" t="str">
        <f t="shared" si="899"/>
        <v>0101</v>
      </c>
      <c r="R5719">
        <v>2120</v>
      </c>
      <c r="S5719" t="str">
        <f t="shared" si="897"/>
        <v>7310</v>
      </c>
      <c r="T5719" t="s">
        <v>3835</v>
      </c>
      <c r="U5719" t="s">
        <v>98</v>
      </c>
    </row>
    <row r="5720" spans="1:21" ht="15" customHeight="1" x14ac:dyDescent="0.3">
      <c r="A5720" t="s">
        <v>179</v>
      </c>
      <c r="B5720" t="str">
        <f>"00058431"</f>
        <v>00058431</v>
      </c>
      <c r="C5720" t="s">
        <v>314</v>
      </c>
      <c r="D5720" t="s">
        <v>324</v>
      </c>
      <c r="E5720" t="str">
        <f>"00048661"</f>
        <v>00048661</v>
      </c>
      <c r="F5720">
        <v>0</v>
      </c>
      <c r="G5720" s="243">
        <v>41133</v>
      </c>
      <c r="H5720" t="s">
        <v>182</v>
      </c>
      <c r="I5720">
        <v>16</v>
      </c>
      <c r="J5720">
        <v>3</v>
      </c>
      <c r="K5720">
        <v>0.5</v>
      </c>
      <c r="L5720">
        <v>31293.599999999999</v>
      </c>
      <c r="M5720" t="str">
        <f t="shared" si="895"/>
        <v>13</v>
      </c>
      <c r="N5720" t="s">
        <v>3323</v>
      </c>
      <c r="O5720" t="str">
        <f t="shared" si="896"/>
        <v>73111</v>
      </c>
      <c r="P5720" t="str">
        <f t="shared" si="898"/>
        <v>2120L</v>
      </c>
      <c r="Q5720" t="str">
        <f t="shared" si="899"/>
        <v>0101</v>
      </c>
      <c r="R5720">
        <v>2120</v>
      </c>
      <c r="S5720" t="str">
        <f t="shared" si="897"/>
        <v>7310</v>
      </c>
      <c r="T5720" t="s">
        <v>3835</v>
      </c>
      <c r="U5720" t="s">
        <v>98</v>
      </c>
    </row>
    <row r="5721" spans="1:21" ht="15" customHeight="1" x14ac:dyDescent="0.3">
      <c r="A5721" t="s">
        <v>179</v>
      </c>
      <c r="B5721" t="str">
        <f>"00058682"</f>
        <v>00058682</v>
      </c>
      <c r="C5721" t="s">
        <v>314</v>
      </c>
      <c r="H5721" t="s">
        <v>170</v>
      </c>
      <c r="I5721">
        <v>16</v>
      </c>
      <c r="J5721">
        <v>0</v>
      </c>
      <c r="K5721">
        <v>0.5</v>
      </c>
      <c r="L5721">
        <v>48755.199999999997</v>
      </c>
      <c r="M5721" t="str">
        <f t="shared" si="895"/>
        <v>13</v>
      </c>
      <c r="N5721" t="s">
        <v>3323</v>
      </c>
      <c r="O5721" t="str">
        <f t="shared" si="896"/>
        <v>73111</v>
      </c>
      <c r="P5721" t="str">
        <f t="shared" si="898"/>
        <v>2120L</v>
      </c>
      <c r="Q5721" t="str">
        <f t="shared" si="899"/>
        <v>0101</v>
      </c>
      <c r="R5721">
        <v>2120</v>
      </c>
      <c r="S5721" t="str">
        <f t="shared" si="897"/>
        <v>7310</v>
      </c>
      <c r="T5721" t="s">
        <v>3835</v>
      </c>
      <c r="U5721" t="s">
        <v>98</v>
      </c>
    </row>
    <row r="5722" spans="1:21" ht="15" customHeight="1" x14ac:dyDescent="0.3">
      <c r="A5722" t="s">
        <v>179</v>
      </c>
      <c r="B5722" t="str">
        <f>"00059057"</f>
        <v>00059057</v>
      </c>
      <c r="C5722" t="s">
        <v>4800</v>
      </c>
      <c r="D5722" t="s">
        <v>325</v>
      </c>
      <c r="E5722" t="str">
        <f>"00049350"</f>
        <v>00049350</v>
      </c>
      <c r="F5722">
        <v>0</v>
      </c>
      <c r="G5722" s="243">
        <v>37521</v>
      </c>
      <c r="H5722" t="s">
        <v>182</v>
      </c>
      <c r="I5722">
        <v>10</v>
      </c>
      <c r="J5722">
        <v>9</v>
      </c>
      <c r="K5722">
        <v>1</v>
      </c>
      <c r="L5722">
        <v>84226</v>
      </c>
      <c r="M5722" t="str">
        <f t="shared" si="895"/>
        <v>13</v>
      </c>
      <c r="N5722" t="s">
        <v>3323</v>
      </c>
      <c r="O5722" t="str">
        <f t="shared" si="896"/>
        <v>73111</v>
      </c>
      <c r="P5722" t="str">
        <f t="shared" si="898"/>
        <v>2120L</v>
      </c>
      <c r="Q5722" t="str">
        <f t="shared" si="899"/>
        <v>0101</v>
      </c>
      <c r="R5722">
        <v>2120</v>
      </c>
      <c r="S5722" t="str">
        <f t="shared" si="897"/>
        <v>7310</v>
      </c>
      <c r="T5722" t="s">
        <v>3835</v>
      </c>
      <c r="U5722" t="s">
        <v>98</v>
      </c>
    </row>
    <row r="5723" spans="1:21" ht="15" customHeight="1" x14ac:dyDescent="0.3">
      <c r="A5723" t="s">
        <v>179</v>
      </c>
      <c r="B5723" t="str">
        <f>"00059124"</f>
        <v>00059124</v>
      </c>
      <c r="C5723" t="s">
        <v>189</v>
      </c>
      <c r="H5723" t="s">
        <v>170</v>
      </c>
      <c r="I5723">
        <v>16</v>
      </c>
      <c r="J5723">
        <v>0</v>
      </c>
      <c r="K5723">
        <v>0.5</v>
      </c>
      <c r="L5723">
        <v>48755.199999999997</v>
      </c>
      <c r="M5723" t="str">
        <f t="shared" si="895"/>
        <v>13</v>
      </c>
      <c r="N5723" t="s">
        <v>3323</v>
      </c>
      <c r="O5723" t="str">
        <f t="shared" si="896"/>
        <v>73111</v>
      </c>
      <c r="P5723" t="str">
        <f t="shared" si="898"/>
        <v>2120L</v>
      </c>
      <c r="Q5723" t="str">
        <f t="shared" si="899"/>
        <v>0101</v>
      </c>
      <c r="R5723">
        <v>2120</v>
      </c>
      <c r="S5723" t="str">
        <f t="shared" si="897"/>
        <v>7310</v>
      </c>
      <c r="T5723" t="s">
        <v>3835</v>
      </c>
      <c r="U5723" t="s">
        <v>98</v>
      </c>
    </row>
    <row r="5724" spans="1:21" ht="15" customHeight="1" x14ac:dyDescent="0.3">
      <c r="A5724" t="s">
        <v>179</v>
      </c>
      <c r="B5724" t="str">
        <f>"00059130"</f>
        <v>00059130</v>
      </c>
      <c r="C5724" t="s">
        <v>4260</v>
      </c>
      <c r="D5724" t="s">
        <v>326</v>
      </c>
      <c r="E5724" t="str">
        <f>"00046273"</f>
        <v>00046273</v>
      </c>
      <c r="F5724">
        <v>0</v>
      </c>
      <c r="G5724" s="243">
        <v>37645</v>
      </c>
      <c r="H5724" t="s">
        <v>182</v>
      </c>
      <c r="I5724">
        <v>15</v>
      </c>
      <c r="J5724">
        <v>12</v>
      </c>
      <c r="K5724">
        <v>1</v>
      </c>
      <c r="L5724">
        <v>92613</v>
      </c>
      <c r="M5724" t="str">
        <f t="shared" si="895"/>
        <v>13</v>
      </c>
      <c r="N5724" t="s">
        <v>3323</v>
      </c>
      <c r="O5724" t="str">
        <f t="shared" si="896"/>
        <v>73111</v>
      </c>
      <c r="P5724" t="str">
        <f>"3030L"</f>
        <v>3030L</v>
      </c>
      <c r="Q5724" t="str">
        <f t="shared" si="899"/>
        <v>0101</v>
      </c>
      <c r="R5724">
        <v>3030</v>
      </c>
      <c r="S5724" t="str">
        <f t="shared" si="897"/>
        <v>7310</v>
      </c>
      <c r="T5724" t="s">
        <v>3835</v>
      </c>
      <c r="U5724" t="s">
        <v>98</v>
      </c>
    </row>
    <row r="5725" spans="1:21" ht="15" customHeight="1" x14ac:dyDescent="0.3">
      <c r="A5725" t="s">
        <v>179</v>
      </c>
      <c r="B5725" t="str">
        <f>"00059296"</f>
        <v>00059296</v>
      </c>
      <c r="C5725" t="s">
        <v>189</v>
      </c>
      <c r="D5725" t="s">
        <v>259</v>
      </c>
      <c r="E5725" t="str">
        <f>"00051290"</f>
        <v>00051290</v>
      </c>
      <c r="F5725">
        <v>1</v>
      </c>
      <c r="G5725" s="243">
        <v>41133</v>
      </c>
      <c r="H5725" t="s">
        <v>182</v>
      </c>
      <c r="I5725">
        <v>16</v>
      </c>
      <c r="J5725">
        <v>3</v>
      </c>
      <c r="K5725">
        <v>0.5</v>
      </c>
      <c r="L5725">
        <v>31293.599999999999</v>
      </c>
      <c r="M5725" t="str">
        <f t="shared" si="895"/>
        <v>13</v>
      </c>
      <c r="N5725" t="s">
        <v>3323</v>
      </c>
      <c r="O5725" t="str">
        <f t="shared" si="896"/>
        <v>73111</v>
      </c>
      <c r="P5725" t="str">
        <f t="shared" ref="P5725:P5730" si="900">"2120L"</f>
        <v>2120L</v>
      </c>
      <c r="Q5725" t="str">
        <f t="shared" si="899"/>
        <v>0101</v>
      </c>
      <c r="R5725">
        <v>2120</v>
      </c>
      <c r="S5725" t="str">
        <f t="shared" si="897"/>
        <v>7310</v>
      </c>
      <c r="T5725" t="s">
        <v>3835</v>
      </c>
      <c r="U5725" t="s">
        <v>98</v>
      </c>
    </row>
    <row r="5726" spans="1:21" ht="15" customHeight="1" x14ac:dyDescent="0.3">
      <c r="A5726" t="s">
        <v>179</v>
      </c>
      <c r="B5726" t="str">
        <f>"00059454"</f>
        <v>00059454</v>
      </c>
      <c r="C5726" t="s">
        <v>327</v>
      </c>
      <c r="D5726" t="s">
        <v>328</v>
      </c>
      <c r="E5726" t="str">
        <f>"00050788"</f>
        <v>00050788</v>
      </c>
      <c r="F5726">
        <v>0</v>
      </c>
      <c r="G5726" s="243">
        <v>41133</v>
      </c>
      <c r="H5726" t="s">
        <v>182</v>
      </c>
      <c r="I5726">
        <v>16</v>
      </c>
      <c r="J5726">
        <v>3</v>
      </c>
      <c r="K5726">
        <v>0.5</v>
      </c>
      <c r="L5726">
        <v>31293.599999999999</v>
      </c>
      <c r="M5726" t="str">
        <f t="shared" si="895"/>
        <v>13</v>
      </c>
      <c r="N5726" t="s">
        <v>3323</v>
      </c>
      <c r="O5726" t="str">
        <f t="shared" si="896"/>
        <v>73111</v>
      </c>
      <c r="P5726" t="str">
        <f t="shared" si="900"/>
        <v>2120L</v>
      </c>
      <c r="Q5726" t="str">
        <f t="shared" si="899"/>
        <v>0101</v>
      </c>
      <c r="R5726">
        <v>2120</v>
      </c>
      <c r="S5726" t="str">
        <f t="shared" si="897"/>
        <v>7310</v>
      </c>
      <c r="T5726" t="s">
        <v>3835</v>
      </c>
      <c r="U5726" t="s">
        <v>98</v>
      </c>
    </row>
    <row r="5727" spans="1:21" ht="15" customHeight="1" x14ac:dyDescent="0.3">
      <c r="A5727" t="s">
        <v>179</v>
      </c>
      <c r="B5727" t="str">
        <f>"00059549"</f>
        <v>00059549</v>
      </c>
      <c r="C5727" t="s">
        <v>314</v>
      </c>
      <c r="D5727" t="s">
        <v>329</v>
      </c>
      <c r="E5727" t="str">
        <f>"00045512"</f>
        <v>00045512</v>
      </c>
      <c r="F5727">
        <v>0</v>
      </c>
      <c r="G5727" s="243">
        <v>41133</v>
      </c>
      <c r="H5727" t="s">
        <v>182</v>
      </c>
      <c r="I5727">
        <v>16</v>
      </c>
      <c r="J5727">
        <v>3</v>
      </c>
      <c r="K5727">
        <v>0.5</v>
      </c>
      <c r="L5727">
        <v>31293.599999999999</v>
      </c>
      <c r="M5727" t="str">
        <f t="shared" si="895"/>
        <v>13</v>
      </c>
      <c r="N5727" t="s">
        <v>3323</v>
      </c>
      <c r="O5727" t="str">
        <f t="shared" si="896"/>
        <v>73111</v>
      </c>
      <c r="P5727" t="str">
        <f t="shared" si="900"/>
        <v>2120L</v>
      </c>
      <c r="Q5727" t="str">
        <f t="shared" si="899"/>
        <v>0101</v>
      </c>
      <c r="R5727">
        <v>2120</v>
      </c>
      <c r="S5727" t="str">
        <f t="shared" si="897"/>
        <v>7310</v>
      </c>
      <c r="T5727" t="s">
        <v>3835</v>
      </c>
      <c r="U5727" t="s">
        <v>98</v>
      </c>
    </row>
    <row r="5728" spans="1:21" ht="15" customHeight="1" x14ac:dyDescent="0.3">
      <c r="A5728" t="s">
        <v>179</v>
      </c>
      <c r="B5728" t="str">
        <f>"00059624"</f>
        <v>00059624</v>
      </c>
      <c r="C5728" t="s">
        <v>314</v>
      </c>
      <c r="H5728" t="s">
        <v>170</v>
      </c>
      <c r="I5728">
        <v>16</v>
      </c>
      <c r="J5728">
        <v>0</v>
      </c>
      <c r="K5728">
        <v>0.5</v>
      </c>
      <c r="L5728">
        <v>48755.199999999997</v>
      </c>
      <c r="M5728" t="str">
        <f t="shared" si="895"/>
        <v>13</v>
      </c>
      <c r="N5728" t="s">
        <v>3323</v>
      </c>
      <c r="O5728" t="str">
        <f t="shared" si="896"/>
        <v>73111</v>
      </c>
      <c r="P5728" t="str">
        <f t="shared" si="900"/>
        <v>2120L</v>
      </c>
      <c r="Q5728" t="str">
        <f t="shared" si="899"/>
        <v>0101</v>
      </c>
      <c r="R5728">
        <v>2120</v>
      </c>
      <c r="S5728" t="str">
        <f t="shared" si="897"/>
        <v>7310</v>
      </c>
      <c r="T5728" t="s">
        <v>3835</v>
      </c>
      <c r="U5728" t="s">
        <v>98</v>
      </c>
    </row>
    <row r="5729" spans="1:21" ht="15" customHeight="1" x14ac:dyDescent="0.3">
      <c r="A5729" t="s">
        <v>179</v>
      </c>
      <c r="B5729" t="str">
        <f>"00059625"</f>
        <v>00059625</v>
      </c>
      <c r="C5729" t="s">
        <v>318</v>
      </c>
      <c r="D5729" t="s">
        <v>5945</v>
      </c>
      <c r="E5729" t="str">
        <f>"00063697"</f>
        <v>00063697</v>
      </c>
      <c r="F5729">
        <v>0</v>
      </c>
      <c r="G5729" s="243">
        <v>41133</v>
      </c>
      <c r="H5729" t="s">
        <v>182</v>
      </c>
      <c r="I5729">
        <v>16</v>
      </c>
      <c r="J5729">
        <v>1</v>
      </c>
      <c r="K5729">
        <v>0.5</v>
      </c>
      <c r="L5729">
        <v>24377.599999999999</v>
      </c>
      <c r="M5729" t="str">
        <f t="shared" si="895"/>
        <v>13</v>
      </c>
      <c r="N5729" t="s">
        <v>3323</v>
      </c>
      <c r="O5729" t="str">
        <f t="shared" si="896"/>
        <v>73111</v>
      </c>
      <c r="P5729" t="str">
        <f t="shared" si="900"/>
        <v>2120L</v>
      </c>
      <c r="Q5729" t="str">
        <f t="shared" si="899"/>
        <v>0101</v>
      </c>
      <c r="R5729">
        <v>2120</v>
      </c>
      <c r="S5729" t="str">
        <f t="shared" si="897"/>
        <v>7310</v>
      </c>
      <c r="T5729" t="s">
        <v>3835</v>
      </c>
      <c r="U5729" t="s">
        <v>98</v>
      </c>
    </row>
    <row r="5730" spans="1:21" ht="15" customHeight="1" x14ac:dyDescent="0.3">
      <c r="A5730" t="s">
        <v>179</v>
      </c>
      <c r="B5730" t="str">
        <f>"00059674"</f>
        <v>00059674</v>
      </c>
      <c r="C5730" t="s">
        <v>331</v>
      </c>
      <c r="D5730" t="s">
        <v>264</v>
      </c>
      <c r="E5730" t="str">
        <f>"00053649"</f>
        <v>00053649</v>
      </c>
      <c r="F5730">
        <v>1</v>
      </c>
      <c r="G5730" s="243">
        <v>41133</v>
      </c>
      <c r="H5730" t="s">
        <v>182</v>
      </c>
      <c r="I5730">
        <v>16</v>
      </c>
      <c r="J5730">
        <v>3</v>
      </c>
      <c r="K5730">
        <v>0.5</v>
      </c>
      <c r="L5730">
        <v>31293.599999999999</v>
      </c>
      <c r="M5730" t="str">
        <f t="shared" si="895"/>
        <v>13</v>
      </c>
      <c r="N5730" t="s">
        <v>3323</v>
      </c>
      <c r="O5730" t="str">
        <f t="shared" si="896"/>
        <v>73111</v>
      </c>
      <c r="P5730" t="str">
        <f t="shared" si="900"/>
        <v>2120L</v>
      </c>
      <c r="Q5730" t="str">
        <f t="shared" si="899"/>
        <v>0101</v>
      </c>
      <c r="R5730">
        <v>2120</v>
      </c>
      <c r="S5730" t="str">
        <f t="shared" si="897"/>
        <v>7310</v>
      </c>
      <c r="T5730" t="s">
        <v>3835</v>
      </c>
      <c r="U5730" t="s">
        <v>98</v>
      </c>
    </row>
    <row r="5731" spans="1:21" ht="15" customHeight="1" x14ac:dyDescent="0.3">
      <c r="A5731" t="s">
        <v>179</v>
      </c>
      <c r="B5731" t="str">
        <f>"00060028"</f>
        <v>00060028</v>
      </c>
      <c r="C5731" t="s">
        <v>5565</v>
      </c>
      <c r="D5731" t="s">
        <v>5946</v>
      </c>
      <c r="E5731" t="str">
        <f>"00067118"</f>
        <v>00067118</v>
      </c>
      <c r="F5731">
        <v>0</v>
      </c>
      <c r="G5731" s="243">
        <v>41154</v>
      </c>
      <c r="H5731" t="s">
        <v>182</v>
      </c>
      <c r="I5731">
        <v>7</v>
      </c>
      <c r="J5731">
        <v>1</v>
      </c>
      <c r="K5731">
        <v>0.5</v>
      </c>
      <c r="L5731">
        <v>13676</v>
      </c>
      <c r="M5731" t="str">
        <f t="shared" si="895"/>
        <v>13</v>
      </c>
      <c r="N5731" t="s">
        <v>3323</v>
      </c>
      <c r="O5731" t="str">
        <f t="shared" si="896"/>
        <v>73111</v>
      </c>
      <c r="P5731" t="str">
        <f>"1502L"</f>
        <v>1502L</v>
      </c>
      <c r="Q5731" t="str">
        <f t="shared" si="899"/>
        <v>0101</v>
      </c>
      <c r="R5731">
        <v>1502</v>
      </c>
      <c r="S5731" t="str">
        <f t="shared" si="897"/>
        <v>7310</v>
      </c>
      <c r="T5731" t="s">
        <v>3835</v>
      </c>
      <c r="U5731" t="s">
        <v>98</v>
      </c>
    </row>
    <row r="5732" spans="1:21" ht="15" customHeight="1" x14ac:dyDescent="0.3">
      <c r="A5732" t="s">
        <v>179</v>
      </c>
      <c r="B5732" t="str">
        <f>"00060029"</f>
        <v>00060029</v>
      </c>
      <c r="C5732" t="s">
        <v>189</v>
      </c>
      <c r="H5732" t="s">
        <v>170</v>
      </c>
      <c r="I5732">
        <v>16</v>
      </c>
      <c r="J5732">
        <v>0</v>
      </c>
      <c r="K5732">
        <v>0.5</v>
      </c>
      <c r="L5732">
        <v>48755.199999999997</v>
      </c>
      <c r="M5732" t="str">
        <f t="shared" si="895"/>
        <v>13</v>
      </c>
      <c r="N5732" t="s">
        <v>3323</v>
      </c>
      <c r="O5732" t="str">
        <f t="shared" si="896"/>
        <v>73111</v>
      </c>
      <c r="P5732" t="str">
        <f>"2120L"</f>
        <v>2120L</v>
      </c>
      <c r="Q5732" t="str">
        <f t="shared" si="899"/>
        <v>0101</v>
      </c>
      <c r="R5732">
        <v>2120</v>
      </c>
      <c r="S5732" t="str">
        <f t="shared" si="897"/>
        <v>7310</v>
      </c>
      <c r="T5732" t="s">
        <v>3835</v>
      </c>
      <c r="U5732" t="s">
        <v>98</v>
      </c>
    </row>
    <row r="5733" spans="1:21" ht="15" customHeight="1" x14ac:dyDescent="0.3">
      <c r="A5733" t="s">
        <v>179</v>
      </c>
      <c r="B5733" t="str">
        <f>"00060068"</f>
        <v>00060068</v>
      </c>
      <c r="C5733" t="s">
        <v>189</v>
      </c>
      <c r="H5733" t="s">
        <v>170</v>
      </c>
      <c r="I5733">
        <v>16</v>
      </c>
      <c r="J5733">
        <v>0</v>
      </c>
      <c r="K5733">
        <v>0.5</v>
      </c>
      <c r="L5733">
        <v>48755.199999999997</v>
      </c>
      <c r="M5733" t="str">
        <f t="shared" si="895"/>
        <v>13</v>
      </c>
      <c r="N5733" t="s">
        <v>3323</v>
      </c>
      <c r="O5733" t="str">
        <f t="shared" si="896"/>
        <v>73111</v>
      </c>
      <c r="P5733" t="str">
        <f>"2120L"</f>
        <v>2120L</v>
      </c>
      <c r="Q5733" t="str">
        <f t="shared" si="899"/>
        <v>0101</v>
      </c>
      <c r="R5733">
        <v>2120</v>
      </c>
      <c r="S5733" t="str">
        <f t="shared" si="897"/>
        <v>7310</v>
      </c>
      <c r="T5733" t="s">
        <v>3835</v>
      </c>
      <c r="U5733" t="s">
        <v>98</v>
      </c>
    </row>
    <row r="5734" spans="1:21" ht="15" customHeight="1" x14ac:dyDescent="0.3">
      <c r="A5734" t="s">
        <v>179</v>
      </c>
      <c r="B5734" t="str">
        <f>"00060105"</f>
        <v>00060105</v>
      </c>
      <c r="C5734" t="s">
        <v>5071</v>
      </c>
      <c r="H5734" t="s">
        <v>170</v>
      </c>
      <c r="I5734">
        <v>6</v>
      </c>
      <c r="J5734">
        <v>1</v>
      </c>
      <c r="K5734">
        <v>1</v>
      </c>
      <c r="L5734">
        <v>31577</v>
      </c>
      <c r="M5734" t="str">
        <f t="shared" si="895"/>
        <v>13</v>
      </c>
      <c r="N5734" t="s">
        <v>3323</v>
      </c>
      <c r="O5734" t="str">
        <f t="shared" si="896"/>
        <v>73111</v>
      </c>
      <c r="P5734" t="str">
        <f>"2120L"</f>
        <v>2120L</v>
      </c>
      <c r="Q5734" t="str">
        <f t="shared" si="899"/>
        <v>0101</v>
      </c>
      <c r="R5734">
        <v>2120</v>
      </c>
      <c r="S5734" t="str">
        <f t="shared" si="897"/>
        <v>7310</v>
      </c>
      <c r="T5734" t="s">
        <v>3835</v>
      </c>
      <c r="U5734" t="s">
        <v>98</v>
      </c>
    </row>
    <row r="5735" spans="1:21" ht="15" customHeight="1" x14ac:dyDescent="0.3">
      <c r="A5735" t="s">
        <v>179</v>
      </c>
      <c r="B5735" t="str">
        <f>"00060125"</f>
        <v>00060125</v>
      </c>
      <c r="C5735" t="s">
        <v>318</v>
      </c>
      <c r="D5735" t="s">
        <v>333</v>
      </c>
      <c r="E5735" t="str">
        <f>"00050831"</f>
        <v>00050831</v>
      </c>
      <c r="F5735">
        <v>0</v>
      </c>
      <c r="G5735" s="243">
        <v>41133</v>
      </c>
      <c r="H5735" t="s">
        <v>182</v>
      </c>
      <c r="I5735">
        <v>16</v>
      </c>
      <c r="J5735">
        <v>2</v>
      </c>
      <c r="K5735">
        <v>0.5</v>
      </c>
      <c r="L5735">
        <v>27674.400000000001</v>
      </c>
      <c r="M5735" t="str">
        <f t="shared" si="895"/>
        <v>13</v>
      </c>
      <c r="N5735" t="s">
        <v>3323</v>
      </c>
      <c r="O5735" t="str">
        <f t="shared" si="896"/>
        <v>73111</v>
      </c>
      <c r="P5735" t="str">
        <f>"2120L"</f>
        <v>2120L</v>
      </c>
      <c r="Q5735" t="str">
        <f t="shared" si="899"/>
        <v>0101</v>
      </c>
      <c r="R5735">
        <v>2120</v>
      </c>
      <c r="S5735" t="str">
        <f t="shared" si="897"/>
        <v>7310</v>
      </c>
      <c r="T5735" t="s">
        <v>3835</v>
      </c>
      <c r="U5735" t="s">
        <v>98</v>
      </c>
    </row>
    <row r="5736" spans="1:21" ht="15" customHeight="1" x14ac:dyDescent="0.3">
      <c r="A5736" t="s">
        <v>179</v>
      </c>
      <c r="B5736" t="str">
        <f>"00060207"</f>
        <v>00060207</v>
      </c>
      <c r="C5736" t="s">
        <v>4367</v>
      </c>
      <c r="D5736" t="s">
        <v>5947</v>
      </c>
      <c r="E5736" t="str">
        <f>"00054813"</f>
        <v>00054813</v>
      </c>
      <c r="F5736">
        <v>0</v>
      </c>
      <c r="G5736" s="243">
        <v>38441</v>
      </c>
      <c r="H5736" t="s">
        <v>182</v>
      </c>
      <c r="I5736">
        <v>9</v>
      </c>
      <c r="J5736">
        <v>5</v>
      </c>
      <c r="K5736">
        <v>1</v>
      </c>
      <c r="L5736">
        <v>41475</v>
      </c>
      <c r="M5736" t="str">
        <f t="shared" si="895"/>
        <v>13</v>
      </c>
      <c r="N5736" t="s">
        <v>3323</v>
      </c>
      <c r="O5736" t="str">
        <f t="shared" si="896"/>
        <v>73111</v>
      </c>
      <c r="P5736" t="str">
        <f>"1502L"</f>
        <v>1502L</v>
      </c>
      <c r="Q5736" t="str">
        <f t="shared" si="899"/>
        <v>0101</v>
      </c>
      <c r="R5736">
        <v>1502</v>
      </c>
      <c r="S5736" t="str">
        <f t="shared" si="897"/>
        <v>7310</v>
      </c>
      <c r="T5736" t="s">
        <v>3834</v>
      </c>
      <c r="U5736" t="s">
        <v>98</v>
      </c>
    </row>
    <row r="5737" spans="1:21" ht="15" customHeight="1" x14ac:dyDescent="0.3">
      <c r="A5737" t="s">
        <v>179</v>
      </c>
      <c r="B5737" t="str">
        <f>"00060345"</f>
        <v>00060345</v>
      </c>
      <c r="C5737" t="s">
        <v>334</v>
      </c>
      <c r="D5737" t="s">
        <v>320</v>
      </c>
      <c r="E5737" t="str">
        <f>"00053996"</f>
        <v>00053996</v>
      </c>
      <c r="F5737">
        <v>0</v>
      </c>
      <c r="G5737" s="243">
        <v>41133</v>
      </c>
      <c r="H5737" t="s">
        <v>182</v>
      </c>
      <c r="I5737">
        <v>16</v>
      </c>
      <c r="J5737">
        <v>3</v>
      </c>
      <c r="K5737">
        <v>0.25</v>
      </c>
      <c r="L5737">
        <v>15646.8</v>
      </c>
      <c r="M5737" t="str">
        <f t="shared" si="895"/>
        <v>13</v>
      </c>
      <c r="N5737" t="s">
        <v>3323</v>
      </c>
      <c r="O5737" t="str">
        <f t="shared" ref="O5737:O5767" si="901">"73111"</f>
        <v>73111</v>
      </c>
      <c r="P5737" t="str">
        <f t="shared" ref="P5737:P5744" si="902">"2120L"</f>
        <v>2120L</v>
      </c>
      <c r="Q5737" t="str">
        <f t="shared" si="899"/>
        <v>0101</v>
      </c>
      <c r="R5737">
        <v>2120</v>
      </c>
      <c r="S5737" t="str">
        <f t="shared" ref="S5737:S5767" si="903">"7310"</f>
        <v>7310</v>
      </c>
      <c r="T5737" t="s">
        <v>3835</v>
      </c>
      <c r="U5737" t="s">
        <v>98</v>
      </c>
    </row>
    <row r="5738" spans="1:21" ht="15" customHeight="1" x14ac:dyDescent="0.3">
      <c r="A5738" t="s">
        <v>179</v>
      </c>
      <c r="B5738" t="str">
        <f>"00060484"</f>
        <v>00060484</v>
      </c>
      <c r="C5738" t="s">
        <v>335</v>
      </c>
      <c r="H5738" t="s">
        <v>170</v>
      </c>
      <c r="I5738">
        <v>16</v>
      </c>
      <c r="J5738">
        <v>0</v>
      </c>
      <c r="K5738">
        <v>0.25</v>
      </c>
      <c r="L5738">
        <v>48755.199999999997</v>
      </c>
      <c r="M5738" t="str">
        <f t="shared" si="895"/>
        <v>13</v>
      </c>
      <c r="N5738" t="s">
        <v>3370</v>
      </c>
      <c r="O5738" t="str">
        <f t="shared" si="901"/>
        <v>73111</v>
      </c>
      <c r="P5738" t="str">
        <f t="shared" si="902"/>
        <v>2120L</v>
      </c>
      <c r="Q5738" t="str">
        <f t="shared" si="899"/>
        <v>0101</v>
      </c>
      <c r="R5738">
        <v>2120</v>
      </c>
      <c r="S5738" t="str">
        <f t="shared" si="903"/>
        <v>7310</v>
      </c>
      <c r="T5738" t="s">
        <v>3835</v>
      </c>
      <c r="U5738" t="s">
        <v>98</v>
      </c>
    </row>
    <row r="5739" spans="1:21" ht="15" customHeight="1" x14ac:dyDescent="0.3">
      <c r="A5739" t="s">
        <v>179</v>
      </c>
      <c r="B5739" t="str">
        <f>"00060503"</f>
        <v>00060503</v>
      </c>
      <c r="C5739" t="s">
        <v>336</v>
      </c>
      <c r="D5739" t="s">
        <v>5948</v>
      </c>
      <c r="E5739" t="str">
        <f>"00070839"</f>
        <v>00070839</v>
      </c>
      <c r="F5739">
        <v>0</v>
      </c>
      <c r="G5739" s="243">
        <v>41133</v>
      </c>
      <c r="H5739" t="s">
        <v>182</v>
      </c>
      <c r="I5739">
        <v>16</v>
      </c>
      <c r="J5739">
        <v>3</v>
      </c>
      <c r="K5739">
        <v>0.5</v>
      </c>
      <c r="L5739">
        <v>31293.599999999999</v>
      </c>
      <c r="M5739" t="str">
        <f t="shared" si="895"/>
        <v>13</v>
      </c>
      <c r="N5739" t="s">
        <v>3323</v>
      </c>
      <c r="O5739" t="str">
        <f t="shared" si="901"/>
        <v>73111</v>
      </c>
      <c r="P5739" t="str">
        <f t="shared" si="902"/>
        <v>2120L</v>
      </c>
      <c r="Q5739" t="str">
        <f t="shared" si="899"/>
        <v>0101</v>
      </c>
      <c r="R5739">
        <v>2120</v>
      </c>
      <c r="S5739" t="str">
        <f t="shared" si="903"/>
        <v>7310</v>
      </c>
      <c r="T5739" t="s">
        <v>3835</v>
      </c>
      <c r="U5739" t="s">
        <v>98</v>
      </c>
    </row>
    <row r="5740" spans="1:21" ht="15" customHeight="1" x14ac:dyDescent="0.3">
      <c r="A5740" t="s">
        <v>179</v>
      </c>
      <c r="B5740" t="str">
        <f>"00060506"</f>
        <v>00060506</v>
      </c>
      <c r="C5740" t="s">
        <v>334</v>
      </c>
      <c r="D5740" t="s">
        <v>337</v>
      </c>
      <c r="E5740" t="str">
        <f>"00016215"</f>
        <v>00016215</v>
      </c>
      <c r="F5740">
        <v>1</v>
      </c>
      <c r="G5740" s="243">
        <v>41133</v>
      </c>
      <c r="H5740" t="s">
        <v>182</v>
      </c>
      <c r="I5740">
        <v>16</v>
      </c>
      <c r="J5740">
        <v>2</v>
      </c>
      <c r="K5740">
        <v>0.5</v>
      </c>
      <c r="L5740">
        <v>27674.400000000001</v>
      </c>
      <c r="M5740" t="str">
        <f t="shared" si="895"/>
        <v>13</v>
      </c>
      <c r="N5740" t="s">
        <v>3323</v>
      </c>
      <c r="O5740" t="str">
        <f t="shared" si="901"/>
        <v>73111</v>
      </c>
      <c r="P5740" t="str">
        <f t="shared" si="902"/>
        <v>2120L</v>
      </c>
      <c r="Q5740" t="str">
        <f t="shared" si="899"/>
        <v>0101</v>
      </c>
      <c r="R5740">
        <v>2120</v>
      </c>
      <c r="S5740" t="str">
        <f t="shared" si="903"/>
        <v>7310</v>
      </c>
      <c r="T5740" t="s">
        <v>3835</v>
      </c>
      <c r="U5740" t="s">
        <v>98</v>
      </c>
    </row>
    <row r="5741" spans="1:21" ht="15" customHeight="1" x14ac:dyDescent="0.3">
      <c r="A5741" t="s">
        <v>179</v>
      </c>
      <c r="B5741" t="str">
        <f>"00060623"</f>
        <v>00060623</v>
      </c>
      <c r="C5741" t="s">
        <v>318</v>
      </c>
      <c r="H5741" t="s">
        <v>170</v>
      </c>
      <c r="I5741">
        <v>16</v>
      </c>
      <c r="J5741">
        <v>0</v>
      </c>
      <c r="K5741">
        <v>0.5</v>
      </c>
      <c r="L5741">
        <v>48755.199999999997</v>
      </c>
      <c r="M5741" t="str">
        <f t="shared" si="895"/>
        <v>13</v>
      </c>
      <c r="N5741" t="s">
        <v>3323</v>
      </c>
      <c r="O5741" t="str">
        <f t="shared" si="901"/>
        <v>73111</v>
      </c>
      <c r="P5741" t="str">
        <f t="shared" si="902"/>
        <v>2120L</v>
      </c>
      <c r="Q5741" t="str">
        <f t="shared" si="899"/>
        <v>0101</v>
      </c>
      <c r="R5741">
        <v>2120</v>
      </c>
      <c r="S5741" t="str">
        <f t="shared" si="903"/>
        <v>7310</v>
      </c>
      <c r="T5741" t="s">
        <v>3835</v>
      </c>
      <c r="U5741" t="s">
        <v>98</v>
      </c>
    </row>
    <row r="5742" spans="1:21" ht="15" customHeight="1" x14ac:dyDescent="0.3">
      <c r="A5742" t="s">
        <v>179</v>
      </c>
      <c r="B5742" t="str">
        <f>"00060653"</f>
        <v>00060653</v>
      </c>
      <c r="C5742" t="s">
        <v>318</v>
      </c>
      <c r="D5742" t="s">
        <v>339</v>
      </c>
      <c r="E5742" t="str">
        <f>"00050839"</f>
        <v>00050839</v>
      </c>
      <c r="F5742">
        <v>0</v>
      </c>
      <c r="G5742" s="243">
        <v>41091</v>
      </c>
      <c r="H5742" t="s">
        <v>182</v>
      </c>
      <c r="I5742">
        <v>16</v>
      </c>
      <c r="J5742">
        <v>2</v>
      </c>
      <c r="K5742">
        <v>0.5</v>
      </c>
      <c r="L5742">
        <v>27674.400000000001</v>
      </c>
      <c r="M5742" t="str">
        <f t="shared" si="895"/>
        <v>13</v>
      </c>
      <c r="N5742" t="s">
        <v>3323</v>
      </c>
      <c r="O5742" t="str">
        <f t="shared" si="901"/>
        <v>73111</v>
      </c>
      <c r="P5742" t="str">
        <f t="shared" si="902"/>
        <v>2120L</v>
      </c>
      <c r="Q5742" t="str">
        <f t="shared" si="899"/>
        <v>0101</v>
      </c>
      <c r="R5742">
        <v>2120</v>
      </c>
      <c r="S5742" t="str">
        <f t="shared" si="903"/>
        <v>7310</v>
      </c>
      <c r="T5742" t="s">
        <v>3835</v>
      </c>
      <c r="U5742" t="s">
        <v>98</v>
      </c>
    </row>
    <row r="5743" spans="1:21" ht="15" customHeight="1" x14ac:dyDescent="0.3">
      <c r="A5743" t="s">
        <v>179</v>
      </c>
      <c r="B5743" t="str">
        <f>"00060794"</f>
        <v>00060794</v>
      </c>
      <c r="C5743" t="s">
        <v>318</v>
      </c>
      <c r="H5743" t="s">
        <v>170</v>
      </c>
      <c r="I5743">
        <v>16</v>
      </c>
      <c r="J5743">
        <v>0</v>
      </c>
      <c r="K5743">
        <v>0.5</v>
      </c>
      <c r="L5743">
        <v>48755.199999999997</v>
      </c>
      <c r="M5743" t="str">
        <f t="shared" si="895"/>
        <v>13</v>
      </c>
      <c r="N5743" t="s">
        <v>3370</v>
      </c>
      <c r="O5743" t="str">
        <f t="shared" si="901"/>
        <v>73111</v>
      </c>
      <c r="P5743" t="str">
        <f t="shared" si="902"/>
        <v>2120L</v>
      </c>
      <c r="Q5743" t="str">
        <f t="shared" si="899"/>
        <v>0101</v>
      </c>
      <c r="R5743">
        <v>2120</v>
      </c>
      <c r="S5743" t="str">
        <f t="shared" si="903"/>
        <v>7310</v>
      </c>
      <c r="T5743" t="s">
        <v>3835</v>
      </c>
      <c r="U5743" t="s">
        <v>98</v>
      </c>
    </row>
    <row r="5744" spans="1:21" ht="15" customHeight="1" x14ac:dyDescent="0.3">
      <c r="A5744" t="s">
        <v>179</v>
      </c>
      <c r="B5744" t="str">
        <f>"00060843"</f>
        <v>00060843</v>
      </c>
      <c r="C5744" t="s">
        <v>227</v>
      </c>
      <c r="D5744" t="s">
        <v>340</v>
      </c>
      <c r="E5744" t="str">
        <f>"00049662"</f>
        <v>00049662</v>
      </c>
      <c r="F5744">
        <v>0</v>
      </c>
      <c r="G5744" s="243">
        <v>41133</v>
      </c>
      <c r="H5744" t="s">
        <v>182</v>
      </c>
      <c r="I5744">
        <v>16</v>
      </c>
      <c r="J5744">
        <v>2</v>
      </c>
      <c r="K5744">
        <v>0.5</v>
      </c>
      <c r="L5744">
        <v>27674.400000000001</v>
      </c>
      <c r="M5744" t="str">
        <f t="shared" si="895"/>
        <v>13</v>
      </c>
      <c r="N5744" t="s">
        <v>3323</v>
      </c>
      <c r="O5744" t="str">
        <f t="shared" si="901"/>
        <v>73111</v>
      </c>
      <c r="P5744" t="str">
        <f t="shared" si="902"/>
        <v>2120L</v>
      </c>
      <c r="Q5744" t="str">
        <f t="shared" si="899"/>
        <v>0101</v>
      </c>
      <c r="R5744">
        <v>2120</v>
      </c>
      <c r="S5744" t="str">
        <f t="shared" si="903"/>
        <v>7310</v>
      </c>
      <c r="T5744" t="s">
        <v>3835</v>
      </c>
      <c r="U5744" t="s">
        <v>98</v>
      </c>
    </row>
    <row r="5745" spans="1:21" ht="15" customHeight="1" x14ac:dyDescent="0.3">
      <c r="A5745" t="s">
        <v>179</v>
      </c>
      <c r="B5745" t="str">
        <f>"00061377"</f>
        <v>00061377</v>
      </c>
      <c r="C5745" t="s">
        <v>342</v>
      </c>
      <c r="H5745" t="s">
        <v>170</v>
      </c>
      <c r="I5745">
        <v>16</v>
      </c>
      <c r="J5745">
        <v>0</v>
      </c>
      <c r="K5745">
        <v>0.5</v>
      </c>
      <c r="L5745">
        <v>48755.199999999997</v>
      </c>
      <c r="M5745" t="str">
        <f t="shared" si="895"/>
        <v>13</v>
      </c>
      <c r="N5745" t="s">
        <v>3323</v>
      </c>
      <c r="O5745" t="str">
        <f t="shared" si="901"/>
        <v>73111</v>
      </c>
      <c r="P5745" t="str">
        <f>"2120L"</f>
        <v>2120L</v>
      </c>
      <c r="Q5745" t="str">
        <f t="shared" si="899"/>
        <v>0101</v>
      </c>
      <c r="R5745">
        <v>2120</v>
      </c>
      <c r="S5745" t="str">
        <f t="shared" si="903"/>
        <v>7310</v>
      </c>
      <c r="T5745" t="s">
        <v>3835</v>
      </c>
      <c r="U5745" t="s">
        <v>98</v>
      </c>
    </row>
    <row r="5746" spans="1:21" ht="15" customHeight="1" x14ac:dyDescent="0.3">
      <c r="A5746" t="s">
        <v>179</v>
      </c>
      <c r="B5746" t="str">
        <f>"00061530"</f>
        <v>00061530</v>
      </c>
      <c r="C5746" t="s">
        <v>344</v>
      </c>
      <c r="D5746" t="s">
        <v>345</v>
      </c>
      <c r="E5746" t="str">
        <f>"00049522"</f>
        <v>00049522</v>
      </c>
      <c r="F5746">
        <v>0</v>
      </c>
      <c r="G5746" s="243">
        <v>41133</v>
      </c>
      <c r="H5746" t="s">
        <v>182</v>
      </c>
      <c r="I5746">
        <v>16</v>
      </c>
      <c r="J5746">
        <v>3</v>
      </c>
      <c r="K5746">
        <v>0.5</v>
      </c>
      <c r="L5746">
        <v>31293.599999999999</v>
      </c>
      <c r="M5746" t="str">
        <f t="shared" si="895"/>
        <v>13</v>
      </c>
      <c r="N5746" t="s">
        <v>3323</v>
      </c>
      <c r="O5746" t="str">
        <f t="shared" si="901"/>
        <v>73111</v>
      </c>
      <c r="P5746" t="str">
        <f>"2120L"</f>
        <v>2120L</v>
      </c>
      <c r="Q5746" t="str">
        <f t="shared" si="899"/>
        <v>0101</v>
      </c>
      <c r="R5746">
        <v>2120</v>
      </c>
      <c r="S5746" t="str">
        <f t="shared" si="903"/>
        <v>7310</v>
      </c>
      <c r="T5746" t="s">
        <v>3835</v>
      </c>
      <c r="U5746" t="s">
        <v>98</v>
      </c>
    </row>
    <row r="5747" spans="1:21" ht="15" customHeight="1" x14ac:dyDescent="0.3">
      <c r="A5747" t="s">
        <v>179</v>
      </c>
      <c r="B5747" t="str">
        <f>"00061592"</f>
        <v>00061592</v>
      </c>
      <c r="C5747" t="s">
        <v>189</v>
      </c>
      <c r="H5747" t="s">
        <v>170</v>
      </c>
      <c r="I5747">
        <v>16</v>
      </c>
      <c r="J5747">
        <v>0</v>
      </c>
      <c r="K5747">
        <v>0.5</v>
      </c>
      <c r="L5747">
        <v>48755.199999999997</v>
      </c>
      <c r="M5747" t="str">
        <f t="shared" si="895"/>
        <v>13</v>
      </c>
      <c r="N5747" t="s">
        <v>3323</v>
      </c>
      <c r="O5747" t="str">
        <f t="shared" si="901"/>
        <v>73111</v>
      </c>
      <c r="P5747" t="str">
        <f>"2120L"</f>
        <v>2120L</v>
      </c>
      <c r="Q5747" t="str">
        <f t="shared" si="899"/>
        <v>0101</v>
      </c>
      <c r="R5747">
        <v>2120</v>
      </c>
      <c r="S5747" t="str">
        <f t="shared" si="903"/>
        <v>7310</v>
      </c>
      <c r="T5747" t="s">
        <v>3835</v>
      </c>
      <c r="U5747" t="s">
        <v>98</v>
      </c>
    </row>
    <row r="5748" spans="1:21" ht="15" customHeight="1" x14ac:dyDescent="0.3">
      <c r="A5748" t="s">
        <v>179</v>
      </c>
      <c r="B5748" t="str">
        <f>"00061608"</f>
        <v>00061608</v>
      </c>
      <c r="C5748" t="s">
        <v>314</v>
      </c>
      <c r="H5748" t="s">
        <v>170</v>
      </c>
      <c r="I5748">
        <v>16</v>
      </c>
      <c r="J5748">
        <v>0</v>
      </c>
      <c r="K5748">
        <v>0.5</v>
      </c>
      <c r="L5748">
        <v>48755.199999999997</v>
      </c>
      <c r="M5748" t="str">
        <f t="shared" si="895"/>
        <v>13</v>
      </c>
      <c r="N5748" t="s">
        <v>3323</v>
      </c>
      <c r="O5748" t="str">
        <f t="shared" si="901"/>
        <v>73111</v>
      </c>
      <c r="P5748" t="str">
        <f>"2120L"</f>
        <v>2120L</v>
      </c>
      <c r="Q5748" t="str">
        <f t="shared" si="899"/>
        <v>0101</v>
      </c>
      <c r="R5748">
        <v>2120</v>
      </c>
      <c r="S5748" t="str">
        <f t="shared" si="903"/>
        <v>7310</v>
      </c>
      <c r="T5748" t="s">
        <v>3835</v>
      </c>
      <c r="U5748" t="s">
        <v>98</v>
      </c>
    </row>
    <row r="5749" spans="1:21" ht="15" customHeight="1" x14ac:dyDescent="0.3">
      <c r="A5749" t="s">
        <v>179</v>
      </c>
      <c r="B5749" t="str">
        <f>"00061629"</f>
        <v>00061629</v>
      </c>
      <c r="C5749" t="s">
        <v>189</v>
      </c>
      <c r="D5749" t="s">
        <v>338</v>
      </c>
      <c r="E5749" t="str">
        <f>"00046723"</f>
        <v>00046723</v>
      </c>
      <c r="F5749">
        <v>1</v>
      </c>
      <c r="H5749" t="s">
        <v>182</v>
      </c>
      <c r="I5749">
        <v>16</v>
      </c>
      <c r="J5749">
        <v>1</v>
      </c>
      <c r="K5749">
        <v>0.5</v>
      </c>
      <c r="L5749">
        <v>24377.599999999999</v>
      </c>
      <c r="M5749" t="str">
        <f t="shared" si="895"/>
        <v>13</v>
      </c>
      <c r="N5749" t="s">
        <v>3370</v>
      </c>
      <c r="O5749" t="str">
        <f t="shared" si="901"/>
        <v>73111</v>
      </c>
      <c r="P5749" t="str">
        <f>"2120L"</f>
        <v>2120L</v>
      </c>
      <c r="Q5749" t="str">
        <f t="shared" si="899"/>
        <v>0101</v>
      </c>
      <c r="R5749">
        <v>2120</v>
      </c>
      <c r="S5749" t="str">
        <f t="shared" si="903"/>
        <v>7310</v>
      </c>
      <c r="T5749" t="s">
        <v>3835</v>
      </c>
      <c r="U5749" t="s">
        <v>98</v>
      </c>
    </row>
    <row r="5750" spans="1:21" ht="15" customHeight="1" x14ac:dyDescent="0.3">
      <c r="A5750" t="s">
        <v>179</v>
      </c>
      <c r="B5750" t="str">
        <f>"00061744"</f>
        <v>00061744</v>
      </c>
      <c r="C5750" t="s">
        <v>189</v>
      </c>
      <c r="D5750" t="s">
        <v>5949</v>
      </c>
      <c r="E5750" t="str">
        <f>"00049556"</f>
        <v>00049556</v>
      </c>
      <c r="F5750">
        <v>1</v>
      </c>
      <c r="G5750" s="243">
        <v>40118</v>
      </c>
      <c r="H5750" t="s">
        <v>182</v>
      </c>
      <c r="I5750">
        <v>16</v>
      </c>
      <c r="J5750">
        <v>1</v>
      </c>
      <c r="K5750">
        <v>0.5</v>
      </c>
      <c r="L5750">
        <v>24377.599999999999</v>
      </c>
      <c r="M5750" t="str">
        <f t="shared" si="895"/>
        <v>13</v>
      </c>
      <c r="N5750" t="s">
        <v>3323</v>
      </c>
      <c r="O5750" t="str">
        <f t="shared" si="901"/>
        <v>73111</v>
      </c>
      <c r="P5750" t="str">
        <f>"2100L"</f>
        <v>2100L</v>
      </c>
      <c r="Q5750" t="str">
        <f t="shared" si="899"/>
        <v>0101</v>
      </c>
      <c r="R5750">
        <v>2100</v>
      </c>
      <c r="S5750" t="str">
        <f t="shared" si="903"/>
        <v>7310</v>
      </c>
      <c r="T5750" t="s">
        <v>3835</v>
      </c>
      <c r="U5750" t="s">
        <v>98</v>
      </c>
    </row>
    <row r="5751" spans="1:21" ht="15" customHeight="1" x14ac:dyDescent="0.3">
      <c r="A5751" t="s">
        <v>179</v>
      </c>
      <c r="B5751" t="str">
        <f>"00062620"</f>
        <v>00062620</v>
      </c>
      <c r="C5751" t="s">
        <v>318</v>
      </c>
      <c r="H5751" t="s">
        <v>170</v>
      </c>
      <c r="I5751">
        <v>16</v>
      </c>
      <c r="J5751">
        <v>0</v>
      </c>
      <c r="K5751">
        <v>0.5</v>
      </c>
      <c r="L5751">
        <v>48755.199999999997</v>
      </c>
      <c r="M5751" t="str">
        <f t="shared" si="895"/>
        <v>13</v>
      </c>
      <c r="N5751" t="s">
        <v>3323</v>
      </c>
      <c r="O5751" t="str">
        <f t="shared" si="901"/>
        <v>73111</v>
      </c>
      <c r="P5751" t="str">
        <f>"2120L"</f>
        <v>2120L</v>
      </c>
      <c r="Q5751" t="str">
        <f t="shared" si="899"/>
        <v>0101</v>
      </c>
      <c r="R5751">
        <v>2120</v>
      </c>
      <c r="S5751" t="str">
        <f t="shared" si="903"/>
        <v>7310</v>
      </c>
      <c r="T5751" t="s">
        <v>3835</v>
      </c>
      <c r="U5751" t="s">
        <v>98</v>
      </c>
    </row>
    <row r="5752" spans="1:21" ht="15" customHeight="1" x14ac:dyDescent="0.3">
      <c r="A5752" t="s">
        <v>179</v>
      </c>
      <c r="B5752" t="str">
        <f>"00062697"</f>
        <v>00062697</v>
      </c>
      <c r="C5752" t="s">
        <v>4333</v>
      </c>
      <c r="D5752" t="s">
        <v>5950</v>
      </c>
      <c r="E5752" t="str">
        <f>"00049805"</f>
        <v>00049805</v>
      </c>
      <c r="F5752">
        <v>0</v>
      </c>
      <c r="G5752" s="243">
        <v>39685</v>
      </c>
      <c r="H5752" t="s">
        <v>182</v>
      </c>
      <c r="I5752">
        <v>12</v>
      </c>
      <c r="J5752">
        <v>5</v>
      </c>
      <c r="K5752">
        <v>1</v>
      </c>
      <c r="L5752">
        <v>67408</v>
      </c>
      <c r="M5752" t="str">
        <f t="shared" si="895"/>
        <v>13</v>
      </c>
      <c r="N5752" t="s">
        <v>3323</v>
      </c>
      <c r="O5752" t="str">
        <f t="shared" si="901"/>
        <v>73111</v>
      </c>
      <c r="P5752" t="str">
        <f>"1502L"</f>
        <v>1502L</v>
      </c>
      <c r="Q5752" t="str">
        <f t="shared" si="899"/>
        <v>0101</v>
      </c>
      <c r="R5752">
        <v>1502</v>
      </c>
      <c r="S5752" t="str">
        <f t="shared" si="903"/>
        <v>7310</v>
      </c>
      <c r="T5752" t="s">
        <v>3835</v>
      </c>
      <c r="U5752" t="s">
        <v>98</v>
      </c>
    </row>
    <row r="5753" spans="1:21" ht="15" customHeight="1" x14ac:dyDescent="0.3">
      <c r="A5753" t="s">
        <v>179</v>
      </c>
      <c r="B5753" t="str">
        <f>"00062716"</f>
        <v>00062716</v>
      </c>
      <c r="C5753" t="s">
        <v>4333</v>
      </c>
      <c r="D5753" t="s">
        <v>5951</v>
      </c>
      <c r="E5753" t="str">
        <f>"00050523"</f>
        <v>00050523</v>
      </c>
      <c r="F5753">
        <v>0</v>
      </c>
      <c r="G5753" s="243">
        <v>39737</v>
      </c>
      <c r="H5753" t="s">
        <v>182</v>
      </c>
      <c r="I5753">
        <v>12</v>
      </c>
      <c r="J5753">
        <v>3</v>
      </c>
      <c r="K5753">
        <v>1</v>
      </c>
      <c r="L5753">
        <v>63445</v>
      </c>
      <c r="M5753" t="str">
        <f t="shared" si="895"/>
        <v>13</v>
      </c>
      <c r="N5753" t="s">
        <v>3323</v>
      </c>
      <c r="O5753" t="str">
        <f t="shared" si="901"/>
        <v>73111</v>
      </c>
      <c r="P5753" t="str">
        <f>"1502L"</f>
        <v>1502L</v>
      </c>
      <c r="Q5753" t="str">
        <f t="shared" si="899"/>
        <v>0101</v>
      </c>
      <c r="R5753">
        <v>1502</v>
      </c>
      <c r="S5753" t="str">
        <f t="shared" si="903"/>
        <v>7310</v>
      </c>
      <c r="T5753" t="s">
        <v>3835</v>
      </c>
      <c r="U5753" t="s">
        <v>98</v>
      </c>
    </row>
    <row r="5754" spans="1:21" ht="15" customHeight="1" x14ac:dyDescent="0.3">
      <c r="A5754" t="s">
        <v>179</v>
      </c>
      <c r="B5754" t="str">
        <f>"00062882"</f>
        <v>00062882</v>
      </c>
      <c r="C5754" t="s">
        <v>348</v>
      </c>
      <c r="D5754" t="s">
        <v>349</v>
      </c>
      <c r="E5754" t="str">
        <f>"00049308"</f>
        <v>00049308</v>
      </c>
      <c r="F5754">
        <v>0</v>
      </c>
      <c r="G5754" s="243">
        <v>41133</v>
      </c>
      <c r="H5754" t="s">
        <v>182</v>
      </c>
      <c r="I5754">
        <v>16</v>
      </c>
      <c r="J5754">
        <v>1</v>
      </c>
      <c r="K5754">
        <v>0.5</v>
      </c>
      <c r="L5754">
        <v>24377.599999999999</v>
      </c>
      <c r="M5754" t="str">
        <f t="shared" ref="M5754:M5812" si="904">"13"</f>
        <v>13</v>
      </c>
      <c r="N5754" t="s">
        <v>3323</v>
      </c>
      <c r="O5754" t="str">
        <f t="shared" si="901"/>
        <v>73111</v>
      </c>
      <c r="P5754" t="str">
        <f>"2120L"</f>
        <v>2120L</v>
      </c>
      <c r="Q5754" t="str">
        <f t="shared" si="899"/>
        <v>0101</v>
      </c>
      <c r="R5754">
        <v>2120</v>
      </c>
      <c r="S5754" t="str">
        <f t="shared" si="903"/>
        <v>7310</v>
      </c>
      <c r="T5754" t="s">
        <v>3835</v>
      </c>
      <c r="U5754" t="s">
        <v>98</v>
      </c>
    </row>
    <row r="5755" spans="1:21" ht="15" customHeight="1" x14ac:dyDescent="0.3">
      <c r="A5755" t="s">
        <v>179</v>
      </c>
      <c r="B5755" t="str">
        <f>"00062883"</f>
        <v>00062883</v>
      </c>
      <c r="C5755" t="s">
        <v>4877</v>
      </c>
      <c r="H5755" t="s">
        <v>170</v>
      </c>
      <c r="I5755">
        <v>7</v>
      </c>
      <c r="J5755">
        <v>0</v>
      </c>
      <c r="K5755">
        <v>0.5</v>
      </c>
      <c r="L5755">
        <v>27352</v>
      </c>
      <c r="M5755" t="str">
        <f t="shared" si="904"/>
        <v>13</v>
      </c>
      <c r="N5755" t="s">
        <v>3323</v>
      </c>
      <c r="O5755" t="str">
        <f t="shared" si="901"/>
        <v>73111</v>
      </c>
      <c r="P5755" t="str">
        <f>"1502L"</f>
        <v>1502L</v>
      </c>
      <c r="Q5755" t="str">
        <f t="shared" si="899"/>
        <v>0101</v>
      </c>
      <c r="R5755">
        <v>1502</v>
      </c>
      <c r="S5755" t="str">
        <f t="shared" si="903"/>
        <v>7310</v>
      </c>
      <c r="T5755" t="s">
        <v>3835</v>
      </c>
      <c r="U5755" t="s">
        <v>98</v>
      </c>
    </row>
    <row r="5756" spans="1:21" ht="15" customHeight="1" x14ac:dyDescent="0.3">
      <c r="A5756" t="s">
        <v>179</v>
      </c>
      <c r="B5756" t="str">
        <f>"00063017"</f>
        <v>00063017</v>
      </c>
      <c r="C5756" t="s">
        <v>189</v>
      </c>
      <c r="D5756" t="s">
        <v>4195</v>
      </c>
      <c r="E5756" t="str">
        <f>"00051742"</f>
        <v>00051742</v>
      </c>
      <c r="F5756">
        <v>1</v>
      </c>
      <c r="H5756" t="s">
        <v>182</v>
      </c>
      <c r="I5756">
        <v>16</v>
      </c>
      <c r="J5756">
        <v>1</v>
      </c>
      <c r="K5756">
        <v>0.5</v>
      </c>
      <c r="L5756">
        <v>24377.599999999999</v>
      </c>
      <c r="M5756" t="str">
        <f t="shared" si="904"/>
        <v>13</v>
      </c>
      <c r="N5756" t="s">
        <v>3323</v>
      </c>
      <c r="O5756" t="str">
        <f t="shared" si="901"/>
        <v>73111</v>
      </c>
      <c r="P5756" t="str">
        <f t="shared" ref="P5756:P5769" si="905">"2120L"</f>
        <v>2120L</v>
      </c>
      <c r="Q5756" t="str">
        <f t="shared" si="899"/>
        <v>0101</v>
      </c>
      <c r="R5756">
        <v>2120</v>
      </c>
      <c r="S5756" t="str">
        <f t="shared" si="903"/>
        <v>7310</v>
      </c>
      <c r="T5756" t="s">
        <v>3835</v>
      </c>
      <c r="U5756" t="s">
        <v>98</v>
      </c>
    </row>
    <row r="5757" spans="1:21" ht="15" customHeight="1" x14ac:dyDescent="0.3">
      <c r="A5757" t="s">
        <v>179</v>
      </c>
      <c r="B5757" t="str">
        <f>"00063028"</f>
        <v>00063028</v>
      </c>
      <c r="C5757" t="s">
        <v>189</v>
      </c>
      <c r="D5757" t="s">
        <v>346</v>
      </c>
      <c r="E5757" t="str">
        <f>"00049832"</f>
        <v>00049832</v>
      </c>
      <c r="F5757">
        <v>0</v>
      </c>
      <c r="G5757" s="243">
        <v>41133</v>
      </c>
      <c r="H5757" t="s">
        <v>182</v>
      </c>
      <c r="I5757">
        <v>16</v>
      </c>
      <c r="J5757">
        <v>3</v>
      </c>
      <c r="K5757">
        <v>0.5</v>
      </c>
      <c r="L5757">
        <v>31293.599999999999</v>
      </c>
      <c r="M5757" t="str">
        <f t="shared" si="904"/>
        <v>13</v>
      </c>
      <c r="N5757" t="s">
        <v>3323</v>
      </c>
      <c r="O5757" t="str">
        <f t="shared" si="901"/>
        <v>73111</v>
      </c>
      <c r="P5757" t="str">
        <f t="shared" si="905"/>
        <v>2120L</v>
      </c>
      <c r="Q5757" t="str">
        <f t="shared" si="899"/>
        <v>0101</v>
      </c>
      <c r="R5757">
        <v>2120</v>
      </c>
      <c r="S5757" t="str">
        <f t="shared" si="903"/>
        <v>7310</v>
      </c>
      <c r="T5757" t="s">
        <v>3835</v>
      </c>
      <c r="U5757" t="s">
        <v>98</v>
      </c>
    </row>
    <row r="5758" spans="1:21" ht="15" customHeight="1" x14ac:dyDescent="0.3">
      <c r="A5758" t="s">
        <v>179</v>
      </c>
      <c r="B5758" t="str">
        <f>"00067144"</f>
        <v>00067144</v>
      </c>
      <c r="C5758" t="s">
        <v>314</v>
      </c>
      <c r="D5758" t="s">
        <v>4196</v>
      </c>
      <c r="E5758" t="str">
        <f>"00064473"</f>
        <v>00064473</v>
      </c>
      <c r="F5758">
        <v>0</v>
      </c>
      <c r="G5758" s="243">
        <v>41133</v>
      </c>
      <c r="H5758" t="s">
        <v>182</v>
      </c>
      <c r="I5758">
        <v>16</v>
      </c>
      <c r="J5758">
        <v>1</v>
      </c>
      <c r="K5758">
        <v>1</v>
      </c>
      <c r="L5758">
        <v>7313.28</v>
      </c>
      <c r="M5758" t="str">
        <f t="shared" si="904"/>
        <v>13</v>
      </c>
      <c r="N5758" t="s">
        <v>3323</v>
      </c>
      <c r="O5758" t="str">
        <f t="shared" si="901"/>
        <v>73111</v>
      </c>
      <c r="P5758" t="str">
        <f t="shared" si="905"/>
        <v>2120L</v>
      </c>
      <c r="Q5758" t="str">
        <f t="shared" si="899"/>
        <v>0101</v>
      </c>
      <c r="R5758">
        <v>2120</v>
      </c>
      <c r="S5758" t="str">
        <f t="shared" si="903"/>
        <v>7310</v>
      </c>
      <c r="T5758" t="s">
        <v>3835</v>
      </c>
      <c r="U5758" t="s">
        <v>98</v>
      </c>
    </row>
    <row r="5759" spans="1:21" ht="15" customHeight="1" x14ac:dyDescent="0.3">
      <c r="A5759" t="s">
        <v>179</v>
      </c>
      <c r="B5759" t="str">
        <f>"00067145"</f>
        <v>00067145</v>
      </c>
      <c r="C5759" t="s">
        <v>314</v>
      </c>
      <c r="D5759" t="s">
        <v>350</v>
      </c>
      <c r="E5759" t="str">
        <f>"00052609"</f>
        <v>00052609</v>
      </c>
      <c r="F5759">
        <v>0</v>
      </c>
      <c r="G5759" s="243">
        <v>41133</v>
      </c>
      <c r="H5759" t="s">
        <v>182</v>
      </c>
      <c r="I5759">
        <v>16</v>
      </c>
      <c r="J5759">
        <v>3</v>
      </c>
      <c r="K5759">
        <v>1</v>
      </c>
      <c r="L5759">
        <v>9388.08</v>
      </c>
      <c r="M5759" t="str">
        <f t="shared" si="904"/>
        <v>13</v>
      </c>
      <c r="N5759" t="s">
        <v>3323</v>
      </c>
      <c r="O5759" t="str">
        <f t="shared" si="901"/>
        <v>73111</v>
      </c>
      <c r="P5759" t="str">
        <f t="shared" si="905"/>
        <v>2120L</v>
      </c>
      <c r="Q5759" t="str">
        <f t="shared" si="899"/>
        <v>0101</v>
      </c>
      <c r="R5759">
        <v>2120</v>
      </c>
      <c r="S5759" t="str">
        <f t="shared" si="903"/>
        <v>7310</v>
      </c>
      <c r="T5759" t="s">
        <v>3835</v>
      </c>
      <c r="U5759" t="s">
        <v>98</v>
      </c>
    </row>
    <row r="5760" spans="1:21" ht="15" customHeight="1" x14ac:dyDescent="0.3">
      <c r="A5760" t="s">
        <v>179</v>
      </c>
      <c r="B5760" t="str">
        <f>"00067147"</f>
        <v>00067147</v>
      </c>
      <c r="C5760" t="s">
        <v>314</v>
      </c>
      <c r="D5760" t="s">
        <v>4197</v>
      </c>
      <c r="E5760" t="str">
        <f>"00051205"</f>
        <v>00051205</v>
      </c>
      <c r="F5760">
        <v>0</v>
      </c>
      <c r="G5760" s="243">
        <v>41133</v>
      </c>
      <c r="H5760" t="s">
        <v>182</v>
      </c>
      <c r="I5760">
        <v>16</v>
      </c>
      <c r="J5760">
        <v>3</v>
      </c>
      <c r="K5760">
        <v>1</v>
      </c>
      <c r="L5760">
        <v>9388.08</v>
      </c>
      <c r="M5760" t="str">
        <f t="shared" si="904"/>
        <v>13</v>
      </c>
      <c r="N5760" t="s">
        <v>3323</v>
      </c>
      <c r="O5760" t="str">
        <f t="shared" si="901"/>
        <v>73111</v>
      </c>
      <c r="P5760" t="str">
        <f t="shared" si="905"/>
        <v>2120L</v>
      </c>
      <c r="Q5760" t="str">
        <f t="shared" si="899"/>
        <v>0101</v>
      </c>
      <c r="R5760">
        <v>2120</v>
      </c>
      <c r="S5760" t="str">
        <f t="shared" si="903"/>
        <v>7310</v>
      </c>
      <c r="T5760" t="s">
        <v>3835</v>
      </c>
      <c r="U5760" t="s">
        <v>98</v>
      </c>
    </row>
    <row r="5761" spans="1:21" ht="15" customHeight="1" x14ac:dyDescent="0.3">
      <c r="A5761" t="s">
        <v>179</v>
      </c>
      <c r="B5761" t="str">
        <f>"00067148"</f>
        <v>00067148</v>
      </c>
      <c r="C5761" t="s">
        <v>314</v>
      </c>
      <c r="D5761" t="s">
        <v>351</v>
      </c>
      <c r="E5761" t="str">
        <f>"00060608"</f>
        <v>00060608</v>
      </c>
      <c r="F5761">
        <v>0</v>
      </c>
      <c r="G5761" s="243">
        <v>41133</v>
      </c>
      <c r="H5761" t="s">
        <v>182</v>
      </c>
      <c r="I5761">
        <v>16</v>
      </c>
      <c r="J5761">
        <v>1</v>
      </c>
      <c r="K5761">
        <v>1</v>
      </c>
      <c r="L5761">
        <v>7313.28</v>
      </c>
      <c r="M5761" t="str">
        <f t="shared" si="904"/>
        <v>13</v>
      </c>
      <c r="N5761" t="s">
        <v>3323</v>
      </c>
      <c r="O5761" t="str">
        <f t="shared" si="901"/>
        <v>73111</v>
      </c>
      <c r="P5761" t="str">
        <f t="shared" si="905"/>
        <v>2120L</v>
      </c>
      <c r="Q5761" t="str">
        <f t="shared" si="899"/>
        <v>0101</v>
      </c>
      <c r="R5761">
        <v>2120</v>
      </c>
      <c r="S5761" t="str">
        <f t="shared" si="903"/>
        <v>7310</v>
      </c>
      <c r="T5761" t="s">
        <v>3835</v>
      </c>
      <c r="U5761" t="s">
        <v>98</v>
      </c>
    </row>
    <row r="5762" spans="1:21" ht="15" customHeight="1" x14ac:dyDescent="0.3">
      <c r="A5762" t="s">
        <v>179</v>
      </c>
      <c r="B5762" t="str">
        <f>"00067153"</f>
        <v>00067153</v>
      </c>
      <c r="C5762" t="s">
        <v>314</v>
      </c>
      <c r="D5762" t="s">
        <v>352</v>
      </c>
      <c r="E5762" t="str">
        <f>"00060900"</f>
        <v>00060900</v>
      </c>
      <c r="F5762">
        <v>0</v>
      </c>
      <c r="G5762" s="243">
        <v>41133</v>
      </c>
      <c r="H5762" t="s">
        <v>182</v>
      </c>
      <c r="I5762">
        <v>16</v>
      </c>
      <c r="J5762">
        <v>1</v>
      </c>
      <c r="K5762">
        <v>1</v>
      </c>
      <c r="L5762">
        <v>7313.28</v>
      </c>
      <c r="M5762" t="str">
        <f t="shared" si="904"/>
        <v>13</v>
      </c>
      <c r="N5762" t="s">
        <v>3323</v>
      </c>
      <c r="O5762" t="str">
        <f t="shared" si="901"/>
        <v>73111</v>
      </c>
      <c r="P5762" t="str">
        <f t="shared" si="905"/>
        <v>2120L</v>
      </c>
      <c r="Q5762" t="str">
        <f t="shared" si="899"/>
        <v>0101</v>
      </c>
      <c r="R5762">
        <v>2120</v>
      </c>
      <c r="S5762" t="str">
        <f t="shared" si="903"/>
        <v>7310</v>
      </c>
      <c r="T5762" t="s">
        <v>3835</v>
      </c>
      <c r="U5762" t="s">
        <v>98</v>
      </c>
    </row>
    <row r="5763" spans="1:21" ht="15" customHeight="1" x14ac:dyDescent="0.3">
      <c r="A5763" t="s">
        <v>179</v>
      </c>
      <c r="B5763" t="str">
        <f>"00067169"</f>
        <v>00067169</v>
      </c>
      <c r="C5763" t="s">
        <v>314</v>
      </c>
      <c r="D5763" t="s">
        <v>353</v>
      </c>
      <c r="E5763" t="str">
        <f>"00016245"</f>
        <v>00016245</v>
      </c>
      <c r="F5763">
        <v>0</v>
      </c>
      <c r="G5763" s="243">
        <v>41133</v>
      </c>
      <c r="H5763" t="s">
        <v>182</v>
      </c>
      <c r="I5763">
        <v>16</v>
      </c>
      <c r="J5763">
        <v>1</v>
      </c>
      <c r="K5763">
        <v>1</v>
      </c>
      <c r="L5763">
        <v>14139.01</v>
      </c>
      <c r="M5763" t="str">
        <f t="shared" si="904"/>
        <v>13</v>
      </c>
      <c r="N5763" t="s">
        <v>3323</v>
      </c>
      <c r="O5763" t="str">
        <f t="shared" si="901"/>
        <v>73111</v>
      </c>
      <c r="P5763" t="str">
        <f t="shared" si="905"/>
        <v>2120L</v>
      </c>
      <c r="Q5763" t="str">
        <f t="shared" si="899"/>
        <v>0101</v>
      </c>
      <c r="R5763">
        <v>2120</v>
      </c>
      <c r="S5763" t="str">
        <f t="shared" si="903"/>
        <v>7310</v>
      </c>
      <c r="T5763" t="s">
        <v>3835</v>
      </c>
      <c r="U5763" t="s">
        <v>98</v>
      </c>
    </row>
    <row r="5764" spans="1:21" ht="15" customHeight="1" x14ac:dyDescent="0.3">
      <c r="A5764" t="s">
        <v>179</v>
      </c>
      <c r="B5764" t="str">
        <f>"00067182"</f>
        <v>00067182</v>
      </c>
      <c r="C5764" t="s">
        <v>314</v>
      </c>
      <c r="D5764" t="s">
        <v>5952</v>
      </c>
      <c r="E5764" t="str">
        <f>"00051257"</f>
        <v>00051257</v>
      </c>
      <c r="F5764">
        <v>0</v>
      </c>
      <c r="G5764" s="243">
        <v>41133</v>
      </c>
      <c r="H5764" t="s">
        <v>182</v>
      </c>
      <c r="I5764">
        <v>16</v>
      </c>
      <c r="J5764">
        <v>3</v>
      </c>
      <c r="K5764">
        <v>1</v>
      </c>
      <c r="L5764">
        <v>21279.65</v>
      </c>
      <c r="M5764" t="str">
        <f t="shared" si="904"/>
        <v>13</v>
      </c>
      <c r="N5764" t="s">
        <v>3323</v>
      </c>
      <c r="O5764" t="str">
        <f t="shared" si="901"/>
        <v>73111</v>
      </c>
      <c r="P5764" t="str">
        <f t="shared" si="905"/>
        <v>2120L</v>
      </c>
      <c r="Q5764" t="str">
        <f t="shared" si="899"/>
        <v>0101</v>
      </c>
      <c r="R5764">
        <v>2120</v>
      </c>
      <c r="S5764" t="str">
        <f t="shared" si="903"/>
        <v>7310</v>
      </c>
      <c r="T5764" t="s">
        <v>3835</v>
      </c>
      <c r="U5764" t="s">
        <v>98</v>
      </c>
    </row>
    <row r="5765" spans="1:21" ht="15" customHeight="1" x14ac:dyDescent="0.3">
      <c r="A5765" t="s">
        <v>179</v>
      </c>
      <c r="B5765" t="str">
        <f>"00067184"</f>
        <v>00067184</v>
      </c>
      <c r="C5765" t="s">
        <v>314</v>
      </c>
      <c r="D5765" t="s">
        <v>354</v>
      </c>
      <c r="E5765" t="str">
        <f>"00050369"</f>
        <v>00050369</v>
      </c>
      <c r="F5765">
        <v>0</v>
      </c>
      <c r="G5765" s="243">
        <v>41133</v>
      </c>
      <c r="H5765" t="s">
        <v>182</v>
      </c>
      <c r="I5765">
        <v>16</v>
      </c>
      <c r="J5765">
        <v>1</v>
      </c>
      <c r="K5765">
        <v>1</v>
      </c>
      <c r="L5765">
        <v>16576.77</v>
      </c>
      <c r="M5765" t="str">
        <f t="shared" si="904"/>
        <v>13</v>
      </c>
      <c r="N5765" t="s">
        <v>3323</v>
      </c>
      <c r="O5765" t="str">
        <f t="shared" si="901"/>
        <v>73111</v>
      </c>
      <c r="P5765" t="str">
        <f t="shared" si="905"/>
        <v>2120L</v>
      </c>
      <c r="Q5765" t="str">
        <f t="shared" si="899"/>
        <v>0101</v>
      </c>
      <c r="R5765">
        <v>2120</v>
      </c>
      <c r="S5765" t="str">
        <f t="shared" si="903"/>
        <v>7310</v>
      </c>
      <c r="T5765" t="s">
        <v>3835</v>
      </c>
      <c r="U5765" t="s">
        <v>98</v>
      </c>
    </row>
    <row r="5766" spans="1:21" ht="15" customHeight="1" x14ac:dyDescent="0.3">
      <c r="A5766" t="s">
        <v>179</v>
      </c>
      <c r="B5766" t="str">
        <f>"00067446"</f>
        <v>00067446</v>
      </c>
      <c r="C5766" t="s">
        <v>4253</v>
      </c>
      <c r="D5766" t="s">
        <v>355</v>
      </c>
      <c r="E5766" t="str">
        <f>"00057644"</f>
        <v>00057644</v>
      </c>
      <c r="F5766">
        <v>0</v>
      </c>
      <c r="G5766" s="243">
        <v>40042</v>
      </c>
      <c r="H5766" t="s">
        <v>182</v>
      </c>
      <c r="I5766">
        <v>15</v>
      </c>
      <c r="J5766">
        <v>7</v>
      </c>
      <c r="K5766">
        <v>1</v>
      </c>
      <c r="L5766">
        <v>69132</v>
      </c>
      <c r="M5766" t="str">
        <f t="shared" si="904"/>
        <v>13</v>
      </c>
      <c r="N5766" t="s">
        <v>3323</v>
      </c>
      <c r="O5766" t="str">
        <f t="shared" si="901"/>
        <v>73111</v>
      </c>
      <c r="P5766" t="str">
        <f t="shared" si="905"/>
        <v>2120L</v>
      </c>
      <c r="Q5766" t="str">
        <f t="shared" si="899"/>
        <v>0101</v>
      </c>
      <c r="R5766">
        <v>2120</v>
      </c>
      <c r="S5766" t="str">
        <f t="shared" si="903"/>
        <v>7310</v>
      </c>
      <c r="T5766" t="s">
        <v>3835</v>
      </c>
      <c r="U5766" t="s">
        <v>98</v>
      </c>
    </row>
    <row r="5767" spans="1:21" ht="15" customHeight="1" x14ac:dyDescent="0.3">
      <c r="A5767" t="s">
        <v>179</v>
      </c>
      <c r="B5767" t="str">
        <f>"00067447"</f>
        <v>00067447</v>
      </c>
      <c r="C5767" t="s">
        <v>4253</v>
      </c>
      <c r="H5767" t="s">
        <v>170</v>
      </c>
      <c r="I5767">
        <v>15</v>
      </c>
      <c r="J5767">
        <v>1</v>
      </c>
      <c r="K5767">
        <v>1</v>
      </c>
      <c r="L5767">
        <v>54975</v>
      </c>
      <c r="M5767" t="str">
        <f t="shared" si="904"/>
        <v>13</v>
      </c>
      <c r="N5767" t="s">
        <v>3323</v>
      </c>
      <c r="O5767" t="str">
        <f t="shared" si="901"/>
        <v>73111</v>
      </c>
      <c r="P5767" t="str">
        <f t="shared" si="905"/>
        <v>2120L</v>
      </c>
      <c r="Q5767" t="str">
        <f t="shared" si="899"/>
        <v>0101</v>
      </c>
      <c r="R5767">
        <v>2120</v>
      </c>
      <c r="S5767" t="str">
        <f t="shared" si="903"/>
        <v>7310</v>
      </c>
      <c r="T5767" t="s">
        <v>3835</v>
      </c>
      <c r="U5767" t="s">
        <v>98</v>
      </c>
    </row>
    <row r="5768" spans="1:21" ht="15" customHeight="1" x14ac:dyDescent="0.3">
      <c r="A5768" t="s">
        <v>179</v>
      </c>
      <c r="B5768" t="str">
        <f>"00067949"</f>
        <v>00067949</v>
      </c>
      <c r="C5768" t="s">
        <v>5953</v>
      </c>
      <c r="D5768" t="s">
        <v>5954</v>
      </c>
      <c r="E5768" t="str">
        <f>"00064558"</f>
        <v>00064558</v>
      </c>
      <c r="F5768">
        <v>0</v>
      </c>
      <c r="G5768" s="243">
        <v>41133</v>
      </c>
      <c r="H5768" t="s">
        <v>182</v>
      </c>
      <c r="I5768">
        <v>9</v>
      </c>
      <c r="J5768">
        <v>5</v>
      </c>
      <c r="K5768">
        <v>0.3</v>
      </c>
      <c r="L5768">
        <v>12161.24</v>
      </c>
      <c r="M5768" t="str">
        <f t="shared" si="904"/>
        <v>13</v>
      </c>
      <c r="N5768" t="s">
        <v>3323</v>
      </c>
      <c r="O5768" t="str">
        <f t="shared" ref="O5768:O5782" si="906">"73111"</f>
        <v>73111</v>
      </c>
      <c r="P5768" t="str">
        <f t="shared" si="905"/>
        <v>2120L</v>
      </c>
      <c r="Q5768" t="str">
        <f t="shared" si="899"/>
        <v>0101</v>
      </c>
      <c r="R5768">
        <v>2120</v>
      </c>
      <c r="S5768" t="str">
        <f t="shared" ref="S5768:S5782" si="907">"7310"</f>
        <v>7310</v>
      </c>
      <c r="T5768" t="s">
        <v>3835</v>
      </c>
      <c r="U5768" t="s">
        <v>98</v>
      </c>
    </row>
    <row r="5769" spans="1:21" ht="15" customHeight="1" x14ac:dyDescent="0.3">
      <c r="A5769" t="s">
        <v>179</v>
      </c>
      <c r="B5769" t="str">
        <f>"00072845"</f>
        <v>00072845</v>
      </c>
      <c r="C5769" t="s">
        <v>4499</v>
      </c>
      <c r="D5769" t="s">
        <v>356</v>
      </c>
      <c r="E5769" t="str">
        <f>"00062984"</f>
        <v>00062984</v>
      </c>
      <c r="F5769">
        <v>0</v>
      </c>
      <c r="G5769" s="243">
        <v>40416</v>
      </c>
      <c r="H5769" t="s">
        <v>182</v>
      </c>
      <c r="I5769">
        <v>10</v>
      </c>
      <c r="J5769">
        <v>7</v>
      </c>
      <c r="K5769">
        <v>0.5</v>
      </c>
      <c r="L5769">
        <v>38911</v>
      </c>
      <c r="M5769" t="str">
        <f t="shared" si="904"/>
        <v>13</v>
      </c>
      <c r="N5769" t="s">
        <v>3323</v>
      </c>
      <c r="O5769" t="str">
        <f t="shared" si="906"/>
        <v>73111</v>
      </c>
      <c r="P5769" t="str">
        <f t="shared" si="905"/>
        <v>2120L</v>
      </c>
      <c r="Q5769" t="str">
        <f t="shared" si="899"/>
        <v>0101</v>
      </c>
      <c r="R5769">
        <v>2120</v>
      </c>
      <c r="S5769" t="str">
        <f t="shared" si="907"/>
        <v>7310</v>
      </c>
      <c r="T5769" t="s">
        <v>3835</v>
      </c>
      <c r="U5769" t="s">
        <v>98</v>
      </c>
    </row>
    <row r="5770" spans="1:21" ht="15" customHeight="1" x14ac:dyDescent="0.3">
      <c r="A5770" t="s">
        <v>179</v>
      </c>
      <c r="B5770" t="str">
        <f>"00072881"</f>
        <v>00072881</v>
      </c>
      <c r="C5770" t="s">
        <v>3670</v>
      </c>
      <c r="H5770" t="s">
        <v>170</v>
      </c>
      <c r="I5770">
        <v>8</v>
      </c>
      <c r="J5770">
        <v>1</v>
      </c>
      <c r="K5770">
        <v>1</v>
      </c>
      <c r="L5770">
        <v>83809</v>
      </c>
      <c r="M5770" t="str">
        <f t="shared" si="904"/>
        <v>13</v>
      </c>
      <c r="N5770" t="s">
        <v>3323</v>
      </c>
      <c r="O5770" t="str">
        <f t="shared" si="906"/>
        <v>73111</v>
      </c>
      <c r="P5770" t="str">
        <f>"1501L"</f>
        <v>1501L</v>
      </c>
      <c r="Q5770" t="str">
        <f t="shared" si="899"/>
        <v>0101</v>
      </c>
      <c r="R5770">
        <v>1501</v>
      </c>
      <c r="S5770" t="str">
        <f t="shared" si="907"/>
        <v>7310</v>
      </c>
      <c r="T5770" t="s">
        <v>3835</v>
      </c>
      <c r="U5770" t="s">
        <v>98</v>
      </c>
    </row>
    <row r="5771" spans="1:21" ht="15" customHeight="1" x14ac:dyDescent="0.3">
      <c r="A5771" t="s">
        <v>179</v>
      </c>
      <c r="B5771" t="str">
        <f>"00073038"</f>
        <v>00073038</v>
      </c>
      <c r="C5771" t="s">
        <v>4260</v>
      </c>
      <c r="H5771" t="s">
        <v>170</v>
      </c>
      <c r="I5771">
        <v>15</v>
      </c>
      <c r="J5771">
        <v>1</v>
      </c>
      <c r="K5771">
        <v>1</v>
      </c>
      <c r="L5771">
        <v>54975</v>
      </c>
      <c r="M5771" t="str">
        <f t="shared" si="904"/>
        <v>13</v>
      </c>
      <c r="N5771" t="s">
        <v>3323</v>
      </c>
      <c r="O5771" t="str">
        <f t="shared" si="906"/>
        <v>73111</v>
      </c>
      <c r="P5771" t="str">
        <f>"2100L"</f>
        <v>2100L</v>
      </c>
      <c r="Q5771" t="str">
        <f t="shared" si="899"/>
        <v>0101</v>
      </c>
      <c r="R5771">
        <v>2100</v>
      </c>
      <c r="S5771" t="str">
        <f t="shared" si="907"/>
        <v>7310</v>
      </c>
      <c r="T5771" t="s">
        <v>3835</v>
      </c>
      <c r="U5771" t="s">
        <v>98</v>
      </c>
    </row>
    <row r="5772" spans="1:21" ht="15" customHeight="1" x14ac:dyDescent="0.3">
      <c r="A5772" t="s">
        <v>179</v>
      </c>
      <c r="B5772" t="str">
        <f>"00073838"</f>
        <v>00073838</v>
      </c>
      <c r="C5772" t="s">
        <v>4256</v>
      </c>
      <c r="H5772" t="s">
        <v>170</v>
      </c>
      <c r="I5772">
        <v>15</v>
      </c>
      <c r="J5772">
        <v>1</v>
      </c>
      <c r="K5772">
        <v>0.5</v>
      </c>
      <c r="L5772">
        <v>56693</v>
      </c>
      <c r="M5772" t="str">
        <f t="shared" si="904"/>
        <v>13</v>
      </c>
      <c r="N5772" t="s">
        <v>3323</v>
      </c>
      <c r="O5772" t="str">
        <f t="shared" si="906"/>
        <v>73111</v>
      </c>
      <c r="P5772" t="str">
        <f>"2100L"</f>
        <v>2100L</v>
      </c>
      <c r="Q5772" t="str">
        <f t="shared" si="899"/>
        <v>0101</v>
      </c>
      <c r="R5772">
        <v>2100</v>
      </c>
      <c r="S5772" t="str">
        <f t="shared" si="907"/>
        <v>7310</v>
      </c>
      <c r="T5772" t="s">
        <v>3441</v>
      </c>
      <c r="U5772" t="s">
        <v>28</v>
      </c>
    </row>
    <row r="5773" spans="1:21" ht="15" customHeight="1" x14ac:dyDescent="0.3">
      <c r="A5773" t="s">
        <v>179</v>
      </c>
      <c r="B5773" t="str">
        <f>"00074501"</f>
        <v>00074501</v>
      </c>
      <c r="C5773" t="s">
        <v>3670</v>
      </c>
      <c r="D5773" t="s">
        <v>4193</v>
      </c>
      <c r="E5773" t="str">
        <f>"00065679"</f>
        <v>00065679</v>
      </c>
      <c r="F5773">
        <v>0</v>
      </c>
      <c r="G5773" s="243">
        <v>40748</v>
      </c>
      <c r="H5773" t="s">
        <v>182</v>
      </c>
      <c r="I5773">
        <v>8</v>
      </c>
      <c r="J5773">
        <v>3</v>
      </c>
      <c r="K5773">
        <v>1</v>
      </c>
      <c r="L5773">
        <v>87160</v>
      </c>
      <c r="M5773" t="str">
        <f t="shared" si="904"/>
        <v>13</v>
      </c>
      <c r="N5773" t="s">
        <v>3323</v>
      </c>
      <c r="O5773" t="str">
        <f t="shared" si="906"/>
        <v>73111</v>
      </c>
      <c r="P5773" t="str">
        <f>"1501L"</f>
        <v>1501L</v>
      </c>
      <c r="Q5773" t="str">
        <f t="shared" si="899"/>
        <v>0101</v>
      </c>
      <c r="R5773">
        <v>1501</v>
      </c>
      <c r="S5773" t="str">
        <f t="shared" si="907"/>
        <v>7310</v>
      </c>
      <c r="T5773" t="s">
        <v>3835</v>
      </c>
      <c r="U5773" t="s">
        <v>98</v>
      </c>
    </row>
    <row r="5774" spans="1:21" ht="15" customHeight="1" x14ac:dyDescent="0.3">
      <c r="A5774" t="s">
        <v>179</v>
      </c>
      <c r="B5774" t="str">
        <f>"00074503"</f>
        <v>00074503</v>
      </c>
      <c r="C5774" t="s">
        <v>4253</v>
      </c>
      <c r="H5774" t="s">
        <v>170</v>
      </c>
      <c r="I5774">
        <v>15</v>
      </c>
      <c r="J5774">
        <v>1</v>
      </c>
      <c r="K5774">
        <v>1</v>
      </c>
      <c r="L5774">
        <v>60128</v>
      </c>
      <c r="M5774" t="str">
        <f t="shared" si="904"/>
        <v>13</v>
      </c>
      <c r="N5774" t="s">
        <v>3323</v>
      </c>
      <c r="O5774" t="str">
        <f t="shared" si="906"/>
        <v>73111</v>
      </c>
      <c r="P5774" t="str">
        <f>"2100L"</f>
        <v>2100L</v>
      </c>
      <c r="Q5774" t="str">
        <f t="shared" si="899"/>
        <v>0101</v>
      </c>
      <c r="R5774">
        <v>2100</v>
      </c>
      <c r="S5774" t="str">
        <f t="shared" si="907"/>
        <v>7310</v>
      </c>
      <c r="T5774" t="s">
        <v>3835</v>
      </c>
      <c r="U5774" t="s">
        <v>98</v>
      </c>
    </row>
    <row r="5775" spans="1:21" ht="15" customHeight="1" x14ac:dyDescent="0.3">
      <c r="A5775" t="s">
        <v>179</v>
      </c>
      <c r="B5775" t="str">
        <f>"00074505"</f>
        <v>00074505</v>
      </c>
      <c r="C5775" t="s">
        <v>200</v>
      </c>
      <c r="D5775" t="s">
        <v>330</v>
      </c>
      <c r="E5775" t="str">
        <f>"00045918"</f>
        <v>00045918</v>
      </c>
      <c r="F5775">
        <v>0</v>
      </c>
      <c r="G5775" s="243">
        <v>28072</v>
      </c>
      <c r="H5775" t="s">
        <v>182</v>
      </c>
      <c r="I5775">
        <v>15</v>
      </c>
      <c r="J5775">
        <v>16</v>
      </c>
      <c r="K5775">
        <v>1</v>
      </c>
      <c r="L5775">
        <v>106540</v>
      </c>
      <c r="M5775" t="str">
        <f t="shared" si="904"/>
        <v>13</v>
      </c>
      <c r="N5775" t="s">
        <v>3323</v>
      </c>
      <c r="O5775" t="str">
        <f t="shared" si="906"/>
        <v>73111</v>
      </c>
      <c r="P5775" t="str">
        <f>"2100L"</f>
        <v>2100L</v>
      </c>
      <c r="Q5775" t="str">
        <f t="shared" si="899"/>
        <v>0101</v>
      </c>
      <c r="R5775">
        <v>2100</v>
      </c>
      <c r="S5775" t="str">
        <f t="shared" si="907"/>
        <v>7310</v>
      </c>
      <c r="T5775" t="s">
        <v>3835</v>
      </c>
      <c r="U5775" t="s">
        <v>98</v>
      </c>
    </row>
    <row r="5776" spans="1:21" ht="15" customHeight="1" x14ac:dyDescent="0.3">
      <c r="A5776" t="s">
        <v>179</v>
      </c>
      <c r="B5776" t="str">
        <f>"00074506"</f>
        <v>00074506</v>
      </c>
      <c r="C5776" t="s">
        <v>200</v>
      </c>
      <c r="H5776" t="s">
        <v>170</v>
      </c>
      <c r="I5776">
        <v>15</v>
      </c>
      <c r="J5776">
        <v>1</v>
      </c>
      <c r="K5776">
        <v>1</v>
      </c>
      <c r="L5776">
        <v>54975</v>
      </c>
      <c r="M5776" t="str">
        <f t="shared" si="904"/>
        <v>13</v>
      </c>
      <c r="N5776" t="s">
        <v>3323</v>
      </c>
      <c r="O5776" t="str">
        <f t="shared" si="906"/>
        <v>73111</v>
      </c>
      <c r="P5776" t="str">
        <f>"2100L"</f>
        <v>2100L</v>
      </c>
      <c r="Q5776" t="str">
        <f t="shared" si="899"/>
        <v>0101</v>
      </c>
      <c r="R5776">
        <v>2100</v>
      </c>
      <c r="S5776" t="str">
        <f t="shared" si="907"/>
        <v>7310</v>
      </c>
      <c r="T5776" t="s">
        <v>3835</v>
      </c>
      <c r="U5776" t="s">
        <v>98</v>
      </c>
    </row>
    <row r="5777" spans="1:21" ht="15" customHeight="1" x14ac:dyDescent="0.3">
      <c r="A5777" t="s">
        <v>179</v>
      </c>
      <c r="B5777" t="str">
        <f>"00074507"</f>
        <v>00074507</v>
      </c>
      <c r="C5777" t="s">
        <v>4290</v>
      </c>
      <c r="D5777" t="s">
        <v>5955</v>
      </c>
      <c r="E5777" t="str">
        <f>"00034458"</f>
        <v>00034458</v>
      </c>
      <c r="F5777">
        <v>0</v>
      </c>
      <c r="G5777" s="243">
        <v>40770</v>
      </c>
      <c r="H5777" t="s">
        <v>182</v>
      </c>
      <c r="I5777">
        <v>4</v>
      </c>
      <c r="J5777">
        <v>3</v>
      </c>
      <c r="K5777">
        <v>0.71</v>
      </c>
      <c r="L5777">
        <v>23848.12</v>
      </c>
      <c r="M5777" t="str">
        <f t="shared" si="904"/>
        <v>13</v>
      </c>
      <c r="N5777" t="s">
        <v>3323</v>
      </c>
      <c r="O5777" t="str">
        <f t="shared" si="906"/>
        <v>73111</v>
      </c>
      <c r="P5777" t="str">
        <f>"3030L"</f>
        <v>3030L</v>
      </c>
      <c r="Q5777" t="str">
        <f t="shared" si="899"/>
        <v>0101</v>
      </c>
      <c r="R5777">
        <v>3030</v>
      </c>
      <c r="S5777" t="str">
        <f t="shared" si="907"/>
        <v>7310</v>
      </c>
      <c r="T5777" t="s">
        <v>3835</v>
      </c>
      <c r="U5777" t="s">
        <v>98</v>
      </c>
    </row>
    <row r="5778" spans="1:21" ht="15" customHeight="1" x14ac:dyDescent="0.3">
      <c r="A5778" t="s">
        <v>179</v>
      </c>
      <c r="B5778" t="str">
        <f>"00074705"</f>
        <v>00074705</v>
      </c>
      <c r="C5778" t="s">
        <v>4253</v>
      </c>
      <c r="H5778" t="s">
        <v>170</v>
      </c>
      <c r="I5778">
        <v>15</v>
      </c>
      <c r="J5778">
        <v>1</v>
      </c>
      <c r="K5778">
        <v>1</v>
      </c>
      <c r="L5778">
        <v>56693</v>
      </c>
      <c r="M5778" t="str">
        <f t="shared" si="904"/>
        <v>13</v>
      </c>
      <c r="N5778" t="s">
        <v>3323</v>
      </c>
      <c r="O5778" t="str">
        <f t="shared" si="906"/>
        <v>73111</v>
      </c>
      <c r="P5778" t="str">
        <f>"2100L"</f>
        <v>2100L</v>
      </c>
      <c r="Q5778" t="str">
        <f t="shared" ref="Q5778:Q5832" si="908">"0101"</f>
        <v>0101</v>
      </c>
      <c r="R5778">
        <v>2100</v>
      </c>
      <c r="S5778" t="str">
        <f t="shared" si="907"/>
        <v>7310</v>
      </c>
      <c r="T5778" t="s">
        <v>3835</v>
      </c>
      <c r="U5778" t="s">
        <v>98</v>
      </c>
    </row>
    <row r="5779" spans="1:21" ht="15" customHeight="1" x14ac:dyDescent="0.3">
      <c r="A5779" t="s">
        <v>179</v>
      </c>
      <c r="B5779" t="str">
        <f>"00076498"</f>
        <v>00076498</v>
      </c>
      <c r="C5779" t="s">
        <v>4290</v>
      </c>
      <c r="H5779" t="s">
        <v>170</v>
      </c>
      <c r="I5779">
        <v>4</v>
      </c>
      <c r="J5779">
        <v>0</v>
      </c>
      <c r="K5779">
        <v>0.71</v>
      </c>
      <c r="L5779">
        <v>25662</v>
      </c>
      <c r="M5779" t="str">
        <f t="shared" si="904"/>
        <v>13</v>
      </c>
      <c r="N5779" t="s">
        <v>3370</v>
      </c>
      <c r="O5779" t="str">
        <f t="shared" si="906"/>
        <v>73111</v>
      </c>
      <c r="P5779" t="str">
        <f>"3030L"</f>
        <v>3030L</v>
      </c>
      <c r="Q5779" t="str">
        <f t="shared" si="908"/>
        <v>0101</v>
      </c>
      <c r="R5779">
        <v>3030</v>
      </c>
      <c r="S5779" t="str">
        <f t="shared" si="907"/>
        <v>7310</v>
      </c>
      <c r="T5779" t="s">
        <v>3835</v>
      </c>
      <c r="U5779" t="s">
        <v>98</v>
      </c>
    </row>
    <row r="5780" spans="1:21" ht="15" customHeight="1" x14ac:dyDescent="0.3">
      <c r="A5780" t="s">
        <v>179</v>
      </c>
      <c r="B5780" t="str">
        <f>"00076654"</f>
        <v>00076654</v>
      </c>
      <c r="C5780" t="s">
        <v>4261</v>
      </c>
      <c r="D5780" t="s">
        <v>312</v>
      </c>
      <c r="E5780" t="str">
        <f>"00045882"</f>
        <v>00045882</v>
      </c>
      <c r="F5780">
        <v>0</v>
      </c>
      <c r="G5780" s="243">
        <v>30886</v>
      </c>
      <c r="H5780" t="s">
        <v>182</v>
      </c>
      <c r="I5780">
        <v>15</v>
      </c>
      <c r="J5780">
        <v>16</v>
      </c>
      <c r="K5780">
        <v>1</v>
      </c>
      <c r="L5780">
        <v>117194</v>
      </c>
      <c r="M5780" t="str">
        <f t="shared" si="904"/>
        <v>13</v>
      </c>
      <c r="N5780" t="s">
        <v>3370</v>
      </c>
      <c r="O5780" t="str">
        <f t="shared" si="906"/>
        <v>73111</v>
      </c>
      <c r="P5780" t="str">
        <f>"2100L"</f>
        <v>2100L</v>
      </c>
      <c r="Q5780" t="str">
        <f t="shared" si="908"/>
        <v>0101</v>
      </c>
      <c r="R5780">
        <v>2100</v>
      </c>
      <c r="S5780" t="str">
        <f t="shared" si="907"/>
        <v>7310</v>
      </c>
      <c r="T5780" t="s">
        <v>3835</v>
      </c>
      <c r="U5780" t="s">
        <v>98</v>
      </c>
    </row>
    <row r="5781" spans="1:21" ht="15" customHeight="1" x14ac:dyDescent="0.3">
      <c r="A5781" t="s">
        <v>179</v>
      </c>
      <c r="B5781" t="str">
        <f>"00076655"</f>
        <v>00076655</v>
      </c>
      <c r="C5781" t="s">
        <v>4259</v>
      </c>
      <c r="H5781" t="s">
        <v>170</v>
      </c>
      <c r="I5781">
        <v>15</v>
      </c>
      <c r="J5781">
        <v>0</v>
      </c>
      <c r="K5781">
        <v>0.5</v>
      </c>
      <c r="L5781">
        <v>54975</v>
      </c>
      <c r="M5781" t="str">
        <f t="shared" si="904"/>
        <v>13</v>
      </c>
      <c r="N5781" t="s">
        <v>3370</v>
      </c>
      <c r="O5781" t="str">
        <f t="shared" si="906"/>
        <v>73111</v>
      </c>
      <c r="P5781" t="str">
        <f>"2100L"</f>
        <v>2100L</v>
      </c>
      <c r="Q5781" t="str">
        <f t="shared" si="908"/>
        <v>0101</v>
      </c>
      <c r="R5781">
        <v>2100</v>
      </c>
      <c r="S5781" t="str">
        <f t="shared" si="907"/>
        <v>7310</v>
      </c>
      <c r="T5781" t="s">
        <v>3835</v>
      </c>
      <c r="U5781" t="s">
        <v>98</v>
      </c>
    </row>
    <row r="5782" spans="1:21" ht="15" customHeight="1" x14ac:dyDescent="0.3">
      <c r="A5782" t="s">
        <v>179</v>
      </c>
      <c r="B5782" t="str">
        <f>"00076656"</f>
        <v>00076656</v>
      </c>
      <c r="C5782" t="s">
        <v>4265</v>
      </c>
      <c r="D5782" t="s">
        <v>4194</v>
      </c>
      <c r="E5782" t="str">
        <f>"00066488"</f>
        <v>00066488</v>
      </c>
      <c r="F5782">
        <v>0</v>
      </c>
      <c r="G5782" s="243">
        <v>40784</v>
      </c>
      <c r="H5782" t="s">
        <v>182</v>
      </c>
      <c r="I5782">
        <v>15</v>
      </c>
      <c r="J5782">
        <v>10</v>
      </c>
      <c r="K5782">
        <v>0.5</v>
      </c>
      <c r="L5782">
        <v>39136.5</v>
      </c>
      <c r="M5782" t="str">
        <f t="shared" si="904"/>
        <v>13</v>
      </c>
      <c r="N5782" t="s">
        <v>3370</v>
      </c>
      <c r="O5782" t="str">
        <f t="shared" si="906"/>
        <v>73111</v>
      </c>
      <c r="P5782" t="str">
        <f>"2100L"</f>
        <v>2100L</v>
      </c>
      <c r="Q5782" t="str">
        <f t="shared" si="908"/>
        <v>0101</v>
      </c>
      <c r="R5782">
        <v>2100</v>
      </c>
      <c r="S5782" t="str">
        <f t="shared" si="907"/>
        <v>7310</v>
      </c>
      <c r="T5782" t="s">
        <v>3835</v>
      </c>
      <c r="U5782" t="s">
        <v>98</v>
      </c>
    </row>
    <row r="5783" spans="1:21" ht="15" customHeight="1" x14ac:dyDescent="0.3">
      <c r="A5783" t="s">
        <v>179</v>
      </c>
      <c r="B5783" t="str">
        <f>"00051745"</f>
        <v>00051745</v>
      </c>
      <c r="C5783" t="s">
        <v>4260</v>
      </c>
      <c r="H5783" t="s">
        <v>170</v>
      </c>
      <c r="I5783">
        <v>15</v>
      </c>
      <c r="J5783">
        <v>1</v>
      </c>
      <c r="K5783">
        <v>1</v>
      </c>
      <c r="L5783">
        <v>54975</v>
      </c>
      <c r="M5783" t="str">
        <f t="shared" si="904"/>
        <v>13</v>
      </c>
      <c r="N5783" t="s">
        <v>3323</v>
      </c>
      <c r="O5783" t="str">
        <f t="shared" ref="O5783:O5806" si="909">"73211"</f>
        <v>73211</v>
      </c>
      <c r="P5783" t="str">
        <f>"3030L"</f>
        <v>3030L</v>
      </c>
      <c r="Q5783" t="str">
        <f t="shared" si="908"/>
        <v>0101</v>
      </c>
      <c r="R5783">
        <v>3030</v>
      </c>
      <c r="S5783" t="str">
        <f t="shared" ref="S5783:S5806" si="910">"7320"</f>
        <v>7320</v>
      </c>
      <c r="T5783" t="s">
        <v>4198</v>
      </c>
      <c r="U5783" t="s">
        <v>107</v>
      </c>
    </row>
    <row r="5784" spans="1:21" ht="15" customHeight="1" x14ac:dyDescent="0.3">
      <c r="A5784" t="s">
        <v>179</v>
      </c>
      <c r="B5784" t="str">
        <f>"00057924"</f>
        <v>00057924</v>
      </c>
      <c r="C5784" t="s">
        <v>314</v>
      </c>
      <c r="D5784" t="s">
        <v>4200</v>
      </c>
      <c r="E5784" t="str">
        <f>"00064338"</f>
        <v>00064338</v>
      </c>
      <c r="F5784">
        <v>0</v>
      </c>
      <c r="G5784" s="243">
        <v>41133</v>
      </c>
      <c r="H5784" t="s">
        <v>182</v>
      </c>
      <c r="I5784">
        <v>16</v>
      </c>
      <c r="J5784">
        <v>3</v>
      </c>
      <c r="K5784">
        <v>0.5</v>
      </c>
      <c r="L5784">
        <v>31293.599999999999</v>
      </c>
      <c r="M5784" t="str">
        <f t="shared" si="904"/>
        <v>13</v>
      </c>
      <c r="N5784" t="s">
        <v>3323</v>
      </c>
      <c r="O5784" t="str">
        <f t="shared" si="909"/>
        <v>73211</v>
      </c>
      <c r="P5784" t="str">
        <f>"2120L"</f>
        <v>2120L</v>
      </c>
      <c r="Q5784" t="str">
        <f t="shared" si="908"/>
        <v>0101</v>
      </c>
      <c r="R5784">
        <v>2120</v>
      </c>
      <c r="S5784" t="str">
        <f t="shared" si="910"/>
        <v>7320</v>
      </c>
      <c r="T5784" t="s">
        <v>4198</v>
      </c>
      <c r="U5784" t="s">
        <v>107</v>
      </c>
    </row>
    <row r="5785" spans="1:21" ht="15" customHeight="1" x14ac:dyDescent="0.3">
      <c r="A5785" t="s">
        <v>179</v>
      </c>
      <c r="B5785" t="str">
        <f>"00058659"</f>
        <v>00058659</v>
      </c>
      <c r="C5785" t="s">
        <v>5956</v>
      </c>
      <c r="H5785" t="s">
        <v>170</v>
      </c>
      <c r="I5785">
        <v>16</v>
      </c>
      <c r="J5785">
        <v>0</v>
      </c>
      <c r="K5785">
        <v>0.5</v>
      </c>
      <c r="L5785">
        <v>48755.199999999997</v>
      </c>
      <c r="M5785" t="str">
        <f t="shared" si="904"/>
        <v>13</v>
      </c>
      <c r="N5785" t="s">
        <v>3323</v>
      </c>
      <c r="O5785" t="str">
        <f t="shared" si="909"/>
        <v>73211</v>
      </c>
      <c r="P5785" t="str">
        <f>"1502L"</f>
        <v>1502L</v>
      </c>
      <c r="Q5785" t="str">
        <f t="shared" si="908"/>
        <v>0101</v>
      </c>
      <c r="R5785">
        <v>1502</v>
      </c>
      <c r="S5785" t="str">
        <f t="shared" si="910"/>
        <v>7320</v>
      </c>
      <c r="T5785" t="s">
        <v>4198</v>
      </c>
      <c r="U5785" t="s">
        <v>107</v>
      </c>
    </row>
    <row r="5786" spans="1:21" ht="15" customHeight="1" x14ac:dyDescent="0.3">
      <c r="A5786" t="s">
        <v>179</v>
      </c>
      <c r="B5786" t="str">
        <f>"00061825"</f>
        <v>00061825</v>
      </c>
      <c r="C5786" t="s">
        <v>3670</v>
      </c>
      <c r="D5786" t="s">
        <v>2447</v>
      </c>
      <c r="E5786" t="str">
        <f>"00063301"</f>
        <v>00063301</v>
      </c>
      <c r="F5786">
        <v>0</v>
      </c>
      <c r="G5786" s="243">
        <v>40406</v>
      </c>
      <c r="H5786" t="s">
        <v>182</v>
      </c>
      <c r="I5786">
        <v>8</v>
      </c>
      <c r="J5786">
        <v>6</v>
      </c>
      <c r="K5786">
        <v>1</v>
      </c>
      <c r="L5786">
        <v>94825</v>
      </c>
      <c r="M5786" t="str">
        <f t="shared" si="904"/>
        <v>13</v>
      </c>
      <c r="N5786" t="s">
        <v>3323</v>
      </c>
      <c r="O5786" t="str">
        <f t="shared" si="909"/>
        <v>73211</v>
      </c>
      <c r="P5786" t="str">
        <f>"2120L"</f>
        <v>2120L</v>
      </c>
      <c r="Q5786" t="str">
        <f t="shared" si="908"/>
        <v>0101</v>
      </c>
      <c r="R5786">
        <v>2120</v>
      </c>
      <c r="S5786" t="str">
        <f t="shared" si="910"/>
        <v>7320</v>
      </c>
      <c r="T5786" t="s">
        <v>4198</v>
      </c>
      <c r="U5786" t="s">
        <v>107</v>
      </c>
    </row>
    <row r="5787" spans="1:21" ht="15" customHeight="1" x14ac:dyDescent="0.3">
      <c r="A5787" t="s">
        <v>179</v>
      </c>
      <c r="B5787" t="str">
        <f>"00062563"</f>
        <v>00062563</v>
      </c>
      <c r="C5787" t="s">
        <v>4261</v>
      </c>
      <c r="D5787" t="s">
        <v>2434</v>
      </c>
      <c r="E5787" t="str">
        <f>"00053147"</f>
        <v>00053147</v>
      </c>
      <c r="F5787">
        <v>0</v>
      </c>
      <c r="G5787" s="243">
        <v>39679</v>
      </c>
      <c r="H5787" t="s">
        <v>182</v>
      </c>
      <c r="I5787">
        <v>15</v>
      </c>
      <c r="J5787">
        <v>4</v>
      </c>
      <c r="K5787">
        <v>1</v>
      </c>
      <c r="L5787">
        <v>69972</v>
      </c>
      <c r="M5787" t="str">
        <f t="shared" si="904"/>
        <v>13</v>
      </c>
      <c r="N5787" t="s">
        <v>3323</v>
      </c>
      <c r="O5787" t="str">
        <f t="shared" si="909"/>
        <v>73211</v>
      </c>
      <c r="P5787" t="str">
        <f>"2100L"</f>
        <v>2100L</v>
      </c>
      <c r="Q5787" t="str">
        <f t="shared" si="908"/>
        <v>0101</v>
      </c>
      <c r="R5787">
        <v>2100</v>
      </c>
      <c r="S5787" t="str">
        <f t="shared" si="910"/>
        <v>7320</v>
      </c>
      <c r="T5787" t="s">
        <v>4198</v>
      </c>
      <c r="U5787" t="s">
        <v>107</v>
      </c>
    </row>
    <row r="5788" spans="1:21" ht="15" customHeight="1" x14ac:dyDescent="0.3">
      <c r="A5788" t="s">
        <v>179</v>
      </c>
      <c r="B5788" t="str">
        <f>"00062812"</f>
        <v>00062812</v>
      </c>
      <c r="C5788" t="s">
        <v>189</v>
      </c>
      <c r="D5788" t="s">
        <v>4199</v>
      </c>
      <c r="E5788" t="str">
        <f>"00067449"</f>
        <v>00067449</v>
      </c>
      <c r="F5788">
        <v>0</v>
      </c>
      <c r="G5788" s="243">
        <v>41133</v>
      </c>
      <c r="H5788" t="s">
        <v>182</v>
      </c>
      <c r="I5788">
        <v>16</v>
      </c>
      <c r="J5788">
        <v>1</v>
      </c>
      <c r="K5788">
        <v>0.5</v>
      </c>
      <c r="L5788">
        <v>24377.599999999999</v>
      </c>
      <c r="M5788" t="str">
        <f t="shared" si="904"/>
        <v>13</v>
      </c>
      <c r="N5788" t="s">
        <v>3323</v>
      </c>
      <c r="O5788" t="str">
        <f t="shared" si="909"/>
        <v>73211</v>
      </c>
      <c r="P5788" t="str">
        <f t="shared" ref="P5788:P5797" si="911">"2120L"</f>
        <v>2120L</v>
      </c>
      <c r="Q5788" t="str">
        <f t="shared" si="908"/>
        <v>0101</v>
      </c>
      <c r="R5788">
        <v>2120</v>
      </c>
      <c r="S5788" t="str">
        <f t="shared" si="910"/>
        <v>7320</v>
      </c>
      <c r="T5788" t="s">
        <v>4198</v>
      </c>
      <c r="U5788" t="s">
        <v>107</v>
      </c>
    </row>
    <row r="5789" spans="1:21" ht="15" customHeight="1" x14ac:dyDescent="0.3">
      <c r="A5789" t="s">
        <v>179</v>
      </c>
      <c r="B5789" t="str">
        <f>"00062828"</f>
        <v>00062828</v>
      </c>
      <c r="C5789" t="s">
        <v>189</v>
      </c>
      <c r="D5789" t="s">
        <v>2441</v>
      </c>
      <c r="E5789" t="str">
        <f>"00048027"</f>
        <v>00048027</v>
      </c>
      <c r="F5789">
        <v>1</v>
      </c>
      <c r="H5789" t="s">
        <v>182</v>
      </c>
      <c r="I5789">
        <v>16</v>
      </c>
      <c r="J5789">
        <v>2</v>
      </c>
      <c r="K5789">
        <v>0.5</v>
      </c>
      <c r="L5789">
        <v>27674.400000000001</v>
      </c>
      <c r="M5789" t="str">
        <f t="shared" si="904"/>
        <v>13</v>
      </c>
      <c r="N5789" t="s">
        <v>3323</v>
      </c>
      <c r="O5789" t="str">
        <f t="shared" si="909"/>
        <v>73211</v>
      </c>
      <c r="P5789" t="str">
        <f t="shared" si="911"/>
        <v>2120L</v>
      </c>
      <c r="Q5789" t="str">
        <f t="shared" si="908"/>
        <v>0101</v>
      </c>
      <c r="R5789">
        <v>2120</v>
      </c>
      <c r="S5789" t="str">
        <f t="shared" si="910"/>
        <v>7320</v>
      </c>
      <c r="T5789" t="s">
        <v>4198</v>
      </c>
      <c r="U5789" t="s">
        <v>107</v>
      </c>
    </row>
    <row r="5790" spans="1:21" ht="15" customHeight="1" x14ac:dyDescent="0.3">
      <c r="A5790" t="s">
        <v>179</v>
      </c>
      <c r="B5790" t="str">
        <f>"00063120"</f>
        <v>00063120</v>
      </c>
      <c r="C5790" t="s">
        <v>204</v>
      </c>
      <c r="D5790" t="s">
        <v>5957</v>
      </c>
      <c r="E5790" t="str">
        <f>"00064375"</f>
        <v>00064375</v>
      </c>
      <c r="F5790">
        <v>1</v>
      </c>
      <c r="H5790" t="s">
        <v>182</v>
      </c>
      <c r="I5790">
        <v>16</v>
      </c>
      <c r="J5790">
        <v>1</v>
      </c>
      <c r="K5790">
        <v>0.5</v>
      </c>
      <c r="L5790">
        <v>24377.599999999999</v>
      </c>
      <c r="M5790" t="str">
        <f t="shared" si="904"/>
        <v>13</v>
      </c>
      <c r="N5790" t="s">
        <v>3323</v>
      </c>
      <c r="O5790" t="str">
        <f t="shared" si="909"/>
        <v>73211</v>
      </c>
      <c r="P5790" t="str">
        <f t="shared" si="911"/>
        <v>2120L</v>
      </c>
      <c r="Q5790" t="str">
        <f t="shared" si="908"/>
        <v>0101</v>
      </c>
      <c r="R5790">
        <v>2120</v>
      </c>
      <c r="S5790" t="str">
        <f t="shared" si="910"/>
        <v>7320</v>
      </c>
      <c r="T5790" t="s">
        <v>4198</v>
      </c>
      <c r="U5790" t="s">
        <v>107</v>
      </c>
    </row>
    <row r="5791" spans="1:21" ht="15" customHeight="1" x14ac:dyDescent="0.3">
      <c r="A5791" t="s">
        <v>179</v>
      </c>
      <c r="B5791" t="str">
        <f>"00066854"</f>
        <v>00066854</v>
      </c>
      <c r="C5791" t="s">
        <v>4260</v>
      </c>
      <c r="D5791" t="s">
        <v>2445</v>
      </c>
      <c r="E5791" t="str">
        <f>"00050298"</f>
        <v>00050298</v>
      </c>
      <c r="F5791">
        <v>0</v>
      </c>
      <c r="G5791" s="243">
        <v>40406</v>
      </c>
      <c r="H5791" t="s">
        <v>182</v>
      </c>
      <c r="I5791">
        <v>15</v>
      </c>
      <c r="J5791">
        <v>7</v>
      </c>
      <c r="K5791">
        <v>1</v>
      </c>
      <c r="L5791">
        <v>69132</v>
      </c>
      <c r="M5791" t="str">
        <f t="shared" si="904"/>
        <v>13</v>
      </c>
      <c r="N5791" t="s">
        <v>3323</v>
      </c>
      <c r="O5791" t="str">
        <f t="shared" si="909"/>
        <v>73211</v>
      </c>
      <c r="P5791" t="str">
        <f t="shared" si="911"/>
        <v>2120L</v>
      </c>
      <c r="Q5791" t="str">
        <f t="shared" si="908"/>
        <v>0101</v>
      </c>
      <c r="R5791">
        <v>2120</v>
      </c>
      <c r="S5791" t="str">
        <f t="shared" si="910"/>
        <v>7320</v>
      </c>
      <c r="T5791" t="s">
        <v>4198</v>
      </c>
      <c r="U5791" t="s">
        <v>107</v>
      </c>
    </row>
    <row r="5792" spans="1:21" ht="15" customHeight="1" x14ac:dyDescent="0.3">
      <c r="A5792" t="s">
        <v>179</v>
      </c>
      <c r="B5792" t="str">
        <f>"00067198"</f>
        <v>00067198</v>
      </c>
      <c r="C5792" t="s">
        <v>314</v>
      </c>
      <c r="D5792" t="s">
        <v>2412</v>
      </c>
      <c r="E5792" t="str">
        <f>"00050845"</f>
        <v>00050845</v>
      </c>
      <c r="F5792">
        <v>0</v>
      </c>
      <c r="G5792" s="243">
        <v>41133</v>
      </c>
      <c r="H5792" t="s">
        <v>182</v>
      </c>
      <c r="I5792">
        <v>16</v>
      </c>
      <c r="J5792">
        <v>3</v>
      </c>
      <c r="K5792">
        <v>1</v>
      </c>
      <c r="L5792">
        <v>9388.08</v>
      </c>
      <c r="M5792" t="str">
        <f t="shared" si="904"/>
        <v>13</v>
      </c>
      <c r="N5792" t="s">
        <v>3323</v>
      </c>
      <c r="O5792" t="str">
        <f t="shared" si="909"/>
        <v>73211</v>
      </c>
      <c r="P5792" t="str">
        <f t="shared" si="911"/>
        <v>2120L</v>
      </c>
      <c r="Q5792" t="str">
        <f t="shared" si="908"/>
        <v>0101</v>
      </c>
      <c r="R5792">
        <v>2120</v>
      </c>
      <c r="S5792" t="str">
        <f t="shared" si="910"/>
        <v>7320</v>
      </c>
      <c r="T5792" t="s">
        <v>4198</v>
      </c>
      <c r="U5792" t="s">
        <v>107</v>
      </c>
    </row>
    <row r="5793" spans="1:21" ht="15" customHeight="1" x14ac:dyDescent="0.3">
      <c r="A5793" t="s">
        <v>179</v>
      </c>
      <c r="B5793" t="str">
        <f>"00067198"</f>
        <v>00067198</v>
      </c>
      <c r="C5793" t="s">
        <v>314</v>
      </c>
      <c r="D5793" t="s">
        <v>5958</v>
      </c>
      <c r="E5793" t="str">
        <f>"00064783"</f>
        <v>00064783</v>
      </c>
      <c r="F5793">
        <v>0</v>
      </c>
      <c r="G5793" s="243">
        <v>41133</v>
      </c>
      <c r="H5793" t="s">
        <v>182</v>
      </c>
      <c r="I5793">
        <v>16</v>
      </c>
      <c r="J5793">
        <v>1</v>
      </c>
      <c r="K5793">
        <v>1</v>
      </c>
      <c r="L5793">
        <v>7313.28</v>
      </c>
      <c r="M5793" t="str">
        <f t="shared" si="904"/>
        <v>13</v>
      </c>
      <c r="N5793" t="s">
        <v>3323</v>
      </c>
      <c r="O5793" t="str">
        <f t="shared" si="909"/>
        <v>73211</v>
      </c>
      <c r="P5793" t="str">
        <f t="shared" si="911"/>
        <v>2120L</v>
      </c>
      <c r="Q5793" t="str">
        <f t="shared" si="908"/>
        <v>0101</v>
      </c>
      <c r="R5793">
        <v>2120</v>
      </c>
      <c r="S5793" t="str">
        <f t="shared" si="910"/>
        <v>7320</v>
      </c>
      <c r="T5793" t="s">
        <v>4198</v>
      </c>
      <c r="U5793" t="s">
        <v>107</v>
      </c>
    </row>
    <row r="5794" spans="1:21" ht="15" customHeight="1" x14ac:dyDescent="0.3">
      <c r="A5794" t="s">
        <v>179</v>
      </c>
      <c r="B5794" t="str">
        <f>"00067201"</f>
        <v>00067201</v>
      </c>
      <c r="C5794" t="s">
        <v>314</v>
      </c>
      <c r="H5794" t="s">
        <v>170</v>
      </c>
      <c r="I5794">
        <v>16</v>
      </c>
      <c r="J5794">
        <v>0</v>
      </c>
      <c r="K5794">
        <v>1</v>
      </c>
      <c r="L5794">
        <v>48755.199999999997</v>
      </c>
      <c r="M5794" t="str">
        <f t="shared" si="904"/>
        <v>13</v>
      </c>
      <c r="N5794" t="s">
        <v>3323</v>
      </c>
      <c r="O5794" t="str">
        <f t="shared" si="909"/>
        <v>73211</v>
      </c>
      <c r="P5794" t="str">
        <f t="shared" si="911"/>
        <v>2120L</v>
      </c>
      <c r="Q5794" t="str">
        <f t="shared" si="908"/>
        <v>0101</v>
      </c>
      <c r="R5794">
        <v>2120</v>
      </c>
      <c r="S5794" t="str">
        <f t="shared" si="910"/>
        <v>7320</v>
      </c>
      <c r="T5794" t="s">
        <v>4198</v>
      </c>
      <c r="U5794" t="s">
        <v>107</v>
      </c>
    </row>
    <row r="5795" spans="1:21" ht="15" customHeight="1" x14ac:dyDescent="0.3">
      <c r="A5795" t="s">
        <v>179</v>
      </c>
      <c r="B5795" t="str">
        <f>"00067214"</f>
        <v>00067214</v>
      </c>
      <c r="C5795" t="s">
        <v>314</v>
      </c>
      <c r="D5795" t="s">
        <v>1405</v>
      </c>
      <c r="E5795" t="str">
        <f>"00029736"</f>
        <v>00029736</v>
      </c>
      <c r="F5795">
        <v>6</v>
      </c>
      <c r="H5795" t="s">
        <v>182</v>
      </c>
      <c r="I5795">
        <v>16</v>
      </c>
      <c r="J5795">
        <v>3</v>
      </c>
      <c r="K5795">
        <v>1</v>
      </c>
      <c r="L5795">
        <v>18776.16</v>
      </c>
      <c r="M5795" t="str">
        <f t="shared" si="904"/>
        <v>13</v>
      </c>
      <c r="N5795" t="s">
        <v>3370</v>
      </c>
      <c r="O5795" t="str">
        <f t="shared" si="909"/>
        <v>73211</v>
      </c>
      <c r="P5795" t="str">
        <f t="shared" si="911"/>
        <v>2120L</v>
      </c>
      <c r="Q5795" t="str">
        <f t="shared" si="908"/>
        <v>0101</v>
      </c>
      <c r="R5795">
        <v>2120</v>
      </c>
      <c r="S5795" t="str">
        <f t="shared" si="910"/>
        <v>7320</v>
      </c>
      <c r="T5795" t="s">
        <v>4198</v>
      </c>
      <c r="U5795" t="s">
        <v>107</v>
      </c>
    </row>
    <row r="5796" spans="1:21" ht="15" customHeight="1" x14ac:dyDescent="0.3">
      <c r="A5796" t="s">
        <v>179</v>
      </c>
      <c r="B5796" t="str">
        <f>"00067215"</f>
        <v>00067215</v>
      </c>
      <c r="C5796" t="s">
        <v>314</v>
      </c>
      <c r="D5796" t="s">
        <v>2440</v>
      </c>
      <c r="E5796" t="str">
        <f>"00050822"</f>
        <v>00050822</v>
      </c>
      <c r="F5796">
        <v>1</v>
      </c>
      <c r="G5796" s="243">
        <v>41133</v>
      </c>
      <c r="H5796" t="s">
        <v>182</v>
      </c>
      <c r="I5796">
        <v>16</v>
      </c>
      <c r="J5796">
        <v>3</v>
      </c>
      <c r="K5796">
        <v>1</v>
      </c>
      <c r="L5796">
        <v>18776.16</v>
      </c>
      <c r="M5796" t="str">
        <f t="shared" si="904"/>
        <v>13</v>
      </c>
      <c r="N5796" t="s">
        <v>3323</v>
      </c>
      <c r="O5796" t="str">
        <f t="shared" si="909"/>
        <v>73211</v>
      </c>
      <c r="P5796" t="str">
        <f t="shared" si="911"/>
        <v>2120L</v>
      </c>
      <c r="Q5796" t="str">
        <f t="shared" si="908"/>
        <v>0101</v>
      </c>
      <c r="R5796">
        <v>2120</v>
      </c>
      <c r="S5796" t="str">
        <f t="shared" si="910"/>
        <v>7320</v>
      </c>
      <c r="T5796" t="s">
        <v>4198</v>
      </c>
      <c r="U5796" t="s">
        <v>107</v>
      </c>
    </row>
    <row r="5797" spans="1:21" ht="15" customHeight="1" x14ac:dyDescent="0.3">
      <c r="A5797" t="s">
        <v>179</v>
      </c>
      <c r="B5797" t="str">
        <f>"00067217"</f>
        <v>00067217</v>
      </c>
      <c r="C5797" t="s">
        <v>314</v>
      </c>
      <c r="D5797" t="s">
        <v>2443</v>
      </c>
      <c r="E5797" t="str">
        <f>"00050957"</f>
        <v>00050957</v>
      </c>
      <c r="F5797">
        <v>0</v>
      </c>
      <c r="G5797" s="243">
        <v>41133</v>
      </c>
      <c r="H5797" t="s">
        <v>182</v>
      </c>
      <c r="I5797">
        <v>16</v>
      </c>
      <c r="J5797">
        <v>3</v>
      </c>
      <c r="K5797">
        <v>1</v>
      </c>
      <c r="L5797">
        <v>18776.16</v>
      </c>
      <c r="M5797" t="str">
        <f t="shared" si="904"/>
        <v>13</v>
      </c>
      <c r="N5797" t="s">
        <v>3323</v>
      </c>
      <c r="O5797" t="str">
        <f t="shared" si="909"/>
        <v>73211</v>
      </c>
      <c r="P5797" t="str">
        <f t="shared" si="911"/>
        <v>2120L</v>
      </c>
      <c r="Q5797" t="str">
        <f t="shared" si="908"/>
        <v>0101</v>
      </c>
      <c r="R5797">
        <v>2120</v>
      </c>
      <c r="S5797" t="str">
        <f t="shared" si="910"/>
        <v>7320</v>
      </c>
      <c r="T5797" t="s">
        <v>4198</v>
      </c>
      <c r="U5797" t="s">
        <v>107</v>
      </c>
    </row>
    <row r="5798" spans="1:21" ht="15" customHeight="1" x14ac:dyDescent="0.3">
      <c r="A5798" t="s">
        <v>179</v>
      </c>
      <c r="B5798" t="str">
        <f>"00067327"</f>
        <v>00067327</v>
      </c>
      <c r="C5798" t="s">
        <v>4292</v>
      </c>
      <c r="D5798" t="s">
        <v>5957</v>
      </c>
      <c r="E5798" t="str">
        <f>"00064375"</f>
        <v>00064375</v>
      </c>
      <c r="F5798">
        <v>0</v>
      </c>
      <c r="G5798" s="243">
        <v>40952</v>
      </c>
      <c r="H5798" t="s">
        <v>182</v>
      </c>
      <c r="I5798">
        <v>4</v>
      </c>
      <c r="J5798">
        <v>4</v>
      </c>
      <c r="K5798">
        <v>1</v>
      </c>
      <c r="L5798">
        <v>24543.75</v>
      </c>
      <c r="M5798" t="str">
        <f t="shared" si="904"/>
        <v>13</v>
      </c>
      <c r="N5798" t="s">
        <v>3323</v>
      </c>
      <c r="O5798" t="str">
        <f t="shared" si="909"/>
        <v>73211</v>
      </c>
      <c r="P5798" t="str">
        <f>"3030L"</f>
        <v>3030L</v>
      </c>
      <c r="Q5798" t="str">
        <f t="shared" si="908"/>
        <v>0101</v>
      </c>
      <c r="R5798">
        <v>3030</v>
      </c>
      <c r="S5798" t="str">
        <f t="shared" si="910"/>
        <v>7320</v>
      </c>
      <c r="T5798" t="s">
        <v>4198</v>
      </c>
      <c r="U5798" t="s">
        <v>107</v>
      </c>
    </row>
    <row r="5799" spans="1:21" ht="15" customHeight="1" x14ac:dyDescent="0.3">
      <c r="A5799" t="s">
        <v>179</v>
      </c>
      <c r="B5799" t="str">
        <f>"00067330"</f>
        <v>00067330</v>
      </c>
      <c r="C5799" t="s">
        <v>4290</v>
      </c>
      <c r="D5799" t="s">
        <v>2442</v>
      </c>
      <c r="E5799" t="str">
        <f>"00054924"</f>
        <v>00054924</v>
      </c>
      <c r="F5799">
        <v>1</v>
      </c>
      <c r="G5799" s="243">
        <v>40231</v>
      </c>
      <c r="H5799" t="s">
        <v>182</v>
      </c>
      <c r="I5799">
        <v>4</v>
      </c>
      <c r="J5799">
        <v>5</v>
      </c>
      <c r="K5799">
        <v>1</v>
      </c>
      <c r="L5799">
        <v>25239.37</v>
      </c>
      <c r="M5799" t="str">
        <f t="shared" si="904"/>
        <v>13</v>
      </c>
      <c r="N5799" t="s">
        <v>3323</v>
      </c>
      <c r="O5799" t="str">
        <f t="shared" si="909"/>
        <v>73211</v>
      </c>
      <c r="P5799" t="str">
        <f>"3030L"</f>
        <v>3030L</v>
      </c>
      <c r="Q5799" t="str">
        <f t="shared" si="908"/>
        <v>0101</v>
      </c>
      <c r="R5799">
        <v>3030</v>
      </c>
      <c r="S5799" t="str">
        <f t="shared" si="910"/>
        <v>7320</v>
      </c>
      <c r="T5799" t="s">
        <v>4198</v>
      </c>
      <c r="U5799" t="s">
        <v>107</v>
      </c>
    </row>
    <row r="5800" spans="1:21" ht="15" customHeight="1" x14ac:dyDescent="0.3">
      <c r="A5800" t="s">
        <v>179</v>
      </c>
      <c r="B5800" t="str">
        <f>"00070926"</f>
        <v>00070926</v>
      </c>
      <c r="C5800" t="s">
        <v>4260</v>
      </c>
      <c r="D5800" t="s">
        <v>2446</v>
      </c>
      <c r="E5800" t="str">
        <f>"00046701"</f>
        <v>00046701</v>
      </c>
      <c r="F5800">
        <v>0</v>
      </c>
      <c r="G5800" s="243">
        <v>36390</v>
      </c>
      <c r="H5800" t="s">
        <v>182</v>
      </c>
      <c r="I5800">
        <v>15</v>
      </c>
      <c r="J5800">
        <v>15</v>
      </c>
      <c r="K5800">
        <v>1</v>
      </c>
      <c r="L5800">
        <v>98285</v>
      </c>
      <c r="M5800" t="str">
        <f t="shared" si="904"/>
        <v>13</v>
      </c>
      <c r="N5800" t="s">
        <v>3370</v>
      </c>
      <c r="O5800" t="str">
        <f t="shared" si="909"/>
        <v>73211</v>
      </c>
      <c r="P5800" t="str">
        <f>"2120L"</f>
        <v>2120L</v>
      </c>
      <c r="Q5800" t="str">
        <f t="shared" si="908"/>
        <v>0101</v>
      </c>
      <c r="R5800">
        <v>2120</v>
      </c>
      <c r="S5800" t="str">
        <f t="shared" si="910"/>
        <v>7320</v>
      </c>
      <c r="T5800" t="s">
        <v>4198</v>
      </c>
      <c r="U5800" t="s">
        <v>107</v>
      </c>
    </row>
    <row r="5801" spans="1:21" ht="15" customHeight="1" x14ac:dyDescent="0.3">
      <c r="A5801" t="s">
        <v>179</v>
      </c>
      <c r="B5801" t="str">
        <f>"00073768"</f>
        <v>00073768</v>
      </c>
      <c r="C5801" t="s">
        <v>4253</v>
      </c>
      <c r="D5801" t="s">
        <v>2516</v>
      </c>
      <c r="E5801" t="str">
        <f>"00048812"</f>
        <v>00048812</v>
      </c>
      <c r="F5801">
        <v>0</v>
      </c>
      <c r="G5801" s="243">
        <v>41161</v>
      </c>
      <c r="H5801" t="s">
        <v>182</v>
      </c>
      <c r="I5801">
        <v>15</v>
      </c>
      <c r="J5801">
        <v>12</v>
      </c>
      <c r="K5801">
        <v>1</v>
      </c>
      <c r="L5801">
        <v>87431</v>
      </c>
      <c r="M5801" t="str">
        <f t="shared" si="904"/>
        <v>13</v>
      </c>
      <c r="N5801" t="s">
        <v>3370</v>
      </c>
      <c r="O5801" t="str">
        <f t="shared" si="909"/>
        <v>73211</v>
      </c>
      <c r="P5801" t="str">
        <f>"2100L"</f>
        <v>2100L</v>
      </c>
      <c r="Q5801" t="str">
        <f t="shared" si="908"/>
        <v>0101</v>
      </c>
      <c r="R5801">
        <v>2100</v>
      </c>
      <c r="S5801" t="str">
        <f t="shared" si="910"/>
        <v>7320</v>
      </c>
      <c r="T5801" t="s">
        <v>4198</v>
      </c>
      <c r="U5801" t="s">
        <v>107</v>
      </c>
    </row>
    <row r="5802" spans="1:21" ht="15" customHeight="1" x14ac:dyDescent="0.3">
      <c r="A5802" t="s">
        <v>179</v>
      </c>
      <c r="B5802" t="str">
        <f>"00074064"</f>
        <v>00074064</v>
      </c>
      <c r="C5802" t="s">
        <v>4360</v>
      </c>
      <c r="D5802" t="s">
        <v>5959</v>
      </c>
      <c r="E5802" t="str">
        <f>"00054636"</f>
        <v>00054636</v>
      </c>
      <c r="F5802">
        <v>0</v>
      </c>
      <c r="G5802" s="243">
        <v>36571</v>
      </c>
      <c r="H5802" t="s">
        <v>182</v>
      </c>
      <c r="I5802">
        <v>7</v>
      </c>
      <c r="J5802">
        <v>6</v>
      </c>
      <c r="K5802">
        <v>1</v>
      </c>
      <c r="L5802">
        <v>40407</v>
      </c>
      <c r="M5802" t="str">
        <f t="shared" si="904"/>
        <v>13</v>
      </c>
      <c r="N5802" t="s">
        <v>3323</v>
      </c>
      <c r="O5802" t="str">
        <f t="shared" si="909"/>
        <v>73211</v>
      </c>
      <c r="P5802" t="str">
        <f>"1502L"</f>
        <v>1502L</v>
      </c>
      <c r="Q5802" t="str">
        <f t="shared" si="908"/>
        <v>0101</v>
      </c>
      <c r="R5802">
        <v>1502</v>
      </c>
      <c r="S5802" t="str">
        <f t="shared" si="910"/>
        <v>7320</v>
      </c>
      <c r="T5802" t="s">
        <v>4198</v>
      </c>
      <c r="U5802" t="s">
        <v>107</v>
      </c>
    </row>
    <row r="5803" spans="1:21" ht="15" customHeight="1" x14ac:dyDescent="0.3">
      <c r="A5803" t="s">
        <v>179</v>
      </c>
      <c r="B5803" t="str">
        <f>"00074066"</f>
        <v>00074066</v>
      </c>
      <c r="C5803" t="s">
        <v>4499</v>
      </c>
      <c r="D5803" t="s">
        <v>710</v>
      </c>
      <c r="E5803" t="str">
        <f>"00044670"</f>
        <v>00044670</v>
      </c>
      <c r="F5803">
        <v>0</v>
      </c>
      <c r="G5803" s="243">
        <v>36430</v>
      </c>
      <c r="H5803" t="s">
        <v>182</v>
      </c>
      <c r="I5803">
        <v>10</v>
      </c>
      <c r="J5803">
        <v>9</v>
      </c>
      <c r="K5803">
        <v>0.5</v>
      </c>
      <c r="L5803">
        <v>42113</v>
      </c>
      <c r="M5803" t="str">
        <f t="shared" si="904"/>
        <v>13</v>
      </c>
      <c r="N5803" t="s">
        <v>3323</v>
      </c>
      <c r="O5803" t="str">
        <f t="shared" si="909"/>
        <v>73211</v>
      </c>
      <c r="P5803" t="str">
        <f>"3030L"</f>
        <v>3030L</v>
      </c>
      <c r="Q5803" t="str">
        <f t="shared" si="908"/>
        <v>0101</v>
      </c>
      <c r="R5803">
        <v>3030</v>
      </c>
      <c r="S5803" t="str">
        <f t="shared" si="910"/>
        <v>7320</v>
      </c>
      <c r="T5803" t="s">
        <v>4198</v>
      </c>
      <c r="U5803" t="s">
        <v>107</v>
      </c>
    </row>
    <row r="5804" spans="1:21" ht="15" customHeight="1" x14ac:dyDescent="0.3">
      <c r="A5804" t="s">
        <v>179</v>
      </c>
      <c r="B5804" t="str">
        <f>"00074837"</f>
        <v>00074837</v>
      </c>
      <c r="C5804" t="s">
        <v>314</v>
      </c>
      <c r="D5804" t="s">
        <v>2423</v>
      </c>
      <c r="E5804" t="str">
        <f>"00047504"</f>
        <v>00047504</v>
      </c>
      <c r="F5804">
        <v>1</v>
      </c>
      <c r="G5804" s="243">
        <v>41133</v>
      </c>
      <c r="H5804" t="s">
        <v>182</v>
      </c>
      <c r="I5804">
        <v>16</v>
      </c>
      <c r="J5804">
        <v>1</v>
      </c>
      <c r="K5804">
        <v>0.49</v>
      </c>
      <c r="L5804">
        <v>14626.56</v>
      </c>
      <c r="M5804" t="str">
        <f t="shared" si="904"/>
        <v>13</v>
      </c>
      <c r="N5804" t="s">
        <v>3370</v>
      </c>
      <c r="O5804" t="str">
        <f t="shared" si="909"/>
        <v>73211</v>
      </c>
      <c r="P5804" t="str">
        <f>"2120L"</f>
        <v>2120L</v>
      </c>
      <c r="Q5804" t="str">
        <f t="shared" si="908"/>
        <v>0101</v>
      </c>
      <c r="R5804">
        <v>2120</v>
      </c>
      <c r="S5804" t="str">
        <f t="shared" si="910"/>
        <v>7320</v>
      </c>
      <c r="T5804" t="s">
        <v>4198</v>
      </c>
      <c r="U5804" t="s">
        <v>107</v>
      </c>
    </row>
    <row r="5805" spans="1:21" ht="15" customHeight="1" x14ac:dyDescent="0.3">
      <c r="A5805" t="s">
        <v>179</v>
      </c>
      <c r="B5805" t="str">
        <f>"00076336"</f>
        <v>00076336</v>
      </c>
      <c r="C5805" t="s">
        <v>4438</v>
      </c>
      <c r="H5805" t="s">
        <v>170</v>
      </c>
      <c r="I5805">
        <v>11</v>
      </c>
      <c r="J5805">
        <v>0</v>
      </c>
      <c r="K5805">
        <v>0.5</v>
      </c>
      <c r="L5805">
        <v>60779</v>
      </c>
      <c r="M5805" t="str">
        <f t="shared" si="904"/>
        <v>13</v>
      </c>
      <c r="N5805" t="s">
        <v>3323</v>
      </c>
      <c r="O5805" t="str">
        <f t="shared" si="909"/>
        <v>73211</v>
      </c>
      <c r="P5805" t="str">
        <f t="shared" ref="P5805:P5812" si="912">"2100L"</f>
        <v>2100L</v>
      </c>
      <c r="Q5805" t="str">
        <f t="shared" si="908"/>
        <v>0101</v>
      </c>
      <c r="R5805">
        <v>2100</v>
      </c>
      <c r="S5805" t="str">
        <f t="shared" si="910"/>
        <v>7320</v>
      </c>
      <c r="T5805" t="s">
        <v>4198</v>
      </c>
      <c r="U5805" t="s">
        <v>107</v>
      </c>
    </row>
    <row r="5806" spans="1:21" ht="15" customHeight="1" x14ac:dyDescent="0.3">
      <c r="A5806" t="s">
        <v>179</v>
      </c>
      <c r="B5806" t="str">
        <f>"00076337"</f>
        <v>00076337</v>
      </c>
      <c r="C5806" t="s">
        <v>4261</v>
      </c>
      <c r="D5806" t="s">
        <v>2448</v>
      </c>
      <c r="E5806" t="str">
        <f>"00046330"</f>
        <v>00046330</v>
      </c>
      <c r="F5806">
        <v>0</v>
      </c>
      <c r="G5806" s="243">
        <v>41091</v>
      </c>
      <c r="H5806" t="s">
        <v>182</v>
      </c>
      <c r="I5806">
        <v>15</v>
      </c>
      <c r="J5806">
        <v>8</v>
      </c>
      <c r="K5806">
        <v>1</v>
      </c>
      <c r="L5806">
        <v>79388</v>
      </c>
      <c r="M5806" t="str">
        <f t="shared" si="904"/>
        <v>13</v>
      </c>
      <c r="N5806" t="s">
        <v>3323</v>
      </c>
      <c r="O5806" t="str">
        <f t="shared" si="909"/>
        <v>73211</v>
      </c>
      <c r="P5806" t="str">
        <f t="shared" si="912"/>
        <v>2100L</v>
      </c>
      <c r="Q5806" t="str">
        <f t="shared" si="908"/>
        <v>0101</v>
      </c>
      <c r="R5806">
        <v>2100</v>
      </c>
      <c r="S5806" t="str">
        <f t="shared" si="910"/>
        <v>7320</v>
      </c>
      <c r="T5806" t="s">
        <v>4198</v>
      </c>
      <c r="U5806" t="s">
        <v>107</v>
      </c>
    </row>
    <row r="5807" spans="1:21" ht="15" customHeight="1" x14ac:dyDescent="0.3">
      <c r="A5807" t="s">
        <v>179</v>
      </c>
      <c r="B5807" t="str">
        <f>"00051599"</f>
        <v>00051599</v>
      </c>
      <c r="C5807" t="s">
        <v>4260</v>
      </c>
      <c r="D5807" t="s">
        <v>1587</v>
      </c>
      <c r="E5807" t="str">
        <f>"00045027"</f>
        <v>00045027</v>
      </c>
      <c r="F5807">
        <v>0</v>
      </c>
      <c r="G5807" s="243">
        <v>32387</v>
      </c>
      <c r="H5807" t="s">
        <v>182</v>
      </c>
      <c r="I5807">
        <v>15</v>
      </c>
      <c r="J5807">
        <v>16</v>
      </c>
      <c r="K5807">
        <v>1</v>
      </c>
      <c r="L5807">
        <v>106540</v>
      </c>
      <c r="M5807" t="str">
        <f t="shared" si="904"/>
        <v>13</v>
      </c>
      <c r="N5807" t="s">
        <v>3323</v>
      </c>
      <c r="O5807" t="str">
        <f t="shared" ref="O5807:O5843" si="913">"73611"</f>
        <v>73611</v>
      </c>
      <c r="P5807" t="str">
        <f t="shared" si="912"/>
        <v>2100L</v>
      </c>
      <c r="Q5807" t="str">
        <f t="shared" si="908"/>
        <v>0101</v>
      </c>
      <c r="R5807">
        <v>2100</v>
      </c>
      <c r="S5807" t="str">
        <f t="shared" ref="S5807:S5843" si="914">"7360"</f>
        <v>7360</v>
      </c>
      <c r="T5807" t="s">
        <v>3740</v>
      </c>
      <c r="U5807" t="s">
        <v>1588</v>
      </c>
    </row>
    <row r="5808" spans="1:21" ht="15" customHeight="1" x14ac:dyDescent="0.3">
      <c r="A5808" t="s">
        <v>179</v>
      </c>
      <c r="B5808" t="str">
        <f>"00051740"</f>
        <v>00051740</v>
      </c>
      <c r="C5808" t="s">
        <v>4260</v>
      </c>
      <c r="D5808" t="s">
        <v>1589</v>
      </c>
      <c r="E5808" t="str">
        <f>"00045715"</f>
        <v>00045715</v>
      </c>
      <c r="F5808">
        <v>0</v>
      </c>
      <c r="G5808" s="243">
        <v>32974</v>
      </c>
      <c r="H5808" t="s">
        <v>182</v>
      </c>
      <c r="I5808">
        <v>15</v>
      </c>
      <c r="J5808">
        <v>13</v>
      </c>
      <c r="K5808">
        <v>1</v>
      </c>
      <c r="L5808">
        <v>86613</v>
      </c>
      <c r="M5808" t="str">
        <f t="shared" si="904"/>
        <v>13</v>
      </c>
      <c r="N5808" t="s">
        <v>3323</v>
      </c>
      <c r="O5808" t="str">
        <f t="shared" si="913"/>
        <v>73611</v>
      </c>
      <c r="P5808" t="str">
        <f t="shared" si="912"/>
        <v>2100L</v>
      </c>
      <c r="Q5808" t="str">
        <f t="shared" si="908"/>
        <v>0101</v>
      </c>
      <c r="R5808">
        <v>2100</v>
      </c>
      <c r="S5808" t="str">
        <f t="shared" si="914"/>
        <v>7360</v>
      </c>
      <c r="T5808" t="s">
        <v>3740</v>
      </c>
      <c r="U5808" t="s">
        <v>1588</v>
      </c>
    </row>
    <row r="5809" spans="1:21" ht="15" customHeight="1" x14ac:dyDescent="0.3">
      <c r="A5809" t="s">
        <v>179</v>
      </c>
      <c r="B5809" t="str">
        <f>"00052110"</f>
        <v>00052110</v>
      </c>
      <c r="C5809" t="s">
        <v>4260</v>
      </c>
      <c r="D5809" t="s">
        <v>1590</v>
      </c>
      <c r="E5809" t="str">
        <f>"00047303"</f>
        <v>00047303</v>
      </c>
      <c r="F5809">
        <v>0</v>
      </c>
      <c r="G5809" s="243">
        <v>32050</v>
      </c>
      <c r="H5809" t="s">
        <v>182</v>
      </c>
      <c r="I5809">
        <v>15</v>
      </c>
      <c r="J5809">
        <v>16</v>
      </c>
      <c r="K5809">
        <v>1</v>
      </c>
      <c r="L5809">
        <v>103347</v>
      </c>
      <c r="M5809" t="str">
        <f t="shared" si="904"/>
        <v>13</v>
      </c>
      <c r="N5809" t="s">
        <v>3323</v>
      </c>
      <c r="O5809" t="str">
        <f t="shared" si="913"/>
        <v>73611</v>
      </c>
      <c r="P5809" t="str">
        <f t="shared" si="912"/>
        <v>2100L</v>
      </c>
      <c r="Q5809" t="str">
        <f t="shared" si="908"/>
        <v>0101</v>
      </c>
      <c r="R5809">
        <v>2100</v>
      </c>
      <c r="S5809" t="str">
        <f t="shared" si="914"/>
        <v>7360</v>
      </c>
      <c r="T5809" t="s">
        <v>3740</v>
      </c>
      <c r="U5809" t="s">
        <v>1588</v>
      </c>
    </row>
    <row r="5810" spans="1:21" ht="15" customHeight="1" x14ac:dyDescent="0.3">
      <c r="A5810" t="s">
        <v>179</v>
      </c>
      <c r="B5810" t="str">
        <f>"00052417"</f>
        <v>00052417</v>
      </c>
      <c r="C5810" t="s">
        <v>4260</v>
      </c>
      <c r="D5810" t="s">
        <v>1591</v>
      </c>
      <c r="E5810" t="str">
        <f>"00063644"</f>
        <v>00063644</v>
      </c>
      <c r="F5810">
        <v>0</v>
      </c>
      <c r="G5810" s="243">
        <v>40455</v>
      </c>
      <c r="H5810" t="s">
        <v>182</v>
      </c>
      <c r="I5810">
        <v>15</v>
      </c>
      <c r="J5810">
        <v>14</v>
      </c>
      <c r="K5810">
        <v>1</v>
      </c>
      <c r="L5810">
        <v>96460</v>
      </c>
      <c r="M5810" t="str">
        <f t="shared" si="904"/>
        <v>13</v>
      </c>
      <c r="N5810" t="s">
        <v>3323</v>
      </c>
      <c r="O5810" t="str">
        <f t="shared" si="913"/>
        <v>73611</v>
      </c>
      <c r="P5810" t="str">
        <f t="shared" si="912"/>
        <v>2100L</v>
      </c>
      <c r="Q5810" t="str">
        <f t="shared" si="908"/>
        <v>0101</v>
      </c>
      <c r="R5810">
        <v>2100</v>
      </c>
      <c r="S5810" t="str">
        <f t="shared" si="914"/>
        <v>7360</v>
      </c>
      <c r="T5810" t="s">
        <v>3740</v>
      </c>
      <c r="U5810" t="s">
        <v>1588</v>
      </c>
    </row>
    <row r="5811" spans="1:21" ht="15" customHeight="1" x14ac:dyDescent="0.3">
      <c r="A5811" t="s">
        <v>179</v>
      </c>
      <c r="B5811" t="str">
        <f>"00052671"</f>
        <v>00052671</v>
      </c>
      <c r="C5811" t="s">
        <v>4260</v>
      </c>
      <c r="D5811" t="s">
        <v>1592</v>
      </c>
      <c r="E5811" t="str">
        <f>"00048842"</f>
        <v>00048842</v>
      </c>
      <c r="F5811">
        <v>0</v>
      </c>
      <c r="G5811" s="243">
        <v>32050</v>
      </c>
      <c r="H5811" t="s">
        <v>182</v>
      </c>
      <c r="I5811">
        <v>15</v>
      </c>
      <c r="J5811">
        <v>16</v>
      </c>
      <c r="K5811">
        <v>1</v>
      </c>
      <c r="L5811">
        <v>106540</v>
      </c>
      <c r="M5811" t="str">
        <f t="shared" si="904"/>
        <v>13</v>
      </c>
      <c r="N5811" t="s">
        <v>3323</v>
      </c>
      <c r="O5811" t="str">
        <f t="shared" si="913"/>
        <v>73611</v>
      </c>
      <c r="P5811" t="str">
        <f t="shared" si="912"/>
        <v>2100L</v>
      </c>
      <c r="Q5811" t="str">
        <f t="shared" si="908"/>
        <v>0101</v>
      </c>
      <c r="R5811">
        <v>2100</v>
      </c>
      <c r="S5811" t="str">
        <f t="shared" si="914"/>
        <v>7360</v>
      </c>
      <c r="T5811" t="s">
        <v>3740</v>
      </c>
      <c r="U5811" t="s">
        <v>1588</v>
      </c>
    </row>
    <row r="5812" spans="1:21" ht="15" customHeight="1" x14ac:dyDescent="0.3">
      <c r="A5812" t="s">
        <v>179</v>
      </c>
      <c r="B5812" t="str">
        <f>"00052713"</f>
        <v>00052713</v>
      </c>
      <c r="C5812" t="s">
        <v>4260</v>
      </c>
      <c r="D5812" t="s">
        <v>1593</v>
      </c>
      <c r="E5812" t="str">
        <f>"00049056"</f>
        <v>00049056</v>
      </c>
      <c r="F5812">
        <v>0</v>
      </c>
      <c r="G5812" s="243">
        <v>32050</v>
      </c>
      <c r="H5812" t="s">
        <v>182</v>
      </c>
      <c r="I5812">
        <v>15</v>
      </c>
      <c r="J5812">
        <v>16</v>
      </c>
      <c r="K5812">
        <v>1</v>
      </c>
      <c r="L5812">
        <v>100839</v>
      </c>
      <c r="M5812" t="str">
        <f t="shared" si="904"/>
        <v>13</v>
      </c>
      <c r="N5812" t="s">
        <v>3323</v>
      </c>
      <c r="O5812" t="str">
        <f t="shared" si="913"/>
        <v>73611</v>
      </c>
      <c r="P5812" t="str">
        <f t="shared" si="912"/>
        <v>2100L</v>
      </c>
      <c r="Q5812" t="str">
        <f t="shared" si="908"/>
        <v>0101</v>
      </c>
      <c r="R5812">
        <v>2100</v>
      </c>
      <c r="S5812" t="str">
        <f t="shared" si="914"/>
        <v>7360</v>
      </c>
      <c r="T5812" t="s">
        <v>3740</v>
      </c>
      <c r="U5812" t="s">
        <v>1588</v>
      </c>
    </row>
    <row r="5813" spans="1:21" ht="15" customHeight="1" x14ac:dyDescent="0.3">
      <c r="A5813" t="s">
        <v>179</v>
      </c>
      <c r="B5813" t="str">
        <f>"00053756"</f>
        <v>00053756</v>
      </c>
      <c r="C5813" t="s">
        <v>3670</v>
      </c>
      <c r="H5813" t="s">
        <v>170</v>
      </c>
      <c r="I5813">
        <v>8</v>
      </c>
      <c r="J5813">
        <v>1</v>
      </c>
      <c r="K5813">
        <v>1</v>
      </c>
      <c r="L5813">
        <v>83809</v>
      </c>
      <c r="M5813" t="str">
        <f t="shared" ref="M5813:M5866" si="915">"13"</f>
        <v>13</v>
      </c>
      <c r="N5813" t="s">
        <v>3323</v>
      </c>
      <c r="O5813" t="str">
        <f t="shared" si="913"/>
        <v>73611</v>
      </c>
      <c r="P5813" t="str">
        <f>"1501L"</f>
        <v>1501L</v>
      </c>
      <c r="Q5813" t="str">
        <f t="shared" si="908"/>
        <v>0101</v>
      </c>
      <c r="R5813">
        <v>1501</v>
      </c>
      <c r="S5813" t="str">
        <f t="shared" si="914"/>
        <v>7360</v>
      </c>
      <c r="T5813" t="s">
        <v>3740</v>
      </c>
      <c r="U5813" t="s">
        <v>1588</v>
      </c>
    </row>
    <row r="5814" spans="1:21" ht="15" customHeight="1" x14ac:dyDescent="0.3">
      <c r="A5814" t="s">
        <v>179</v>
      </c>
      <c r="B5814" t="str">
        <f>"00053901"</f>
        <v>00053901</v>
      </c>
      <c r="C5814" t="s">
        <v>4260</v>
      </c>
      <c r="D5814" t="s">
        <v>1594</v>
      </c>
      <c r="E5814" t="str">
        <f>"00052717"</f>
        <v>00052717</v>
      </c>
      <c r="F5814">
        <v>0</v>
      </c>
      <c r="G5814" s="243">
        <v>35675</v>
      </c>
      <c r="H5814" t="s">
        <v>182</v>
      </c>
      <c r="I5814">
        <v>15</v>
      </c>
      <c r="J5814">
        <v>15</v>
      </c>
      <c r="K5814">
        <v>1</v>
      </c>
      <c r="L5814">
        <v>98285</v>
      </c>
      <c r="M5814" t="str">
        <f t="shared" si="915"/>
        <v>13</v>
      </c>
      <c r="N5814" t="s">
        <v>3323</v>
      </c>
      <c r="O5814" t="str">
        <f t="shared" si="913"/>
        <v>73611</v>
      </c>
      <c r="P5814" t="str">
        <f t="shared" ref="P5814:P5820" si="916">"2100L"</f>
        <v>2100L</v>
      </c>
      <c r="Q5814" t="str">
        <f t="shared" si="908"/>
        <v>0101</v>
      </c>
      <c r="R5814">
        <v>2100</v>
      </c>
      <c r="S5814" t="str">
        <f t="shared" si="914"/>
        <v>7360</v>
      </c>
      <c r="T5814" t="s">
        <v>3740</v>
      </c>
      <c r="U5814" t="s">
        <v>1588</v>
      </c>
    </row>
    <row r="5815" spans="1:21" ht="15" customHeight="1" x14ac:dyDescent="0.3">
      <c r="A5815" t="s">
        <v>179</v>
      </c>
      <c r="B5815" t="str">
        <f>"00053920"</f>
        <v>00053920</v>
      </c>
      <c r="C5815" t="s">
        <v>4260</v>
      </c>
      <c r="D5815" t="s">
        <v>1595</v>
      </c>
      <c r="E5815" t="str">
        <f>"00052745"</f>
        <v>00052745</v>
      </c>
      <c r="F5815">
        <v>0</v>
      </c>
      <c r="G5815" s="243">
        <v>29201</v>
      </c>
      <c r="H5815" t="s">
        <v>182</v>
      </c>
      <c r="I5815">
        <v>15</v>
      </c>
      <c r="J5815">
        <v>16</v>
      </c>
      <c r="K5815">
        <v>1</v>
      </c>
      <c r="L5815">
        <v>106540</v>
      </c>
      <c r="M5815" t="str">
        <f t="shared" si="915"/>
        <v>13</v>
      </c>
      <c r="N5815" t="s">
        <v>3323</v>
      </c>
      <c r="O5815" t="str">
        <f t="shared" si="913"/>
        <v>73611</v>
      </c>
      <c r="P5815" t="str">
        <f t="shared" si="916"/>
        <v>2100L</v>
      </c>
      <c r="Q5815" t="str">
        <f t="shared" si="908"/>
        <v>0101</v>
      </c>
      <c r="R5815">
        <v>2100</v>
      </c>
      <c r="S5815" t="str">
        <f t="shared" si="914"/>
        <v>7360</v>
      </c>
      <c r="T5815" t="s">
        <v>3740</v>
      </c>
      <c r="U5815" t="s">
        <v>1588</v>
      </c>
    </row>
    <row r="5816" spans="1:21" ht="15" customHeight="1" x14ac:dyDescent="0.3">
      <c r="A5816" t="s">
        <v>179</v>
      </c>
      <c r="B5816" t="str">
        <f>"00054000"</f>
        <v>00054000</v>
      </c>
      <c r="C5816" t="s">
        <v>4260</v>
      </c>
      <c r="D5816" t="s">
        <v>1596</v>
      </c>
      <c r="E5816" t="str">
        <f>"00052857"</f>
        <v>00052857</v>
      </c>
      <c r="F5816">
        <v>0</v>
      </c>
      <c r="G5816" s="243">
        <v>32050</v>
      </c>
      <c r="H5816" t="s">
        <v>182</v>
      </c>
      <c r="I5816">
        <v>15</v>
      </c>
      <c r="J5816">
        <v>16</v>
      </c>
      <c r="K5816">
        <v>1</v>
      </c>
      <c r="L5816">
        <v>106540</v>
      </c>
      <c r="M5816" t="str">
        <f t="shared" si="915"/>
        <v>13</v>
      </c>
      <c r="N5816" t="s">
        <v>3323</v>
      </c>
      <c r="O5816" t="str">
        <f t="shared" si="913"/>
        <v>73611</v>
      </c>
      <c r="P5816" t="str">
        <f t="shared" si="916"/>
        <v>2100L</v>
      </c>
      <c r="Q5816" t="str">
        <f t="shared" si="908"/>
        <v>0101</v>
      </c>
      <c r="R5816">
        <v>2100</v>
      </c>
      <c r="S5816" t="str">
        <f t="shared" si="914"/>
        <v>7360</v>
      </c>
      <c r="T5816" t="s">
        <v>3740</v>
      </c>
      <c r="U5816" t="s">
        <v>1588</v>
      </c>
    </row>
    <row r="5817" spans="1:21" ht="15" customHeight="1" x14ac:dyDescent="0.3">
      <c r="A5817" t="s">
        <v>179</v>
      </c>
      <c r="B5817" t="str">
        <f>"00054384"</f>
        <v>00054384</v>
      </c>
      <c r="C5817" t="s">
        <v>4260</v>
      </c>
      <c r="D5817" t="s">
        <v>1467</v>
      </c>
      <c r="E5817" t="str">
        <f>"00051458"</f>
        <v>00051458</v>
      </c>
      <c r="F5817">
        <v>0</v>
      </c>
      <c r="G5817" s="243">
        <v>32050</v>
      </c>
      <c r="H5817" t="s">
        <v>182</v>
      </c>
      <c r="I5817">
        <v>15</v>
      </c>
      <c r="J5817">
        <v>13</v>
      </c>
      <c r="K5817">
        <v>1</v>
      </c>
      <c r="L5817">
        <v>86613</v>
      </c>
      <c r="M5817" t="str">
        <f t="shared" si="915"/>
        <v>13</v>
      </c>
      <c r="N5817" t="s">
        <v>3370</v>
      </c>
      <c r="O5817" t="str">
        <f t="shared" si="913"/>
        <v>73611</v>
      </c>
      <c r="P5817" t="str">
        <f t="shared" si="916"/>
        <v>2100L</v>
      </c>
      <c r="Q5817" t="str">
        <f t="shared" si="908"/>
        <v>0101</v>
      </c>
      <c r="R5817">
        <v>2100</v>
      </c>
      <c r="S5817" t="str">
        <f t="shared" si="914"/>
        <v>7360</v>
      </c>
      <c r="T5817" t="s">
        <v>3740</v>
      </c>
      <c r="U5817" t="s">
        <v>1588</v>
      </c>
    </row>
    <row r="5818" spans="1:21" ht="15" customHeight="1" x14ac:dyDescent="0.3">
      <c r="A5818" t="s">
        <v>179</v>
      </c>
      <c r="B5818" t="str">
        <f>"00054787"</f>
        <v>00054787</v>
      </c>
      <c r="C5818" t="s">
        <v>4260</v>
      </c>
      <c r="D5818" t="s">
        <v>1597</v>
      </c>
      <c r="E5818" t="str">
        <f>"00054626"</f>
        <v>00054626</v>
      </c>
      <c r="F5818">
        <v>0</v>
      </c>
      <c r="G5818" s="243">
        <v>32050</v>
      </c>
      <c r="H5818" t="s">
        <v>182</v>
      </c>
      <c r="I5818">
        <v>15</v>
      </c>
      <c r="J5818">
        <v>16</v>
      </c>
      <c r="K5818">
        <v>1</v>
      </c>
      <c r="L5818">
        <v>100839</v>
      </c>
      <c r="M5818" t="str">
        <f t="shared" si="915"/>
        <v>13</v>
      </c>
      <c r="N5818" t="s">
        <v>3323</v>
      </c>
      <c r="O5818" t="str">
        <f t="shared" si="913"/>
        <v>73611</v>
      </c>
      <c r="P5818" t="str">
        <f t="shared" si="916"/>
        <v>2100L</v>
      </c>
      <c r="Q5818" t="str">
        <f t="shared" si="908"/>
        <v>0101</v>
      </c>
      <c r="R5818">
        <v>2100</v>
      </c>
      <c r="S5818" t="str">
        <f t="shared" si="914"/>
        <v>7360</v>
      </c>
      <c r="T5818" t="s">
        <v>3740</v>
      </c>
      <c r="U5818" t="s">
        <v>1588</v>
      </c>
    </row>
    <row r="5819" spans="1:21" ht="15" customHeight="1" x14ac:dyDescent="0.3">
      <c r="A5819" t="s">
        <v>179</v>
      </c>
      <c r="B5819" t="str">
        <f>"00054939"</f>
        <v>00054939</v>
      </c>
      <c r="C5819" t="s">
        <v>4260</v>
      </c>
      <c r="D5819" t="s">
        <v>1598</v>
      </c>
      <c r="E5819" t="str">
        <f>"00055088"</f>
        <v>00055088</v>
      </c>
      <c r="F5819">
        <v>0</v>
      </c>
      <c r="G5819" s="243">
        <v>32050</v>
      </c>
      <c r="H5819" t="s">
        <v>182</v>
      </c>
      <c r="I5819">
        <v>15</v>
      </c>
      <c r="J5819">
        <v>16</v>
      </c>
      <c r="K5819">
        <v>1</v>
      </c>
      <c r="L5819">
        <v>106540</v>
      </c>
      <c r="M5819" t="str">
        <f t="shared" si="915"/>
        <v>13</v>
      </c>
      <c r="N5819" t="s">
        <v>3323</v>
      </c>
      <c r="O5819" t="str">
        <f t="shared" si="913"/>
        <v>73611</v>
      </c>
      <c r="P5819" t="str">
        <f t="shared" si="916"/>
        <v>2100L</v>
      </c>
      <c r="Q5819" t="str">
        <f t="shared" si="908"/>
        <v>0101</v>
      </c>
      <c r="R5819">
        <v>2100</v>
      </c>
      <c r="S5819" t="str">
        <f t="shared" si="914"/>
        <v>7360</v>
      </c>
      <c r="T5819" t="s">
        <v>3740</v>
      </c>
      <c r="U5819" t="s">
        <v>1588</v>
      </c>
    </row>
    <row r="5820" spans="1:21" ht="15" customHeight="1" x14ac:dyDescent="0.3">
      <c r="A5820" t="s">
        <v>179</v>
      </c>
      <c r="B5820" t="str">
        <f>"00055060"</f>
        <v>00055060</v>
      </c>
      <c r="C5820" t="s">
        <v>4341</v>
      </c>
      <c r="D5820" t="s">
        <v>869</v>
      </c>
      <c r="E5820" t="str">
        <f>"00051888"</f>
        <v>00051888</v>
      </c>
      <c r="F5820">
        <v>0</v>
      </c>
      <c r="G5820" s="243">
        <v>36390</v>
      </c>
      <c r="H5820" t="s">
        <v>182</v>
      </c>
      <c r="I5820">
        <v>10</v>
      </c>
      <c r="J5820">
        <v>9</v>
      </c>
      <c r="K5820">
        <v>1</v>
      </c>
      <c r="L5820">
        <v>84226</v>
      </c>
      <c r="M5820" t="str">
        <f t="shared" si="915"/>
        <v>13</v>
      </c>
      <c r="N5820" t="s">
        <v>3323</v>
      </c>
      <c r="O5820" t="str">
        <f t="shared" si="913"/>
        <v>73611</v>
      </c>
      <c r="P5820" t="str">
        <f t="shared" si="916"/>
        <v>2100L</v>
      </c>
      <c r="Q5820" t="str">
        <f t="shared" si="908"/>
        <v>0101</v>
      </c>
      <c r="R5820">
        <v>2100</v>
      </c>
      <c r="S5820" t="str">
        <f t="shared" si="914"/>
        <v>7360</v>
      </c>
      <c r="T5820" t="s">
        <v>3740</v>
      </c>
      <c r="U5820" t="s">
        <v>1588</v>
      </c>
    </row>
    <row r="5821" spans="1:21" ht="15" customHeight="1" x14ac:dyDescent="0.3">
      <c r="A5821" t="s">
        <v>179</v>
      </c>
      <c r="B5821" t="str">
        <f>"00057751"</f>
        <v>00057751</v>
      </c>
      <c r="C5821" t="s">
        <v>4299</v>
      </c>
      <c r="D5821" t="s">
        <v>5960</v>
      </c>
      <c r="E5821" t="str">
        <f>"00053440"</f>
        <v>00053440</v>
      </c>
      <c r="F5821">
        <v>0</v>
      </c>
      <c r="G5821" s="243">
        <v>36397</v>
      </c>
      <c r="H5821" t="s">
        <v>182</v>
      </c>
      <c r="I5821">
        <v>7</v>
      </c>
      <c r="J5821">
        <v>6</v>
      </c>
      <c r="K5821">
        <v>1</v>
      </c>
      <c r="L5821">
        <v>41513</v>
      </c>
      <c r="M5821" t="str">
        <f t="shared" si="915"/>
        <v>13</v>
      </c>
      <c r="N5821" t="s">
        <v>3323</v>
      </c>
      <c r="O5821" t="str">
        <f t="shared" si="913"/>
        <v>73611</v>
      </c>
      <c r="P5821" t="str">
        <f>"1502L"</f>
        <v>1502L</v>
      </c>
      <c r="Q5821" t="str">
        <f t="shared" si="908"/>
        <v>0101</v>
      </c>
      <c r="R5821">
        <v>1502</v>
      </c>
      <c r="S5821" t="str">
        <f t="shared" si="914"/>
        <v>7360</v>
      </c>
      <c r="T5821" t="s">
        <v>3740</v>
      </c>
      <c r="U5821" t="s">
        <v>1588</v>
      </c>
    </row>
    <row r="5822" spans="1:21" ht="15" customHeight="1" x14ac:dyDescent="0.3">
      <c r="A5822" t="s">
        <v>179</v>
      </c>
      <c r="B5822" t="str">
        <f>"00059518"</f>
        <v>00059518</v>
      </c>
      <c r="C5822" t="s">
        <v>4259</v>
      </c>
      <c r="D5822" t="s">
        <v>1599</v>
      </c>
      <c r="E5822" t="str">
        <f>"00053832"</f>
        <v>00053832</v>
      </c>
      <c r="F5822">
        <v>0</v>
      </c>
      <c r="G5822" s="243">
        <v>37911</v>
      </c>
      <c r="H5822" t="s">
        <v>182</v>
      </c>
      <c r="I5822">
        <v>15</v>
      </c>
      <c r="J5822">
        <v>14</v>
      </c>
      <c r="K5822">
        <v>1</v>
      </c>
      <c r="L5822">
        <v>96460</v>
      </c>
      <c r="M5822" t="str">
        <f t="shared" si="915"/>
        <v>13</v>
      </c>
      <c r="N5822" t="s">
        <v>3323</v>
      </c>
      <c r="O5822" t="str">
        <f t="shared" si="913"/>
        <v>73611</v>
      </c>
      <c r="P5822" t="str">
        <f>"2100L"</f>
        <v>2100L</v>
      </c>
      <c r="Q5822" t="str">
        <f t="shared" si="908"/>
        <v>0101</v>
      </c>
      <c r="R5822">
        <v>2100</v>
      </c>
      <c r="S5822" t="str">
        <f t="shared" si="914"/>
        <v>7360</v>
      </c>
      <c r="T5822" t="s">
        <v>3740</v>
      </c>
      <c r="U5822" t="s">
        <v>1588</v>
      </c>
    </row>
    <row r="5823" spans="1:21" ht="15" customHeight="1" x14ac:dyDescent="0.3">
      <c r="A5823" t="s">
        <v>179</v>
      </c>
      <c r="B5823" t="str">
        <f>"00062910"</f>
        <v>00062910</v>
      </c>
      <c r="C5823" t="s">
        <v>4260</v>
      </c>
      <c r="D5823" t="s">
        <v>1602</v>
      </c>
      <c r="E5823" t="str">
        <f>"00053862"</f>
        <v>00053862</v>
      </c>
      <c r="F5823">
        <v>0</v>
      </c>
      <c r="G5823" s="243">
        <v>39776</v>
      </c>
      <c r="H5823" t="s">
        <v>182</v>
      </c>
      <c r="I5823">
        <v>15</v>
      </c>
      <c r="J5823">
        <v>14</v>
      </c>
      <c r="K5823">
        <v>1</v>
      </c>
      <c r="L5823">
        <v>96460</v>
      </c>
      <c r="M5823" t="str">
        <f t="shared" si="915"/>
        <v>13</v>
      </c>
      <c r="N5823" t="s">
        <v>3323</v>
      </c>
      <c r="O5823" t="str">
        <f t="shared" si="913"/>
        <v>73611</v>
      </c>
      <c r="P5823" t="str">
        <f>"2100L"</f>
        <v>2100L</v>
      </c>
      <c r="Q5823" t="str">
        <f t="shared" si="908"/>
        <v>0101</v>
      </c>
      <c r="R5823">
        <v>2100</v>
      </c>
      <c r="S5823" t="str">
        <f t="shared" si="914"/>
        <v>7360</v>
      </c>
      <c r="T5823" t="s">
        <v>3740</v>
      </c>
      <c r="U5823" t="s">
        <v>1588</v>
      </c>
    </row>
    <row r="5824" spans="1:21" ht="15" customHeight="1" x14ac:dyDescent="0.3">
      <c r="A5824" t="s">
        <v>179</v>
      </c>
      <c r="B5824" t="str">
        <f>"00072335"</f>
        <v>00072335</v>
      </c>
      <c r="C5824" t="s">
        <v>4260</v>
      </c>
      <c r="D5824" t="s">
        <v>1603</v>
      </c>
      <c r="E5824" t="str">
        <f>"00062595"</f>
        <v>00062595</v>
      </c>
      <c r="F5824">
        <v>0</v>
      </c>
      <c r="G5824" s="243">
        <v>40406</v>
      </c>
      <c r="H5824" t="s">
        <v>182</v>
      </c>
      <c r="I5824">
        <v>15</v>
      </c>
      <c r="J5824">
        <v>12</v>
      </c>
      <c r="K5824">
        <v>1</v>
      </c>
      <c r="L5824">
        <v>87431</v>
      </c>
      <c r="M5824" t="str">
        <f t="shared" si="915"/>
        <v>13</v>
      </c>
      <c r="N5824" t="s">
        <v>3323</v>
      </c>
      <c r="O5824" t="str">
        <f t="shared" si="913"/>
        <v>73611</v>
      </c>
      <c r="P5824" t="str">
        <f>"2100L"</f>
        <v>2100L</v>
      </c>
      <c r="Q5824" t="str">
        <f t="shared" si="908"/>
        <v>0101</v>
      </c>
      <c r="R5824">
        <v>2100</v>
      </c>
      <c r="S5824" t="str">
        <f t="shared" si="914"/>
        <v>7360</v>
      </c>
      <c r="T5824" t="s">
        <v>3740</v>
      </c>
      <c r="U5824" t="s">
        <v>1588</v>
      </c>
    </row>
    <row r="5825" spans="1:21" ht="15" customHeight="1" x14ac:dyDescent="0.3">
      <c r="A5825" t="s">
        <v>179</v>
      </c>
      <c r="B5825" t="str">
        <f>"00072408"</f>
        <v>00072408</v>
      </c>
      <c r="C5825" t="s">
        <v>4410</v>
      </c>
      <c r="D5825" t="s">
        <v>1604</v>
      </c>
      <c r="E5825" t="str">
        <f>"00062590"</f>
        <v>00062590</v>
      </c>
      <c r="F5825">
        <v>0</v>
      </c>
      <c r="G5825" s="243">
        <v>40406</v>
      </c>
      <c r="H5825" t="s">
        <v>182</v>
      </c>
      <c r="I5825">
        <v>5</v>
      </c>
      <c r="J5825">
        <v>7</v>
      </c>
      <c r="K5825">
        <v>1</v>
      </c>
      <c r="L5825">
        <v>33861</v>
      </c>
      <c r="M5825" t="str">
        <f t="shared" si="915"/>
        <v>13</v>
      </c>
      <c r="N5825" t="s">
        <v>3323</v>
      </c>
      <c r="O5825" t="str">
        <f t="shared" si="913"/>
        <v>73611</v>
      </c>
      <c r="P5825" t="str">
        <f>"2100L"</f>
        <v>2100L</v>
      </c>
      <c r="Q5825" t="str">
        <f t="shared" si="908"/>
        <v>0101</v>
      </c>
      <c r="R5825">
        <v>2100</v>
      </c>
      <c r="S5825" t="str">
        <f t="shared" si="914"/>
        <v>7360</v>
      </c>
      <c r="T5825" t="s">
        <v>3740</v>
      </c>
      <c r="U5825" t="s">
        <v>1588</v>
      </c>
    </row>
    <row r="5826" spans="1:21" ht="15" customHeight="1" x14ac:dyDescent="0.3">
      <c r="A5826" t="s">
        <v>179</v>
      </c>
      <c r="B5826" t="str">
        <f>"00072614"</f>
        <v>00072614</v>
      </c>
      <c r="C5826" t="s">
        <v>4341</v>
      </c>
      <c r="H5826" t="s">
        <v>170</v>
      </c>
      <c r="I5826">
        <v>10</v>
      </c>
      <c r="J5826">
        <v>1</v>
      </c>
      <c r="K5826">
        <v>1</v>
      </c>
      <c r="L5826">
        <v>62794</v>
      </c>
      <c r="M5826" t="str">
        <f t="shared" si="915"/>
        <v>13</v>
      </c>
      <c r="N5826" t="s">
        <v>3323</v>
      </c>
      <c r="O5826" t="str">
        <f t="shared" si="913"/>
        <v>73611</v>
      </c>
      <c r="P5826" t="str">
        <f>"2100L"</f>
        <v>2100L</v>
      </c>
      <c r="Q5826" t="str">
        <f t="shared" si="908"/>
        <v>0101</v>
      </c>
      <c r="R5826">
        <v>2100</v>
      </c>
      <c r="S5826" t="str">
        <f t="shared" si="914"/>
        <v>7360</v>
      </c>
      <c r="T5826" t="s">
        <v>3740</v>
      </c>
      <c r="U5826" t="s">
        <v>1588</v>
      </c>
    </row>
    <row r="5827" spans="1:21" ht="15" customHeight="1" x14ac:dyDescent="0.3">
      <c r="A5827" t="s">
        <v>179</v>
      </c>
      <c r="B5827" t="str">
        <f>"00072856"</f>
        <v>00072856</v>
      </c>
      <c r="C5827" t="s">
        <v>4341</v>
      </c>
      <c r="D5827" t="s">
        <v>5961</v>
      </c>
      <c r="E5827" t="str">
        <f>"00048206"</f>
        <v>00048206</v>
      </c>
      <c r="F5827">
        <v>0</v>
      </c>
      <c r="G5827" s="243">
        <v>39313</v>
      </c>
      <c r="H5827" t="s">
        <v>182</v>
      </c>
      <c r="I5827">
        <v>10</v>
      </c>
      <c r="J5827">
        <v>9</v>
      </c>
      <c r="K5827">
        <v>1</v>
      </c>
      <c r="L5827">
        <v>84226</v>
      </c>
      <c r="M5827" t="str">
        <f t="shared" si="915"/>
        <v>13</v>
      </c>
      <c r="N5827" t="s">
        <v>3323</v>
      </c>
      <c r="O5827" t="str">
        <f t="shared" si="913"/>
        <v>73611</v>
      </c>
      <c r="P5827" t="str">
        <f>"3030L"</f>
        <v>3030L</v>
      </c>
      <c r="Q5827" t="str">
        <f t="shared" si="908"/>
        <v>0101</v>
      </c>
      <c r="R5827">
        <v>3030</v>
      </c>
      <c r="S5827" t="str">
        <f t="shared" si="914"/>
        <v>7360</v>
      </c>
      <c r="T5827" t="s">
        <v>3740</v>
      </c>
      <c r="U5827" t="s">
        <v>1588</v>
      </c>
    </row>
    <row r="5828" spans="1:21" ht="15" customHeight="1" x14ac:dyDescent="0.3">
      <c r="A5828" t="s">
        <v>179</v>
      </c>
      <c r="B5828" t="str">
        <f>"00074067"</f>
        <v>00074067</v>
      </c>
      <c r="C5828" t="s">
        <v>4291</v>
      </c>
      <c r="H5828" t="s">
        <v>170</v>
      </c>
      <c r="I5828">
        <v>15</v>
      </c>
      <c r="J5828">
        <v>1</v>
      </c>
      <c r="K5828">
        <v>0.5</v>
      </c>
      <c r="L5828">
        <v>51539</v>
      </c>
      <c r="M5828" t="str">
        <f t="shared" si="915"/>
        <v>13</v>
      </c>
      <c r="N5828" t="s">
        <v>3323</v>
      </c>
      <c r="O5828" t="str">
        <f t="shared" si="913"/>
        <v>73611</v>
      </c>
      <c r="P5828" t="str">
        <f>"2100L"</f>
        <v>2100L</v>
      </c>
      <c r="Q5828" t="str">
        <f t="shared" si="908"/>
        <v>0101</v>
      </c>
      <c r="R5828">
        <v>2100</v>
      </c>
      <c r="S5828" t="str">
        <f t="shared" si="914"/>
        <v>7360</v>
      </c>
      <c r="T5828" t="s">
        <v>3740</v>
      </c>
      <c r="U5828" t="s">
        <v>1588</v>
      </c>
    </row>
    <row r="5829" spans="1:21" ht="15" customHeight="1" x14ac:dyDescent="0.3">
      <c r="A5829" t="s">
        <v>179</v>
      </c>
      <c r="B5829" t="str">
        <f>"00074511"</f>
        <v>00074511</v>
      </c>
      <c r="C5829" t="s">
        <v>4258</v>
      </c>
      <c r="D5829" t="s">
        <v>3739</v>
      </c>
      <c r="E5829" t="str">
        <f>"00065966"</f>
        <v>00065966</v>
      </c>
      <c r="F5829">
        <v>0</v>
      </c>
      <c r="G5829" s="243">
        <v>40755</v>
      </c>
      <c r="H5829" t="s">
        <v>182</v>
      </c>
      <c r="I5829">
        <v>15</v>
      </c>
      <c r="J5829">
        <v>2</v>
      </c>
      <c r="K5829">
        <v>0.5</v>
      </c>
      <c r="L5829">
        <v>51716</v>
      </c>
      <c r="M5829" t="str">
        <f t="shared" si="915"/>
        <v>13</v>
      </c>
      <c r="N5829" t="s">
        <v>3323</v>
      </c>
      <c r="O5829" t="str">
        <f t="shared" si="913"/>
        <v>73611</v>
      </c>
      <c r="P5829" t="str">
        <f>"2100L"</f>
        <v>2100L</v>
      </c>
      <c r="Q5829" t="str">
        <f t="shared" si="908"/>
        <v>0101</v>
      </c>
      <c r="R5829">
        <v>2100</v>
      </c>
      <c r="S5829" t="str">
        <f t="shared" si="914"/>
        <v>7360</v>
      </c>
      <c r="T5829" t="s">
        <v>3740</v>
      </c>
      <c r="U5829" t="s">
        <v>1588</v>
      </c>
    </row>
    <row r="5830" spans="1:21" ht="15" customHeight="1" x14ac:dyDescent="0.3">
      <c r="A5830" t="s">
        <v>179</v>
      </c>
      <c r="B5830" t="str">
        <f>"00075553"</f>
        <v>00075553</v>
      </c>
      <c r="C5830" t="s">
        <v>3798</v>
      </c>
      <c r="D5830" t="s">
        <v>1605</v>
      </c>
      <c r="E5830" t="str">
        <f>"00061659"</f>
        <v>00061659</v>
      </c>
      <c r="F5830">
        <v>0</v>
      </c>
      <c r="G5830" s="243">
        <v>40352</v>
      </c>
      <c r="H5830" t="s">
        <v>182</v>
      </c>
      <c r="I5830">
        <v>61</v>
      </c>
      <c r="J5830">
        <v>1</v>
      </c>
      <c r="K5830">
        <v>1</v>
      </c>
      <c r="L5830">
        <v>100000</v>
      </c>
      <c r="M5830" t="str">
        <f t="shared" si="915"/>
        <v>13</v>
      </c>
      <c r="N5830" t="s">
        <v>3370</v>
      </c>
      <c r="O5830" t="str">
        <f t="shared" si="913"/>
        <v>73611</v>
      </c>
      <c r="P5830" t="str">
        <f>"1501L"</f>
        <v>1501L</v>
      </c>
      <c r="Q5830" t="str">
        <f t="shared" si="908"/>
        <v>0101</v>
      </c>
      <c r="R5830">
        <v>1501</v>
      </c>
      <c r="S5830" t="str">
        <f t="shared" si="914"/>
        <v>7360</v>
      </c>
      <c r="T5830" t="s">
        <v>3740</v>
      </c>
      <c r="U5830" t="s">
        <v>1588</v>
      </c>
    </row>
    <row r="5831" spans="1:21" ht="15" customHeight="1" x14ac:dyDescent="0.3">
      <c r="A5831" t="s">
        <v>179</v>
      </c>
      <c r="B5831" t="str">
        <f>"00076202"</f>
        <v>00076202</v>
      </c>
      <c r="C5831" t="s">
        <v>4438</v>
      </c>
      <c r="D5831" t="s">
        <v>5962</v>
      </c>
      <c r="E5831" t="str">
        <f>"00069621"</f>
        <v>00069621</v>
      </c>
      <c r="F5831">
        <v>0</v>
      </c>
      <c r="G5831" s="243">
        <v>41133</v>
      </c>
      <c r="H5831" t="s">
        <v>182</v>
      </c>
      <c r="I5831">
        <v>11</v>
      </c>
      <c r="J5831">
        <v>2</v>
      </c>
      <c r="K5831">
        <v>1</v>
      </c>
      <c r="L5831">
        <v>62560</v>
      </c>
      <c r="M5831" t="str">
        <f t="shared" si="915"/>
        <v>13</v>
      </c>
      <c r="N5831" t="s">
        <v>3370</v>
      </c>
      <c r="O5831" t="str">
        <f t="shared" si="913"/>
        <v>73611</v>
      </c>
      <c r="P5831" t="str">
        <f>"2100L"</f>
        <v>2100L</v>
      </c>
      <c r="Q5831" t="str">
        <f t="shared" si="908"/>
        <v>0101</v>
      </c>
      <c r="R5831">
        <v>2100</v>
      </c>
      <c r="S5831" t="str">
        <f t="shared" si="914"/>
        <v>7360</v>
      </c>
      <c r="T5831" t="s">
        <v>3740</v>
      </c>
      <c r="U5831" t="s">
        <v>1588</v>
      </c>
    </row>
    <row r="5832" spans="1:21" ht="15" customHeight="1" x14ac:dyDescent="0.3">
      <c r="A5832" t="s">
        <v>179</v>
      </c>
      <c r="B5832" t="str">
        <f>"00076203"</f>
        <v>00076203</v>
      </c>
      <c r="C5832" t="s">
        <v>4728</v>
      </c>
      <c r="H5832" t="s">
        <v>170</v>
      </c>
      <c r="I5832">
        <v>9</v>
      </c>
      <c r="J5832">
        <v>0</v>
      </c>
      <c r="K5832">
        <v>1</v>
      </c>
      <c r="L5832">
        <v>33163</v>
      </c>
      <c r="M5832" t="str">
        <f t="shared" si="915"/>
        <v>13</v>
      </c>
      <c r="N5832" t="s">
        <v>3370</v>
      </c>
      <c r="O5832" t="str">
        <f t="shared" si="913"/>
        <v>73611</v>
      </c>
      <c r="P5832" t="str">
        <f>"2100L"</f>
        <v>2100L</v>
      </c>
      <c r="Q5832" t="str">
        <f t="shared" si="908"/>
        <v>0101</v>
      </c>
      <c r="R5832">
        <v>2100</v>
      </c>
      <c r="S5832" t="str">
        <f t="shared" si="914"/>
        <v>7360</v>
      </c>
      <c r="T5832" t="s">
        <v>3740</v>
      </c>
      <c r="U5832" t="s">
        <v>1588</v>
      </c>
    </row>
    <row r="5833" spans="1:21" ht="15" customHeight="1" x14ac:dyDescent="0.3">
      <c r="A5833" t="s">
        <v>179</v>
      </c>
      <c r="B5833" t="str">
        <f>"00076529"</f>
        <v>00076529</v>
      </c>
      <c r="C5833" t="s">
        <v>4290</v>
      </c>
      <c r="D5833" t="s">
        <v>5963</v>
      </c>
      <c r="E5833" t="str">
        <f>"00051318"</f>
        <v>00051318</v>
      </c>
      <c r="F5833">
        <v>0</v>
      </c>
      <c r="G5833" s="243">
        <v>30928</v>
      </c>
      <c r="H5833" t="s">
        <v>182</v>
      </c>
      <c r="I5833">
        <v>4</v>
      </c>
      <c r="J5833">
        <v>10</v>
      </c>
      <c r="K5833">
        <v>0.71</v>
      </c>
      <c r="L5833">
        <v>28721</v>
      </c>
      <c r="M5833" t="str">
        <f t="shared" si="915"/>
        <v>13</v>
      </c>
      <c r="N5833" t="s">
        <v>3370</v>
      </c>
      <c r="O5833" t="str">
        <f t="shared" si="913"/>
        <v>73611</v>
      </c>
      <c r="P5833" t="str">
        <f t="shared" ref="P5833:P5843" si="917">"3030L"</f>
        <v>3030L</v>
      </c>
      <c r="Q5833" t="str">
        <f t="shared" ref="Q5833:Q5889" si="918">"0101"</f>
        <v>0101</v>
      </c>
      <c r="R5833">
        <v>3030</v>
      </c>
      <c r="S5833" t="str">
        <f t="shared" si="914"/>
        <v>7360</v>
      </c>
      <c r="T5833" t="s">
        <v>3740</v>
      </c>
      <c r="U5833" t="s">
        <v>1588</v>
      </c>
    </row>
    <row r="5834" spans="1:21" ht="15" customHeight="1" x14ac:dyDescent="0.3">
      <c r="A5834" t="s">
        <v>179</v>
      </c>
      <c r="B5834" t="str">
        <f>"00076530"</f>
        <v>00076530</v>
      </c>
      <c r="C5834" t="s">
        <v>4290</v>
      </c>
      <c r="D5834" t="s">
        <v>5964</v>
      </c>
      <c r="E5834" t="str">
        <f>"00027256"</f>
        <v>00027256</v>
      </c>
      <c r="F5834">
        <v>1</v>
      </c>
      <c r="G5834" s="243">
        <v>36149</v>
      </c>
      <c r="H5834" t="s">
        <v>182</v>
      </c>
      <c r="I5834">
        <v>4</v>
      </c>
      <c r="J5834">
        <v>9</v>
      </c>
      <c r="K5834">
        <v>0.71</v>
      </c>
      <c r="L5834">
        <v>28025.38</v>
      </c>
      <c r="M5834" t="str">
        <f t="shared" si="915"/>
        <v>13</v>
      </c>
      <c r="N5834" t="s">
        <v>3323</v>
      </c>
      <c r="O5834" t="str">
        <f t="shared" si="913"/>
        <v>73611</v>
      </c>
      <c r="P5834" t="str">
        <f t="shared" si="917"/>
        <v>3030L</v>
      </c>
      <c r="Q5834" t="str">
        <f t="shared" si="918"/>
        <v>0101</v>
      </c>
      <c r="R5834">
        <v>3030</v>
      </c>
      <c r="S5834" t="str">
        <f t="shared" si="914"/>
        <v>7360</v>
      </c>
      <c r="T5834" t="s">
        <v>3740</v>
      </c>
      <c r="U5834" t="s">
        <v>1588</v>
      </c>
    </row>
    <row r="5835" spans="1:21" ht="15" customHeight="1" x14ac:dyDescent="0.3">
      <c r="A5835" t="s">
        <v>179</v>
      </c>
      <c r="B5835" t="str">
        <f>"00076532"</f>
        <v>00076532</v>
      </c>
      <c r="C5835" t="s">
        <v>4290</v>
      </c>
      <c r="D5835" t="s">
        <v>1601</v>
      </c>
      <c r="E5835" t="str">
        <f>"00049744"</f>
        <v>00049744</v>
      </c>
      <c r="F5835">
        <v>0</v>
      </c>
      <c r="G5835" s="243">
        <v>38865</v>
      </c>
      <c r="H5835" t="s">
        <v>182</v>
      </c>
      <c r="I5835">
        <v>4</v>
      </c>
      <c r="J5835">
        <v>6</v>
      </c>
      <c r="K5835">
        <v>0.71</v>
      </c>
      <c r="L5835">
        <v>25935.88</v>
      </c>
      <c r="M5835" t="str">
        <f t="shared" si="915"/>
        <v>13</v>
      </c>
      <c r="N5835" t="s">
        <v>3370</v>
      </c>
      <c r="O5835" t="str">
        <f t="shared" si="913"/>
        <v>73611</v>
      </c>
      <c r="P5835" t="str">
        <f t="shared" si="917"/>
        <v>3030L</v>
      </c>
      <c r="Q5835" t="str">
        <f t="shared" si="918"/>
        <v>0101</v>
      </c>
      <c r="R5835">
        <v>3030</v>
      </c>
      <c r="S5835" t="str">
        <f t="shared" si="914"/>
        <v>7360</v>
      </c>
      <c r="T5835" t="s">
        <v>3740</v>
      </c>
      <c r="U5835" t="s">
        <v>1588</v>
      </c>
    </row>
    <row r="5836" spans="1:21" ht="15" customHeight="1" x14ac:dyDescent="0.3">
      <c r="A5836" t="s">
        <v>179</v>
      </c>
      <c r="B5836" t="str">
        <f>"00076533"</f>
        <v>00076533</v>
      </c>
      <c r="C5836" t="s">
        <v>4290</v>
      </c>
      <c r="D5836" t="s">
        <v>5965</v>
      </c>
      <c r="E5836" t="str">
        <f>"00052877"</f>
        <v>00052877</v>
      </c>
      <c r="F5836">
        <v>0</v>
      </c>
      <c r="G5836" s="243">
        <v>37095</v>
      </c>
      <c r="H5836" t="s">
        <v>182</v>
      </c>
      <c r="I5836">
        <v>4</v>
      </c>
      <c r="J5836">
        <v>10</v>
      </c>
      <c r="K5836">
        <v>0.71</v>
      </c>
      <c r="L5836">
        <v>28721</v>
      </c>
      <c r="M5836" t="str">
        <f t="shared" si="915"/>
        <v>13</v>
      </c>
      <c r="N5836" t="s">
        <v>3370</v>
      </c>
      <c r="O5836" t="str">
        <f t="shared" si="913"/>
        <v>73611</v>
      </c>
      <c r="P5836" t="str">
        <f t="shared" si="917"/>
        <v>3030L</v>
      </c>
      <c r="Q5836" t="str">
        <f t="shared" si="918"/>
        <v>0101</v>
      </c>
      <c r="R5836">
        <v>3030</v>
      </c>
      <c r="S5836" t="str">
        <f t="shared" si="914"/>
        <v>7360</v>
      </c>
      <c r="T5836" t="s">
        <v>3740</v>
      </c>
      <c r="U5836" t="s">
        <v>1588</v>
      </c>
    </row>
    <row r="5837" spans="1:21" ht="15" customHeight="1" x14ac:dyDescent="0.3">
      <c r="A5837" t="s">
        <v>179</v>
      </c>
      <c r="B5837" t="str">
        <f>"00076534"</f>
        <v>00076534</v>
      </c>
      <c r="C5837" t="s">
        <v>4290</v>
      </c>
      <c r="D5837" t="s">
        <v>5966</v>
      </c>
      <c r="E5837" t="str">
        <f>"00054741"</f>
        <v>00054741</v>
      </c>
      <c r="F5837">
        <v>0</v>
      </c>
      <c r="G5837" s="243">
        <v>30560</v>
      </c>
      <c r="H5837" t="s">
        <v>182</v>
      </c>
      <c r="I5837">
        <v>4</v>
      </c>
      <c r="J5837">
        <v>10</v>
      </c>
      <c r="K5837">
        <v>0.71</v>
      </c>
      <c r="L5837">
        <v>28721</v>
      </c>
      <c r="M5837" t="str">
        <f t="shared" si="915"/>
        <v>13</v>
      </c>
      <c r="N5837" t="s">
        <v>3370</v>
      </c>
      <c r="O5837" t="str">
        <f t="shared" si="913"/>
        <v>73611</v>
      </c>
      <c r="P5837" t="str">
        <f t="shared" si="917"/>
        <v>3030L</v>
      </c>
      <c r="Q5837" t="str">
        <f t="shared" si="918"/>
        <v>0101</v>
      </c>
      <c r="R5837">
        <v>3030</v>
      </c>
      <c r="S5837" t="str">
        <f t="shared" si="914"/>
        <v>7360</v>
      </c>
      <c r="T5837" t="s">
        <v>3740</v>
      </c>
      <c r="U5837" t="s">
        <v>1588</v>
      </c>
    </row>
    <row r="5838" spans="1:21" ht="15" customHeight="1" x14ac:dyDescent="0.3">
      <c r="A5838" t="s">
        <v>179</v>
      </c>
      <c r="B5838" t="str">
        <f>"00076535"</f>
        <v>00076535</v>
      </c>
      <c r="C5838" t="s">
        <v>4290</v>
      </c>
      <c r="D5838" t="s">
        <v>5967</v>
      </c>
      <c r="E5838" t="str">
        <f>"00038954"</f>
        <v>00038954</v>
      </c>
      <c r="F5838">
        <v>0</v>
      </c>
      <c r="G5838" s="243">
        <v>41176</v>
      </c>
      <c r="H5838" t="s">
        <v>182</v>
      </c>
      <c r="I5838">
        <v>4</v>
      </c>
      <c r="J5838">
        <v>5</v>
      </c>
      <c r="K5838">
        <v>0.71</v>
      </c>
      <c r="L5838">
        <v>25239.37</v>
      </c>
      <c r="M5838" t="str">
        <f t="shared" si="915"/>
        <v>13</v>
      </c>
      <c r="N5838" t="s">
        <v>3323</v>
      </c>
      <c r="O5838" t="str">
        <f t="shared" si="913"/>
        <v>73611</v>
      </c>
      <c r="P5838" t="str">
        <f t="shared" si="917"/>
        <v>3030L</v>
      </c>
      <c r="Q5838" t="str">
        <f t="shared" si="918"/>
        <v>0101</v>
      </c>
      <c r="R5838">
        <v>3030</v>
      </c>
      <c r="S5838" t="str">
        <f t="shared" si="914"/>
        <v>7360</v>
      </c>
      <c r="T5838" t="s">
        <v>3740</v>
      </c>
      <c r="U5838" t="s">
        <v>1588</v>
      </c>
    </row>
    <row r="5839" spans="1:21" ht="15" customHeight="1" x14ac:dyDescent="0.3">
      <c r="A5839" t="s">
        <v>179</v>
      </c>
      <c r="B5839" t="str">
        <f>"00076536"</f>
        <v>00076536</v>
      </c>
      <c r="C5839" t="s">
        <v>4290</v>
      </c>
      <c r="D5839" t="s">
        <v>1600</v>
      </c>
      <c r="E5839" t="str">
        <f>"00051308"</f>
        <v>00051308</v>
      </c>
      <c r="F5839">
        <v>0</v>
      </c>
      <c r="G5839" s="243">
        <v>38014</v>
      </c>
      <c r="H5839" t="s">
        <v>182</v>
      </c>
      <c r="I5839">
        <v>4</v>
      </c>
      <c r="J5839">
        <v>6</v>
      </c>
      <c r="K5839">
        <v>0.71</v>
      </c>
      <c r="L5839">
        <v>25935.88</v>
      </c>
      <c r="M5839" t="str">
        <f t="shared" si="915"/>
        <v>13</v>
      </c>
      <c r="N5839" t="s">
        <v>3370</v>
      </c>
      <c r="O5839" t="str">
        <f t="shared" si="913"/>
        <v>73611</v>
      </c>
      <c r="P5839" t="str">
        <f t="shared" si="917"/>
        <v>3030L</v>
      </c>
      <c r="Q5839" t="str">
        <f t="shared" si="918"/>
        <v>0101</v>
      </c>
      <c r="R5839">
        <v>3030</v>
      </c>
      <c r="S5839" t="str">
        <f t="shared" si="914"/>
        <v>7360</v>
      </c>
      <c r="T5839" t="s">
        <v>3740</v>
      </c>
      <c r="U5839" t="s">
        <v>1588</v>
      </c>
    </row>
    <row r="5840" spans="1:21" ht="15" customHeight="1" x14ac:dyDescent="0.3">
      <c r="A5840" t="s">
        <v>179</v>
      </c>
      <c r="B5840" t="str">
        <f>"00076537"</f>
        <v>00076537</v>
      </c>
      <c r="C5840" t="s">
        <v>4290</v>
      </c>
      <c r="D5840" t="s">
        <v>5968</v>
      </c>
      <c r="E5840" t="str">
        <f>"00053259"</f>
        <v>00053259</v>
      </c>
      <c r="F5840">
        <v>0</v>
      </c>
      <c r="G5840" s="243">
        <v>36775</v>
      </c>
      <c r="H5840" t="s">
        <v>182</v>
      </c>
      <c r="I5840">
        <v>4</v>
      </c>
      <c r="J5840">
        <v>8</v>
      </c>
      <c r="K5840">
        <v>0.71</v>
      </c>
      <c r="L5840">
        <v>27329.75</v>
      </c>
      <c r="M5840" t="str">
        <f t="shared" si="915"/>
        <v>13</v>
      </c>
      <c r="N5840" t="s">
        <v>3370</v>
      </c>
      <c r="O5840" t="str">
        <f t="shared" si="913"/>
        <v>73611</v>
      </c>
      <c r="P5840" t="str">
        <f t="shared" si="917"/>
        <v>3030L</v>
      </c>
      <c r="Q5840" t="str">
        <f t="shared" si="918"/>
        <v>0101</v>
      </c>
      <c r="R5840">
        <v>3030</v>
      </c>
      <c r="S5840" t="str">
        <f t="shared" si="914"/>
        <v>7360</v>
      </c>
      <c r="T5840" t="s">
        <v>3740</v>
      </c>
      <c r="U5840" t="s">
        <v>1588</v>
      </c>
    </row>
    <row r="5841" spans="1:21" ht="15" customHeight="1" x14ac:dyDescent="0.3">
      <c r="A5841" t="s">
        <v>179</v>
      </c>
      <c r="B5841" t="str">
        <f>"00076538"</f>
        <v>00076538</v>
      </c>
      <c r="C5841" t="s">
        <v>4290</v>
      </c>
      <c r="D5841" t="s">
        <v>5969</v>
      </c>
      <c r="E5841" t="str">
        <f>"00049191"</f>
        <v>00049191</v>
      </c>
      <c r="F5841">
        <v>0</v>
      </c>
      <c r="G5841" s="243">
        <v>37705</v>
      </c>
      <c r="H5841" t="s">
        <v>182</v>
      </c>
      <c r="I5841">
        <v>4</v>
      </c>
      <c r="J5841">
        <v>7</v>
      </c>
      <c r="K5841">
        <v>0.71</v>
      </c>
      <c r="L5841">
        <v>26633.25</v>
      </c>
      <c r="M5841" t="str">
        <f t="shared" si="915"/>
        <v>13</v>
      </c>
      <c r="N5841" t="s">
        <v>3370</v>
      </c>
      <c r="O5841" t="str">
        <f t="shared" si="913"/>
        <v>73611</v>
      </c>
      <c r="P5841" t="str">
        <f t="shared" si="917"/>
        <v>3030L</v>
      </c>
      <c r="Q5841" t="str">
        <f t="shared" si="918"/>
        <v>0101</v>
      </c>
      <c r="R5841">
        <v>3030</v>
      </c>
      <c r="S5841" t="str">
        <f t="shared" si="914"/>
        <v>7360</v>
      </c>
      <c r="T5841" t="s">
        <v>3740</v>
      </c>
      <c r="U5841" t="s">
        <v>1588</v>
      </c>
    </row>
    <row r="5842" spans="1:21" ht="15" customHeight="1" x14ac:dyDescent="0.3">
      <c r="A5842" t="s">
        <v>179</v>
      </c>
      <c r="B5842" t="str">
        <f>"00076539"</f>
        <v>00076539</v>
      </c>
      <c r="C5842" t="s">
        <v>4290</v>
      </c>
      <c r="D5842" t="s">
        <v>5970</v>
      </c>
      <c r="E5842" t="str">
        <f>"00050646"</f>
        <v>00050646</v>
      </c>
      <c r="F5842">
        <v>0</v>
      </c>
      <c r="G5842" s="243">
        <v>40428</v>
      </c>
      <c r="H5842" t="s">
        <v>182</v>
      </c>
      <c r="I5842">
        <v>4</v>
      </c>
      <c r="J5842">
        <v>5</v>
      </c>
      <c r="K5842">
        <v>0.71</v>
      </c>
      <c r="L5842">
        <v>25239.37</v>
      </c>
      <c r="M5842" t="str">
        <f t="shared" si="915"/>
        <v>13</v>
      </c>
      <c r="N5842" t="s">
        <v>3370</v>
      </c>
      <c r="O5842" t="str">
        <f t="shared" si="913"/>
        <v>73611</v>
      </c>
      <c r="P5842" t="str">
        <f t="shared" si="917"/>
        <v>3030L</v>
      </c>
      <c r="Q5842" t="str">
        <f t="shared" si="918"/>
        <v>0101</v>
      </c>
      <c r="R5842">
        <v>3030</v>
      </c>
      <c r="S5842" t="str">
        <f t="shared" si="914"/>
        <v>7360</v>
      </c>
      <c r="T5842" t="s">
        <v>3740</v>
      </c>
      <c r="U5842" t="s">
        <v>1588</v>
      </c>
    </row>
    <row r="5843" spans="1:21" ht="15" customHeight="1" x14ac:dyDescent="0.3">
      <c r="A5843" t="s">
        <v>179</v>
      </c>
      <c r="B5843" t="str">
        <f>"00076540"</f>
        <v>00076540</v>
      </c>
      <c r="C5843" t="s">
        <v>4290</v>
      </c>
      <c r="D5843" t="s">
        <v>5971</v>
      </c>
      <c r="E5843" t="str">
        <f>"00053987"</f>
        <v>00053987</v>
      </c>
      <c r="F5843">
        <v>0</v>
      </c>
      <c r="G5843" s="243">
        <v>26419</v>
      </c>
      <c r="H5843" t="s">
        <v>182</v>
      </c>
      <c r="I5843">
        <v>4</v>
      </c>
      <c r="J5843">
        <v>10</v>
      </c>
      <c r="K5843">
        <v>0.71</v>
      </c>
      <c r="L5843">
        <v>28721</v>
      </c>
      <c r="M5843" t="str">
        <f t="shared" si="915"/>
        <v>13</v>
      </c>
      <c r="N5843" t="s">
        <v>3370</v>
      </c>
      <c r="O5843" t="str">
        <f t="shared" si="913"/>
        <v>73611</v>
      </c>
      <c r="P5843" t="str">
        <f t="shared" si="917"/>
        <v>3030L</v>
      </c>
      <c r="Q5843" t="str">
        <f t="shared" si="918"/>
        <v>0101</v>
      </c>
      <c r="R5843">
        <v>3030</v>
      </c>
      <c r="S5843" t="str">
        <f t="shared" si="914"/>
        <v>7360</v>
      </c>
      <c r="T5843" t="s">
        <v>3740</v>
      </c>
      <c r="U5843" t="s">
        <v>1588</v>
      </c>
    </row>
    <row r="5844" spans="1:21" ht="15" customHeight="1" x14ac:dyDescent="0.3">
      <c r="A5844" t="s">
        <v>179</v>
      </c>
      <c r="B5844" t="str">
        <f>"00051842"</f>
        <v>00051842</v>
      </c>
      <c r="C5844" t="s">
        <v>4520</v>
      </c>
      <c r="D5844" t="s">
        <v>5972</v>
      </c>
      <c r="E5844" t="str">
        <f>"00046219"</f>
        <v>00046219</v>
      </c>
      <c r="F5844">
        <v>0</v>
      </c>
      <c r="G5844" s="243">
        <v>33022</v>
      </c>
      <c r="H5844" t="s">
        <v>182</v>
      </c>
      <c r="I5844">
        <v>4</v>
      </c>
      <c r="J5844">
        <v>10</v>
      </c>
      <c r="K5844">
        <v>1</v>
      </c>
      <c r="L5844">
        <v>32824</v>
      </c>
      <c r="M5844" t="str">
        <f t="shared" si="915"/>
        <v>13</v>
      </c>
      <c r="N5844" t="s">
        <v>3323</v>
      </c>
      <c r="O5844" t="str">
        <f t="shared" ref="O5844:O5884" si="919">"73711"</f>
        <v>73711</v>
      </c>
      <c r="P5844" t="str">
        <f>"2100L"</f>
        <v>2100L</v>
      </c>
      <c r="Q5844" t="str">
        <f t="shared" si="918"/>
        <v>0101</v>
      </c>
      <c r="R5844">
        <v>2100</v>
      </c>
      <c r="S5844" t="str">
        <f t="shared" ref="S5844:S5884" si="920">"7370"</f>
        <v>7370</v>
      </c>
      <c r="T5844" t="s">
        <v>4201</v>
      </c>
      <c r="U5844" t="s">
        <v>2309</v>
      </c>
    </row>
    <row r="5845" spans="1:21" ht="15" customHeight="1" x14ac:dyDescent="0.3">
      <c r="A5845" t="s">
        <v>179</v>
      </c>
      <c r="B5845" t="str">
        <f>"00051918"</f>
        <v>00051918</v>
      </c>
      <c r="C5845" t="s">
        <v>4341</v>
      </c>
      <c r="D5845" t="s">
        <v>2310</v>
      </c>
      <c r="E5845" t="str">
        <f>"00046567"</f>
        <v>00046567</v>
      </c>
      <c r="F5845">
        <v>0</v>
      </c>
      <c r="G5845" s="243">
        <v>33252</v>
      </c>
      <c r="H5845" t="s">
        <v>182</v>
      </c>
      <c r="I5845">
        <v>10</v>
      </c>
      <c r="J5845">
        <v>9</v>
      </c>
      <c r="K5845">
        <v>1</v>
      </c>
      <c r="L5845">
        <v>84226</v>
      </c>
      <c r="M5845" t="str">
        <f t="shared" si="915"/>
        <v>13</v>
      </c>
      <c r="N5845" t="s">
        <v>3323</v>
      </c>
      <c r="O5845" t="str">
        <f t="shared" si="919"/>
        <v>73711</v>
      </c>
      <c r="P5845" t="str">
        <f>"2100L"</f>
        <v>2100L</v>
      </c>
      <c r="Q5845" t="str">
        <f t="shared" si="918"/>
        <v>0101</v>
      </c>
      <c r="R5845">
        <v>2100</v>
      </c>
      <c r="S5845" t="str">
        <f t="shared" si="920"/>
        <v>7370</v>
      </c>
      <c r="T5845" t="s">
        <v>4201</v>
      </c>
      <c r="U5845" t="s">
        <v>2309</v>
      </c>
    </row>
    <row r="5846" spans="1:21" ht="15" customHeight="1" x14ac:dyDescent="0.3">
      <c r="A5846" t="s">
        <v>179</v>
      </c>
      <c r="B5846" t="str">
        <f>"00052291"</f>
        <v>00052291</v>
      </c>
      <c r="C5846" t="s">
        <v>4260</v>
      </c>
      <c r="H5846" t="s">
        <v>170</v>
      </c>
      <c r="I5846">
        <v>15</v>
      </c>
      <c r="J5846">
        <v>1</v>
      </c>
      <c r="K5846">
        <v>1</v>
      </c>
      <c r="L5846">
        <v>60128</v>
      </c>
      <c r="M5846" t="str">
        <f t="shared" si="915"/>
        <v>13</v>
      </c>
      <c r="N5846" t="s">
        <v>3370</v>
      </c>
      <c r="O5846" t="str">
        <f t="shared" si="919"/>
        <v>73711</v>
      </c>
      <c r="P5846" t="str">
        <f>"2100L"</f>
        <v>2100L</v>
      </c>
      <c r="Q5846" t="str">
        <f t="shared" si="918"/>
        <v>0101</v>
      </c>
      <c r="R5846">
        <v>2100</v>
      </c>
      <c r="S5846" t="str">
        <f t="shared" si="920"/>
        <v>7370</v>
      </c>
      <c r="T5846" t="s">
        <v>4201</v>
      </c>
      <c r="U5846" t="s">
        <v>2309</v>
      </c>
    </row>
    <row r="5847" spans="1:21" ht="15" customHeight="1" x14ac:dyDescent="0.3">
      <c r="A5847" t="s">
        <v>179</v>
      </c>
      <c r="B5847" t="str">
        <f>"00052817"</f>
        <v>00052817</v>
      </c>
      <c r="C5847" t="s">
        <v>4520</v>
      </c>
      <c r="D5847" t="s">
        <v>5973</v>
      </c>
      <c r="E5847" t="str">
        <f>"00049570"</f>
        <v>00049570</v>
      </c>
      <c r="F5847">
        <v>0</v>
      </c>
      <c r="G5847" s="243">
        <v>31541</v>
      </c>
      <c r="H5847" t="s">
        <v>182</v>
      </c>
      <c r="I5847">
        <v>4</v>
      </c>
      <c r="J5847">
        <v>10</v>
      </c>
      <c r="K5847">
        <v>1</v>
      </c>
      <c r="L5847">
        <v>32824</v>
      </c>
      <c r="M5847" t="str">
        <f t="shared" si="915"/>
        <v>13</v>
      </c>
      <c r="N5847" t="s">
        <v>3323</v>
      </c>
      <c r="O5847" t="str">
        <f t="shared" si="919"/>
        <v>73711</v>
      </c>
      <c r="P5847" t="str">
        <f>"2100L"</f>
        <v>2100L</v>
      </c>
      <c r="Q5847" t="str">
        <f t="shared" si="918"/>
        <v>0101</v>
      </c>
      <c r="R5847">
        <v>2100</v>
      </c>
      <c r="S5847" t="str">
        <f t="shared" si="920"/>
        <v>7370</v>
      </c>
      <c r="T5847" t="s">
        <v>4201</v>
      </c>
      <c r="U5847" t="s">
        <v>2309</v>
      </c>
    </row>
    <row r="5848" spans="1:21" ht="15" customHeight="1" x14ac:dyDescent="0.3">
      <c r="A5848" t="s">
        <v>179</v>
      </c>
      <c r="B5848" t="str">
        <f>"00053765"</f>
        <v>00053765</v>
      </c>
      <c r="C5848" t="s">
        <v>4260</v>
      </c>
      <c r="D5848" t="s">
        <v>2311</v>
      </c>
      <c r="E5848" t="str">
        <f>"00052500"</f>
        <v>00052500</v>
      </c>
      <c r="F5848">
        <v>0</v>
      </c>
      <c r="G5848" s="243">
        <v>32050</v>
      </c>
      <c r="H5848" t="s">
        <v>182</v>
      </c>
      <c r="I5848">
        <v>15</v>
      </c>
      <c r="J5848">
        <v>16</v>
      </c>
      <c r="K5848">
        <v>1</v>
      </c>
      <c r="L5848">
        <v>103347</v>
      </c>
      <c r="M5848" t="str">
        <f t="shared" si="915"/>
        <v>13</v>
      </c>
      <c r="N5848" t="s">
        <v>3323</v>
      </c>
      <c r="O5848" t="str">
        <f t="shared" si="919"/>
        <v>73711</v>
      </c>
      <c r="P5848" t="str">
        <f>"2100L"</f>
        <v>2100L</v>
      </c>
      <c r="Q5848" t="str">
        <f t="shared" si="918"/>
        <v>0101</v>
      </c>
      <c r="R5848">
        <v>2100</v>
      </c>
      <c r="S5848" t="str">
        <f t="shared" si="920"/>
        <v>7370</v>
      </c>
      <c r="T5848" t="s">
        <v>4201</v>
      </c>
      <c r="U5848" t="s">
        <v>2309</v>
      </c>
    </row>
    <row r="5849" spans="1:21" ht="15" customHeight="1" x14ac:dyDescent="0.3">
      <c r="A5849" t="s">
        <v>179</v>
      </c>
      <c r="B5849" t="str">
        <f>"00053870"</f>
        <v>00053870</v>
      </c>
      <c r="C5849" t="s">
        <v>4360</v>
      </c>
      <c r="D5849" t="s">
        <v>5974</v>
      </c>
      <c r="E5849" t="str">
        <f>"00052672"</f>
        <v>00052672</v>
      </c>
      <c r="F5849">
        <v>0</v>
      </c>
      <c r="G5849" s="243">
        <v>34473</v>
      </c>
      <c r="H5849" t="s">
        <v>182</v>
      </c>
      <c r="I5849">
        <v>7</v>
      </c>
      <c r="J5849">
        <v>7</v>
      </c>
      <c r="K5849">
        <v>1</v>
      </c>
      <c r="L5849">
        <v>41514</v>
      </c>
      <c r="M5849" t="str">
        <f t="shared" si="915"/>
        <v>13</v>
      </c>
      <c r="N5849" t="s">
        <v>3323</v>
      </c>
      <c r="O5849" t="str">
        <f t="shared" si="919"/>
        <v>73711</v>
      </c>
      <c r="P5849" t="str">
        <f>"1502L"</f>
        <v>1502L</v>
      </c>
      <c r="Q5849" t="str">
        <f t="shared" si="918"/>
        <v>0101</v>
      </c>
      <c r="R5849">
        <v>1502</v>
      </c>
      <c r="S5849" t="str">
        <f t="shared" si="920"/>
        <v>7370</v>
      </c>
      <c r="T5849" t="s">
        <v>4201</v>
      </c>
      <c r="U5849" t="s">
        <v>2309</v>
      </c>
    </row>
    <row r="5850" spans="1:21" ht="15" customHeight="1" x14ac:dyDescent="0.3">
      <c r="A5850" t="s">
        <v>179</v>
      </c>
      <c r="B5850" t="str">
        <f>"00053943"</f>
        <v>00053943</v>
      </c>
      <c r="C5850" t="s">
        <v>4260</v>
      </c>
      <c r="D5850" t="s">
        <v>2312</v>
      </c>
      <c r="E5850" t="str">
        <f>"00052776"</f>
        <v>00052776</v>
      </c>
      <c r="F5850">
        <v>0</v>
      </c>
      <c r="G5850" s="243">
        <v>32050</v>
      </c>
      <c r="H5850" t="s">
        <v>182</v>
      </c>
      <c r="I5850">
        <v>15</v>
      </c>
      <c r="J5850">
        <v>16</v>
      </c>
      <c r="K5850">
        <v>1</v>
      </c>
      <c r="L5850">
        <v>100839</v>
      </c>
      <c r="M5850" t="str">
        <f t="shared" si="915"/>
        <v>13</v>
      </c>
      <c r="N5850" t="s">
        <v>3323</v>
      </c>
      <c r="O5850" t="str">
        <f t="shared" si="919"/>
        <v>73711</v>
      </c>
      <c r="P5850" t="str">
        <f t="shared" ref="P5850:P5861" si="921">"2100L"</f>
        <v>2100L</v>
      </c>
      <c r="Q5850" t="str">
        <f t="shared" si="918"/>
        <v>0101</v>
      </c>
      <c r="R5850">
        <v>2100</v>
      </c>
      <c r="S5850" t="str">
        <f t="shared" si="920"/>
        <v>7370</v>
      </c>
      <c r="T5850" t="s">
        <v>4201</v>
      </c>
      <c r="U5850" t="s">
        <v>2309</v>
      </c>
    </row>
    <row r="5851" spans="1:21" ht="15" customHeight="1" x14ac:dyDescent="0.3">
      <c r="A5851" t="s">
        <v>179</v>
      </c>
      <c r="B5851" t="str">
        <f>"00053954"</f>
        <v>00053954</v>
      </c>
      <c r="C5851" t="s">
        <v>4260</v>
      </c>
      <c r="D5851" t="s">
        <v>2313</v>
      </c>
      <c r="E5851" t="str">
        <f>"00052789"</f>
        <v>00052789</v>
      </c>
      <c r="F5851">
        <v>0</v>
      </c>
      <c r="G5851" s="243">
        <v>30560</v>
      </c>
      <c r="H5851" t="s">
        <v>182</v>
      </c>
      <c r="I5851">
        <v>15</v>
      </c>
      <c r="J5851">
        <v>16</v>
      </c>
      <c r="K5851">
        <v>1</v>
      </c>
      <c r="L5851">
        <v>103347</v>
      </c>
      <c r="M5851" t="str">
        <f t="shared" si="915"/>
        <v>13</v>
      </c>
      <c r="N5851" t="s">
        <v>3323</v>
      </c>
      <c r="O5851" t="str">
        <f t="shared" si="919"/>
        <v>73711</v>
      </c>
      <c r="P5851" t="str">
        <f t="shared" si="921"/>
        <v>2100L</v>
      </c>
      <c r="Q5851" t="str">
        <f t="shared" si="918"/>
        <v>0101</v>
      </c>
      <c r="R5851">
        <v>2100</v>
      </c>
      <c r="S5851" t="str">
        <f t="shared" si="920"/>
        <v>7370</v>
      </c>
      <c r="T5851" t="s">
        <v>4201</v>
      </c>
      <c r="U5851" t="s">
        <v>2309</v>
      </c>
    </row>
    <row r="5852" spans="1:21" ht="15" customHeight="1" x14ac:dyDescent="0.3">
      <c r="A5852" t="s">
        <v>179</v>
      </c>
      <c r="B5852" t="str">
        <f>"00054042"</f>
        <v>00054042</v>
      </c>
      <c r="C5852" t="s">
        <v>4260</v>
      </c>
      <c r="D5852" t="s">
        <v>2314</v>
      </c>
      <c r="E5852" t="str">
        <f>"00052925"</f>
        <v>00052925</v>
      </c>
      <c r="F5852">
        <v>0</v>
      </c>
      <c r="G5852" s="243">
        <v>32251</v>
      </c>
      <c r="H5852" t="s">
        <v>182</v>
      </c>
      <c r="I5852">
        <v>15</v>
      </c>
      <c r="J5852">
        <v>16</v>
      </c>
      <c r="K5852">
        <v>1</v>
      </c>
      <c r="L5852">
        <v>100839</v>
      </c>
      <c r="M5852" t="str">
        <f t="shared" si="915"/>
        <v>13</v>
      </c>
      <c r="N5852" t="s">
        <v>3323</v>
      </c>
      <c r="O5852" t="str">
        <f t="shared" si="919"/>
        <v>73711</v>
      </c>
      <c r="P5852" t="str">
        <f t="shared" si="921"/>
        <v>2100L</v>
      </c>
      <c r="Q5852" t="str">
        <f t="shared" si="918"/>
        <v>0101</v>
      </c>
      <c r="R5852">
        <v>2100</v>
      </c>
      <c r="S5852" t="str">
        <f t="shared" si="920"/>
        <v>7370</v>
      </c>
      <c r="T5852" t="s">
        <v>4201</v>
      </c>
      <c r="U5852" t="s">
        <v>2309</v>
      </c>
    </row>
    <row r="5853" spans="1:21" ht="15" customHeight="1" x14ac:dyDescent="0.3">
      <c r="A5853" t="s">
        <v>179</v>
      </c>
      <c r="B5853" t="str">
        <f>"00054058"</f>
        <v>00054058</v>
      </c>
      <c r="C5853" t="s">
        <v>4260</v>
      </c>
      <c r="D5853" t="s">
        <v>2315</v>
      </c>
      <c r="E5853" t="str">
        <f>"00052948"</f>
        <v>00052948</v>
      </c>
      <c r="F5853">
        <v>0</v>
      </c>
      <c r="G5853" s="243">
        <v>32050</v>
      </c>
      <c r="H5853" t="s">
        <v>182</v>
      </c>
      <c r="I5853">
        <v>15</v>
      </c>
      <c r="J5853">
        <v>15</v>
      </c>
      <c r="K5853">
        <v>1</v>
      </c>
      <c r="L5853">
        <v>98285</v>
      </c>
      <c r="M5853" t="str">
        <f t="shared" si="915"/>
        <v>13</v>
      </c>
      <c r="N5853" t="s">
        <v>3323</v>
      </c>
      <c r="O5853" t="str">
        <f t="shared" si="919"/>
        <v>73711</v>
      </c>
      <c r="P5853" t="str">
        <f t="shared" si="921"/>
        <v>2100L</v>
      </c>
      <c r="Q5853" t="str">
        <f t="shared" si="918"/>
        <v>0101</v>
      </c>
      <c r="R5853">
        <v>2100</v>
      </c>
      <c r="S5853" t="str">
        <f t="shared" si="920"/>
        <v>7370</v>
      </c>
      <c r="T5853" t="s">
        <v>4201</v>
      </c>
      <c r="U5853" t="s">
        <v>2309</v>
      </c>
    </row>
    <row r="5854" spans="1:21" ht="15" customHeight="1" x14ac:dyDescent="0.3">
      <c r="A5854" t="s">
        <v>179</v>
      </c>
      <c r="B5854" t="str">
        <f>"00054081"</f>
        <v>00054081</v>
      </c>
      <c r="C5854" t="s">
        <v>4260</v>
      </c>
      <c r="D5854" t="s">
        <v>2316</v>
      </c>
      <c r="E5854" t="str">
        <f>"00052988"</f>
        <v>00052988</v>
      </c>
      <c r="F5854">
        <v>0</v>
      </c>
      <c r="G5854" s="243">
        <v>32050</v>
      </c>
      <c r="H5854" t="s">
        <v>182</v>
      </c>
      <c r="I5854">
        <v>15</v>
      </c>
      <c r="J5854">
        <v>16</v>
      </c>
      <c r="K5854">
        <v>1</v>
      </c>
      <c r="L5854">
        <v>100839</v>
      </c>
      <c r="M5854" t="str">
        <f t="shared" si="915"/>
        <v>13</v>
      </c>
      <c r="N5854" t="s">
        <v>3323</v>
      </c>
      <c r="O5854" t="str">
        <f t="shared" si="919"/>
        <v>73711</v>
      </c>
      <c r="P5854" t="str">
        <f t="shared" si="921"/>
        <v>2100L</v>
      </c>
      <c r="Q5854" t="str">
        <f t="shared" si="918"/>
        <v>0101</v>
      </c>
      <c r="R5854">
        <v>2100</v>
      </c>
      <c r="S5854" t="str">
        <f t="shared" si="920"/>
        <v>7370</v>
      </c>
      <c r="T5854" t="s">
        <v>4201</v>
      </c>
      <c r="U5854" t="s">
        <v>2309</v>
      </c>
    </row>
    <row r="5855" spans="1:21" ht="15" customHeight="1" x14ac:dyDescent="0.3">
      <c r="A5855" t="s">
        <v>179</v>
      </c>
      <c r="B5855" t="str">
        <f>"00054129"</f>
        <v>00054129</v>
      </c>
      <c r="C5855" t="s">
        <v>4260</v>
      </c>
      <c r="D5855" t="s">
        <v>2317</v>
      </c>
      <c r="E5855" t="str">
        <f>"00053081"</f>
        <v>00053081</v>
      </c>
      <c r="F5855">
        <v>0</v>
      </c>
      <c r="G5855" s="243">
        <v>31594</v>
      </c>
      <c r="H5855" t="s">
        <v>182</v>
      </c>
      <c r="I5855">
        <v>15</v>
      </c>
      <c r="J5855">
        <v>16</v>
      </c>
      <c r="K5855">
        <v>1</v>
      </c>
      <c r="L5855">
        <v>103347</v>
      </c>
      <c r="M5855" t="str">
        <f t="shared" si="915"/>
        <v>13</v>
      </c>
      <c r="N5855" t="s">
        <v>3323</v>
      </c>
      <c r="O5855" t="str">
        <f t="shared" si="919"/>
        <v>73711</v>
      </c>
      <c r="P5855" t="str">
        <f t="shared" si="921"/>
        <v>2100L</v>
      </c>
      <c r="Q5855" t="str">
        <f t="shared" si="918"/>
        <v>0101</v>
      </c>
      <c r="R5855">
        <v>2100</v>
      </c>
      <c r="S5855" t="str">
        <f t="shared" si="920"/>
        <v>7370</v>
      </c>
      <c r="T5855" t="s">
        <v>4201</v>
      </c>
      <c r="U5855" t="s">
        <v>2309</v>
      </c>
    </row>
    <row r="5856" spans="1:21" ht="15" customHeight="1" x14ac:dyDescent="0.3">
      <c r="A5856" t="s">
        <v>179</v>
      </c>
      <c r="B5856" t="str">
        <f>"00054151"</f>
        <v>00054151</v>
      </c>
      <c r="C5856" t="s">
        <v>4520</v>
      </c>
      <c r="D5856" t="s">
        <v>5975</v>
      </c>
      <c r="E5856" t="str">
        <f>"00053130"</f>
        <v>00053130</v>
      </c>
      <c r="F5856">
        <v>0</v>
      </c>
      <c r="G5856" s="243">
        <v>31701</v>
      </c>
      <c r="H5856" t="s">
        <v>182</v>
      </c>
      <c r="I5856">
        <v>4</v>
      </c>
      <c r="J5856">
        <v>10</v>
      </c>
      <c r="K5856">
        <v>1</v>
      </c>
      <c r="L5856">
        <v>32824</v>
      </c>
      <c r="M5856" t="str">
        <f t="shared" si="915"/>
        <v>13</v>
      </c>
      <c r="N5856" t="s">
        <v>3323</v>
      </c>
      <c r="O5856" t="str">
        <f t="shared" si="919"/>
        <v>73711</v>
      </c>
      <c r="P5856" t="str">
        <f t="shared" si="921"/>
        <v>2100L</v>
      </c>
      <c r="Q5856" t="str">
        <f t="shared" si="918"/>
        <v>0101</v>
      </c>
      <c r="R5856">
        <v>2100</v>
      </c>
      <c r="S5856" t="str">
        <f t="shared" si="920"/>
        <v>7370</v>
      </c>
      <c r="T5856" t="s">
        <v>4201</v>
      </c>
      <c r="U5856" t="s">
        <v>2309</v>
      </c>
    </row>
    <row r="5857" spans="1:21" ht="15" customHeight="1" x14ac:dyDescent="0.3">
      <c r="A5857" t="s">
        <v>179</v>
      </c>
      <c r="B5857" t="str">
        <f>"00054364"</f>
        <v>00054364</v>
      </c>
      <c r="C5857" t="s">
        <v>4260</v>
      </c>
      <c r="D5857" t="s">
        <v>2318</v>
      </c>
      <c r="E5857" t="str">
        <f>"00053895"</f>
        <v>00053895</v>
      </c>
      <c r="F5857">
        <v>0</v>
      </c>
      <c r="G5857" s="243">
        <v>32050</v>
      </c>
      <c r="H5857" t="s">
        <v>182</v>
      </c>
      <c r="I5857">
        <v>15</v>
      </c>
      <c r="J5857">
        <v>16</v>
      </c>
      <c r="K5857">
        <v>1</v>
      </c>
      <c r="L5857">
        <v>100839</v>
      </c>
      <c r="M5857" t="str">
        <f t="shared" si="915"/>
        <v>13</v>
      </c>
      <c r="N5857" t="s">
        <v>3323</v>
      </c>
      <c r="O5857" t="str">
        <f t="shared" si="919"/>
        <v>73711</v>
      </c>
      <c r="P5857" t="str">
        <f t="shared" si="921"/>
        <v>2100L</v>
      </c>
      <c r="Q5857" t="str">
        <f t="shared" si="918"/>
        <v>0101</v>
      </c>
      <c r="R5857">
        <v>2100</v>
      </c>
      <c r="S5857" t="str">
        <f t="shared" si="920"/>
        <v>7370</v>
      </c>
      <c r="T5857" t="s">
        <v>4201</v>
      </c>
      <c r="U5857" t="s">
        <v>2309</v>
      </c>
    </row>
    <row r="5858" spans="1:21" ht="15" customHeight="1" x14ac:dyDescent="0.3">
      <c r="A5858" t="s">
        <v>179</v>
      </c>
      <c r="B5858" t="str">
        <f>"00054617"</f>
        <v>00054617</v>
      </c>
      <c r="C5858" t="s">
        <v>4259</v>
      </c>
      <c r="D5858" t="s">
        <v>2326</v>
      </c>
      <c r="E5858" t="str">
        <f>"00054293"</f>
        <v>00054293</v>
      </c>
      <c r="F5858">
        <v>0</v>
      </c>
      <c r="G5858" s="243">
        <v>32050</v>
      </c>
      <c r="H5858" t="s">
        <v>182</v>
      </c>
      <c r="I5858">
        <v>15</v>
      </c>
      <c r="J5858">
        <v>16</v>
      </c>
      <c r="K5858">
        <v>1</v>
      </c>
      <c r="L5858">
        <v>106540</v>
      </c>
      <c r="M5858" t="str">
        <f t="shared" si="915"/>
        <v>13</v>
      </c>
      <c r="N5858" t="s">
        <v>3323</v>
      </c>
      <c r="O5858" t="str">
        <f t="shared" si="919"/>
        <v>73711</v>
      </c>
      <c r="P5858" t="str">
        <f t="shared" si="921"/>
        <v>2100L</v>
      </c>
      <c r="Q5858" t="str">
        <f t="shared" si="918"/>
        <v>0101</v>
      </c>
      <c r="R5858">
        <v>2100</v>
      </c>
      <c r="S5858" t="str">
        <f t="shared" si="920"/>
        <v>7370</v>
      </c>
      <c r="T5858" t="s">
        <v>4201</v>
      </c>
      <c r="U5858" t="s">
        <v>2309</v>
      </c>
    </row>
    <row r="5859" spans="1:21" ht="15" customHeight="1" x14ac:dyDescent="0.3">
      <c r="A5859" t="s">
        <v>179</v>
      </c>
      <c r="B5859" t="str">
        <f>"00054675"</f>
        <v>00054675</v>
      </c>
      <c r="C5859" t="s">
        <v>4260</v>
      </c>
      <c r="D5859" t="s">
        <v>2319</v>
      </c>
      <c r="E5859" t="str">
        <f>"00054392"</f>
        <v>00054392</v>
      </c>
      <c r="F5859">
        <v>0</v>
      </c>
      <c r="G5859" s="243">
        <v>32050</v>
      </c>
      <c r="H5859" t="s">
        <v>182</v>
      </c>
      <c r="I5859">
        <v>15</v>
      </c>
      <c r="J5859">
        <v>16</v>
      </c>
      <c r="K5859">
        <v>1</v>
      </c>
      <c r="L5859">
        <v>100839</v>
      </c>
      <c r="M5859" t="str">
        <f t="shared" si="915"/>
        <v>13</v>
      </c>
      <c r="N5859" t="s">
        <v>3323</v>
      </c>
      <c r="O5859" t="str">
        <f t="shared" si="919"/>
        <v>73711</v>
      </c>
      <c r="P5859" t="str">
        <f t="shared" si="921"/>
        <v>2100L</v>
      </c>
      <c r="Q5859" t="str">
        <f t="shared" si="918"/>
        <v>0101</v>
      </c>
      <c r="R5859">
        <v>2100</v>
      </c>
      <c r="S5859" t="str">
        <f t="shared" si="920"/>
        <v>7370</v>
      </c>
      <c r="T5859" t="s">
        <v>4201</v>
      </c>
      <c r="U5859" t="s">
        <v>2309</v>
      </c>
    </row>
    <row r="5860" spans="1:21" ht="15" customHeight="1" x14ac:dyDescent="0.3">
      <c r="A5860" t="s">
        <v>179</v>
      </c>
      <c r="B5860" t="str">
        <f>"00054708"</f>
        <v>00054708</v>
      </c>
      <c r="C5860" t="s">
        <v>4260</v>
      </c>
      <c r="D5860" t="s">
        <v>2320</v>
      </c>
      <c r="E5860" t="str">
        <f>"00054445"</f>
        <v>00054445</v>
      </c>
      <c r="F5860">
        <v>0</v>
      </c>
      <c r="G5860" s="243">
        <v>32050</v>
      </c>
      <c r="H5860" t="s">
        <v>182</v>
      </c>
      <c r="I5860">
        <v>15</v>
      </c>
      <c r="J5860">
        <v>16</v>
      </c>
      <c r="K5860">
        <v>1</v>
      </c>
      <c r="L5860">
        <v>106540</v>
      </c>
      <c r="M5860" t="str">
        <f t="shared" si="915"/>
        <v>13</v>
      </c>
      <c r="N5860" t="s">
        <v>3323</v>
      </c>
      <c r="O5860" t="str">
        <f t="shared" si="919"/>
        <v>73711</v>
      </c>
      <c r="P5860" t="str">
        <f t="shared" si="921"/>
        <v>2100L</v>
      </c>
      <c r="Q5860" t="str">
        <f t="shared" si="918"/>
        <v>0101</v>
      </c>
      <c r="R5860">
        <v>2100</v>
      </c>
      <c r="S5860" t="str">
        <f t="shared" si="920"/>
        <v>7370</v>
      </c>
      <c r="T5860" t="s">
        <v>4201</v>
      </c>
      <c r="U5860" t="s">
        <v>2309</v>
      </c>
    </row>
    <row r="5861" spans="1:21" ht="15" customHeight="1" x14ac:dyDescent="0.3">
      <c r="A5861" t="s">
        <v>179</v>
      </c>
      <c r="B5861" t="str">
        <f>"00056985"</f>
        <v>00056985</v>
      </c>
      <c r="C5861" t="s">
        <v>5976</v>
      </c>
      <c r="D5861" t="s">
        <v>5977</v>
      </c>
      <c r="E5861" t="str">
        <f>"00047380"</f>
        <v>00047380</v>
      </c>
      <c r="F5861">
        <v>0</v>
      </c>
      <c r="G5861" s="243">
        <v>33892</v>
      </c>
      <c r="H5861" t="s">
        <v>182</v>
      </c>
      <c r="I5861">
        <v>5</v>
      </c>
      <c r="J5861">
        <v>6</v>
      </c>
      <c r="K5861">
        <v>1</v>
      </c>
      <c r="L5861">
        <v>32965</v>
      </c>
      <c r="M5861" t="str">
        <f t="shared" si="915"/>
        <v>13</v>
      </c>
      <c r="N5861" t="s">
        <v>3323</v>
      </c>
      <c r="O5861" t="str">
        <f t="shared" si="919"/>
        <v>73711</v>
      </c>
      <c r="P5861" t="str">
        <f t="shared" si="921"/>
        <v>2100L</v>
      </c>
      <c r="Q5861" t="str">
        <f t="shared" si="918"/>
        <v>0101</v>
      </c>
      <c r="R5861">
        <v>2100</v>
      </c>
      <c r="S5861" t="str">
        <f t="shared" si="920"/>
        <v>7370</v>
      </c>
      <c r="T5861" t="s">
        <v>4201</v>
      </c>
      <c r="U5861" t="s">
        <v>2309</v>
      </c>
    </row>
    <row r="5862" spans="1:21" ht="15" customHeight="1" x14ac:dyDescent="0.3">
      <c r="A5862" t="s">
        <v>179</v>
      </c>
      <c r="B5862" t="str">
        <f>"00057680"</f>
        <v>00057680</v>
      </c>
      <c r="C5862" t="s">
        <v>4520</v>
      </c>
      <c r="H5862" t="s">
        <v>170</v>
      </c>
      <c r="I5862">
        <v>4</v>
      </c>
      <c r="J5862">
        <v>1</v>
      </c>
      <c r="K5862">
        <v>1</v>
      </c>
      <c r="L5862">
        <v>27254</v>
      </c>
      <c r="M5862" t="str">
        <f t="shared" si="915"/>
        <v>13</v>
      </c>
      <c r="N5862" t="s">
        <v>3323</v>
      </c>
      <c r="O5862" t="str">
        <f t="shared" si="919"/>
        <v>73711</v>
      </c>
      <c r="P5862" t="str">
        <f>"1502L"</f>
        <v>1502L</v>
      </c>
      <c r="Q5862" t="str">
        <f t="shared" si="918"/>
        <v>0101</v>
      </c>
      <c r="R5862">
        <v>1502</v>
      </c>
      <c r="S5862" t="str">
        <f t="shared" si="920"/>
        <v>7370</v>
      </c>
      <c r="T5862" t="s">
        <v>4201</v>
      </c>
      <c r="U5862" t="s">
        <v>2309</v>
      </c>
    </row>
    <row r="5863" spans="1:21" ht="15" customHeight="1" x14ac:dyDescent="0.3">
      <c r="A5863" t="s">
        <v>179</v>
      </c>
      <c r="B5863" t="str">
        <f>"00059050"</f>
        <v>00059050</v>
      </c>
      <c r="C5863" t="s">
        <v>4290</v>
      </c>
      <c r="D5863" t="s">
        <v>5978</v>
      </c>
      <c r="E5863" t="str">
        <f>"00053027"</f>
        <v>00053027</v>
      </c>
      <c r="F5863">
        <v>0</v>
      </c>
      <c r="G5863" s="243">
        <v>35363</v>
      </c>
      <c r="H5863" t="s">
        <v>182</v>
      </c>
      <c r="I5863">
        <v>4</v>
      </c>
      <c r="J5863">
        <v>9</v>
      </c>
      <c r="K5863">
        <v>0.875</v>
      </c>
      <c r="L5863">
        <v>28025.38</v>
      </c>
      <c r="M5863" t="str">
        <f t="shared" si="915"/>
        <v>13</v>
      </c>
      <c r="N5863" t="s">
        <v>3323</v>
      </c>
      <c r="O5863" t="str">
        <f t="shared" si="919"/>
        <v>73711</v>
      </c>
      <c r="P5863" t="str">
        <f>"2100L"</f>
        <v>2100L</v>
      </c>
      <c r="Q5863" t="str">
        <f t="shared" si="918"/>
        <v>0101</v>
      </c>
      <c r="R5863">
        <v>2100</v>
      </c>
      <c r="S5863" t="str">
        <f t="shared" si="920"/>
        <v>7370</v>
      </c>
      <c r="T5863" t="s">
        <v>4201</v>
      </c>
      <c r="U5863" t="s">
        <v>2309</v>
      </c>
    </row>
    <row r="5864" spans="1:21" ht="15" customHeight="1" x14ac:dyDescent="0.3">
      <c r="A5864" t="s">
        <v>179</v>
      </c>
      <c r="B5864" t="str">
        <f>"00059215"</f>
        <v>00059215</v>
      </c>
      <c r="C5864" t="s">
        <v>3798</v>
      </c>
      <c r="D5864" t="s">
        <v>2321</v>
      </c>
      <c r="E5864" t="str">
        <f>"00052018"</f>
        <v>00052018</v>
      </c>
      <c r="F5864">
        <v>0</v>
      </c>
      <c r="G5864" s="243">
        <v>37124</v>
      </c>
      <c r="H5864" t="s">
        <v>182</v>
      </c>
      <c r="I5864">
        <v>62</v>
      </c>
      <c r="J5864">
        <v>5</v>
      </c>
      <c r="K5864">
        <v>1</v>
      </c>
      <c r="L5864">
        <v>123000</v>
      </c>
      <c r="M5864" t="str">
        <f t="shared" si="915"/>
        <v>13</v>
      </c>
      <c r="N5864" t="s">
        <v>3323</v>
      </c>
      <c r="O5864" t="str">
        <f t="shared" si="919"/>
        <v>73711</v>
      </c>
      <c r="P5864" t="str">
        <f>"1501L"</f>
        <v>1501L</v>
      </c>
      <c r="Q5864" t="str">
        <f t="shared" si="918"/>
        <v>0101</v>
      </c>
      <c r="R5864">
        <v>1501</v>
      </c>
      <c r="S5864" t="str">
        <f t="shared" si="920"/>
        <v>7370</v>
      </c>
      <c r="T5864" t="s">
        <v>4201</v>
      </c>
      <c r="U5864" t="s">
        <v>2309</v>
      </c>
    </row>
    <row r="5865" spans="1:21" ht="15" customHeight="1" x14ac:dyDescent="0.3">
      <c r="A5865" t="s">
        <v>179</v>
      </c>
      <c r="B5865" t="str">
        <f>"00060661"</f>
        <v>00060661</v>
      </c>
      <c r="C5865" t="s">
        <v>4520</v>
      </c>
      <c r="D5865" t="s">
        <v>5979</v>
      </c>
      <c r="E5865" t="str">
        <f>"00046117"</f>
        <v>00046117</v>
      </c>
      <c r="F5865">
        <v>0</v>
      </c>
      <c r="G5865" s="243">
        <v>39132</v>
      </c>
      <c r="H5865" t="s">
        <v>182</v>
      </c>
      <c r="I5865">
        <v>4</v>
      </c>
      <c r="J5865">
        <v>6</v>
      </c>
      <c r="K5865">
        <v>1</v>
      </c>
      <c r="L5865">
        <v>29641</v>
      </c>
      <c r="M5865" t="str">
        <f t="shared" si="915"/>
        <v>13</v>
      </c>
      <c r="N5865" t="s">
        <v>3323</v>
      </c>
      <c r="O5865" t="str">
        <f t="shared" si="919"/>
        <v>73711</v>
      </c>
      <c r="P5865" t="str">
        <f t="shared" ref="P5865:P5876" si="922">"2100L"</f>
        <v>2100L</v>
      </c>
      <c r="Q5865" t="str">
        <f t="shared" si="918"/>
        <v>0101</v>
      </c>
      <c r="R5865">
        <v>2100</v>
      </c>
      <c r="S5865" t="str">
        <f t="shared" si="920"/>
        <v>7370</v>
      </c>
      <c r="T5865" t="s">
        <v>4201</v>
      </c>
      <c r="U5865" t="s">
        <v>2309</v>
      </c>
    </row>
    <row r="5866" spans="1:21" ht="15" customHeight="1" x14ac:dyDescent="0.3">
      <c r="A5866" t="s">
        <v>179</v>
      </c>
      <c r="B5866" t="str">
        <f>"00062911"</f>
        <v>00062911</v>
      </c>
      <c r="C5866" t="s">
        <v>4260</v>
      </c>
      <c r="D5866" t="s">
        <v>2322</v>
      </c>
      <c r="E5866" t="str">
        <f>"00054582"</f>
        <v>00054582</v>
      </c>
      <c r="F5866">
        <v>0</v>
      </c>
      <c r="G5866" s="243">
        <v>40117</v>
      </c>
      <c r="H5866" t="s">
        <v>182</v>
      </c>
      <c r="I5866">
        <v>15</v>
      </c>
      <c r="J5866">
        <v>16</v>
      </c>
      <c r="K5866">
        <v>1</v>
      </c>
      <c r="L5866">
        <v>106540</v>
      </c>
      <c r="M5866" t="str">
        <f t="shared" si="915"/>
        <v>13</v>
      </c>
      <c r="N5866" t="s">
        <v>3323</v>
      </c>
      <c r="O5866" t="str">
        <f t="shared" si="919"/>
        <v>73711</v>
      </c>
      <c r="P5866" t="str">
        <f t="shared" si="922"/>
        <v>2100L</v>
      </c>
      <c r="Q5866" t="str">
        <f t="shared" si="918"/>
        <v>0101</v>
      </c>
      <c r="R5866">
        <v>2100</v>
      </c>
      <c r="S5866" t="str">
        <f t="shared" si="920"/>
        <v>7370</v>
      </c>
      <c r="T5866" t="s">
        <v>4201</v>
      </c>
      <c r="U5866" t="s">
        <v>2309</v>
      </c>
    </row>
    <row r="5867" spans="1:21" ht="15" customHeight="1" x14ac:dyDescent="0.3">
      <c r="A5867" t="s">
        <v>179</v>
      </c>
      <c r="B5867" t="str">
        <f>"00066823"</f>
        <v>00066823</v>
      </c>
      <c r="C5867" t="s">
        <v>4260</v>
      </c>
      <c r="D5867" t="s">
        <v>2323</v>
      </c>
      <c r="E5867" t="str">
        <f>"00057273"</f>
        <v>00057273</v>
      </c>
      <c r="F5867">
        <v>0</v>
      </c>
      <c r="G5867" s="243">
        <v>40042</v>
      </c>
      <c r="H5867" t="s">
        <v>182</v>
      </c>
      <c r="I5867">
        <v>15</v>
      </c>
      <c r="J5867">
        <v>4</v>
      </c>
      <c r="K5867">
        <v>1</v>
      </c>
      <c r="L5867">
        <v>57147</v>
      </c>
      <c r="M5867" t="str">
        <f t="shared" ref="M5867:M5923" si="923">"13"</f>
        <v>13</v>
      </c>
      <c r="N5867" t="s">
        <v>3323</v>
      </c>
      <c r="O5867" t="str">
        <f t="shared" si="919"/>
        <v>73711</v>
      </c>
      <c r="P5867" t="str">
        <f t="shared" si="922"/>
        <v>2100L</v>
      </c>
      <c r="Q5867" t="str">
        <f t="shared" si="918"/>
        <v>0101</v>
      </c>
      <c r="R5867">
        <v>2100</v>
      </c>
      <c r="S5867" t="str">
        <f t="shared" si="920"/>
        <v>7370</v>
      </c>
      <c r="T5867" t="s">
        <v>4201</v>
      </c>
      <c r="U5867" t="s">
        <v>2309</v>
      </c>
    </row>
    <row r="5868" spans="1:21" ht="15" customHeight="1" x14ac:dyDescent="0.3">
      <c r="A5868" t="s">
        <v>179</v>
      </c>
      <c r="B5868" t="str">
        <f>"00066824"</f>
        <v>00066824</v>
      </c>
      <c r="C5868" t="s">
        <v>4260</v>
      </c>
      <c r="D5868" t="s">
        <v>2324</v>
      </c>
      <c r="E5868" t="str">
        <f>"00057455"</f>
        <v>00057455</v>
      </c>
      <c r="F5868">
        <v>0</v>
      </c>
      <c r="G5868" s="243">
        <v>40042</v>
      </c>
      <c r="H5868" t="s">
        <v>182</v>
      </c>
      <c r="I5868">
        <v>15</v>
      </c>
      <c r="J5868">
        <v>8</v>
      </c>
      <c r="K5868">
        <v>1</v>
      </c>
      <c r="L5868">
        <v>72171</v>
      </c>
      <c r="M5868" t="str">
        <f t="shared" si="923"/>
        <v>13</v>
      </c>
      <c r="N5868" t="s">
        <v>3323</v>
      </c>
      <c r="O5868" t="str">
        <f t="shared" si="919"/>
        <v>73711</v>
      </c>
      <c r="P5868" t="str">
        <f t="shared" si="922"/>
        <v>2100L</v>
      </c>
      <c r="Q5868" t="str">
        <f t="shared" si="918"/>
        <v>0101</v>
      </c>
      <c r="R5868">
        <v>2100</v>
      </c>
      <c r="S5868" t="str">
        <f t="shared" si="920"/>
        <v>7370</v>
      </c>
      <c r="T5868" t="s">
        <v>4201</v>
      </c>
      <c r="U5868" t="s">
        <v>2309</v>
      </c>
    </row>
    <row r="5869" spans="1:21" ht="15" customHeight="1" x14ac:dyDescent="0.3">
      <c r="A5869" t="s">
        <v>179</v>
      </c>
      <c r="B5869" t="str">
        <f>"00066825"</f>
        <v>00066825</v>
      </c>
      <c r="C5869" t="s">
        <v>4260</v>
      </c>
      <c r="D5869" t="s">
        <v>2325</v>
      </c>
      <c r="E5869" t="str">
        <f>"00058101"</f>
        <v>00058101</v>
      </c>
      <c r="F5869">
        <v>0</v>
      </c>
      <c r="G5869" s="243">
        <v>40042</v>
      </c>
      <c r="H5869" t="s">
        <v>182</v>
      </c>
      <c r="I5869">
        <v>15</v>
      </c>
      <c r="J5869">
        <v>10</v>
      </c>
      <c r="K5869">
        <v>1</v>
      </c>
      <c r="L5869">
        <v>70879</v>
      </c>
      <c r="M5869" t="str">
        <f t="shared" si="923"/>
        <v>13</v>
      </c>
      <c r="N5869" t="s">
        <v>3323</v>
      </c>
      <c r="O5869" t="str">
        <f t="shared" si="919"/>
        <v>73711</v>
      </c>
      <c r="P5869" t="str">
        <f t="shared" si="922"/>
        <v>2100L</v>
      </c>
      <c r="Q5869" t="str">
        <f t="shared" si="918"/>
        <v>0101</v>
      </c>
      <c r="R5869">
        <v>2100</v>
      </c>
      <c r="S5869" t="str">
        <f t="shared" si="920"/>
        <v>7370</v>
      </c>
      <c r="T5869" t="s">
        <v>4201</v>
      </c>
      <c r="U5869" t="s">
        <v>2309</v>
      </c>
    </row>
    <row r="5870" spans="1:21" ht="15" customHeight="1" x14ac:dyDescent="0.3">
      <c r="A5870" t="s">
        <v>179</v>
      </c>
      <c r="B5870" t="str">
        <f>"00066827"</f>
        <v>00066827</v>
      </c>
      <c r="C5870" t="s">
        <v>4260</v>
      </c>
      <c r="D5870" t="s">
        <v>4202</v>
      </c>
      <c r="E5870" t="str">
        <f>"00066613"</f>
        <v>00066613</v>
      </c>
      <c r="F5870">
        <v>0</v>
      </c>
      <c r="G5870" s="243">
        <v>40798</v>
      </c>
      <c r="H5870" t="s">
        <v>182</v>
      </c>
      <c r="I5870">
        <v>15</v>
      </c>
      <c r="J5870">
        <v>2</v>
      </c>
      <c r="K5870">
        <v>1</v>
      </c>
      <c r="L5870">
        <v>51716</v>
      </c>
      <c r="M5870" t="str">
        <f t="shared" si="923"/>
        <v>13</v>
      </c>
      <c r="N5870" t="s">
        <v>3323</v>
      </c>
      <c r="O5870" t="str">
        <f t="shared" si="919"/>
        <v>73711</v>
      </c>
      <c r="P5870" t="str">
        <f t="shared" si="922"/>
        <v>2100L</v>
      </c>
      <c r="Q5870" t="str">
        <f t="shared" si="918"/>
        <v>0101</v>
      </c>
      <c r="R5870">
        <v>2100</v>
      </c>
      <c r="S5870" t="str">
        <f t="shared" si="920"/>
        <v>7370</v>
      </c>
      <c r="T5870" t="s">
        <v>4201</v>
      </c>
      <c r="U5870" t="s">
        <v>2309</v>
      </c>
    </row>
    <row r="5871" spans="1:21" ht="15" customHeight="1" x14ac:dyDescent="0.3">
      <c r="A5871" t="s">
        <v>179</v>
      </c>
      <c r="B5871" t="str">
        <f>"00067319"</f>
        <v>00067319</v>
      </c>
      <c r="C5871" t="s">
        <v>4290</v>
      </c>
      <c r="D5871" t="s">
        <v>5980</v>
      </c>
      <c r="E5871" t="str">
        <f>"00054250"</f>
        <v>00054250</v>
      </c>
      <c r="F5871">
        <v>0</v>
      </c>
      <c r="G5871" s="243">
        <v>36397</v>
      </c>
      <c r="H5871" t="s">
        <v>182</v>
      </c>
      <c r="I5871">
        <v>4</v>
      </c>
      <c r="J5871">
        <v>9</v>
      </c>
      <c r="K5871">
        <v>1</v>
      </c>
      <c r="L5871">
        <v>32029</v>
      </c>
      <c r="M5871" t="str">
        <f t="shared" si="923"/>
        <v>13</v>
      </c>
      <c r="N5871" t="s">
        <v>3370</v>
      </c>
      <c r="O5871" t="str">
        <f t="shared" si="919"/>
        <v>73711</v>
      </c>
      <c r="P5871" t="str">
        <f t="shared" si="922"/>
        <v>2100L</v>
      </c>
      <c r="Q5871" t="str">
        <f t="shared" si="918"/>
        <v>0101</v>
      </c>
      <c r="R5871">
        <v>2100</v>
      </c>
      <c r="S5871" t="str">
        <f t="shared" si="920"/>
        <v>7370</v>
      </c>
      <c r="T5871" t="s">
        <v>4201</v>
      </c>
      <c r="U5871" t="s">
        <v>2309</v>
      </c>
    </row>
    <row r="5872" spans="1:21" ht="15" customHeight="1" x14ac:dyDescent="0.3">
      <c r="A5872" t="s">
        <v>179</v>
      </c>
      <c r="B5872" t="str">
        <f>"00068249"</f>
        <v>00068249</v>
      </c>
      <c r="C5872" t="s">
        <v>4520</v>
      </c>
      <c r="H5872" t="s">
        <v>170</v>
      </c>
      <c r="I5872">
        <v>4</v>
      </c>
      <c r="J5872">
        <v>1</v>
      </c>
      <c r="K5872">
        <v>1</v>
      </c>
      <c r="L5872">
        <v>25662</v>
      </c>
      <c r="M5872" t="str">
        <f t="shared" si="923"/>
        <v>13</v>
      </c>
      <c r="N5872" t="s">
        <v>3323</v>
      </c>
      <c r="O5872" t="str">
        <f t="shared" si="919"/>
        <v>73711</v>
      </c>
      <c r="P5872" t="str">
        <f t="shared" si="922"/>
        <v>2100L</v>
      </c>
      <c r="Q5872" t="str">
        <f t="shared" si="918"/>
        <v>0101</v>
      </c>
      <c r="R5872">
        <v>2100</v>
      </c>
      <c r="S5872" t="str">
        <f t="shared" si="920"/>
        <v>7370</v>
      </c>
      <c r="T5872" t="s">
        <v>4201</v>
      </c>
      <c r="U5872" t="s">
        <v>2309</v>
      </c>
    </row>
    <row r="5873" spans="1:21" ht="15" customHeight="1" x14ac:dyDescent="0.3">
      <c r="A5873" t="s">
        <v>179</v>
      </c>
      <c r="B5873" t="str">
        <f>"00072417"</f>
        <v>00072417</v>
      </c>
      <c r="C5873" t="s">
        <v>4520</v>
      </c>
      <c r="D5873" t="s">
        <v>5981</v>
      </c>
      <c r="E5873" t="str">
        <f>"00051207"</f>
        <v>00051207</v>
      </c>
      <c r="F5873">
        <v>0</v>
      </c>
      <c r="G5873" s="243">
        <v>34700</v>
      </c>
      <c r="H5873" t="s">
        <v>182</v>
      </c>
      <c r="I5873">
        <v>4</v>
      </c>
      <c r="J5873">
        <v>9</v>
      </c>
      <c r="K5873">
        <v>1</v>
      </c>
      <c r="L5873">
        <v>32029</v>
      </c>
      <c r="M5873" t="str">
        <f t="shared" si="923"/>
        <v>13</v>
      </c>
      <c r="N5873" t="s">
        <v>3323</v>
      </c>
      <c r="O5873" t="str">
        <f t="shared" si="919"/>
        <v>73711</v>
      </c>
      <c r="P5873" t="str">
        <f t="shared" si="922"/>
        <v>2100L</v>
      </c>
      <c r="Q5873" t="str">
        <f t="shared" si="918"/>
        <v>0101</v>
      </c>
      <c r="R5873">
        <v>2100</v>
      </c>
      <c r="S5873" t="str">
        <f t="shared" si="920"/>
        <v>7370</v>
      </c>
      <c r="T5873" t="s">
        <v>4201</v>
      </c>
      <c r="U5873" t="s">
        <v>2309</v>
      </c>
    </row>
    <row r="5874" spans="1:21" ht="15" customHeight="1" x14ac:dyDescent="0.3">
      <c r="A5874" t="s">
        <v>179</v>
      </c>
      <c r="B5874" t="str">
        <f>"00072501"</f>
        <v>00072501</v>
      </c>
      <c r="C5874" t="s">
        <v>4290</v>
      </c>
      <c r="D5874" t="s">
        <v>5982</v>
      </c>
      <c r="E5874" t="str">
        <f>"00069984"</f>
        <v>00069984</v>
      </c>
      <c r="F5874">
        <v>0</v>
      </c>
      <c r="G5874" s="243">
        <v>41133</v>
      </c>
      <c r="H5874" t="s">
        <v>182</v>
      </c>
      <c r="I5874">
        <v>4</v>
      </c>
      <c r="J5874">
        <v>4</v>
      </c>
      <c r="K5874">
        <v>0.71</v>
      </c>
      <c r="L5874">
        <v>24543.75</v>
      </c>
      <c r="M5874" t="str">
        <f t="shared" si="923"/>
        <v>13</v>
      </c>
      <c r="N5874" t="s">
        <v>3370</v>
      </c>
      <c r="O5874" t="str">
        <f t="shared" si="919"/>
        <v>73711</v>
      </c>
      <c r="P5874" t="str">
        <f t="shared" si="922"/>
        <v>2100L</v>
      </c>
      <c r="Q5874" t="str">
        <f t="shared" si="918"/>
        <v>0101</v>
      </c>
      <c r="R5874">
        <v>2100</v>
      </c>
      <c r="S5874" t="str">
        <f t="shared" si="920"/>
        <v>7370</v>
      </c>
      <c r="T5874" t="s">
        <v>4201</v>
      </c>
      <c r="U5874" t="s">
        <v>2309</v>
      </c>
    </row>
    <row r="5875" spans="1:21" ht="15" customHeight="1" x14ac:dyDescent="0.3">
      <c r="A5875" t="s">
        <v>179</v>
      </c>
      <c r="B5875" t="str">
        <f>"00072621"</f>
        <v>00072621</v>
      </c>
      <c r="C5875" t="s">
        <v>4290</v>
      </c>
      <c r="D5875" t="s">
        <v>5983</v>
      </c>
      <c r="E5875" t="str">
        <f>"00050924"</f>
        <v>00050924</v>
      </c>
      <c r="F5875">
        <v>0</v>
      </c>
      <c r="G5875" s="243">
        <v>36768</v>
      </c>
      <c r="H5875" t="s">
        <v>182</v>
      </c>
      <c r="I5875">
        <v>4</v>
      </c>
      <c r="J5875">
        <v>10</v>
      </c>
      <c r="K5875">
        <v>0.71</v>
      </c>
      <c r="L5875">
        <v>28721</v>
      </c>
      <c r="M5875" t="str">
        <f t="shared" si="923"/>
        <v>13</v>
      </c>
      <c r="N5875" t="s">
        <v>3323</v>
      </c>
      <c r="O5875" t="str">
        <f t="shared" si="919"/>
        <v>73711</v>
      </c>
      <c r="P5875" t="str">
        <f t="shared" si="922"/>
        <v>2100L</v>
      </c>
      <c r="Q5875" t="str">
        <f t="shared" si="918"/>
        <v>0101</v>
      </c>
      <c r="R5875">
        <v>2100</v>
      </c>
      <c r="S5875" t="str">
        <f t="shared" si="920"/>
        <v>7370</v>
      </c>
      <c r="T5875" t="s">
        <v>4201</v>
      </c>
      <c r="U5875" t="s">
        <v>2309</v>
      </c>
    </row>
    <row r="5876" spans="1:21" ht="15" customHeight="1" x14ac:dyDescent="0.3">
      <c r="A5876" t="s">
        <v>179</v>
      </c>
      <c r="B5876" t="str">
        <f>"00074069"</f>
        <v>00074069</v>
      </c>
      <c r="C5876" t="s">
        <v>4291</v>
      </c>
      <c r="D5876" t="s">
        <v>5984</v>
      </c>
      <c r="E5876" t="str">
        <f>"00003532"</f>
        <v>00003532</v>
      </c>
      <c r="F5876">
        <v>0</v>
      </c>
      <c r="G5876" s="243">
        <v>40833</v>
      </c>
      <c r="H5876" t="s">
        <v>182</v>
      </c>
      <c r="I5876">
        <v>15</v>
      </c>
      <c r="J5876">
        <v>10</v>
      </c>
      <c r="K5876">
        <v>0.5</v>
      </c>
      <c r="L5876">
        <v>80729</v>
      </c>
      <c r="M5876" t="str">
        <f t="shared" si="923"/>
        <v>13</v>
      </c>
      <c r="N5876" t="s">
        <v>3323</v>
      </c>
      <c r="O5876" t="str">
        <f t="shared" si="919"/>
        <v>73711</v>
      </c>
      <c r="P5876" t="str">
        <f t="shared" si="922"/>
        <v>2100L</v>
      </c>
      <c r="Q5876" t="str">
        <f t="shared" si="918"/>
        <v>0101</v>
      </c>
      <c r="R5876">
        <v>2100</v>
      </c>
      <c r="S5876" t="str">
        <f t="shared" si="920"/>
        <v>7370</v>
      </c>
      <c r="T5876" t="s">
        <v>4201</v>
      </c>
      <c r="U5876" t="s">
        <v>2309</v>
      </c>
    </row>
    <row r="5877" spans="1:21" ht="15" customHeight="1" x14ac:dyDescent="0.3">
      <c r="A5877" t="s">
        <v>179</v>
      </c>
      <c r="B5877" t="str">
        <f>"00074073"</f>
        <v>00074073</v>
      </c>
      <c r="C5877" t="s">
        <v>4260</v>
      </c>
      <c r="D5877" t="s">
        <v>4203</v>
      </c>
      <c r="E5877" t="str">
        <f>"00053516"</f>
        <v>00053516</v>
      </c>
      <c r="F5877">
        <v>0</v>
      </c>
      <c r="G5877" s="243">
        <v>40120</v>
      </c>
      <c r="H5877" t="s">
        <v>182</v>
      </c>
      <c r="I5877">
        <v>15</v>
      </c>
      <c r="J5877">
        <v>16</v>
      </c>
      <c r="K5877">
        <v>1</v>
      </c>
      <c r="L5877">
        <v>106540</v>
      </c>
      <c r="M5877" t="str">
        <f t="shared" si="923"/>
        <v>13</v>
      </c>
      <c r="N5877" t="s">
        <v>3323</v>
      </c>
      <c r="O5877" t="str">
        <f t="shared" si="919"/>
        <v>73711</v>
      </c>
      <c r="P5877" t="str">
        <f t="shared" ref="P5877:P5884" si="924">"2100L"</f>
        <v>2100L</v>
      </c>
      <c r="Q5877" t="str">
        <f t="shared" si="918"/>
        <v>0101</v>
      </c>
      <c r="R5877">
        <v>2100</v>
      </c>
      <c r="S5877" t="str">
        <f t="shared" si="920"/>
        <v>7370</v>
      </c>
      <c r="T5877" t="s">
        <v>4201</v>
      </c>
      <c r="U5877" t="s">
        <v>2309</v>
      </c>
    </row>
    <row r="5878" spans="1:21" ht="15" customHeight="1" x14ac:dyDescent="0.3">
      <c r="A5878" t="s">
        <v>179</v>
      </c>
      <c r="B5878" t="str">
        <f>"00074449"</f>
        <v>00074449</v>
      </c>
      <c r="C5878" t="s">
        <v>4258</v>
      </c>
      <c r="H5878" t="s">
        <v>170</v>
      </c>
      <c r="I5878">
        <v>15</v>
      </c>
      <c r="J5878">
        <v>1</v>
      </c>
      <c r="K5878">
        <v>0.25</v>
      </c>
      <c r="L5878">
        <v>51539</v>
      </c>
      <c r="M5878" t="str">
        <f t="shared" si="923"/>
        <v>13</v>
      </c>
      <c r="N5878" t="s">
        <v>3323</v>
      </c>
      <c r="O5878" t="str">
        <f t="shared" si="919"/>
        <v>73711</v>
      </c>
      <c r="P5878" t="str">
        <f t="shared" si="924"/>
        <v>2100L</v>
      </c>
      <c r="Q5878" t="str">
        <f t="shared" si="918"/>
        <v>0101</v>
      </c>
      <c r="R5878">
        <v>2100</v>
      </c>
      <c r="S5878" t="str">
        <f t="shared" si="920"/>
        <v>7370</v>
      </c>
      <c r="T5878" t="s">
        <v>4201</v>
      </c>
      <c r="U5878" t="s">
        <v>2309</v>
      </c>
    </row>
    <row r="5879" spans="1:21" ht="15" customHeight="1" x14ac:dyDescent="0.3">
      <c r="A5879" t="s">
        <v>179</v>
      </c>
      <c r="B5879" t="str">
        <f>"00074513"</f>
        <v>00074513</v>
      </c>
      <c r="C5879" t="s">
        <v>4290</v>
      </c>
      <c r="D5879" t="s">
        <v>5985</v>
      </c>
      <c r="E5879" t="str">
        <f>"00051753"</f>
        <v>00051753</v>
      </c>
      <c r="F5879">
        <v>0</v>
      </c>
      <c r="G5879" s="243">
        <v>37197</v>
      </c>
      <c r="H5879" t="s">
        <v>182</v>
      </c>
      <c r="I5879">
        <v>4</v>
      </c>
      <c r="J5879">
        <v>7</v>
      </c>
      <c r="K5879">
        <v>0.71</v>
      </c>
      <c r="L5879">
        <v>26633.25</v>
      </c>
      <c r="M5879" t="str">
        <f t="shared" si="923"/>
        <v>13</v>
      </c>
      <c r="N5879" t="s">
        <v>3323</v>
      </c>
      <c r="O5879" t="str">
        <f t="shared" si="919"/>
        <v>73711</v>
      </c>
      <c r="P5879" t="str">
        <f t="shared" si="924"/>
        <v>2100L</v>
      </c>
      <c r="Q5879" t="str">
        <f t="shared" si="918"/>
        <v>0101</v>
      </c>
      <c r="R5879">
        <v>2100</v>
      </c>
      <c r="S5879" t="str">
        <f t="shared" si="920"/>
        <v>7370</v>
      </c>
      <c r="T5879" t="s">
        <v>4201</v>
      </c>
      <c r="U5879" t="s">
        <v>2309</v>
      </c>
    </row>
    <row r="5880" spans="1:21" ht="15" customHeight="1" x14ac:dyDescent="0.3">
      <c r="A5880" t="s">
        <v>179</v>
      </c>
      <c r="B5880" t="str">
        <f>"00074517"</f>
        <v>00074517</v>
      </c>
      <c r="C5880" t="s">
        <v>4290</v>
      </c>
      <c r="D5880" t="s">
        <v>5986</v>
      </c>
      <c r="E5880" t="str">
        <f>"00057757"</f>
        <v>00057757</v>
      </c>
      <c r="F5880">
        <v>0</v>
      </c>
      <c r="G5880" s="243">
        <v>40042</v>
      </c>
      <c r="H5880" t="s">
        <v>182</v>
      </c>
      <c r="I5880">
        <v>4</v>
      </c>
      <c r="J5880">
        <v>6</v>
      </c>
      <c r="K5880">
        <v>0.71</v>
      </c>
      <c r="L5880">
        <v>25935.88</v>
      </c>
      <c r="M5880" t="str">
        <f t="shared" si="923"/>
        <v>13</v>
      </c>
      <c r="N5880" t="s">
        <v>3323</v>
      </c>
      <c r="O5880" t="str">
        <f t="shared" si="919"/>
        <v>73711</v>
      </c>
      <c r="P5880" t="str">
        <f t="shared" si="924"/>
        <v>2100L</v>
      </c>
      <c r="Q5880" t="str">
        <f t="shared" si="918"/>
        <v>0101</v>
      </c>
      <c r="R5880">
        <v>2100</v>
      </c>
      <c r="S5880" t="str">
        <f t="shared" si="920"/>
        <v>7370</v>
      </c>
      <c r="T5880" t="s">
        <v>4201</v>
      </c>
      <c r="U5880" t="s">
        <v>2309</v>
      </c>
    </row>
    <row r="5881" spans="1:21" ht="15" customHeight="1" x14ac:dyDescent="0.3">
      <c r="A5881" t="s">
        <v>179</v>
      </c>
      <c r="B5881" t="str">
        <f>"00074518"</f>
        <v>00074518</v>
      </c>
      <c r="C5881" t="s">
        <v>4265</v>
      </c>
      <c r="D5881" t="s">
        <v>584</v>
      </c>
      <c r="E5881" t="str">
        <f>"00044484"</f>
        <v>00044484</v>
      </c>
      <c r="F5881">
        <v>0</v>
      </c>
      <c r="G5881" s="243">
        <v>36390</v>
      </c>
      <c r="H5881" t="s">
        <v>182</v>
      </c>
      <c r="I5881">
        <v>15</v>
      </c>
      <c r="J5881">
        <v>14</v>
      </c>
      <c r="K5881">
        <v>0.5</v>
      </c>
      <c r="L5881">
        <v>48230</v>
      </c>
      <c r="M5881" t="str">
        <f t="shared" si="923"/>
        <v>13</v>
      </c>
      <c r="N5881" t="s">
        <v>3323</v>
      </c>
      <c r="O5881" t="str">
        <f t="shared" si="919"/>
        <v>73711</v>
      </c>
      <c r="P5881" t="str">
        <f t="shared" si="924"/>
        <v>2100L</v>
      </c>
      <c r="Q5881" t="str">
        <f t="shared" si="918"/>
        <v>0101</v>
      </c>
      <c r="R5881">
        <v>2100</v>
      </c>
      <c r="S5881" t="str">
        <f t="shared" si="920"/>
        <v>7370</v>
      </c>
      <c r="T5881" t="s">
        <v>4201</v>
      </c>
      <c r="U5881" t="s">
        <v>2309</v>
      </c>
    </row>
    <row r="5882" spans="1:21" ht="15" customHeight="1" x14ac:dyDescent="0.3">
      <c r="A5882" t="s">
        <v>179</v>
      </c>
      <c r="B5882" t="str">
        <f>"00074628"</f>
        <v>00074628</v>
      </c>
      <c r="C5882" t="s">
        <v>4290</v>
      </c>
      <c r="D5882" t="s">
        <v>5987</v>
      </c>
      <c r="E5882" t="str">
        <f>"00057581"</f>
        <v>00057581</v>
      </c>
      <c r="F5882">
        <v>0</v>
      </c>
      <c r="G5882" s="243">
        <v>40042</v>
      </c>
      <c r="H5882" t="s">
        <v>182</v>
      </c>
      <c r="I5882">
        <v>4</v>
      </c>
      <c r="J5882">
        <v>7</v>
      </c>
      <c r="K5882">
        <v>0.71</v>
      </c>
      <c r="L5882">
        <v>26633.25</v>
      </c>
      <c r="M5882" t="str">
        <f t="shared" si="923"/>
        <v>13</v>
      </c>
      <c r="N5882" t="s">
        <v>3323</v>
      </c>
      <c r="O5882" t="str">
        <f t="shared" si="919"/>
        <v>73711</v>
      </c>
      <c r="P5882" t="str">
        <f t="shared" si="924"/>
        <v>2100L</v>
      </c>
      <c r="Q5882" t="str">
        <f t="shared" si="918"/>
        <v>0101</v>
      </c>
      <c r="R5882">
        <v>2100</v>
      </c>
      <c r="S5882" t="str">
        <f t="shared" si="920"/>
        <v>7370</v>
      </c>
      <c r="T5882" t="s">
        <v>4201</v>
      </c>
      <c r="U5882" t="s">
        <v>2309</v>
      </c>
    </row>
    <row r="5883" spans="1:21" ht="15" customHeight="1" x14ac:dyDescent="0.3">
      <c r="A5883" t="s">
        <v>179</v>
      </c>
      <c r="B5883" t="str">
        <f>"00076318"</f>
        <v>00076318</v>
      </c>
      <c r="C5883" t="s">
        <v>4438</v>
      </c>
      <c r="H5883" t="s">
        <v>170</v>
      </c>
      <c r="I5883">
        <v>11</v>
      </c>
      <c r="J5883">
        <v>0</v>
      </c>
      <c r="K5883">
        <v>0.5</v>
      </c>
      <c r="L5883">
        <v>60779</v>
      </c>
      <c r="M5883" t="str">
        <f t="shared" si="923"/>
        <v>13</v>
      </c>
      <c r="N5883" t="s">
        <v>3370</v>
      </c>
      <c r="O5883" t="str">
        <f t="shared" si="919"/>
        <v>73711</v>
      </c>
      <c r="P5883" t="str">
        <f t="shared" si="924"/>
        <v>2100L</v>
      </c>
      <c r="Q5883" t="str">
        <f t="shared" si="918"/>
        <v>0101</v>
      </c>
      <c r="R5883">
        <v>2100</v>
      </c>
      <c r="S5883" t="str">
        <f t="shared" si="920"/>
        <v>7370</v>
      </c>
      <c r="T5883" t="s">
        <v>4201</v>
      </c>
      <c r="U5883" t="s">
        <v>2309</v>
      </c>
    </row>
    <row r="5884" spans="1:21" ht="15" customHeight="1" x14ac:dyDescent="0.3">
      <c r="A5884" t="s">
        <v>179</v>
      </c>
      <c r="B5884" t="str">
        <f>"00076558"</f>
        <v>00076558</v>
      </c>
      <c r="C5884" t="s">
        <v>4290</v>
      </c>
      <c r="H5884" t="s">
        <v>170</v>
      </c>
      <c r="I5884">
        <v>4</v>
      </c>
      <c r="J5884">
        <v>0</v>
      </c>
      <c r="K5884">
        <v>0.71</v>
      </c>
      <c r="L5884">
        <v>25662</v>
      </c>
      <c r="M5884" t="str">
        <f t="shared" si="923"/>
        <v>13</v>
      </c>
      <c r="N5884" t="s">
        <v>3370</v>
      </c>
      <c r="O5884" t="str">
        <f t="shared" si="919"/>
        <v>73711</v>
      </c>
      <c r="P5884" t="str">
        <f t="shared" si="924"/>
        <v>2100L</v>
      </c>
      <c r="Q5884" t="str">
        <f t="shared" si="918"/>
        <v>0101</v>
      </c>
      <c r="R5884">
        <v>2100</v>
      </c>
      <c r="S5884" t="str">
        <f t="shared" si="920"/>
        <v>7370</v>
      </c>
      <c r="T5884" t="s">
        <v>4201</v>
      </c>
      <c r="U5884" t="s">
        <v>2309</v>
      </c>
    </row>
    <row r="5885" spans="1:21" ht="15" customHeight="1" x14ac:dyDescent="0.3">
      <c r="A5885" t="s">
        <v>179</v>
      </c>
      <c r="B5885" t="str">
        <f>"00051642"</f>
        <v>00051642</v>
      </c>
      <c r="C5885" t="s">
        <v>4290</v>
      </c>
      <c r="D5885" t="s">
        <v>5988</v>
      </c>
      <c r="E5885" t="str">
        <f>"00045271"</f>
        <v>00045271</v>
      </c>
      <c r="F5885">
        <v>0</v>
      </c>
      <c r="G5885" s="243">
        <v>31145</v>
      </c>
      <c r="H5885" t="s">
        <v>182</v>
      </c>
      <c r="I5885">
        <v>4</v>
      </c>
      <c r="J5885">
        <v>10</v>
      </c>
      <c r="K5885">
        <v>1</v>
      </c>
      <c r="L5885">
        <v>28721</v>
      </c>
      <c r="M5885" t="str">
        <f t="shared" si="923"/>
        <v>13</v>
      </c>
      <c r="N5885" t="s">
        <v>3323</v>
      </c>
      <c r="O5885" t="str">
        <f t="shared" ref="O5885:O5923" si="925">"73811"</f>
        <v>73811</v>
      </c>
      <c r="P5885" t="str">
        <f>"2100L"</f>
        <v>2100L</v>
      </c>
      <c r="Q5885" t="str">
        <f t="shared" si="918"/>
        <v>0101</v>
      </c>
      <c r="R5885">
        <v>2100</v>
      </c>
      <c r="S5885" t="str">
        <f t="shared" ref="S5885:S5923" si="926">"7380"</f>
        <v>7380</v>
      </c>
      <c r="T5885" t="s">
        <v>3860</v>
      </c>
      <c r="U5885" t="s">
        <v>2024</v>
      </c>
    </row>
    <row r="5886" spans="1:21" ht="15" customHeight="1" x14ac:dyDescent="0.3">
      <c r="A5886" t="s">
        <v>179</v>
      </c>
      <c r="B5886" t="str">
        <f>"00051715"</f>
        <v>00051715</v>
      </c>
      <c r="C5886" t="s">
        <v>3798</v>
      </c>
      <c r="D5886" t="s">
        <v>5989</v>
      </c>
      <c r="E5886" t="str">
        <f>"00069260"</f>
        <v>00069260</v>
      </c>
      <c r="F5886">
        <v>0</v>
      </c>
      <c r="G5886" s="243">
        <v>41092</v>
      </c>
      <c r="H5886" t="s">
        <v>182</v>
      </c>
      <c r="I5886">
        <v>62</v>
      </c>
      <c r="J5886">
        <v>3</v>
      </c>
      <c r="K5886">
        <v>1</v>
      </c>
      <c r="L5886">
        <v>113000</v>
      </c>
      <c r="M5886" t="str">
        <f t="shared" si="923"/>
        <v>13</v>
      </c>
      <c r="N5886" t="s">
        <v>3323</v>
      </c>
      <c r="O5886" t="str">
        <f t="shared" si="925"/>
        <v>73811</v>
      </c>
      <c r="P5886" t="str">
        <f>"1501L"</f>
        <v>1501L</v>
      </c>
      <c r="Q5886" t="str">
        <f t="shared" si="918"/>
        <v>0101</v>
      </c>
      <c r="R5886">
        <v>1501</v>
      </c>
      <c r="S5886" t="str">
        <f t="shared" si="926"/>
        <v>7380</v>
      </c>
      <c r="T5886" t="s">
        <v>3860</v>
      </c>
      <c r="U5886" t="s">
        <v>2024</v>
      </c>
    </row>
    <row r="5887" spans="1:21" ht="15" customHeight="1" x14ac:dyDescent="0.3">
      <c r="A5887" t="s">
        <v>179</v>
      </c>
      <c r="B5887" t="str">
        <f>"00051807"</f>
        <v>00051807</v>
      </c>
      <c r="C5887" t="s">
        <v>4260</v>
      </c>
      <c r="D5887" t="s">
        <v>2025</v>
      </c>
      <c r="E5887" t="str">
        <f>"00046011"</f>
        <v>00046011</v>
      </c>
      <c r="F5887">
        <v>0</v>
      </c>
      <c r="G5887" s="243">
        <v>35339</v>
      </c>
      <c r="H5887" t="s">
        <v>182</v>
      </c>
      <c r="I5887">
        <v>15</v>
      </c>
      <c r="J5887">
        <v>14</v>
      </c>
      <c r="K5887">
        <v>1</v>
      </c>
      <c r="L5887">
        <v>96460</v>
      </c>
      <c r="M5887" t="str">
        <f t="shared" si="923"/>
        <v>13</v>
      </c>
      <c r="N5887" t="s">
        <v>3323</v>
      </c>
      <c r="O5887" t="str">
        <f t="shared" si="925"/>
        <v>73811</v>
      </c>
      <c r="P5887" t="str">
        <f>"2100L"</f>
        <v>2100L</v>
      </c>
      <c r="Q5887" t="str">
        <f t="shared" si="918"/>
        <v>0101</v>
      </c>
      <c r="R5887">
        <v>2100</v>
      </c>
      <c r="S5887" t="str">
        <f t="shared" si="926"/>
        <v>7380</v>
      </c>
      <c r="T5887" t="s">
        <v>3860</v>
      </c>
      <c r="U5887" t="s">
        <v>2024</v>
      </c>
    </row>
    <row r="5888" spans="1:21" ht="15" customHeight="1" x14ac:dyDescent="0.3">
      <c r="A5888" t="s">
        <v>179</v>
      </c>
      <c r="B5888" t="str">
        <f>"00052649"</f>
        <v>00052649</v>
      </c>
      <c r="C5888" t="s">
        <v>4290</v>
      </c>
      <c r="D5888" t="s">
        <v>5990</v>
      </c>
      <c r="E5888" t="str">
        <f>"00067154"</f>
        <v>00067154</v>
      </c>
      <c r="F5888">
        <v>0</v>
      </c>
      <c r="G5888" s="243">
        <v>40854</v>
      </c>
      <c r="H5888" t="s">
        <v>182</v>
      </c>
      <c r="I5888">
        <v>4</v>
      </c>
      <c r="J5888">
        <v>6</v>
      </c>
      <c r="K5888">
        <v>1</v>
      </c>
      <c r="L5888">
        <v>25935.88</v>
      </c>
      <c r="M5888" t="str">
        <f t="shared" si="923"/>
        <v>13</v>
      </c>
      <c r="N5888" t="s">
        <v>3370</v>
      </c>
      <c r="O5888" t="str">
        <f t="shared" si="925"/>
        <v>73811</v>
      </c>
      <c r="P5888" t="str">
        <f>"2100L"</f>
        <v>2100L</v>
      </c>
      <c r="Q5888" t="str">
        <f t="shared" si="918"/>
        <v>0101</v>
      </c>
      <c r="R5888">
        <v>2100</v>
      </c>
      <c r="S5888" t="str">
        <f t="shared" si="926"/>
        <v>7380</v>
      </c>
      <c r="T5888" t="s">
        <v>3860</v>
      </c>
      <c r="U5888" t="s">
        <v>2024</v>
      </c>
    </row>
    <row r="5889" spans="1:21" ht="15" customHeight="1" x14ac:dyDescent="0.3">
      <c r="A5889" t="s">
        <v>179</v>
      </c>
      <c r="B5889" t="str">
        <f>"00053098"</f>
        <v>00053098</v>
      </c>
      <c r="C5889" t="s">
        <v>4260</v>
      </c>
      <c r="D5889" t="s">
        <v>2027</v>
      </c>
      <c r="E5889" t="str">
        <f>"00045986"</f>
        <v>00045986</v>
      </c>
      <c r="F5889">
        <v>0</v>
      </c>
      <c r="G5889" s="243">
        <v>37861</v>
      </c>
      <c r="H5889" t="s">
        <v>182</v>
      </c>
      <c r="I5889">
        <v>15</v>
      </c>
      <c r="J5889">
        <v>15</v>
      </c>
      <c r="K5889">
        <v>1</v>
      </c>
      <c r="L5889">
        <v>98285</v>
      </c>
      <c r="M5889" t="str">
        <f t="shared" si="923"/>
        <v>13</v>
      </c>
      <c r="N5889" t="s">
        <v>3323</v>
      </c>
      <c r="O5889" t="str">
        <f t="shared" si="925"/>
        <v>73811</v>
      </c>
      <c r="P5889" t="str">
        <f>"2100L"</f>
        <v>2100L</v>
      </c>
      <c r="Q5889" t="str">
        <f t="shared" si="918"/>
        <v>0101</v>
      </c>
      <c r="R5889">
        <v>2100</v>
      </c>
      <c r="S5889" t="str">
        <f t="shared" si="926"/>
        <v>7380</v>
      </c>
      <c r="T5889" t="s">
        <v>3860</v>
      </c>
      <c r="U5889" t="s">
        <v>2024</v>
      </c>
    </row>
    <row r="5890" spans="1:21" ht="15" customHeight="1" x14ac:dyDescent="0.3">
      <c r="A5890" t="s">
        <v>179</v>
      </c>
      <c r="B5890" t="str">
        <f>"00053349"</f>
        <v>00053349</v>
      </c>
      <c r="C5890" t="s">
        <v>4260</v>
      </c>
      <c r="D5890" t="s">
        <v>2028</v>
      </c>
      <c r="E5890" t="str">
        <f>"00051346"</f>
        <v>00051346</v>
      </c>
      <c r="F5890">
        <v>0</v>
      </c>
      <c r="G5890" s="243">
        <v>33875</v>
      </c>
      <c r="H5890" t="s">
        <v>182</v>
      </c>
      <c r="I5890">
        <v>15</v>
      </c>
      <c r="J5890">
        <v>16</v>
      </c>
      <c r="K5890">
        <v>1</v>
      </c>
      <c r="L5890">
        <v>100839</v>
      </c>
      <c r="M5890" t="str">
        <f t="shared" si="923"/>
        <v>13</v>
      </c>
      <c r="N5890" t="s">
        <v>3323</v>
      </c>
      <c r="O5890" t="str">
        <f t="shared" si="925"/>
        <v>73811</v>
      </c>
      <c r="P5890" t="str">
        <f t="shared" ref="P5890:P5896" si="927">"2100L"</f>
        <v>2100L</v>
      </c>
      <c r="Q5890" t="str">
        <f t="shared" ref="Q5890:Q5923" si="928">"0101"</f>
        <v>0101</v>
      </c>
      <c r="R5890">
        <v>2100</v>
      </c>
      <c r="S5890" t="str">
        <f t="shared" si="926"/>
        <v>7380</v>
      </c>
      <c r="T5890" t="s">
        <v>3860</v>
      </c>
      <c r="U5890" t="s">
        <v>2024</v>
      </c>
    </row>
    <row r="5891" spans="1:21" ht="15" customHeight="1" x14ac:dyDescent="0.3">
      <c r="A5891" t="s">
        <v>179</v>
      </c>
      <c r="B5891" t="str">
        <f>"00053808"</f>
        <v>00053808</v>
      </c>
      <c r="C5891" t="s">
        <v>4290</v>
      </c>
      <c r="D5891" t="s">
        <v>5991</v>
      </c>
      <c r="E5891" t="str">
        <f>"00052565"</f>
        <v>00052565</v>
      </c>
      <c r="F5891">
        <v>0</v>
      </c>
      <c r="G5891" s="243">
        <v>27273</v>
      </c>
      <c r="H5891" t="s">
        <v>182</v>
      </c>
      <c r="I5891">
        <v>4</v>
      </c>
      <c r="J5891">
        <v>10</v>
      </c>
      <c r="K5891">
        <v>0.875</v>
      </c>
      <c r="L5891">
        <v>28721</v>
      </c>
      <c r="M5891" t="str">
        <f t="shared" si="923"/>
        <v>13</v>
      </c>
      <c r="N5891" t="s">
        <v>3323</v>
      </c>
      <c r="O5891" t="str">
        <f t="shared" si="925"/>
        <v>73811</v>
      </c>
      <c r="P5891" t="str">
        <f t="shared" si="927"/>
        <v>2100L</v>
      </c>
      <c r="Q5891" t="str">
        <f t="shared" si="928"/>
        <v>0101</v>
      </c>
      <c r="R5891">
        <v>2100</v>
      </c>
      <c r="S5891" t="str">
        <f t="shared" si="926"/>
        <v>7380</v>
      </c>
      <c r="T5891" t="s">
        <v>3860</v>
      </c>
      <c r="U5891" t="s">
        <v>2024</v>
      </c>
    </row>
    <row r="5892" spans="1:21" ht="15" customHeight="1" x14ac:dyDescent="0.3">
      <c r="A5892" t="s">
        <v>179</v>
      </c>
      <c r="B5892" t="str">
        <f>"00053864"</f>
        <v>00053864</v>
      </c>
      <c r="C5892" t="s">
        <v>4260</v>
      </c>
      <c r="D5892" t="s">
        <v>2029</v>
      </c>
      <c r="E5892" t="str">
        <f>"00052657"</f>
        <v>00052657</v>
      </c>
      <c r="F5892">
        <v>0</v>
      </c>
      <c r="G5892" s="243">
        <v>32738</v>
      </c>
      <c r="H5892" t="s">
        <v>182</v>
      </c>
      <c r="I5892">
        <v>15</v>
      </c>
      <c r="J5892">
        <v>16</v>
      </c>
      <c r="K5892">
        <v>1</v>
      </c>
      <c r="L5892">
        <v>100839</v>
      </c>
      <c r="M5892" t="str">
        <f t="shared" si="923"/>
        <v>13</v>
      </c>
      <c r="N5892" t="s">
        <v>3323</v>
      </c>
      <c r="O5892" t="str">
        <f t="shared" si="925"/>
        <v>73811</v>
      </c>
      <c r="P5892" t="str">
        <f t="shared" si="927"/>
        <v>2100L</v>
      </c>
      <c r="Q5892" t="str">
        <f t="shared" si="928"/>
        <v>0101</v>
      </c>
      <c r="R5892">
        <v>2100</v>
      </c>
      <c r="S5892" t="str">
        <f t="shared" si="926"/>
        <v>7380</v>
      </c>
      <c r="T5892" t="s">
        <v>3860</v>
      </c>
      <c r="U5892" t="s">
        <v>2024</v>
      </c>
    </row>
    <row r="5893" spans="1:21" ht="15" customHeight="1" x14ac:dyDescent="0.3">
      <c r="A5893" t="s">
        <v>179</v>
      </c>
      <c r="B5893" t="str">
        <f>"00053930"</f>
        <v>00053930</v>
      </c>
      <c r="C5893" t="s">
        <v>4260</v>
      </c>
      <c r="D5893" t="s">
        <v>2030</v>
      </c>
      <c r="E5893" t="str">
        <f>"00052759"</f>
        <v>00052759</v>
      </c>
      <c r="F5893">
        <v>0</v>
      </c>
      <c r="G5893" s="243">
        <v>32050</v>
      </c>
      <c r="H5893" t="s">
        <v>182</v>
      </c>
      <c r="I5893">
        <v>15</v>
      </c>
      <c r="J5893">
        <v>16</v>
      </c>
      <c r="K5893">
        <v>1</v>
      </c>
      <c r="L5893">
        <v>103347</v>
      </c>
      <c r="M5893" t="str">
        <f t="shared" si="923"/>
        <v>13</v>
      </c>
      <c r="N5893" t="s">
        <v>3323</v>
      </c>
      <c r="O5893" t="str">
        <f t="shared" si="925"/>
        <v>73811</v>
      </c>
      <c r="P5893" t="str">
        <f t="shared" si="927"/>
        <v>2100L</v>
      </c>
      <c r="Q5893" t="str">
        <f t="shared" si="928"/>
        <v>0101</v>
      </c>
      <c r="R5893">
        <v>2100</v>
      </c>
      <c r="S5893" t="str">
        <f t="shared" si="926"/>
        <v>7380</v>
      </c>
      <c r="T5893" t="s">
        <v>3860</v>
      </c>
      <c r="U5893" t="s">
        <v>2024</v>
      </c>
    </row>
    <row r="5894" spans="1:21" ht="15" customHeight="1" x14ac:dyDescent="0.3">
      <c r="A5894" t="s">
        <v>179</v>
      </c>
      <c r="B5894" t="str">
        <f>"00054078"</f>
        <v>00054078</v>
      </c>
      <c r="C5894" t="s">
        <v>4260</v>
      </c>
      <c r="D5894" t="s">
        <v>2031</v>
      </c>
      <c r="E5894" t="str">
        <f>"00061616"</f>
        <v>00061616</v>
      </c>
      <c r="F5894">
        <v>0</v>
      </c>
      <c r="G5894" s="243">
        <v>40406</v>
      </c>
      <c r="H5894" t="s">
        <v>182</v>
      </c>
      <c r="I5894">
        <v>15</v>
      </c>
      <c r="J5894">
        <v>9</v>
      </c>
      <c r="K5894">
        <v>1</v>
      </c>
      <c r="L5894">
        <v>75232</v>
      </c>
      <c r="M5894" t="str">
        <f t="shared" si="923"/>
        <v>13</v>
      </c>
      <c r="N5894" t="s">
        <v>3323</v>
      </c>
      <c r="O5894" t="str">
        <f t="shared" si="925"/>
        <v>73811</v>
      </c>
      <c r="P5894" t="str">
        <f t="shared" si="927"/>
        <v>2100L</v>
      </c>
      <c r="Q5894" t="str">
        <f t="shared" si="928"/>
        <v>0101</v>
      </c>
      <c r="R5894">
        <v>2100</v>
      </c>
      <c r="S5894" t="str">
        <f t="shared" si="926"/>
        <v>7380</v>
      </c>
      <c r="T5894" t="s">
        <v>3860</v>
      </c>
      <c r="U5894" t="s">
        <v>2024</v>
      </c>
    </row>
    <row r="5895" spans="1:21" ht="15" customHeight="1" x14ac:dyDescent="0.3">
      <c r="A5895" t="s">
        <v>179</v>
      </c>
      <c r="B5895" t="str">
        <f>"00054164"</f>
        <v>00054164</v>
      </c>
      <c r="C5895" t="s">
        <v>4290</v>
      </c>
      <c r="D5895" t="s">
        <v>5992</v>
      </c>
      <c r="E5895" t="str">
        <f>"00053148"</f>
        <v>00053148</v>
      </c>
      <c r="F5895">
        <v>0</v>
      </c>
      <c r="G5895" s="243">
        <v>30935</v>
      </c>
      <c r="H5895" t="s">
        <v>182</v>
      </c>
      <c r="I5895">
        <v>4</v>
      </c>
      <c r="J5895">
        <v>10</v>
      </c>
      <c r="K5895">
        <v>1</v>
      </c>
      <c r="L5895">
        <v>28721</v>
      </c>
      <c r="M5895" t="str">
        <f t="shared" si="923"/>
        <v>13</v>
      </c>
      <c r="N5895" t="s">
        <v>3323</v>
      </c>
      <c r="O5895" t="str">
        <f t="shared" si="925"/>
        <v>73811</v>
      </c>
      <c r="P5895" t="str">
        <f t="shared" si="927"/>
        <v>2100L</v>
      </c>
      <c r="Q5895" t="str">
        <f t="shared" si="928"/>
        <v>0101</v>
      </c>
      <c r="R5895">
        <v>2100</v>
      </c>
      <c r="S5895" t="str">
        <f t="shared" si="926"/>
        <v>7380</v>
      </c>
      <c r="T5895" t="s">
        <v>3860</v>
      </c>
      <c r="U5895" t="s">
        <v>2024</v>
      </c>
    </row>
    <row r="5896" spans="1:21" ht="15" customHeight="1" x14ac:dyDescent="0.3">
      <c r="A5896" t="s">
        <v>179</v>
      </c>
      <c r="B5896" t="str">
        <f>"00054753"</f>
        <v>00054753</v>
      </c>
      <c r="C5896" t="s">
        <v>4290</v>
      </c>
      <c r="D5896" t="s">
        <v>5993</v>
      </c>
      <c r="E5896" t="str">
        <f>"00070383"</f>
        <v>00070383</v>
      </c>
      <c r="F5896">
        <v>0</v>
      </c>
      <c r="G5896" s="243">
        <v>41168</v>
      </c>
      <c r="H5896" t="s">
        <v>182</v>
      </c>
      <c r="I5896">
        <v>4</v>
      </c>
      <c r="J5896">
        <v>2</v>
      </c>
      <c r="K5896">
        <v>1</v>
      </c>
      <c r="L5896">
        <v>23151.63</v>
      </c>
      <c r="M5896" t="str">
        <f t="shared" si="923"/>
        <v>13</v>
      </c>
      <c r="N5896" t="s">
        <v>3323</v>
      </c>
      <c r="O5896" t="str">
        <f t="shared" si="925"/>
        <v>73811</v>
      </c>
      <c r="P5896" t="str">
        <f t="shared" si="927"/>
        <v>2100L</v>
      </c>
      <c r="Q5896" t="str">
        <f t="shared" si="928"/>
        <v>0101</v>
      </c>
      <c r="R5896">
        <v>2100</v>
      </c>
      <c r="S5896" t="str">
        <f t="shared" si="926"/>
        <v>7380</v>
      </c>
      <c r="T5896" t="s">
        <v>3860</v>
      </c>
      <c r="U5896" t="s">
        <v>2024</v>
      </c>
    </row>
    <row r="5897" spans="1:21" ht="15" customHeight="1" x14ac:dyDescent="0.3">
      <c r="A5897" t="s">
        <v>179</v>
      </c>
      <c r="B5897" t="str">
        <f>"00055095"</f>
        <v>00055095</v>
      </c>
      <c r="C5897" t="s">
        <v>4341</v>
      </c>
      <c r="D5897" t="s">
        <v>2033</v>
      </c>
      <c r="E5897" t="str">
        <f>"00050926"</f>
        <v>00050926</v>
      </c>
      <c r="F5897">
        <v>0</v>
      </c>
      <c r="G5897" s="243">
        <v>26163</v>
      </c>
      <c r="H5897" t="s">
        <v>182</v>
      </c>
      <c r="I5897">
        <v>10</v>
      </c>
      <c r="J5897">
        <v>9</v>
      </c>
      <c r="K5897">
        <v>1</v>
      </c>
      <c r="L5897">
        <v>86183</v>
      </c>
      <c r="M5897" t="str">
        <f t="shared" si="923"/>
        <v>13</v>
      </c>
      <c r="N5897" t="s">
        <v>3323</v>
      </c>
      <c r="O5897" t="str">
        <f t="shared" si="925"/>
        <v>73811</v>
      </c>
      <c r="P5897" t="str">
        <f t="shared" ref="P5897:P5914" si="929">"2100L"</f>
        <v>2100L</v>
      </c>
      <c r="Q5897" t="str">
        <f t="shared" si="928"/>
        <v>0101</v>
      </c>
      <c r="R5897">
        <v>2100</v>
      </c>
      <c r="S5897" t="str">
        <f t="shared" si="926"/>
        <v>7380</v>
      </c>
      <c r="T5897" t="s">
        <v>3860</v>
      </c>
      <c r="U5897" t="s">
        <v>2024</v>
      </c>
    </row>
    <row r="5898" spans="1:21" ht="15" customHeight="1" x14ac:dyDescent="0.3">
      <c r="A5898" t="s">
        <v>179</v>
      </c>
      <c r="B5898" t="str">
        <f>"00055264"</f>
        <v>00055264</v>
      </c>
      <c r="C5898" t="s">
        <v>4290</v>
      </c>
      <c r="D5898" t="s">
        <v>5994</v>
      </c>
      <c r="E5898" t="str">
        <f>"00070492"</f>
        <v>00070492</v>
      </c>
      <c r="F5898">
        <v>0</v>
      </c>
      <c r="G5898" s="243">
        <v>41175</v>
      </c>
      <c r="H5898" t="s">
        <v>182</v>
      </c>
      <c r="I5898">
        <v>4</v>
      </c>
      <c r="J5898">
        <v>3</v>
      </c>
      <c r="K5898">
        <v>0.875</v>
      </c>
      <c r="L5898">
        <v>23848.12</v>
      </c>
      <c r="M5898" t="str">
        <f t="shared" si="923"/>
        <v>13</v>
      </c>
      <c r="N5898" t="s">
        <v>3323</v>
      </c>
      <c r="O5898" t="str">
        <f t="shared" si="925"/>
        <v>73811</v>
      </c>
      <c r="P5898" t="str">
        <f t="shared" si="929"/>
        <v>2100L</v>
      </c>
      <c r="Q5898" t="str">
        <f t="shared" si="928"/>
        <v>0101</v>
      </c>
      <c r="R5898">
        <v>2100</v>
      </c>
      <c r="S5898" t="str">
        <f t="shared" si="926"/>
        <v>7380</v>
      </c>
      <c r="T5898" t="s">
        <v>3860</v>
      </c>
      <c r="U5898" t="s">
        <v>2024</v>
      </c>
    </row>
    <row r="5899" spans="1:21" ht="15" customHeight="1" x14ac:dyDescent="0.3">
      <c r="A5899" t="s">
        <v>179</v>
      </c>
      <c r="B5899" t="str">
        <f>"00056526"</f>
        <v>00056526</v>
      </c>
      <c r="C5899" t="s">
        <v>4290</v>
      </c>
      <c r="D5899" t="s">
        <v>5995</v>
      </c>
      <c r="E5899" t="str">
        <f>"00050942"</f>
        <v>00050942</v>
      </c>
      <c r="F5899">
        <v>0</v>
      </c>
      <c r="G5899" s="243">
        <v>30658</v>
      </c>
      <c r="H5899" t="s">
        <v>182</v>
      </c>
      <c r="I5899">
        <v>4</v>
      </c>
      <c r="J5899">
        <v>10</v>
      </c>
      <c r="K5899">
        <v>0.875</v>
      </c>
      <c r="L5899">
        <v>28721</v>
      </c>
      <c r="M5899" t="str">
        <f t="shared" si="923"/>
        <v>13</v>
      </c>
      <c r="N5899" t="s">
        <v>3323</v>
      </c>
      <c r="O5899" t="str">
        <f t="shared" si="925"/>
        <v>73811</v>
      </c>
      <c r="P5899" t="str">
        <f t="shared" si="929"/>
        <v>2100L</v>
      </c>
      <c r="Q5899" t="str">
        <f t="shared" si="928"/>
        <v>0101</v>
      </c>
      <c r="R5899">
        <v>2100</v>
      </c>
      <c r="S5899" t="str">
        <f t="shared" si="926"/>
        <v>7380</v>
      </c>
      <c r="T5899" t="s">
        <v>3860</v>
      </c>
      <c r="U5899" t="s">
        <v>2024</v>
      </c>
    </row>
    <row r="5900" spans="1:21" ht="15" customHeight="1" x14ac:dyDescent="0.3">
      <c r="A5900" t="s">
        <v>179</v>
      </c>
      <c r="B5900" t="str">
        <f>"00057126"</f>
        <v>00057126</v>
      </c>
      <c r="C5900" t="s">
        <v>4260</v>
      </c>
      <c r="D5900" t="s">
        <v>2034</v>
      </c>
      <c r="E5900" t="str">
        <f>"00045781"</f>
        <v>00045781</v>
      </c>
      <c r="F5900">
        <v>0</v>
      </c>
      <c r="G5900" s="243">
        <v>36559</v>
      </c>
      <c r="H5900" t="s">
        <v>182</v>
      </c>
      <c r="I5900">
        <v>15</v>
      </c>
      <c r="J5900">
        <v>16</v>
      </c>
      <c r="K5900">
        <v>1</v>
      </c>
      <c r="L5900">
        <v>103347</v>
      </c>
      <c r="M5900" t="str">
        <f t="shared" si="923"/>
        <v>13</v>
      </c>
      <c r="N5900" t="s">
        <v>3323</v>
      </c>
      <c r="O5900" t="str">
        <f t="shared" si="925"/>
        <v>73811</v>
      </c>
      <c r="P5900" t="str">
        <f t="shared" si="929"/>
        <v>2100L</v>
      </c>
      <c r="Q5900" t="str">
        <f t="shared" si="928"/>
        <v>0101</v>
      </c>
      <c r="R5900">
        <v>2100</v>
      </c>
      <c r="S5900" t="str">
        <f t="shared" si="926"/>
        <v>7380</v>
      </c>
      <c r="T5900" t="s">
        <v>3860</v>
      </c>
      <c r="U5900" t="s">
        <v>2024</v>
      </c>
    </row>
    <row r="5901" spans="1:21" ht="15" customHeight="1" x14ac:dyDescent="0.3">
      <c r="A5901" t="s">
        <v>179</v>
      </c>
      <c r="B5901" t="str">
        <f>"00057325"</f>
        <v>00057325</v>
      </c>
      <c r="C5901" t="s">
        <v>4260</v>
      </c>
      <c r="D5901" t="s">
        <v>2035</v>
      </c>
      <c r="E5901" t="str">
        <f>"00052822"</f>
        <v>00052822</v>
      </c>
      <c r="F5901">
        <v>0</v>
      </c>
      <c r="G5901" s="243">
        <v>36761</v>
      </c>
      <c r="H5901" t="s">
        <v>182</v>
      </c>
      <c r="I5901">
        <v>15</v>
      </c>
      <c r="J5901">
        <v>16</v>
      </c>
      <c r="K5901">
        <v>1</v>
      </c>
      <c r="L5901">
        <v>100839</v>
      </c>
      <c r="M5901" t="str">
        <f t="shared" si="923"/>
        <v>13</v>
      </c>
      <c r="N5901" t="s">
        <v>3323</v>
      </c>
      <c r="O5901" t="str">
        <f t="shared" si="925"/>
        <v>73811</v>
      </c>
      <c r="P5901" t="str">
        <f t="shared" si="929"/>
        <v>2100L</v>
      </c>
      <c r="Q5901" t="str">
        <f t="shared" si="928"/>
        <v>0101</v>
      </c>
      <c r="R5901">
        <v>2100</v>
      </c>
      <c r="S5901" t="str">
        <f t="shared" si="926"/>
        <v>7380</v>
      </c>
      <c r="T5901" t="s">
        <v>3860</v>
      </c>
      <c r="U5901" t="s">
        <v>2024</v>
      </c>
    </row>
    <row r="5902" spans="1:21" ht="15" customHeight="1" x14ac:dyDescent="0.3">
      <c r="A5902" t="s">
        <v>179</v>
      </c>
      <c r="B5902" t="str">
        <f>"00059361"</f>
        <v>00059361</v>
      </c>
      <c r="C5902" t="s">
        <v>4253</v>
      </c>
      <c r="D5902" t="s">
        <v>1820</v>
      </c>
      <c r="E5902" t="str">
        <f>"00046142"</f>
        <v>00046142</v>
      </c>
      <c r="F5902">
        <v>0</v>
      </c>
      <c r="G5902" s="243">
        <v>40406</v>
      </c>
      <c r="H5902" t="s">
        <v>182</v>
      </c>
      <c r="I5902">
        <v>15</v>
      </c>
      <c r="J5902">
        <v>14</v>
      </c>
      <c r="K5902">
        <v>1</v>
      </c>
      <c r="L5902">
        <v>96460</v>
      </c>
      <c r="M5902" t="str">
        <f t="shared" si="923"/>
        <v>13</v>
      </c>
      <c r="N5902" t="s">
        <v>3323</v>
      </c>
      <c r="O5902" t="str">
        <f t="shared" si="925"/>
        <v>73811</v>
      </c>
      <c r="P5902" t="str">
        <f t="shared" si="929"/>
        <v>2100L</v>
      </c>
      <c r="Q5902" t="str">
        <f t="shared" si="928"/>
        <v>0101</v>
      </c>
      <c r="R5902">
        <v>2100</v>
      </c>
      <c r="S5902" t="str">
        <f t="shared" si="926"/>
        <v>7380</v>
      </c>
      <c r="T5902" t="s">
        <v>3860</v>
      </c>
      <c r="U5902" t="s">
        <v>2024</v>
      </c>
    </row>
    <row r="5903" spans="1:21" ht="15" customHeight="1" x14ac:dyDescent="0.3">
      <c r="A5903" t="s">
        <v>179</v>
      </c>
      <c r="B5903" t="str">
        <f>"00059540"</f>
        <v>00059540</v>
      </c>
      <c r="C5903" t="s">
        <v>4260</v>
      </c>
      <c r="H5903" t="s">
        <v>170</v>
      </c>
      <c r="I5903">
        <v>15</v>
      </c>
      <c r="J5903">
        <v>1</v>
      </c>
      <c r="K5903">
        <v>1</v>
      </c>
      <c r="L5903">
        <v>60128</v>
      </c>
      <c r="M5903" t="str">
        <f t="shared" si="923"/>
        <v>13</v>
      </c>
      <c r="N5903" t="s">
        <v>3323</v>
      </c>
      <c r="O5903" t="str">
        <f t="shared" si="925"/>
        <v>73811</v>
      </c>
      <c r="P5903" t="str">
        <f t="shared" si="929"/>
        <v>2100L</v>
      </c>
      <c r="Q5903" t="str">
        <f t="shared" si="928"/>
        <v>0101</v>
      </c>
      <c r="R5903">
        <v>2100</v>
      </c>
      <c r="S5903" t="str">
        <f t="shared" si="926"/>
        <v>7380</v>
      </c>
      <c r="T5903" t="s">
        <v>3860</v>
      </c>
      <c r="U5903" t="s">
        <v>2024</v>
      </c>
    </row>
    <row r="5904" spans="1:21" ht="15" customHeight="1" x14ac:dyDescent="0.3">
      <c r="A5904" t="s">
        <v>179</v>
      </c>
      <c r="B5904" t="str">
        <f>"00062361"</f>
        <v>00062361</v>
      </c>
      <c r="C5904" t="s">
        <v>4290</v>
      </c>
      <c r="D5904" t="s">
        <v>5996</v>
      </c>
      <c r="E5904" t="str">
        <f>"00052042"</f>
        <v>00052042</v>
      </c>
      <c r="F5904">
        <v>0</v>
      </c>
      <c r="G5904" s="243">
        <v>38944</v>
      </c>
      <c r="H5904" t="s">
        <v>182</v>
      </c>
      <c r="I5904">
        <v>4</v>
      </c>
      <c r="J5904">
        <v>10</v>
      </c>
      <c r="K5904">
        <v>1</v>
      </c>
      <c r="L5904">
        <v>32824</v>
      </c>
      <c r="M5904" t="str">
        <f t="shared" si="923"/>
        <v>13</v>
      </c>
      <c r="N5904" t="s">
        <v>3323</v>
      </c>
      <c r="O5904" t="str">
        <f t="shared" si="925"/>
        <v>73811</v>
      </c>
      <c r="P5904" t="str">
        <f t="shared" si="929"/>
        <v>2100L</v>
      </c>
      <c r="Q5904" t="str">
        <f t="shared" si="928"/>
        <v>0101</v>
      </c>
      <c r="R5904">
        <v>2100</v>
      </c>
      <c r="S5904" t="str">
        <f t="shared" si="926"/>
        <v>7380</v>
      </c>
      <c r="T5904" t="s">
        <v>3860</v>
      </c>
      <c r="U5904" t="s">
        <v>2024</v>
      </c>
    </row>
    <row r="5905" spans="1:21" ht="15" customHeight="1" x14ac:dyDescent="0.3">
      <c r="A5905" t="s">
        <v>179</v>
      </c>
      <c r="B5905" t="str">
        <f>"00067253"</f>
        <v>00067253</v>
      </c>
      <c r="C5905" t="s">
        <v>4290</v>
      </c>
      <c r="D5905" t="s">
        <v>5997</v>
      </c>
      <c r="E5905" t="str">
        <f>"00057570"</f>
        <v>00057570</v>
      </c>
      <c r="F5905">
        <v>0</v>
      </c>
      <c r="G5905" s="243">
        <v>40042</v>
      </c>
      <c r="H5905" t="s">
        <v>182</v>
      </c>
      <c r="I5905">
        <v>4</v>
      </c>
      <c r="J5905">
        <v>5</v>
      </c>
      <c r="K5905">
        <v>1</v>
      </c>
      <c r="L5905">
        <v>25239.37</v>
      </c>
      <c r="M5905" t="str">
        <f t="shared" si="923"/>
        <v>13</v>
      </c>
      <c r="N5905" t="s">
        <v>3323</v>
      </c>
      <c r="O5905" t="str">
        <f t="shared" si="925"/>
        <v>73811</v>
      </c>
      <c r="P5905" t="str">
        <f t="shared" si="929"/>
        <v>2100L</v>
      </c>
      <c r="Q5905" t="str">
        <f t="shared" si="928"/>
        <v>0101</v>
      </c>
      <c r="R5905">
        <v>2100</v>
      </c>
      <c r="S5905" t="str">
        <f t="shared" si="926"/>
        <v>7380</v>
      </c>
      <c r="T5905" t="s">
        <v>3860</v>
      </c>
      <c r="U5905" t="s">
        <v>2024</v>
      </c>
    </row>
    <row r="5906" spans="1:21" ht="15" customHeight="1" x14ac:dyDescent="0.3">
      <c r="A5906" t="s">
        <v>179</v>
      </c>
      <c r="B5906" t="str">
        <f>"00067961"</f>
        <v>00067961</v>
      </c>
      <c r="C5906" t="s">
        <v>4290</v>
      </c>
      <c r="D5906" t="s">
        <v>5998</v>
      </c>
      <c r="E5906" t="str">
        <f>"00057849"</f>
        <v>00057849</v>
      </c>
      <c r="F5906">
        <v>0</v>
      </c>
      <c r="G5906" s="243">
        <v>40049</v>
      </c>
      <c r="H5906" t="s">
        <v>182</v>
      </c>
      <c r="I5906">
        <v>4</v>
      </c>
      <c r="J5906">
        <v>7</v>
      </c>
      <c r="K5906">
        <v>0.71</v>
      </c>
      <c r="L5906">
        <v>26633.25</v>
      </c>
      <c r="M5906" t="str">
        <f t="shared" si="923"/>
        <v>13</v>
      </c>
      <c r="N5906" t="s">
        <v>3323</v>
      </c>
      <c r="O5906" t="str">
        <f t="shared" si="925"/>
        <v>73811</v>
      </c>
      <c r="P5906" t="str">
        <f t="shared" si="929"/>
        <v>2100L</v>
      </c>
      <c r="Q5906" t="str">
        <f t="shared" si="928"/>
        <v>0101</v>
      </c>
      <c r="R5906">
        <v>2100</v>
      </c>
      <c r="S5906" t="str">
        <f t="shared" si="926"/>
        <v>7380</v>
      </c>
      <c r="T5906" t="s">
        <v>3860</v>
      </c>
      <c r="U5906" t="s">
        <v>2024</v>
      </c>
    </row>
    <row r="5907" spans="1:21" ht="15" customHeight="1" x14ac:dyDescent="0.3">
      <c r="A5907" t="s">
        <v>179</v>
      </c>
      <c r="B5907" t="str">
        <f>"00067962"</f>
        <v>00067962</v>
      </c>
      <c r="C5907" t="s">
        <v>4290</v>
      </c>
      <c r="H5907" t="s">
        <v>170</v>
      </c>
      <c r="I5907">
        <v>4</v>
      </c>
      <c r="J5907">
        <v>1</v>
      </c>
      <c r="K5907">
        <v>0.71</v>
      </c>
      <c r="L5907">
        <v>25662</v>
      </c>
      <c r="M5907" t="str">
        <f t="shared" si="923"/>
        <v>13</v>
      </c>
      <c r="N5907" t="s">
        <v>3323</v>
      </c>
      <c r="O5907" t="str">
        <f t="shared" si="925"/>
        <v>73811</v>
      </c>
      <c r="P5907" t="str">
        <f t="shared" si="929"/>
        <v>2100L</v>
      </c>
      <c r="Q5907" t="str">
        <f t="shared" si="928"/>
        <v>0101</v>
      </c>
      <c r="R5907">
        <v>2100</v>
      </c>
      <c r="S5907" t="str">
        <f t="shared" si="926"/>
        <v>7380</v>
      </c>
      <c r="T5907" t="s">
        <v>3860</v>
      </c>
      <c r="U5907" t="s">
        <v>2024</v>
      </c>
    </row>
    <row r="5908" spans="1:21" ht="15" customHeight="1" x14ac:dyDescent="0.3">
      <c r="A5908" t="s">
        <v>179</v>
      </c>
      <c r="B5908" t="str">
        <f>"00069579"</f>
        <v>00069579</v>
      </c>
      <c r="C5908" t="s">
        <v>4260</v>
      </c>
      <c r="H5908" t="s">
        <v>170</v>
      </c>
      <c r="I5908">
        <v>15</v>
      </c>
      <c r="J5908">
        <v>1</v>
      </c>
      <c r="K5908">
        <v>1</v>
      </c>
      <c r="L5908">
        <v>54975</v>
      </c>
      <c r="M5908" t="str">
        <f t="shared" si="923"/>
        <v>13</v>
      </c>
      <c r="N5908" t="s">
        <v>3323</v>
      </c>
      <c r="O5908" t="str">
        <f t="shared" si="925"/>
        <v>73811</v>
      </c>
      <c r="P5908" t="str">
        <f t="shared" si="929"/>
        <v>2100L</v>
      </c>
      <c r="Q5908" t="str">
        <f t="shared" si="928"/>
        <v>0101</v>
      </c>
      <c r="R5908">
        <v>2100</v>
      </c>
      <c r="S5908" t="str">
        <f t="shared" si="926"/>
        <v>7380</v>
      </c>
      <c r="T5908" t="s">
        <v>3860</v>
      </c>
      <c r="U5908" t="s">
        <v>2024</v>
      </c>
    </row>
    <row r="5909" spans="1:21" ht="15" customHeight="1" x14ac:dyDescent="0.3">
      <c r="A5909" t="s">
        <v>179</v>
      </c>
      <c r="B5909" t="str">
        <f>"00073754"</f>
        <v>00073754</v>
      </c>
      <c r="C5909" t="s">
        <v>4260</v>
      </c>
      <c r="D5909" t="s">
        <v>5999</v>
      </c>
      <c r="E5909" t="str">
        <f>"00069893"</f>
        <v>00069893</v>
      </c>
      <c r="F5909">
        <v>0</v>
      </c>
      <c r="G5909" s="243">
        <v>41133</v>
      </c>
      <c r="H5909" t="s">
        <v>182</v>
      </c>
      <c r="I5909">
        <v>15</v>
      </c>
      <c r="J5909">
        <v>9</v>
      </c>
      <c r="K5909">
        <v>1</v>
      </c>
      <c r="L5909">
        <v>75232</v>
      </c>
      <c r="M5909" t="str">
        <f t="shared" si="923"/>
        <v>13</v>
      </c>
      <c r="N5909" t="s">
        <v>3370</v>
      </c>
      <c r="O5909" t="str">
        <f t="shared" si="925"/>
        <v>73811</v>
      </c>
      <c r="P5909" t="str">
        <f t="shared" si="929"/>
        <v>2100L</v>
      </c>
      <c r="Q5909" t="str">
        <f t="shared" si="928"/>
        <v>0101</v>
      </c>
      <c r="R5909">
        <v>2100</v>
      </c>
      <c r="S5909" t="str">
        <f t="shared" si="926"/>
        <v>7380</v>
      </c>
      <c r="T5909" t="s">
        <v>3860</v>
      </c>
      <c r="U5909" t="s">
        <v>2024</v>
      </c>
    </row>
    <row r="5910" spans="1:21" ht="15" customHeight="1" x14ac:dyDescent="0.3">
      <c r="A5910" t="s">
        <v>179</v>
      </c>
      <c r="B5910" t="str">
        <f>"00073755"</f>
        <v>00073755</v>
      </c>
      <c r="C5910" t="s">
        <v>4260</v>
      </c>
      <c r="D5910" t="s">
        <v>1113</v>
      </c>
      <c r="E5910" t="str">
        <f>"00062897"</f>
        <v>00062897</v>
      </c>
      <c r="F5910">
        <v>0</v>
      </c>
      <c r="G5910" s="243">
        <v>40406</v>
      </c>
      <c r="H5910" t="s">
        <v>182</v>
      </c>
      <c r="I5910">
        <v>15</v>
      </c>
      <c r="J5910">
        <v>12</v>
      </c>
      <c r="K5910">
        <v>1</v>
      </c>
      <c r="L5910">
        <v>87431</v>
      </c>
      <c r="M5910" t="str">
        <f t="shared" si="923"/>
        <v>13</v>
      </c>
      <c r="N5910" t="s">
        <v>3323</v>
      </c>
      <c r="O5910" t="str">
        <f t="shared" si="925"/>
        <v>73811</v>
      </c>
      <c r="P5910" t="str">
        <f t="shared" si="929"/>
        <v>2100L</v>
      </c>
      <c r="Q5910" t="str">
        <f t="shared" si="928"/>
        <v>0101</v>
      </c>
      <c r="R5910">
        <v>2100</v>
      </c>
      <c r="S5910" t="str">
        <f t="shared" si="926"/>
        <v>7380</v>
      </c>
      <c r="T5910" t="s">
        <v>3860</v>
      </c>
      <c r="U5910" t="s">
        <v>2024</v>
      </c>
    </row>
    <row r="5911" spans="1:21" ht="15" customHeight="1" x14ac:dyDescent="0.3">
      <c r="A5911" t="s">
        <v>179</v>
      </c>
      <c r="B5911" t="str">
        <f>"00073917"</f>
        <v>00073917</v>
      </c>
      <c r="C5911" t="s">
        <v>4254</v>
      </c>
      <c r="D5911" t="s">
        <v>1117</v>
      </c>
      <c r="E5911" t="str">
        <f>"00048535"</f>
        <v>00048535</v>
      </c>
      <c r="F5911">
        <v>0</v>
      </c>
      <c r="G5911" s="243">
        <v>32050</v>
      </c>
      <c r="H5911" t="s">
        <v>182</v>
      </c>
      <c r="I5911">
        <v>15</v>
      </c>
      <c r="J5911">
        <v>16</v>
      </c>
      <c r="K5911">
        <v>1</v>
      </c>
      <c r="L5911">
        <v>100839</v>
      </c>
      <c r="M5911" t="str">
        <f t="shared" si="923"/>
        <v>13</v>
      </c>
      <c r="N5911" t="s">
        <v>3323</v>
      </c>
      <c r="O5911" t="str">
        <f t="shared" si="925"/>
        <v>73811</v>
      </c>
      <c r="P5911" t="str">
        <f t="shared" si="929"/>
        <v>2100L</v>
      </c>
      <c r="Q5911" t="str">
        <f t="shared" si="928"/>
        <v>0101</v>
      </c>
      <c r="R5911">
        <v>2100</v>
      </c>
      <c r="S5911" t="str">
        <f t="shared" si="926"/>
        <v>7380</v>
      </c>
      <c r="T5911" t="s">
        <v>3860</v>
      </c>
      <c r="U5911" t="s">
        <v>2024</v>
      </c>
    </row>
    <row r="5912" spans="1:21" ht="15" customHeight="1" x14ac:dyDescent="0.3">
      <c r="A5912" t="s">
        <v>179</v>
      </c>
      <c r="B5912" t="str">
        <f>"00073928"</f>
        <v>00073928</v>
      </c>
      <c r="C5912" t="s">
        <v>200</v>
      </c>
      <c r="D5912" t="s">
        <v>4204</v>
      </c>
      <c r="E5912" t="str">
        <f>"00045610"</f>
        <v>00045610</v>
      </c>
      <c r="F5912">
        <v>0</v>
      </c>
      <c r="G5912" s="243">
        <v>37656</v>
      </c>
      <c r="H5912" t="s">
        <v>182</v>
      </c>
      <c r="I5912">
        <v>15</v>
      </c>
      <c r="J5912">
        <v>14</v>
      </c>
      <c r="K5912">
        <v>1</v>
      </c>
      <c r="L5912">
        <v>96460</v>
      </c>
      <c r="M5912" t="str">
        <f t="shared" si="923"/>
        <v>13</v>
      </c>
      <c r="N5912" t="s">
        <v>3323</v>
      </c>
      <c r="O5912" t="str">
        <f t="shared" si="925"/>
        <v>73811</v>
      </c>
      <c r="P5912" t="str">
        <f t="shared" si="929"/>
        <v>2100L</v>
      </c>
      <c r="Q5912" t="str">
        <f t="shared" si="928"/>
        <v>0101</v>
      </c>
      <c r="R5912">
        <v>2100</v>
      </c>
      <c r="S5912" t="str">
        <f t="shared" si="926"/>
        <v>7380</v>
      </c>
      <c r="T5912" t="s">
        <v>3860</v>
      </c>
      <c r="U5912" t="s">
        <v>2024</v>
      </c>
    </row>
    <row r="5913" spans="1:21" ht="15" customHeight="1" x14ac:dyDescent="0.3">
      <c r="A5913" t="s">
        <v>179</v>
      </c>
      <c r="B5913" t="str">
        <f>"00074069"</f>
        <v>00074069</v>
      </c>
      <c r="C5913" t="s">
        <v>4291</v>
      </c>
      <c r="D5913" t="s">
        <v>5984</v>
      </c>
      <c r="E5913" t="str">
        <f>"00003532"</f>
        <v>00003532</v>
      </c>
      <c r="F5913">
        <v>0</v>
      </c>
      <c r="G5913" s="243">
        <v>40833</v>
      </c>
      <c r="H5913" t="s">
        <v>182</v>
      </c>
      <c r="I5913">
        <v>15</v>
      </c>
      <c r="J5913">
        <v>10</v>
      </c>
      <c r="K5913">
        <v>0.5</v>
      </c>
      <c r="L5913">
        <v>80729</v>
      </c>
      <c r="M5913" t="str">
        <f t="shared" si="923"/>
        <v>13</v>
      </c>
      <c r="N5913" t="s">
        <v>3323</v>
      </c>
      <c r="O5913" t="str">
        <f t="shared" si="925"/>
        <v>73811</v>
      </c>
      <c r="P5913" t="str">
        <f t="shared" si="929"/>
        <v>2100L</v>
      </c>
      <c r="Q5913" t="str">
        <f t="shared" si="928"/>
        <v>0101</v>
      </c>
      <c r="R5913">
        <v>2100</v>
      </c>
      <c r="S5913" t="str">
        <f t="shared" si="926"/>
        <v>7380</v>
      </c>
      <c r="T5913" t="s">
        <v>4201</v>
      </c>
      <c r="U5913" t="s">
        <v>2309</v>
      </c>
    </row>
    <row r="5914" spans="1:21" ht="15" customHeight="1" x14ac:dyDescent="0.3">
      <c r="A5914" t="s">
        <v>179</v>
      </c>
      <c r="B5914" t="str">
        <f>"00074074"</f>
        <v>00074074</v>
      </c>
      <c r="C5914" t="s">
        <v>4360</v>
      </c>
      <c r="D5914" t="s">
        <v>6000</v>
      </c>
      <c r="E5914" t="str">
        <f>"00048458"</f>
        <v>00048458</v>
      </c>
      <c r="F5914">
        <v>0</v>
      </c>
      <c r="G5914" s="243">
        <v>36430</v>
      </c>
      <c r="H5914" t="s">
        <v>182</v>
      </c>
      <c r="I5914">
        <v>7</v>
      </c>
      <c r="J5914">
        <v>2</v>
      </c>
      <c r="K5914">
        <v>1</v>
      </c>
      <c r="L5914">
        <v>35977</v>
      </c>
      <c r="M5914" t="str">
        <f t="shared" si="923"/>
        <v>13</v>
      </c>
      <c r="N5914" t="s">
        <v>3323</v>
      </c>
      <c r="O5914" t="str">
        <f t="shared" si="925"/>
        <v>73811</v>
      </c>
      <c r="P5914" t="str">
        <f t="shared" si="929"/>
        <v>2100L</v>
      </c>
      <c r="Q5914" t="str">
        <f t="shared" si="928"/>
        <v>0101</v>
      </c>
      <c r="R5914">
        <v>2100</v>
      </c>
      <c r="S5914" t="str">
        <f t="shared" si="926"/>
        <v>7380</v>
      </c>
      <c r="T5914" t="s">
        <v>3860</v>
      </c>
      <c r="U5914" t="s">
        <v>2024</v>
      </c>
    </row>
    <row r="5915" spans="1:21" ht="15" customHeight="1" x14ac:dyDescent="0.3">
      <c r="A5915" t="s">
        <v>179</v>
      </c>
      <c r="B5915" t="str">
        <f>"00074075"</f>
        <v>00074075</v>
      </c>
      <c r="C5915" t="s">
        <v>4395</v>
      </c>
      <c r="D5915" t="s">
        <v>2039</v>
      </c>
      <c r="E5915" t="str">
        <f>"00045106"</f>
        <v>00045106</v>
      </c>
      <c r="F5915">
        <v>0</v>
      </c>
      <c r="G5915" s="243">
        <v>36171</v>
      </c>
      <c r="H5915" t="s">
        <v>182</v>
      </c>
      <c r="I5915">
        <v>10</v>
      </c>
      <c r="J5915">
        <v>9</v>
      </c>
      <c r="K5915">
        <v>1</v>
      </c>
      <c r="L5915">
        <v>84226</v>
      </c>
      <c r="M5915" t="str">
        <f t="shared" si="923"/>
        <v>13</v>
      </c>
      <c r="N5915" t="s">
        <v>3323</v>
      </c>
      <c r="O5915" t="str">
        <f t="shared" si="925"/>
        <v>73811</v>
      </c>
      <c r="P5915" t="str">
        <f>"1502L"</f>
        <v>1502L</v>
      </c>
      <c r="Q5915" t="str">
        <f t="shared" si="928"/>
        <v>0101</v>
      </c>
      <c r="R5915">
        <v>1502</v>
      </c>
      <c r="S5915" t="str">
        <f t="shared" si="926"/>
        <v>7380</v>
      </c>
      <c r="T5915" t="s">
        <v>3860</v>
      </c>
      <c r="U5915" t="s">
        <v>2024</v>
      </c>
    </row>
    <row r="5916" spans="1:21" ht="15" customHeight="1" x14ac:dyDescent="0.3">
      <c r="A5916" t="s">
        <v>179</v>
      </c>
      <c r="B5916" t="str">
        <f>"00074077"</f>
        <v>00074077</v>
      </c>
      <c r="C5916" t="s">
        <v>4256</v>
      </c>
      <c r="H5916" t="s">
        <v>170</v>
      </c>
      <c r="I5916">
        <v>15</v>
      </c>
      <c r="J5916">
        <v>1</v>
      </c>
      <c r="K5916">
        <v>0.5</v>
      </c>
      <c r="L5916">
        <v>56693</v>
      </c>
      <c r="M5916" t="str">
        <f t="shared" si="923"/>
        <v>13</v>
      </c>
      <c r="N5916" t="s">
        <v>3323</v>
      </c>
      <c r="O5916" t="str">
        <f t="shared" si="925"/>
        <v>73811</v>
      </c>
      <c r="P5916" t="str">
        <f t="shared" ref="P5916:P5923" si="930">"2100L"</f>
        <v>2100L</v>
      </c>
      <c r="Q5916" t="str">
        <f t="shared" si="928"/>
        <v>0101</v>
      </c>
      <c r="R5916">
        <v>2100</v>
      </c>
      <c r="S5916" t="str">
        <f t="shared" si="926"/>
        <v>7380</v>
      </c>
      <c r="T5916" t="s">
        <v>3860</v>
      </c>
      <c r="U5916" t="s">
        <v>2024</v>
      </c>
    </row>
    <row r="5917" spans="1:21" ht="15" customHeight="1" x14ac:dyDescent="0.3">
      <c r="A5917" t="s">
        <v>179</v>
      </c>
      <c r="B5917" t="str">
        <f>"00074449"</f>
        <v>00074449</v>
      </c>
      <c r="C5917" t="s">
        <v>4258</v>
      </c>
      <c r="H5917" t="s">
        <v>170</v>
      </c>
      <c r="I5917">
        <v>15</v>
      </c>
      <c r="J5917">
        <v>1</v>
      </c>
      <c r="K5917">
        <v>0.25</v>
      </c>
      <c r="L5917">
        <v>51539</v>
      </c>
      <c r="M5917" t="str">
        <f t="shared" si="923"/>
        <v>13</v>
      </c>
      <c r="N5917" t="s">
        <v>3323</v>
      </c>
      <c r="O5917" t="str">
        <f t="shared" si="925"/>
        <v>73811</v>
      </c>
      <c r="P5917" t="str">
        <f t="shared" si="930"/>
        <v>2100L</v>
      </c>
      <c r="Q5917" t="str">
        <f t="shared" si="928"/>
        <v>0101</v>
      </c>
      <c r="R5917">
        <v>2100</v>
      </c>
      <c r="S5917" t="str">
        <f t="shared" si="926"/>
        <v>7380</v>
      </c>
      <c r="T5917" t="s">
        <v>4201</v>
      </c>
      <c r="U5917" t="s">
        <v>2309</v>
      </c>
    </row>
    <row r="5918" spans="1:21" ht="15" customHeight="1" x14ac:dyDescent="0.3">
      <c r="A5918" t="s">
        <v>179</v>
      </c>
      <c r="B5918" t="str">
        <f>"00074519"</f>
        <v>00074519</v>
      </c>
      <c r="C5918" t="s">
        <v>4260</v>
      </c>
      <c r="D5918" t="s">
        <v>2306</v>
      </c>
      <c r="E5918" t="str">
        <f>"00055000"</f>
        <v>00055000</v>
      </c>
      <c r="F5918">
        <v>0</v>
      </c>
      <c r="G5918" s="243">
        <v>34305</v>
      </c>
      <c r="H5918" t="s">
        <v>182</v>
      </c>
      <c r="I5918">
        <v>15</v>
      </c>
      <c r="J5918">
        <v>15</v>
      </c>
      <c r="K5918">
        <v>1</v>
      </c>
      <c r="L5918">
        <v>98285</v>
      </c>
      <c r="M5918" t="str">
        <f t="shared" si="923"/>
        <v>13</v>
      </c>
      <c r="N5918" t="s">
        <v>3323</v>
      </c>
      <c r="O5918" t="str">
        <f t="shared" si="925"/>
        <v>73811</v>
      </c>
      <c r="P5918" t="str">
        <f t="shared" si="930"/>
        <v>2100L</v>
      </c>
      <c r="Q5918" t="str">
        <f t="shared" si="928"/>
        <v>0101</v>
      </c>
      <c r="R5918">
        <v>2100</v>
      </c>
      <c r="S5918" t="str">
        <f t="shared" si="926"/>
        <v>7380</v>
      </c>
      <c r="T5918" t="s">
        <v>3860</v>
      </c>
      <c r="U5918" t="s">
        <v>2024</v>
      </c>
    </row>
    <row r="5919" spans="1:21" ht="15" customHeight="1" x14ac:dyDescent="0.3">
      <c r="A5919" t="s">
        <v>179</v>
      </c>
      <c r="B5919" t="str">
        <f>"00074914"</f>
        <v>00074914</v>
      </c>
      <c r="C5919" t="s">
        <v>4410</v>
      </c>
      <c r="D5919" t="s">
        <v>1109</v>
      </c>
      <c r="E5919" t="str">
        <f>"00042102"</f>
        <v>00042102</v>
      </c>
      <c r="F5919">
        <v>0</v>
      </c>
      <c r="G5919" s="243">
        <v>38950</v>
      </c>
      <c r="H5919" t="s">
        <v>182</v>
      </c>
      <c r="I5919">
        <v>5</v>
      </c>
      <c r="J5919">
        <v>3</v>
      </c>
      <c r="K5919">
        <v>1</v>
      </c>
      <c r="L5919">
        <v>30277</v>
      </c>
      <c r="M5919" t="str">
        <f t="shared" si="923"/>
        <v>13</v>
      </c>
      <c r="N5919" t="s">
        <v>3323</v>
      </c>
      <c r="O5919" t="str">
        <f t="shared" si="925"/>
        <v>73811</v>
      </c>
      <c r="P5919" t="str">
        <f t="shared" si="930"/>
        <v>2100L</v>
      </c>
      <c r="Q5919" t="str">
        <f t="shared" si="928"/>
        <v>0101</v>
      </c>
      <c r="R5919">
        <v>2100</v>
      </c>
      <c r="S5919" t="str">
        <f t="shared" si="926"/>
        <v>7380</v>
      </c>
      <c r="T5919" t="s">
        <v>3860</v>
      </c>
      <c r="U5919" t="s">
        <v>2024</v>
      </c>
    </row>
    <row r="5920" spans="1:21" ht="15" customHeight="1" x14ac:dyDescent="0.3">
      <c r="A5920" t="s">
        <v>179</v>
      </c>
      <c r="B5920" t="str">
        <f>"00076278"</f>
        <v>00076278</v>
      </c>
      <c r="C5920" t="s">
        <v>4271</v>
      </c>
      <c r="D5920" t="s">
        <v>6001</v>
      </c>
      <c r="E5920" t="str">
        <f>"00060489"</f>
        <v>00060489</v>
      </c>
      <c r="F5920">
        <v>0</v>
      </c>
      <c r="G5920" s="243">
        <v>40225</v>
      </c>
      <c r="H5920" t="s">
        <v>182</v>
      </c>
      <c r="I5920">
        <v>15</v>
      </c>
      <c r="J5920">
        <v>5</v>
      </c>
      <c r="K5920">
        <v>0.5</v>
      </c>
      <c r="L5920">
        <v>63611</v>
      </c>
      <c r="M5920" t="str">
        <f t="shared" si="923"/>
        <v>13</v>
      </c>
      <c r="N5920" t="s">
        <v>3370</v>
      </c>
      <c r="O5920" t="str">
        <f t="shared" si="925"/>
        <v>73811</v>
      </c>
      <c r="P5920" t="str">
        <f t="shared" si="930"/>
        <v>2100L</v>
      </c>
      <c r="Q5920" t="str">
        <f t="shared" si="928"/>
        <v>0101</v>
      </c>
      <c r="R5920">
        <v>2100</v>
      </c>
      <c r="S5920" t="str">
        <f t="shared" si="926"/>
        <v>7380</v>
      </c>
      <c r="T5920" t="s">
        <v>3860</v>
      </c>
      <c r="U5920" t="s">
        <v>2024</v>
      </c>
    </row>
    <row r="5921" spans="1:21" ht="15" customHeight="1" x14ac:dyDescent="0.3">
      <c r="A5921" t="s">
        <v>179</v>
      </c>
      <c r="B5921" t="str">
        <f>"00076279"</f>
        <v>00076279</v>
      </c>
      <c r="C5921" t="s">
        <v>4265</v>
      </c>
      <c r="H5921" t="s">
        <v>170</v>
      </c>
      <c r="I5921">
        <v>15</v>
      </c>
      <c r="J5921">
        <v>0</v>
      </c>
      <c r="K5921">
        <v>0.5</v>
      </c>
      <c r="L5921">
        <v>51539</v>
      </c>
      <c r="M5921" t="str">
        <f t="shared" si="923"/>
        <v>13</v>
      </c>
      <c r="N5921" t="s">
        <v>3370</v>
      </c>
      <c r="O5921" t="str">
        <f t="shared" si="925"/>
        <v>73811</v>
      </c>
      <c r="P5921" t="str">
        <f t="shared" si="930"/>
        <v>2100L</v>
      </c>
      <c r="Q5921" t="str">
        <f t="shared" si="928"/>
        <v>0101</v>
      </c>
      <c r="R5921">
        <v>2100</v>
      </c>
      <c r="S5921" t="str">
        <f t="shared" si="926"/>
        <v>7380</v>
      </c>
      <c r="T5921" t="s">
        <v>3860</v>
      </c>
      <c r="U5921" t="s">
        <v>2024</v>
      </c>
    </row>
    <row r="5922" spans="1:21" ht="15" customHeight="1" x14ac:dyDescent="0.3">
      <c r="A5922" t="s">
        <v>179</v>
      </c>
      <c r="B5922" t="str">
        <f>"00076280"</f>
        <v>00076280</v>
      </c>
      <c r="C5922" t="s">
        <v>4262</v>
      </c>
      <c r="D5922" t="s">
        <v>1057</v>
      </c>
      <c r="E5922" t="str">
        <f>"00054676"</f>
        <v>00054676</v>
      </c>
      <c r="F5922">
        <v>0</v>
      </c>
      <c r="G5922" s="243">
        <v>40042</v>
      </c>
      <c r="H5922" t="s">
        <v>182</v>
      </c>
      <c r="I5922">
        <v>15</v>
      </c>
      <c r="J5922">
        <v>7</v>
      </c>
      <c r="K5922">
        <v>1</v>
      </c>
      <c r="L5922">
        <v>61068</v>
      </c>
      <c r="M5922" t="str">
        <f t="shared" si="923"/>
        <v>13</v>
      </c>
      <c r="N5922" t="s">
        <v>3323</v>
      </c>
      <c r="O5922" t="str">
        <f t="shared" si="925"/>
        <v>73811</v>
      </c>
      <c r="P5922" t="str">
        <f t="shared" si="930"/>
        <v>2100L</v>
      </c>
      <c r="Q5922" t="str">
        <f t="shared" si="928"/>
        <v>0101</v>
      </c>
      <c r="R5922">
        <v>2100</v>
      </c>
      <c r="S5922" t="str">
        <f t="shared" si="926"/>
        <v>7380</v>
      </c>
      <c r="T5922" t="s">
        <v>3860</v>
      </c>
      <c r="U5922" t="s">
        <v>2024</v>
      </c>
    </row>
    <row r="5923" spans="1:21" ht="15" customHeight="1" x14ac:dyDescent="0.3">
      <c r="A5923" t="s">
        <v>179</v>
      </c>
      <c r="B5923" t="str">
        <f>"00076817"</f>
        <v>00076817</v>
      </c>
      <c r="C5923" t="s">
        <v>4259</v>
      </c>
      <c r="D5923" t="s">
        <v>6002</v>
      </c>
      <c r="E5923" t="str">
        <f>"00070090"</f>
        <v>00070090</v>
      </c>
      <c r="F5923">
        <v>0</v>
      </c>
      <c r="G5923" s="243">
        <v>41133</v>
      </c>
      <c r="H5923" t="s">
        <v>182</v>
      </c>
      <c r="I5923">
        <v>15</v>
      </c>
      <c r="J5923">
        <v>10</v>
      </c>
      <c r="K5923">
        <v>1</v>
      </c>
      <c r="L5923">
        <v>78273</v>
      </c>
      <c r="M5923" t="str">
        <f t="shared" si="923"/>
        <v>13</v>
      </c>
      <c r="N5923" t="s">
        <v>3370</v>
      </c>
      <c r="O5923" t="str">
        <f t="shared" si="925"/>
        <v>73811</v>
      </c>
      <c r="P5923" t="str">
        <f t="shared" si="930"/>
        <v>2100L</v>
      </c>
      <c r="Q5923" t="str">
        <f t="shared" si="928"/>
        <v>0101</v>
      </c>
      <c r="R5923">
        <v>2100</v>
      </c>
      <c r="S5923" t="str">
        <f t="shared" si="926"/>
        <v>7380</v>
      </c>
      <c r="T5923" t="s">
        <v>3860</v>
      </c>
      <c r="U5923" t="s">
        <v>2024</v>
      </c>
    </row>
    <row r="5924" spans="1:21" ht="15" customHeight="1" x14ac:dyDescent="0.3">
      <c r="A5924" t="s">
        <v>179</v>
      </c>
      <c r="B5924" t="str">
        <f>"00058088"</f>
        <v>00058088</v>
      </c>
      <c r="C5924" t="s">
        <v>4260</v>
      </c>
      <c r="D5924" t="s">
        <v>4209</v>
      </c>
      <c r="E5924" t="str">
        <f>"00046254"</f>
        <v>00046254</v>
      </c>
      <c r="F5924">
        <v>0</v>
      </c>
      <c r="G5924" s="243">
        <v>37124</v>
      </c>
      <c r="H5924" t="s">
        <v>182</v>
      </c>
      <c r="I5924">
        <v>15</v>
      </c>
      <c r="J5924">
        <v>12</v>
      </c>
      <c r="K5924">
        <v>1</v>
      </c>
      <c r="L5924">
        <v>101918</v>
      </c>
      <c r="M5924" t="str">
        <f t="shared" ref="M5924:M5980" si="931">"13"</f>
        <v>13</v>
      </c>
      <c r="N5924" t="s">
        <v>3323</v>
      </c>
      <c r="O5924" t="str">
        <f t="shared" ref="O5924:O5931" si="932">"74054"</f>
        <v>74054</v>
      </c>
      <c r="P5924" t="str">
        <f>"2120I"</f>
        <v>2120I</v>
      </c>
      <c r="Q5924" t="str">
        <f t="shared" ref="Q5924:Q5931" si="933">"0754"</f>
        <v>0754</v>
      </c>
      <c r="R5924">
        <v>2120</v>
      </c>
      <c r="S5924" t="str">
        <f t="shared" ref="S5924:S5934" si="934">"7440"</f>
        <v>7440</v>
      </c>
      <c r="T5924" t="s">
        <v>4206</v>
      </c>
      <c r="U5924" t="s">
        <v>3139</v>
      </c>
    </row>
    <row r="5925" spans="1:21" ht="15" customHeight="1" x14ac:dyDescent="0.3">
      <c r="A5925" t="s">
        <v>179</v>
      </c>
      <c r="B5925" t="str">
        <f>"00058139"</f>
        <v>00058139</v>
      </c>
      <c r="C5925" t="s">
        <v>3798</v>
      </c>
      <c r="D5925" t="s">
        <v>4205</v>
      </c>
      <c r="E5925" t="str">
        <f>"00047153"</f>
        <v>00047153</v>
      </c>
      <c r="F5925">
        <v>0</v>
      </c>
      <c r="G5925" s="243">
        <v>36034</v>
      </c>
      <c r="H5925" t="s">
        <v>182</v>
      </c>
      <c r="I5925">
        <v>61</v>
      </c>
      <c r="J5925">
        <v>3</v>
      </c>
      <c r="K5925">
        <v>1</v>
      </c>
      <c r="L5925">
        <v>110000</v>
      </c>
      <c r="M5925" t="str">
        <f t="shared" si="931"/>
        <v>13</v>
      </c>
      <c r="N5925" t="s">
        <v>3323</v>
      </c>
      <c r="O5925" t="str">
        <f t="shared" si="932"/>
        <v>74054</v>
      </c>
      <c r="P5925" t="str">
        <f>"1501I"</f>
        <v>1501I</v>
      </c>
      <c r="Q5925" t="str">
        <f t="shared" si="933"/>
        <v>0754</v>
      </c>
      <c r="R5925">
        <v>1501</v>
      </c>
      <c r="S5925" t="str">
        <f t="shared" si="934"/>
        <v>7440</v>
      </c>
      <c r="T5925" t="s">
        <v>4206</v>
      </c>
      <c r="U5925" t="s">
        <v>3139</v>
      </c>
    </row>
    <row r="5926" spans="1:21" ht="15" customHeight="1" x14ac:dyDescent="0.3">
      <c r="A5926" t="s">
        <v>179</v>
      </c>
      <c r="B5926" t="str">
        <f>"00059197"</f>
        <v>00059197</v>
      </c>
      <c r="C5926" t="s">
        <v>4262</v>
      </c>
      <c r="D5926" t="s">
        <v>4208</v>
      </c>
      <c r="E5926" t="str">
        <f>"00046876"</f>
        <v>00046876</v>
      </c>
      <c r="F5926">
        <v>0</v>
      </c>
      <c r="G5926" s="243">
        <v>38859</v>
      </c>
      <c r="H5926" t="s">
        <v>182</v>
      </c>
      <c r="I5926">
        <v>15</v>
      </c>
      <c r="J5926">
        <v>16</v>
      </c>
      <c r="K5926">
        <v>1</v>
      </c>
      <c r="L5926">
        <v>113226</v>
      </c>
      <c r="M5926" t="str">
        <f t="shared" si="931"/>
        <v>13</v>
      </c>
      <c r="N5926" t="s">
        <v>3323</v>
      </c>
      <c r="O5926" t="str">
        <f t="shared" si="932"/>
        <v>74054</v>
      </c>
      <c r="P5926" t="str">
        <f>"2120I"</f>
        <v>2120I</v>
      </c>
      <c r="Q5926" t="str">
        <f t="shared" si="933"/>
        <v>0754</v>
      </c>
      <c r="R5926">
        <v>2120</v>
      </c>
      <c r="S5926" t="str">
        <f t="shared" si="934"/>
        <v>7440</v>
      </c>
      <c r="T5926" t="s">
        <v>4206</v>
      </c>
      <c r="U5926" t="s">
        <v>3139</v>
      </c>
    </row>
    <row r="5927" spans="1:21" ht="15" customHeight="1" x14ac:dyDescent="0.3">
      <c r="A5927" t="s">
        <v>179</v>
      </c>
      <c r="B5927" t="str">
        <f>"00059199"</f>
        <v>00059199</v>
      </c>
      <c r="C5927" t="s">
        <v>4260</v>
      </c>
      <c r="D5927" t="s">
        <v>6003</v>
      </c>
      <c r="E5927" t="str">
        <f>"00070136"</f>
        <v>00070136</v>
      </c>
      <c r="F5927">
        <v>0</v>
      </c>
      <c r="G5927" s="243">
        <v>41155</v>
      </c>
      <c r="H5927" t="s">
        <v>182</v>
      </c>
      <c r="I5927">
        <v>15</v>
      </c>
      <c r="J5927">
        <v>7</v>
      </c>
      <c r="K5927">
        <v>1</v>
      </c>
      <c r="L5927">
        <v>82422</v>
      </c>
      <c r="M5927" t="str">
        <f t="shared" si="931"/>
        <v>13</v>
      </c>
      <c r="N5927" t="s">
        <v>3323</v>
      </c>
      <c r="O5927" t="str">
        <f t="shared" si="932"/>
        <v>74054</v>
      </c>
      <c r="P5927" t="str">
        <f>"2120I"</f>
        <v>2120I</v>
      </c>
      <c r="Q5927" t="str">
        <f t="shared" si="933"/>
        <v>0754</v>
      </c>
      <c r="R5927">
        <v>2120</v>
      </c>
      <c r="S5927" t="str">
        <f t="shared" si="934"/>
        <v>7440</v>
      </c>
      <c r="T5927" t="s">
        <v>4206</v>
      </c>
      <c r="U5927" t="s">
        <v>3139</v>
      </c>
    </row>
    <row r="5928" spans="1:21" ht="15" customHeight="1" x14ac:dyDescent="0.3">
      <c r="A5928" t="s">
        <v>179</v>
      </c>
      <c r="B5928" t="str">
        <f>"00059311"</f>
        <v>00059311</v>
      </c>
      <c r="C5928" t="s">
        <v>4253</v>
      </c>
      <c r="D5928" t="s">
        <v>4207</v>
      </c>
      <c r="E5928" t="str">
        <f>"00063055"</f>
        <v>00063055</v>
      </c>
      <c r="F5928">
        <v>0</v>
      </c>
      <c r="G5928" s="243">
        <v>40406</v>
      </c>
      <c r="H5928" t="s">
        <v>182</v>
      </c>
      <c r="I5928">
        <v>15</v>
      </c>
      <c r="J5928">
        <v>2</v>
      </c>
      <c r="K5928">
        <v>1</v>
      </c>
      <c r="L5928">
        <v>66076</v>
      </c>
      <c r="M5928" t="str">
        <f t="shared" si="931"/>
        <v>13</v>
      </c>
      <c r="N5928" t="s">
        <v>3323</v>
      </c>
      <c r="O5928" t="str">
        <f t="shared" si="932"/>
        <v>74054</v>
      </c>
      <c r="P5928" t="str">
        <f>"2120I"</f>
        <v>2120I</v>
      </c>
      <c r="Q5928" t="str">
        <f t="shared" si="933"/>
        <v>0754</v>
      </c>
      <c r="R5928">
        <v>2120</v>
      </c>
      <c r="S5928" t="str">
        <f t="shared" si="934"/>
        <v>7440</v>
      </c>
      <c r="T5928" t="s">
        <v>4206</v>
      </c>
      <c r="U5928" t="s">
        <v>3139</v>
      </c>
    </row>
    <row r="5929" spans="1:21" ht="15" customHeight="1" x14ac:dyDescent="0.3">
      <c r="A5929" t="s">
        <v>179</v>
      </c>
      <c r="B5929" t="str">
        <f>"00068348"</f>
        <v>00068348</v>
      </c>
      <c r="C5929" t="s">
        <v>4258</v>
      </c>
      <c r="D5929" t="s">
        <v>4210</v>
      </c>
      <c r="E5929" t="str">
        <f>"00064845"</f>
        <v>00064845</v>
      </c>
      <c r="F5929">
        <v>0</v>
      </c>
      <c r="G5929" s="243">
        <v>40623</v>
      </c>
      <c r="H5929" t="s">
        <v>182</v>
      </c>
      <c r="I5929">
        <v>15</v>
      </c>
      <c r="J5929">
        <v>9</v>
      </c>
      <c r="K5929">
        <v>1</v>
      </c>
      <c r="L5929">
        <v>76461</v>
      </c>
      <c r="M5929" t="str">
        <f t="shared" si="931"/>
        <v>13</v>
      </c>
      <c r="N5929" t="s">
        <v>3370</v>
      </c>
      <c r="O5929" t="str">
        <f t="shared" si="932"/>
        <v>74054</v>
      </c>
      <c r="P5929" t="str">
        <f>"2120I"</f>
        <v>2120I</v>
      </c>
      <c r="Q5929" t="str">
        <f t="shared" si="933"/>
        <v>0754</v>
      </c>
      <c r="R5929">
        <v>2120</v>
      </c>
      <c r="S5929" t="str">
        <f t="shared" si="934"/>
        <v>7440</v>
      </c>
      <c r="T5929" t="s">
        <v>4206</v>
      </c>
      <c r="U5929" t="s">
        <v>3139</v>
      </c>
    </row>
    <row r="5930" spans="1:21" ht="15" customHeight="1" x14ac:dyDescent="0.3">
      <c r="A5930" t="s">
        <v>179</v>
      </c>
      <c r="B5930" t="str">
        <f>"00074081"</f>
        <v>00074081</v>
      </c>
      <c r="C5930" t="s">
        <v>4360</v>
      </c>
      <c r="D5930" t="s">
        <v>6004</v>
      </c>
      <c r="E5930" t="str">
        <f>"00054884"</f>
        <v>00054884</v>
      </c>
      <c r="F5930">
        <v>0</v>
      </c>
      <c r="G5930" s="243">
        <v>37551</v>
      </c>
      <c r="H5930" t="s">
        <v>182</v>
      </c>
      <c r="I5930">
        <v>7</v>
      </c>
      <c r="J5930">
        <v>3</v>
      </c>
      <c r="K5930">
        <v>1</v>
      </c>
      <c r="L5930">
        <v>37084</v>
      </c>
      <c r="M5930" t="str">
        <f t="shared" si="931"/>
        <v>13</v>
      </c>
      <c r="N5930" t="s">
        <v>3323</v>
      </c>
      <c r="O5930" t="str">
        <f t="shared" si="932"/>
        <v>74054</v>
      </c>
      <c r="P5930" t="str">
        <f>"1502I"</f>
        <v>1502I</v>
      </c>
      <c r="Q5930" t="str">
        <f t="shared" si="933"/>
        <v>0754</v>
      </c>
      <c r="R5930">
        <v>1502</v>
      </c>
      <c r="S5930" t="str">
        <f t="shared" si="934"/>
        <v>7440</v>
      </c>
      <c r="T5930" t="s">
        <v>4206</v>
      </c>
      <c r="U5930" t="s">
        <v>3139</v>
      </c>
    </row>
    <row r="5931" spans="1:21" ht="15" customHeight="1" x14ac:dyDescent="0.3">
      <c r="A5931" t="s">
        <v>179</v>
      </c>
      <c r="B5931" t="str">
        <f>"00074533"</f>
        <v>00074533</v>
      </c>
      <c r="C5931" t="s">
        <v>4290</v>
      </c>
      <c r="D5931" t="s">
        <v>6005</v>
      </c>
      <c r="E5931" t="str">
        <f>"00064639"</f>
        <v>00064639</v>
      </c>
      <c r="F5931">
        <v>0</v>
      </c>
      <c r="G5931" s="243">
        <v>40602</v>
      </c>
      <c r="H5931" t="s">
        <v>182</v>
      </c>
      <c r="I5931">
        <v>4</v>
      </c>
      <c r="J5931">
        <v>6</v>
      </c>
      <c r="K5931">
        <v>0.71</v>
      </c>
      <c r="L5931">
        <v>25935.88</v>
      </c>
      <c r="M5931" t="str">
        <f t="shared" si="931"/>
        <v>13</v>
      </c>
      <c r="N5931" t="s">
        <v>3323</v>
      </c>
      <c r="O5931" t="str">
        <f t="shared" si="932"/>
        <v>74054</v>
      </c>
      <c r="P5931" t="str">
        <f>"2120I"</f>
        <v>2120I</v>
      </c>
      <c r="Q5931" t="str">
        <f t="shared" si="933"/>
        <v>0754</v>
      </c>
      <c r="R5931">
        <v>2120</v>
      </c>
      <c r="S5931" t="str">
        <f t="shared" si="934"/>
        <v>7440</v>
      </c>
      <c r="T5931" t="s">
        <v>4206</v>
      </c>
      <c r="U5931" t="s">
        <v>3139</v>
      </c>
    </row>
    <row r="5932" spans="1:21" ht="15" customHeight="1" x14ac:dyDescent="0.3">
      <c r="A5932" t="s">
        <v>179</v>
      </c>
      <c r="B5932" t="str">
        <f>"00074681"</f>
        <v>00074681</v>
      </c>
      <c r="C5932" t="s">
        <v>4341</v>
      </c>
      <c r="D5932" t="s">
        <v>2369</v>
      </c>
      <c r="E5932" t="str">
        <f>"00045871"</f>
        <v>00045871</v>
      </c>
      <c r="F5932">
        <v>0</v>
      </c>
      <c r="G5932" s="243">
        <v>32511</v>
      </c>
      <c r="H5932" t="s">
        <v>182</v>
      </c>
      <c r="I5932">
        <v>10</v>
      </c>
      <c r="J5932">
        <v>9</v>
      </c>
      <c r="K5932">
        <v>0.25</v>
      </c>
      <c r="L5932">
        <v>86183</v>
      </c>
      <c r="M5932" t="str">
        <f t="shared" si="931"/>
        <v>13</v>
      </c>
      <c r="N5932" t="s">
        <v>3323</v>
      </c>
      <c r="O5932" t="str">
        <f>"74411"</f>
        <v>74411</v>
      </c>
      <c r="P5932" t="str">
        <f>"2100L"</f>
        <v>2100L</v>
      </c>
      <c r="Q5932" t="str">
        <f t="shared" ref="Q5932:Q5959" si="935">"0101"</f>
        <v>0101</v>
      </c>
      <c r="R5932">
        <v>2100</v>
      </c>
      <c r="S5932" t="str">
        <f t="shared" si="934"/>
        <v>7440</v>
      </c>
      <c r="T5932" t="s">
        <v>3711</v>
      </c>
      <c r="U5932" t="s">
        <v>65</v>
      </c>
    </row>
    <row r="5933" spans="1:21" ht="15" customHeight="1" x14ac:dyDescent="0.3">
      <c r="A5933" t="s">
        <v>179</v>
      </c>
      <c r="B5933" t="str">
        <f>"00076091"</f>
        <v>00076091</v>
      </c>
      <c r="C5933" t="s">
        <v>4438</v>
      </c>
      <c r="H5933" t="s">
        <v>170</v>
      </c>
      <c r="I5933">
        <v>11</v>
      </c>
      <c r="J5933">
        <v>0</v>
      </c>
      <c r="K5933">
        <v>0.5</v>
      </c>
      <c r="L5933">
        <v>60779</v>
      </c>
      <c r="M5933" t="str">
        <f t="shared" si="931"/>
        <v>13</v>
      </c>
      <c r="N5933" t="s">
        <v>3323</v>
      </c>
      <c r="O5933" t="str">
        <f>"74411"</f>
        <v>74411</v>
      </c>
      <c r="P5933" t="str">
        <f>"2100L"</f>
        <v>2100L</v>
      </c>
      <c r="Q5933" t="str">
        <f t="shared" si="935"/>
        <v>0101</v>
      </c>
      <c r="R5933">
        <v>2100</v>
      </c>
      <c r="S5933" t="str">
        <f t="shared" si="934"/>
        <v>7440</v>
      </c>
      <c r="T5933" t="s">
        <v>4206</v>
      </c>
      <c r="U5933" t="s">
        <v>3139</v>
      </c>
    </row>
    <row r="5934" spans="1:21" ht="15" customHeight="1" x14ac:dyDescent="0.3">
      <c r="A5934" t="s">
        <v>179</v>
      </c>
      <c r="B5934" t="str">
        <f>"00076517"</f>
        <v>00076517</v>
      </c>
      <c r="C5934" t="s">
        <v>4290</v>
      </c>
      <c r="D5934" t="s">
        <v>6006</v>
      </c>
      <c r="E5934" t="str">
        <f>"00051552"</f>
        <v>00051552</v>
      </c>
      <c r="F5934">
        <v>0</v>
      </c>
      <c r="G5934" s="243">
        <v>40718</v>
      </c>
      <c r="H5934" t="s">
        <v>182</v>
      </c>
      <c r="I5934">
        <v>4</v>
      </c>
      <c r="J5934">
        <v>10</v>
      </c>
      <c r="K5934">
        <v>0.71</v>
      </c>
      <c r="L5934">
        <v>28721</v>
      </c>
      <c r="M5934" t="str">
        <f t="shared" si="931"/>
        <v>13</v>
      </c>
      <c r="N5934" t="s">
        <v>3323</v>
      </c>
      <c r="O5934" t="str">
        <f>"74411"</f>
        <v>74411</v>
      </c>
      <c r="P5934" t="str">
        <f>"2100L"</f>
        <v>2100L</v>
      </c>
      <c r="Q5934" t="str">
        <f t="shared" si="935"/>
        <v>0101</v>
      </c>
      <c r="R5934">
        <v>2100</v>
      </c>
      <c r="S5934" t="str">
        <f t="shared" si="934"/>
        <v>7440</v>
      </c>
      <c r="T5934" t="s">
        <v>4206</v>
      </c>
      <c r="U5934" t="s">
        <v>3139</v>
      </c>
    </row>
    <row r="5935" spans="1:21" ht="15" customHeight="1" x14ac:dyDescent="0.3">
      <c r="A5935" t="s">
        <v>179</v>
      </c>
      <c r="B5935" t="str">
        <f>"00057235"</f>
        <v>00057235</v>
      </c>
      <c r="C5935" t="s">
        <v>3798</v>
      </c>
      <c r="D5935" t="s">
        <v>2187</v>
      </c>
      <c r="E5935" t="str">
        <f>"00048929"</f>
        <v>00048929</v>
      </c>
      <c r="F5935">
        <v>0</v>
      </c>
      <c r="G5935" s="243">
        <v>39664</v>
      </c>
      <c r="H5935" t="s">
        <v>182</v>
      </c>
      <c r="I5935">
        <v>65</v>
      </c>
      <c r="J5935">
        <v>4</v>
      </c>
      <c r="K5935">
        <v>1</v>
      </c>
      <c r="L5935">
        <v>127000</v>
      </c>
      <c r="M5935" t="str">
        <f t="shared" si="931"/>
        <v>13</v>
      </c>
      <c r="N5935" t="s">
        <v>3323</v>
      </c>
      <c r="O5935" t="str">
        <f t="shared" ref="O5935:O5963" si="936">"74511"</f>
        <v>74511</v>
      </c>
      <c r="P5935" t="str">
        <f>"1501L"</f>
        <v>1501L</v>
      </c>
      <c r="Q5935" t="str">
        <f t="shared" si="935"/>
        <v>0101</v>
      </c>
      <c r="R5935">
        <v>1501</v>
      </c>
      <c r="S5935" t="str">
        <f t="shared" ref="S5935:S5963" si="937">"7450"</f>
        <v>7450</v>
      </c>
      <c r="T5935" t="s">
        <v>3856</v>
      </c>
      <c r="U5935" t="s">
        <v>106</v>
      </c>
    </row>
    <row r="5936" spans="1:21" ht="15" customHeight="1" x14ac:dyDescent="0.3">
      <c r="A5936" t="s">
        <v>179</v>
      </c>
      <c r="B5936" t="str">
        <f>"00057343"</f>
        <v>00057343</v>
      </c>
      <c r="C5936" t="s">
        <v>4260</v>
      </c>
      <c r="D5936" t="s">
        <v>2188</v>
      </c>
      <c r="E5936" t="str">
        <f>"00055131"</f>
        <v>00055131</v>
      </c>
      <c r="F5936">
        <v>0</v>
      </c>
      <c r="G5936" s="243">
        <v>39127</v>
      </c>
      <c r="H5936" t="s">
        <v>182</v>
      </c>
      <c r="I5936">
        <v>15</v>
      </c>
      <c r="J5936">
        <v>12</v>
      </c>
      <c r="K5936">
        <v>1</v>
      </c>
      <c r="L5936">
        <v>87431</v>
      </c>
      <c r="M5936" t="str">
        <f t="shared" si="931"/>
        <v>13</v>
      </c>
      <c r="N5936" t="s">
        <v>3323</v>
      </c>
      <c r="O5936" t="str">
        <f t="shared" si="936"/>
        <v>74511</v>
      </c>
      <c r="P5936" t="str">
        <f>"3030L"</f>
        <v>3030L</v>
      </c>
      <c r="Q5936" t="str">
        <f t="shared" si="935"/>
        <v>0101</v>
      </c>
      <c r="R5936">
        <v>3030</v>
      </c>
      <c r="S5936" t="str">
        <f t="shared" si="937"/>
        <v>7450</v>
      </c>
      <c r="T5936" t="s">
        <v>3856</v>
      </c>
      <c r="U5936" t="s">
        <v>106</v>
      </c>
    </row>
    <row r="5937" spans="1:21" ht="15" customHeight="1" x14ac:dyDescent="0.3">
      <c r="A5937" t="s">
        <v>179</v>
      </c>
      <c r="B5937" t="str">
        <f>"00057404"</f>
        <v>00057404</v>
      </c>
      <c r="C5937" t="s">
        <v>4367</v>
      </c>
      <c r="H5937" t="s">
        <v>170</v>
      </c>
      <c r="I5937">
        <v>9</v>
      </c>
      <c r="J5937">
        <v>0</v>
      </c>
      <c r="K5937">
        <v>1</v>
      </c>
      <c r="L5937">
        <v>36775</v>
      </c>
      <c r="M5937" t="str">
        <f t="shared" si="931"/>
        <v>13</v>
      </c>
      <c r="N5937" t="s">
        <v>3323</v>
      </c>
      <c r="O5937" t="str">
        <f t="shared" si="936"/>
        <v>74511</v>
      </c>
      <c r="P5937" t="str">
        <f>"2120L"</f>
        <v>2120L</v>
      </c>
      <c r="Q5937" t="str">
        <f t="shared" si="935"/>
        <v>0101</v>
      </c>
      <c r="R5937">
        <v>2120</v>
      </c>
      <c r="S5937" t="str">
        <f t="shared" si="937"/>
        <v>7450</v>
      </c>
      <c r="T5937" t="s">
        <v>3856</v>
      </c>
      <c r="U5937" t="s">
        <v>106</v>
      </c>
    </row>
    <row r="5938" spans="1:21" ht="15" customHeight="1" x14ac:dyDescent="0.3">
      <c r="A5938" t="s">
        <v>179</v>
      </c>
      <c r="B5938" t="str">
        <f>"00057493"</f>
        <v>00057493</v>
      </c>
      <c r="C5938" t="s">
        <v>4253</v>
      </c>
      <c r="H5938" t="s">
        <v>170</v>
      </c>
      <c r="I5938">
        <v>15</v>
      </c>
      <c r="J5938">
        <v>1</v>
      </c>
      <c r="K5938">
        <v>1</v>
      </c>
      <c r="L5938">
        <v>54975</v>
      </c>
      <c r="M5938" t="str">
        <f t="shared" si="931"/>
        <v>13</v>
      </c>
      <c r="N5938" t="s">
        <v>3323</v>
      </c>
      <c r="O5938" t="str">
        <f t="shared" si="936"/>
        <v>74511</v>
      </c>
      <c r="P5938" t="str">
        <f>"2100L"</f>
        <v>2100L</v>
      </c>
      <c r="Q5938" t="str">
        <f t="shared" si="935"/>
        <v>0101</v>
      </c>
      <c r="R5938">
        <v>2100</v>
      </c>
      <c r="S5938" t="str">
        <f t="shared" si="937"/>
        <v>7450</v>
      </c>
      <c r="T5938" t="s">
        <v>3856</v>
      </c>
      <c r="U5938" t="s">
        <v>106</v>
      </c>
    </row>
    <row r="5939" spans="1:21" ht="15" customHeight="1" x14ac:dyDescent="0.3">
      <c r="A5939" t="s">
        <v>179</v>
      </c>
      <c r="B5939" t="str">
        <f>"00059376"</f>
        <v>00059376</v>
      </c>
      <c r="C5939" t="s">
        <v>4259</v>
      </c>
      <c r="D5939" t="s">
        <v>2189</v>
      </c>
      <c r="E5939" t="str">
        <f>"00046517"</f>
        <v>00046517</v>
      </c>
      <c r="F5939">
        <v>0</v>
      </c>
      <c r="G5939" s="243">
        <v>37861</v>
      </c>
      <c r="H5939" t="s">
        <v>182</v>
      </c>
      <c r="I5939">
        <v>15</v>
      </c>
      <c r="J5939">
        <v>12</v>
      </c>
      <c r="K5939">
        <v>1</v>
      </c>
      <c r="L5939">
        <v>87431</v>
      </c>
      <c r="M5939" t="str">
        <f t="shared" si="931"/>
        <v>13</v>
      </c>
      <c r="N5939" t="s">
        <v>3323</v>
      </c>
      <c r="O5939" t="str">
        <f t="shared" si="936"/>
        <v>74511</v>
      </c>
      <c r="P5939" t="str">
        <f t="shared" ref="P5939:P5963" si="938">"2120L"</f>
        <v>2120L</v>
      </c>
      <c r="Q5939" t="str">
        <f t="shared" si="935"/>
        <v>0101</v>
      </c>
      <c r="R5939">
        <v>2120</v>
      </c>
      <c r="S5939" t="str">
        <f t="shared" si="937"/>
        <v>7450</v>
      </c>
      <c r="T5939" t="s">
        <v>3856</v>
      </c>
      <c r="U5939" t="s">
        <v>106</v>
      </c>
    </row>
    <row r="5940" spans="1:21" ht="15" customHeight="1" x14ac:dyDescent="0.3">
      <c r="A5940" t="s">
        <v>179</v>
      </c>
      <c r="B5940" t="str">
        <f>"00059546"</f>
        <v>00059546</v>
      </c>
      <c r="C5940" t="s">
        <v>318</v>
      </c>
      <c r="D5940" t="s">
        <v>2703</v>
      </c>
      <c r="E5940" t="str">
        <f>"00063046"</f>
        <v>00063046</v>
      </c>
      <c r="F5940">
        <v>3</v>
      </c>
      <c r="H5940" t="s">
        <v>182</v>
      </c>
      <c r="I5940">
        <v>16</v>
      </c>
      <c r="J5940">
        <v>2</v>
      </c>
      <c r="K5940">
        <v>0.5</v>
      </c>
      <c r="L5940">
        <v>27674.400000000001</v>
      </c>
      <c r="M5940" t="str">
        <f t="shared" si="931"/>
        <v>13</v>
      </c>
      <c r="N5940" t="s">
        <v>3370</v>
      </c>
      <c r="O5940" t="str">
        <f t="shared" si="936"/>
        <v>74511</v>
      </c>
      <c r="P5940" t="str">
        <f t="shared" si="938"/>
        <v>2120L</v>
      </c>
      <c r="Q5940" t="str">
        <f t="shared" si="935"/>
        <v>0101</v>
      </c>
      <c r="R5940">
        <v>2120</v>
      </c>
      <c r="S5940" t="str">
        <f t="shared" si="937"/>
        <v>7450</v>
      </c>
      <c r="T5940" t="s">
        <v>3856</v>
      </c>
      <c r="U5940" t="s">
        <v>106</v>
      </c>
    </row>
    <row r="5941" spans="1:21" ht="15" customHeight="1" x14ac:dyDescent="0.3">
      <c r="A5941" t="s">
        <v>179</v>
      </c>
      <c r="B5941" t="str">
        <f>"00059692"</f>
        <v>00059692</v>
      </c>
      <c r="C5941" t="s">
        <v>314</v>
      </c>
      <c r="D5941" t="s">
        <v>2154</v>
      </c>
      <c r="E5941" t="str">
        <f>"00050923"</f>
        <v>00050923</v>
      </c>
      <c r="F5941">
        <v>1</v>
      </c>
      <c r="G5941" s="243">
        <v>41119</v>
      </c>
      <c r="H5941" t="s">
        <v>182</v>
      </c>
      <c r="I5941">
        <v>16</v>
      </c>
      <c r="J5941">
        <v>3</v>
      </c>
      <c r="K5941">
        <v>0.5</v>
      </c>
      <c r="L5941">
        <v>31293.599999999999</v>
      </c>
      <c r="M5941" t="str">
        <f t="shared" si="931"/>
        <v>13</v>
      </c>
      <c r="N5941" t="s">
        <v>3323</v>
      </c>
      <c r="O5941" t="str">
        <f t="shared" si="936"/>
        <v>74511</v>
      </c>
      <c r="P5941" t="str">
        <f t="shared" si="938"/>
        <v>2120L</v>
      </c>
      <c r="Q5941" t="str">
        <f t="shared" si="935"/>
        <v>0101</v>
      </c>
      <c r="R5941">
        <v>2120</v>
      </c>
      <c r="S5941" t="str">
        <f t="shared" si="937"/>
        <v>7450</v>
      </c>
      <c r="T5941" t="s">
        <v>3856</v>
      </c>
      <c r="U5941" t="s">
        <v>106</v>
      </c>
    </row>
    <row r="5942" spans="1:21" ht="15" customHeight="1" x14ac:dyDescent="0.3">
      <c r="A5942" t="s">
        <v>179</v>
      </c>
      <c r="B5942" t="str">
        <f>"00059994"</f>
        <v>00059994</v>
      </c>
      <c r="C5942" t="s">
        <v>318</v>
      </c>
      <c r="D5942" t="s">
        <v>5311</v>
      </c>
      <c r="E5942" t="str">
        <f>"00070161"</f>
        <v>00070161</v>
      </c>
      <c r="F5942">
        <v>0</v>
      </c>
      <c r="G5942" s="243">
        <v>41141</v>
      </c>
      <c r="H5942" t="s">
        <v>182</v>
      </c>
      <c r="I5942">
        <v>16</v>
      </c>
      <c r="J5942">
        <v>1</v>
      </c>
      <c r="K5942">
        <v>0.5</v>
      </c>
      <c r="L5942">
        <v>24377.599999999999</v>
      </c>
      <c r="M5942" t="str">
        <f t="shared" si="931"/>
        <v>13</v>
      </c>
      <c r="N5942" t="s">
        <v>3370</v>
      </c>
      <c r="O5942" t="str">
        <f t="shared" si="936"/>
        <v>74511</v>
      </c>
      <c r="P5942" t="str">
        <f t="shared" si="938"/>
        <v>2120L</v>
      </c>
      <c r="Q5942" t="str">
        <f t="shared" si="935"/>
        <v>0101</v>
      </c>
      <c r="R5942">
        <v>2120</v>
      </c>
      <c r="S5942" t="str">
        <f t="shared" si="937"/>
        <v>7450</v>
      </c>
      <c r="T5942" t="s">
        <v>3856</v>
      </c>
      <c r="U5942" t="s">
        <v>106</v>
      </c>
    </row>
    <row r="5943" spans="1:21" ht="15" customHeight="1" x14ac:dyDescent="0.3">
      <c r="A5943" t="s">
        <v>179</v>
      </c>
      <c r="B5943" t="str">
        <f>"00060349"</f>
        <v>00060349</v>
      </c>
      <c r="C5943" t="s">
        <v>318</v>
      </c>
      <c r="D5943" t="s">
        <v>4211</v>
      </c>
      <c r="E5943" t="str">
        <f>"00064367"</f>
        <v>00064367</v>
      </c>
      <c r="F5943">
        <v>0</v>
      </c>
      <c r="G5943" s="243">
        <v>41119</v>
      </c>
      <c r="H5943" t="s">
        <v>182</v>
      </c>
      <c r="I5943">
        <v>16</v>
      </c>
      <c r="J5943">
        <v>1</v>
      </c>
      <c r="K5943">
        <v>0.5</v>
      </c>
      <c r="L5943">
        <v>24377.599999999999</v>
      </c>
      <c r="M5943" t="str">
        <f t="shared" si="931"/>
        <v>13</v>
      </c>
      <c r="N5943" t="s">
        <v>3323</v>
      </c>
      <c r="O5943" t="str">
        <f t="shared" si="936"/>
        <v>74511</v>
      </c>
      <c r="P5943" t="str">
        <f t="shared" si="938"/>
        <v>2120L</v>
      </c>
      <c r="Q5943" t="str">
        <f t="shared" si="935"/>
        <v>0101</v>
      </c>
      <c r="R5943">
        <v>2120</v>
      </c>
      <c r="S5943" t="str">
        <f t="shared" si="937"/>
        <v>7450</v>
      </c>
      <c r="T5943" t="s">
        <v>3856</v>
      </c>
      <c r="U5943" t="s">
        <v>106</v>
      </c>
    </row>
    <row r="5944" spans="1:21" ht="15" customHeight="1" x14ac:dyDescent="0.3">
      <c r="A5944" t="s">
        <v>179</v>
      </c>
      <c r="B5944" t="str">
        <f>"00060471"</f>
        <v>00060471</v>
      </c>
      <c r="C5944" t="s">
        <v>318</v>
      </c>
      <c r="D5944" t="s">
        <v>2190</v>
      </c>
      <c r="E5944" t="str">
        <f>"00046861"</f>
        <v>00046861</v>
      </c>
      <c r="F5944">
        <v>0</v>
      </c>
      <c r="G5944" s="243">
        <v>41139</v>
      </c>
      <c r="H5944" t="s">
        <v>182</v>
      </c>
      <c r="I5944">
        <v>16</v>
      </c>
      <c r="J5944">
        <v>2</v>
      </c>
      <c r="K5944">
        <v>0.5</v>
      </c>
      <c r="L5944">
        <v>27674.400000000001</v>
      </c>
      <c r="M5944" t="str">
        <f t="shared" si="931"/>
        <v>13</v>
      </c>
      <c r="N5944" t="s">
        <v>3323</v>
      </c>
      <c r="O5944" t="str">
        <f t="shared" si="936"/>
        <v>74511</v>
      </c>
      <c r="P5944" t="str">
        <f t="shared" si="938"/>
        <v>2120L</v>
      </c>
      <c r="Q5944" t="str">
        <f t="shared" si="935"/>
        <v>0101</v>
      </c>
      <c r="R5944">
        <v>2120</v>
      </c>
      <c r="S5944" t="str">
        <f t="shared" si="937"/>
        <v>7450</v>
      </c>
      <c r="T5944" t="s">
        <v>3856</v>
      </c>
      <c r="U5944" t="s">
        <v>106</v>
      </c>
    </row>
    <row r="5945" spans="1:21" ht="15" customHeight="1" x14ac:dyDescent="0.3">
      <c r="A5945" t="s">
        <v>179</v>
      </c>
      <c r="B5945" t="str">
        <f>"00060473"</f>
        <v>00060473</v>
      </c>
      <c r="C5945" t="s">
        <v>2191</v>
      </c>
      <c r="D5945" t="s">
        <v>2180</v>
      </c>
      <c r="E5945" t="str">
        <f>"00062792"</f>
        <v>00062792</v>
      </c>
      <c r="F5945">
        <v>1</v>
      </c>
      <c r="H5945" t="s">
        <v>182</v>
      </c>
      <c r="I5945">
        <v>16</v>
      </c>
      <c r="J5945">
        <v>1</v>
      </c>
      <c r="K5945">
        <v>0.5</v>
      </c>
      <c r="L5945">
        <v>24377.599999999999</v>
      </c>
      <c r="M5945" t="str">
        <f t="shared" si="931"/>
        <v>13</v>
      </c>
      <c r="N5945" t="s">
        <v>3323</v>
      </c>
      <c r="O5945" t="str">
        <f t="shared" si="936"/>
        <v>74511</v>
      </c>
      <c r="P5945" t="str">
        <f t="shared" si="938"/>
        <v>2120L</v>
      </c>
      <c r="Q5945" t="str">
        <f t="shared" si="935"/>
        <v>0101</v>
      </c>
      <c r="R5945">
        <v>2120</v>
      </c>
      <c r="S5945" t="str">
        <f t="shared" si="937"/>
        <v>7450</v>
      </c>
      <c r="T5945" t="s">
        <v>3856</v>
      </c>
      <c r="U5945" t="s">
        <v>106</v>
      </c>
    </row>
    <row r="5946" spans="1:21" ht="15" customHeight="1" x14ac:dyDescent="0.3">
      <c r="A5946" t="s">
        <v>179</v>
      </c>
      <c r="B5946" t="str">
        <f>"00060500"</f>
        <v>00060500</v>
      </c>
      <c r="C5946" t="s">
        <v>318</v>
      </c>
      <c r="D5946" t="s">
        <v>4212</v>
      </c>
      <c r="E5946" t="str">
        <f>"00045884"</f>
        <v>00045884</v>
      </c>
      <c r="F5946">
        <v>0</v>
      </c>
      <c r="G5946" s="243">
        <v>41119</v>
      </c>
      <c r="H5946" t="s">
        <v>182</v>
      </c>
      <c r="I5946">
        <v>16</v>
      </c>
      <c r="J5946">
        <v>1</v>
      </c>
      <c r="K5946">
        <v>0.5</v>
      </c>
      <c r="L5946">
        <v>24377.599999999999</v>
      </c>
      <c r="M5946" t="str">
        <f t="shared" si="931"/>
        <v>13</v>
      </c>
      <c r="N5946" t="s">
        <v>3323</v>
      </c>
      <c r="O5946" t="str">
        <f t="shared" si="936"/>
        <v>74511</v>
      </c>
      <c r="P5946" t="str">
        <f t="shared" si="938"/>
        <v>2120L</v>
      </c>
      <c r="Q5946" t="str">
        <f t="shared" si="935"/>
        <v>0101</v>
      </c>
      <c r="R5946">
        <v>2120</v>
      </c>
      <c r="S5946" t="str">
        <f t="shared" si="937"/>
        <v>7450</v>
      </c>
      <c r="T5946" t="s">
        <v>3856</v>
      </c>
      <c r="U5946" t="s">
        <v>106</v>
      </c>
    </row>
    <row r="5947" spans="1:21" ht="15" customHeight="1" x14ac:dyDescent="0.3">
      <c r="A5947" t="s">
        <v>179</v>
      </c>
      <c r="B5947" t="str">
        <f>"00060683"</f>
        <v>00060683</v>
      </c>
      <c r="C5947" t="s">
        <v>318</v>
      </c>
      <c r="D5947" t="s">
        <v>5960</v>
      </c>
      <c r="E5947" t="str">
        <f>"00053440"</f>
        <v>00053440</v>
      </c>
      <c r="F5947">
        <v>3</v>
      </c>
      <c r="H5947" t="s">
        <v>182</v>
      </c>
      <c r="I5947">
        <v>16</v>
      </c>
      <c r="J5947">
        <v>2</v>
      </c>
      <c r="K5947">
        <v>0.5</v>
      </c>
      <c r="L5947">
        <v>27674.400000000001</v>
      </c>
      <c r="M5947" t="str">
        <f t="shared" si="931"/>
        <v>13</v>
      </c>
      <c r="N5947" t="s">
        <v>3370</v>
      </c>
      <c r="O5947" t="str">
        <f t="shared" si="936"/>
        <v>74511</v>
      </c>
      <c r="P5947" t="str">
        <f t="shared" si="938"/>
        <v>2120L</v>
      </c>
      <c r="Q5947" t="str">
        <f t="shared" si="935"/>
        <v>0101</v>
      </c>
      <c r="R5947">
        <v>2120</v>
      </c>
      <c r="S5947" t="str">
        <f t="shared" si="937"/>
        <v>7450</v>
      </c>
      <c r="T5947" t="s">
        <v>3856</v>
      </c>
      <c r="U5947" t="s">
        <v>106</v>
      </c>
    </row>
    <row r="5948" spans="1:21" ht="15" customHeight="1" x14ac:dyDescent="0.3">
      <c r="A5948" t="s">
        <v>179</v>
      </c>
      <c r="B5948" t="str">
        <f>"00060799"</f>
        <v>00060799</v>
      </c>
      <c r="C5948" t="s">
        <v>318</v>
      </c>
      <c r="D5948" t="s">
        <v>341</v>
      </c>
      <c r="E5948" t="str">
        <f>"00045949"</f>
        <v>00045949</v>
      </c>
      <c r="F5948">
        <v>2</v>
      </c>
      <c r="G5948" s="243">
        <v>41119</v>
      </c>
      <c r="H5948" t="s">
        <v>182</v>
      </c>
      <c r="I5948">
        <v>16</v>
      </c>
      <c r="J5948">
        <v>2</v>
      </c>
      <c r="K5948">
        <v>0.5</v>
      </c>
      <c r="L5948">
        <v>27674.400000000001</v>
      </c>
      <c r="M5948" t="str">
        <f t="shared" si="931"/>
        <v>13</v>
      </c>
      <c r="N5948" t="s">
        <v>3323</v>
      </c>
      <c r="O5948" t="str">
        <f t="shared" si="936"/>
        <v>74511</v>
      </c>
      <c r="P5948" t="str">
        <f t="shared" si="938"/>
        <v>2120L</v>
      </c>
      <c r="Q5948" t="str">
        <f t="shared" si="935"/>
        <v>0101</v>
      </c>
      <c r="R5948">
        <v>2120</v>
      </c>
      <c r="S5948" t="str">
        <f t="shared" si="937"/>
        <v>7450</v>
      </c>
      <c r="T5948" t="s">
        <v>3856</v>
      </c>
      <c r="U5948" t="s">
        <v>106</v>
      </c>
    </row>
    <row r="5949" spans="1:21" ht="15" customHeight="1" x14ac:dyDescent="0.3">
      <c r="A5949" t="s">
        <v>179</v>
      </c>
      <c r="B5949" t="str">
        <f>"00061445"</f>
        <v>00061445</v>
      </c>
      <c r="C5949" t="s">
        <v>318</v>
      </c>
      <c r="D5949" t="s">
        <v>2192</v>
      </c>
      <c r="E5949" t="str">
        <f>"00044494"</f>
        <v>00044494</v>
      </c>
      <c r="F5949">
        <v>1</v>
      </c>
      <c r="H5949" t="s">
        <v>182</v>
      </c>
      <c r="I5949">
        <v>16</v>
      </c>
      <c r="J5949">
        <v>1</v>
      </c>
      <c r="K5949">
        <v>0.5</v>
      </c>
      <c r="L5949">
        <v>24377.599999999999</v>
      </c>
      <c r="M5949" t="str">
        <f t="shared" si="931"/>
        <v>13</v>
      </c>
      <c r="N5949" t="s">
        <v>3323</v>
      </c>
      <c r="O5949" t="str">
        <f t="shared" si="936"/>
        <v>74511</v>
      </c>
      <c r="P5949" t="str">
        <f t="shared" si="938"/>
        <v>2120L</v>
      </c>
      <c r="Q5949" t="str">
        <f t="shared" si="935"/>
        <v>0101</v>
      </c>
      <c r="R5949">
        <v>2120</v>
      </c>
      <c r="S5949" t="str">
        <f t="shared" si="937"/>
        <v>7450</v>
      </c>
      <c r="T5949" t="s">
        <v>3856</v>
      </c>
      <c r="U5949" t="s">
        <v>106</v>
      </c>
    </row>
    <row r="5950" spans="1:21" ht="15" customHeight="1" x14ac:dyDescent="0.3">
      <c r="A5950" t="s">
        <v>179</v>
      </c>
      <c r="B5950" t="str">
        <f>"00062601"</f>
        <v>00062601</v>
      </c>
      <c r="C5950" t="s">
        <v>318</v>
      </c>
      <c r="D5950" t="s">
        <v>2193</v>
      </c>
      <c r="E5950" t="str">
        <f>"00044935"</f>
        <v>00044935</v>
      </c>
      <c r="F5950">
        <v>0</v>
      </c>
      <c r="G5950" s="243">
        <v>41139</v>
      </c>
      <c r="H5950" t="s">
        <v>182</v>
      </c>
      <c r="I5950">
        <v>16</v>
      </c>
      <c r="J5950">
        <v>1</v>
      </c>
      <c r="K5950">
        <v>0.5</v>
      </c>
      <c r="L5950">
        <v>24377.599999999999</v>
      </c>
      <c r="M5950" t="str">
        <f t="shared" si="931"/>
        <v>13</v>
      </c>
      <c r="N5950" t="s">
        <v>3323</v>
      </c>
      <c r="O5950" t="str">
        <f t="shared" si="936"/>
        <v>74511</v>
      </c>
      <c r="P5950" t="str">
        <f t="shared" si="938"/>
        <v>2120L</v>
      </c>
      <c r="Q5950" t="str">
        <f t="shared" si="935"/>
        <v>0101</v>
      </c>
      <c r="R5950">
        <v>2120</v>
      </c>
      <c r="S5950" t="str">
        <f t="shared" si="937"/>
        <v>7450</v>
      </c>
      <c r="T5950" t="s">
        <v>3856</v>
      </c>
      <c r="U5950" t="s">
        <v>106</v>
      </c>
    </row>
    <row r="5951" spans="1:21" ht="15" customHeight="1" x14ac:dyDescent="0.3">
      <c r="A5951" t="s">
        <v>179</v>
      </c>
      <c r="B5951" t="str">
        <f>"00067121"</f>
        <v>00067121</v>
      </c>
      <c r="C5951" t="s">
        <v>203</v>
      </c>
      <c r="D5951" t="s">
        <v>2194</v>
      </c>
      <c r="E5951" t="str">
        <f>"00053194"</f>
        <v>00053194</v>
      </c>
      <c r="F5951">
        <v>1</v>
      </c>
      <c r="G5951" s="243">
        <v>41141</v>
      </c>
      <c r="H5951" t="s">
        <v>182</v>
      </c>
      <c r="I5951">
        <v>9</v>
      </c>
      <c r="J5951">
        <v>1</v>
      </c>
      <c r="K5951">
        <v>1</v>
      </c>
      <c r="L5951">
        <v>9946.56</v>
      </c>
      <c r="M5951" t="str">
        <f t="shared" si="931"/>
        <v>13</v>
      </c>
      <c r="N5951" t="s">
        <v>3323</v>
      </c>
      <c r="O5951" t="str">
        <f t="shared" si="936"/>
        <v>74511</v>
      </c>
      <c r="P5951" t="str">
        <f t="shared" si="938"/>
        <v>2120L</v>
      </c>
      <c r="Q5951" t="str">
        <f t="shared" si="935"/>
        <v>0101</v>
      </c>
      <c r="R5951">
        <v>2120</v>
      </c>
      <c r="S5951" t="str">
        <f t="shared" si="937"/>
        <v>7450</v>
      </c>
      <c r="T5951" t="s">
        <v>3856</v>
      </c>
      <c r="U5951" t="s">
        <v>106</v>
      </c>
    </row>
    <row r="5952" spans="1:21" ht="15" customHeight="1" x14ac:dyDescent="0.3">
      <c r="A5952" t="s">
        <v>179</v>
      </c>
      <c r="B5952" t="str">
        <f>"00067219"</f>
        <v>00067219</v>
      </c>
      <c r="C5952" t="s">
        <v>314</v>
      </c>
      <c r="D5952" t="s">
        <v>2155</v>
      </c>
      <c r="E5952" t="str">
        <f>"00051588"</f>
        <v>00051588</v>
      </c>
      <c r="F5952">
        <v>1</v>
      </c>
      <c r="G5952" s="243">
        <v>41119</v>
      </c>
      <c r="H5952" t="s">
        <v>182</v>
      </c>
      <c r="I5952">
        <v>16</v>
      </c>
      <c r="J5952">
        <v>1</v>
      </c>
      <c r="K5952">
        <v>1</v>
      </c>
      <c r="L5952">
        <v>14626.56</v>
      </c>
      <c r="M5952" t="str">
        <f t="shared" si="931"/>
        <v>13</v>
      </c>
      <c r="N5952" t="s">
        <v>3323</v>
      </c>
      <c r="O5952" t="str">
        <f t="shared" si="936"/>
        <v>74511</v>
      </c>
      <c r="P5952" t="str">
        <f t="shared" si="938"/>
        <v>2120L</v>
      </c>
      <c r="Q5952" t="str">
        <f t="shared" si="935"/>
        <v>0101</v>
      </c>
      <c r="R5952">
        <v>2120</v>
      </c>
      <c r="S5952" t="str">
        <f t="shared" si="937"/>
        <v>7450</v>
      </c>
      <c r="T5952" t="s">
        <v>3856</v>
      </c>
      <c r="U5952" t="s">
        <v>106</v>
      </c>
    </row>
    <row r="5953" spans="1:21" ht="15" customHeight="1" x14ac:dyDescent="0.3">
      <c r="A5953" t="s">
        <v>179</v>
      </c>
      <c r="B5953" t="str">
        <f>"00067220"</f>
        <v>00067220</v>
      </c>
      <c r="C5953" t="s">
        <v>314</v>
      </c>
      <c r="D5953" t="s">
        <v>6008</v>
      </c>
      <c r="E5953" t="str">
        <f>"00047288"</f>
        <v>00047288</v>
      </c>
      <c r="F5953">
        <v>0</v>
      </c>
      <c r="G5953" s="243">
        <v>41119</v>
      </c>
      <c r="H5953" t="s">
        <v>182</v>
      </c>
      <c r="I5953">
        <v>16</v>
      </c>
      <c r="J5953">
        <v>1</v>
      </c>
      <c r="K5953">
        <v>1</v>
      </c>
      <c r="L5953">
        <v>14626.56</v>
      </c>
      <c r="M5953" t="str">
        <f t="shared" si="931"/>
        <v>13</v>
      </c>
      <c r="N5953" t="s">
        <v>3323</v>
      </c>
      <c r="O5953" t="str">
        <f t="shared" si="936"/>
        <v>74511</v>
      </c>
      <c r="P5953" t="str">
        <f t="shared" si="938"/>
        <v>2120L</v>
      </c>
      <c r="Q5953" t="str">
        <f t="shared" si="935"/>
        <v>0101</v>
      </c>
      <c r="R5953">
        <v>2120</v>
      </c>
      <c r="S5953" t="str">
        <f t="shared" si="937"/>
        <v>7450</v>
      </c>
      <c r="T5953" t="s">
        <v>3856</v>
      </c>
      <c r="U5953" t="s">
        <v>106</v>
      </c>
    </row>
    <row r="5954" spans="1:21" ht="15" customHeight="1" x14ac:dyDescent="0.3">
      <c r="A5954" t="s">
        <v>179</v>
      </c>
      <c r="B5954" t="str">
        <f>"00067222"</f>
        <v>00067222</v>
      </c>
      <c r="C5954" t="s">
        <v>314</v>
      </c>
      <c r="D5954" t="s">
        <v>2195</v>
      </c>
      <c r="E5954" t="str">
        <f>"00046527"</f>
        <v>00046527</v>
      </c>
      <c r="F5954">
        <v>1</v>
      </c>
      <c r="G5954" s="243">
        <v>41119</v>
      </c>
      <c r="H5954" t="s">
        <v>182</v>
      </c>
      <c r="I5954">
        <v>16</v>
      </c>
      <c r="J5954">
        <v>1</v>
      </c>
      <c r="K5954">
        <v>1</v>
      </c>
      <c r="L5954">
        <v>14626.56</v>
      </c>
      <c r="M5954" t="str">
        <f t="shared" si="931"/>
        <v>13</v>
      </c>
      <c r="N5954" t="s">
        <v>3323</v>
      </c>
      <c r="O5954" t="str">
        <f t="shared" si="936"/>
        <v>74511</v>
      </c>
      <c r="P5954" t="str">
        <f t="shared" si="938"/>
        <v>2120L</v>
      </c>
      <c r="Q5954" t="str">
        <f t="shared" si="935"/>
        <v>0101</v>
      </c>
      <c r="R5954">
        <v>2120</v>
      </c>
      <c r="S5954" t="str">
        <f t="shared" si="937"/>
        <v>7450</v>
      </c>
      <c r="T5954" t="s">
        <v>3856</v>
      </c>
      <c r="U5954" t="s">
        <v>106</v>
      </c>
    </row>
    <row r="5955" spans="1:21" ht="15" customHeight="1" x14ac:dyDescent="0.3">
      <c r="A5955" t="s">
        <v>179</v>
      </c>
      <c r="B5955" t="str">
        <f>"00067223"</f>
        <v>00067223</v>
      </c>
      <c r="C5955" t="s">
        <v>314</v>
      </c>
      <c r="D5955" t="s">
        <v>1815</v>
      </c>
      <c r="E5955" t="str">
        <f>"00045170"</f>
        <v>00045170</v>
      </c>
      <c r="F5955">
        <v>1</v>
      </c>
      <c r="H5955" t="s">
        <v>182</v>
      </c>
      <c r="I5955">
        <v>16</v>
      </c>
      <c r="J5955">
        <v>2</v>
      </c>
      <c r="K5955">
        <v>1</v>
      </c>
      <c r="L5955">
        <v>16604.64</v>
      </c>
      <c r="M5955" t="str">
        <f t="shared" si="931"/>
        <v>13</v>
      </c>
      <c r="N5955" t="s">
        <v>3370</v>
      </c>
      <c r="O5955" t="str">
        <f t="shared" si="936"/>
        <v>74511</v>
      </c>
      <c r="P5955" t="str">
        <f t="shared" si="938"/>
        <v>2120L</v>
      </c>
      <c r="Q5955" t="str">
        <f t="shared" si="935"/>
        <v>0101</v>
      </c>
      <c r="R5955">
        <v>2120</v>
      </c>
      <c r="S5955" t="str">
        <f t="shared" si="937"/>
        <v>7450</v>
      </c>
      <c r="T5955" t="s">
        <v>3856</v>
      </c>
      <c r="U5955" t="s">
        <v>106</v>
      </c>
    </row>
    <row r="5956" spans="1:21" ht="15" customHeight="1" x14ac:dyDescent="0.3">
      <c r="A5956" t="s">
        <v>179</v>
      </c>
      <c r="B5956" t="str">
        <f>"00067226"</f>
        <v>00067226</v>
      </c>
      <c r="C5956" t="s">
        <v>314</v>
      </c>
      <c r="D5956" t="s">
        <v>2196</v>
      </c>
      <c r="E5956" t="str">
        <f>"00063333"</f>
        <v>00063333</v>
      </c>
      <c r="F5956">
        <v>0</v>
      </c>
      <c r="G5956" s="243">
        <v>41140</v>
      </c>
      <c r="H5956" t="s">
        <v>182</v>
      </c>
      <c r="I5956">
        <v>16</v>
      </c>
      <c r="J5956">
        <v>1</v>
      </c>
      <c r="K5956">
        <v>1</v>
      </c>
      <c r="L5956">
        <v>14626.56</v>
      </c>
      <c r="M5956" t="str">
        <f t="shared" si="931"/>
        <v>13</v>
      </c>
      <c r="N5956" t="s">
        <v>3323</v>
      </c>
      <c r="O5956" t="str">
        <f t="shared" si="936"/>
        <v>74511</v>
      </c>
      <c r="P5956" t="str">
        <f t="shared" si="938"/>
        <v>2120L</v>
      </c>
      <c r="Q5956" t="str">
        <f t="shared" si="935"/>
        <v>0101</v>
      </c>
      <c r="R5956">
        <v>2120</v>
      </c>
      <c r="S5956" t="str">
        <f t="shared" si="937"/>
        <v>7450</v>
      </c>
      <c r="T5956" t="s">
        <v>3856</v>
      </c>
      <c r="U5956" t="s">
        <v>106</v>
      </c>
    </row>
    <row r="5957" spans="1:21" ht="15" customHeight="1" x14ac:dyDescent="0.3">
      <c r="A5957" t="s">
        <v>179</v>
      </c>
      <c r="B5957" t="str">
        <f>"00067239"</f>
        <v>00067239</v>
      </c>
      <c r="C5957" t="s">
        <v>227</v>
      </c>
      <c r="D5957" t="s">
        <v>6009</v>
      </c>
      <c r="E5957" t="str">
        <f>"00065183"</f>
        <v>00065183</v>
      </c>
      <c r="F5957">
        <v>0</v>
      </c>
      <c r="G5957" s="243">
        <v>41119</v>
      </c>
      <c r="H5957" t="s">
        <v>182</v>
      </c>
      <c r="I5957">
        <v>16</v>
      </c>
      <c r="J5957">
        <v>3</v>
      </c>
      <c r="K5957">
        <v>1</v>
      </c>
      <c r="L5957">
        <v>18776.16</v>
      </c>
      <c r="M5957" t="str">
        <f t="shared" si="931"/>
        <v>13</v>
      </c>
      <c r="N5957" t="s">
        <v>3323</v>
      </c>
      <c r="O5957" t="str">
        <f t="shared" si="936"/>
        <v>74511</v>
      </c>
      <c r="P5957" t="str">
        <f t="shared" si="938"/>
        <v>2120L</v>
      </c>
      <c r="Q5957" t="str">
        <f t="shared" si="935"/>
        <v>0101</v>
      </c>
      <c r="R5957">
        <v>2120</v>
      </c>
      <c r="S5957" t="str">
        <f t="shared" si="937"/>
        <v>7450</v>
      </c>
      <c r="T5957" t="s">
        <v>3856</v>
      </c>
      <c r="U5957" t="s">
        <v>106</v>
      </c>
    </row>
    <row r="5958" spans="1:21" ht="15" customHeight="1" x14ac:dyDescent="0.3">
      <c r="A5958" t="s">
        <v>179</v>
      </c>
      <c r="B5958" t="str">
        <f>"00067240"</f>
        <v>00067240</v>
      </c>
      <c r="C5958" t="s">
        <v>314</v>
      </c>
      <c r="D5958" t="s">
        <v>6007</v>
      </c>
      <c r="E5958" t="str">
        <f>"00053809"</f>
        <v>00053809</v>
      </c>
      <c r="F5958">
        <v>1</v>
      </c>
      <c r="H5958" t="s">
        <v>182</v>
      </c>
      <c r="I5958">
        <v>16</v>
      </c>
      <c r="J5958">
        <v>1</v>
      </c>
      <c r="K5958">
        <v>1</v>
      </c>
      <c r="L5958">
        <v>14626.56</v>
      </c>
      <c r="M5958" t="str">
        <f t="shared" si="931"/>
        <v>13</v>
      </c>
      <c r="N5958" t="s">
        <v>3370</v>
      </c>
      <c r="O5958" t="str">
        <f t="shared" si="936"/>
        <v>74511</v>
      </c>
      <c r="P5958" t="str">
        <f t="shared" si="938"/>
        <v>2120L</v>
      </c>
      <c r="Q5958" t="str">
        <f t="shared" si="935"/>
        <v>0101</v>
      </c>
      <c r="R5958">
        <v>2120</v>
      </c>
      <c r="S5958" t="str">
        <f t="shared" si="937"/>
        <v>7450</v>
      </c>
      <c r="T5958" t="s">
        <v>3856</v>
      </c>
      <c r="U5958" t="s">
        <v>106</v>
      </c>
    </row>
    <row r="5959" spans="1:21" ht="15" customHeight="1" x14ac:dyDescent="0.3">
      <c r="A5959" t="s">
        <v>179</v>
      </c>
      <c r="B5959" t="str">
        <f>"00067244"</f>
        <v>00067244</v>
      </c>
      <c r="C5959" t="s">
        <v>314</v>
      </c>
      <c r="D5959" t="s">
        <v>1604</v>
      </c>
      <c r="E5959" t="str">
        <f>"00062590"</f>
        <v>00062590</v>
      </c>
      <c r="F5959">
        <v>1</v>
      </c>
      <c r="H5959" t="s">
        <v>182</v>
      </c>
      <c r="I5959">
        <v>16</v>
      </c>
      <c r="J5959">
        <v>3</v>
      </c>
      <c r="K5959">
        <v>1</v>
      </c>
      <c r="L5959">
        <v>18776.16</v>
      </c>
      <c r="M5959" t="str">
        <f t="shared" si="931"/>
        <v>13</v>
      </c>
      <c r="N5959" t="s">
        <v>3370</v>
      </c>
      <c r="O5959" t="str">
        <f t="shared" si="936"/>
        <v>74511</v>
      </c>
      <c r="P5959" t="str">
        <f t="shared" si="938"/>
        <v>2120L</v>
      </c>
      <c r="Q5959" t="str">
        <f t="shared" si="935"/>
        <v>0101</v>
      </c>
      <c r="R5959">
        <v>2120</v>
      </c>
      <c r="S5959" t="str">
        <f t="shared" si="937"/>
        <v>7450</v>
      </c>
      <c r="T5959" t="s">
        <v>3856</v>
      </c>
      <c r="U5959" t="s">
        <v>106</v>
      </c>
    </row>
    <row r="5960" spans="1:21" ht="15" customHeight="1" x14ac:dyDescent="0.3">
      <c r="A5960" t="s">
        <v>179</v>
      </c>
      <c r="B5960" t="str">
        <f>"00067246"</f>
        <v>00067246</v>
      </c>
      <c r="C5960" t="s">
        <v>314</v>
      </c>
      <c r="D5960" t="s">
        <v>2177</v>
      </c>
      <c r="E5960" t="str">
        <f>"00062961"</f>
        <v>00062961</v>
      </c>
      <c r="F5960">
        <v>1</v>
      </c>
      <c r="H5960" t="s">
        <v>182</v>
      </c>
      <c r="I5960">
        <v>16</v>
      </c>
      <c r="J5960">
        <v>2</v>
      </c>
      <c r="K5960">
        <v>1</v>
      </c>
      <c r="L5960">
        <v>16604.64</v>
      </c>
      <c r="M5960" t="str">
        <f t="shared" si="931"/>
        <v>13</v>
      </c>
      <c r="N5960" t="s">
        <v>3370</v>
      </c>
      <c r="O5960" t="str">
        <f t="shared" si="936"/>
        <v>74511</v>
      </c>
      <c r="P5960" t="str">
        <f t="shared" si="938"/>
        <v>2120L</v>
      </c>
      <c r="Q5960" t="str">
        <f t="shared" ref="Q5960:Q5988" si="939">"0101"</f>
        <v>0101</v>
      </c>
      <c r="R5960">
        <v>2120</v>
      </c>
      <c r="S5960" t="str">
        <f t="shared" si="937"/>
        <v>7450</v>
      </c>
      <c r="T5960" t="s">
        <v>3856</v>
      </c>
      <c r="U5960" t="s">
        <v>106</v>
      </c>
    </row>
    <row r="5961" spans="1:21" ht="15" customHeight="1" x14ac:dyDescent="0.3">
      <c r="A5961" t="s">
        <v>179</v>
      </c>
      <c r="B5961" t="str">
        <f>"00071710"</f>
        <v>00071710</v>
      </c>
      <c r="C5961" t="s">
        <v>314</v>
      </c>
      <c r="D5961" t="s">
        <v>2197</v>
      </c>
      <c r="E5961" t="str">
        <f>"00052491"</f>
        <v>00052491</v>
      </c>
      <c r="F5961">
        <v>0</v>
      </c>
      <c r="G5961" s="243">
        <v>41119</v>
      </c>
      <c r="H5961" t="s">
        <v>182</v>
      </c>
      <c r="I5961">
        <v>16</v>
      </c>
      <c r="J5961">
        <v>1</v>
      </c>
      <c r="K5961">
        <v>1</v>
      </c>
      <c r="L5961">
        <v>2437.7600000000002</v>
      </c>
      <c r="M5961" t="str">
        <f t="shared" si="931"/>
        <v>13</v>
      </c>
      <c r="N5961" t="s">
        <v>3370</v>
      </c>
      <c r="O5961" t="str">
        <f t="shared" si="936"/>
        <v>74511</v>
      </c>
      <c r="P5961" t="str">
        <f t="shared" si="938"/>
        <v>2120L</v>
      </c>
      <c r="Q5961" t="str">
        <f t="shared" si="939"/>
        <v>0101</v>
      </c>
      <c r="R5961">
        <v>2120</v>
      </c>
      <c r="S5961" t="str">
        <f t="shared" si="937"/>
        <v>7450</v>
      </c>
      <c r="T5961" t="s">
        <v>3856</v>
      </c>
      <c r="U5961" t="s">
        <v>106</v>
      </c>
    </row>
    <row r="5962" spans="1:21" ht="15" customHeight="1" x14ac:dyDescent="0.3">
      <c r="A5962" t="s">
        <v>179</v>
      </c>
      <c r="B5962" t="str">
        <f>"00073097"</f>
        <v>00073097</v>
      </c>
      <c r="C5962" t="s">
        <v>314</v>
      </c>
      <c r="D5962" t="s">
        <v>2199</v>
      </c>
      <c r="E5962" t="str">
        <f>"00045725"</f>
        <v>00045725</v>
      </c>
      <c r="F5962">
        <v>1</v>
      </c>
      <c r="H5962" t="s">
        <v>182</v>
      </c>
      <c r="I5962">
        <v>16</v>
      </c>
      <c r="J5962">
        <v>1</v>
      </c>
      <c r="K5962">
        <v>0.39</v>
      </c>
      <c r="L5962">
        <v>19502.080000000002</v>
      </c>
      <c r="M5962" t="str">
        <f t="shared" si="931"/>
        <v>13</v>
      </c>
      <c r="N5962" t="s">
        <v>3323</v>
      </c>
      <c r="O5962" t="str">
        <f t="shared" si="936"/>
        <v>74511</v>
      </c>
      <c r="P5962" t="str">
        <f t="shared" si="938"/>
        <v>2120L</v>
      </c>
      <c r="Q5962" t="str">
        <f t="shared" si="939"/>
        <v>0101</v>
      </c>
      <c r="R5962">
        <v>2120</v>
      </c>
      <c r="S5962" t="str">
        <f t="shared" si="937"/>
        <v>7450</v>
      </c>
      <c r="T5962" t="s">
        <v>3856</v>
      </c>
      <c r="U5962" t="s">
        <v>106</v>
      </c>
    </row>
    <row r="5963" spans="1:21" ht="15" customHeight="1" x14ac:dyDescent="0.3">
      <c r="A5963" t="s">
        <v>179</v>
      </c>
      <c r="B5963" t="str">
        <f>"00073100"</f>
        <v>00073100</v>
      </c>
      <c r="C5963" t="s">
        <v>314</v>
      </c>
      <c r="D5963" t="s">
        <v>5095</v>
      </c>
      <c r="E5963" t="str">
        <f>"00028142"</f>
        <v>00028142</v>
      </c>
      <c r="F5963">
        <v>2</v>
      </c>
      <c r="H5963" t="s">
        <v>182</v>
      </c>
      <c r="I5963">
        <v>16</v>
      </c>
      <c r="J5963">
        <v>3</v>
      </c>
      <c r="K5963">
        <v>0.39</v>
      </c>
      <c r="L5963">
        <v>25034.880000000001</v>
      </c>
      <c r="M5963" t="str">
        <f t="shared" si="931"/>
        <v>13</v>
      </c>
      <c r="N5963" t="s">
        <v>3323</v>
      </c>
      <c r="O5963" t="str">
        <f t="shared" si="936"/>
        <v>74511</v>
      </c>
      <c r="P5963" t="str">
        <f t="shared" si="938"/>
        <v>2120L</v>
      </c>
      <c r="Q5963" t="str">
        <f t="shared" si="939"/>
        <v>0101</v>
      </c>
      <c r="R5963">
        <v>2120</v>
      </c>
      <c r="S5963" t="str">
        <f t="shared" si="937"/>
        <v>7450</v>
      </c>
      <c r="T5963" t="s">
        <v>3856</v>
      </c>
      <c r="U5963" t="s">
        <v>106</v>
      </c>
    </row>
    <row r="5964" spans="1:21" ht="15" customHeight="1" x14ac:dyDescent="0.3">
      <c r="A5964" t="s">
        <v>179</v>
      </c>
      <c r="B5964" t="str">
        <f>"00073776"</f>
        <v>00073776</v>
      </c>
      <c r="C5964" t="s">
        <v>4253</v>
      </c>
      <c r="D5964" t="s">
        <v>783</v>
      </c>
      <c r="E5964" t="str">
        <f>"00047799"</f>
        <v>00047799</v>
      </c>
      <c r="F5964">
        <v>0</v>
      </c>
      <c r="G5964" s="243">
        <v>39679</v>
      </c>
      <c r="H5964" t="s">
        <v>182</v>
      </c>
      <c r="I5964">
        <v>15</v>
      </c>
      <c r="J5964">
        <v>5</v>
      </c>
      <c r="K5964">
        <v>1</v>
      </c>
      <c r="L5964">
        <v>66078</v>
      </c>
      <c r="M5964" t="str">
        <f t="shared" si="931"/>
        <v>13</v>
      </c>
      <c r="N5964" t="s">
        <v>3323</v>
      </c>
      <c r="O5964" t="str">
        <f t="shared" ref="O5964:O5978" si="940">"74511"</f>
        <v>74511</v>
      </c>
      <c r="P5964" t="str">
        <f>"2100L"</f>
        <v>2100L</v>
      </c>
      <c r="Q5964" t="str">
        <f t="shared" si="939"/>
        <v>0101</v>
      </c>
      <c r="R5964">
        <v>2100</v>
      </c>
      <c r="S5964" t="str">
        <f t="shared" ref="S5964:S5978" si="941">"7450"</f>
        <v>7450</v>
      </c>
      <c r="T5964" t="s">
        <v>3856</v>
      </c>
      <c r="U5964" t="s">
        <v>106</v>
      </c>
    </row>
    <row r="5965" spans="1:21" ht="15" customHeight="1" x14ac:dyDescent="0.3">
      <c r="A5965" t="s">
        <v>179</v>
      </c>
      <c r="B5965" t="str">
        <f>"00073781"</f>
        <v>00073781</v>
      </c>
      <c r="C5965" t="s">
        <v>4255</v>
      </c>
      <c r="D5965" t="s">
        <v>1629</v>
      </c>
      <c r="E5965" t="str">
        <f>"00053196"</f>
        <v>00053196</v>
      </c>
      <c r="F5965">
        <v>0</v>
      </c>
      <c r="G5965" s="243">
        <v>41133</v>
      </c>
      <c r="H5965" t="s">
        <v>182</v>
      </c>
      <c r="I5965">
        <v>15</v>
      </c>
      <c r="J5965">
        <v>14</v>
      </c>
      <c r="K5965">
        <v>1</v>
      </c>
      <c r="L5965">
        <v>98967</v>
      </c>
      <c r="M5965" t="str">
        <f t="shared" si="931"/>
        <v>13</v>
      </c>
      <c r="N5965" t="s">
        <v>3370</v>
      </c>
      <c r="O5965" t="str">
        <f t="shared" si="940"/>
        <v>74511</v>
      </c>
      <c r="P5965" t="str">
        <f>"2100L"</f>
        <v>2100L</v>
      </c>
      <c r="Q5965" t="str">
        <f t="shared" si="939"/>
        <v>0101</v>
      </c>
      <c r="R5965">
        <v>2100</v>
      </c>
      <c r="S5965" t="str">
        <f t="shared" si="941"/>
        <v>7450</v>
      </c>
      <c r="T5965" t="s">
        <v>3856</v>
      </c>
      <c r="U5965" t="s">
        <v>106</v>
      </c>
    </row>
    <row r="5966" spans="1:21" ht="15" customHeight="1" x14ac:dyDescent="0.3">
      <c r="A5966" t="s">
        <v>179</v>
      </c>
      <c r="B5966" t="str">
        <f>"00074071"</f>
        <v>00074071</v>
      </c>
      <c r="C5966" t="s">
        <v>4255</v>
      </c>
      <c r="D5966" t="s">
        <v>2184</v>
      </c>
      <c r="E5966" t="str">
        <f>"00050991"</f>
        <v>00050991</v>
      </c>
      <c r="F5966">
        <v>0</v>
      </c>
      <c r="G5966" s="243">
        <v>33436</v>
      </c>
      <c r="H5966" t="s">
        <v>182</v>
      </c>
      <c r="I5966">
        <v>15</v>
      </c>
      <c r="J5966">
        <v>13</v>
      </c>
      <c r="K5966">
        <v>1</v>
      </c>
      <c r="L5966">
        <v>81724</v>
      </c>
      <c r="M5966" t="str">
        <f t="shared" si="931"/>
        <v>13</v>
      </c>
      <c r="N5966" t="s">
        <v>3323</v>
      </c>
      <c r="O5966" t="str">
        <f t="shared" si="940"/>
        <v>74511</v>
      </c>
      <c r="P5966" t="str">
        <f>"2100L"</f>
        <v>2100L</v>
      </c>
      <c r="Q5966" t="str">
        <f t="shared" si="939"/>
        <v>0101</v>
      </c>
      <c r="R5966">
        <v>2100</v>
      </c>
      <c r="S5966" t="str">
        <f t="shared" si="941"/>
        <v>7450</v>
      </c>
      <c r="T5966" t="s">
        <v>3856</v>
      </c>
      <c r="U5966" t="s">
        <v>106</v>
      </c>
    </row>
    <row r="5967" spans="1:21" ht="15" customHeight="1" x14ac:dyDescent="0.3">
      <c r="A5967" t="s">
        <v>179</v>
      </c>
      <c r="B5967" t="str">
        <f>"00074471"</f>
        <v>00074471</v>
      </c>
      <c r="C5967" t="s">
        <v>4255</v>
      </c>
      <c r="D5967" t="s">
        <v>2186</v>
      </c>
      <c r="E5967" t="str">
        <f>"00046038"</f>
        <v>00046038</v>
      </c>
      <c r="F5967">
        <v>0</v>
      </c>
      <c r="G5967" s="243">
        <v>36761</v>
      </c>
      <c r="H5967" t="s">
        <v>182</v>
      </c>
      <c r="I5967">
        <v>15</v>
      </c>
      <c r="J5967">
        <v>13</v>
      </c>
      <c r="K5967">
        <v>1</v>
      </c>
      <c r="L5967">
        <v>81724</v>
      </c>
      <c r="M5967" t="str">
        <f t="shared" si="931"/>
        <v>13</v>
      </c>
      <c r="N5967" t="s">
        <v>3323</v>
      </c>
      <c r="O5967" t="str">
        <f t="shared" si="940"/>
        <v>74511</v>
      </c>
      <c r="P5967" t="str">
        <f>"2100L"</f>
        <v>2100L</v>
      </c>
      <c r="Q5967" t="str">
        <f t="shared" si="939"/>
        <v>0101</v>
      </c>
      <c r="R5967">
        <v>2100</v>
      </c>
      <c r="S5967" t="str">
        <f t="shared" si="941"/>
        <v>7450</v>
      </c>
      <c r="T5967" t="s">
        <v>3856</v>
      </c>
      <c r="U5967" t="s">
        <v>106</v>
      </c>
    </row>
    <row r="5968" spans="1:21" ht="15" customHeight="1" x14ac:dyDescent="0.3">
      <c r="A5968" t="s">
        <v>179</v>
      </c>
      <c r="B5968" t="str">
        <f>"00074521"</f>
        <v>00074521</v>
      </c>
      <c r="C5968" t="s">
        <v>4360</v>
      </c>
      <c r="D5968" t="s">
        <v>6010</v>
      </c>
      <c r="E5968" t="str">
        <f>"00050497"</f>
        <v>00050497</v>
      </c>
      <c r="F5968">
        <v>0</v>
      </c>
      <c r="G5968" s="243">
        <v>39342</v>
      </c>
      <c r="H5968" t="s">
        <v>182</v>
      </c>
      <c r="I5968">
        <v>7</v>
      </c>
      <c r="J5968">
        <v>7</v>
      </c>
      <c r="K5968">
        <v>1</v>
      </c>
      <c r="L5968">
        <v>41514</v>
      </c>
      <c r="M5968" t="str">
        <f t="shared" si="931"/>
        <v>13</v>
      </c>
      <c r="N5968" t="s">
        <v>3323</v>
      </c>
      <c r="O5968" t="str">
        <f t="shared" si="940"/>
        <v>74511</v>
      </c>
      <c r="P5968" t="str">
        <f>"1502L"</f>
        <v>1502L</v>
      </c>
      <c r="Q5968" t="str">
        <f t="shared" si="939"/>
        <v>0101</v>
      </c>
      <c r="R5968">
        <v>1502</v>
      </c>
      <c r="S5968" t="str">
        <f t="shared" si="941"/>
        <v>7450</v>
      </c>
      <c r="T5968" t="s">
        <v>3856</v>
      </c>
      <c r="U5968" t="s">
        <v>106</v>
      </c>
    </row>
    <row r="5969" spans="1:21" ht="15" customHeight="1" x14ac:dyDescent="0.3">
      <c r="A5969" t="s">
        <v>179</v>
      </c>
      <c r="B5969" t="str">
        <f>"00074662"</f>
        <v>00074662</v>
      </c>
      <c r="C5969" t="s">
        <v>4261</v>
      </c>
      <c r="D5969" t="s">
        <v>2679</v>
      </c>
      <c r="E5969" t="str">
        <f>"00049369"</f>
        <v>00049369</v>
      </c>
      <c r="F5969">
        <v>0</v>
      </c>
      <c r="G5969" s="243">
        <v>32189</v>
      </c>
      <c r="H5969" t="s">
        <v>182</v>
      </c>
      <c r="I5969">
        <v>15</v>
      </c>
      <c r="J5969">
        <v>16</v>
      </c>
      <c r="K5969">
        <v>1</v>
      </c>
      <c r="L5969">
        <v>110923</v>
      </c>
      <c r="M5969" t="str">
        <f t="shared" si="931"/>
        <v>13</v>
      </c>
      <c r="N5969" t="s">
        <v>3323</v>
      </c>
      <c r="O5969" t="str">
        <f t="shared" si="940"/>
        <v>74511</v>
      </c>
      <c r="P5969" t="str">
        <f>"1502L"</f>
        <v>1502L</v>
      </c>
      <c r="Q5969" t="str">
        <f t="shared" si="939"/>
        <v>0101</v>
      </c>
      <c r="R5969">
        <v>1502</v>
      </c>
      <c r="S5969" t="str">
        <f t="shared" si="941"/>
        <v>7450</v>
      </c>
      <c r="T5969" t="s">
        <v>3856</v>
      </c>
      <c r="U5969" t="s">
        <v>106</v>
      </c>
    </row>
    <row r="5970" spans="1:21" ht="15" customHeight="1" x14ac:dyDescent="0.3">
      <c r="A5970" t="s">
        <v>179</v>
      </c>
      <c r="B5970" t="str">
        <f>"00075644"</f>
        <v>00075644</v>
      </c>
      <c r="C5970" t="s">
        <v>6011</v>
      </c>
      <c r="D5970" t="s">
        <v>3956</v>
      </c>
      <c r="E5970" t="str">
        <f>"00066440"</f>
        <v>00066440</v>
      </c>
      <c r="F5970">
        <v>1</v>
      </c>
      <c r="H5970" t="s">
        <v>182</v>
      </c>
      <c r="I5970">
        <v>16</v>
      </c>
      <c r="J5970">
        <v>2</v>
      </c>
      <c r="K5970">
        <v>0.25</v>
      </c>
      <c r="L5970">
        <v>27674.400000000001</v>
      </c>
      <c r="M5970" t="str">
        <f t="shared" si="931"/>
        <v>13</v>
      </c>
      <c r="N5970" t="s">
        <v>3370</v>
      </c>
      <c r="O5970" t="str">
        <f t="shared" si="940"/>
        <v>74511</v>
      </c>
      <c r="P5970" t="str">
        <f>"2100L"</f>
        <v>2100L</v>
      </c>
      <c r="Q5970" t="str">
        <f t="shared" si="939"/>
        <v>0101</v>
      </c>
      <c r="R5970">
        <v>2100</v>
      </c>
      <c r="S5970" t="str">
        <f t="shared" si="941"/>
        <v>7450</v>
      </c>
      <c r="T5970" t="s">
        <v>3856</v>
      </c>
      <c r="U5970" t="s">
        <v>106</v>
      </c>
    </row>
    <row r="5971" spans="1:21" ht="15" customHeight="1" x14ac:dyDescent="0.3">
      <c r="A5971" t="s">
        <v>179</v>
      </c>
      <c r="B5971" t="str">
        <f>"00076303"</f>
        <v>00076303</v>
      </c>
      <c r="C5971" t="s">
        <v>4253</v>
      </c>
      <c r="D5971" t="s">
        <v>4213</v>
      </c>
      <c r="E5971" t="str">
        <f>"00066649"</f>
        <v>00066649</v>
      </c>
      <c r="F5971">
        <v>0</v>
      </c>
      <c r="G5971" s="243">
        <v>41119</v>
      </c>
      <c r="H5971" t="s">
        <v>182</v>
      </c>
      <c r="I5971">
        <v>15</v>
      </c>
      <c r="J5971">
        <v>1</v>
      </c>
      <c r="K5971">
        <v>1</v>
      </c>
      <c r="L5971">
        <v>51539</v>
      </c>
      <c r="M5971" t="str">
        <f t="shared" si="931"/>
        <v>13</v>
      </c>
      <c r="N5971" t="s">
        <v>3323</v>
      </c>
      <c r="O5971" t="str">
        <f t="shared" si="940"/>
        <v>74511</v>
      </c>
      <c r="P5971" t="str">
        <f>"2100L"</f>
        <v>2100L</v>
      </c>
      <c r="Q5971" t="str">
        <f t="shared" si="939"/>
        <v>0101</v>
      </c>
      <c r="R5971">
        <v>2100</v>
      </c>
      <c r="S5971" t="str">
        <f t="shared" si="941"/>
        <v>7450</v>
      </c>
      <c r="T5971" t="s">
        <v>3856</v>
      </c>
      <c r="U5971" t="s">
        <v>106</v>
      </c>
    </row>
    <row r="5972" spans="1:21" ht="15" customHeight="1" x14ac:dyDescent="0.3">
      <c r="A5972" t="s">
        <v>179</v>
      </c>
      <c r="B5972" t="str">
        <f>"00076304"</f>
        <v>00076304</v>
      </c>
      <c r="C5972" t="s">
        <v>4728</v>
      </c>
      <c r="D5972" t="s">
        <v>2194</v>
      </c>
      <c r="E5972" t="str">
        <f>"00053194"</f>
        <v>00053194</v>
      </c>
      <c r="F5972">
        <v>0</v>
      </c>
      <c r="G5972" s="243">
        <v>41133</v>
      </c>
      <c r="H5972" t="s">
        <v>182</v>
      </c>
      <c r="I5972">
        <v>9</v>
      </c>
      <c r="J5972">
        <v>4</v>
      </c>
      <c r="K5972">
        <v>1</v>
      </c>
      <c r="L5972">
        <v>36352</v>
      </c>
      <c r="M5972" t="str">
        <f t="shared" si="931"/>
        <v>13</v>
      </c>
      <c r="N5972" t="s">
        <v>3370</v>
      </c>
      <c r="O5972" t="str">
        <f t="shared" si="940"/>
        <v>74511</v>
      </c>
      <c r="P5972" t="str">
        <f>"2100L"</f>
        <v>2100L</v>
      </c>
      <c r="Q5972" t="str">
        <f t="shared" si="939"/>
        <v>0101</v>
      </c>
      <c r="R5972">
        <v>2100</v>
      </c>
      <c r="S5972" t="str">
        <f t="shared" si="941"/>
        <v>7450</v>
      </c>
      <c r="T5972" t="s">
        <v>3856</v>
      </c>
      <c r="U5972" t="s">
        <v>106</v>
      </c>
    </row>
    <row r="5973" spans="1:21" ht="15" customHeight="1" x14ac:dyDescent="0.3">
      <c r="A5973" t="s">
        <v>179</v>
      </c>
      <c r="B5973" t="str">
        <f>"00076305"</f>
        <v>00076305</v>
      </c>
      <c r="C5973" t="s">
        <v>4253</v>
      </c>
      <c r="D5973" t="s">
        <v>2168</v>
      </c>
      <c r="E5973" t="str">
        <f>"00055253"</f>
        <v>00055253</v>
      </c>
      <c r="F5973">
        <v>0</v>
      </c>
      <c r="G5973" s="243">
        <v>37908</v>
      </c>
      <c r="H5973" t="s">
        <v>182</v>
      </c>
      <c r="I5973">
        <v>15</v>
      </c>
      <c r="J5973">
        <v>13</v>
      </c>
      <c r="K5973">
        <v>1</v>
      </c>
      <c r="L5973">
        <v>86613</v>
      </c>
      <c r="M5973" t="str">
        <f t="shared" si="931"/>
        <v>13</v>
      </c>
      <c r="N5973" t="s">
        <v>3370</v>
      </c>
      <c r="O5973" t="str">
        <f t="shared" si="940"/>
        <v>74511</v>
      </c>
      <c r="P5973" t="str">
        <f>"2100L"</f>
        <v>2100L</v>
      </c>
      <c r="Q5973" t="str">
        <f t="shared" si="939"/>
        <v>0101</v>
      </c>
      <c r="R5973">
        <v>2100</v>
      </c>
      <c r="S5973" t="str">
        <f t="shared" si="941"/>
        <v>7450</v>
      </c>
      <c r="T5973" t="s">
        <v>3856</v>
      </c>
      <c r="U5973" t="s">
        <v>106</v>
      </c>
    </row>
    <row r="5974" spans="1:21" ht="15" customHeight="1" x14ac:dyDescent="0.3">
      <c r="A5974" t="s">
        <v>179</v>
      </c>
      <c r="B5974" t="str">
        <f>"00076828"</f>
        <v>00076828</v>
      </c>
      <c r="C5974" t="s">
        <v>4998</v>
      </c>
      <c r="H5974" t="s">
        <v>170</v>
      </c>
      <c r="I5974">
        <v>15</v>
      </c>
      <c r="J5974">
        <v>0</v>
      </c>
      <c r="K5974">
        <v>0.49</v>
      </c>
      <c r="L5974">
        <v>53256</v>
      </c>
      <c r="M5974" t="str">
        <f t="shared" si="931"/>
        <v>13</v>
      </c>
      <c r="N5974" t="s">
        <v>3370</v>
      </c>
      <c r="O5974" t="str">
        <f t="shared" si="940"/>
        <v>74511</v>
      </c>
      <c r="P5974" t="str">
        <f>"6100L"</f>
        <v>6100L</v>
      </c>
      <c r="Q5974" t="str">
        <f t="shared" si="939"/>
        <v>0101</v>
      </c>
      <c r="R5974">
        <v>6100</v>
      </c>
      <c r="S5974" t="str">
        <f t="shared" si="941"/>
        <v>7450</v>
      </c>
      <c r="T5974" t="s">
        <v>3856</v>
      </c>
      <c r="U5974" t="s">
        <v>106</v>
      </c>
    </row>
    <row r="5975" spans="1:21" ht="15" customHeight="1" x14ac:dyDescent="0.3">
      <c r="A5975" t="s">
        <v>179</v>
      </c>
      <c r="B5975" t="str">
        <f>"00076946"</f>
        <v>00076946</v>
      </c>
      <c r="C5975" t="s">
        <v>6012</v>
      </c>
      <c r="D5975" t="s">
        <v>6013</v>
      </c>
      <c r="E5975" t="str">
        <f>"00070479"</f>
        <v>00070479</v>
      </c>
      <c r="F5975">
        <v>0</v>
      </c>
      <c r="G5975" s="243">
        <v>41176</v>
      </c>
      <c r="H5975" t="s">
        <v>182</v>
      </c>
      <c r="I5975">
        <v>16</v>
      </c>
      <c r="J5975">
        <v>1</v>
      </c>
      <c r="K5975">
        <v>0.25</v>
      </c>
      <c r="L5975">
        <v>18283.2</v>
      </c>
      <c r="M5975" t="str">
        <f t="shared" si="931"/>
        <v>13</v>
      </c>
      <c r="N5975" t="s">
        <v>3370</v>
      </c>
      <c r="O5975" t="str">
        <f t="shared" si="940"/>
        <v>74511</v>
      </c>
      <c r="P5975" t="str">
        <f t="shared" ref="P5975:P5981" si="942">"2100L"</f>
        <v>2100L</v>
      </c>
      <c r="Q5975" t="str">
        <f t="shared" si="939"/>
        <v>0101</v>
      </c>
      <c r="R5975">
        <v>2100</v>
      </c>
      <c r="S5975" t="str">
        <f t="shared" si="941"/>
        <v>7450</v>
      </c>
      <c r="T5975" t="s">
        <v>3856</v>
      </c>
      <c r="U5975" t="s">
        <v>106</v>
      </c>
    </row>
    <row r="5976" spans="1:21" ht="15" customHeight="1" x14ac:dyDescent="0.3">
      <c r="A5976" t="s">
        <v>179</v>
      </c>
      <c r="B5976" t="str">
        <f>"00076947"</f>
        <v>00076947</v>
      </c>
      <c r="C5976" t="s">
        <v>6014</v>
      </c>
      <c r="D5976" t="s">
        <v>4231</v>
      </c>
      <c r="E5976" t="str">
        <f>"00065216"</f>
        <v>00065216</v>
      </c>
      <c r="F5976">
        <v>1</v>
      </c>
      <c r="H5976" t="s">
        <v>182</v>
      </c>
      <c r="I5976">
        <v>16</v>
      </c>
      <c r="J5976">
        <v>3</v>
      </c>
      <c r="K5976">
        <v>0.5</v>
      </c>
      <c r="L5976">
        <v>31293.599999999999</v>
      </c>
      <c r="M5976" t="str">
        <f t="shared" si="931"/>
        <v>13</v>
      </c>
      <c r="N5976" t="s">
        <v>3370</v>
      </c>
      <c r="O5976" t="str">
        <f t="shared" si="940"/>
        <v>74511</v>
      </c>
      <c r="P5976" t="str">
        <f t="shared" si="942"/>
        <v>2100L</v>
      </c>
      <c r="Q5976" t="str">
        <f t="shared" si="939"/>
        <v>0101</v>
      </c>
      <c r="R5976">
        <v>2100</v>
      </c>
      <c r="S5976" t="str">
        <f t="shared" si="941"/>
        <v>7450</v>
      </c>
      <c r="T5976" t="s">
        <v>3856</v>
      </c>
      <c r="U5976" t="s">
        <v>106</v>
      </c>
    </row>
    <row r="5977" spans="1:21" ht="15" customHeight="1" x14ac:dyDescent="0.3">
      <c r="A5977" t="s">
        <v>179</v>
      </c>
      <c r="B5977" t="str">
        <f>"00076948"</f>
        <v>00076948</v>
      </c>
      <c r="C5977" t="s">
        <v>6015</v>
      </c>
      <c r="D5977" t="s">
        <v>6016</v>
      </c>
      <c r="E5977" t="str">
        <f>"00050318"</f>
        <v>00050318</v>
      </c>
      <c r="F5977">
        <v>1</v>
      </c>
      <c r="H5977" t="s">
        <v>182</v>
      </c>
      <c r="I5977">
        <v>16</v>
      </c>
      <c r="J5977">
        <v>3</v>
      </c>
      <c r="K5977">
        <v>0.5</v>
      </c>
      <c r="L5977">
        <v>23470.2</v>
      </c>
      <c r="M5977" t="str">
        <f t="shared" si="931"/>
        <v>13</v>
      </c>
      <c r="N5977" t="s">
        <v>3370</v>
      </c>
      <c r="O5977" t="str">
        <f t="shared" si="940"/>
        <v>74511</v>
      </c>
      <c r="P5977" t="str">
        <f t="shared" si="942"/>
        <v>2100L</v>
      </c>
      <c r="Q5977" t="str">
        <f t="shared" si="939"/>
        <v>0101</v>
      </c>
      <c r="R5977">
        <v>2100</v>
      </c>
      <c r="S5977" t="str">
        <f t="shared" si="941"/>
        <v>7450</v>
      </c>
      <c r="T5977" t="s">
        <v>3856</v>
      </c>
      <c r="U5977" t="s">
        <v>106</v>
      </c>
    </row>
    <row r="5978" spans="1:21" ht="15" customHeight="1" x14ac:dyDescent="0.3">
      <c r="A5978" t="s">
        <v>179</v>
      </c>
      <c r="B5978" t="str">
        <f>"00076949"</f>
        <v>00076949</v>
      </c>
      <c r="C5978" t="s">
        <v>334</v>
      </c>
      <c r="D5978" t="s">
        <v>5355</v>
      </c>
      <c r="E5978" t="str">
        <f>"00069837"</f>
        <v>00069837</v>
      </c>
      <c r="F5978">
        <v>1</v>
      </c>
      <c r="H5978" t="s">
        <v>182</v>
      </c>
      <c r="I5978">
        <v>16</v>
      </c>
      <c r="J5978">
        <v>1</v>
      </c>
      <c r="K5978">
        <v>0.5</v>
      </c>
      <c r="L5978">
        <v>18283.2</v>
      </c>
      <c r="M5978" t="str">
        <f t="shared" si="931"/>
        <v>13</v>
      </c>
      <c r="N5978" t="s">
        <v>3370</v>
      </c>
      <c r="O5978" t="str">
        <f t="shared" si="940"/>
        <v>74511</v>
      </c>
      <c r="P5978" t="str">
        <f t="shared" si="942"/>
        <v>2100L</v>
      </c>
      <c r="Q5978" t="str">
        <f t="shared" si="939"/>
        <v>0101</v>
      </c>
      <c r="R5978">
        <v>2100</v>
      </c>
      <c r="S5978" t="str">
        <f t="shared" si="941"/>
        <v>7450</v>
      </c>
      <c r="T5978" t="s">
        <v>3856</v>
      </c>
      <c r="U5978" t="s">
        <v>106</v>
      </c>
    </row>
    <row r="5979" spans="1:21" ht="15" customHeight="1" x14ac:dyDescent="0.3">
      <c r="A5979" t="s">
        <v>179</v>
      </c>
      <c r="B5979" t="str">
        <f>"00052973"</f>
        <v>00052973</v>
      </c>
      <c r="C5979" t="s">
        <v>4290</v>
      </c>
      <c r="D5979" t="s">
        <v>528</v>
      </c>
      <c r="E5979" t="str">
        <f>"00050478"</f>
        <v>00050478</v>
      </c>
      <c r="F5979">
        <v>0</v>
      </c>
      <c r="G5979" s="243">
        <v>35704</v>
      </c>
      <c r="H5979" t="s">
        <v>182</v>
      </c>
      <c r="I5979">
        <v>4</v>
      </c>
      <c r="J5979">
        <v>9</v>
      </c>
      <c r="K5979">
        <v>0.875</v>
      </c>
      <c r="L5979">
        <v>28025.38</v>
      </c>
      <c r="M5979" t="str">
        <f t="shared" si="931"/>
        <v>13</v>
      </c>
      <c r="N5979" t="s">
        <v>3323</v>
      </c>
      <c r="O5979" t="str">
        <f t="shared" ref="O5979:O5993" si="943">"74811"</f>
        <v>74811</v>
      </c>
      <c r="P5979" t="str">
        <f t="shared" si="942"/>
        <v>2100L</v>
      </c>
      <c r="Q5979" t="str">
        <f t="shared" si="939"/>
        <v>0101</v>
      </c>
      <c r="R5979">
        <v>2100</v>
      </c>
      <c r="S5979" t="str">
        <f t="shared" ref="S5979:S5993" si="944">"7480"</f>
        <v>7480</v>
      </c>
      <c r="T5979" t="s">
        <v>3841</v>
      </c>
      <c r="U5979" t="s">
        <v>98</v>
      </c>
    </row>
    <row r="5980" spans="1:21" ht="15" customHeight="1" x14ac:dyDescent="0.3">
      <c r="A5980" t="s">
        <v>179</v>
      </c>
      <c r="B5980" t="str">
        <f>"00054066"</f>
        <v>00054066</v>
      </c>
      <c r="C5980" t="s">
        <v>4290</v>
      </c>
      <c r="D5980" t="s">
        <v>6017</v>
      </c>
      <c r="E5980" t="str">
        <f>"00052959"</f>
        <v>00052959</v>
      </c>
      <c r="F5980">
        <v>0</v>
      </c>
      <c r="G5980" s="243">
        <v>36108</v>
      </c>
      <c r="H5980" t="s">
        <v>182</v>
      </c>
      <c r="I5980">
        <v>4</v>
      </c>
      <c r="J5980">
        <v>10</v>
      </c>
      <c r="K5980">
        <v>0.875</v>
      </c>
      <c r="L5980">
        <v>28721</v>
      </c>
      <c r="M5980" t="str">
        <f t="shared" si="931"/>
        <v>13</v>
      </c>
      <c r="N5980" t="s">
        <v>3323</v>
      </c>
      <c r="O5980" t="str">
        <f t="shared" si="943"/>
        <v>74811</v>
      </c>
      <c r="P5980" t="str">
        <f t="shared" si="942"/>
        <v>2100L</v>
      </c>
      <c r="Q5980" t="str">
        <f t="shared" si="939"/>
        <v>0101</v>
      </c>
      <c r="R5980">
        <v>2100</v>
      </c>
      <c r="S5980" t="str">
        <f t="shared" si="944"/>
        <v>7480</v>
      </c>
      <c r="T5980" t="s">
        <v>3841</v>
      </c>
      <c r="U5980" t="s">
        <v>98</v>
      </c>
    </row>
    <row r="5981" spans="1:21" ht="15" customHeight="1" x14ac:dyDescent="0.3">
      <c r="A5981" t="s">
        <v>179</v>
      </c>
      <c r="B5981" t="str">
        <f>"00060738"</f>
        <v>00060738</v>
      </c>
      <c r="C5981" t="s">
        <v>4253</v>
      </c>
      <c r="D5981" t="s">
        <v>4220</v>
      </c>
      <c r="E5981" t="str">
        <f>"00066019"</f>
        <v>00066019</v>
      </c>
      <c r="F5981">
        <v>0</v>
      </c>
      <c r="G5981" s="243">
        <v>40755</v>
      </c>
      <c r="H5981" t="s">
        <v>182</v>
      </c>
      <c r="I5981">
        <v>15</v>
      </c>
      <c r="J5981">
        <v>6</v>
      </c>
      <c r="K5981">
        <v>1</v>
      </c>
      <c r="L5981">
        <v>66078</v>
      </c>
      <c r="M5981" t="str">
        <f t="shared" ref="M5981:M6036" si="945">"13"</f>
        <v>13</v>
      </c>
      <c r="N5981" t="s">
        <v>3323</v>
      </c>
      <c r="O5981" t="str">
        <f t="shared" si="943"/>
        <v>74811</v>
      </c>
      <c r="P5981" t="str">
        <f t="shared" si="942"/>
        <v>2100L</v>
      </c>
      <c r="Q5981" t="str">
        <f t="shared" si="939"/>
        <v>0101</v>
      </c>
      <c r="R5981">
        <v>2100</v>
      </c>
      <c r="S5981" t="str">
        <f t="shared" si="944"/>
        <v>7480</v>
      </c>
      <c r="T5981" t="s">
        <v>3841</v>
      </c>
      <c r="U5981" t="s">
        <v>98</v>
      </c>
    </row>
    <row r="5982" spans="1:21" ht="15" customHeight="1" x14ac:dyDescent="0.3">
      <c r="A5982" t="s">
        <v>179</v>
      </c>
      <c r="B5982" t="str">
        <f>"00061986"</f>
        <v>00061986</v>
      </c>
      <c r="C5982" t="s">
        <v>4260</v>
      </c>
      <c r="D5982" t="s">
        <v>4219</v>
      </c>
      <c r="E5982" t="str">
        <f>"00066284"</f>
        <v>00066284</v>
      </c>
      <c r="F5982">
        <v>0</v>
      </c>
      <c r="G5982" s="243">
        <v>40755</v>
      </c>
      <c r="H5982" t="s">
        <v>182</v>
      </c>
      <c r="I5982">
        <v>15</v>
      </c>
      <c r="J5982">
        <v>2</v>
      </c>
      <c r="K5982">
        <v>1</v>
      </c>
      <c r="L5982">
        <v>56242</v>
      </c>
      <c r="M5982" t="str">
        <f t="shared" si="945"/>
        <v>13</v>
      </c>
      <c r="N5982" t="s">
        <v>3323</v>
      </c>
      <c r="O5982" t="str">
        <f t="shared" si="943"/>
        <v>74811</v>
      </c>
      <c r="P5982" t="str">
        <f>"3030L"</f>
        <v>3030L</v>
      </c>
      <c r="Q5982" t="str">
        <f t="shared" si="939"/>
        <v>0101</v>
      </c>
      <c r="R5982">
        <v>3030</v>
      </c>
      <c r="S5982" t="str">
        <f t="shared" si="944"/>
        <v>7480</v>
      </c>
      <c r="T5982" t="s">
        <v>3841</v>
      </c>
      <c r="U5982" t="s">
        <v>98</v>
      </c>
    </row>
    <row r="5983" spans="1:21" ht="15" customHeight="1" x14ac:dyDescent="0.3">
      <c r="A5983" t="s">
        <v>179</v>
      </c>
      <c r="B5983" t="str">
        <f>"00062747"</f>
        <v>00062747</v>
      </c>
      <c r="C5983" t="s">
        <v>4260</v>
      </c>
      <c r="D5983" t="s">
        <v>6018</v>
      </c>
      <c r="E5983" t="str">
        <f>"00069911"</f>
        <v>00069911</v>
      </c>
      <c r="F5983">
        <v>0</v>
      </c>
      <c r="G5983" s="243">
        <v>41133</v>
      </c>
      <c r="H5983" t="s">
        <v>182</v>
      </c>
      <c r="I5983">
        <v>15</v>
      </c>
      <c r="J5983">
        <v>1</v>
      </c>
      <c r="K5983">
        <v>1</v>
      </c>
      <c r="L5983">
        <v>51539</v>
      </c>
      <c r="M5983" t="str">
        <f t="shared" si="945"/>
        <v>13</v>
      </c>
      <c r="N5983" t="s">
        <v>3370</v>
      </c>
      <c r="O5983" t="str">
        <f t="shared" si="943"/>
        <v>74811</v>
      </c>
      <c r="P5983" t="str">
        <f>"3030L"</f>
        <v>3030L</v>
      </c>
      <c r="Q5983" t="str">
        <f t="shared" si="939"/>
        <v>0101</v>
      </c>
      <c r="R5983">
        <v>3030</v>
      </c>
      <c r="S5983" t="str">
        <f t="shared" si="944"/>
        <v>7480</v>
      </c>
      <c r="T5983" t="s">
        <v>3841</v>
      </c>
      <c r="U5983" t="s">
        <v>98</v>
      </c>
    </row>
    <row r="5984" spans="1:21" ht="15" customHeight="1" x14ac:dyDescent="0.3">
      <c r="A5984" t="s">
        <v>179</v>
      </c>
      <c r="B5984" t="str">
        <f>"00062806"</f>
        <v>00062806</v>
      </c>
      <c r="C5984" t="s">
        <v>4292</v>
      </c>
      <c r="D5984" t="s">
        <v>6019</v>
      </c>
      <c r="E5984" t="str">
        <f>"00053397"</f>
        <v>00053397</v>
      </c>
      <c r="F5984">
        <v>0</v>
      </c>
      <c r="G5984" s="243">
        <v>39755</v>
      </c>
      <c r="H5984" t="s">
        <v>182</v>
      </c>
      <c r="I5984">
        <v>4</v>
      </c>
      <c r="J5984">
        <v>6</v>
      </c>
      <c r="K5984">
        <v>0.875</v>
      </c>
      <c r="L5984">
        <v>25935.88</v>
      </c>
      <c r="M5984" t="str">
        <f t="shared" si="945"/>
        <v>13</v>
      </c>
      <c r="N5984" t="s">
        <v>3323</v>
      </c>
      <c r="O5984" t="str">
        <f t="shared" si="943"/>
        <v>74811</v>
      </c>
      <c r="P5984" t="str">
        <f>"3030L"</f>
        <v>3030L</v>
      </c>
      <c r="Q5984" t="str">
        <f t="shared" si="939"/>
        <v>0101</v>
      </c>
      <c r="R5984">
        <v>3030</v>
      </c>
      <c r="S5984" t="str">
        <f t="shared" si="944"/>
        <v>7480</v>
      </c>
      <c r="T5984" t="s">
        <v>3841</v>
      </c>
      <c r="U5984" t="s">
        <v>98</v>
      </c>
    </row>
    <row r="5985" spans="1:21" ht="15" customHeight="1" x14ac:dyDescent="0.3">
      <c r="A5985" t="s">
        <v>179</v>
      </c>
      <c r="B5985" t="str">
        <f>"00067507"</f>
        <v>00067507</v>
      </c>
      <c r="C5985" t="s">
        <v>4253</v>
      </c>
      <c r="D5985" t="s">
        <v>1167</v>
      </c>
      <c r="E5985" t="str">
        <f>"00062722"</f>
        <v>00062722</v>
      </c>
      <c r="F5985">
        <v>0</v>
      </c>
      <c r="G5985" s="243">
        <v>40406</v>
      </c>
      <c r="H5985" t="s">
        <v>182</v>
      </c>
      <c r="I5985">
        <v>15</v>
      </c>
      <c r="J5985">
        <v>2</v>
      </c>
      <c r="K5985">
        <v>1</v>
      </c>
      <c r="L5985">
        <v>51716</v>
      </c>
      <c r="M5985" t="str">
        <f t="shared" si="945"/>
        <v>13</v>
      </c>
      <c r="N5985" t="s">
        <v>3323</v>
      </c>
      <c r="O5985" t="str">
        <f t="shared" si="943"/>
        <v>74811</v>
      </c>
      <c r="P5985" t="str">
        <f>"2100L"</f>
        <v>2100L</v>
      </c>
      <c r="Q5985" t="str">
        <f t="shared" si="939"/>
        <v>0101</v>
      </c>
      <c r="R5985">
        <v>2100</v>
      </c>
      <c r="S5985" t="str">
        <f t="shared" si="944"/>
        <v>7480</v>
      </c>
      <c r="T5985" t="s">
        <v>3841</v>
      </c>
      <c r="U5985" t="s">
        <v>98</v>
      </c>
    </row>
    <row r="5986" spans="1:21" ht="15" customHeight="1" x14ac:dyDescent="0.3">
      <c r="A5986" t="s">
        <v>179</v>
      </c>
      <c r="B5986" t="str">
        <f>"00067511"</f>
        <v>00067511</v>
      </c>
      <c r="C5986" t="s">
        <v>4260</v>
      </c>
      <c r="D5986" t="s">
        <v>1311</v>
      </c>
      <c r="E5986" t="str">
        <f>"00062655"</f>
        <v>00062655</v>
      </c>
      <c r="F5986">
        <v>0</v>
      </c>
      <c r="G5986" s="243">
        <v>40406</v>
      </c>
      <c r="H5986" t="s">
        <v>182</v>
      </c>
      <c r="I5986">
        <v>15</v>
      </c>
      <c r="J5986">
        <v>2</v>
      </c>
      <c r="K5986">
        <v>1</v>
      </c>
      <c r="L5986">
        <v>51716</v>
      </c>
      <c r="M5986" t="str">
        <f t="shared" si="945"/>
        <v>13</v>
      </c>
      <c r="N5986" t="s">
        <v>3323</v>
      </c>
      <c r="O5986" t="str">
        <f t="shared" si="943"/>
        <v>74811</v>
      </c>
      <c r="P5986" t="str">
        <f>"2100L"</f>
        <v>2100L</v>
      </c>
      <c r="Q5986" t="str">
        <f t="shared" si="939"/>
        <v>0101</v>
      </c>
      <c r="R5986">
        <v>2100</v>
      </c>
      <c r="S5986" t="str">
        <f t="shared" si="944"/>
        <v>7480</v>
      </c>
      <c r="T5986" t="s">
        <v>3841</v>
      </c>
      <c r="U5986" t="s">
        <v>98</v>
      </c>
    </row>
    <row r="5987" spans="1:21" ht="15" customHeight="1" x14ac:dyDescent="0.3">
      <c r="A5987" t="s">
        <v>179</v>
      </c>
      <c r="B5987" t="str">
        <f>"00067512"</f>
        <v>00067512</v>
      </c>
      <c r="C5987" t="s">
        <v>4260</v>
      </c>
      <c r="D5987" t="s">
        <v>6020</v>
      </c>
      <c r="E5987" t="str">
        <f>"00070101"</f>
        <v>00070101</v>
      </c>
      <c r="F5987">
        <v>0</v>
      </c>
      <c r="G5987" s="243">
        <v>41133</v>
      </c>
      <c r="H5987" t="s">
        <v>182</v>
      </c>
      <c r="I5987">
        <v>15</v>
      </c>
      <c r="J5987">
        <v>1</v>
      </c>
      <c r="K5987">
        <v>1</v>
      </c>
      <c r="L5987">
        <v>51539</v>
      </c>
      <c r="M5987" t="str">
        <f t="shared" si="945"/>
        <v>13</v>
      </c>
      <c r="N5987" t="s">
        <v>3323</v>
      </c>
      <c r="O5987" t="str">
        <f t="shared" si="943"/>
        <v>74811</v>
      </c>
      <c r="P5987" t="str">
        <f>"2100L"</f>
        <v>2100L</v>
      </c>
      <c r="Q5987" t="str">
        <f t="shared" si="939"/>
        <v>0101</v>
      </c>
      <c r="R5987">
        <v>2100</v>
      </c>
      <c r="S5987" t="str">
        <f t="shared" si="944"/>
        <v>7480</v>
      </c>
      <c r="T5987" t="s">
        <v>3841</v>
      </c>
      <c r="U5987" t="s">
        <v>98</v>
      </c>
    </row>
    <row r="5988" spans="1:21" ht="15" customHeight="1" x14ac:dyDescent="0.3">
      <c r="A5988" t="s">
        <v>179</v>
      </c>
      <c r="B5988" t="str">
        <f>"00074789"</f>
        <v>00074789</v>
      </c>
      <c r="C5988" t="s">
        <v>4253</v>
      </c>
      <c r="D5988" t="s">
        <v>4216</v>
      </c>
      <c r="E5988" t="str">
        <f>"00066050"</f>
        <v>00066050</v>
      </c>
      <c r="F5988">
        <v>0</v>
      </c>
      <c r="G5988" s="243">
        <v>40755</v>
      </c>
      <c r="H5988" t="s">
        <v>182</v>
      </c>
      <c r="I5988">
        <v>15</v>
      </c>
      <c r="J5988">
        <v>5</v>
      </c>
      <c r="K5988">
        <v>1</v>
      </c>
      <c r="L5988">
        <v>63611</v>
      </c>
      <c r="M5988" t="str">
        <f t="shared" si="945"/>
        <v>13</v>
      </c>
      <c r="N5988" t="s">
        <v>3323</v>
      </c>
      <c r="O5988" t="str">
        <f t="shared" si="943"/>
        <v>74811</v>
      </c>
      <c r="P5988" t="str">
        <f>"3030L"</f>
        <v>3030L</v>
      </c>
      <c r="Q5988" t="str">
        <f t="shared" si="939"/>
        <v>0101</v>
      </c>
      <c r="R5988">
        <v>3030</v>
      </c>
      <c r="S5988" t="str">
        <f t="shared" si="944"/>
        <v>7480</v>
      </c>
      <c r="T5988" t="s">
        <v>3841</v>
      </c>
      <c r="U5988" t="s">
        <v>98</v>
      </c>
    </row>
    <row r="5989" spans="1:21" ht="15" customHeight="1" x14ac:dyDescent="0.3">
      <c r="A5989" t="s">
        <v>179</v>
      </c>
      <c r="B5989" t="str">
        <f>"00074790"</f>
        <v>00074790</v>
      </c>
      <c r="C5989" t="s">
        <v>4260</v>
      </c>
      <c r="D5989" t="s">
        <v>4217</v>
      </c>
      <c r="E5989" t="str">
        <f>"00066066"</f>
        <v>00066066</v>
      </c>
      <c r="F5989">
        <v>0</v>
      </c>
      <c r="G5989" s="243">
        <v>40755</v>
      </c>
      <c r="H5989" t="s">
        <v>182</v>
      </c>
      <c r="I5989">
        <v>15</v>
      </c>
      <c r="J5989">
        <v>2</v>
      </c>
      <c r="K5989">
        <v>1</v>
      </c>
      <c r="L5989">
        <v>51716</v>
      </c>
      <c r="M5989" t="str">
        <f t="shared" si="945"/>
        <v>13</v>
      </c>
      <c r="N5989" t="s">
        <v>3323</v>
      </c>
      <c r="O5989" t="str">
        <f t="shared" si="943"/>
        <v>74811</v>
      </c>
      <c r="P5989" t="str">
        <f>"3030L"</f>
        <v>3030L</v>
      </c>
      <c r="Q5989" t="str">
        <f t="shared" ref="Q5989:Q6016" si="946">"0101"</f>
        <v>0101</v>
      </c>
      <c r="R5989">
        <v>3030</v>
      </c>
      <c r="S5989" t="str">
        <f t="shared" si="944"/>
        <v>7480</v>
      </c>
      <c r="T5989" t="s">
        <v>3841</v>
      </c>
      <c r="U5989" t="s">
        <v>98</v>
      </c>
    </row>
    <row r="5990" spans="1:21" ht="15" customHeight="1" x14ac:dyDescent="0.3">
      <c r="A5990" t="s">
        <v>179</v>
      </c>
      <c r="B5990" t="str">
        <f>"00074791"</f>
        <v>00074791</v>
      </c>
      <c r="C5990" t="s">
        <v>4260</v>
      </c>
      <c r="D5990" t="s">
        <v>4218</v>
      </c>
      <c r="E5990" t="str">
        <f>"00066067"</f>
        <v>00066067</v>
      </c>
      <c r="F5990">
        <v>0</v>
      </c>
      <c r="G5990" s="243">
        <v>40755</v>
      </c>
      <c r="H5990" t="s">
        <v>182</v>
      </c>
      <c r="I5990">
        <v>15</v>
      </c>
      <c r="J5990">
        <v>5</v>
      </c>
      <c r="K5990">
        <v>1</v>
      </c>
      <c r="L5990">
        <v>66078</v>
      </c>
      <c r="M5990" t="str">
        <f t="shared" si="945"/>
        <v>13</v>
      </c>
      <c r="N5990" t="s">
        <v>3323</v>
      </c>
      <c r="O5990" t="str">
        <f t="shared" si="943"/>
        <v>74811</v>
      </c>
      <c r="P5990" t="str">
        <f>"3030L"</f>
        <v>3030L</v>
      </c>
      <c r="Q5990" t="str">
        <f t="shared" si="946"/>
        <v>0101</v>
      </c>
      <c r="R5990">
        <v>3030</v>
      </c>
      <c r="S5990" t="str">
        <f t="shared" si="944"/>
        <v>7480</v>
      </c>
      <c r="T5990" t="s">
        <v>4133</v>
      </c>
      <c r="U5990" t="s">
        <v>106</v>
      </c>
    </row>
    <row r="5991" spans="1:21" ht="15" customHeight="1" x14ac:dyDescent="0.3">
      <c r="A5991" t="s">
        <v>179</v>
      </c>
      <c r="B5991" t="str">
        <f>"00074792"</f>
        <v>00074792</v>
      </c>
      <c r="C5991" t="s">
        <v>4857</v>
      </c>
      <c r="D5991" t="s">
        <v>286</v>
      </c>
      <c r="E5991" t="str">
        <f>"00044575"</f>
        <v>00044575</v>
      </c>
      <c r="F5991">
        <v>0</v>
      </c>
      <c r="G5991" s="243">
        <v>40770</v>
      </c>
      <c r="H5991" t="s">
        <v>182</v>
      </c>
      <c r="I5991">
        <v>9</v>
      </c>
      <c r="J5991">
        <v>11</v>
      </c>
      <c r="K5991">
        <v>1</v>
      </c>
      <c r="L5991">
        <v>74555</v>
      </c>
      <c r="M5991" t="str">
        <f t="shared" si="945"/>
        <v>13</v>
      </c>
      <c r="N5991" t="s">
        <v>3323</v>
      </c>
      <c r="O5991" t="str">
        <f t="shared" si="943"/>
        <v>74811</v>
      </c>
      <c r="P5991" t="str">
        <f>"3030L"</f>
        <v>3030L</v>
      </c>
      <c r="Q5991" t="str">
        <f t="shared" si="946"/>
        <v>0101</v>
      </c>
      <c r="R5991">
        <v>3030</v>
      </c>
      <c r="S5991" t="str">
        <f t="shared" si="944"/>
        <v>7480</v>
      </c>
      <c r="T5991" t="s">
        <v>3841</v>
      </c>
      <c r="U5991" t="s">
        <v>98</v>
      </c>
    </row>
    <row r="5992" spans="1:21" ht="15" customHeight="1" x14ac:dyDescent="0.3">
      <c r="A5992" t="s">
        <v>179</v>
      </c>
      <c r="B5992" t="str">
        <f>"00075357"</f>
        <v>00075357</v>
      </c>
      <c r="C5992" t="s">
        <v>4253</v>
      </c>
      <c r="H5992" t="s">
        <v>170</v>
      </c>
      <c r="I5992">
        <v>15</v>
      </c>
      <c r="J5992">
        <v>1</v>
      </c>
      <c r="K5992">
        <v>1</v>
      </c>
      <c r="L5992">
        <v>51539</v>
      </c>
      <c r="M5992" t="str">
        <f t="shared" si="945"/>
        <v>13</v>
      </c>
      <c r="N5992" t="s">
        <v>3323</v>
      </c>
      <c r="O5992" t="str">
        <f t="shared" si="943"/>
        <v>74811</v>
      </c>
      <c r="P5992" t="str">
        <f>"2100L"</f>
        <v>2100L</v>
      </c>
      <c r="Q5992" t="str">
        <f t="shared" si="946"/>
        <v>0101</v>
      </c>
      <c r="R5992">
        <v>2100</v>
      </c>
      <c r="S5992" t="str">
        <f t="shared" si="944"/>
        <v>7480</v>
      </c>
      <c r="T5992" t="s">
        <v>3834</v>
      </c>
      <c r="U5992" t="s">
        <v>98</v>
      </c>
    </row>
    <row r="5993" spans="1:21" ht="15" customHeight="1" x14ac:dyDescent="0.3">
      <c r="A5993" t="s">
        <v>179</v>
      </c>
      <c r="B5993" t="str">
        <f>"00075359"</f>
        <v>00075359</v>
      </c>
      <c r="C5993" t="s">
        <v>4253</v>
      </c>
      <c r="H5993" t="s">
        <v>170</v>
      </c>
      <c r="I5993">
        <v>15</v>
      </c>
      <c r="J5993">
        <v>1</v>
      </c>
      <c r="K5993">
        <v>1</v>
      </c>
      <c r="L5993">
        <v>51539</v>
      </c>
      <c r="M5993" t="str">
        <f t="shared" si="945"/>
        <v>13</v>
      </c>
      <c r="N5993" t="s">
        <v>3323</v>
      </c>
      <c r="O5993" t="str">
        <f t="shared" si="943"/>
        <v>74811</v>
      </c>
      <c r="P5993" t="str">
        <f>"2100L"</f>
        <v>2100L</v>
      </c>
      <c r="Q5993" t="str">
        <f t="shared" si="946"/>
        <v>0101</v>
      </c>
      <c r="R5993">
        <v>2100</v>
      </c>
      <c r="S5993" t="str">
        <f t="shared" si="944"/>
        <v>7480</v>
      </c>
      <c r="T5993" t="s">
        <v>3834</v>
      </c>
      <c r="U5993" t="s">
        <v>98</v>
      </c>
    </row>
    <row r="5994" spans="1:21" ht="15" customHeight="1" x14ac:dyDescent="0.3">
      <c r="A5994" t="s">
        <v>179</v>
      </c>
      <c r="B5994" t="str">
        <f>"00051904"</f>
        <v>00051904</v>
      </c>
      <c r="C5994" t="s">
        <v>3798</v>
      </c>
      <c r="D5994" t="s">
        <v>1567</v>
      </c>
      <c r="E5994" t="str">
        <f>"00057616"</f>
        <v>00057616</v>
      </c>
      <c r="F5994">
        <v>0</v>
      </c>
      <c r="G5994" s="243">
        <v>40042</v>
      </c>
      <c r="H5994" t="s">
        <v>182</v>
      </c>
      <c r="I5994">
        <v>65</v>
      </c>
      <c r="J5994">
        <v>2</v>
      </c>
      <c r="K5994">
        <v>1</v>
      </c>
      <c r="L5994">
        <v>117000</v>
      </c>
      <c r="M5994" t="str">
        <f t="shared" si="945"/>
        <v>13</v>
      </c>
      <c r="N5994" t="s">
        <v>3323</v>
      </c>
      <c r="O5994" t="str">
        <f t="shared" ref="O5994:O6031" si="947">"74911"</f>
        <v>74911</v>
      </c>
      <c r="P5994" t="str">
        <f>"1501L"</f>
        <v>1501L</v>
      </c>
      <c r="Q5994" t="str">
        <f t="shared" si="946"/>
        <v>0101</v>
      </c>
      <c r="R5994">
        <v>1501</v>
      </c>
      <c r="S5994" t="str">
        <f t="shared" ref="S5994:S6031" si="948">"7490"</f>
        <v>7490</v>
      </c>
      <c r="T5994" t="s">
        <v>4222</v>
      </c>
      <c r="U5994" t="s">
        <v>3138</v>
      </c>
    </row>
    <row r="5995" spans="1:21" ht="15" customHeight="1" x14ac:dyDescent="0.3">
      <c r="A5995" t="s">
        <v>179</v>
      </c>
      <c r="B5995" t="str">
        <f>"00057192"</f>
        <v>00057192</v>
      </c>
      <c r="C5995" t="s">
        <v>4253</v>
      </c>
      <c r="H5995" t="s">
        <v>170</v>
      </c>
      <c r="I5995">
        <v>15</v>
      </c>
      <c r="J5995">
        <v>1</v>
      </c>
      <c r="K5995">
        <v>1</v>
      </c>
      <c r="L5995">
        <v>60128</v>
      </c>
      <c r="M5995" t="str">
        <f t="shared" si="945"/>
        <v>13</v>
      </c>
      <c r="N5995" t="s">
        <v>3323</v>
      </c>
      <c r="O5995" t="str">
        <f t="shared" si="947"/>
        <v>74911</v>
      </c>
      <c r="P5995" t="str">
        <f>"2120L"</f>
        <v>2120L</v>
      </c>
      <c r="Q5995" t="str">
        <f t="shared" si="946"/>
        <v>0101</v>
      </c>
      <c r="R5995">
        <v>2120</v>
      </c>
      <c r="S5995" t="str">
        <f t="shared" si="948"/>
        <v>7490</v>
      </c>
      <c r="T5995" t="s">
        <v>4222</v>
      </c>
      <c r="U5995" t="s">
        <v>3138</v>
      </c>
    </row>
    <row r="5996" spans="1:21" ht="15" customHeight="1" x14ac:dyDescent="0.3">
      <c r="A5996" t="s">
        <v>179</v>
      </c>
      <c r="B5996" t="str">
        <f>"00060987"</f>
        <v>00060987</v>
      </c>
      <c r="C5996" t="s">
        <v>4253</v>
      </c>
      <c r="D5996" t="s">
        <v>1306</v>
      </c>
      <c r="E5996" t="str">
        <f>"00051900"</f>
        <v>00051900</v>
      </c>
      <c r="F5996">
        <v>0</v>
      </c>
      <c r="G5996" s="243">
        <v>33882</v>
      </c>
      <c r="H5996" t="s">
        <v>182</v>
      </c>
      <c r="I5996">
        <v>15</v>
      </c>
      <c r="J5996">
        <v>14</v>
      </c>
      <c r="K5996">
        <v>1</v>
      </c>
      <c r="L5996">
        <v>102160</v>
      </c>
      <c r="M5996" t="str">
        <f t="shared" si="945"/>
        <v>13</v>
      </c>
      <c r="N5996" t="s">
        <v>3323</v>
      </c>
      <c r="O5996" t="str">
        <f t="shared" si="947"/>
        <v>74911</v>
      </c>
      <c r="P5996" t="str">
        <f t="shared" ref="P5996:P6002" si="949">"2120L"</f>
        <v>2120L</v>
      </c>
      <c r="Q5996" t="str">
        <f t="shared" si="946"/>
        <v>0101</v>
      </c>
      <c r="R5996">
        <v>2120</v>
      </c>
      <c r="S5996" t="str">
        <f t="shared" si="948"/>
        <v>7490</v>
      </c>
      <c r="T5996" t="s">
        <v>4222</v>
      </c>
      <c r="U5996" t="s">
        <v>3138</v>
      </c>
    </row>
    <row r="5997" spans="1:21" ht="15" customHeight="1" x14ac:dyDescent="0.3">
      <c r="A5997" t="s">
        <v>179</v>
      </c>
      <c r="B5997" t="str">
        <f>"00062462"</f>
        <v>00062462</v>
      </c>
      <c r="C5997" t="s">
        <v>4253</v>
      </c>
      <c r="D5997" t="s">
        <v>1553</v>
      </c>
      <c r="E5997" t="str">
        <f>"00048196"</f>
        <v>00048196</v>
      </c>
      <c r="F5997">
        <v>0</v>
      </c>
      <c r="G5997" s="243">
        <v>32050</v>
      </c>
      <c r="H5997" t="s">
        <v>182</v>
      </c>
      <c r="I5997">
        <v>15</v>
      </c>
      <c r="J5997">
        <v>16</v>
      </c>
      <c r="K5997">
        <v>1</v>
      </c>
      <c r="L5997">
        <v>103347</v>
      </c>
      <c r="M5997" t="str">
        <f t="shared" si="945"/>
        <v>13</v>
      </c>
      <c r="N5997" t="s">
        <v>3370</v>
      </c>
      <c r="O5997" t="str">
        <f t="shared" si="947"/>
        <v>74911</v>
      </c>
      <c r="P5997" t="str">
        <f t="shared" si="949"/>
        <v>2120L</v>
      </c>
      <c r="Q5997" t="str">
        <f t="shared" si="946"/>
        <v>0101</v>
      </c>
      <c r="R5997">
        <v>2120</v>
      </c>
      <c r="S5997" t="str">
        <f t="shared" si="948"/>
        <v>7490</v>
      </c>
      <c r="T5997" t="s">
        <v>4222</v>
      </c>
      <c r="U5997" t="s">
        <v>3138</v>
      </c>
    </row>
    <row r="5998" spans="1:21" ht="15" customHeight="1" x14ac:dyDescent="0.3">
      <c r="A5998" t="s">
        <v>179</v>
      </c>
      <c r="B5998" t="str">
        <f>"00067406"</f>
        <v>00067406</v>
      </c>
      <c r="C5998" t="s">
        <v>4259</v>
      </c>
      <c r="D5998" t="s">
        <v>2996</v>
      </c>
      <c r="E5998" t="str">
        <f>"00057335"</f>
        <v>00057335</v>
      </c>
      <c r="F5998">
        <v>0</v>
      </c>
      <c r="G5998" s="243">
        <v>40042</v>
      </c>
      <c r="H5998" t="s">
        <v>182</v>
      </c>
      <c r="I5998">
        <v>15</v>
      </c>
      <c r="J5998">
        <v>8</v>
      </c>
      <c r="K5998">
        <v>1</v>
      </c>
      <c r="L5998">
        <v>72171</v>
      </c>
      <c r="M5998" t="str">
        <f t="shared" si="945"/>
        <v>13</v>
      </c>
      <c r="N5998" t="s">
        <v>3323</v>
      </c>
      <c r="O5998" t="str">
        <f t="shared" si="947"/>
        <v>74911</v>
      </c>
      <c r="P5998" t="str">
        <f t="shared" si="949"/>
        <v>2120L</v>
      </c>
      <c r="Q5998" t="str">
        <f t="shared" si="946"/>
        <v>0101</v>
      </c>
      <c r="R5998">
        <v>2120</v>
      </c>
      <c r="S5998" t="str">
        <f t="shared" si="948"/>
        <v>7490</v>
      </c>
      <c r="T5998" t="s">
        <v>4222</v>
      </c>
      <c r="U5998" t="s">
        <v>3138</v>
      </c>
    </row>
    <row r="5999" spans="1:21" ht="15" customHeight="1" x14ac:dyDescent="0.3">
      <c r="A5999" t="s">
        <v>179</v>
      </c>
      <c r="B5999" t="str">
        <f>"00067448"</f>
        <v>00067448</v>
      </c>
      <c r="C5999" t="s">
        <v>4253</v>
      </c>
      <c r="D5999" t="s">
        <v>4224</v>
      </c>
      <c r="E5999" t="str">
        <f>"00065872"</f>
        <v>00065872</v>
      </c>
      <c r="F5999">
        <v>0</v>
      </c>
      <c r="G5999" s="243">
        <v>40755</v>
      </c>
      <c r="H5999" t="s">
        <v>182</v>
      </c>
      <c r="I5999">
        <v>15</v>
      </c>
      <c r="J5999">
        <v>2</v>
      </c>
      <c r="K5999">
        <v>1</v>
      </c>
      <c r="L5999">
        <v>56242</v>
      </c>
      <c r="M5999" t="str">
        <f t="shared" si="945"/>
        <v>13</v>
      </c>
      <c r="N5999" t="s">
        <v>3323</v>
      </c>
      <c r="O5999" t="str">
        <f t="shared" si="947"/>
        <v>74911</v>
      </c>
      <c r="P5999" t="str">
        <f t="shared" si="949"/>
        <v>2120L</v>
      </c>
      <c r="Q5999" t="str">
        <f t="shared" si="946"/>
        <v>0101</v>
      </c>
      <c r="R5999">
        <v>2120</v>
      </c>
      <c r="S5999" t="str">
        <f t="shared" si="948"/>
        <v>7490</v>
      </c>
      <c r="T5999" t="s">
        <v>4222</v>
      </c>
      <c r="U5999" t="s">
        <v>3138</v>
      </c>
    </row>
    <row r="6000" spans="1:21" ht="15" customHeight="1" x14ac:dyDescent="0.3">
      <c r="A6000" t="s">
        <v>179</v>
      </c>
      <c r="B6000" t="str">
        <f>"00067449"</f>
        <v>00067449</v>
      </c>
      <c r="C6000" t="s">
        <v>4260</v>
      </c>
      <c r="D6000" t="s">
        <v>2441</v>
      </c>
      <c r="E6000" t="str">
        <f>"00048027"</f>
        <v>00048027</v>
      </c>
      <c r="F6000">
        <v>0</v>
      </c>
      <c r="G6000" s="243">
        <v>39982</v>
      </c>
      <c r="H6000" t="s">
        <v>182</v>
      </c>
      <c r="I6000">
        <v>15</v>
      </c>
      <c r="J6000">
        <v>11</v>
      </c>
      <c r="K6000">
        <v>1</v>
      </c>
      <c r="L6000">
        <v>81335</v>
      </c>
      <c r="M6000" t="str">
        <f t="shared" si="945"/>
        <v>13</v>
      </c>
      <c r="N6000" t="s">
        <v>3323</v>
      </c>
      <c r="O6000" t="str">
        <f t="shared" si="947"/>
        <v>74911</v>
      </c>
      <c r="P6000" t="str">
        <f t="shared" si="949"/>
        <v>2120L</v>
      </c>
      <c r="Q6000" t="str">
        <f t="shared" si="946"/>
        <v>0101</v>
      </c>
      <c r="R6000">
        <v>2120</v>
      </c>
      <c r="S6000" t="str">
        <f t="shared" si="948"/>
        <v>7490</v>
      </c>
      <c r="T6000" t="s">
        <v>4222</v>
      </c>
      <c r="U6000" t="s">
        <v>3138</v>
      </c>
    </row>
    <row r="6001" spans="1:21" ht="15" customHeight="1" x14ac:dyDescent="0.3">
      <c r="A6001" t="s">
        <v>179</v>
      </c>
      <c r="B6001" t="str">
        <f>"00067450"</f>
        <v>00067450</v>
      </c>
      <c r="C6001" t="s">
        <v>4253</v>
      </c>
      <c r="H6001" t="s">
        <v>170</v>
      </c>
      <c r="I6001">
        <v>15</v>
      </c>
      <c r="J6001">
        <v>1</v>
      </c>
      <c r="K6001">
        <v>1</v>
      </c>
      <c r="L6001">
        <v>56693</v>
      </c>
      <c r="M6001" t="str">
        <f t="shared" si="945"/>
        <v>13</v>
      </c>
      <c r="N6001" t="s">
        <v>3323</v>
      </c>
      <c r="O6001" t="str">
        <f t="shared" si="947"/>
        <v>74911</v>
      </c>
      <c r="P6001" t="str">
        <f t="shared" si="949"/>
        <v>2120L</v>
      </c>
      <c r="Q6001" t="str">
        <f t="shared" si="946"/>
        <v>0101</v>
      </c>
      <c r="R6001">
        <v>2120</v>
      </c>
      <c r="S6001" t="str">
        <f t="shared" si="948"/>
        <v>7490</v>
      </c>
      <c r="T6001" t="s">
        <v>4222</v>
      </c>
      <c r="U6001" t="s">
        <v>3138</v>
      </c>
    </row>
    <row r="6002" spans="1:21" ht="15" customHeight="1" x14ac:dyDescent="0.3">
      <c r="A6002" t="s">
        <v>179</v>
      </c>
      <c r="B6002" t="str">
        <f>"00067451"</f>
        <v>00067451</v>
      </c>
      <c r="C6002" t="s">
        <v>4253</v>
      </c>
      <c r="D6002" t="s">
        <v>6021</v>
      </c>
      <c r="E6002" t="str">
        <f>"00057568"</f>
        <v>00057568</v>
      </c>
      <c r="F6002">
        <v>0</v>
      </c>
      <c r="G6002" s="243">
        <v>40042</v>
      </c>
      <c r="H6002" t="s">
        <v>182</v>
      </c>
      <c r="I6002">
        <v>15</v>
      </c>
      <c r="J6002">
        <v>10</v>
      </c>
      <c r="K6002">
        <v>1</v>
      </c>
      <c r="L6002">
        <v>68431</v>
      </c>
      <c r="M6002" t="str">
        <f t="shared" si="945"/>
        <v>13</v>
      </c>
      <c r="N6002" t="s">
        <v>3323</v>
      </c>
      <c r="O6002" t="str">
        <f t="shared" si="947"/>
        <v>74911</v>
      </c>
      <c r="P6002" t="str">
        <f t="shared" si="949"/>
        <v>2120L</v>
      </c>
      <c r="Q6002" t="str">
        <f t="shared" si="946"/>
        <v>0101</v>
      </c>
      <c r="R6002">
        <v>2120</v>
      </c>
      <c r="S6002" t="str">
        <f t="shared" si="948"/>
        <v>7490</v>
      </c>
      <c r="T6002" t="s">
        <v>4222</v>
      </c>
      <c r="U6002" t="s">
        <v>3138</v>
      </c>
    </row>
    <row r="6003" spans="1:21" ht="15" customHeight="1" x14ac:dyDescent="0.3">
      <c r="A6003" t="s">
        <v>179</v>
      </c>
      <c r="B6003" t="str">
        <f>"00072154"</f>
        <v>00072154</v>
      </c>
      <c r="C6003" t="s">
        <v>3670</v>
      </c>
      <c r="D6003" t="s">
        <v>2997</v>
      </c>
      <c r="E6003" t="str">
        <f>"00056884"</f>
        <v>00056884</v>
      </c>
      <c r="F6003">
        <v>0</v>
      </c>
      <c r="G6003" s="243">
        <v>40028</v>
      </c>
      <c r="H6003" t="s">
        <v>182</v>
      </c>
      <c r="I6003">
        <v>8</v>
      </c>
      <c r="J6003">
        <v>6</v>
      </c>
      <c r="K6003">
        <v>1</v>
      </c>
      <c r="L6003">
        <v>94825</v>
      </c>
      <c r="M6003" t="str">
        <f t="shared" si="945"/>
        <v>13</v>
      </c>
      <c r="N6003" t="s">
        <v>3323</v>
      </c>
      <c r="O6003" t="str">
        <f t="shared" si="947"/>
        <v>74911</v>
      </c>
      <c r="P6003" t="str">
        <f>"1501L"</f>
        <v>1501L</v>
      </c>
      <c r="Q6003" t="str">
        <f t="shared" si="946"/>
        <v>0101</v>
      </c>
      <c r="R6003">
        <v>1501</v>
      </c>
      <c r="S6003" t="str">
        <f t="shared" si="948"/>
        <v>7490</v>
      </c>
      <c r="T6003" t="s">
        <v>4222</v>
      </c>
      <c r="U6003" t="s">
        <v>3138</v>
      </c>
    </row>
    <row r="6004" spans="1:21" ht="15" customHeight="1" x14ac:dyDescent="0.3">
      <c r="A6004" t="s">
        <v>179</v>
      </c>
      <c r="B6004" t="str">
        <f>"00072249"</f>
        <v>00072249</v>
      </c>
      <c r="C6004" t="s">
        <v>4253</v>
      </c>
      <c r="D6004" t="s">
        <v>2998</v>
      </c>
      <c r="E6004" t="str">
        <f>"00057554"</f>
        <v>00057554</v>
      </c>
      <c r="F6004">
        <v>0</v>
      </c>
      <c r="G6004" s="243">
        <v>40042</v>
      </c>
      <c r="H6004" t="s">
        <v>182</v>
      </c>
      <c r="I6004">
        <v>15</v>
      </c>
      <c r="J6004">
        <v>4</v>
      </c>
      <c r="K6004">
        <v>1</v>
      </c>
      <c r="L6004">
        <v>54725</v>
      </c>
      <c r="M6004" t="str">
        <f t="shared" si="945"/>
        <v>13</v>
      </c>
      <c r="N6004" t="s">
        <v>3323</v>
      </c>
      <c r="O6004" t="str">
        <f t="shared" si="947"/>
        <v>74911</v>
      </c>
      <c r="P6004" t="str">
        <f t="shared" ref="P6004:P6011" si="950">"2120L"</f>
        <v>2120L</v>
      </c>
      <c r="Q6004" t="str">
        <f t="shared" si="946"/>
        <v>0101</v>
      </c>
      <c r="R6004">
        <v>2120</v>
      </c>
      <c r="S6004" t="str">
        <f t="shared" si="948"/>
        <v>7490</v>
      </c>
      <c r="T6004" t="s">
        <v>4222</v>
      </c>
      <c r="U6004" t="s">
        <v>3138</v>
      </c>
    </row>
    <row r="6005" spans="1:21" ht="15" customHeight="1" x14ac:dyDescent="0.3">
      <c r="A6005" t="s">
        <v>179</v>
      </c>
      <c r="B6005" t="str">
        <f>"00072250"</f>
        <v>00072250</v>
      </c>
      <c r="C6005" t="s">
        <v>4253</v>
      </c>
      <c r="H6005" t="s">
        <v>170</v>
      </c>
      <c r="I6005">
        <v>15</v>
      </c>
      <c r="J6005">
        <v>1</v>
      </c>
      <c r="K6005">
        <v>1</v>
      </c>
      <c r="L6005">
        <v>54975</v>
      </c>
      <c r="M6005" t="str">
        <f t="shared" si="945"/>
        <v>13</v>
      </c>
      <c r="N6005" t="s">
        <v>3323</v>
      </c>
      <c r="O6005" t="str">
        <f t="shared" si="947"/>
        <v>74911</v>
      </c>
      <c r="P6005" t="str">
        <f t="shared" si="950"/>
        <v>2120L</v>
      </c>
      <c r="Q6005" t="str">
        <f t="shared" si="946"/>
        <v>0101</v>
      </c>
      <c r="R6005">
        <v>2120</v>
      </c>
      <c r="S6005" t="str">
        <f t="shared" si="948"/>
        <v>7490</v>
      </c>
      <c r="T6005" t="s">
        <v>4222</v>
      </c>
      <c r="U6005" t="s">
        <v>3138</v>
      </c>
    </row>
    <row r="6006" spans="1:21" ht="15" customHeight="1" x14ac:dyDescent="0.3">
      <c r="A6006" t="s">
        <v>179</v>
      </c>
      <c r="B6006" t="str">
        <f>"00072251"</f>
        <v>00072251</v>
      </c>
      <c r="C6006" t="s">
        <v>4253</v>
      </c>
      <c r="D6006" t="s">
        <v>2444</v>
      </c>
      <c r="E6006" t="str">
        <f>"00057624"</f>
        <v>00057624</v>
      </c>
      <c r="F6006">
        <v>0</v>
      </c>
      <c r="G6006" s="243">
        <v>40042</v>
      </c>
      <c r="H6006" t="s">
        <v>182</v>
      </c>
      <c r="I6006">
        <v>15</v>
      </c>
      <c r="J6006">
        <v>13</v>
      </c>
      <c r="K6006">
        <v>1</v>
      </c>
      <c r="L6006">
        <v>81724</v>
      </c>
      <c r="M6006" t="str">
        <f t="shared" si="945"/>
        <v>13</v>
      </c>
      <c r="N6006" t="s">
        <v>3323</v>
      </c>
      <c r="O6006" t="str">
        <f t="shared" si="947"/>
        <v>74911</v>
      </c>
      <c r="P6006" t="str">
        <f t="shared" si="950"/>
        <v>2120L</v>
      </c>
      <c r="Q6006" t="str">
        <f t="shared" si="946"/>
        <v>0101</v>
      </c>
      <c r="R6006">
        <v>2120</v>
      </c>
      <c r="S6006" t="str">
        <f t="shared" si="948"/>
        <v>7490</v>
      </c>
      <c r="T6006" t="s">
        <v>4222</v>
      </c>
      <c r="U6006" t="s">
        <v>3138</v>
      </c>
    </row>
    <row r="6007" spans="1:21" ht="15" customHeight="1" x14ac:dyDescent="0.3">
      <c r="A6007" t="s">
        <v>179</v>
      </c>
      <c r="B6007" t="str">
        <f>"00072252"</f>
        <v>00072252</v>
      </c>
      <c r="C6007" t="s">
        <v>4253</v>
      </c>
      <c r="H6007" t="s">
        <v>170</v>
      </c>
      <c r="I6007">
        <v>15</v>
      </c>
      <c r="J6007">
        <v>1</v>
      </c>
      <c r="K6007">
        <v>1</v>
      </c>
      <c r="L6007">
        <v>51539</v>
      </c>
      <c r="M6007" t="str">
        <f t="shared" si="945"/>
        <v>13</v>
      </c>
      <c r="N6007" t="s">
        <v>3323</v>
      </c>
      <c r="O6007" t="str">
        <f t="shared" si="947"/>
        <v>74911</v>
      </c>
      <c r="P6007" t="str">
        <f t="shared" si="950"/>
        <v>2120L</v>
      </c>
      <c r="Q6007" t="str">
        <f t="shared" si="946"/>
        <v>0101</v>
      </c>
      <c r="R6007">
        <v>2120</v>
      </c>
      <c r="S6007" t="str">
        <f t="shared" si="948"/>
        <v>7490</v>
      </c>
      <c r="T6007" t="s">
        <v>4222</v>
      </c>
      <c r="U6007" t="s">
        <v>3138</v>
      </c>
    </row>
    <row r="6008" spans="1:21" ht="15" customHeight="1" x14ac:dyDescent="0.3">
      <c r="A6008" t="s">
        <v>179</v>
      </c>
      <c r="B6008" t="str">
        <f>"00072253"</f>
        <v>00072253</v>
      </c>
      <c r="C6008" t="s">
        <v>4263</v>
      </c>
      <c r="D6008" t="s">
        <v>310</v>
      </c>
      <c r="E6008" t="str">
        <f>"00049973"</f>
        <v>00049973</v>
      </c>
      <c r="F6008">
        <v>0</v>
      </c>
      <c r="G6008" s="243">
        <v>34812</v>
      </c>
      <c r="H6008" t="s">
        <v>182</v>
      </c>
      <c r="I6008">
        <v>15</v>
      </c>
      <c r="J6008">
        <v>16</v>
      </c>
      <c r="K6008">
        <v>1</v>
      </c>
      <c r="L6008">
        <v>106540</v>
      </c>
      <c r="M6008" t="str">
        <f t="shared" si="945"/>
        <v>13</v>
      </c>
      <c r="N6008" t="s">
        <v>3323</v>
      </c>
      <c r="O6008" t="str">
        <f t="shared" si="947"/>
        <v>74911</v>
      </c>
      <c r="P6008" t="str">
        <f t="shared" si="950"/>
        <v>2120L</v>
      </c>
      <c r="Q6008" t="str">
        <f t="shared" si="946"/>
        <v>0101</v>
      </c>
      <c r="R6008">
        <v>2120</v>
      </c>
      <c r="S6008" t="str">
        <f t="shared" si="948"/>
        <v>7490</v>
      </c>
      <c r="T6008" t="s">
        <v>4222</v>
      </c>
      <c r="U6008" t="s">
        <v>3138</v>
      </c>
    </row>
    <row r="6009" spans="1:21" ht="15" customHeight="1" x14ac:dyDescent="0.3">
      <c r="A6009" t="s">
        <v>179</v>
      </c>
      <c r="B6009" t="str">
        <f>"00072368"</f>
        <v>00072368</v>
      </c>
      <c r="C6009" t="s">
        <v>4253</v>
      </c>
      <c r="D6009" t="s">
        <v>4225</v>
      </c>
      <c r="E6009" t="str">
        <f>"00065602"</f>
        <v>00065602</v>
      </c>
      <c r="F6009">
        <v>0</v>
      </c>
      <c r="G6009" s="243">
        <v>40756</v>
      </c>
      <c r="H6009" t="s">
        <v>182</v>
      </c>
      <c r="I6009">
        <v>15</v>
      </c>
      <c r="J6009">
        <v>2</v>
      </c>
      <c r="K6009">
        <v>1</v>
      </c>
      <c r="L6009">
        <v>51716</v>
      </c>
      <c r="M6009" t="str">
        <f t="shared" si="945"/>
        <v>13</v>
      </c>
      <c r="N6009" t="s">
        <v>3323</v>
      </c>
      <c r="O6009" t="str">
        <f t="shared" si="947"/>
        <v>74911</v>
      </c>
      <c r="P6009" t="str">
        <f t="shared" si="950"/>
        <v>2120L</v>
      </c>
      <c r="Q6009" t="str">
        <f t="shared" si="946"/>
        <v>0101</v>
      </c>
      <c r="R6009">
        <v>2120</v>
      </c>
      <c r="S6009" t="str">
        <f t="shared" si="948"/>
        <v>7490</v>
      </c>
      <c r="T6009" t="s">
        <v>4222</v>
      </c>
      <c r="U6009" t="s">
        <v>3138</v>
      </c>
    </row>
    <row r="6010" spans="1:21" ht="15" customHeight="1" x14ac:dyDescent="0.3">
      <c r="A6010" t="s">
        <v>179</v>
      </c>
      <c r="B6010" t="str">
        <f>"00072369"</f>
        <v>00072369</v>
      </c>
      <c r="C6010" t="s">
        <v>4253</v>
      </c>
      <c r="D6010" t="s">
        <v>6022</v>
      </c>
      <c r="E6010" t="str">
        <f>"00070362"</f>
        <v>00070362</v>
      </c>
      <c r="F6010">
        <v>0</v>
      </c>
      <c r="G6010" s="243">
        <v>41156</v>
      </c>
      <c r="H6010" t="s">
        <v>182</v>
      </c>
      <c r="I6010">
        <v>15</v>
      </c>
      <c r="J6010">
        <v>4</v>
      </c>
      <c r="K6010">
        <v>1</v>
      </c>
      <c r="L6010">
        <v>61158</v>
      </c>
      <c r="M6010" t="str">
        <f t="shared" si="945"/>
        <v>13</v>
      </c>
      <c r="N6010" t="s">
        <v>3370</v>
      </c>
      <c r="O6010" t="str">
        <f t="shared" si="947"/>
        <v>74911</v>
      </c>
      <c r="P6010" t="str">
        <f t="shared" si="950"/>
        <v>2120L</v>
      </c>
      <c r="Q6010" t="str">
        <f t="shared" si="946"/>
        <v>0101</v>
      </c>
      <c r="R6010">
        <v>2120</v>
      </c>
      <c r="S6010" t="str">
        <f t="shared" si="948"/>
        <v>7490</v>
      </c>
      <c r="T6010" t="s">
        <v>4222</v>
      </c>
      <c r="U6010" t="s">
        <v>3138</v>
      </c>
    </row>
    <row r="6011" spans="1:21" ht="15" customHeight="1" x14ac:dyDescent="0.3">
      <c r="A6011" t="s">
        <v>179</v>
      </c>
      <c r="B6011" t="str">
        <f>"00072391"</f>
        <v>00072391</v>
      </c>
      <c r="C6011" t="s">
        <v>4261</v>
      </c>
      <c r="D6011" t="s">
        <v>1009</v>
      </c>
      <c r="E6011" t="str">
        <f>"00044944"</f>
        <v>00044944</v>
      </c>
      <c r="F6011">
        <v>0</v>
      </c>
      <c r="G6011" s="243">
        <v>41132</v>
      </c>
      <c r="H6011" t="s">
        <v>182</v>
      </c>
      <c r="I6011">
        <v>15</v>
      </c>
      <c r="J6011">
        <v>10</v>
      </c>
      <c r="K6011">
        <v>1</v>
      </c>
      <c r="L6011">
        <v>86101</v>
      </c>
      <c r="M6011" t="str">
        <f t="shared" si="945"/>
        <v>13</v>
      </c>
      <c r="N6011" t="s">
        <v>3323</v>
      </c>
      <c r="O6011" t="str">
        <f t="shared" si="947"/>
        <v>74911</v>
      </c>
      <c r="P6011" t="str">
        <f t="shared" si="950"/>
        <v>2120L</v>
      </c>
      <c r="Q6011" t="str">
        <f t="shared" si="946"/>
        <v>0101</v>
      </c>
      <c r="R6011">
        <v>2120</v>
      </c>
      <c r="S6011" t="str">
        <f t="shared" si="948"/>
        <v>7490</v>
      </c>
      <c r="T6011" t="s">
        <v>4222</v>
      </c>
      <c r="U6011" t="s">
        <v>3138</v>
      </c>
    </row>
    <row r="6012" spans="1:21" ht="15" customHeight="1" x14ac:dyDescent="0.3">
      <c r="A6012" t="s">
        <v>179</v>
      </c>
      <c r="B6012" t="str">
        <f>"00073089"</f>
        <v>00073089</v>
      </c>
      <c r="C6012" t="s">
        <v>314</v>
      </c>
      <c r="H6012" t="s">
        <v>170</v>
      </c>
      <c r="I6012">
        <v>16</v>
      </c>
      <c r="J6012">
        <v>0</v>
      </c>
      <c r="K6012">
        <v>1</v>
      </c>
      <c r="L6012">
        <v>48755.199999999997</v>
      </c>
      <c r="M6012" t="str">
        <f t="shared" si="945"/>
        <v>13</v>
      </c>
      <c r="N6012" t="s">
        <v>3323</v>
      </c>
      <c r="O6012" t="str">
        <f t="shared" si="947"/>
        <v>74911</v>
      </c>
      <c r="P6012" t="str">
        <f>"2120L"</f>
        <v>2120L</v>
      </c>
      <c r="Q6012" t="str">
        <f t="shared" si="946"/>
        <v>0101</v>
      </c>
      <c r="R6012">
        <v>2120</v>
      </c>
      <c r="S6012" t="str">
        <f t="shared" si="948"/>
        <v>7490</v>
      </c>
      <c r="T6012" t="s">
        <v>4222</v>
      </c>
      <c r="U6012" t="s">
        <v>3138</v>
      </c>
    </row>
    <row r="6013" spans="1:21" ht="15" customHeight="1" x14ac:dyDescent="0.3">
      <c r="A6013" t="s">
        <v>179</v>
      </c>
      <c r="B6013" t="str">
        <f>"00073757"</f>
        <v>00073757</v>
      </c>
      <c r="C6013" t="s">
        <v>4260</v>
      </c>
      <c r="D6013" t="s">
        <v>6023</v>
      </c>
      <c r="E6013" t="str">
        <f>"00070339"</f>
        <v>00070339</v>
      </c>
      <c r="F6013">
        <v>0</v>
      </c>
      <c r="G6013" s="243">
        <v>41183</v>
      </c>
      <c r="H6013" t="s">
        <v>182</v>
      </c>
      <c r="I6013">
        <v>15</v>
      </c>
      <c r="J6013">
        <v>5</v>
      </c>
      <c r="K6013">
        <v>1</v>
      </c>
      <c r="L6013">
        <v>63611</v>
      </c>
      <c r="M6013" t="str">
        <f t="shared" si="945"/>
        <v>13</v>
      </c>
      <c r="N6013" t="s">
        <v>3323</v>
      </c>
      <c r="O6013" t="str">
        <f t="shared" si="947"/>
        <v>74911</v>
      </c>
      <c r="P6013" t="str">
        <f>"3030L"</f>
        <v>3030L</v>
      </c>
      <c r="Q6013" t="str">
        <f t="shared" si="946"/>
        <v>0101</v>
      </c>
      <c r="R6013">
        <v>3030</v>
      </c>
      <c r="S6013" t="str">
        <f t="shared" si="948"/>
        <v>7490</v>
      </c>
      <c r="T6013" t="s">
        <v>4222</v>
      </c>
      <c r="U6013" t="s">
        <v>3138</v>
      </c>
    </row>
    <row r="6014" spans="1:21" ht="15" customHeight="1" x14ac:dyDescent="0.3">
      <c r="A6014" t="s">
        <v>179</v>
      </c>
      <c r="B6014" t="str">
        <f>"00073758"</f>
        <v>00073758</v>
      </c>
      <c r="C6014" t="s">
        <v>4257</v>
      </c>
      <c r="H6014" t="s">
        <v>170</v>
      </c>
      <c r="I6014">
        <v>15</v>
      </c>
      <c r="J6014">
        <v>1</v>
      </c>
      <c r="K6014">
        <v>1</v>
      </c>
      <c r="L6014">
        <v>54975</v>
      </c>
      <c r="M6014" t="str">
        <f t="shared" si="945"/>
        <v>13</v>
      </c>
      <c r="N6014" t="s">
        <v>3323</v>
      </c>
      <c r="O6014" t="str">
        <f t="shared" si="947"/>
        <v>74911</v>
      </c>
      <c r="P6014" t="str">
        <f t="shared" ref="P6014:P6021" si="951">"2100L"</f>
        <v>2100L</v>
      </c>
      <c r="Q6014" t="str">
        <f t="shared" si="946"/>
        <v>0101</v>
      </c>
      <c r="R6014">
        <v>2100</v>
      </c>
      <c r="S6014" t="str">
        <f t="shared" si="948"/>
        <v>7490</v>
      </c>
      <c r="T6014" t="s">
        <v>4222</v>
      </c>
      <c r="U6014" t="s">
        <v>3138</v>
      </c>
    </row>
    <row r="6015" spans="1:21" ht="15" customHeight="1" x14ac:dyDescent="0.3">
      <c r="A6015" t="s">
        <v>179</v>
      </c>
      <c r="B6015" t="str">
        <f>"00073939"</f>
        <v>00073939</v>
      </c>
      <c r="C6015" t="s">
        <v>200</v>
      </c>
      <c r="D6015" t="s">
        <v>4223</v>
      </c>
      <c r="E6015" t="str">
        <f>"00046104"</f>
        <v>00046104</v>
      </c>
      <c r="F6015">
        <v>0</v>
      </c>
      <c r="G6015" s="243">
        <v>38670</v>
      </c>
      <c r="H6015" t="s">
        <v>182</v>
      </c>
      <c r="I6015">
        <v>15</v>
      </c>
      <c r="J6015">
        <v>11</v>
      </c>
      <c r="K6015">
        <v>1</v>
      </c>
      <c r="L6015">
        <v>81335</v>
      </c>
      <c r="M6015" t="str">
        <f t="shared" si="945"/>
        <v>13</v>
      </c>
      <c r="N6015" t="s">
        <v>3323</v>
      </c>
      <c r="O6015" t="str">
        <f t="shared" si="947"/>
        <v>74911</v>
      </c>
      <c r="P6015" t="str">
        <f t="shared" si="951"/>
        <v>2100L</v>
      </c>
      <c r="Q6015" t="str">
        <f t="shared" si="946"/>
        <v>0101</v>
      </c>
      <c r="R6015">
        <v>2100</v>
      </c>
      <c r="S6015" t="str">
        <f t="shared" si="948"/>
        <v>7490</v>
      </c>
      <c r="T6015" t="s">
        <v>4222</v>
      </c>
      <c r="U6015" t="s">
        <v>3138</v>
      </c>
    </row>
    <row r="6016" spans="1:21" ht="15" customHeight="1" x14ac:dyDescent="0.3">
      <c r="A6016" t="s">
        <v>179</v>
      </c>
      <c r="B6016" t="str">
        <f>"00074078"</f>
        <v>00074078</v>
      </c>
      <c r="C6016" t="s">
        <v>4258</v>
      </c>
      <c r="H6016" t="s">
        <v>170</v>
      </c>
      <c r="I6016">
        <v>15</v>
      </c>
      <c r="J6016">
        <v>1</v>
      </c>
      <c r="K6016">
        <v>1</v>
      </c>
      <c r="L6016">
        <v>54975</v>
      </c>
      <c r="M6016" t="str">
        <f t="shared" si="945"/>
        <v>13</v>
      </c>
      <c r="N6016" t="s">
        <v>3323</v>
      </c>
      <c r="O6016" t="str">
        <f t="shared" si="947"/>
        <v>74911</v>
      </c>
      <c r="P6016" t="str">
        <f t="shared" si="951"/>
        <v>2100L</v>
      </c>
      <c r="Q6016" t="str">
        <f t="shared" si="946"/>
        <v>0101</v>
      </c>
      <c r="R6016">
        <v>2100</v>
      </c>
      <c r="S6016" t="str">
        <f t="shared" si="948"/>
        <v>7490</v>
      </c>
      <c r="T6016" t="s">
        <v>4222</v>
      </c>
      <c r="U6016" t="s">
        <v>3138</v>
      </c>
    </row>
    <row r="6017" spans="1:21" ht="15" customHeight="1" x14ac:dyDescent="0.3">
      <c r="A6017" t="s">
        <v>179</v>
      </c>
      <c r="B6017" t="str">
        <f>"00074079"</f>
        <v>00074079</v>
      </c>
      <c r="C6017" t="s">
        <v>4254</v>
      </c>
      <c r="H6017" t="s">
        <v>170</v>
      </c>
      <c r="I6017">
        <v>15</v>
      </c>
      <c r="J6017">
        <v>1</v>
      </c>
      <c r="K6017">
        <v>1</v>
      </c>
      <c r="L6017">
        <v>51539</v>
      </c>
      <c r="M6017" t="str">
        <f t="shared" si="945"/>
        <v>13</v>
      </c>
      <c r="N6017" t="s">
        <v>3323</v>
      </c>
      <c r="O6017" t="str">
        <f t="shared" si="947"/>
        <v>74911</v>
      </c>
      <c r="P6017" t="str">
        <f t="shared" si="951"/>
        <v>2100L</v>
      </c>
      <c r="Q6017" t="str">
        <f t="shared" ref="Q6017:Q6031" si="952">"0101"</f>
        <v>0101</v>
      </c>
      <c r="R6017">
        <v>2100</v>
      </c>
      <c r="S6017" t="str">
        <f t="shared" si="948"/>
        <v>7490</v>
      </c>
      <c r="T6017" t="s">
        <v>4222</v>
      </c>
      <c r="U6017" t="s">
        <v>3138</v>
      </c>
    </row>
    <row r="6018" spans="1:21" ht="15" customHeight="1" x14ac:dyDescent="0.3">
      <c r="A6018" t="s">
        <v>179</v>
      </c>
      <c r="B6018" t="str">
        <f>"00074427"</f>
        <v>00074427</v>
      </c>
      <c r="C6018" t="s">
        <v>4253</v>
      </c>
      <c r="H6018" t="s">
        <v>170</v>
      </c>
      <c r="I6018">
        <v>15</v>
      </c>
      <c r="J6018">
        <v>1</v>
      </c>
      <c r="K6018">
        <v>1</v>
      </c>
      <c r="L6018">
        <v>51539</v>
      </c>
      <c r="M6018" t="str">
        <f t="shared" si="945"/>
        <v>13</v>
      </c>
      <c r="N6018" t="s">
        <v>3323</v>
      </c>
      <c r="O6018" t="str">
        <f t="shared" si="947"/>
        <v>74911</v>
      </c>
      <c r="P6018" t="str">
        <f t="shared" si="951"/>
        <v>2100L</v>
      </c>
      <c r="Q6018" t="str">
        <f t="shared" si="952"/>
        <v>0101</v>
      </c>
      <c r="R6018">
        <v>2100</v>
      </c>
      <c r="S6018" t="str">
        <f t="shared" si="948"/>
        <v>7490</v>
      </c>
      <c r="T6018" t="s">
        <v>4222</v>
      </c>
      <c r="U6018" t="s">
        <v>3138</v>
      </c>
    </row>
    <row r="6019" spans="1:21" ht="15" customHeight="1" x14ac:dyDescent="0.3">
      <c r="A6019" t="s">
        <v>179</v>
      </c>
      <c r="B6019" t="str">
        <f>"00074524"</f>
        <v>00074524</v>
      </c>
      <c r="C6019" t="s">
        <v>314</v>
      </c>
      <c r="H6019" t="s">
        <v>170</v>
      </c>
      <c r="I6019">
        <v>16</v>
      </c>
      <c r="J6019">
        <v>0</v>
      </c>
      <c r="K6019">
        <v>0.49</v>
      </c>
      <c r="L6019">
        <v>48755.199999999997</v>
      </c>
      <c r="M6019" t="str">
        <f t="shared" si="945"/>
        <v>13</v>
      </c>
      <c r="N6019" t="s">
        <v>3323</v>
      </c>
      <c r="O6019" t="str">
        <f t="shared" si="947"/>
        <v>74911</v>
      </c>
      <c r="P6019" t="str">
        <f t="shared" si="951"/>
        <v>2100L</v>
      </c>
      <c r="Q6019" t="str">
        <f t="shared" si="952"/>
        <v>0101</v>
      </c>
      <c r="R6019">
        <v>2100</v>
      </c>
      <c r="S6019" t="str">
        <f t="shared" si="948"/>
        <v>7490</v>
      </c>
      <c r="T6019" t="s">
        <v>4222</v>
      </c>
      <c r="U6019" t="s">
        <v>3138</v>
      </c>
    </row>
    <row r="6020" spans="1:21" ht="15" customHeight="1" x14ac:dyDescent="0.3">
      <c r="A6020" t="s">
        <v>179</v>
      </c>
      <c r="B6020" t="str">
        <f>"00074525"</f>
        <v>00074525</v>
      </c>
      <c r="C6020" t="s">
        <v>314</v>
      </c>
      <c r="H6020" t="s">
        <v>170</v>
      </c>
      <c r="I6020">
        <v>16</v>
      </c>
      <c r="J6020">
        <v>0</v>
      </c>
      <c r="K6020">
        <v>0.49</v>
      </c>
      <c r="L6020">
        <v>48755.199999999997</v>
      </c>
      <c r="M6020" t="str">
        <f t="shared" si="945"/>
        <v>13</v>
      </c>
      <c r="N6020" t="s">
        <v>3323</v>
      </c>
      <c r="O6020" t="str">
        <f t="shared" si="947"/>
        <v>74911</v>
      </c>
      <c r="P6020" t="str">
        <f t="shared" si="951"/>
        <v>2100L</v>
      </c>
      <c r="Q6020" t="str">
        <f t="shared" si="952"/>
        <v>0101</v>
      </c>
      <c r="R6020">
        <v>2100</v>
      </c>
      <c r="S6020" t="str">
        <f t="shared" si="948"/>
        <v>7490</v>
      </c>
      <c r="T6020" t="s">
        <v>4222</v>
      </c>
      <c r="U6020" t="s">
        <v>3138</v>
      </c>
    </row>
    <row r="6021" spans="1:21" ht="15" customHeight="1" x14ac:dyDescent="0.3">
      <c r="A6021" t="s">
        <v>179</v>
      </c>
      <c r="B6021" t="str">
        <f>"00074526"</f>
        <v>00074526</v>
      </c>
      <c r="C6021" t="s">
        <v>314</v>
      </c>
      <c r="H6021" t="s">
        <v>170</v>
      </c>
      <c r="I6021">
        <v>16</v>
      </c>
      <c r="J6021">
        <v>0</v>
      </c>
      <c r="K6021">
        <v>0.49</v>
      </c>
      <c r="L6021">
        <v>48755.199999999997</v>
      </c>
      <c r="M6021" t="str">
        <f t="shared" si="945"/>
        <v>13</v>
      </c>
      <c r="N6021" t="s">
        <v>3323</v>
      </c>
      <c r="O6021" t="str">
        <f t="shared" si="947"/>
        <v>74911</v>
      </c>
      <c r="P6021" t="str">
        <f t="shared" si="951"/>
        <v>2100L</v>
      </c>
      <c r="Q6021" t="str">
        <f t="shared" si="952"/>
        <v>0101</v>
      </c>
      <c r="R6021">
        <v>2100</v>
      </c>
      <c r="S6021" t="str">
        <f t="shared" si="948"/>
        <v>7490</v>
      </c>
      <c r="T6021" t="s">
        <v>4222</v>
      </c>
      <c r="U6021" t="s">
        <v>3138</v>
      </c>
    </row>
    <row r="6022" spans="1:21" ht="15" customHeight="1" x14ac:dyDescent="0.3">
      <c r="A6022" t="s">
        <v>179</v>
      </c>
      <c r="B6022" t="str">
        <f>"00074630"</f>
        <v>00074630</v>
      </c>
      <c r="C6022" t="s">
        <v>4290</v>
      </c>
      <c r="D6022" t="s">
        <v>6024</v>
      </c>
      <c r="E6022" t="str">
        <f>"00070526"</f>
        <v>00070526</v>
      </c>
      <c r="F6022">
        <v>0</v>
      </c>
      <c r="G6022" s="243">
        <v>41183</v>
      </c>
      <c r="H6022" t="s">
        <v>182</v>
      </c>
      <c r="I6022">
        <v>4</v>
      </c>
      <c r="J6022">
        <v>10</v>
      </c>
      <c r="K6022">
        <v>0.71</v>
      </c>
      <c r="L6022">
        <v>28721</v>
      </c>
      <c r="M6022" t="str">
        <f t="shared" si="945"/>
        <v>13</v>
      </c>
      <c r="N6022" t="s">
        <v>3323</v>
      </c>
      <c r="O6022" t="str">
        <f t="shared" si="947"/>
        <v>74911</v>
      </c>
      <c r="P6022" t="str">
        <f>"3030L"</f>
        <v>3030L</v>
      </c>
      <c r="Q6022" t="str">
        <f t="shared" si="952"/>
        <v>0101</v>
      </c>
      <c r="R6022">
        <v>3030</v>
      </c>
      <c r="S6022" t="str">
        <f t="shared" si="948"/>
        <v>7490</v>
      </c>
      <c r="T6022" t="s">
        <v>4222</v>
      </c>
      <c r="U6022" t="s">
        <v>3138</v>
      </c>
    </row>
    <row r="6023" spans="1:21" ht="15" customHeight="1" x14ac:dyDescent="0.3">
      <c r="A6023" t="s">
        <v>179</v>
      </c>
      <c r="B6023" t="str">
        <f>"00074635"</f>
        <v>00074635</v>
      </c>
      <c r="C6023" t="s">
        <v>4367</v>
      </c>
      <c r="D6023" t="s">
        <v>6025</v>
      </c>
      <c r="E6023" t="str">
        <f>"00060581"</f>
        <v>00060581</v>
      </c>
      <c r="F6023">
        <v>0</v>
      </c>
      <c r="G6023" s="243">
        <v>40770</v>
      </c>
      <c r="H6023" t="s">
        <v>182</v>
      </c>
      <c r="I6023">
        <v>9</v>
      </c>
      <c r="J6023">
        <v>9</v>
      </c>
      <c r="K6023">
        <v>1</v>
      </c>
      <c r="L6023">
        <v>46173</v>
      </c>
      <c r="M6023" t="str">
        <f t="shared" si="945"/>
        <v>13</v>
      </c>
      <c r="N6023" t="s">
        <v>3323</v>
      </c>
      <c r="O6023" t="str">
        <f t="shared" si="947"/>
        <v>74911</v>
      </c>
      <c r="P6023" t="str">
        <f t="shared" ref="P6023:P6031" si="953">"2100L"</f>
        <v>2100L</v>
      </c>
      <c r="Q6023" t="str">
        <f t="shared" si="952"/>
        <v>0101</v>
      </c>
      <c r="R6023">
        <v>2100</v>
      </c>
      <c r="S6023" t="str">
        <f t="shared" si="948"/>
        <v>7490</v>
      </c>
      <c r="T6023" t="s">
        <v>4222</v>
      </c>
      <c r="U6023" t="s">
        <v>3138</v>
      </c>
    </row>
    <row r="6024" spans="1:21" ht="15" customHeight="1" x14ac:dyDescent="0.3">
      <c r="A6024" t="s">
        <v>179</v>
      </c>
      <c r="B6024" t="str">
        <f>"00076389"</f>
        <v>00076389</v>
      </c>
      <c r="C6024" t="s">
        <v>4410</v>
      </c>
      <c r="H6024" t="s">
        <v>170</v>
      </c>
      <c r="I6024">
        <v>5</v>
      </c>
      <c r="J6024">
        <v>0</v>
      </c>
      <c r="K6024">
        <v>1</v>
      </c>
      <c r="L6024">
        <v>28486</v>
      </c>
      <c r="M6024" t="str">
        <f t="shared" si="945"/>
        <v>13</v>
      </c>
      <c r="N6024" t="s">
        <v>3323</v>
      </c>
      <c r="O6024" t="str">
        <f t="shared" si="947"/>
        <v>74911</v>
      </c>
      <c r="P6024" t="str">
        <f t="shared" si="953"/>
        <v>2100L</v>
      </c>
      <c r="Q6024" t="str">
        <f t="shared" si="952"/>
        <v>0101</v>
      </c>
      <c r="R6024">
        <v>2100</v>
      </c>
      <c r="S6024" t="str">
        <f t="shared" si="948"/>
        <v>7490</v>
      </c>
      <c r="T6024" t="s">
        <v>4222</v>
      </c>
      <c r="U6024" t="s">
        <v>3138</v>
      </c>
    </row>
    <row r="6025" spans="1:21" ht="15" customHeight="1" x14ac:dyDescent="0.3">
      <c r="A6025" t="s">
        <v>179</v>
      </c>
      <c r="B6025" t="str">
        <f>"00076390"</f>
        <v>00076390</v>
      </c>
      <c r="C6025" t="s">
        <v>4410</v>
      </c>
      <c r="D6025" t="s">
        <v>6026</v>
      </c>
      <c r="E6025" t="str">
        <f>"00057610"</f>
        <v>00057610</v>
      </c>
      <c r="F6025">
        <v>0</v>
      </c>
      <c r="G6025" s="243">
        <v>40042</v>
      </c>
      <c r="H6025" t="s">
        <v>182</v>
      </c>
      <c r="I6025">
        <v>5</v>
      </c>
      <c r="J6025">
        <v>5</v>
      </c>
      <c r="K6025">
        <v>1</v>
      </c>
      <c r="L6025">
        <v>32070</v>
      </c>
      <c r="M6025" t="str">
        <f t="shared" si="945"/>
        <v>13</v>
      </c>
      <c r="N6025" t="s">
        <v>3370</v>
      </c>
      <c r="O6025" t="str">
        <f t="shared" si="947"/>
        <v>74911</v>
      </c>
      <c r="P6025" t="str">
        <f t="shared" si="953"/>
        <v>2100L</v>
      </c>
      <c r="Q6025" t="str">
        <f t="shared" si="952"/>
        <v>0101</v>
      </c>
      <c r="R6025">
        <v>2100</v>
      </c>
      <c r="S6025" t="str">
        <f t="shared" si="948"/>
        <v>7490</v>
      </c>
      <c r="T6025" t="s">
        <v>4222</v>
      </c>
      <c r="U6025" t="s">
        <v>3138</v>
      </c>
    </row>
    <row r="6026" spans="1:21" ht="15" customHeight="1" x14ac:dyDescent="0.3">
      <c r="A6026" t="s">
        <v>179</v>
      </c>
      <c r="B6026" t="str">
        <f>"00076391"</f>
        <v>00076391</v>
      </c>
      <c r="C6026" t="s">
        <v>4253</v>
      </c>
      <c r="D6026" t="s">
        <v>6027</v>
      </c>
      <c r="E6026" t="str">
        <f>"00069873"</f>
        <v>00069873</v>
      </c>
      <c r="F6026">
        <v>0</v>
      </c>
      <c r="G6026" s="243">
        <v>41133</v>
      </c>
      <c r="H6026" t="s">
        <v>182</v>
      </c>
      <c r="I6026">
        <v>15</v>
      </c>
      <c r="J6026">
        <v>10</v>
      </c>
      <c r="K6026">
        <v>1</v>
      </c>
      <c r="L6026">
        <v>78273</v>
      </c>
      <c r="M6026" t="str">
        <f t="shared" si="945"/>
        <v>13</v>
      </c>
      <c r="N6026" t="s">
        <v>3323</v>
      </c>
      <c r="O6026" t="str">
        <f t="shared" si="947"/>
        <v>74911</v>
      </c>
      <c r="P6026" t="str">
        <f t="shared" si="953"/>
        <v>2100L</v>
      </c>
      <c r="Q6026" t="str">
        <f t="shared" si="952"/>
        <v>0101</v>
      </c>
      <c r="R6026">
        <v>2100</v>
      </c>
      <c r="S6026" t="str">
        <f t="shared" si="948"/>
        <v>7490</v>
      </c>
      <c r="T6026" t="s">
        <v>4222</v>
      </c>
      <c r="U6026" t="s">
        <v>3138</v>
      </c>
    </row>
    <row r="6027" spans="1:21" ht="15" customHeight="1" x14ac:dyDescent="0.3">
      <c r="A6027" t="s">
        <v>179</v>
      </c>
      <c r="B6027" t="str">
        <f>"00076392"</f>
        <v>00076392</v>
      </c>
      <c r="C6027" t="s">
        <v>4253</v>
      </c>
      <c r="D6027" t="s">
        <v>1302</v>
      </c>
      <c r="E6027" t="str">
        <f>"00047582"</f>
        <v>00047582</v>
      </c>
      <c r="F6027">
        <v>0</v>
      </c>
      <c r="G6027" s="243">
        <v>38686</v>
      </c>
      <c r="H6027" t="s">
        <v>182</v>
      </c>
      <c r="I6027">
        <v>15</v>
      </c>
      <c r="J6027">
        <v>9</v>
      </c>
      <c r="K6027">
        <v>1</v>
      </c>
      <c r="L6027">
        <v>65985</v>
      </c>
      <c r="M6027" t="str">
        <f t="shared" si="945"/>
        <v>13</v>
      </c>
      <c r="N6027" t="s">
        <v>3370</v>
      </c>
      <c r="O6027" t="str">
        <f t="shared" si="947"/>
        <v>74911</v>
      </c>
      <c r="P6027" t="str">
        <f t="shared" si="953"/>
        <v>2100L</v>
      </c>
      <c r="Q6027" t="str">
        <f t="shared" si="952"/>
        <v>0101</v>
      </c>
      <c r="R6027">
        <v>2100</v>
      </c>
      <c r="S6027" t="str">
        <f t="shared" si="948"/>
        <v>7490</v>
      </c>
      <c r="T6027" t="s">
        <v>4222</v>
      </c>
      <c r="U6027" t="s">
        <v>3138</v>
      </c>
    </row>
    <row r="6028" spans="1:21" ht="15" customHeight="1" x14ac:dyDescent="0.3">
      <c r="A6028" t="s">
        <v>179</v>
      </c>
      <c r="B6028" t="str">
        <f>"00076393"</f>
        <v>00076393</v>
      </c>
      <c r="C6028" t="s">
        <v>4253</v>
      </c>
      <c r="D6028" t="s">
        <v>3795</v>
      </c>
      <c r="E6028" t="str">
        <f>"00065829"</f>
        <v>00065829</v>
      </c>
      <c r="F6028">
        <v>0</v>
      </c>
      <c r="G6028" s="243">
        <v>40770</v>
      </c>
      <c r="H6028" t="s">
        <v>182</v>
      </c>
      <c r="I6028">
        <v>15</v>
      </c>
      <c r="J6028">
        <v>8</v>
      </c>
      <c r="K6028">
        <v>0.5</v>
      </c>
      <c r="L6028">
        <v>72171</v>
      </c>
      <c r="M6028" t="str">
        <f t="shared" si="945"/>
        <v>13</v>
      </c>
      <c r="N6028" t="s">
        <v>3323</v>
      </c>
      <c r="O6028" t="str">
        <f t="shared" si="947"/>
        <v>74911</v>
      </c>
      <c r="P6028" t="str">
        <f t="shared" si="953"/>
        <v>2100L</v>
      </c>
      <c r="Q6028" t="str">
        <f t="shared" si="952"/>
        <v>0101</v>
      </c>
      <c r="R6028">
        <v>2100</v>
      </c>
      <c r="S6028" t="str">
        <f t="shared" si="948"/>
        <v>7490</v>
      </c>
      <c r="T6028" t="s">
        <v>4222</v>
      </c>
      <c r="U6028" t="s">
        <v>3138</v>
      </c>
    </row>
    <row r="6029" spans="1:21" ht="15" customHeight="1" x14ac:dyDescent="0.3">
      <c r="A6029" t="s">
        <v>179</v>
      </c>
      <c r="B6029" t="str">
        <f>"00076394"</f>
        <v>00076394</v>
      </c>
      <c r="C6029" t="s">
        <v>4253</v>
      </c>
      <c r="H6029" t="s">
        <v>170</v>
      </c>
      <c r="I6029">
        <v>15</v>
      </c>
      <c r="J6029">
        <v>0</v>
      </c>
      <c r="K6029">
        <v>0.5</v>
      </c>
      <c r="L6029">
        <v>51539</v>
      </c>
      <c r="M6029" t="str">
        <f t="shared" si="945"/>
        <v>13</v>
      </c>
      <c r="N6029" t="s">
        <v>3323</v>
      </c>
      <c r="O6029" t="str">
        <f t="shared" si="947"/>
        <v>74911</v>
      </c>
      <c r="P6029" t="str">
        <f t="shared" si="953"/>
        <v>2100L</v>
      </c>
      <c r="Q6029" t="str">
        <f t="shared" si="952"/>
        <v>0101</v>
      </c>
      <c r="R6029">
        <v>2100</v>
      </c>
      <c r="S6029" t="str">
        <f t="shared" si="948"/>
        <v>7490</v>
      </c>
      <c r="T6029" t="s">
        <v>4222</v>
      </c>
      <c r="U6029" t="s">
        <v>3138</v>
      </c>
    </row>
    <row r="6030" spans="1:21" ht="15" customHeight="1" x14ac:dyDescent="0.3">
      <c r="A6030" t="s">
        <v>179</v>
      </c>
      <c r="B6030" t="str">
        <f>"00076395"</f>
        <v>00076395</v>
      </c>
      <c r="C6030" t="s">
        <v>4253</v>
      </c>
      <c r="D6030" t="s">
        <v>1307</v>
      </c>
      <c r="E6030" t="str">
        <f>"00055060"</f>
        <v>00055060</v>
      </c>
      <c r="F6030">
        <v>0</v>
      </c>
      <c r="G6030" s="243">
        <v>37124</v>
      </c>
      <c r="H6030" t="s">
        <v>182</v>
      </c>
      <c r="I6030">
        <v>15</v>
      </c>
      <c r="J6030">
        <v>15</v>
      </c>
      <c r="K6030">
        <v>1</v>
      </c>
      <c r="L6030">
        <v>100792</v>
      </c>
      <c r="M6030" t="str">
        <f t="shared" si="945"/>
        <v>13</v>
      </c>
      <c r="N6030" t="s">
        <v>3370</v>
      </c>
      <c r="O6030" t="str">
        <f t="shared" si="947"/>
        <v>74911</v>
      </c>
      <c r="P6030" t="str">
        <f t="shared" si="953"/>
        <v>2100L</v>
      </c>
      <c r="Q6030" t="str">
        <f t="shared" si="952"/>
        <v>0101</v>
      </c>
      <c r="R6030">
        <v>2100</v>
      </c>
      <c r="S6030" t="str">
        <f t="shared" si="948"/>
        <v>7490</v>
      </c>
      <c r="T6030" t="s">
        <v>4222</v>
      </c>
      <c r="U6030" t="s">
        <v>3138</v>
      </c>
    </row>
    <row r="6031" spans="1:21" ht="15" customHeight="1" x14ac:dyDescent="0.3">
      <c r="A6031" t="s">
        <v>179</v>
      </c>
      <c r="B6031" t="str">
        <f>"00076396"</f>
        <v>00076396</v>
      </c>
      <c r="C6031" t="s">
        <v>4438</v>
      </c>
      <c r="H6031" t="s">
        <v>170</v>
      </c>
      <c r="I6031">
        <v>11</v>
      </c>
      <c r="J6031">
        <v>0</v>
      </c>
      <c r="K6031">
        <v>0.5</v>
      </c>
      <c r="L6031">
        <v>60779</v>
      </c>
      <c r="M6031" t="str">
        <f t="shared" si="945"/>
        <v>13</v>
      </c>
      <c r="N6031" t="s">
        <v>3370</v>
      </c>
      <c r="O6031" t="str">
        <f t="shared" si="947"/>
        <v>74911</v>
      </c>
      <c r="P6031" t="str">
        <f t="shared" si="953"/>
        <v>2100L</v>
      </c>
      <c r="Q6031" t="str">
        <f t="shared" si="952"/>
        <v>0101</v>
      </c>
      <c r="R6031">
        <v>2100</v>
      </c>
      <c r="S6031" t="str">
        <f t="shared" si="948"/>
        <v>7490</v>
      </c>
      <c r="T6031" t="s">
        <v>4222</v>
      </c>
      <c r="U6031" t="s">
        <v>3138</v>
      </c>
    </row>
    <row r="6032" spans="1:21" ht="15" customHeight="1" x14ac:dyDescent="0.3">
      <c r="A6032" t="s">
        <v>179</v>
      </c>
      <c r="B6032" t="str">
        <f>"00052239"</f>
        <v>00052239</v>
      </c>
      <c r="C6032" t="s">
        <v>5657</v>
      </c>
      <c r="D6032" t="s">
        <v>1652</v>
      </c>
      <c r="E6032" t="str">
        <f>"00049782"</f>
        <v>00049782</v>
      </c>
      <c r="F6032">
        <v>0</v>
      </c>
      <c r="G6032" s="243">
        <v>36161</v>
      </c>
      <c r="H6032" t="s">
        <v>182</v>
      </c>
      <c r="I6032">
        <v>15</v>
      </c>
      <c r="J6032">
        <v>6</v>
      </c>
      <c r="K6032">
        <v>0.5</v>
      </c>
      <c r="L6032">
        <v>69739</v>
      </c>
      <c r="M6032" t="str">
        <f t="shared" si="945"/>
        <v>13</v>
      </c>
      <c r="N6032" t="s">
        <v>3323</v>
      </c>
      <c r="O6032" t="str">
        <f>"78782"</f>
        <v>78782</v>
      </c>
      <c r="P6032" t="str">
        <f>"5700S"</f>
        <v>5700S</v>
      </c>
      <c r="Q6032" t="str">
        <f>"0602"</f>
        <v>0602</v>
      </c>
      <c r="R6032">
        <v>5700</v>
      </c>
      <c r="S6032" t="str">
        <f t="shared" ref="S6032:S6057" si="954">"7870"</f>
        <v>7870</v>
      </c>
      <c r="T6032" t="s">
        <v>4226</v>
      </c>
      <c r="U6032" t="s">
        <v>111</v>
      </c>
    </row>
    <row r="6033" spans="1:21" ht="15" customHeight="1" x14ac:dyDescent="0.3">
      <c r="A6033" t="s">
        <v>179</v>
      </c>
      <c r="B6033" t="str">
        <f>"00052239"</f>
        <v>00052239</v>
      </c>
      <c r="C6033" t="s">
        <v>5657</v>
      </c>
      <c r="D6033" t="s">
        <v>1652</v>
      </c>
      <c r="E6033" t="str">
        <f>"00049782"</f>
        <v>00049782</v>
      </c>
      <c r="F6033">
        <v>0</v>
      </c>
      <c r="G6033" s="243">
        <v>36161</v>
      </c>
      <c r="H6033" t="s">
        <v>182</v>
      </c>
      <c r="I6033">
        <v>15</v>
      </c>
      <c r="J6033">
        <v>6</v>
      </c>
      <c r="K6033">
        <v>0.5</v>
      </c>
      <c r="L6033">
        <v>69739</v>
      </c>
      <c r="M6033" t="str">
        <f t="shared" si="945"/>
        <v>13</v>
      </c>
      <c r="N6033" t="s">
        <v>3323</v>
      </c>
      <c r="O6033" t="str">
        <f t="shared" ref="O6033:O6053" si="955">"78711"</f>
        <v>78711</v>
      </c>
      <c r="P6033" t="str">
        <f>"5700L"</f>
        <v>5700L</v>
      </c>
      <c r="Q6033" t="str">
        <f t="shared" ref="Q6033:Q6053" si="956">"0101"</f>
        <v>0101</v>
      </c>
      <c r="R6033">
        <v>5700</v>
      </c>
      <c r="S6033" t="str">
        <f t="shared" si="954"/>
        <v>7870</v>
      </c>
      <c r="T6033" t="s">
        <v>4226</v>
      </c>
      <c r="U6033" t="s">
        <v>111</v>
      </c>
    </row>
    <row r="6034" spans="1:21" ht="15" customHeight="1" x14ac:dyDescent="0.3">
      <c r="A6034" t="s">
        <v>179</v>
      </c>
      <c r="B6034" t="str">
        <f>"00052631"</f>
        <v>00052631</v>
      </c>
      <c r="C6034" t="s">
        <v>4254</v>
      </c>
      <c r="D6034" t="s">
        <v>1653</v>
      </c>
      <c r="E6034" t="str">
        <f>"00048734"</f>
        <v>00048734</v>
      </c>
      <c r="F6034">
        <v>0</v>
      </c>
      <c r="G6034" s="243">
        <v>32387</v>
      </c>
      <c r="H6034" t="s">
        <v>182</v>
      </c>
      <c r="I6034">
        <v>15</v>
      </c>
      <c r="J6034">
        <v>13</v>
      </c>
      <c r="K6034">
        <v>1</v>
      </c>
      <c r="L6034">
        <v>86613</v>
      </c>
      <c r="M6034" t="str">
        <f t="shared" si="945"/>
        <v>13</v>
      </c>
      <c r="N6034" t="s">
        <v>3323</v>
      </c>
      <c r="O6034" t="str">
        <f t="shared" si="955"/>
        <v>78711</v>
      </c>
      <c r="P6034" t="str">
        <f t="shared" ref="P6034:P6042" si="957">"2100L"</f>
        <v>2100L</v>
      </c>
      <c r="Q6034" t="str">
        <f t="shared" si="956"/>
        <v>0101</v>
      </c>
      <c r="R6034">
        <v>2100</v>
      </c>
      <c r="S6034" t="str">
        <f t="shared" si="954"/>
        <v>7870</v>
      </c>
      <c r="T6034" t="s">
        <v>4226</v>
      </c>
      <c r="U6034" t="s">
        <v>111</v>
      </c>
    </row>
    <row r="6035" spans="1:21" ht="15" customHeight="1" x14ac:dyDescent="0.3">
      <c r="A6035" t="s">
        <v>179</v>
      </c>
      <c r="B6035" t="str">
        <f>"00052893"</f>
        <v>00052893</v>
      </c>
      <c r="C6035" t="s">
        <v>4253</v>
      </c>
      <c r="D6035" t="s">
        <v>6028</v>
      </c>
      <c r="E6035" t="str">
        <f>"00069661"</f>
        <v>00069661</v>
      </c>
      <c r="F6035">
        <v>0</v>
      </c>
      <c r="G6035" s="243">
        <v>41133</v>
      </c>
      <c r="H6035" t="s">
        <v>182</v>
      </c>
      <c r="I6035">
        <v>15</v>
      </c>
      <c r="J6035">
        <v>1</v>
      </c>
      <c r="K6035">
        <v>1</v>
      </c>
      <c r="L6035">
        <v>54975</v>
      </c>
      <c r="M6035" t="str">
        <f t="shared" si="945"/>
        <v>13</v>
      </c>
      <c r="N6035" t="s">
        <v>3370</v>
      </c>
      <c r="O6035" t="str">
        <f t="shared" si="955"/>
        <v>78711</v>
      </c>
      <c r="P6035" t="str">
        <f t="shared" si="957"/>
        <v>2100L</v>
      </c>
      <c r="Q6035" t="str">
        <f t="shared" si="956"/>
        <v>0101</v>
      </c>
      <c r="R6035">
        <v>2100</v>
      </c>
      <c r="S6035" t="str">
        <f t="shared" si="954"/>
        <v>7870</v>
      </c>
      <c r="T6035" t="s">
        <v>4226</v>
      </c>
      <c r="U6035" t="s">
        <v>111</v>
      </c>
    </row>
    <row r="6036" spans="1:21" ht="15" customHeight="1" x14ac:dyDescent="0.3">
      <c r="A6036" t="s">
        <v>179</v>
      </c>
      <c r="B6036" t="str">
        <f>"00052911"</f>
        <v>00052911</v>
      </c>
      <c r="C6036" t="s">
        <v>4253</v>
      </c>
      <c r="D6036" t="s">
        <v>1654</v>
      </c>
      <c r="E6036" t="str">
        <f>"00050055"</f>
        <v>00050055</v>
      </c>
      <c r="F6036">
        <v>0</v>
      </c>
      <c r="G6036" s="243">
        <v>32387</v>
      </c>
      <c r="H6036" t="s">
        <v>182</v>
      </c>
      <c r="I6036">
        <v>15</v>
      </c>
      <c r="J6036">
        <v>16</v>
      </c>
      <c r="K6036">
        <v>1</v>
      </c>
      <c r="L6036">
        <v>106540</v>
      </c>
      <c r="M6036" t="str">
        <f t="shared" si="945"/>
        <v>13</v>
      </c>
      <c r="N6036" t="s">
        <v>3323</v>
      </c>
      <c r="O6036" t="str">
        <f t="shared" si="955"/>
        <v>78711</v>
      </c>
      <c r="P6036" t="str">
        <f t="shared" si="957"/>
        <v>2100L</v>
      </c>
      <c r="Q6036" t="str">
        <f t="shared" si="956"/>
        <v>0101</v>
      </c>
      <c r="R6036">
        <v>2100</v>
      </c>
      <c r="S6036" t="str">
        <f t="shared" si="954"/>
        <v>7870</v>
      </c>
      <c r="T6036" t="s">
        <v>4226</v>
      </c>
      <c r="U6036" t="s">
        <v>111</v>
      </c>
    </row>
    <row r="6037" spans="1:21" ht="15" customHeight="1" x14ac:dyDescent="0.3">
      <c r="A6037" t="s">
        <v>179</v>
      </c>
      <c r="B6037" t="str">
        <f>"00052990"</f>
        <v>00052990</v>
      </c>
      <c r="C6037" t="s">
        <v>4261</v>
      </c>
      <c r="D6037" t="s">
        <v>1655</v>
      </c>
      <c r="E6037" t="str">
        <f>"00050582"</f>
        <v>00050582</v>
      </c>
      <c r="F6037">
        <v>0</v>
      </c>
      <c r="G6037" s="243">
        <v>34941</v>
      </c>
      <c r="H6037" t="s">
        <v>182</v>
      </c>
      <c r="I6037">
        <v>15</v>
      </c>
      <c r="J6037">
        <v>14</v>
      </c>
      <c r="K6037">
        <v>1</v>
      </c>
      <c r="L6037">
        <v>112377</v>
      </c>
      <c r="M6037" t="str">
        <f t="shared" ref="M6037:M6093" si="958">"13"</f>
        <v>13</v>
      </c>
      <c r="N6037" t="s">
        <v>3323</v>
      </c>
      <c r="O6037" t="str">
        <f t="shared" si="955"/>
        <v>78711</v>
      </c>
      <c r="P6037" t="str">
        <f t="shared" si="957"/>
        <v>2100L</v>
      </c>
      <c r="Q6037" t="str">
        <f t="shared" si="956"/>
        <v>0101</v>
      </c>
      <c r="R6037">
        <v>2100</v>
      </c>
      <c r="S6037" t="str">
        <f t="shared" si="954"/>
        <v>7870</v>
      </c>
      <c r="T6037" t="s">
        <v>4226</v>
      </c>
      <c r="U6037" t="s">
        <v>111</v>
      </c>
    </row>
    <row r="6038" spans="1:21" ht="15" customHeight="1" x14ac:dyDescent="0.3">
      <c r="A6038" t="s">
        <v>179</v>
      </c>
      <c r="B6038" t="str">
        <f>"00053154"</f>
        <v>00053154</v>
      </c>
      <c r="C6038" t="s">
        <v>4254</v>
      </c>
      <c r="D6038" t="s">
        <v>1656</v>
      </c>
      <c r="E6038" t="str">
        <f>"00051033"</f>
        <v>00051033</v>
      </c>
      <c r="F6038">
        <v>0</v>
      </c>
      <c r="G6038" s="243">
        <v>31658</v>
      </c>
      <c r="H6038" t="s">
        <v>182</v>
      </c>
      <c r="I6038">
        <v>15</v>
      </c>
      <c r="J6038">
        <v>16</v>
      </c>
      <c r="K6038">
        <v>1</v>
      </c>
      <c r="L6038">
        <v>100839</v>
      </c>
      <c r="M6038" t="str">
        <f t="shared" si="958"/>
        <v>13</v>
      </c>
      <c r="N6038" t="s">
        <v>3323</v>
      </c>
      <c r="O6038" t="str">
        <f t="shared" si="955"/>
        <v>78711</v>
      </c>
      <c r="P6038" t="str">
        <f t="shared" si="957"/>
        <v>2100L</v>
      </c>
      <c r="Q6038" t="str">
        <f t="shared" si="956"/>
        <v>0101</v>
      </c>
      <c r="R6038">
        <v>2100</v>
      </c>
      <c r="S6038" t="str">
        <f t="shared" si="954"/>
        <v>7870</v>
      </c>
      <c r="T6038" t="s">
        <v>4226</v>
      </c>
      <c r="U6038" t="s">
        <v>111</v>
      </c>
    </row>
    <row r="6039" spans="1:21" ht="15" customHeight="1" x14ac:dyDescent="0.3">
      <c r="A6039" t="s">
        <v>179</v>
      </c>
      <c r="B6039" t="str">
        <f>"00053202"</f>
        <v>00053202</v>
      </c>
      <c r="C6039" t="s">
        <v>4253</v>
      </c>
      <c r="D6039" t="s">
        <v>1657</v>
      </c>
      <c r="E6039" t="str">
        <f>"00031213"</f>
        <v>00031213</v>
      </c>
      <c r="F6039">
        <v>2</v>
      </c>
      <c r="G6039" s="243">
        <v>32050</v>
      </c>
      <c r="H6039" t="s">
        <v>182</v>
      </c>
      <c r="I6039">
        <v>15</v>
      </c>
      <c r="J6039">
        <v>16</v>
      </c>
      <c r="K6039">
        <v>1</v>
      </c>
      <c r="L6039">
        <v>100839</v>
      </c>
      <c r="M6039" t="str">
        <f t="shared" si="958"/>
        <v>13</v>
      </c>
      <c r="N6039" t="s">
        <v>3323</v>
      </c>
      <c r="O6039" t="str">
        <f t="shared" si="955"/>
        <v>78711</v>
      </c>
      <c r="P6039" t="str">
        <f t="shared" si="957"/>
        <v>2100L</v>
      </c>
      <c r="Q6039" t="str">
        <f t="shared" si="956"/>
        <v>0101</v>
      </c>
      <c r="R6039">
        <v>2100</v>
      </c>
      <c r="S6039" t="str">
        <f t="shared" si="954"/>
        <v>7870</v>
      </c>
      <c r="T6039" t="s">
        <v>4226</v>
      </c>
      <c r="U6039" t="s">
        <v>111</v>
      </c>
    </row>
    <row r="6040" spans="1:21" ht="15" customHeight="1" x14ac:dyDescent="0.3">
      <c r="A6040" t="s">
        <v>179</v>
      </c>
      <c r="B6040" t="str">
        <f>"00053212"</f>
        <v>00053212</v>
      </c>
      <c r="C6040" t="s">
        <v>4263</v>
      </c>
      <c r="D6040" t="s">
        <v>6029</v>
      </c>
      <c r="E6040" t="str">
        <f>"00069901"</f>
        <v>00069901</v>
      </c>
      <c r="F6040">
        <v>0</v>
      </c>
      <c r="G6040" s="243">
        <v>41133</v>
      </c>
      <c r="H6040" t="s">
        <v>182</v>
      </c>
      <c r="I6040">
        <v>15</v>
      </c>
      <c r="J6040">
        <v>10</v>
      </c>
      <c r="K6040">
        <v>1</v>
      </c>
      <c r="L6040">
        <v>80729</v>
      </c>
      <c r="M6040" t="str">
        <f t="shared" si="958"/>
        <v>13</v>
      </c>
      <c r="N6040" t="s">
        <v>3370</v>
      </c>
      <c r="O6040" t="str">
        <f t="shared" si="955"/>
        <v>78711</v>
      </c>
      <c r="P6040" t="str">
        <f t="shared" si="957"/>
        <v>2100L</v>
      </c>
      <c r="Q6040" t="str">
        <f t="shared" si="956"/>
        <v>0101</v>
      </c>
      <c r="R6040">
        <v>2100</v>
      </c>
      <c r="S6040" t="str">
        <f t="shared" si="954"/>
        <v>7870</v>
      </c>
      <c r="T6040" t="s">
        <v>4226</v>
      </c>
      <c r="U6040" t="s">
        <v>111</v>
      </c>
    </row>
    <row r="6041" spans="1:21" ht="15" customHeight="1" x14ac:dyDescent="0.3">
      <c r="A6041" t="s">
        <v>179</v>
      </c>
      <c r="B6041" t="str">
        <f>"00054072"</f>
        <v>00054072</v>
      </c>
      <c r="C6041" t="s">
        <v>4255</v>
      </c>
      <c r="D6041" t="s">
        <v>6030</v>
      </c>
      <c r="E6041" t="str">
        <f>"00050459"</f>
        <v>00050459</v>
      </c>
      <c r="F6041">
        <v>0</v>
      </c>
      <c r="G6041" s="243">
        <v>41133</v>
      </c>
      <c r="H6041" t="s">
        <v>182</v>
      </c>
      <c r="I6041">
        <v>15</v>
      </c>
      <c r="J6041">
        <v>8</v>
      </c>
      <c r="K6041">
        <v>1</v>
      </c>
      <c r="L6041">
        <v>63517</v>
      </c>
      <c r="M6041" t="str">
        <f t="shared" si="958"/>
        <v>13</v>
      </c>
      <c r="N6041" t="s">
        <v>3323</v>
      </c>
      <c r="O6041" t="str">
        <f t="shared" si="955"/>
        <v>78711</v>
      </c>
      <c r="P6041" t="str">
        <f t="shared" si="957"/>
        <v>2100L</v>
      </c>
      <c r="Q6041" t="str">
        <f t="shared" si="956"/>
        <v>0101</v>
      </c>
      <c r="R6041">
        <v>2100</v>
      </c>
      <c r="S6041" t="str">
        <f t="shared" si="954"/>
        <v>7870</v>
      </c>
      <c r="T6041" t="s">
        <v>4226</v>
      </c>
      <c r="U6041" t="s">
        <v>111</v>
      </c>
    </row>
    <row r="6042" spans="1:21" ht="15" customHeight="1" x14ac:dyDescent="0.3">
      <c r="A6042" t="s">
        <v>179</v>
      </c>
      <c r="B6042" t="str">
        <f>"00054552"</f>
        <v>00054552</v>
      </c>
      <c r="C6042" t="s">
        <v>4253</v>
      </c>
      <c r="D6042" t="s">
        <v>1658</v>
      </c>
      <c r="E6042" t="str">
        <f>"00054196"</f>
        <v>00054196</v>
      </c>
      <c r="F6042">
        <v>0</v>
      </c>
      <c r="G6042" s="243">
        <v>27738</v>
      </c>
      <c r="H6042" t="s">
        <v>182</v>
      </c>
      <c r="I6042">
        <v>15</v>
      </c>
      <c r="J6042">
        <v>16</v>
      </c>
      <c r="K6042">
        <v>1</v>
      </c>
      <c r="L6042">
        <v>106540</v>
      </c>
      <c r="M6042" t="str">
        <f t="shared" si="958"/>
        <v>13</v>
      </c>
      <c r="N6042" t="s">
        <v>3323</v>
      </c>
      <c r="O6042" t="str">
        <f t="shared" si="955"/>
        <v>78711</v>
      </c>
      <c r="P6042" t="str">
        <f t="shared" si="957"/>
        <v>2100L</v>
      </c>
      <c r="Q6042" t="str">
        <f t="shared" si="956"/>
        <v>0101</v>
      </c>
      <c r="R6042">
        <v>2100</v>
      </c>
      <c r="S6042" t="str">
        <f t="shared" si="954"/>
        <v>7870</v>
      </c>
      <c r="T6042" t="s">
        <v>4226</v>
      </c>
      <c r="U6042" t="s">
        <v>111</v>
      </c>
    </row>
    <row r="6043" spans="1:21" ht="15" customHeight="1" x14ac:dyDescent="0.3">
      <c r="A6043" t="s">
        <v>179</v>
      </c>
      <c r="B6043" t="str">
        <f>"00055024"</f>
        <v>00055024</v>
      </c>
      <c r="C6043" t="s">
        <v>4260</v>
      </c>
      <c r="D6043" t="s">
        <v>6031</v>
      </c>
      <c r="E6043" t="str">
        <f>"00069920"</f>
        <v>00069920</v>
      </c>
      <c r="F6043">
        <v>0</v>
      </c>
      <c r="G6043" s="243">
        <v>41133</v>
      </c>
      <c r="H6043" t="s">
        <v>182</v>
      </c>
      <c r="I6043">
        <v>15</v>
      </c>
      <c r="J6043">
        <v>2</v>
      </c>
      <c r="K6043">
        <v>1</v>
      </c>
      <c r="L6043">
        <v>51716</v>
      </c>
      <c r="M6043" t="str">
        <f t="shared" si="958"/>
        <v>13</v>
      </c>
      <c r="N6043" t="s">
        <v>3370</v>
      </c>
      <c r="O6043" t="str">
        <f t="shared" si="955"/>
        <v>78711</v>
      </c>
      <c r="P6043" t="str">
        <f>"3030L"</f>
        <v>3030L</v>
      </c>
      <c r="Q6043" t="str">
        <f t="shared" si="956"/>
        <v>0101</v>
      </c>
      <c r="R6043">
        <v>3030</v>
      </c>
      <c r="S6043" t="str">
        <f t="shared" si="954"/>
        <v>7870</v>
      </c>
      <c r="T6043" t="s">
        <v>4226</v>
      </c>
      <c r="U6043" t="s">
        <v>111</v>
      </c>
    </row>
    <row r="6044" spans="1:21" ht="15" customHeight="1" x14ac:dyDescent="0.3">
      <c r="A6044" t="s">
        <v>179</v>
      </c>
      <c r="B6044" t="str">
        <f>"00057231"</f>
        <v>00057231</v>
      </c>
      <c r="C6044" t="s">
        <v>4253</v>
      </c>
      <c r="D6044" t="s">
        <v>1660</v>
      </c>
      <c r="E6044" t="str">
        <f>"00049235"</f>
        <v>00049235</v>
      </c>
      <c r="F6044">
        <v>0</v>
      </c>
      <c r="G6044" s="243">
        <v>32055</v>
      </c>
      <c r="H6044" t="s">
        <v>182</v>
      </c>
      <c r="I6044">
        <v>15</v>
      </c>
      <c r="J6044">
        <v>16</v>
      </c>
      <c r="K6044">
        <v>1</v>
      </c>
      <c r="L6044">
        <v>106540</v>
      </c>
      <c r="M6044" t="str">
        <f t="shared" si="958"/>
        <v>13</v>
      </c>
      <c r="N6044" t="s">
        <v>3323</v>
      </c>
      <c r="O6044" t="str">
        <f t="shared" si="955"/>
        <v>78711</v>
      </c>
      <c r="P6044" t="str">
        <f>"2100L"</f>
        <v>2100L</v>
      </c>
      <c r="Q6044" t="str">
        <f t="shared" si="956"/>
        <v>0101</v>
      </c>
      <c r="R6044">
        <v>2100</v>
      </c>
      <c r="S6044" t="str">
        <f t="shared" si="954"/>
        <v>7870</v>
      </c>
      <c r="T6044" t="s">
        <v>4226</v>
      </c>
      <c r="U6044" t="s">
        <v>111</v>
      </c>
    </row>
    <row r="6045" spans="1:21" ht="15" customHeight="1" x14ac:dyDescent="0.3">
      <c r="A6045" t="s">
        <v>179</v>
      </c>
      <c r="B6045" t="str">
        <f>"00057354"</f>
        <v>00057354</v>
      </c>
      <c r="C6045" t="s">
        <v>4253</v>
      </c>
      <c r="D6045" t="s">
        <v>1661</v>
      </c>
      <c r="E6045" t="str">
        <f>"00047769"</f>
        <v>00047769</v>
      </c>
      <c r="F6045">
        <v>0</v>
      </c>
      <c r="G6045" s="243">
        <v>36761</v>
      </c>
      <c r="H6045" t="s">
        <v>182</v>
      </c>
      <c r="I6045">
        <v>15</v>
      </c>
      <c r="J6045">
        <v>15</v>
      </c>
      <c r="K6045">
        <v>1</v>
      </c>
      <c r="L6045">
        <v>98285</v>
      </c>
      <c r="M6045" t="str">
        <f t="shared" si="958"/>
        <v>13</v>
      </c>
      <c r="N6045" t="s">
        <v>3323</v>
      </c>
      <c r="O6045" t="str">
        <f t="shared" si="955"/>
        <v>78711</v>
      </c>
      <c r="P6045" t="str">
        <f>"2100L"</f>
        <v>2100L</v>
      </c>
      <c r="Q6045" t="str">
        <f t="shared" si="956"/>
        <v>0101</v>
      </c>
      <c r="R6045">
        <v>2100</v>
      </c>
      <c r="S6045" t="str">
        <f t="shared" si="954"/>
        <v>7870</v>
      </c>
      <c r="T6045" t="s">
        <v>4226</v>
      </c>
      <c r="U6045" t="s">
        <v>111</v>
      </c>
    </row>
    <row r="6046" spans="1:21" ht="15" customHeight="1" x14ac:dyDescent="0.3">
      <c r="A6046" t="s">
        <v>179</v>
      </c>
      <c r="B6046" t="str">
        <f>"00057375"</f>
        <v>00057375</v>
      </c>
      <c r="C6046" t="s">
        <v>4261</v>
      </c>
      <c r="D6046" t="s">
        <v>1662</v>
      </c>
      <c r="E6046" t="str">
        <f>"00045304"</f>
        <v>00045304</v>
      </c>
      <c r="F6046">
        <v>0</v>
      </c>
      <c r="G6046" s="243">
        <v>36766</v>
      </c>
      <c r="H6046" t="s">
        <v>182</v>
      </c>
      <c r="I6046">
        <v>15</v>
      </c>
      <c r="J6046">
        <v>12</v>
      </c>
      <c r="K6046">
        <v>1</v>
      </c>
      <c r="L6046">
        <v>96174</v>
      </c>
      <c r="M6046" t="str">
        <f t="shared" si="958"/>
        <v>13</v>
      </c>
      <c r="N6046" t="s">
        <v>3323</v>
      </c>
      <c r="O6046" t="str">
        <f t="shared" si="955"/>
        <v>78711</v>
      </c>
      <c r="P6046" t="str">
        <f>"2300L"</f>
        <v>2300L</v>
      </c>
      <c r="Q6046" t="str">
        <f t="shared" si="956"/>
        <v>0101</v>
      </c>
      <c r="R6046">
        <v>2300</v>
      </c>
      <c r="S6046" t="str">
        <f t="shared" si="954"/>
        <v>7870</v>
      </c>
      <c r="T6046" t="s">
        <v>4226</v>
      </c>
      <c r="U6046" t="s">
        <v>111</v>
      </c>
    </row>
    <row r="6047" spans="1:21" ht="15" customHeight="1" x14ac:dyDescent="0.3">
      <c r="A6047" t="s">
        <v>179</v>
      </c>
      <c r="B6047" t="str">
        <f>"00058020"</f>
        <v>00058020</v>
      </c>
      <c r="C6047" t="s">
        <v>4253</v>
      </c>
      <c r="D6047" t="s">
        <v>1663</v>
      </c>
      <c r="E6047" t="str">
        <f>"00047785"</f>
        <v>00047785</v>
      </c>
      <c r="F6047">
        <v>0</v>
      </c>
      <c r="G6047" s="243">
        <v>38587</v>
      </c>
      <c r="H6047" t="s">
        <v>182</v>
      </c>
      <c r="I6047">
        <v>15</v>
      </c>
      <c r="J6047">
        <v>8</v>
      </c>
      <c r="K6047">
        <v>1</v>
      </c>
      <c r="L6047">
        <v>74640</v>
      </c>
      <c r="M6047" t="str">
        <f t="shared" si="958"/>
        <v>13</v>
      </c>
      <c r="N6047" t="s">
        <v>3323</v>
      </c>
      <c r="O6047" t="str">
        <f t="shared" si="955"/>
        <v>78711</v>
      </c>
      <c r="P6047" t="str">
        <f>"2100L"</f>
        <v>2100L</v>
      </c>
      <c r="Q6047" t="str">
        <f t="shared" si="956"/>
        <v>0101</v>
      </c>
      <c r="R6047">
        <v>2100</v>
      </c>
      <c r="S6047" t="str">
        <f t="shared" si="954"/>
        <v>7870</v>
      </c>
      <c r="T6047" t="s">
        <v>4226</v>
      </c>
      <c r="U6047" t="s">
        <v>111</v>
      </c>
    </row>
    <row r="6048" spans="1:21" ht="15" customHeight="1" x14ac:dyDescent="0.3">
      <c r="A6048" t="s">
        <v>179</v>
      </c>
      <c r="B6048" t="str">
        <f>"00058216"</f>
        <v>00058216</v>
      </c>
      <c r="C6048" t="s">
        <v>4253</v>
      </c>
      <c r="D6048" t="s">
        <v>1664</v>
      </c>
      <c r="E6048" t="str">
        <f>"00044809"</f>
        <v>00044809</v>
      </c>
      <c r="F6048">
        <v>0</v>
      </c>
      <c r="G6048" s="243">
        <v>39314</v>
      </c>
      <c r="H6048" t="s">
        <v>182</v>
      </c>
      <c r="I6048">
        <v>15</v>
      </c>
      <c r="J6048">
        <v>6</v>
      </c>
      <c r="K6048">
        <v>1</v>
      </c>
      <c r="L6048">
        <v>66078</v>
      </c>
      <c r="M6048" t="str">
        <f t="shared" si="958"/>
        <v>13</v>
      </c>
      <c r="N6048" t="s">
        <v>3323</v>
      </c>
      <c r="O6048" t="str">
        <f t="shared" si="955"/>
        <v>78711</v>
      </c>
      <c r="P6048" t="str">
        <f>"2100L"</f>
        <v>2100L</v>
      </c>
      <c r="Q6048" t="str">
        <f t="shared" si="956"/>
        <v>0101</v>
      </c>
      <c r="R6048">
        <v>2100</v>
      </c>
      <c r="S6048" t="str">
        <f t="shared" si="954"/>
        <v>7870</v>
      </c>
      <c r="T6048" t="s">
        <v>4226</v>
      </c>
      <c r="U6048" t="s">
        <v>111</v>
      </c>
    </row>
    <row r="6049" spans="1:21" ht="15" customHeight="1" x14ac:dyDescent="0.3">
      <c r="A6049" t="s">
        <v>179</v>
      </c>
      <c r="B6049" t="str">
        <f>"00058225"</f>
        <v>00058225</v>
      </c>
      <c r="C6049" t="s">
        <v>4255</v>
      </c>
      <c r="D6049" t="s">
        <v>1665</v>
      </c>
      <c r="E6049" t="str">
        <f>"00055139"</f>
        <v>00055139</v>
      </c>
      <c r="F6049">
        <v>0</v>
      </c>
      <c r="G6049" s="243">
        <v>38951</v>
      </c>
      <c r="H6049" t="s">
        <v>182</v>
      </c>
      <c r="I6049">
        <v>15</v>
      </c>
      <c r="J6049">
        <v>14</v>
      </c>
      <c r="K6049">
        <v>1</v>
      </c>
      <c r="L6049">
        <v>98967</v>
      </c>
      <c r="M6049" t="str">
        <f t="shared" si="958"/>
        <v>13</v>
      </c>
      <c r="N6049" t="s">
        <v>3323</v>
      </c>
      <c r="O6049" t="str">
        <f t="shared" si="955"/>
        <v>78711</v>
      </c>
      <c r="P6049" t="str">
        <f>"2100L"</f>
        <v>2100L</v>
      </c>
      <c r="Q6049" t="str">
        <f t="shared" si="956"/>
        <v>0101</v>
      </c>
      <c r="R6049">
        <v>2100</v>
      </c>
      <c r="S6049" t="str">
        <f t="shared" si="954"/>
        <v>7870</v>
      </c>
      <c r="T6049" t="s">
        <v>4226</v>
      </c>
      <c r="U6049" t="s">
        <v>111</v>
      </c>
    </row>
    <row r="6050" spans="1:21" ht="15" customHeight="1" x14ac:dyDescent="0.3">
      <c r="A6050" t="s">
        <v>179</v>
      </c>
      <c r="B6050" t="str">
        <f>"00058307"</f>
        <v>00058307</v>
      </c>
      <c r="C6050" t="s">
        <v>4306</v>
      </c>
      <c r="D6050" t="s">
        <v>6032</v>
      </c>
      <c r="E6050" t="str">
        <f>"00045796"</f>
        <v>00045796</v>
      </c>
      <c r="F6050">
        <v>0</v>
      </c>
      <c r="G6050" s="243">
        <v>29198</v>
      </c>
      <c r="H6050" t="s">
        <v>182</v>
      </c>
      <c r="I6050">
        <v>9</v>
      </c>
      <c r="J6050">
        <v>9</v>
      </c>
      <c r="K6050">
        <v>1</v>
      </c>
      <c r="L6050">
        <v>41667</v>
      </c>
      <c r="M6050" t="str">
        <f t="shared" si="958"/>
        <v>13</v>
      </c>
      <c r="N6050" t="s">
        <v>3323</v>
      </c>
      <c r="O6050" t="str">
        <f t="shared" si="955"/>
        <v>78711</v>
      </c>
      <c r="P6050" t="str">
        <f>"1502L"</f>
        <v>1502L</v>
      </c>
      <c r="Q6050" t="str">
        <f t="shared" si="956"/>
        <v>0101</v>
      </c>
      <c r="R6050">
        <v>1502</v>
      </c>
      <c r="S6050" t="str">
        <f t="shared" si="954"/>
        <v>7870</v>
      </c>
      <c r="T6050" t="s">
        <v>4226</v>
      </c>
      <c r="U6050" t="s">
        <v>111</v>
      </c>
    </row>
    <row r="6051" spans="1:21" ht="15" customHeight="1" x14ac:dyDescent="0.3">
      <c r="A6051" t="s">
        <v>179</v>
      </c>
      <c r="B6051" t="str">
        <f>"00059234"</f>
        <v>00059234</v>
      </c>
      <c r="C6051" t="s">
        <v>4258</v>
      </c>
      <c r="D6051" t="s">
        <v>1666</v>
      </c>
      <c r="E6051" t="str">
        <f>"00014413"</f>
        <v>00014413</v>
      </c>
      <c r="F6051">
        <v>4</v>
      </c>
      <c r="G6051" s="243">
        <v>38587</v>
      </c>
      <c r="H6051" t="s">
        <v>182</v>
      </c>
      <c r="I6051">
        <v>15</v>
      </c>
      <c r="J6051">
        <v>8</v>
      </c>
      <c r="K6051">
        <v>1</v>
      </c>
      <c r="L6051">
        <v>63517</v>
      </c>
      <c r="M6051" t="str">
        <f t="shared" si="958"/>
        <v>13</v>
      </c>
      <c r="N6051" t="s">
        <v>3323</v>
      </c>
      <c r="O6051" t="str">
        <f t="shared" si="955"/>
        <v>78711</v>
      </c>
      <c r="P6051" t="str">
        <f>"2100L"</f>
        <v>2100L</v>
      </c>
      <c r="Q6051" t="str">
        <f t="shared" si="956"/>
        <v>0101</v>
      </c>
      <c r="R6051">
        <v>2100</v>
      </c>
      <c r="S6051" t="str">
        <f t="shared" si="954"/>
        <v>7870</v>
      </c>
      <c r="T6051" t="s">
        <v>4226</v>
      </c>
      <c r="U6051" t="s">
        <v>111</v>
      </c>
    </row>
    <row r="6052" spans="1:21" ht="15" customHeight="1" x14ac:dyDescent="0.3">
      <c r="A6052" t="s">
        <v>179</v>
      </c>
      <c r="B6052" t="str">
        <f>"00059509"</f>
        <v>00059509</v>
      </c>
      <c r="C6052" t="s">
        <v>4257</v>
      </c>
      <c r="D6052" t="s">
        <v>6033</v>
      </c>
      <c r="E6052" t="str">
        <f>"00069950"</f>
        <v>00069950</v>
      </c>
      <c r="F6052">
        <v>0</v>
      </c>
      <c r="G6052" s="243">
        <v>41133</v>
      </c>
      <c r="H6052" t="s">
        <v>182</v>
      </c>
      <c r="I6052">
        <v>15</v>
      </c>
      <c r="J6052">
        <v>5</v>
      </c>
      <c r="K6052">
        <v>1</v>
      </c>
      <c r="L6052">
        <v>63611</v>
      </c>
      <c r="M6052" t="str">
        <f t="shared" si="958"/>
        <v>13</v>
      </c>
      <c r="N6052" t="s">
        <v>3370</v>
      </c>
      <c r="O6052" t="str">
        <f t="shared" si="955"/>
        <v>78711</v>
      </c>
      <c r="P6052" t="str">
        <f>"2100L"</f>
        <v>2100L</v>
      </c>
      <c r="Q6052" t="str">
        <f t="shared" si="956"/>
        <v>0101</v>
      </c>
      <c r="R6052">
        <v>2100</v>
      </c>
      <c r="S6052" t="str">
        <f t="shared" si="954"/>
        <v>7870</v>
      </c>
      <c r="T6052" t="s">
        <v>4226</v>
      </c>
      <c r="U6052" t="s">
        <v>111</v>
      </c>
    </row>
    <row r="6053" spans="1:21" ht="15" customHeight="1" x14ac:dyDescent="0.3">
      <c r="A6053" t="s">
        <v>179</v>
      </c>
      <c r="B6053" t="str">
        <f>"00059716"</f>
        <v>00059716</v>
      </c>
      <c r="C6053" t="s">
        <v>655</v>
      </c>
      <c r="D6053" t="s">
        <v>1668</v>
      </c>
      <c r="E6053" t="str">
        <f>"00054319"</f>
        <v>00054319</v>
      </c>
      <c r="F6053">
        <v>0</v>
      </c>
      <c r="G6053" s="243">
        <v>38182</v>
      </c>
      <c r="H6053" t="s">
        <v>182</v>
      </c>
      <c r="I6053">
        <v>15</v>
      </c>
      <c r="J6053">
        <v>11</v>
      </c>
      <c r="K6053">
        <v>0.5</v>
      </c>
      <c r="L6053">
        <v>78805</v>
      </c>
      <c r="M6053" t="str">
        <f t="shared" si="958"/>
        <v>13</v>
      </c>
      <c r="N6053" t="s">
        <v>3323</v>
      </c>
      <c r="O6053" t="str">
        <f t="shared" si="955"/>
        <v>78711</v>
      </c>
      <c r="P6053" t="str">
        <f>"5700L"</f>
        <v>5700L</v>
      </c>
      <c r="Q6053" t="str">
        <f t="shared" si="956"/>
        <v>0101</v>
      </c>
      <c r="R6053">
        <v>5700</v>
      </c>
      <c r="S6053" t="str">
        <f t="shared" si="954"/>
        <v>7870</v>
      </c>
      <c r="T6053" t="s">
        <v>4226</v>
      </c>
      <c r="U6053" t="s">
        <v>111</v>
      </c>
    </row>
    <row r="6054" spans="1:21" ht="15" customHeight="1" x14ac:dyDescent="0.3">
      <c r="A6054" t="s">
        <v>179</v>
      </c>
      <c r="B6054" t="str">
        <f>"00059716"</f>
        <v>00059716</v>
      </c>
      <c r="C6054" t="s">
        <v>655</v>
      </c>
      <c r="D6054" t="s">
        <v>1668</v>
      </c>
      <c r="E6054" t="str">
        <f>"00054319"</f>
        <v>00054319</v>
      </c>
      <c r="F6054">
        <v>0</v>
      </c>
      <c r="G6054" s="243">
        <v>38182</v>
      </c>
      <c r="H6054" t="s">
        <v>182</v>
      </c>
      <c r="I6054">
        <v>15</v>
      </c>
      <c r="J6054">
        <v>11</v>
      </c>
      <c r="K6054">
        <v>0.5</v>
      </c>
      <c r="L6054">
        <v>78805</v>
      </c>
      <c r="M6054" t="str">
        <f t="shared" si="958"/>
        <v>13</v>
      </c>
      <c r="N6054" t="s">
        <v>3323</v>
      </c>
      <c r="O6054" t="str">
        <f>"78782"</f>
        <v>78782</v>
      </c>
      <c r="P6054" t="str">
        <f>"5700S"</f>
        <v>5700S</v>
      </c>
      <c r="Q6054" t="str">
        <f>"0602"</f>
        <v>0602</v>
      </c>
      <c r="R6054">
        <v>5700</v>
      </c>
      <c r="S6054" t="str">
        <f t="shared" si="954"/>
        <v>7870</v>
      </c>
      <c r="T6054" t="s">
        <v>4226</v>
      </c>
      <c r="U6054" t="s">
        <v>111</v>
      </c>
    </row>
    <row r="6055" spans="1:21" ht="15" customHeight="1" x14ac:dyDescent="0.3">
      <c r="A6055" t="s">
        <v>179</v>
      </c>
      <c r="B6055" t="str">
        <f>"00059723"</f>
        <v>00059723</v>
      </c>
      <c r="C6055" t="s">
        <v>4253</v>
      </c>
      <c r="D6055" t="s">
        <v>1669</v>
      </c>
      <c r="E6055" t="str">
        <f>"00062377"</f>
        <v>00062377</v>
      </c>
      <c r="F6055">
        <v>0</v>
      </c>
      <c r="G6055" s="243">
        <v>40406</v>
      </c>
      <c r="H6055" t="s">
        <v>182</v>
      </c>
      <c r="I6055">
        <v>15</v>
      </c>
      <c r="J6055">
        <v>12</v>
      </c>
      <c r="K6055">
        <v>1</v>
      </c>
      <c r="L6055">
        <v>87431</v>
      </c>
      <c r="M6055" t="str">
        <f t="shared" si="958"/>
        <v>13</v>
      </c>
      <c r="N6055" t="s">
        <v>3323</v>
      </c>
      <c r="O6055" t="str">
        <f t="shared" ref="O6055:O6084" si="959">"78711"</f>
        <v>78711</v>
      </c>
      <c r="P6055" t="str">
        <f>"2100L"</f>
        <v>2100L</v>
      </c>
      <c r="Q6055" t="str">
        <f t="shared" ref="Q6055:Q6084" si="960">"0101"</f>
        <v>0101</v>
      </c>
      <c r="R6055">
        <v>2100</v>
      </c>
      <c r="S6055" t="str">
        <f t="shared" si="954"/>
        <v>7870</v>
      </c>
      <c r="T6055" t="s">
        <v>4226</v>
      </c>
      <c r="U6055" t="s">
        <v>111</v>
      </c>
    </row>
    <row r="6056" spans="1:21" ht="15" customHeight="1" x14ac:dyDescent="0.3">
      <c r="A6056" t="s">
        <v>179</v>
      </c>
      <c r="B6056" t="str">
        <f>"00059754"</f>
        <v>00059754</v>
      </c>
      <c r="C6056" t="s">
        <v>4306</v>
      </c>
      <c r="D6056" t="s">
        <v>6034</v>
      </c>
      <c r="E6056" t="str">
        <f>"00051929"</f>
        <v>00051929</v>
      </c>
      <c r="F6056">
        <v>0</v>
      </c>
      <c r="G6056" s="243">
        <v>38195</v>
      </c>
      <c r="H6056" t="s">
        <v>182</v>
      </c>
      <c r="I6056">
        <v>9</v>
      </c>
      <c r="J6056">
        <v>4</v>
      </c>
      <c r="K6056">
        <v>1</v>
      </c>
      <c r="L6056">
        <v>36352</v>
      </c>
      <c r="M6056" t="str">
        <f t="shared" si="958"/>
        <v>13</v>
      </c>
      <c r="N6056" t="s">
        <v>3323</v>
      </c>
      <c r="O6056" t="str">
        <f t="shared" si="959"/>
        <v>78711</v>
      </c>
      <c r="P6056" t="str">
        <f>"1502L"</f>
        <v>1502L</v>
      </c>
      <c r="Q6056" t="str">
        <f t="shared" si="960"/>
        <v>0101</v>
      </c>
      <c r="R6056">
        <v>1502</v>
      </c>
      <c r="S6056" t="str">
        <f t="shared" si="954"/>
        <v>7870</v>
      </c>
      <c r="T6056" t="s">
        <v>4226</v>
      </c>
      <c r="U6056" t="s">
        <v>111</v>
      </c>
    </row>
    <row r="6057" spans="1:21" ht="15" customHeight="1" x14ac:dyDescent="0.3">
      <c r="A6057" t="s">
        <v>179</v>
      </c>
      <c r="B6057" t="str">
        <f>"00059835"</f>
        <v>00059835</v>
      </c>
      <c r="C6057" t="s">
        <v>4255</v>
      </c>
      <c r="D6057" t="s">
        <v>1670</v>
      </c>
      <c r="E6057" t="str">
        <f>"00047400"</f>
        <v>00047400</v>
      </c>
      <c r="F6057">
        <v>0</v>
      </c>
      <c r="G6057" s="243">
        <v>38226</v>
      </c>
      <c r="H6057" t="s">
        <v>182</v>
      </c>
      <c r="I6057">
        <v>15</v>
      </c>
      <c r="J6057">
        <v>11</v>
      </c>
      <c r="K6057">
        <v>1</v>
      </c>
      <c r="L6057">
        <v>81335</v>
      </c>
      <c r="M6057" t="str">
        <f t="shared" si="958"/>
        <v>13</v>
      </c>
      <c r="N6057" t="s">
        <v>3323</v>
      </c>
      <c r="O6057" t="str">
        <f t="shared" si="959"/>
        <v>78711</v>
      </c>
      <c r="P6057" t="str">
        <f t="shared" ref="P6057:P6062" si="961">"2100L"</f>
        <v>2100L</v>
      </c>
      <c r="Q6057" t="str">
        <f t="shared" si="960"/>
        <v>0101</v>
      </c>
      <c r="R6057">
        <v>2100</v>
      </c>
      <c r="S6057" t="str">
        <f t="shared" si="954"/>
        <v>7870</v>
      </c>
      <c r="T6057" t="s">
        <v>4226</v>
      </c>
      <c r="U6057" t="s">
        <v>111</v>
      </c>
    </row>
    <row r="6058" spans="1:21" ht="15" customHeight="1" x14ac:dyDescent="0.3">
      <c r="A6058" t="s">
        <v>179</v>
      </c>
      <c r="B6058" t="str">
        <f>"00059865"</f>
        <v>00059865</v>
      </c>
      <c r="C6058" t="s">
        <v>4255</v>
      </c>
      <c r="D6058" t="s">
        <v>1671</v>
      </c>
      <c r="E6058" t="str">
        <f>"00051704"</f>
        <v>00051704</v>
      </c>
      <c r="F6058">
        <v>0</v>
      </c>
      <c r="G6058" s="243">
        <v>38226</v>
      </c>
      <c r="H6058" t="s">
        <v>182</v>
      </c>
      <c r="I6058">
        <v>15</v>
      </c>
      <c r="J6058">
        <v>11</v>
      </c>
      <c r="K6058">
        <v>1</v>
      </c>
      <c r="L6058">
        <v>81335</v>
      </c>
      <c r="M6058" t="str">
        <f t="shared" si="958"/>
        <v>13</v>
      </c>
      <c r="N6058" t="s">
        <v>3323</v>
      </c>
      <c r="O6058" t="str">
        <f t="shared" si="959"/>
        <v>78711</v>
      </c>
      <c r="P6058" t="str">
        <f t="shared" si="961"/>
        <v>2100L</v>
      </c>
      <c r="Q6058" t="str">
        <f t="shared" si="960"/>
        <v>0101</v>
      </c>
      <c r="R6058">
        <v>2100</v>
      </c>
      <c r="S6058" t="str">
        <f t="shared" ref="S6058:S6089" si="962">"7870"</f>
        <v>7870</v>
      </c>
      <c r="T6058" t="s">
        <v>4226</v>
      </c>
      <c r="U6058" t="s">
        <v>111</v>
      </c>
    </row>
    <row r="6059" spans="1:21" ht="15" customHeight="1" x14ac:dyDescent="0.3">
      <c r="A6059" t="s">
        <v>179</v>
      </c>
      <c r="B6059" t="str">
        <f>"00059874"</f>
        <v>00059874</v>
      </c>
      <c r="C6059" t="s">
        <v>4253</v>
      </c>
      <c r="D6059" t="s">
        <v>1672</v>
      </c>
      <c r="E6059" t="str">
        <f>"00046262"</f>
        <v>00046262</v>
      </c>
      <c r="F6059">
        <v>0</v>
      </c>
      <c r="G6059" s="243">
        <v>38226</v>
      </c>
      <c r="H6059" t="s">
        <v>182</v>
      </c>
      <c r="I6059">
        <v>15</v>
      </c>
      <c r="J6059">
        <v>12</v>
      </c>
      <c r="K6059">
        <v>1</v>
      </c>
      <c r="L6059">
        <v>87431</v>
      </c>
      <c r="M6059" t="str">
        <f t="shared" si="958"/>
        <v>13</v>
      </c>
      <c r="N6059" t="s">
        <v>3323</v>
      </c>
      <c r="O6059" t="str">
        <f t="shared" si="959"/>
        <v>78711</v>
      </c>
      <c r="P6059" t="str">
        <f t="shared" si="961"/>
        <v>2100L</v>
      </c>
      <c r="Q6059" t="str">
        <f t="shared" si="960"/>
        <v>0101</v>
      </c>
      <c r="R6059">
        <v>2100</v>
      </c>
      <c r="S6059" t="str">
        <f t="shared" si="962"/>
        <v>7870</v>
      </c>
      <c r="T6059" t="s">
        <v>4226</v>
      </c>
      <c r="U6059" t="s">
        <v>111</v>
      </c>
    </row>
    <row r="6060" spans="1:21" ht="15" customHeight="1" x14ac:dyDescent="0.3">
      <c r="A6060" t="s">
        <v>179</v>
      </c>
      <c r="B6060" t="str">
        <f>"00059892"</f>
        <v>00059892</v>
      </c>
      <c r="C6060" t="s">
        <v>4253</v>
      </c>
      <c r="D6060" t="s">
        <v>1673</v>
      </c>
      <c r="E6060" t="str">
        <f>"00048903"</f>
        <v>00048903</v>
      </c>
      <c r="F6060">
        <v>0</v>
      </c>
      <c r="G6060" s="243">
        <v>36034</v>
      </c>
      <c r="H6060" t="s">
        <v>182</v>
      </c>
      <c r="I6060">
        <v>15</v>
      </c>
      <c r="J6060">
        <v>15</v>
      </c>
      <c r="K6060">
        <v>1</v>
      </c>
      <c r="L6060">
        <v>98285</v>
      </c>
      <c r="M6060" t="str">
        <f t="shared" si="958"/>
        <v>13</v>
      </c>
      <c r="N6060" t="s">
        <v>3323</v>
      </c>
      <c r="O6060" t="str">
        <f t="shared" si="959"/>
        <v>78711</v>
      </c>
      <c r="P6060" t="str">
        <f t="shared" si="961"/>
        <v>2100L</v>
      </c>
      <c r="Q6060" t="str">
        <f t="shared" si="960"/>
        <v>0101</v>
      </c>
      <c r="R6060">
        <v>2100</v>
      </c>
      <c r="S6060" t="str">
        <f t="shared" si="962"/>
        <v>7870</v>
      </c>
      <c r="T6060" t="s">
        <v>4226</v>
      </c>
      <c r="U6060" t="s">
        <v>111</v>
      </c>
    </row>
    <row r="6061" spans="1:21" ht="15" customHeight="1" x14ac:dyDescent="0.3">
      <c r="A6061" t="s">
        <v>179</v>
      </c>
      <c r="B6061" t="str">
        <f>"00060135"</f>
        <v>00060135</v>
      </c>
      <c r="C6061" t="s">
        <v>4253</v>
      </c>
      <c r="D6061" t="s">
        <v>1674</v>
      </c>
      <c r="E6061" t="str">
        <f>"00062806"</f>
        <v>00062806</v>
      </c>
      <c r="F6061">
        <v>0</v>
      </c>
      <c r="G6061" s="243">
        <v>40406</v>
      </c>
      <c r="H6061" t="s">
        <v>182</v>
      </c>
      <c r="I6061">
        <v>15</v>
      </c>
      <c r="J6061">
        <v>3</v>
      </c>
      <c r="K6061">
        <v>1</v>
      </c>
      <c r="L6061">
        <v>58699</v>
      </c>
      <c r="M6061" t="str">
        <f t="shared" si="958"/>
        <v>13</v>
      </c>
      <c r="N6061" t="s">
        <v>3323</v>
      </c>
      <c r="O6061" t="str">
        <f t="shared" si="959"/>
        <v>78711</v>
      </c>
      <c r="P6061" t="str">
        <f t="shared" si="961"/>
        <v>2100L</v>
      </c>
      <c r="Q6061" t="str">
        <f t="shared" si="960"/>
        <v>0101</v>
      </c>
      <c r="R6061">
        <v>2100</v>
      </c>
      <c r="S6061" t="str">
        <f t="shared" si="962"/>
        <v>7870</v>
      </c>
      <c r="T6061" t="s">
        <v>4226</v>
      </c>
      <c r="U6061" t="s">
        <v>111</v>
      </c>
    </row>
    <row r="6062" spans="1:21" ht="15" customHeight="1" x14ac:dyDescent="0.3">
      <c r="A6062" t="s">
        <v>179</v>
      </c>
      <c r="B6062" t="str">
        <f>"00060318"</f>
        <v>00060318</v>
      </c>
      <c r="C6062" t="s">
        <v>4263</v>
      </c>
      <c r="D6062" t="s">
        <v>4064</v>
      </c>
      <c r="E6062" t="str">
        <f>"00066697"</f>
        <v>00066697</v>
      </c>
      <c r="F6062">
        <v>0</v>
      </c>
      <c r="G6062" s="243">
        <v>40809</v>
      </c>
      <c r="H6062" t="s">
        <v>182</v>
      </c>
      <c r="I6062">
        <v>15</v>
      </c>
      <c r="J6062">
        <v>11</v>
      </c>
      <c r="K6062">
        <v>1</v>
      </c>
      <c r="L6062">
        <v>73325</v>
      </c>
      <c r="M6062" t="str">
        <f t="shared" si="958"/>
        <v>13</v>
      </c>
      <c r="N6062" t="s">
        <v>3370</v>
      </c>
      <c r="O6062" t="str">
        <f t="shared" si="959"/>
        <v>78711</v>
      </c>
      <c r="P6062" t="str">
        <f t="shared" si="961"/>
        <v>2100L</v>
      </c>
      <c r="Q6062" t="str">
        <f t="shared" si="960"/>
        <v>0101</v>
      </c>
      <c r="R6062">
        <v>2100</v>
      </c>
      <c r="S6062" t="str">
        <f t="shared" si="962"/>
        <v>7870</v>
      </c>
      <c r="T6062" t="s">
        <v>4226</v>
      </c>
      <c r="U6062" t="s">
        <v>111</v>
      </c>
    </row>
    <row r="6063" spans="1:21" ht="15" customHeight="1" x14ac:dyDescent="0.3">
      <c r="A6063" t="s">
        <v>179</v>
      </c>
      <c r="B6063" t="str">
        <f>"00060520"</f>
        <v>00060520</v>
      </c>
      <c r="C6063" t="s">
        <v>3798</v>
      </c>
      <c r="D6063" t="s">
        <v>1676</v>
      </c>
      <c r="E6063" t="str">
        <f>"00046398"</f>
        <v>00046398</v>
      </c>
      <c r="F6063">
        <v>0</v>
      </c>
      <c r="G6063" s="243">
        <v>38894</v>
      </c>
      <c r="H6063" t="s">
        <v>182</v>
      </c>
      <c r="I6063">
        <v>66</v>
      </c>
      <c r="J6063">
        <v>4</v>
      </c>
      <c r="K6063">
        <v>1</v>
      </c>
      <c r="L6063">
        <v>130000</v>
      </c>
      <c r="M6063" t="str">
        <f t="shared" si="958"/>
        <v>13</v>
      </c>
      <c r="N6063" t="s">
        <v>3323</v>
      </c>
      <c r="O6063" t="str">
        <f t="shared" si="959"/>
        <v>78711</v>
      </c>
      <c r="P6063" t="str">
        <f>"1501L"</f>
        <v>1501L</v>
      </c>
      <c r="Q6063" t="str">
        <f t="shared" si="960"/>
        <v>0101</v>
      </c>
      <c r="R6063">
        <v>1501</v>
      </c>
      <c r="S6063" t="str">
        <f t="shared" si="962"/>
        <v>7870</v>
      </c>
      <c r="T6063" t="s">
        <v>4226</v>
      </c>
      <c r="U6063" t="s">
        <v>111</v>
      </c>
    </row>
    <row r="6064" spans="1:21" ht="15" customHeight="1" x14ac:dyDescent="0.3">
      <c r="A6064" t="s">
        <v>179</v>
      </c>
      <c r="B6064" t="str">
        <f>"00060643"</f>
        <v>00060643</v>
      </c>
      <c r="C6064" t="s">
        <v>4255</v>
      </c>
      <c r="D6064" t="s">
        <v>1677</v>
      </c>
      <c r="E6064" t="str">
        <f>"00052183"</f>
        <v>00052183</v>
      </c>
      <c r="F6064">
        <v>0</v>
      </c>
      <c r="G6064" s="243">
        <v>39030</v>
      </c>
      <c r="H6064" t="s">
        <v>182</v>
      </c>
      <c r="I6064">
        <v>15</v>
      </c>
      <c r="J6064">
        <v>12</v>
      </c>
      <c r="K6064">
        <v>1</v>
      </c>
      <c r="L6064">
        <v>75816</v>
      </c>
      <c r="M6064" t="str">
        <f t="shared" si="958"/>
        <v>13</v>
      </c>
      <c r="N6064" t="s">
        <v>3323</v>
      </c>
      <c r="O6064" t="str">
        <f t="shared" si="959"/>
        <v>78711</v>
      </c>
      <c r="P6064" t="str">
        <f t="shared" ref="P6064:P6070" si="963">"2100L"</f>
        <v>2100L</v>
      </c>
      <c r="Q6064" t="str">
        <f t="shared" si="960"/>
        <v>0101</v>
      </c>
      <c r="R6064">
        <v>2100</v>
      </c>
      <c r="S6064" t="str">
        <f t="shared" si="962"/>
        <v>7870</v>
      </c>
      <c r="T6064" t="s">
        <v>4226</v>
      </c>
      <c r="U6064" t="s">
        <v>111</v>
      </c>
    </row>
    <row r="6065" spans="1:21" ht="15" customHeight="1" x14ac:dyDescent="0.3">
      <c r="A6065" t="s">
        <v>179</v>
      </c>
      <c r="B6065" t="str">
        <f>"00060897"</f>
        <v>00060897</v>
      </c>
      <c r="C6065" t="s">
        <v>4253</v>
      </c>
      <c r="D6065" t="s">
        <v>1678</v>
      </c>
      <c r="E6065" t="str">
        <f>"00047276"</f>
        <v>00047276</v>
      </c>
      <c r="F6065">
        <v>0</v>
      </c>
      <c r="G6065" s="243">
        <v>39314</v>
      </c>
      <c r="H6065" t="s">
        <v>182</v>
      </c>
      <c r="I6065">
        <v>15</v>
      </c>
      <c r="J6065">
        <v>6</v>
      </c>
      <c r="K6065">
        <v>1</v>
      </c>
      <c r="L6065">
        <v>66078</v>
      </c>
      <c r="M6065" t="str">
        <f t="shared" si="958"/>
        <v>13</v>
      </c>
      <c r="N6065" t="s">
        <v>3323</v>
      </c>
      <c r="O6065" t="str">
        <f t="shared" si="959"/>
        <v>78711</v>
      </c>
      <c r="P6065" t="str">
        <f t="shared" si="963"/>
        <v>2100L</v>
      </c>
      <c r="Q6065" t="str">
        <f t="shared" si="960"/>
        <v>0101</v>
      </c>
      <c r="R6065">
        <v>2100</v>
      </c>
      <c r="S6065" t="str">
        <f t="shared" si="962"/>
        <v>7870</v>
      </c>
      <c r="T6065" t="s">
        <v>4226</v>
      </c>
      <c r="U6065" t="s">
        <v>111</v>
      </c>
    </row>
    <row r="6066" spans="1:21" ht="15" customHeight="1" x14ac:dyDescent="0.3">
      <c r="A6066" t="s">
        <v>179</v>
      </c>
      <c r="B6066" t="str">
        <f>"00061099"</f>
        <v>00061099</v>
      </c>
      <c r="C6066" t="s">
        <v>4253</v>
      </c>
      <c r="D6066" t="s">
        <v>1679</v>
      </c>
      <c r="E6066" t="str">
        <f>"00048723"</f>
        <v>00048723</v>
      </c>
      <c r="F6066">
        <v>0</v>
      </c>
      <c r="G6066" s="243">
        <v>39314</v>
      </c>
      <c r="H6066" t="s">
        <v>182</v>
      </c>
      <c r="I6066">
        <v>15</v>
      </c>
      <c r="J6066">
        <v>6</v>
      </c>
      <c r="K6066">
        <v>1</v>
      </c>
      <c r="L6066">
        <v>66078</v>
      </c>
      <c r="M6066" t="str">
        <f t="shared" si="958"/>
        <v>13</v>
      </c>
      <c r="N6066" t="s">
        <v>3323</v>
      </c>
      <c r="O6066" t="str">
        <f t="shared" si="959"/>
        <v>78711</v>
      </c>
      <c r="P6066" t="str">
        <f t="shared" si="963"/>
        <v>2100L</v>
      </c>
      <c r="Q6066" t="str">
        <f t="shared" si="960"/>
        <v>0101</v>
      </c>
      <c r="R6066">
        <v>2100</v>
      </c>
      <c r="S6066" t="str">
        <f t="shared" si="962"/>
        <v>7870</v>
      </c>
      <c r="T6066" t="s">
        <v>4226</v>
      </c>
      <c r="U6066" t="s">
        <v>111</v>
      </c>
    </row>
    <row r="6067" spans="1:21" ht="15" customHeight="1" x14ac:dyDescent="0.3">
      <c r="A6067" t="s">
        <v>179</v>
      </c>
      <c r="B6067" t="str">
        <f>"00061125"</f>
        <v>00061125</v>
      </c>
      <c r="C6067" t="s">
        <v>4253</v>
      </c>
      <c r="D6067" t="s">
        <v>1680</v>
      </c>
      <c r="E6067" t="str">
        <f>"00047438"</f>
        <v>00047438</v>
      </c>
      <c r="F6067">
        <v>0</v>
      </c>
      <c r="G6067" s="243">
        <v>39314</v>
      </c>
      <c r="H6067" t="s">
        <v>182</v>
      </c>
      <c r="I6067">
        <v>15</v>
      </c>
      <c r="J6067">
        <v>9</v>
      </c>
      <c r="K6067">
        <v>1</v>
      </c>
      <c r="L6067">
        <v>75232</v>
      </c>
      <c r="M6067" t="str">
        <f t="shared" si="958"/>
        <v>13</v>
      </c>
      <c r="N6067" t="s">
        <v>3323</v>
      </c>
      <c r="O6067" t="str">
        <f t="shared" si="959"/>
        <v>78711</v>
      </c>
      <c r="P6067" t="str">
        <f t="shared" si="963"/>
        <v>2100L</v>
      </c>
      <c r="Q6067" t="str">
        <f t="shared" si="960"/>
        <v>0101</v>
      </c>
      <c r="R6067">
        <v>2100</v>
      </c>
      <c r="S6067" t="str">
        <f t="shared" si="962"/>
        <v>7870</v>
      </c>
      <c r="T6067" t="s">
        <v>4226</v>
      </c>
      <c r="U6067" t="s">
        <v>111</v>
      </c>
    </row>
    <row r="6068" spans="1:21" ht="15" customHeight="1" x14ac:dyDescent="0.3">
      <c r="A6068" t="s">
        <v>179</v>
      </c>
      <c r="B6068" t="str">
        <f>"00061145"</f>
        <v>00061145</v>
      </c>
      <c r="C6068" t="s">
        <v>4253</v>
      </c>
      <c r="D6068" t="s">
        <v>1681</v>
      </c>
      <c r="E6068" t="str">
        <f>"00062408"</f>
        <v>00062408</v>
      </c>
      <c r="F6068">
        <v>0</v>
      </c>
      <c r="G6068" s="243">
        <v>40406</v>
      </c>
      <c r="H6068" t="s">
        <v>182</v>
      </c>
      <c r="I6068">
        <v>15</v>
      </c>
      <c r="J6068">
        <v>6</v>
      </c>
      <c r="K6068">
        <v>1</v>
      </c>
      <c r="L6068">
        <v>66078</v>
      </c>
      <c r="M6068" t="str">
        <f t="shared" si="958"/>
        <v>13</v>
      </c>
      <c r="N6068" t="s">
        <v>3323</v>
      </c>
      <c r="O6068" t="str">
        <f t="shared" si="959"/>
        <v>78711</v>
      </c>
      <c r="P6068" t="str">
        <f t="shared" si="963"/>
        <v>2100L</v>
      </c>
      <c r="Q6068" t="str">
        <f t="shared" si="960"/>
        <v>0101</v>
      </c>
      <c r="R6068">
        <v>2100</v>
      </c>
      <c r="S6068" t="str">
        <f t="shared" si="962"/>
        <v>7870</v>
      </c>
      <c r="T6068" t="s">
        <v>4226</v>
      </c>
      <c r="U6068" t="s">
        <v>111</v>
      </c>
    </row>
    <row r="6069" spans="1:21" ht="15" customHeight="1" x14ac:dyDescent="0.3">
      <c r="A6069" t="s">
        <v>179</v>
      </c>
      <c r="B6069" t="str">
        <f>"00061342"</f>
        <v>00061342</v>
      </c>
      <c r="C6069" t="s">
        <v>4253</v>
      </c>
      <c r="D6069" t="s">
        <v>1682</v>
      </c>
      <c r="E6069" t="str">
        <f>"00062634"</f>
        <v>00062634</v>
      </c>
      <c r="F6069">
        <v>0</v>
      </c>
      <c r="G6069" s="243">
        <v>40406</v>
      </c>
      <c r="H6069" t="s">
        <v>182</v>
      </c>
      <c r="I6069">
        <v>15</v>
      </c>
      <c r="J6069">
        <v>12</v>
      </c>
      <c r="K6069">
        <v>1</v>
      </c>
      <c r="L6069">
        <v>87431</v>
      </c>
      <c r="M6069" t="str">
        <f t="shared" si="958"/>
        <v>13</v>
      </c>
      <c r="N6069" t="s">
        <v>3323</v>
      </c>
      <c r="O6069" t="str">
        <f t="shared" si="959"/>
        <v>78711</v>
      </c>
      <c r="P6069" t="str">
        <f t="shared" si="963"/>
        <v>2100L</v>
      </c>
      <c r="Q6069" t="str">
        <f t="shared" si="960"/>
        <v>0101</v>
      </c>
      <c r="R6069">
        <v>2100</v>
      </c>
      <c r="S6069" t="str">
        <f t="shared" si="962"/>
        <v>7870</v>
      </c>
      <c r="T6069" t="s">
        <v>4226</v>
      </c>
      <c r="U6069" t="s">
        <v>111</v>
      </c>
    </row>
    <row r="6070" spans="1:21" ht="15" customHeight="1" x14ac:dyDescent="0.3">
      <c r="A6070" t="s">
        <v>179</v>
      </c>
      <c r="B6070" t="str">
        <f>"00061609"</f>
        <v>00061609</v>
      </c>
      <c r="C6070" t="s">
        <v>4253</v>
      </c>
      <c r="D6070" t="s">
        <v>1683</v>
      </c>
      <c r="E6070" t="str">
        <f>"00045701"</f>
        <v>00045701</v>
      </c>
      <c r="F6070">
        <v>0</v>
      </c>
      <c r="G6070" s="243">
        <v>39392</v>
      </c>
      <c r="H6070" t="s">
        <v>182</v>
      </c>
      <c r="I6070">
        <v>15</v>
      </c>
      <c r="J6070">
        <v>6</v>
      </c>
      <c r="K6070">
        <v>1</v>
      </c>
      <c r="L6070">
        <v>61032</v>
      </c>
      <c r="M6070" t="str">
        <f t="shared" si="958"/>
        <v>13</v>
      </c>
      <c r="N6070" t="s">
        <v>3323</v>
      </c>
      <c r="O6070" t="str">
        <f t="shared" si="959"/>
        <v>78711</v>
      </c>
      <c r="P6070" t="str">
        <f t="shared" si="963"/>
        <v>2100L</v>
      </c>
      <c r="Q6070" t="str">
        <f t="shared" si="960"/>
        <v>0101</v>
      </c>
      <c r="R6070">
        <v>2100</v>
      </c>
      <c r="S6070" t="str">
        <f t="shared" si="962"/>
        <v>7870</v>
      </c>
      <c r="T6070" t="s">
        <v>4226</v>
      </c>
      <c r="U6070" t="s">
        <v>111</v>
      </c>
    </row>
    <row r="6071" spans="1:21" ht="15" customHeight="1" x14ac:dyDescent="0.3">
      <c r="A6071" t="s">
        <v>179</v>
      </c>
      <c r="B6071" t="str">
        <f>"00061836"</f>
        <v>00061836</v>
      </c>
      <c r="C6071" t="s">
        <v>3670</v>
      </c>
      <c r="D6071" t="s">
        <v>6035</v>
      </c>
      <c r="E6071" t="str">
        <f>"00069449"</f>
        <v>00069449</v>
      </c>
      <c r="F6071">
        <v>0</v>
      </c>
      <c r="G6071" s="243">
        <v>41092</v>
      </c>
      <c r="H6071" t="s">
        <v>182</v>
      </c>
      <c r="I6071">
        <v>8</v>
      </c>
      <c r="J6071">
        <v>3</v>
      </c>
      <c r="K6071">
        <v>1</v>
      </c>
      <c r="L6071">
        <v>87160</v>
      </c>
      <c r="M6071" t="str">
        <f t="shared" si="958"/>
        <v>13</v>
      </c>
      <c r="N6071" t="s">
        <v>3370</v>
      </c>
      <c r="O6071" t="str">
        <f t="shared" si="959"/>
        <v>78711</v>
      </c>
      <c r="P6071" t="str">
        <f>"1501L"</f>
        <v>1501L</v>
      </c>
      <c r="Q6071" t="str">
        <f t="shared" si="960"/>
        <v>0101</v>
      </c>
      <c r="R6071">
        <v>1501</v>
      </c>
      <c r="S6071" t="str">
        <f t="shared" si="962"/>
        <v>7870</v>
      </c>
      <c r="T6071" t="s">
        <v>4226</v>
      </c>
      <c r="U6071" t="s">
        <v>111</v>
      </c>
    </row>
    <row r="6072" spans="1:21" ht="15" customHeight="1" x14ac:dyDescent="0.3">
      <c r="A6072" t="s">
        <v>179</v>
      </c>
      <c r="B6072" t="str">
        <f>"00061839"</f>
        <v>00061839</v>
      </c>
      <c r="C6072" t="s">
        <v>4800</v>
      </c>
      <c r="D6072" t="s">
        <v>1685</v>
      </c>
      <c r="E6072" t="str">
        <f>"00046936"</f>
        <v>00046936</v>
      </c>
      <c r="F6072">
        <v>0</v>
      </c>
      <c r="G6072" s="243">
        <v>39635</v>
      </c>
      <c r="H6072" t="s">
        <v>182</v>
      </c>
      <c r="I6072">
        <v>10</v>
      </c>
      <c r="J6072">
        <v>9</v>
      </c>
      <c r="K6072">
        <v>1</v>
      </c>
      <c r="L6072">
        <v>86183</v>
      </c>
      <c r="M6072" t="str">
        <f t="shared" si="958"/>
        <v>13</v>
      </c>
      <c r="N6072" t="s">
        <v>3323</v>
      </c>
      <c r="O6072" t="str">
        <f t="shared" si="959"/>
        <v>78711</v>
      </c>
      <c r="P6072" t="str">
        <f t="shared" ref="P6072:P6082" si="964">"2100L"</f>
        <v>2100L</v>
      </c>
      <c r="Q6072" t="str">
        <f t="shared" si="960"/>
        <v>0101</v>
      </c>
      <c r="R6072">
        <v>2100</v>
      </c>
      <c r="S6072" t="str">
        <f t="shared" si="962"/>
        <v>7870</v>
      </c>
      <c r="T6072" t="s">
        <v>4226</v>
      </c>
      <c r="U6072" t="s">
        <v>111</v>
      </c>
    </row>
    <row r="6073" spans="1:21" ht="15" customHeight="1" x14ac:dyDescent="0.3">
      <c r="A6073" t="s">
        <v>179</v>
      </c>
      <c r="B6073" t="str">
        <f>"00061840"</f>
        <v>00061840</v>
      </c>
      <c r="C6073" t="s">
        <v>4800</v>
      </c>
      <c r="D6073" t="s">
        <v>1686</v>
      </c>
      <c r="E6073" t="str">
        <f>"00046433"</f>
        <v>00046433</v>
      </c>
      <c r="F6073">
        <v>0</v>
      </c>
      <c r="G6073" s="243">
        <v>39635</v>
      </c>
      <c r="H6073" t="s">
        <v>182</v>
      </c>
      <c r="I6073">
        <v>10</v>
      </c>
      <c r="J6073">
        <v>9</v>
      </c>
      <c r="K6073">
        <v>1</v>
      </c>
      <c r="L6073">
        <v>84226</v>
      </c>
      <c r="M6073" t="str">
        <f t="shared" si="958"/>
        <v>13</v>
      </c>
      <c r="N6073" t="s">
        <v>3323</v>
      </c>
      <c r="O6073" t="str">
        <f t="shared" si="959"/>
        <v>78711</v>
      </c>
      <c r="P6073" t="str">
        <f t="shared" si="964"/>
        <v>2100L</v>
      </c>
      <c r="Q6073" t="str">
        <f t="shared" si="960"/>
        <v>0101</v>
      </c>
      <c r="R6073">
        <v>2100</v>
      </c>
      <c r="S6073" t="str">
        <f t="shared" si="962"/>
        <v>7870</v>
      </c>
      <c r="T6073" t="s">
        <v>4226</v>
      </c>
      <c r="U6073" t="s">
        <v>111</v>
      </c>
    </row>
    <row r="6074" spans="1:21" ht="15" customHeight="1" x14ac:dyDescent="0.3">
      <c r="A6074" t="s">
        <v>179</v>
      </c>
      <c r="B6074" t="str">
        <f>"00061841"</f>
        <v>00061841</v>
      </c>
      <c r="C6074" t="s">
        <v>4395</v>
      </c>
      <c r="D6074" t="s">
        <v>1687</v>
      </c>
      <c r="E6074" t="str">
        <f>"00046428"</f>
        <v>00046428</v>
      </c>
      <c r="F6074">
        <v>0</v>
      </c>
      <c r="G6074" s="243">
        <v>39621</v>
      </c>
      <c r="H6074" t="s">
        <v>182</v>
      </c>
      <c r="I6074">
        <v>10</v>
      </c>
      <c r="J6074">
        <v>9</v>
      </c>
      <c r="K6074">
        <v>1</v>
      </c>
      <c r="L6074">
        <v>88084</v>
      </c>
      <c r="M6074" t="str">
        <f t="shared" si="958"/>
        <v>13</v>
      </c>
      <c r="N6074" t="s">
        <v>3323</v>
      </c>
      <c r="O6074" t="str">
        <f t="shared" si="959"/>
        <v>78711</v>
      </c>
      <c r="P6074" t="str">
        <f t="shared" si="964"/>
        <v>2100L</v>
      </c>
      <c r="Q6074" t="str">
        <f t="shared" si="960"/>
        <v>0101</v>
      </c>
      <c r="R6074">
        <v>2100</v>
      </c>
      <c r="S6074" t="str">
        <f t="shared" si="962"/>
        <v>7870</v>
      </c>
      <c r="T6074" t="s">
        <v>4226</v>
      </c>
      <c r="U6074" t="s">
        <v>111</v>
      </c>
    </row>
    <row r="6075" spans="1:21" ht="15" customHeight="1" x14ac:dyDescent="0.3">
      <c r="A6075" t="s">
        <v>179</v>
      </c>
      <c r="B6075" t="str">
        <f>"00061945"</f>
        <v>00061945</v>
      </c>
      <c r="C6075" t="s">
        <v>4253</v>
      </c>
      <c r="D6075" t="s">
        <v>1688</v>
      </c>
      <c r="E6075" t="str">
        <f>"00062828"</f>
        <v>00062828</v>
      </c>
      <c r="F6075">
        <v>0</v>
      </c>
      <c r="G6075" s="243">
        <v>40406</v>
      </c>
      <c r="H6075" t="s">
        <v>182</v>
      </c>
      <c r="I6075">
        <v>15</v>
      </c>
      <c r="J6075">
        <v>4</v>
      </c>
      <c r="K6075">
        <v>1</v>
      </c>
      <c r="L6075">
        <v>61158</v>
      </c>
      <c r="M6075" t="str">
        <f t="shared" si="958"/>
        <v>13</v>
      </c>
      <c r="N6075" t="s">
        <v>3323</v>
      </c>
      <c r="O6075" t="str">
        <f t="shared" si="959"/>
        <v>78711</v>
      </c>
      <c r="P6075" t="str">
        <f t="shared" si="964"/>
        <v>2100L</v>
      </c>
      <c r="Q6075" t="str">
        <f t="shared" si="960"/>
        <v>0101</v>
      </c>
      <c r="R6075">
        <v>2100</v>
      </c>
      <c r="S6075" t="str">
        <f t="shared" si="962"/>
        <v>7870</v>
      </c>
      <c r="T6075" t="s">
        <v>4226</v>
      </c>
      <c r="U6075" t="s">
        <v>111</v>
      </c>
    </row>
    <row r="6076" spans="1:21" ht="15" customHeight="1" x14ac:dyDescent="0.3">
      <c r="A6076" t="s">
        <v>179</v>
      </c>
      <c r="B6076" t="str">
        <f>"00062178"</f>
        <v>00062178</v>
      </c>
      <c r="C6076" t="s">
        <v>4253</v>
      </c>
      <c r="D6076" t="s">
        <v>1689</v>
      </c>
      <c r="E6076" t="str">
        <f>"00063120"</f>
        <v>00063120</v>
      </c>
      <c r="F6076">
        <v>0</v>
      </c>
      <c r="G6076" s="243">
        <v>40406</v>
      </c>
      <c r="H6076" t="s">
        <v>182</v>
      </c>
      <c r="I6076">
        <v>15</v>
      </c>
      <c r="J6076">
        <v>3</v>
      </c>
      <c r="K6076">
        <v>1</v>
      </c>
      <c r="L6076">
        <v>58699</v>
      </c>
      <c r="M6076" t="str">
        <f t="shared" si="958"/>
        <v>13</v>
      </c>
      <c r="N6076" t="s">
        <v>3323</v>
      </c>
      <c r="O6076" t="str">
        <f t="shared" si="959"/>
        <v>78711</v>
      </c>
      <c r="P6076" t="str">
        <f t="shared" si="964"/>
        <v>2100L</v>
      </c>
      <c r="Q6076" t="str">
        <f t="shared" si="960"/>
        <v>0101</v>
      </c>
      <c r="R6076">
        <v>2100</v>
      </c>
      <c r="S6076" t="str">
        <f t="shared" si="962"/>
        <v>7870</v>
      </c>
      <c r="T6076" t="s">
        <v>4226</v>
      </c>
      <c r="U6076" t="s">
        <v>111</v>
      </c>
    </row>
    <row r="6077" spans="1:21" ht="15" customHeight="1" x14ac:dyDescent="0.3">
      <c r="A6077" t="s">
        <v>179</v>
      </c>
      <c r="B6077" t="str">
        <f>"00062336"</f>
        <v>00062336</v>
      </c>
      <c r="C6077" t="s">
        <v>4255</v>
      </c>
      <c r="D6077" t="s">
        <v>1690</v>
      </c>
      <c r="E6077" t="str">
        <f>"00049921"</f>
        <v>00049921</v>
      </c>
      <c r="F6077">
        <v>0</v>
      </c>
      <c r="G6077" s="243">
        <v>40770</v>
      </c>
      <c r="H6077" t="s">
        <v>182</v>
      </c>
      <c r="I6077">
        <v>15</v>
      </c>
      <c r="J6077">
        <v>4</v>
      </c>
      <c r="K6077">
        <v>1</v>
      </c>
      <c r="L6077">
        <v>54725</v>
      </c>
      <c r="M6077" t="str">
        <f t="shared" si="958"/>
        <v>13</v>
      </c>
      <c r="N6077" t="s">
        <v>3323</v>
      </c>
      <c r="O6077" t="str">
        <f t="shared" si="959"/>
        <v>78711</v>
      </c>
      <c r="P6077" t="str">
        <f t="shared" si="964"/>
        <v>2100L</v>
      </c>
      <c r="Q6077" t="str">
        <f t="shared" si="960"/>
        <v>0101</v>
      </c>
      <c r="R6077">
        <v>2100</v>
      </c>
      <c r="S6077" t="str">
        <f t="shared" si="962"/>
        <v>7870</v>
      </c>
      <c r="T6077" t="s">
        <v>4226</v>
      </c>
      <c r="U6077" t="s">
        <v>111</v>
      </c>
    </row>
    <row r="6078" spans="1:21" ht="15" customHeight="1" x14ac:dyDescent="0.3">
      <c r="A6078" t="s">
        <v>179</v>
      </c>
      <c r="B6078" t="str">
        <f>"00062411"</f>
        <v>00062411</v>
      </c>
      <c r="C6078" t="s">
        <v>4253</v>
      </c>
      <c r="D6078" t="s">
        <v>1691</v>
      </c>
      <c r="E6078" t="str">
        <f>"00055142"</f>
        <v>00055142</v>
      </c>
      <c r="F6078">
        <v>0</v>
      </c>
      <c r="G6078" s="243">
        <v>39679</v>
      </c>
      <c r="H6078" t="s">
        <v>182</v>
      </c>
      <c r="I6078">
        <v>15</v>
      </c>
      <c r="J6078">
        <v>8</v>
      </c>
      <c r="K6078">
        <v>1</v>
      </c>
      <c r="L6078">
        <v>72171</v>
      </c>
      <c r="M6078" t="str">
        <f t="shared" si="958"/>
        <v>13</v>
      </c>
      <c r="N6078" t="s">
        <v>3323</v>
      </c>
      <c r="O6078" t="str">
        <f t="shared" si="959"/>
        <v>78711</v>
      </c>
      <c r="P6078" t="str">
        <f t="shared" si="964"/>
        <v>2100L</v>
      </c>
      <c r="Q6078" t="str">
        <f t="shared" si="960"/>
        <v>0101</v>
      </c>
      <c r="R6078">
        <v>2100</v>
      </c>
      <c r="S6078" t="str">
        <f t="shared" si="962"/>
        <v>7870</v>
      </c>
      <c r="T6078" t="s">
        <v>4226</v>
      </c>
      <c r="U6078" t="s">
        <v>111</v>
      </c>
    </row>
    <row r="6079" spans="1:21" ht="15" customHeight="1" x14ac:dyDescent="0.3">
      <c r="A6079" t="s">
        <v>179</v>
      </c>
      <c r="B6079" t="str">
        <f>"00062577"</f>
        <v>00062577</v>
      </c>
      <c r="C6079" t="s">
        <v>4263</v>
      </c>
      <c r="H6079" t="s">
        <v>170</v>
      </c>
      <c r="I6079">
        <v>15</v>
      </c>
      <c r="J6079">
        <v>1</v>
      </c>
      <c r="K6079">
        <v>1</v>
      </c>
      <c r="L6079">
        <v>54975</v>
      </c>
      <c r="M6079" t="str">
        <f t="shared" si="958"/>
        <v>13</v>
      </c>
      <c r="N6079" t="s">
        <v>3323</v>
      </c>
      <c r="O6079" t="str">
        <f t="shared" si="959"/>
        <v>78711</v>
      </c>
      <c r="P6079" t="str">
        <f t="shared" si="964"/>
        <v>2100L</v>
      </c>
      <c r="Q6079" t="str">
        <f t="shared" si="960"/>
        <v>0101</v>
      </c>
      <c r="R6079">
        <v>2100</v>
      </c>
      <c r="S6079" t="str">
        <f t="shared" si="962"/>
        <v>7870</v>
      </c>
      <c r="T6079" t="s">
        <v>4226</v>
      </c>
      <c r="U6079" t="s">
        <v>111</v>
      </c>
    </row>
    <row r="6080" spans="1:21" ht="15" customHeight="1" x14ac:dyDescent="0.3">
      <c r="A6080" t="s">
        <v>179</v>
      </c>
      <c r="B6080" t="str">
        <f>"00062872"</f>
        <v>00062872</v>
      </c>
      <c r="C6080" t="s">
        <v>4263</v>
      </c>
      <c r="D6080" t="s">
        <v>693</v>
      </c>
      <c r="E6080" t="str">
        <f>"00057225"</f>
        <v>00057225</v>
      </c>
      <c r="F6080">
        <v>0</v>
      </c>
      <c r="G6080" s="243">
        <v>40042</v>
      </c>
      <c r="H6080" t="s">
        <v>182</v>
      </c>
      <c r="I6080">
        <v>15</v>
      </c>
      <c r="J6080">
        <v>12</v>
      </c>
      <c r="K6080">
        <v>1</v>
      </c>
      <c r="L6080">
        <v>87431</v>
      </c>
      <c r="M6080" t="str">
        <f t="shared" si="958"/>
        <v>13</v>
      </c>
      <c r="N6080" t="s">
        <v>3323</v>
      </c>
      <c r="O6080" t="str">
        <f t="shared" si="959"/>
        <v>78711</v>
      </c>
      <c r="P6080" t="str">
        <f t="shared" si="964"/>
        <v>2100L</v>
      </c>
      <c r="Q6080" t="str">
        <f t="shared" si="960"/>
        <v>0101</v>
      </c>
      <c r="R6080">
        <v>2100</v>
      </c>
      <c r="S6080" t="str">
        <f t="shared" si="962"/>
        <v>7870</v>
      </c>
      <c r="T6080" t="s">
        <v>4226</v>
      </c>
      <c r="U6080" t="s">
        <v>111</v>
      </c>
    </row>
    <row r="6081" spans="1:21" ht="15" customHeight="1" x14ac:dyDescent="0.3">
      <c r="A6081" t="s">
        <v>179</v>
      </c>
      <c r="B6081" t="str">
        <f>"00063059"</f>
        <v>00063059</v>
      </c>
      <c r="C6081" t="s">
        <v>4253</v>
      </c>
      <c r="D6081" t="s">
        <v>4232</v>
      </c>
      <c r="E6081" t="str">
        <f>"00065755"</f>
        <v>00065755</v>
      </c>
      <c r="F6081">
        <v>0</v>
      </c>
      <c r="G6081" s="243">
        <v>40755</v>
      </c>
      <c r="H6081" t="s">
        <v>182</v>
      </c>
      <c r="I6081">
        <v>15</v>
      </c>
      <c r="J6081">
        <v>1</v>
      </c>
      <c r="K6081">
        <v>1</v>
      </c>
      <c r="L6081">
        <v>51539</v>
      </c>
      <c r="M6081" t="str">
        <f t="shared" si="958"/>
        <v>13</v>
      </c>
      <c r="N6081" t="s">
        <v>3323</v>
      </c>
      <c r="O6081" t="str">
        <f t="shared" si="959"/>
        <v>78711</v>
      </c>
      <c r="P6081" t="str">
        <f t="shared" si="964"/>
        <v>2100L</v>
      </c>
      <c r="Q6081" t="str">
        <f t="shared" si="960"/>
        <v>0101</v>
      </c>
      <c r="R6081">
        <v>2100</v>
      </c>
      <c r="S6081" t="str">
        <f t="shared" si="962"/>
        <v>7870</v>
      </c>
      <c r="T6081" t="s">
        <v>4226</v>
      </c>
      <c r="U6081" t="s">
        <v>111</v>
      </c>
    </row>
    <row r="6082" spans="1:21" ht="15" customHeight="1" x14ac:dyDescent="0.3">
      <c r="A6082" t="s">
        <v>179</v>
      </c>
      <c r="B6082" t="str">
        <f>"00063123"</f>
        <v>00063123</v>
      </c>
      <c r="C6082" t="s">
        <v>4253</v>
      </c>
      <c r="D6082" t="s">
        <v>6036</v>
      </c>
      <c r="E6082" t="str">
        <f>"00069903"</f>
        <v>00069903</v>
      </c>
      <c r="F6082">
        <v>0</v>
      </c>
      <c r="G6082" s="243">
        <v>41133</v>
      </c>
      <c r="H6082" t="s">
        <v>182</v>
      </c>
      <c r="I6082">
        <v>15</v>
      </c>
      <c r="J6082">
        <v>1</v>
      </c>
      <c r="K6082">
        <v>1</v>
      </c>
      <c r="L6082">
        <v>51539</v>
      </c>
      <c r="M6082" t="str">
        <f t="shared" si="958"/>
        <v>13</v>
      </c>
      <c r="N6082" t="s">
        <v>3370</v>
      </c>
      <c r="O6082" t="str">
        <f t="shared" si="959"/>
        <v>78711</v>
      </c>
      <c r="P6082" t="str">
        <f t="shared" si="964"/>
        <v>2100L</v>
      </c>
      <c r="Q6082" t="str">
        <f t="shared" si="960"/>
        <v>0101</v>
      </c>
      <c r="R6082">
        <v>2100</v>
      </c>
      <c r="S6082" t="str">
        <f t="shared" si="962"/>
        <v>7870</v>
      </c>
      <c r="T6082" t="s">
        <v>4226</v>
      </c>
      <c r="U6082" t="s">
        <v>111</v>
      </c>
    </row>
    <row r="6083" spans="1:21" ht="15" customHeight="1" x14ac:dyDescent="0.3">
      <c r="A6083" t="s">
        <v>179</v>
      </c>
      <c r="B6083" t="str">
        <f>"00065398"</f>
        <v>00065398</v>
      </c>
      <c r="C6083" t="s">
        <v>3670</v>
      </c>
      <c r="H6083" t="s">
        <v>170</v>
      </c>
      <c r="I6083">
        <v>8</v>
      </c>
      <c r="J6083">
        <v>1</v>
      </c>
      <c r="K6083">
        <v>1</v>
      </c>
      <c r="L6083">
        <v>83809</v>
      </c>
      <c r="M6083" t="str">
        <f t="shared" si="958"/>
        <v>13</v>
      </c>
      <c r="N6083" t="s">
        <v>3370</v>
      </c>
      <c r="O6083" t="str">
        <f t="shared" si="959"/>
        <v>78711</v>
      </c>
      <c r="P6083" t="str">
        <f>"1501L"</f>
        <v>1501L</v>
      </c>
      <c r="Q6083" t="str">
        <f t="shared" si="960"/>
        <v>0101</v>
      </c>
      <c r="R6083">
        <v>1501</v>
      </c>
      <c r="S6083" t="str">
        <f t="shared" si="962"/>
        <v>7870</v>
      </c>
      <c r="T6083" t="s">
        <v>4226</v>
      </c>
      <c r="U6083" t="s">
        <v>111</v>
      </c>
    </row>
    <row r="6084" spans="1:21" ht="15" customHeight="1" x14ac:dyDescent="0.3">
      <c r="A6084" t="s">
        <v>179</v>
      </c>
      <c r="B6084" t="str">
        <f>"00065669"</f>
        <v>00065669</v>
      </c>
      <c r="C6084" t="s">
        <v>4255</v>
      </c>
      <c r="D6084" t="s">
        <v>4229</v>
      </c>
      <c r="E6084" t="str">
        <f>"00045674"</f>
        <v>00045674</v>
      </c>
      <c r="F6084">
        <v>0</v>
      </c>
      <c r="G6084" s="243">
        <v>40755</v>
      </c>
      <c r="H6084" t="s">
        <v>182</v>
      </c>
      <c r="I6084">
        <v>15</v>
      </c>
      <c r="J6084">
        <v>8</v>
      </c>
      <c r="K6084">
        <v>1</v>
      </c>
      <c r="L6084">
        <v>74640</v>
      </c>
      <c r="M6084" t="str">
        <f t="shared" si="958"/>
        <v>13</v>
      </c>
      <c r="N6084" t="s">
        <v>3323</v>
      </c>
      <c r="O6084" t="str">
        <f t="shared" si="959"/>
        <v>78711</v>
      </c>
      <c r="P6084" t="str">
        <f>"2100L"</f>
        <v>2100L</v>
      </c>
      <c r="Q6084" t="str">
        <f t="shared" si="960"/>
        <v>0101</v>
      </c>
      <c r="R6084">
        <v>2100</v>
      </c>
      <c r="S6084" t="str">
        <f t="shared" si="962"/>
        <v>7870</v>
      </c>
      <c r="T6084" t="s">
        <v>4226</v>
      </c>
      <c r="U6084" t="s">
        <v>111</v>
      </c>
    </row>
    <row r="6085" spans="1:21" ht="15" customHeight="1" x14ac:dyDescent="0.3">
      <c r="A6085" t="s">
        <v>179</v>
      </c>
      <c r="B6085" t="str">
        <f>"00065676"</f>
        <v>00065676</v>
      </c>
      <c r="C6085" t="s">
        <v>4255</v>
      </c>
      <c r="D6085" t="s">
        <v>6037</v>
      </c>
      <c r="E6085" t="str">
        <f>"00069764"</f>
        <v>00069764</v>
      </c>
      <c r="F6085">
        <v>0</v>
      </c>
      <c r="G6085" s="243">
        <v>41133</v>
      </c>
      <c r="H6085" t="s">
        <v>182</v>
      </c>
      <c r="I6085">
        <v>15</v>
      </c>
      <c r="J6085">
        <v>10</v>
      </c>
      <c r="K6085">
        <v>1</v>
      </c>
      <c r="L6085">
        <v>78273</v>
      </c>
      <c r="M6085" t="str">
        <f t="shared" si="958"/>
        <v>13</v>
      </c>
      <c r="N6085" t="s">
        <v>3370</v>
      </c>
      <c r="O6085" t="str">
        <f t="shared" ref="O6085:O6106" si="965">"78711"</f>
        <v>78711</v>
      </c>
      <c r="P6085" t="str">
        <f>"2100L"</f>
        <v>2100L</v>
      </c>
      <c r="Q6085" t="str">
        <f t="shared" ref="Q6085:Q6106" si="966">"0101"</f>
        <v>0101</v>
      </c>
      <c r="R6085">
        <v>2100</v>
      </c>
      <c r="S6085" t="str">
        <f t="shared" si="962"/>
        <v>7870</v>
      </c>
      <c r="T6085" t="s">
        <v>4226</v>
      </c>
      <c r="U6085" t="s">
        <v>111</v>
      </c>
    </row>
    <row r="6086" spans="1:21" ht="15" customHeight="1" x14ac:dyDescent="0.3">
      <c r="A6086" t="s">
        <v>179</v>
      </c>
      <c r="B6086" t="str">
        <f>"00065679"</f>
        <v>00065679</v>
      </c>
      <c r="C6086" t="s">
        <v>4253</v>
      </c>
      <c r="D6086" t="s">
        <v>4230</v>
      </c>
      <c r="E6086" t="str">
        <f>"00065722"</f>
        <v>00065722</v>
      </c>
      <c r="F6086">
        <v>0</v>
      </c>
      <c r="G6086" s="243">
        <v>40755</v>
      </c>
      <c r="H6086" t="s">
        <v>182</v>
      </c>
      <c r="I6086">
        <v>15</v>
      </c>
      <c r="J6086">
        <v>3</v>
      </c>
      <c r="K6086">
        <v>1</v>
      </c>
      <c r="L6086">
        <v>58699</v>
      </c>
      <c r="M6086" t="str">
        <f t="shared" si="958"/>
        <v>13</v>
      </c>
      <c r="N6086" t="s">
        <v>3323</v>
      </c>
      <c r="O6086" t="str">
        <f t="shared" si="965"/>
        <v>78711</v>
      </c>
      <c r="P6086" t="str">
        <f>"2100L"</f>
        <v>2100L</v>
      </c>
      <c r="Q6086" t="str">
        <f t="shared" si="966"/>
        <v>0101</v>
      </c>
      <c r="R6086">
        <v>2100</v>
      </c>
      <c r="S6086" t="str">
        <f t="shared" si="962"/>
        <v>7870</v>
      </c>
      <c r="T6086" t="s">
        <v>4226</v>
      </c>
      <c r="U6086" t="s">
        <v>111</v>
      </c>
    </row>
    <row r="6087" spans="1:21" ht="15" customHeight="1" x14ac:dyDescent="0.3">
      <c r="A6087" t="s">
        <v>179</v>
      </c>
      <c r="B6087" t="str">
        <f>"00066984"</f>
        <v>00066984</v>
      </c>
      <c r="C6087" t="s">
        <v>4395</v>
      </c>
      <c r="D6087" t="s">
        <v>1695</v>
      </c>
      <c r="E6087" t="str">
        <f>"00057466"</f>
        <v>00057466</v>
      </c>
      <c r="F6087">
        <v>0</v>
      </c>
      <c r="G6087" s="243">
        <v>40042</v>
      </c>
      <c r="H6087" t="s">
        <v>182</v>
      </c>
      <c r="I6087">
        <v>10</v>
      </c>
      <c r="J6087">
        <v>9</v>
      </c>
      <c r="K6087">
        <v>1</v>
      </c>
      <c r="L6087">
        <v>84226</v>
      </c>
      <c r="M6087" t="str">
        <f t="shared" si="958"/>
        <v>13</v>
      </c>
      <c r="N6087" t="s">
        <v>3323</v>
      </c>
      <c r="O6087" t="str">
        <f t="shared" si="965"/>
        <v>78711</v>
      </c>
      <c r="P6087" t="str">
        <f>"1502L"</f>
        <v>1502L</v>
      </c>
      <c r="Q6087" t="str">
        <f t="shared" si="966"/>
        <v>0101</v>
      </c>
      <c r="R6087">
        <v>1502</v>
      </c>
      <c r="S6087" t="str">
        <f t="shared" si="962"/>
        <v>7870</v>
      </c>
      <c r="T6087" t="s">
        <v>4226</v>
      </c>
      <c r="U6087" t="s">
        <v>111</v>
      </c>
    </row>
    <row r="6088" spans="1:21" ht="15" customHeight="1" x14ac:dyDescent="0.3">
      <c r="A6088" t="s">
        <v>179</v>
      </c>
      <c r="B6088" t="str">
        <f>"00068283"</f>
        <v>00068283</v>
      </c>
      <c r="C6088" t="s">
        <v>4253</v>
      </c>
      <c r="D6088" t="s">
        <v>1696</v>
      </c>
      <c r="E6088" t="str">
        <f>"00058156"</f>
        <v>00058156</v>
      </c>
      <c r="F6088">
        <v>0</v>
      </c>
      <c r="G6088" s="243">
        <v>40042</v>
      </c>
      <c r="H6088" t="s">
        <v>182</v>
      </c>
      <c r="I6088">
        <v>15</v>
      </c>
      <c r="J6088">
        <v>4</v>
      </c>
      <c r="K6088">
        <v>1</v>
      </c>
      <c r="L6088">
        <v>61158</v>
      </c>
      <c r="M6088" t="str">
        <f t="shared" si="958"/>
        <v>13</v>
      </c>
      <c r="N6088" t="s">
        <v>3370</v>
      </c>
      <c r="O6088" t="str">
        <f t="shared" si="965"/>
        <v>78711</v>
      </c>
      <c r="P6088" t="str">
        <f>"2100L"</f>
        <v>2100L</v>
      </c>
      <c r="Q6088" t="str">
        <f t="shared" si="966"/>
        <v>0101</v>
      </c>
      <c r="R6088">
        <v>2100</v>
      </c>
      <c r="S6088" t="str">
        <f t="shared" si="962"/>
        <v>7870</v>
      </c>
      <c r="T6088" t="s">
        <v>4226</v>
      </c>
      <c r="U6088" t="s">
        <v>111</v>
      </c>
    </row>
    <row r="6089" spans="1:21" ht="15" customHeight="1" x14ac:dyDescent="0.3">
      <c r="A6089" t="s">
        <v>179</v>
      </c>
      <c r="B6089" t="str">
        <f>"00072338"</f>
        <v>00072338</v>
      </c>
      <c r="C6089" t="s">
        <v>4256</v>
      </c>
      <c r="D6089" t="s">
        <v>757</v>
      </c>
      <c r="E6089" t="str">
        <f>"00047119"</f>
        <v>00047119</v>
      </c>
      <c r="F6089">
        <v>0</v>
      </c>
      <c r="G6089" s="243">
        <v>36761</v>
      </c>
      <c r="H6089" t="s">
        <v>182</v>
      </c>
      <c r="I6089">
        <v>15</v>
      </c>
      <c r="J6089">
        <v>11</v>
      </c>
      <c r="K6089">
        <v>1</v>
      </c>
      <c r="L6089">
        <v>81335</v>
      </c>
      <c r="M6089" t="str">
        <f t="shared" si="958"/>
        <v>13</v>
      </c>
      <c r="N6089" t="s">
        <v>3370</v>
      </c>
      <c r="O6089" t="str">
        <f t="shared" si="965"/>
        <v>78711</v>
      </c>
      <c r="P6089" t="str">
        <f>"2100L"</f>
        <v>2100L</v>
      </c>
      <c r="Q6089" t="str">
        <f t="shared" si="966"/>
        <v>0101</v>
      </c>
      <c r="R6089">
        <v>2100</v>
      </c>
      <c r="S6089" t="str">
        <f t="shared" si="962"/>
        <v>7870</v>
      </c>
      <c r="T6089" t="s">
        <v>4226</v>
      </c>
      <c r="U6089" t="s">
        <v>111</v>
      </c>
    </row>
    <row r="6090" spans="1:21" ht="15" customHeight="1" x14ac:dyDescent="0.3">
      <c r="A6090" t="s">
        <v>179</v>
      </c>
      <c r="B6090" t="str">
        <f>"00072659"</f>
        <v>00072659</v>
      </c>
      <c r="C6090" t="s">
        <v>4395</v>
      </c>
      <c r="D6090" t="s">
        <v>1697</v>
      </c>
      <c r="E6090" t="str">
        <f>"00062937"</f>
        <v>00062937</v>
      </c>
      <c r="F6090">
        <v>0</v>
      </c>
      <c r="G6090" s="243">
        <v>40406</v>
      </c>
      <c r="H6090" t="s">
        <v>182</v>
      </c>
      <c r="I6090">
        <v>10</v>
      </c>
      <c r="J6090">
        <v>5</v>
      </c>
      <c r="K6090">
        <v>1</v>
      </c>
      <c r="L6090">
        <v>72387</v>
      </c>
      <c r="M6090" t="str">
        <f t="shared" si="958"/>
        <v>13</v>
      </c>
      <c r="N6090" t="s">
        <v>3323</v>
      </c>
      <c r="O6090" t="str">
        <f t="shared" si="965"/>
        <v>78711</v>
      </c>
      <c r="P6090" t="str">
        <f>"2100L"</f>
        <v>2100L</v>
      </c>
      <c r="Q6090" t="str">
        <f t="shared" si="966"/>
        <v>0101</v>
      </c>
      <c r="R6090">
        <v>2100</v>
      </c>
      <c r="S6090" t="str">
        <f t="shared" ref="S6090:S6107" si="967">"7870"</f>
        <v>7870</v>
      </c>
      <c r="T6090" t="s">
        <v>4226</v>
      </c>
      <c r="U6090" t="s">
        <v>111</v>
      </c>
    </row>
    <row r="6091" spans="1:21" ht="15" customHeight="1" x14ac:dyDescent="0.3">
      <c r="A6091" t="s">
        <v>179</v>
      </c>
      <c r="B6091" t="str">
        <f>"00072748"</f>
        <v>00072748</v>
      </c>
      <c r="C6091" t="s">
        <v>4261</v>
      </c>
      <c r="D6091" t="s">
        <v>1698</v>
      </c>
      <c r="E6091" t="str">
        <f>"00046789"</f>
        <v>00046789</v>
      </c>
      <c r="F6091">
        <v>0</v>
      </c>
      <c r="G6091" s="243">
        <v>36761</v>
      </c>
      <c r="H6091" t="s">
        <v>182</v>
      </c>
      <c r="I6091">
        <v>15</v>
      </c>
      <c r="J6091">
        <v>11</v>
      </c>
      <c r="K6091">
        <v>1</v>
      </c>
      <c r="L6091">
        <v>89469</v>
      </c>
      <c r="M6091" t="str">
        <f t="shared" si="958"/>
        <v>13</v>
      </c>
      <c r="N6091" t="s">
        <v>3323</v>
      </c>
      <c r="O6091" t="str">
        <f t="shared" si="965"/>
        <v>78711</v>
      </c>
      <c r="P6091" t="str">
        <f>"2100L"</f>
        <v>2100L</v>
      </c>
      <c r="Q6091" t="str">
        <f t="shared" si="966"/>
        <v>0101</v>
      </c>
      <c r="R6091">
        <v>2100</v>
      </c>
      <c r="S6091" t="str">
        <f t="shared" si="967"/>
        <v>7870</v>
      </c>
      <c r="T6091" t="s">
        <v>4226</v>
      </c>
      <c r="U6091" t="s">
        <v>111</v>
      </c>
    </row>
    <row r="6092" spans="1:21" ht="15" customHeight="1" x14ac:dyDescent="0.3">
      <c r="A6092" t="s">
        <v>179</v>
      </c>
      <c r="B6092" t="str">
        <f>"00072749"</f>
        <v>00072749</v>
      </c>
      <c r="C6092" t="s">
        <v>4253</v>
      </c>
      <c r="D6092" t="s">
        <v>6038</v>
      </c>
      <c r="E6092" t="str">
        <f>"00069498"</f>
        <v>00069498</v>
      </c>
      <c r="F6092">
        <v>0</v>
      </c>
      <c r="G6092" s="243">
        <v>41133</v>
      </c>
      <c r="H6092" t="s">
        <v>182</v>
      </c>
      <c r="I6092">
        <v>15</v>
      </c>
      <c r="J6092">
        <v>3</v>
      </c>
      <c r="K6092">
        <v>1</v>
      </c>
      <c r="L6092">
        <v>58699</v>
      </c>
      <c r="M6092" t="str">
        <f t="shared" si="958"/>
        <v>13</v>
      </c>
      <c r="N6092" t="s">
        <v>3370</v>
      </c>
      <c r="O6092" t="str">
        <f t="shared" si="965"/>
        <v>78711</v>
      </c>
      <c r="P6092" t="str">
        <f>"2100L"</f>
        <v>2100L</v>
      </c>
      <c r="Q6092" t="str">
        <f t="shared" si="966"/>
        <v>0101</v>
      </c>
      <c r="R6092">
        <v>2100</v>
      </c>
      <c r="S6092" t="str">
        <f t="shared" si="967"/>
        <v>7870</v>
      </c>
      <c r="T6092" t="s">
        <v>4226</v>
      </c>
      <c r="U6092" t="s">
        <v>111</v>
      </c>
    </row>
    <row r="6093" spans="1:21" ht="15" customHeight="1" x14ac:dyDescent="0.3">
      <c r="A6093" t="s">
        <v>179</v>
      </c>
      <c r="B6093" t="str">
        <f>"00072857"</f>
        <v>00072857</v>
      </c>
      <c r="C6093" t="s">
        <v>4395</v>
      </c>
      <c r="D6093" t="s">
        <v>1700</v>
      </c>
      <c r="E6093" t="str">
        <f>"00045702"</f>
        <v>00045702</v>
      </c>
      <c r="F6093">
        <v>0</v>
      </c>
      <c r="G6093" s="243">
        <v>36069</v>
      </c>
      <c r="H6093" t="s">
        <v>182</v>
      </c>
      <c r="I6093">
        <v>10</v>
      </c>
      <c r="J6093">
        <v>8</v>
      </c>
      <c r="K6093">
        <v>1</v>
      </c>
      <c r="L6093">
        <v>80981</v>
      </c>
      <c r="M6093" t="str">
        <f t="shared" si="958"/>
        <v>13</v>
      </c>
      <c r="N6093" t="s">
        <v>3323</v>
      </c>
      <c r="O6093" t="str">
        <f t="shared" si="965"/>
        <v>78711</v>
      </c>
      <c r="P6093" t="str">
        <f>"1502L"</f>
        <v>1502L</v>
      </c>
      <c r="Q6093" t="str">
        <f t="shared" si="966"/>
        <v>0101</v>
      </c>
      <c r="R6093">
        <v>1502</v>
      </c>
      <c r="S6093" t="str">
        <f t="shared" si="967"/>
        <v>7870</v>
      </c>
      <c r="T6093" t="s">
        <v>4226</v>
      </c>
      <c r="U6093" t="s">
        <v>111</v>
      </c>
    </row>
    <row r="6094" spans="1:21" ht="15" customHeight="1" x14ac:dyDescent="0.3">
      <c r="A6094" t="s">
        <v>179</v>
      </c>
      <c r="B6094" t="str">
        <f>"00073759"</f>
        <v>00073759</v>
      </c>
      <c r="C6094" t="s">
        <v>200</v>
      </c>
      <c r="D6094" t="s">
        <v>574</v>
      </c>
      <c r="E6094" t="str">
        <f>"00049672"</f>
        <v>00049672</v>
      </c>
      <c r="F6094">
        <v>0</v>
      </c>
      <c r="G6094" s="243">
        <v>37500</v>
      </c>
      <c r="H6094" t="s">
        <v>182</v>
      </c>
      <c r="I6094">
        <v>15</v>
      </c>
      <c r="J6094">
        <v>12</v>
      </c>
      <c r="K6094">
        <v>1</v>
      </c>
      <c r="L6094">
        <v>87431</v>
      </c>
      <c r="M6094" t="str">
        <f t="shared" ref="M6094:M6150" si="968">"13"</f>
        <v>13</v>
      </c>
      <c r="N6094" t="s">
        <v>3323</v>
      </c>
      <c r="O6094" t="str">
        <f t="shared" si="965"/>
        <v>78711</v>
      </c>
      <c r="P6094" t="str">
        <f>"2100L"</f>
        <v>2100L</v>
      </c>
      <c r="Q6094" t="str">
        <f t="shared" si="966"/>
        <v>0101</v>
      </c>
      <c r="R6094">
        <v>2100</v>
      </c>
      <c r="S6094" t="str">
        <f t="shared" si="967"/>
        <v>7870</v>
      </c>
      <c r="T6094" t="s">
        <v>4226</v>
      </c>
      <c r="U6094" t="s">
        <v>111</v>
      </c>
    </row>
    <row r="6095" spans="1:21" ht="15" customHeight="1" x14ac:dyDescent="0.3">
      <c r="A6095" t="s">
        <v>179</v>
      </c>
      <c r="B6095" t="str">
        <f>"00074528"</f>
        <v>00074528</v>
      </c>
      <c r="C6095" t="s">
        <v>3670</v>
      </c>
      <c r="D6095" t="s">
        <v>4227</v>
      </c>
      <c r="E6095" t="str">
        <f>"00065739"</f>
        <v>00065739</v>
      </c>
      <c r="F6095">
        <v>0</v>
      </c>
      <c r="G6095" s="243">
        <v>40755</v>
      </c>
      <c r="H6095" t="s">
        <v>182</v>
      </c>
      <c r="I6095">
        <v>8</v>
      </c>
      <c r="J6095">
        <v>3</v>
      </c>
      <c r="K6095">
        <v>1</v>
      </c>
      <c r="L6095">
        <v>87160</v>
      </c>
      <c r="M6095" t="str">
        <f t="shared" si="968"/>
        <v>13</v>
      </c>
      <c r="N6095" t="s">
        <v>3323</v>
      </c>
      <c r="O6095" t="str">
        <f t="shared" si="965"/>
        <v>78711</v>
      </c>
      <c r="P6095" t="str">
        <f>"1501L"</f>
        <v>1501L</v>
      </c>
      <c r="Q6095" t="str">
        <f t="shared" si="966"/>
        <v>0101</v>
      </c>
      <c r="R6095">
        <v>1501</v>
      </c>
      <c r="S6095" t="str">
        <f t="shared" si="967"/>
        <v>7870</v>
      </c>
      <c r="T6095" t="s">
        <v>4226</v>
      </c>
      <c r="U6095" t="s">
        <v>111</v>
      </c>
    </row>
    <row r="6096" spans="1:21" ht="15" customHeight="1" x14ac:dyDescent="0.3">
      <c r="A6096" t="s">
        <v>179</v>
      </c>
      <c r="B6096" t="str">
        <f>"00074530"</f>
        <v>00074530</v>
      </c>
      <c r="C6096" t="s">
        <v>4367</v>
      </c>
      <c r="D6096" t="s">
        <v>6039</v>
      </c>
      <c r="E6096" t="str">
        <f>"00053379"</f>
        <v>00053379</v>
      </c>
      <c r="F6096">
        <v>0</v>
      </c>
      <c r="G6096" s="243">
        <v>32077</v>
      </c>
      <c r="H6096" t="s">
        <v>182</v>
      </c>
      <c r="I6096">
        <v>9</v>
      </c>
      <c r="J6096">
        <v>7</v>
      </c>
      <c r="K6096">
        <v>1</v>
      </c>
      <c r="L6096">
        <v>43824</v>
      </c>
      <c r="M6096" t="str">
        <f t="shared" si="968"/>
        <v>13</v>
      </c>
      <c r="N6096" t="s">
        <v>3323</v>
      </c>
      <c r="O6096" t="str">
        <f t="shared" si="965"/>
        <v>78711</v>
      </c>
      <c r="P6096" t="str">
        <f>"1502L"</f>
        <v>1502L</v>
      </c>
      <c r="Q6096" t="str">
        <f t="shared" si="966"/>
        <v>0101</v>
      </c>
      <c r="R6096">
        <v>1502</v>
      </c>
      <c r="S6096" t="str">
        <f t="shared" si="967"/>
        <v>7870</v>
      </c>
      <c r="T6096" t="s">
        <v>4226</v>
      </c>
      <c r="U6096" t="s">
        <v>111</v>
      </c>
    </row>
    <row r="6097" spans="1:21" ht="15" customHeight="1" x14ac:dyDescent="0.3">
      <c r="A6097" t="s">
        <v>179</v>
      </c>
      <c r="B6097" t="str">
        <f>"00074531"</f>
        <v>00074531</v>
      </c>
      <c r="C6097" t="s">
        <v>5907</v>
      </c>
      <c r="D6097" t="s">
        <v>1659</v>
      </c>
      <c r="E6097" t="str">
        <f>"00046085"</f>
        <v>00046085</v>
      </c>
      <c r="F6097">
        <v>0</v>
      </c>
      <c r="G6097" s="243">
        <v>38720</v>
      </c>
      <c r="H6097" t="s">
        <v>182</v>
      </c>
      <c r="I6097">
        <v>15</v>
      </c>
      <c r="J6097">
        <v>13</v>
      </c>
      <c r="K6097">
        <v>0.5</v>
      </c>
      <c r="L6097">
        <v>47683</v>
      </c>
      <c r="M6097" t="str">
        <f t="shared" si="968"/>
        <v>13</v>
      </c>
      <c r="N6097" t="s">
        <v>3323</v>
      </c>
      <c r="O6097" t="str">
        <f t="shared" si="965"/>
        <v>78711</v>
      </c>
      <c r="P6097" t="str">
        <f t="shared" ref="P6097:P6103" si="969">"2100L"</f>
        <v>2100L</v>
      </c>
      <c r="Q6097" t="str">
        <f t="shared" si="966"/>
        <v>0101</v>
      </c>
      <c r="R6097">
        <v>2100</v>
      </c>
      <c r="S6097" t="str">
        <f t="shared" si="967"/>
        <v>7870</v>
      </c>
      <c r="T6097" t="s">
        <v>4226</v>
      </c>
      <c r="U6097" t="s">
        <v>111</v>
      </c>
    </row>
    <row r="6098" spans="1:21" ht="15" customHeight="1" x14ac:dyDescent="0.3">
      <c r="A6098" t="s">
        <v>179</v>
      </c>
      <c r="B6098" t="str">
        <f>"00076217"</f>
        <v>00076217</v>
      </c>
      <c r="C6098" t="s">
        <v>4253</v>
      </c>
      <c r="D6098" t="s">
        <v>6040</v>
      </c>
      <c r="E6098" t="str">
        <f>"00069766"</f>
        <v>00069766</v>
      </c>
      <c r="F6098">
        <v>0</v>
      </c>
      <c r="G6098" s="243">
        <v>41133</v>
      </c>
      <c r="H6098" t="s">
        <v>182</v>
      </c>
      <c r="I6098">
        <v>15</v>
      </c>
      <c r="J6098">
        <v>7</v>
      </c>
      <c r="K6098">
        <v>1</v>
      </c>
      <c r="L6098">
        <v>69132</v>
      </c>
      <c r="M6098" t="str">
        <f t="shared" si="968"/>
        <v>13</v>
      </c>
      <c r="N6098" t="s">
        <v>3370</v>
      </c>
      <c r="O6098" t="str">
        <f t="shared" si="965"/>
        <v>78711</v>
      </c>
      <c r="P6098" t="str">
        <f t="shared" si="969"/>
        <v>2100L</v>
      </c>
      <c r="Q6098" t="str">
        <f t="shared" si="966"/>
        <v>0101</v>
      </c>
      <c r="R6098">
        <v>2100</v>
      </c>
      <c r="S6098" t="str">
        <f t="shared" si="967"/>
        <v>7870</v>
      </c>
      <c r="T6098" t="s">
        <v>4226</v>
      </c>
      <c r="U6098" t="s">
        <v>111</v>
      </c>
    </row>
    <row r="6099" spans="1:21" ht="15" customHeight="1" x14ac:dyDescent="0.3">
      <c r="A6099" t="s">
        <v>179</v>
      </c>
      <c r="B6099" t="str">
        <f>"00076218"</f>
        <v>00076218</v>
      </c>
      <c r="C6099" t="s">
        <v>4253</v>
      </c>
      <c r="D6099" t="s">
        <v>6041</v>
      </c>
      <c r="E6099" t="str">
        <f>"00069839"</f>
        <v>00069839</v>
      </c>
      <c r="F6099">
        <v>0</v>
      </c>
      <c r="G6099" s="243">
        <v>41133</v>
      </c>
      <c r="H6099" t="s">
        <v>182</v>
      </c>
      <c r="I6099">
        <v>15</v>
      </c>
      <c r="J6099">
        <v>9</v>
      </c>
      <c r="K6099">
        <v>1</v>
      </c>
      <c r="L6099">
        <v>80147</v>
      </c>
      <c r="M6099" t="str">
        <f t="shared" si="968"/>
        <v>13</v>
      </c>
      <c r="N6099" t="s">
        <v>3370</v>
      </c>
      <c r="O6099" t="str">
        <f t="shared" si="965"/>
        <v>78711</v>
      </c>
      <c r="P6099" t="str">
        <f t="shared" si="969"/>
        <v>2100L</v>
      </c>
      <c r="Q6099" t="str">
        <f t="shared" si="966"/>
        <v>0101</v>
      </c>
      <c r="R6099">
        <v>2100</v>
      </c>
      <c r="S6099" t="str">
        <f t="shared" si="967"/>
        <v>7870</v>
      </c>
      <c r="T6099" t="s">
        <v>4226</v>
      </c>
      <c r="U6099" t="s">
        <v>111</v>
      </c>
    </row>
    <row r="6100" spans="1:21" ht="15" customHeight="1" x14ac:dyDescent="0.3">
      <c r="A6100" t="s">
        <v>179</v>
      </c>
      <c r="B6100" t="str">
        <f>"00076219"</f>
        <v>00076219</v>
      </c>
      <c r="C6100" t="s">
        <v>4998</v>
      </c>
      <c r="H6100" t="s">
        <v>170</v>
      </c>
      <c r="I6100">
        <v>15</v>
      </c>
      <c r="J6100">
        <v>0</v>
      </c>
      <c r="K6100">
        <v>0.5</v>
      </c>
      <c r="L6100">
        <v>51539</v>
      </c>
      <c r="M6100" t="str">
        <f t="shared" si="968"/>
        <v>13</v>
      </c>
      <c r="N6100" t="s">
        <v>3370</v>
      </c>
      <c r="O6100" t="str">
        <f t="shared" si="965"/>
        <v>78711</v>
      </c>
      <c r="P6100" t="str">
        <f t="shared" si="969"/>
        <v>2100L</v>
      </c>
      <c r="Q6100" t="str">
        <f t="shared" si="966"/>
        <v>0101</v>
      </c>
      <c r="R6100">
        <v>2100</v>
      </c>
      <c r="S6100" t="str">
        <f t="shared" si="967"/>
        <v>7870</v>
      </c>
      <c r="T6100" t="s">
        <v>4226</v>
      </c>
      <c r="U6100" t="s">
        <v>111</v>
      </c>
    </row>
    <row r="6101" spans="1:21" ht="15" customHeight="1" x14ac:dyDescent="0.3">
      <c r="A6101" t="s">
        <v>179</v>
      </c>
      <c r="B6101" t="str">
        <f>"00076220"</f>
        <v>00076220</v>
      </c>
      <c r="C6101" t="s">
        <v>4253</v>
      </c>
      <c r="D6101" t="s">
        <v>6042</v>
      </c>
      <c r="E6101" t="str">
        <f>"00069876"</f>
        <v>00069876</v>
      </c>
      <c r="F6101">
        <v>0</v>
      </c>
      <c r="G6101" s="243">
        <v>41133</v>
      </c>
      <c r="H6101" t="s">
        <v>182</v>
      </c>
      <c r="I6101">
        <v>15</v>
      </c>
      <c r="J6101">
        <v>4</v>
      </c>
      <c r="K6101">
        <v>0.5</v>
      </c>
      <c r="L6101">
        <v>27362.5</v>
      </c>
      <c r="M6101" t="str">
        <f t="shared" si="968"/>
        <v>13</v>
      </c>
      <c r="N6101" t="s">
        <v>3323</v>
      </c>
      <c r="O6101" t="str">
        <f t="shared" si="965"/>
        <v>78711</v>
      </c>
      <c r="P6101" t="str">
        <f t="shared" si="969"/>
        <v>2100L</v>
      </c>
      <c r="Q6101" t="str">
        <f t="shared" si="966"/>
        <v>0101</v>
      </c>
      <c r="R6101">
        <v>2100</v>
      </c>
      <c r="S6101" t="str">
        <f t="shared" si="967"/>
        <v>7870</v>
      </c>
      <c r="T6101" t="s">
        <v>4226</v>
      </c>
      <c r="U6101" t="s">
        <v>111</v>
      </c>
    </row>
    <row r="6102" spans="1:21" ht="15" customHeight="1" x14ac:dyDescent="0.3">
      <c r="A6102" t="s">
        <v>179</v>
      </c>
      <c r="B6102" t="str">
        <f>"00076222"</f>
        <v>00076222</v>
      </c>
      <c r="C6102" t="s">
        <v>4253</v>
      </c>
      <c r="D6102" t="s">
        <v>4041</v>
      </c>
      <c r="E6102" t="str">
        <f>"00032111"</f>
        <v>00032111</v>
      </c>
      <c r="F6102">
        <v>1</v>
      </c>
      <c r="G6102" s="243">
        <v>40836</v>
      </c>
      <c r="H6102" t="s">
        <v>182</v>
      </c>
      <c r="I6102">
        <v>15</v>
      </c>
      <c r="J6102">
        <v>10</v>
      </c>
      <c r="K6102">
        <v>1</v>
      </c>
      <c r="L6102">
        <v>78273</v>
      </c>
      <c r="M6102" t="str">
        <f t="shared" si="968"/>
        <v>13</v>
      </c>
      <c r="N6102" t="s">
        <v>3370</v>
      </c>
      <c r="O6102" t="str">
        <f t="shared" si="965"/>
        <v>78711</v>
      </c>
      <c r="P6102" t="str">
        <f t="shared" si="969"/>
        <v>2100L</v>
      </c>
      <c r="Q6102" t="str">
        <f t="shared" si="966"/>
        <v>0101</v>
      </c>
      <c r="R6102">
        <v>2100</v>
      </c>
      <c r="S6102" t="str">
        <f t="shared" si="967"/>
        <v>7870</v>
      </c>
      <c r="T6102" t="s">
        <v>4226</v>
      </c>
      <c r="U6102" t="s">
        <v>111</v>
      </c>
    </row>
    <row r="6103" spans="1:21" ht="15" customHeight="1" x14ac:dyDescent="0.3">
      <c r="A6103" t="s">
        <v>179</v>
      </c>
      <c r="B6103" t="str">
        <f>"00076223"</f>
        <v>00076223</v>
      </c>
      <c r="C6103" t="s">
        <v>4253</v>
      </c>
      <c r="D6103" t="s">
        <v>6043</v>
      </c>
      <c r="E6103" t="str">
        <f>"00069660"</f>
        <v>00069660</v>
      </c>
      <c r="F6103">
        <v>0</v>
      </c>
      <c r="G6103" s="243">
        <v>41133</v>
      </c>
      <c r="H6103" t="s">
        <v>182</v>
      </c>
      <c r="I6103">
        <v>15</v>
      </c>
      <c r="J6103">
        <v>10</v>
      </c>
      <c r="K6103">
        <v>1</v>
      </c>
      <c r="L6103">
        <v>78273</v>
      </c>
      <c r="M6103" t="str">
        <f t="shared" si="968"/>
        <v>13</v>
      </c>
      <c r="N6103" t="s">
        <v>3370</v>
      </c>
      <c r="O6103" t="str">
        <f t="shared" si="965"/>
        <v>78711</v>
      </c>
      <c r="P6103" t="str">
        <f t="shared" si="969"/>
        <v>2100L</v>
      </c>
      <c r="Q6103" t="str">
        <f t="shared" si="966"/>
        <v>0101</v>
      </c>
      <c r="R6103">
        <v>2100</v>
      </c>
      <c r="S6103" t="str">
        <f t="shared" si="967"/>
        <v>7870</v>
      </c>
      <c r="T6103" t="s">
        <v>4226</v>
      </c>
      <c r="U6103" t="s">
        <v>111</v>
      </c>
    </row>
    <row r="6104" spans="1:21" ht="15" customHeight="1" x14ac:dyDescent="0.3">
      <c r="A6104" t="s">
        <v>179</v>
      </c>
      <c r="B6104" t="str">
        <f>"00076310"</f>
        <v>00076310</v>
      </c>
      <c r="C6104" t="s">
        <v>4333</v>
      </c>
      <c r="D6104" t="s">
        <v>6044</v>
      </c>
      <c r="E6104" t="str">
        <f>"00057720"</f>
        <v>00057720</v>
      </c>
      <c r="F6104">
        <v>0</v>
      </c>
      <c r="G6104" s="243">
        <v>40042</v>
      </c>
      <c r="H6104" t="s">
        <v>182</v>
      </c>
      <c r="I6104">
        <v>12</v>
      </c>
      <c r="J6104">
        <v>4</v>
      </c>
      <c r="K6104">
        <v>1</v>
      </c>
      <c r="L6104">
        <v>65427</v>
      </c>
      <c r="M6104" t="str">
        <f t="shared" si="968"/>
        <v>13</v>
      </c>
      <c r="N6104" t="s">
        <v>3370</v>
      </c>
      <c r="O6104" t="str">
        <f t="shared" si="965"/>
        <v>78711</v>
      </c>
      <c r="P6104" t="str">
        <f>"1502L"</f>
        <v>1502L</v>
      </c>
      <c r="Q6104" t="str">
        <f t="shared" si="966"/>
        <v>0101</v>
      </c>
      <c r="R6104">
        <v>1502</v>
      </c>
      <c r="S6104" t="str">
        <f t="shared" si="967"/>
        <v>7870</v>
      </c>
      <c r="T6104" t="s">
        <v>4226</v>
      </c>
      <c r="U6104" t="s">
        <v>111</v>
      </c>
    </row>
    <row r="6105" spans="1:21" ht="15" customHeight="1" x14ac:dyDescent="0.3">
      <c r="A6105" t="s">
        <v>179</v>
      </c>
      <c r="B6105" t="str">
        <f>"00076321"</f>
        <v>00076321</v>
      </c>
      <c r="C6105" t="s">
        <v>4306</v>
      </c>
      <c r="D6105" t="s">
        <v>6045</v>
      </c>
      <c r="E6105" t="str">
        <f>"00055144"</f>
        <v>00055144</v>
      </c>
      <c r="F6105">
        <v>0</v>
      </c>
      <c r="G6105" s="243">
        <v>39887</v>
      </c>
      <c r="H6105" t="s">
        <v>182</v>
      </c>
      <c r="I6105">
        <v>9</v>
      </c>
      <c r="J6105">
        <v>10</v>
      </c>
      <c r="K6105">
        <v>1</v>
      </c>
      <c r="L6105">
        <v>42730</v>
      </c>
      <c r="M6105" t="str">
        <f t="shared" si="968"/>
        <v>13</v>
      </c>
      <c r="N6105" t="s">
        <v>3370</v>
      </c>
      <c r="O6105" t="str">
        <f t="shared" si="965"/>
        <v>78711</v>
      </c>
      <c r="P6105" t="str">
        <f>"1502L"</f>
        <v>1502L</v>
      </c>
      <c r="Q6105" t="str">
        <f t="shared" si="966"/>
        <v>0101</v>
      </c>
      <c r="R6105">
        <v>1502</v>
      </c>
      <c r="S6105" t="str">
        <f t="shared" si="967"/>
        <v>7870</v>
      </c>
      <c r="T6105" t="s">
        <v>4226</v>
      </c>
      <c r="U6105" t="s">
        <v>111</v>
      </c>
    </row>
    <row r="6106" spans="1:21" ht="15" customHeight="1" x14ac:dyDescent="0.3">
      <c r="A6106" t="s">
        <v>179</v>
      </c>
      <c r="B6106" t="str">
        <f>"00076541"</f>
        <v>00076541</v>
      </c>
      <c r="C6106" t="s">
        <v>4290</v>
      </c>
      <c r="D6106" t="s">
        <v>6046</v>
      </c>
      <c r="E6106" t="str">
        <f>"00056392"</f>
        <v>00056392</v>
      </c>
      <c r="F6106">
        <v>0</v>
      </c>
      <c r="G6106" s="243">
        <v>40056</v>
      </c>
      <c r="H6106" t="s">
        <v>182</v>
      </c>
      <c r="I6106">
        <v>4</v>
      </c>
      <c r="J6106">
        <v>8</v>
      </c>
      <c r="K6106">
        <v>0.71</v>
      </c>
      <c r="L6106">
        <v>27329.75</v>
      </c>
      <c r="M6106" t="str">
        <f t="shared" si="968"/>
        <v>13</v>
      </c>
      <c r="N6106" t="s">
        <v>3370</v>
      </c>
      <c r="O6106" t="str">
        <f t="shared" si="965"/>
        <v>78711</v>
      </c>
      <c r="P6106" t="str">
        <f>"3030L"</f>
        <v>3030L</v>
      </c>
      <c r="Q6106" t="str">
        <f t="shared" si="966"/>
        <v>0101</v>
      </c>
      <c r="R6106">
        <v>3030</v>
      </c>
      <c r="S6106" t="str">
        <f t="shared" si="967"/>
        <v>7870</v>
      </c>
      <c r="T6106" t="s">
        <v>4226</v>
      </c>
      <c r="U6106" t="s">
        <v>111</v>
      </c>
    </row>
    <row r="6107" spans="1:21" ht="15" customHeight="1" x14ac:dyDescent="0.3">
      <c r="A6107" t="s">
        <v>179</v>
      </c>
      <c r="B6107" t="str">
        <f>"00076571"</f>
        <v>00076571</v>
      </c>
      <c r="C6107" t="s">
        <v>5657</v>
      </c>
      <c r="H6107" t="s">
        <v>170</v>
      </c>
      <c r="I6107">
        <v>15</v>
      </c>
      <c r="J6107">
        <v>0</v>
      </c>
      <c r="K6107">
        <v>1</v>
      </c>
      <c r="L6107">
        <v>63039</v>
      </c>
      <c r="M6107" t="str">
        <f t="shared" si="968"/>
        <v>13</v>
      </c>
      <c r="N6107" t="s">
        <v>3370</v>
      </c>
      <c r="O6107" t="str">
        <f>"78782"</f>
        <v>78782</v>
      </c>
      <c r="P6107" t="str">
        <f>"5700S"</f>
        <v>5700S</v>
      </c>
      <c r="Q6107" t="str">
        <f>"0602"</f>
        <v>0602</v>
      </c>
      <c r="R6107">
        <v>5700</v>
      </c>
      <c r="S6107" t="str">
        <f t="shared" si="967"/>
        <v>7870</v>
      </c>
      <c r="T6107" t="s">
        <v>4226</v>
      </c>
      <c r="U6107" t="s">
        <v>111</v>
      </c>
    </row>
    <row r="6108" spans="1:21" ht="15" customHeight="1" x14ac:dyDescent="0.3">
      <c r="A6108" t="s">
        <v>179</v>
      </c>
      <c r="B6108" t="str">
        <f>"00052861"</f>
        <v>00052861</v>
      </c>
      <c r="C6108" t="s">
        <v>3670</v>
      </c>
      <c r="D6108" t="s">
        <v>975</v>
      </c>
      <c r="E6108" t="str">
        <f>"00045052"</f>
        <v>00045052</v>
      </c>
      <c r="F6108">
        <v>0</v>
      </c>
      <c r="G6108" s="243">
        <v>32387</v>
      </c>
      <c r="H6108" t="s">
        <v>182</v>
      </c>
      <c r="I6108">
        <v>8</v>
      </c>
      <c r="J6108">
        <v>4</v>
      </c>
      <c r="K6108">
        <v>1</v>
      </c>
      <c r="L6108">
        <v>89645</v>
      </c>
      <c r="M6108" t="str">
        <f t="shared" si="968"/>
        <v>13</v>
      </c>
      <c r="N6108" t="s">
        <v>3323</v>
      </c>
      <c r="O6108" t="str">
        <f t="shared" ref="O6108:O6126" si="970">"78911"</f>
        <v>78911</v>
      </c>
      <c r="P6108" t="str">
        <f>"1501L"</f>
        <v>1501L</v>
      </c>
      <c r="Q6108" t="str">
        <f t="shared" ref="Q6108:Q6126" si="971">"0101"</f>
        <v>0101</v>
      </c>
      <c r="R6108">
        <v>1501</v>
      </c>
      <c r="S6108" t="str">
        <f t="shared" ref="S6108:S6126" si="972">"7890"</f>
        <v>7890</v>
      </c>
      <c r="T6108" t="s">
        <v>3839</v>
      </c>
      <c r="U6108" t="s">
        <v>700</v>
      </c>
    </row>
    <row r="6109" spans="1:21" ht="15" customHeight="1" x14ac:dyDescent="0.3">
      <c r="A6109" t="s">
        <v>179</v>
      </c>
      <c r="B6109" t="str">
        <f>"00053222"</f>
        <v>00053222</v>
      </c>
      <c r="C6109" t="s">
        <v>4254</v>
      </c>
      <c r="H6109" t="s">
        <v>170</v>
      </c>
      <c r="I6109">
        <v>15</v>
      </c>
      <c r="J6109">
        <v>1</v>
      </c>
      <c r="K6109">
        <v>1</v>
      </c>
      <c r="L6109">
        <v>51539</v>
      </c>
      <c r="M6109" t="str">
        <f t="shared" si="968"/>
        <v>13</v>
      </c>
      <c r="N6109" t="s">
        <v>3323</v>
      </c>
      <c r="O6109" t="str">
        <f t="shared" si="970"/>
        <v>78911</v>
      </c>
      <c r="P6109" t="str">
        <f>"2120L"</f>
        <v>2120L</v>
      </c>
      <c r="Q6109" t="str">
        <f t="shared" si="971"/>
        <v>0101</v>
      </c>
      <c r="R6109">
        <v>2120</v>
      </c>
      <c r="S6109" t="str">
        <f t="shared" si="972"/>
        <v>7890</v>
      </c>
      <c r="T6109" t="s">
        <v>3839</v>
      </c>
      <c r="U6109" t="s">
        <v>700</v>
      </c>
    </row>
    <row r="6110" spans="1:21" ht="15" customHeight="1" x14ac:dyDescent="0.3">
      <c r="A6110" t="s">
        <v>179</v>
      </c>
      <c r="B6110" t="str">
        <f>"00053852"</f>
        <v>00053852</v>
      </c>
      <c r="C6110" t="s">
        <v>4260</v>
      </c>
      <c r="D6110" t="s">
        <v>701</v>
      </c>
      <c r="E6110" t="str">
        <f>"00052632"</f>
        <v>00052632</v>
      </c>
      <c r="F6110">
        <v>0</v>
      </c>
      <c r="G6110" s="243">
        <v>32050</v>
      </c>
      <c r="H6110" t="s">
        <v>182</v>
      </c>
      <c r="I6110">
        <v>15</v>
      </c>
      <c r="J6110">
        <v>16</v>
      </c>
      <c r="K6110">
        <v>1</v>
      </c>
      <c r="L6110">
        <v>106540</v>
      </c>
      <c r="M6110" t="str">
        <f t="shared" si="968"/>
        <v>13</v>
      </c>
      <c r="N6110" t="s">
        <v>3323</v>
      </c>
      <c r="O6110" t="str">
        <f t="shared" si="970"/>
        <v>78911</v>
      </c>
      <c r="P6110" t="str">
        <f>"2120L"</f>
        <v>2120L</v>
      </c>
      <c r="Q6110" t="str">
        <f t="shared" si="971"/>
        <v>0101</v>
      </c>
      <c r="R6110">
        <v>2120</v>
      </c>
      <c r="S6110" t="str">
        <f t="shared" si="972"/>
        <v>7890</v>
      </c>
      <c r="T6110" t="s">
        <v>3839</v>
      </c>
      <c r="U6110" t="s">
        <v>700</v>
      </c>
    </row>
    <row r="6111" spans="1:21" ht="15" customHeight="1" x14ac:dyDescent="0.3">
      <c r="A6111" t="s">
        <v>179</v>
      </c>
      <c r="B6111" t="str">
        <f>"00053853"</f>
        <v>00053853</v>
      </c>
      <c r="C6111" t="s">
        <v>4260</v>
      </c>
      <c r="D6111" t="s">
        <v>702</v>
      </c>
      <c r="E6111" t="str">
        <f>"00052633"</f>
        <v>00052633</v>
      </c>
      <c r="F6111">
        <v>0</v>
      </c>
      <c r="G6111" s="243">
        <v>27576</v>
      </c>
      <c r="H6111" t="s">
        <v>182</v>
      </c>
      <c r="I6111">
        <v>15</v>
      </c>
      <c r="J6111">
        <v>16</v>
      </c>
      <c r="K6111">
        <v>1</v>
      </c>
      <c r="L6111">
        <v>106540</v>
      </c>
      <c r="M6111" t="str">
        <f t="shared" si="968"/>
        <v>13</v>
      </c>
      <c r="N6111" t="s">
        <v>3323</v>
      </c>
      <c r="O6111" t="str">
        <f t="shared" si="970"/>
        <v>78911</v>
      </c>
      <c r="P6111" t="str">
        <f>"3030L"</f>
        <v>3030L</v>
      </c>
      <c r="Q6111" t="str">
        <f t="shared" si="971"/>
        <v>0101</v>
      </c>
      <c r="R6111">
        <v>3030</v>
      </c>
      <c r="S6111" t="str">
        <f t="shared" si="972"/>
        <v>7890</v>
      </c>
      <c r="T6111" t="s">
        <v>3839</v>
      </c>
      <c r="U6111" t="s">
        <v>700</v>
      </c>
    </row>
    <row r="6112" spans="1:21" ht="15" customHeight="1" x14ac:dyDescent="0.3">
      <c r="A6112" t="s">
        <v>179</v>
      </c>
      <c r="B6112" t="str">
        <f>"00054375"</f>
        <v>00054375</v>
      </c>
      <c r="C6112" t="s">
        <v>4253</v>
      </c>
      <c r="D6112" t="s">
        <v>943</v>
      </c>
      <c r="E6112" t="str">
        <f>"00046418"</f>
        <v>00046418</v>
      </c>
      <c r="F6112">
        <v>0</v>
      </c>
      <c r="G6112" s="243">
        <v>36473</v>
      </c>
      <c r="H6112" t="s">
        <v>182</v>
      </c>
      <c r="I6112">
        <v>15</v>
      </c>
      <c r="J6112">
        <v>15</v>
      </c>
      <c r="K6112">
        <v>1</v>
      </c>
      <c r="L6112">
        <v>98285</v>
      </c>
      <c r="M6112" t="str">
        <f t="shared" si="968"/>
        <v>13</v>
      </c>
      <c r="N6112" t="s">
        <v>3370</v>
      </c>
      <c r="O6112" t="str">
        <f t="shared" si="970"/>
        <v>78911</v>
      </c>
      <c r="P6112" t="str">
        <f>"2120L"</f>
        <v>2120L</v>
      </c>
      <c r="Q6112" t="str">
        <f t="shared" si="971"/>
        <v>0101</v>
      </c>
      <c r="R6112">
        <v>2120</v>
      </c>
      <c r="S6112" t="str">
        <f t="shared" si="972"/>
        <v>7890</v>
      </c>
      <c r="T6112" t="s">
        <v>3839</v>
      </c>
      <c r="U6112" t="s">
        <v>700</v>
      </c>
    </row>
    <row r="6113" spans="1:21" ht="15" customHeight="1" x14ac:dyDescent="0.3">
      <c r="A6113" t="s">
        <v>179</v>
      </c>
      <c r="B6113" t="str">
        <f>"00054558"</f>
        <v>00054558</v>
      </c>
      <c r="C6113" t="s">
        <v>3798</v>
      </c>
      <c r="D6113" t="s">
        <v>966</v>
      </c>
      <c r="E6113" t="str">
        <f>"00048172"</f>
        <v>00048172</v>
      </c>
      <c r="F6113">
        <v>0</v>
      </c>
      <c r="G6113" s="243">
        <v>32387</v>
      </c>
      <c r="H6113" t="s">
        <v>182</v>
      </c>
      <c r="I6113">
        <v>65</v>
      </c>
      <c r="J6113">
        <v>6</v>
      </c>
      <c r="K6113">
        <v>1</v>
      </c>
      <c r="L6113">
        <v>137000</v>
      </c>
      <c r="M6113" t="str">
        <f t="shared" si="968"/>
        <v>13</v>
      </c>
      <c r="N6113" t="s">
        <v>3323</v>
      </c>
      <c r="O6113" t="str">
        <f t="shared" si="970"/>
        <v>78911</v>
      </c>
      <c r="P6113" t="str">
        <f>"1501L"</f>
        <v>1501L</v>
      </c>
      <c r="Q6113" t="str">
        <f t="shared" si="971"/>
        <v>0101</v>
      </c>
      <c r="R6113">
        <v>1501</v>
      </c>
      <c r="S6113" t="str">
        <f t="shared" si="972"/>
        <v>7890</v>
      </c>
      <c r="T6113" t="s">
        <v>3839</v>
      </c>
      <c r="U6113" t="s">
        <v>700</v>
      </c>
    </row>
    <row r="6114" spans="1:21" ht="15" customHeight="1" x14ac:dyDescent="0.3">
      <c r="A6114" t="s">
        <v>179</v>
      </c>
      <c r="B6114" t="str">
        <f>"00054644"</f>
        <v>00054644</v>
      </c>
      <c r="C6114" t="s">
        <v>4253</v>
      </c>
      <c r="D6114" t="s">
        <v>706</v>
      </c>
      <c r="E6114" t="str">
        <f>"00053099"</f>
        <v>00053099</v>
      </c>
      <c r="F6114">
        <v>0</v>
      </c>
      <c r="G6114" s="243">
        <v>31651</v>
      </c>
      <c r="H6114" t="s">
        <v>182</v>
      </c>
      <c r="I6114">
        <v>15</v>
      </c>
      <c r="J6114">
        <v>16</v>
      </c>
      <c r="K6114">
        <v>1</v>
      </c>
      <c r="L6114">
        <v>106540</v>
      </c>
      <c r="M6114" t="str">
        <f t="shared" si="968"/>
        <v>13</v>
      </c>
      <c r="N6114" t="s">
        <v>3323</v>
      </c>
      <c r="O6114" t="str">
        <f t="shared" si="970"/>
        <v>78911</v>
      </c>
      <c r="P6114" t="str">
        <f>"2120L"</f>
        <v>2120L</v>
      </c>
      <c r="Q6114" t="str">
        <f t="shared" si="971"/>
        <v>0101</v>
      </c>
      <c r="R6114">
        <v>2120</v>
      </c>
      <c r="S6114" t="str">
        <f t="shared" si="972"/>
        <v>7890</v>
      </c>
      <c r="T6114" t="s">
        <v>3839</v>
      </c>
      <c r="U6114" t="s">
        <v>700</v>
      </c>
    </row>
    <row r="6115" spans="1:21" ht="15" customHeight="1" x14ac:dyDescent="0.3">
      <c r="A6115" t="s">
        <v>179</v>
      </c>
      <c r="B6115" t="str">
        <f>"00054874"</f>
        <v>00054874</v>
      </c>
      <c r="C6115" t="s">
        <v>4253</v>
      </c>
      <c r="D6115" t="s">
        <v>708</v>
      </c>
      <c r="E6115" t="str">
        <f>"00027208"</f>
        <v>00027208</v>
      </c>
      <c r="F6115">
        <v>1</v>
      </c>
      <c r="G6115" s="243">
        <v>32050</v>
      </c>
      <c r="H6115" t="s">
        <v>182</v>
      </c>
      <c r="I6115">
        <v>15</v>
      </c>
      <c r="J6115">
        <v>16</v>
      </c>
      <c r="K6115">
        <v>1</v>
      </c>
      <c r="L6115">
        <v>106540</v>
      </c>
      <c r="M6115" t="str">
        <f t="shared" si="968"/>
        <v>13</v>
      </c>
      <c r="N6115" t="s">
        <v>3323</v>
      </c>
      <c r="O6115" t="str">
        <f t="shared" si="970"/>
        <v>78911</v>
      </c>
      <c r="P6115" t="str">
        <f>"2120L"</f>
        <v>2120L</v>
      </c>
      <c r="Q6115" t="str">
        <f t="shared" si="971"/>
        <v>0101</v>
      </c>
      <c r="R6115">
        <v>2120</v>
      </c>
      <c r="S6115" t="str">
        <f t="shared" si="972"/>
        <v>7890</v>
      </c>
      <c r="T6115" t="s">
        <v>3839</v>
      </c>
      <c r="U6115" t="s">
        <v>700</v>
      </c>
    </row>
    <row r="6116" spans="1:21" ht="15" customHeight="1" x14ac:dyDescent="0.3">
      <c r="A6116" t="s">
        <v>179</v>
      </c>
      <c r="B6116" t="str">
        <f>"00055085"</f>
        <v>00055085</v>
      </c>
      <c r="C6116" t="s">
        <v>4261</v>
      </c>
      <c r="H6116" t="s">
        <v>170</v>
      </c>
      <c r="I6116">
        <v>15</v>
      </c>
      <c r="J6116">
        <v>1</v>
      </c>
      <c r="K6116">
        <v>1</v>
      </c>
      <c r="L6116">
        <v>62362</v>
      </c>
      <c r="M6116" t="str">
        <f t="shared" si="968"/>
        <v>13</v>
      </c>
      <c r="N6116" t="s">
        <v>3323</v>
      </c>
      <c r="O6116" t="str">
        <f t="shared" si="970"/>
        <v>78911</v>
      </c>
      <c r="P6116" t="str">
        <f>"2120L"</f>
        <v>2120L</v>
      </c>
      <c r="Q6116" t="str">
        <f t="shared" si="971"/>
        <v>0101</v>
      </c>
      <c r="R6116">
        <v>2120</v>
      </c>
      <c r="S6116" t="str">
        <f t="shared" si="972"/>
        <v>7890</v>
      </c>
      <c r="T6116" t="s">
        <v>3839</v>
      </c>
      <c r="U6116" t="s">
        <v>700</v>
      </c>
    </row>
    <row r="6117" spans="1:21" ht="15" customHeight="1" x14ac:dyDescent="0.3">
      <c r="A6117" t="s">
        <v>179</v>
      </c>
      <c r="B6117" t="str">
        <f>"00057185"</f>
        <v>00057185</v>
      </c>
      <c r="C6117" t="s">
        <v>200</v>
      </c>
      <c r="H6117" t="s">
        <v>170</v>
      </c>
      <c r="I6117">
        <v>15</v>
      </c>
      <c r="J6117">
        <v>1</v>
      </c>
      <c r="K6117">
        <v>1</v>
      </c>
      <c r="L6117">
        <v>54975</v>
      </c>
      <c r="M6117" t="str">
        <f t="shared" si="968"/>
        <v>13</v>
      </c>
      <c r="N6117" t="s">
        <v>3323</v>
      </c>
      <c r="O6117" t="str">
        <f t="shared" si="970"/>
        <v>78911</v>
      </c>
      <c r="P6117" t="str">
        <f>"3030L"</f>
        <v>3030L</v>
      </c>
      <c r="Q6117" t="str">
        <f t="shared" si="971"/>
        <v>0101</v>
      </c>
      <c r="R6117">
        <v>3030</v>
      </c>
      <c r="S6117" t="str">
        <f t="shared" si="972"/>
        <v>7890</v>
      </c>
      <c r="T6117" t="s">
        <v>3839</v>
      </c>
      <c r="U6117" t="s">
        <v>700</v>
      </c>
    </row>
    <row r="6118" spans="1:21" ht="15" customHeight="1" x14ac:dyDescent="0.3">
      <c r="A6118" t="s">
        <v>179</v>
      </c>
      <c r="B6118" t="str">
        <f>"00057897"</f>
        <v>00057897</v>
      </c>
      <c r="C6118" t="s">
        <v>4253</v>
      </c>
      <c r="D6118" t="s">
        <v>713</v>
      </c>
      <c r="E6118" t="str">
        <f>"00053696"</f>
        <v>00053696</v>
      </c>
      <c r="F6118">
        <v>0</v>
      </c>
      <c r="G6118" s="243">
        <v>37000</v>
      </c>
      <c r="H6118" t="s">
        <v>182</v>
      </c>
      <c r="I6118">
        <v>15</v>
      </c>
      <c r="J6118">
        <v>12</v>
      </c>
      <c r="K6118">
        <v>1</v>
      </c>
      <c r="L6118">
        <v>87431</v>
      </c>
      <c r="M6118" t="str">
        <f t="shared" si="968"/>
        <v>13</v>
      </c>
      <c r="N6118" t="s">
        <v>3323</v>
      </c>
      <c r="O6118" t="str">
        <f t="shared" si="970"/>
        <v>78911</v>
      </c>
      <c r="P6118" t="str">
        <f>"3030L"</f>
        <v>3030L</v>
      </c>
      <c r="Q6118" t="str">
        <f t="shared" si="971"/>
        <v>0101</v>
      </c>
      <c r="R6118">
        <v>3030</v>
      </c>
      <c r="S6118" t="str">
        <f t="shared" si="972"/>
        <v>7890</v>
      </c>
      <c r="T6118" t="s">
        <v>3839</v>
      </c>
      <c r="U6118" t="s">
        <v>700</v>
      </c>
    </row>
    <row r="6119" spans="1:21" ht="15" customHeight="1" x14ac:dyDescent="0.3">
      <c r="A6119" t="s">
        <v>179</v>
      </c>
      <c r="B6119" t="str">
        <f>"00057941"</f>
        <v>00057941</v>
      </c>
      <c r="C6119" t="s">
        <v>4360</v>
      </c>
      <c r="D6119" t="s">
        <v>6047</v>
      </c>
      <c r="E6119" t="str">
        <f>"00052886"</f>
        <v>00052886</v>
      </c>
      <c r="F6119">
        <v>0</v>
      </c>
      <c r="G6119" s="243">
        <v>28489</v>
      </c>
      <c r="H6119" t="s">
        <v>182</v>
      </c>
      <c r="I6119">
        <v>7</v>
      </c>
      <c r="J6119">
        <v>8</v>
      </c>
      <c r="K6119">
        <v>1</v>
      </c>
      <c r="L6119">
        <v>42621</v>
      </c>
      <c r="M6119" t="str">
        <f t="shared" si="968"/>
        <v>13</v>
      </c>
      <c r="N6119" t="s">
        <v>3323</v>
      </c>
      <c r="O6119" t="str">
        <f t="shared" si="970"/>
        <v>78911</v>
      </c>
      <c r="P6119" t="str">
        <f>"1502L"</f>
        <v>1502L</v>
      </c>
      <c r="Q6119" t="str">
        <f t="shared" si="971"/>
        <v>0101</v>
      </c>
      <c r="R6119">
        <v>1502</v>
      </c>
      <c r="S6119" t="str">
        <f t="shared" si="972"/>
        <v>7890</v>
      </c>
      <c r="T6119" t="s">
        <v>3839</v>
      </c>
      <c r="U6119" t="s">
        <v>700</v>
      </c>
    </row>
    <row r="6120" spans="1:21" ht="15" customHeight="1" x14ac:dyDescent="0.3">
      <c r="A6120" t="s">
        <v>179</v>
      </c>
      <c r="B6120" t="str">
        <f>"00058201"</f>
        <v>00058201</v>
      </c>
      <c r="C6120" t="s">
        <v>4254</v>
      </c>
      <c r="H6120" t="s">
        <v>170</v>
      </c>
      <c r="I6120">
        <v>15</v>
      </c>
      <c r="J6120">
        <v>1</v>
      </c>
      <c r="K6120">
        <v>1</v>
      </c>
      <c r="L6120">
        <v>53256</v>
      </c>
      <c r="M6120" t="str">
        <f t="shared" si="968"/>
        <v>13</v>
      </c>
      <c r="N6120" t="s">
        <v>3323</v>
      </c>
      <c r="O6120" t="str">
        <f t="shared" si="970"/>
        <v>78911</v>
      </c>
      <c r="P6120" t="str">
        <f>"3030L"</f>
        <v>3030L</v>
      </c>
      <c r="Q6120" t="str">
        <f t="shared" si="971"/>
        <v>0101</v>
      </c>
      <c r="R6120">
        <v>3030</v>
      </c>
      <c r="S6120" t="str">
        <f t="shared" si="972"/>
        <v>7890</v>
      </c>
      <c r="T6120" t="s">
        <v>3839</v>
      </c>
      <c r="U6120" t="s">
        <v>700</v>
      </c>
    </row>
    <row r="6121" spans="1:21" ht="15" customHeight="1" x14ac:dyDescent="0.3">
      <c r="A6121" t="s">
        <v>179</v>
      </c>
      <c r="B6121" t="str">
        <f>"00058210"</f>
        <v>00058210</v>
      </c>
      <c r="C6121" t="s">
        <v>4253</v>
      </c>
      <c r="H6121" t="s">
        <v>170</v>
      </c>
      <c r="I6121">
        <v>15</v>
      </c>
      <c r="J6121">
        <v>1</v>
      </c>
      <c r="K6121">
        <v>1</v>
      </c>
      <c r="L6121">
        <v>53256</v>
      </c>
      <c r="M6121" t="str">
        <f t="shared" si="968"/>
        <v>13</v>
      </c>
      <c r="N6121" t="s">
        <v>3323</v>
      </c>
      <c r="O6121" t="str">
        <f t="shared" si="970"/>
        <v>78911</v>
      </c>
      <c r="P6121" t="str">
        <f>"2120L"</f>
        <v>2120L</v>
      </c>
      <c r="Q6121" t="str">
        <f t="shared" si="971"/>
        <v>0101</v>
      </c>
      <c r="R6121">
        <v>2120</v>
      </c>
      <c r="S6121" t="str">
        <f t="shared" si="972"/>
        <v>7890</v>
      </c>
      <c r="T6121" t="s">
        <v>3839</v>
      </c>
      <c r="U6121" t="s">
        <v>700</v>
      </c>
    </row>
    <row r="6122" spans="1:21" ht="15" customHeight="1" x14ac:dyDescent="0.3">
      <c r="A6122" t="s">
        <v>179</v>
      </c>
      <c r="B6122" t="str">
        <f>"00072884"</f>
        <v>00072884</v>
      </c>
      <c r="C6122" t="s">
        <v>4410</v>
      </c>
      <c r="H6122" t="s">
        <v>170</v>
      </c>
      <c r="I6122">
        <v>5</v>
      </c>
      <c r="J6122">
        <v>1</v>
      </c>
      <c r="K6122">
        <v>1</v>
      </c>
      <c r="L6122">
        <v>28486</v>
      </c>
      <c r="M6122" t="str">
        <f t="shared" si="968"/>
        <v>13</v>
      </c>
      <c r="N6122" t="s">
        <v>3323</v>
      </c>
      <c r="O6122" t="str">
        <f t="shared" si="970"/>
        <v>78911</v>
      </c>
      <c r="P6122" t="str">
        <f>"2120L"</f>
        <v>2120L</v>
      </c>
      <c r="Q6122" t="str">
        <f t="shared" si="971"/>
        <v>0101</v>
      </c>
      <c r="R6122">
        <v>2120</v>
      </c>
      <c r="S6122" t="str">
        <f t="shared" si="972"/>
        <v>7890</v>
      </c>
      <c r="T6122" t="s">
        <v>3839</v>
      </c>
      <c r="U6122" t="s">
        <v>700</v>
      </c>
    </row>
    <row r="6123" spans="1:21" ht="15" customHeight="1" x14ac:dyDescent="0.3">
      <c r="A6123" t="s">
        <v>179</v>
      </c>
      <c r="B6123" t="str">
        <f>"00075984"</f>
        <v>00075984</v>
      </c>
      <c r="C6123" t="s">
        <v>4998</v>
      </c>
      <c r="H6123" t="s">
        <v>170</v>
      </c>
      <c r="I6123">
        <v>15</v>
      </c>
      <c r="J6123">
        <v>0</v>
      </c>
      <c r="K6123">
        <v>0.5</v>
      </c>
      <c r="L6123">
        <v>51539</v>
      </c>
      <c r="M6123" t="str">
        <f t="shared" si="968"/>
        <v>13</v>
      </c>
      <c r="N6123" t="s">
        <v>3323</v>
      </c>
      <c r="O6123" t="str">
        <f t="shared" si="970"/>
        <v>78911</v>
      </c>
      <c r="P6123" t="str">
        <f>"2120L"</f>
        <v>2120L</v>
      </c>
      <c r="Q6123" t="str">
        <f t="shared" si="971"/>
        <v>0101</v>
      </c>
      <c r="R6123">
        <v>2120</v>
      </c>
      <c r="S6123" t="str">
        <f t="shared" si="972"/>
        <v>7890</v>
      </c>
      <c r="T6123" t="s">
        <v>3839</v>
      </c>
      <c r="U6123" t="s">
        <v>700</v>
      </c>
    </row>
    <row r="6124" spans="1:21" ht="15" customHeight="1" x14ac:dyDescent="0.3">
      <c r="A6124" t="s">
        <v>179</v>
      </c>
      <c r="B6124" t="str">
        <f>"00075985"</f>
        <v>00075985</v>
      </c>
      <c r="C6124" t="s">
        <v>4675</v>
      </c>
      <c r="D6124" t="s">
        <v>963</v>
      </c>
      <c r="E6124" t="str">
        <f>"00045811"</f>
        <v>00045811</v>
      </c>
      <c r="F6124">
        <v>0</v>
      </c>
      <c r="G6124" s="243">
        <v>33120</v>
      </c>
      <c r="H6124" t="s">
        <v>182</v>
      </c>
      <c r="I6124">
        <v>15</v>
      </c>
      <c r="J6124">
        <v>16</v>
      </c>
      <c r="K6124">
        <v>0.5</v>
      </c>
      <c r="L6124">
        <v>50419.5</v>
      </c>
      <c r="M6124" t="str">
        <f t="shared" si="968"/>
        <v>13</v>
      </c>
      <c r="N6124" t="s">
        <v>3370</v>
      </c>
      <c r="O6124" t="str">
        <f t="shared" si="970"/>
        <v>78911</v>
      </c>
      <c r="P6124" t="str">
        <f>"2120L"</f>
        <v>2120L</v>
      </c>
      <c r="Q6124" t="str">
        <f t="shared" si="971"/>
        <v>0101</v>
      </c>
      <c r="R6124">
        <v>2120</v>
      </c>
      <c r="S6124" t="str">
        <f t="shared" si="972"/>
        <v>7890</v>
      </c>
      <c r="T6124" t="s">
        <v>3839</v>
      </c>
      <c r="U6124" t="s">
        <v>700</v>
      </c>
    </row>
    <row r="6125" spans="1:21" ht="15" customHeight="1" x14ac:dyDescent="0.3">
      <c r="A6125" t="s">
        <v>179</v>
      </c>
      <c r="B6125" t="str">
        <f>"00076506"</f>
        <v>00076506</v>
      </c>
      <c r="C6125" t="s">
        <v>4290</v>
      </c>
      <c r="D6125" t="s">
        <v>4246</v>
      </c>
      <c r="E6125" t="str">
        <f>"00051326"</f>
        <v>00051326</v>
      </c>
      <c r="F6125">
        <v>0</v>
      </c>
      <c r="G6125" s="243">
        <v>31694</v>
      </c>
      <c r="H6125" t="s">
        <v>182</v>
      </c>
      <c r="I6125">
        <v>4</v>
      </c>
      <c r="J6125">
        <v>10</v>
      </c>
      <c r="K6125">
        <v>0.71</v>
      </c>
      <c r="L6125">
        <v>28721</v>
      </c>
      <c r="M6125" t="str">
        <f t="shared" si="968"/>
        <v>13</v>
      </c>
      <c r="N6125" t="s">
        <v>3370</v>
      </c>
      <c r="O6125" t="str">
        <f t="shared" si="970"/>
        <v>78911</v>
      </c>
      <c r="P6125" t="str">
        <f>"3030L"</f>
        <v>3030L</v>
      </c>
      <c r="Q6125" t="str">
        <f t="shared" si="971"/>
        <v>0101</v>
      </c>
      <c r="R6125">
        <v>3030</v>
      </c>
      <c r="S6125" t="str">
        <f t="shared" si="972"/>
        <v>7890</v>
      </c>
      <c r="T6125" t="s">
        <v>3839</v>
      </c>
      <c r="U6125" t="s">
        <v>700</v>
      </c>
    </row>
    <row r="6126" spans="1:21" ht="15" customHeight="1" x14ac:dyDescent="0.3">
      <c r="A6126" t="s">
        <v>179</v>
      </c>
      <c r="B6126" t="str">
        <f>"00076507"</f>
        <v>00076507</v>
      </c>
      <c r="C6126" t="s">
        <v>200</v>
      </c>
      <c r="H6126" t="s">
        <v>170</v>
      </c>
      <c r="I6126">
        <v>15</v>
      </c>
      <c r="J6126">
        <v>0</v>
      </c>
      <c r="K6126">
        <v>1</v>
      </c>
      <c r="L6126">
        <v>51539</v>
      </c>
      <c r="M6126" t="str">
        <f t="shared" si="968"/>
        <v>13</v>
      </c>
      <c r="N6126" t="s">
        <v>3370</v>
      </c>
      <c r="O6126" t="str">
        <f t="shared" si="970"/>
        <v>78911</v>
      </c>
      <c r="P6126" t="str">
        <f>"3030L"</f>
        <v>3030L</v>
      </c>
      <c r="Q6126" t="str">
        <f t="shared" si="971"/>
        <v>0101</v>
      </c>
      <c r="R6126">
        <v>3030</v>
      </c>
      <c r="S6126" t="str">
        <f t="shared" si="972"/>
        <v>7890</v>
      </c>
      <c r="T6126" t="s">
        <v>3839</v>
      </c>
      <c r="U6126" t="s">
        <v>700</v>
      </c>
    </row>
    <row r="6127" spans="1:21" ht="15" customHeight="1" x14ac:dyDescent="0.3">
      <c r="A6127" t="s">
        <v>179</v>
      </c>
      <c r="B6127" t="str">
        <f>"00053017"</f>
        <v>00053017</v>
      </c>
      <c r="C6127" t="s">
        <v>3798</v>
      </c>
      <c r="D6127" t="s">
        <v>3003</v>
      </c>
      <c r="E6127" t="str">
        <f>"00050802"</f>
        <v>00050802</v>
      </c>
      <c r="F6127">
        <v>0</v>
      </c>
      <c r="G6127" s="243">
        <v>24716</v>
      </c>
      <c r="H6127" t="s">
        <v>182</v>
      </c>
      <c r="I6127">
        <v>61</v>
      </c>
      <c r="J6127">
        <v>9</v>
      </c>
      <c r="K6127">
        <v>1</v>
      </c>
      <c r="L6127">
        <v>134000</v>
      </c>
      <c r="M6127" t="str">
        <f t="shared" si="968"/>
        <v>13</v>
      </c>
      <c r="N6127" t="s">
        <v>3323</v>
      </c>
      <c r="O6127" t="str">
        <f t="shared" ref="O6127:O6150" si="973">"79173"</f>
        <v>79173</v>
      </c>
      <c r="P6127" t="str">
        <f>"1501I"</f>
        <v>1501I</v>
      </c>
      <c r="Q6127" t="str">
        <f t="shared" ref="Q6127:Q6150" si="974">"0726"</f>
        <v>0726</v>
      </c>
      <c r="R6127">
        <v>1501</v>
      </c>
      <c r="S6127" t="str">
        <f t="shared" ref="S6127:S6150" si="975">"7901"</f>
        <v>7901</v>
      </c>
      <c r="T6127" t="s">
        <v>3843</v>
      </c>
      <c r="U6127" t="s">
        <v>3002</v>
      </c>
    </row>
    <row r="6128" spans="1:21" ht="15" customHeight="1" x14ac:dyDescent="0.3">
      <c r="A6128" t="s">
        <v>179</v>
      </c>
      <c r="B6128" t="str">
        <f>"00053866"</f>
        <v>00053866</v>
      </c>
      <c r="C6128" t="s">
        <v>4254</v>
      </c>
      <c r="H6128" t="s">
        <v>170</v>
      </c>
      <c r="I6128">
        <v>15</v>
      </c>
      <c r="J6128">
        <v>1</v>
      </c>
      <c r="K6128">
        <v>1</v>
      </c>
      <c r="L6128">
        <v>64735</v>
      </c>
      <c r="M6128" t="str">
        <f t="shared" si="968"/>
        <v>13</v>
      </c>
      <c r="N6128" t="s">
        <v>3323</v>
      </c>
      <c r="O6128" t="str">
        <f t="shared" si="973"/>
        <v>79173</v>
      </c>
      <c r="P6128" t="str">
        <f t="shared" ref="P6128:P6134" si="976">"8300I"</f>
        <v>8300I</v>
      </c>
      <c r="Q6128" t="str">
        <f t="shared" si="974"/>
        <v>0726</v>
      </c>
      <c r="R6128">
        <v>8300</v>
      </c>
      <c r="S6128" t="str">
        <f t="shared" si="975"/>
        <v>7901</v>
      </c>
      <c r="T6128" t="s">
        <v>3843</v>
      </c>
      <c r="U6128" t="s">
        <v>3002</v>
      </c>
    </row>
    <row r="6129" spans="1:21" ht="15" customHeight="1" x14ac:dyDescent="0.3">
      <c r="A6129" t="s">
        <v>179</v>
      </c>
      <c r="B6129" t="str">
        <f>"00054379"</f>
        <v>00054379</v>
      </c>
      <c r="C6129" t="s">
        <v>4341</v>
      </c>
      <c r="D6129" t="s">
        <v>1293</v>
      </c>
      <c r="E6129" t="str">
        <f>"00052663"</f>
        <v>00052663</v>
      </c>
      <c r="F6129">
        <v>0</v>
      </c>
      <c r="G6129" s="243">
        <v>41132</v>
      </c>
      <c r="H6129" t="s">
        <v>182</v>
      </c>
      <c r="I6129">
        <v>10</v>
      </c>
      <c r="J6129">
        <v>9</v>
      </c>
      <c r="K6129">
        <v>1</v>
      </c>
      <c r="L6129">
        <v>84226</v>
      </c>
      <c r="M6129" t="str">
        <f t="shared" si="968"/>
        <v>13</v>
      </c>
      <c r="N6129" t="s">
        <v>3323</v>
      </c>
      <c r="O6129" t="str">
        <f t="shared" si="973"/>
        <v>79173</v>
      </c>
      <c r="P6129" t="str">
        <f t="shared" si="976"/>
        <v>8300I</v>
      </c>
      <c r="Q6129" t="str">
        <f t="shared" si="974"/>
        <v>0726</v>
      </c>
      <c r="R6129">
        <v>8300</v>
      </c>
      <c r="S6129" t="str">
        <f t="shared" si="975"/>
        <v>7901</v>
      </c>
      <c r="T6129" t="s">
        <v>3843</v>
      </c>
      <c r="U6129" t="s">
        <v>3002</v>
      </c>
    </row>
    <row r="6130" spans="1:21" ht="15" customHeight="1" x14ac:dyDescent="0.3">
      <c r="A6130" t="s">
        <v>179</v>
      </c>
      <c r="B6130" t="str">
        <f>"00055058"</f>
        <v>00055058</v>
      </c>
      <c r="C6130" t="s">
        <v>4253</v>
      </c>
      <c r="D6130" t="s">
        <v>3004</v>
      </c>
      <c r="E6130" t="str">
        <f>"00045090"</f>
        <v>00045090</v>
      </c>
      <c r="F6130">
        <v>0</v>
      </c>
      <c r="G6130" s="243">
        <v>38269</v>
      </c>
      <c r="H6130" t="s">
        <v>182</v>
      </c>
      <c r="I6130">
        <v>15</v>
      </c>
      <c r="J6130">
        <v>15</v>
      </c>
      <c r="K6130">
        <v>1</v>
      </c>
      <c r="L6130">
        <v>110672</v>
      </c>
      <c r="M6130" t="str">
        <f t="shared" si="968"/>
        <v>13</v>
      </c>
      <c r="N6130" t="s">
        <v>3323</v>
      </c>
      <c r="O6130" t="str">
        <f t="shared" si="973"/>
        <v>79173</v>
      </c>
      <c r="P6130" t="str">
        <f t="shared" si="976"/>
        <v>8300I</v>
      </c>
      <c r="Q6130" t="str">
        <f t="shared" si="974"/>
        <v>0726</v>
      </c>
      <c r="R6130">
        <v>8300</v>
      </c>
      <c r="S6130" t="str">
        <f t="shared" si="975"/>
        <v>7901</v>
      </c>
      <c r="T6130" t="s">
        <v>3843</v>
      </c>
      <c r="U6130" t="s">
        <v>3002</v>
      </c>
    </row>
    <row r="6131" spans="1:21" ht="15" customHeight="1" x14ac:dyDescent="0.3">
      <c r="A6131" t="s">
        <v>179</v>
      </c>
      <c r="B6131" t="str">
        <f>"00056801"</f>
        <v>00056801</v>
      </c>
      <c r="C6131" t="s">
        <v>4395</v>
      </c>
      <c r="D6131" t="s">
        <v>3005</v>
      </c>
      <c r="E6131" t="str">
        <f>"00053994"</f>
        <v>00053994</v>
      </c>
      <c r="F6131">
        <v>0</v>
      </c>
      <c r="G6131" s="243">
        <v>32744</v>
      </c>
      <c r="H6131" t="s">
        <v>182</v>
      </c>
      <c r="I6131">
        <v>10</v>
      </c>
      <c r="J6131">
        <v>9</v>
      </c>
      <c r="K6131">
        <v>1</v>
      </c>
      <c r="L6131">
        <v>84226</v>
      </c>
      <c r="M6131" t="str">
        <f t="shared" si="968"/>
        <v>13</v>
      </c>
      <c r="N6131" t="s">
        <v>3323</v>
      </c>
      <c r="O6131" t="str">
        <f t="shared" si="973"/>
        <v>79173</v>
      </c>
      <c r="P6131" t="str">
        <f t="shared" si="976"/>
        <v>8300I</v>
      </c>
      <c r="Q6131" t="str">
        <f t="shared" si="974"/>
        <v>0726</v>
      </c>
      <c r="R6131">
        <v>8300</v>
      </c>
      <c r="S6131" t="str">
        <f t="shared" si="975"/>
        <v>7901</v>
      </c>
      <c r="T6131" t="s">
        <v>3843</v>
      </c>
      <c r="U6131" t="s">
        <v>3002</v>
      </c>
    </row>
    <row r="6132" spans="1:21" ht="15" customHeight="1" x14ac:dyDescent="0.3">
      <c r="A6132" t="s">
        <v>179</v>
      </c>
      <c r="B6132" t="str">
        <f>"00056906"</f>
        <v>00056906</v>
      </c>
      <c r="C6132" t="s">
        <v>4263</v>
      </c>
      <c r="D6132" t="s">
        <v>3006</v>
      </c>
      <c r="E6132" t="str">
        <f>"00044637"</f>
        <v>00044637</v>
      </c>
      <c r="F6132">
        <v>0</v>
      </c>
      <c r="G6132" s="243">
        <v>34151</v>
      </c>
      <c r="H6132" t="s">
        <v>182</v>
      </c>
      <c r="I6132">
        <v>15</v>
      </c>
      <c r="J6132">
        <v>13</v>
      </c>
      <c r="K6132">
        <v>1</v>
      </c>
      <c r="L6132">
        <v>98432</v>
      </c>
      <c r="M6132" t="str">
        <f t="shared" si="968"/>
        <v>13</v>
      </c>
      <c r="N6132" t="s">
        <v>3323</v>
      </c>
      <c r="O6132" t="str">
        <f t="shared" si="973"/>
        <v>79173</v>
      </c>
      <c r="P6132" t="str">
        <f t="shared" si="976"/>
        <v>8300I</v>
      </c>
      <c r="Q6132" t="str">
        <f t="shared" si="974"/>
        <v>0726</v>
      </c>
      <c r="R6132">
        <v>8300</v>
      </c>
      <c r="S6132" t="str">
        <f t="shared" si="975"/>
        <v>7901</v>
      </c>
      <c r="T6132" t="s">
        <v>3843</v>
      </c>
      <c r="U6132" t="s">
        <v>3002</v>
      </c>
    </row>
    <row r="6133" spans="1:21" ht="15" customHeight="1" x14ac:dyDescent="0.3">
      <c r="A6133" t="s">
        <v>179</v>
      </c>
      <c r="B6133" t="str">
        <f>"00057880"</f>
        <v>00057880</v>
      </c>
      <c r="C6133" t="s">
        <v>4255</v>
      </c>
      <c r="D6133" t="s">
        <v>3007</v>
      </c>
      <c r="E6133" t="str">
        <f>"00051293"</f>
        <v>00051293</v>
      </c>
      <c r="F6133">
        <v>0</v>
      </c>
      <c r="G6133" s="243">
        <v>31344</v>
      </c>
      <c r="H6133" t="s">
        <v>182</v>
      </c>
      <c r="I6133">
        <v>15</v>
      </c>
      <c r="J6133">
        <v>15</v>
      </c>
      <c r="K6133">
        <v>1</v>
      </c>
      <c r="L6133">
        <v>110672</v>
      </c>
      <c r="M6133" t="str">
        <f t="shared" si="968"/>
        <v>13</v>
      </c>
      <c r="N6133" t="s">
        <v>3323</v>
      </c>
      <c r="O6133" t="str">
        <f t="shared" si="973"/>
        <v>79173</v>
      </c>
      <c r="P6133" t="str">
        <f t="shared" si="976"/>
        <v>8300I</v>
      </c>
      <c r="Q6133" t="str">
        <f t="shared" si="974"/>
        <v>0726</v>
      </c>
      <c r="R6133">
        <v>8300</v>
      </c>
      <c r="S6133" t="str">
        <f t="shared" si="975"/>
        <v>7901</v>
      </c>
      <c r="T6133" t="s">
        <v>3843</v>
      </c>
      <c r="U6133" t="s">
        <v>3002</v>
      </c>
    </row>
    <row r="6134" spans="1:21" ht="15" customHeight="1" x14ac:dyDescent="0.3">
      <c r="A6134" t="s">
        <v>179</v>
      </c>
      <c r="B6134" t="str">
        <f>"00058630"</f>
        <v>00058630</v>
      </c>
      <c r="C6134" t="s">
        <v>4260</v>
      </c>
      <c r="D6134" t="s">
        <v>4235</v>
      </c>
      <c r="E6134" t="str">
        <f>"00065955"</f>
        <v>00065955</v>
      </c>
      <c r="F6134">
        <v>0</v>
      </c>
      <c r="G6134" s="243">
        <v>40755</v>
      </c>
      <c r="H6134" t="s">
        <v>182</v>
      </c>
      <c r="I6134">
        <v>15</v>
      </c>
      <c r="J6134">
        <v>2</v>
      </c>
      <c r="K6134">
        <v>1</v>
      </c>
      <c r="L6134">
        <v>61265</v>
      </c>
      <c r="M6134" t="str">
        <f t="shared" si="968"/>
        <v>13</v>
      </c>
      <c r="N6134" t="s">
        <v>3323</v>
      </c>
      <c r="O6134" t="str">
        <f t="shared" si="973"/>
        <v>79173</v>
      </c>
      <c r="P6134" t="str">
        <f t="shared" si="976"/>
        <v>8300I</v>
      </c>
      <c r="Q6134" t="str">
        <f t="shared" si="974"/>
        <v>0726</v>
      </c>
      <c r="R6134">
        <v>8300</v>
      </c>
      <c r="S6134" t="str">
        <f t="shared" si="975"/>
        <v>7901</v>
      </c>
      <c r="T6134" t="s">
        <v>3843</v>
      </c>
      <c r="U6134" t="s">
        <v>3002</v>
      </c>
    </row>
    <row r="6135" spans="1:21" ht="15" customHeight="1" x14ac:dyDescent="0.3">
      <c r="A6135" t="s">
        <v>179</v>
      </c>
      <c r="B6135" t="str">
        <f>"00058958"</f>
        <v>00058958</v>
      </c>
      <c r="C6135" t="s">
        <v>3008</v>
      </c>
      <c r="D6135" t="s">
        <v>3009</v>
      </c>
      <c r="E6135" t="str">
        <f>"00046951"</f>
        <v>00046951</v>
      </c>
      <c r="F6135">
        <v>0</v>
      </c>
      <c r="G6135" s="243">
        <v>37487</v>
      </c>
      <c r="H6135" t="s">
        <v>182</v>
      </c>
      <c r="I6135">
        <v>10</v>
      </c>
      <c r="J6135">
        <v>9</v>
      </c>
      <c r="K6135">
        <v>1</v>
      </c>
      <c r="L6135">
        <v>45722</v>
      </c>
      <c r="M6135" t="str">
        <f t="shared" si="968"/>
        <v>13</v>
      </c>
      <c r="N6135" t="s">
        <v>3323</v>
      </c>
      <c r="O6135" t="str">
        <f t="shared" si="973"/>
        <v>79173</v>
      </c>
      <c r="P6135" t="str">
        <f>"8300I"</f>
        <v>8300I</v>
      </c>
      <c r="Q6135" t="str">
        <f t="shared" si="974"/>
        <v>0726</v>
      </c>
      <c r="R6135">
        <v>8300</v>
      </c>
      <c r="S6135" t="str">
        <f t="shared" si="975"/>
        <v>7901</v>
      </c>
      <c r="T6135" t="s">
        <v>3843</v>
      </c>
      <c r="U6135" t="s">
        <v>3002</v>
      </c>
    </row>
    <row r="6136" spans="1:21" ht="15" customHeight="1" x14ac:dyDescent="0.3">
      <c r="A6136" t="s">
        <v>179</v>
      </c>
      <c r="B6136" t="str">
        <f>"00059036"</f>
        <v>00059036</v>
      </c>
      <c r="C6136" t="s">
        <v>4877</v>
      </c>
      <c r="H6136" t="s">
        <v>170</v>
      </c>
      <c r="I6136">
        <v>7</v>
      </c>
      <c r="J6136">
        <v>0</v>
      </c>
      <c r="K6136">
        <v>1</v>
      </c>
      <c r="L6136">
        <v>35976</v>
      </c>
      <c r="M6136" t="str">
        <f t="shared" si="968"/>
        <v>13</v>
      </c>
      <c r="N6136" t="s">
        <v>3323</v>
      </c>
      <c r="O6136" t="str">
        <f t="shared" si="973"/>
        <v>79173</v>
      </c>
      <c r="P6136" t="str">
        <f>"1502I"</f>
        <v>1502I</v>
      </c>
      <c r="Q6136" t="str">
        <f t="shared" si="974"/>
        <v>0726</v>
      </c>
      <c r="R6136">
        <v>1502</v>
      </c>
      <c r="S6136" t="str">
        <f t="shared" si="975"/>
        <v>7901</v>
      </c>
      <c r="T6136" t="s">
        <v>3843</v>
      </c>
      <c r="U6136" t="s">
        <v>3002</v>
      </c>
    </row>
    <row r="6137" spans="1:21" ht="15" customHeight="1" x14ac:dyDescent="0.3">
      <c r="A6137" t="s">
        <v>179</v>
      </c>
      <c r="B6137" t="str">
        <f>"00060103"</f>
        <v>00060103</v>
      </c>
      <c r="C6137" t="s">
        <v>4253</v>
      </c>
      <c r="D6137" t="s">
        <v>3010</v>
      </c>
      <c r="E6137" t="str">
        <f>"00046341"</f>
        <v>00046341</v>
      </c>
      <c r="F6137">
        <v>0</v>
      </c>
      <c r="G6137" s="243">
        <v>38383</v>
      </c>
      <c r="H6137" t="s">
        <v>182</v>
      </c>
      <c r="I6137">
        <v>15</v>
      </c>
      <c r="J6137">
        <v>14</v>
      </c>
      <c r="K6137">
        <v>1</v>
      </c>
      <c r="L6137">
        <v>111518</v>
      </c>
      <c r="M6137" t="str">
        <f t="shared" si="968"/>
        <v>13</v>
      </c>
      <c r="N6137" t="s">
        <v>3323</v>
      </c>
      <c r="O6137" t="str">
        <f t="shared" si="973"/>
        <v>79173</v>
      </c>
      <c r="P6137" t="str">
        <f t="shared" ref="P6137:P6145" si="977">"8300I"</f>
        <v>8300I</v>
      </c>
      <c r="Q6137" t="str">
        <f t="shared" si="974"/>
        <v>0726</v>
      </c>
      <c r="R6137">
        <v>8300</v>
      </c>
      <c r="S6137" t="str">
        <f t="shared" si="975"/>
        <v>7901</v>
      </c>
      <c r="T6137" t="s">
        <v>3843</v>
      </c>
      <c r="U6137" t="s">
        <v>3002</v>
      </c>
    </row>
    <row r="6138" spans="1:21" ht="15" customHeight="1" x14ac:dyDescent="0.3">
      <c r="A6138" t="s">
        <v>179</v>
      </c>
      <c r="B6138" t="str">
        <f>"00060195"</f>
        <v>00060195</v>
      </c>
      <c r="C6138" t="s">
        <v>4253</v>
      </c>
      <c r="D6138" t="s">
        <v>3011</v>
      </c>
      <c r="E6138" t="str">
        <f>"00045104"</f>
        <v>00045104</v>
      </c>
      <c r="F6138">
        <v>0</v>
      </c>
      <c r="G6138" s="243">
        <v>38446</v>
      </c>
      <c r="H6138" t="s">
        <v>182</v>
      </c>
      <c r="I6138">
        <v>15</v>
      </c>
      <c r="J6138">
        <v>9</v>
      </c>
      <c r="K6138">
        <v>1</v>
      </c>
      <c r="L6138">
        <v>76461</v>
      </c>
      <c r="M6138" t="str">
        <f t="shared" si="968"/>
        <v>13</v>
      </c>
      <c r="N6138" t="s">
        <v>3323</v>
      </c>
      <c r="O6138" t="str">
        <f t="shared" si="973"/>
        <v>79173</v>
      </c>
      <c r="P6138" t="str">
        <f t="shared" si="977"/>
        <v>8300I</v>
      </c>
      <c r="Q6138" t="str">
        <f t="shared" si="974"/>
        <v>0726</v>
      </c>
      <c r="R6138">
        <v>8300</v>
      </c>
      <c r="S6138" t="str">
        <f t="shared" si="975"/>
        <v>7901</v>
      </c>
      <c r="T6138" t="s">
        <v>3843</v>
      </c>
      <c r="U6138" t="s">
        <v>3002</v>
      </c>
    </row>
    <row r="6139" spans="1:21" ht="15" customHeight="1" x14ac:dyDescent="0.3">
      <c r="A6139" t="s">
        <v>179</v>
      </c>
      <c r="B6139" t="str">
        <f>"00060202"</f>
        <v>00060202</v>
      </c>
      <c r="C6139" t="s">
        <v>4438</v>
      </c>
      <c r="D6139" t="s">
        <v>3012</v>
      </c>
      <c r="E6139" t="str">
        <f>"00049692"</f>
        <v>00049692</v>
      </c>
      <c r="F6139">
        <v>0</v>
      </c>
      <c r="G6139" s="243">
        <v>38449</v>
      </c>
      <c r="H6139" t="s">
        <v>182</v>
      </c>
      <c r="I6139">
        <v>11</v>
      </c>
      <c r="J6139">
        <v>9</v>
      </c>
      <c r="K6139">
        <v>1</v>
      </c>
      <c r="L6139">
        <v>85324</v>
      </c>
      <c r="M6139" t="str">
        <f t="shared" si="968"/>
        <v>13</v>
      </c>
      <c r="N6139" t="s">
        <v>3323</v>
      </c>
      <c r="O6139" t="str">
        <f t="shared" si="973"/>
        <v>79173</v>
      </c>
      <c r="P6139" t="str">
        <f t="shared" si="977"/>
        <v>8300I</v>
      </c>
      <c r="Q6139" t="str">
        <f t="shared" si="974"/>
        <v>0726</v>
      </c>
      <c r="R6139">
        <v>8300</v>
      </c>
      <c r="S6139" t="str">
        <f t="shared" si="975"/>
        <v>7901</v>
      </c>
      <c r="T6139" t="s">
        <v>3843</v>
      </c>
      <c r="U6139" t="s">
        <v>3002</v>
      </c>
    </row>
    <row r="6140" spans="1:21" ht="15" customHeight="1" x14ac:dyDescent="0.3">
      <c r="A6140" t="s">
        <v>179</v>
      </c>
      <c r="B6140" t="str">
        <f>"00060255"</f>
        <v>00060255</v>
      </c>
      <c r="C6140" t="s">
        <v>4260</v>
      </c>
      <c r="D6140" t="s">
        <v>4236</v>
      </c>
      <c r="E6140" t="str">
        <f>"00065817"</f>
        <v>00065817</v>
      </c>
      <c r="F6140">
        <v>0</v>
      </c>
      <c r="G6140" s="243">
        <v>40755</v>
      </c>
      <c r="H6140" t="s">
        <v>182</v>
      </c>
      <c r="I6140">
        <v>15</v>
      </c>
      <c r="J6140">
        <v>2</v>
      </c>
      <c r="K6140">
        <v>1</v>
      </c>
      <c r="L6140">
        <v>61265</v>
      </c>
      <c r="M6140" t="str">
        <f t="shared" si="968"/>
        <v>13</v>
      </c>
      <c r="N6140" t="s">
        <v>3323</v>
      </c>
      <c r="O6140" t="str">
        <f t="shared" si="973"/>
        <v>79173</v>
      </c>
      <c r="P6140" t="str">
        <f t="shared" si="977"/>
        <v>8300I</v>
      </c>
      <c r="Q6140" t="str">
        <f t="shared" si="974"/>
        <v>0726</v>
      </c>
      <c r="R6140">
        <v>8300</v>
      </c>
      <c r="S6140" t="str">
        <f t="shared" si="975"/>
        <v>7901</v>
      </c>
      <c r="T6140" t="s">
        <v>3843</v>
      </c>
      <c r="U6140" t="s">
        <v>3002</v>
      </c>
    </row>
    <row r="6141" spans="1:21" ht="15" customHeight="1" x14ac:dyDescent="0.3">
      <c r="A6141" t="s">
        <v>179</v>
      </c>
      <c r="B6141" t="str">
        <f>"00060688"</f>
        <v>00060688</v>
      </c>
      <c r="C6141" t="s">
        <v>5818</v>
      </c>
      <c r="D6141" t="s">
        <v>3013</v>
      </c>
      <c r="E6141" t="str">
        <f>"00024492"</f>
        <v>00024492</v>
      </c>
      <c r="F6141">
        <v>2</v>
      </c>
      <c r="G6141" s="243">
        <v>38265</v>
      </c>
      <c r="H6141" t="s">
        <v>182</v>
      </c>
      <c r="I6141">
        <v>11</v>
      </c>
      <c r="J6141">
        <v>9</v>
      </c>
      <c r="K6141">
        <v>1</v>
      </c>
      <c r="L6141">
        <v>50229</v>
      </c>
      <c r="M6141" t="str">
        <f t="shared" si="968"/>
        <v>13</v>
      </c>
      <c r="N6141" t="s">
        <v>3323</v>
      </c>
      <c r="O6141" t="str">
        <f t="shared" si="973"/>
        <v>79173</v>
      </c>
      <c r="P6141" t="str">
        <f t="shared" si="977"/>
        <v>8300I</v>
      </c>
      <c r="Q6141" t="str">
        <f t="shared" si="974"/>
        <v>0726</v>
      </c>
      <c r="R6141">
        <v>8300</v>
      </c>
      <c r="S6141" t="str">
        <f t="shared" si="975"/>
        <v>7901</v>
      </c>
      <c r="T6141" t="s">
        <v>3843</v>
      </c>
      <c r="U6141" t="s">
        <v>3002</v>
      </c>
    </row>
    <row r="6142" spans="1:21" ht="15" customHeight="1" x14ac:dyDescent="0.3">
      <c r="A6142" t="s">
        <v>179</v>
      </c>
      <c r="B6142" t="str">
        <f>"00061733"</f>
        <v>00061733</v>
      </c>
      <c r="C6142" t="s">
        <v>4258</v>
      </c>
      <c r="D6142" t="s">
        <v>3014</v>
      </c>
      <c r="E6142" t="str">
        <f>"00045426"</f>
        <v>00045426</v>
      </c>
      <c r="F6142">
        <v>0</v>
      </c>
      <c r="G6142" s="243">
        <v>39489</v>
      </c>
      <c r="H6142" t="s">
        <v>182</v>
      </c>
      <c r="I6142">
        <v>15</v>
      </c>
      <c r="J6142">
        <v>12</v>
      </c>
      <c r="K6142">
        <v>1</v>
      </c>
      <c r="L6142">
        <v>99302</v>
      </c>
      <c r="M6142" t="str">
        <f t="shared" si="968"/>
        <v>13</v>
      </c>
      <c r="N6142" t="s">
        <v>3323</v>
      </c>
      <c r="O6142" t="str">
        <f t="shared" si="973"/>
        <v>79173</v>
      </c>
      <c r="P6142" t="str">
        <f t="shared" si="977"/>
        <v>8300I</v>
      </c>
      <c r="Q6142" t="str">
        <f t="shared" si="974"/>
        <v>0726</v>
      </c>
      <c r="R6142">
        <v>8300</v>
      </c>
      <c r="S6142" t="str">
        <f t="shared" si="975"/>
        <v>7901</v>
      </c>
      <c r="T6142" t="s">
        <v>3843</v>
      </c>
      <c r="U6142" t="s">
        <v>3002</v>
      </c>
    </row>
    <row r="6143" spans="1:21" ht="15" customHeight="1" x14ac:dyDescent="0.3">
      <c r="A6143" t="s">
        <v>179</v>
      </c>
      <c r="B6143" t="str">
        <f>"00062539"</f>
        <v>00062539</v>
      </c>
      <c r="C6143" t="s">
        <v>4260</v>
      </c>
      <c r="D6143" t="s">
        <v>3015</v>
      </c>
      <c r="E6143" t="str">
        <f>"00058323"</f>
        <v>00058323</v>
      </c>
      <c r="F6143">
        <v>0</v>
      </c>
      <c r="G6143" s="243">
        <v>40044</v>
      </c>
      <c r="H6143" t="s">
        <v>182</v>
      </c>
      <c r="I6143">
        <v>15</v>
      </c>
      <c r="J6143">
        <v>7</v>
      </c>
      <c r="K6143">
        <v>1</v>
      </c>
      <c r="L6143">
        <v>79796</v>
      </c>
      <c r="M6143" t="str">
        <f t="shared" si="968"/>
        <v>13</v>
      </c>
      <c r="N6143" t="s">
        <v>3323</v>
      </c>
      <c r="O6143" t="str">
        <f t="shared" si="973"/>
        <v>79173</v>
      </c>
      <c r="P6143" t="str">
        <f t="shared" si="977"/>
        <v>8300I</v>
      </c>
      <c r="Q6143" t="str">
        <f t="shared" si="974"/>
        <v>0726</v>
      </c>
      <c r="R6143">
        <v>8300</v>
      </c>
      <c r="S6143" t="str">
        <f t="shared" si="975"/>
        <v>7901</v>
      </c>
      <c r="T6143" t="s">
        <v>3843</v>
      </c>
      <c r="U6143" t="s">
        <v>3002</v>
      </c>
    </row>
    <row r="6144" spans="1:21" ht="15" customHeight="1" x14ac:dyDescent="0.3">
      <c r="A6144" t="s">
        <v>179</v>
      </c>
      <c r="B6144" t="str">
        <f>"00062540"</f>
        <v>00062540</v>
      </c>
      <c r="C6144" t="s">
        <v>4253</v>
      </c>
      <c r="D6144" t="s">
        <v>3016</v>
      </c>
      <c r="E6144" t="str">
        <f>"00049674"</f>
        <v>00049674</v>
      </c>
      <c r="F6144">
        <v>0</v>
      </c>
      <c r="G6144" s="243">
        <v>39679</v>
      </c>
      <c r="H6144" t="s">
        <v>182</v>
      </c>
      <c r="I6144">
        <v>15</v>
      </c>
      <c r="J6144">
        <v>5</v>
      </c>
      <c r="K6144">
        <v>1</v>
      </c>
      <c r="L6144">
        <v>69116</v>
      </c>
      <c r="M6144" t="str">
        <f t="shared" si="968"/>
        <v>13</v>
      </c>
      <c r="N6144" t="s">
        <v>3323</v>
      </c>
      <c r="O6144" t="str">
        <f t="shared" si="973"/>
        <v>79173</v>
      </c>
      <c r="P6144" t="str">
        <f t="shared" si="977"/>
        <v>8300I</v>
      </c>
      <c r="Q6144" t="str">
        <f t="shared" si="974"/>
        <v>0726</v>
      </c>
      <c r="R6144">
        <v>8300</v>
      </c>
      <c r="S6144" t="str">
        <f t="shared" si="975"/>
        <v>7901</v>
      </c>
      <c r="T6144" t="s">
        <v>3843</v>
      </c>
      <c r="U6144" t="s">
        <v>3002</v>
      </c>
    </row>
    <row r="6145" spans="1:21" ht="15" customHeight="1" x14ac:dyDescent="0.3">
      <c r="A6145" t="s">
        <v>179</v>
      </c>
      <c r="B6145" t="str">
        <f>"00062748"</f>
        <v>00062748</v>
      </c>
      <c r="C6145" t="s">
        <v>4260</v>
      </c>
      <c r="D6145" t="s">
        <v>3017</v>
      </c>
      <c r="E6145" t="str">
        <f>"00051815"</f>
        <v>00051815</v>
      </c>
      <c r="F6145">
        <v>0</v>
      </c>
      <c r="G6145" s="243">
        <v>39731</v>
      </c>
      <c r="H6145" t="s">
        <v>182</v>
      </c>
      <c r="I6145">
        <v>15</v>
      </c>
      <c r="J6145">
        <v>4</v>
      </c>
      <c r="K6145">
        <v>1</v>
      </c>
      <c r="L6145">
        <v>71322</v>
      </c>
      <c r="M6145" t="str">
        <f t="shared" si="968"/>
        <v>13</v>
      </c>
      <c r="N6145" t="s">
        <v>3323</v>
      </c>
      <c r="O6145" t="str">
        <f t="shared" si="973"/>
        <v>79173</v>
      </c>
      <c r="P6145" t="str">
        <f t="shared" si="977"/>
        <v>8300I</v>
      </c>
      <c r="Q6145" t="str">
        <f t="shared" si="974"/>
        <v>0726</v>
      </c>
      <c r="R6145">
        <v>8300</v>
      </c>
      <c r="S6145" t="str">
        <f t="shared" si="975"/>
        <v>7901</v>
      </c>
      <c r="T6145" t="s">
        <v>3843</v>
      </c>
      <c r="U6145" t="s">
        <v>3002</v>
      </c>
    </row>
    <row r="6146" spans="1:21" ht="15" customHeight="1" x14ac:dyDescent="0.3">
      <c r="A6146" t="s">
        <v>179</v>
      </c>
      <c r="B6146" t="str">
        <f>"00068377"</f>
        <v>00068377</v>
      </c>
      <c r="C6146" t="s">
        <v>3670</v>
      </c>
      <c r="D6146" t="s">
        <v>3018</v>
      </c>
      <c r="E6146" t="str">
        <f>"00046095"</f>
        <v>00046095</v>
      </c>
      <c r="F6146">
        <v>0</v>
      </c>
      <c r="G6146" s="243">
        <v>34265</v>
      </c>
      <c r="H6146" t="s">
        <v>182</v>
      </c>
      <c r="I6146">
        <v>8</v>
      </c>
      <c r="J6146">
        <v>4</v>
      </c>
      <c r="K6146">
        <v>1</v>
      </c>
      <c r="L6146">
        <v>89645</v>
      </c>
      <c r="M6146" t="str">
        <f t="shared" si="968"/>
        <v>13</v>
      </c>
      <c r="N6146" t="s">
        <v>3323</v>
      </c>
      <c r="O6146" t="str">
        <f t="shared" si="973"/>
        <v>79173</v>
      </c>
      <c r="P6146" t="str">
        <f>"1501I"</f>
        <v>1501I</v>
      </c>
      <c r="Q6146" t="str">
        <f t="shared" si="974"/>
        <v>0726</v>
      </c>
      <c r="R6146">
        <v>1501</v>
      </c>
      <c r="S6146" t="str">
        <f t="shared" si="975"/>
        <v>7901</v>
      </c>
      <c r="T6146" t="s">
        <v>3843</v>
      </c>
      <c r="U6146" t="s">
        <v>3002</v>
      </c>
    </row>
    <row r="6147" spans="1:21" ht="15" customHeight="1" x14ac:dyDescent="0.3">
      <c r="A6147" t="s">
        <v>179</v>
      </c>
      <c r="B6147" t="str">
        <f>"00074661"</f>
        <v>00074661</v>
      </c>
      <c r="C6147" t="s">
        <v>4259</v>
      </c>
      <c r="D6147" t="s">
        <v>4234</v>
      </c>
      <c r="E6147" t="str">
        <f>"00066289"</f>
        <v>00066289</v>
      </c>
      <c r="F6147">
        <v>0</v>
      </c>
      <c r="G6147" s="243">
        <v>40755</v>
      </c>
      <c r="H6147" t="s">
        <v>182</v>
      </c>
      <c r="I6147">
        <v>15</v>
      </c>
      <c r="J6147">
        <v>11</v>
      </c>
      <c r="K6147">
        <v>1</v>
      </c>
      <c r="L6147">
        <v>91957</v>
      </c>
      <c r="M6147" t="str">
        <f t="shared" si="968"/>
        <v>13</v>
      </c>
      <c r="N6147" t="s">
        <v>3323</v>
      </c>
      <c r="O6147" t="str">
        <f t="shared" si="973"/>
        <v>79173</v>
      </c>
      <c r="P6147" t="str">
        <f>"8300I"</f>
        <v>8300I</v>
      </c>
      <c r="Q6147" t="str">
        <f t="shared" si="974"/>
        <v>0726</v>
      </c>
      <c r="R6147">
        <v>8300</v>
      </c>
      <c r="S6147" t="str">
        <f t="shared" si="975"/>
        <v>7901</v>
      </c>
      <c r="T6147" t="s">
        <v>3843</v>
      </c>
      <c r="U6147" t="s">
        <v>3002</v>
      </c>
    </row>
    <row r="6148" spans="1:21" ht="15" customHeight="1" x14ac:dyDescent="0.3">
      <c r="A6148" t="s">
        <v>179</v>
      </c>
      <c r="B6148" t="str">
        <f>"00076629"</f>
        <v>00076629</v>
      </c>
      <c r="C6148" t="s">
        <v>4253</v>
      </c>
      <c r="D6148" t="s">
        <v>1042</v>
      </c>
      <c r="E6148" t="str">
        <f>"00054433"</f>
        <v>00054433</v>
      </c>
      <c r="F6148">
        <v>0</v>
      </c>
      <c r="G6148" s="243">
        <v>32050</v>
      </c>
      <c r="H6148" t="s">
        <v>182</v>
      </c>
      <c r="I6148">
        <v>15</v>
      </c>
      <c r="J6148">
        <v>16</v>
      </c>
      <c r="K6148">
        <v>1</v>
      </c>
      <c r="L6148">
        <v>113226</v>
      </c>
      <c r="M6148" t="str">
        <f t="shared" si="968"/>
        <v>13</v>
      </c>
      <c r="N6148" t="s">
        <v>3323</v>
      </c>
      <c r="O6148" t="str">
        <f t="shared" si="973"/>
        <v>79173</v>
      </c>
      <c r="P6148" t="str">
        <f>"8300I"</f>
        <v>8300I</v>
      </c>
      <c r="Q6148" t="str">
        <f t="shared" si="974"/>
        <v>0726</v>
      </c>
      <c r="R6148">
        <v>8300</v>
      </c>
      <c r="S6148" t="str">
        <f t="shared" si="975"/>
        <v>7901</v>
      </c>
      <c r="T6148" t="s">
        <v>3843</v>
      </c>
      <c r="U6148" t="s">
        <v>3002</v>
      </c>
    </row>
    <row r="6149" spans="1:21" ht="15" customHeight="1" x14ac:dyDescent="0.3">
      <c r="A6149" t="s">
        <v>179</v>
      </c>
      <c r="B6149" t="str">
        <f>"00076630"</f>
        <v>00076630</v>
      </c>
      <c r="C6149" t="s">
        <v>4253</v>
      </c>
      <c r="D6149" t="s">
        <v>6048</v>
      </c>
      <c r="E6149" t="str">
        <f>"00070551"</f>
        <v>00070551</v>
      </c>
      <c r="F6149">
        <v>0</v>
      </c>
      <c r="G6149" s="243">
        <v>41168</v>
      </c>
      <c r="H6149" t="s">
        <v>182</v>
      </c>
      <c r="I6149">
        <v>15</v>
      </c>
      <c r="J6149">
        <v>10</v>
      </c>
      <c r="K6149">
        <v>1</v>
      </c>
      <c r="L6149">
        <v>89550</v>
      </c>
      <c r="M6149" t="str">
        <f t="shared" si="968"/>
        <v>13</v>
      </c>
      <c r="N6149" t="s">
        <v>3323</v>
      </c>
      <c r="O6149" t="str">
        <f t="shared" si="973"/>
        <v>79173</v>
      </c>
      <c r="P6149" t="str">
        <f>"8300I"</f>
        <v>8300I</v>
      </c>
      <c r="Q6149" t="str">
        <f t="shared" si="974"/>
        <v>0726</v>
      </c>
      <c r="R6149">
        <v>8300</v>
      </c>
      <c r="S6149" t="str">
        <f t="shared" si="975"/>
        <v>7901</v>
      </c>
      <c r="T6149" t="s">
        <v>3843</v>
      </c>
      <c r="U6149" t="s">
        <v>3002</v>
      </c>
    </row>
    <row r="6150" spans="1:21" ht="15" customHeight="1" x14ac:dyDescent="0.3">
      <c r="A6150" t="s">
        <v>179</v>
      </c>
      <c r="B6150" t="str">
        <f>"00076632"</f>
        <v>00076632</v>
      </c>
      <c r="C6150" t="s">
        <v>4306</v>
      </c>
      <c r="H6150" t="s">
        <v>170</v>
      </c>
      <c r="I6150">
        <v>9</v>
      </c>
      <c r="J6150">
        <v>0</v>
      </c>
      <c r="K6150">
        <v>1</v>
      </c>
      <c r="L6150">
        <v>33163</v>
      </c>
      <c r="M6150" t="str">
        <f t="shared" si="968"/>
        <v>13</v>
      </c>
      <c r="N6150" t="s">
        <v>3370</v>
      </c>
      <c r="O6150" t="str">
        <f t="shared" si="973"/>
        <v>79173</v>
      </c>
      <c r="P6150" t="str">
        <f>"8300I"</f>
        <v>8300I</v>
      </c>
      <c r="Q6150" t="str">
        <f t="shared" si="974"/>
        <v>0726</v>
      </c>
      <c r="R6150">
        <v>8300</v>
      </c>
      <c r="S6150" t="str">
        <f t="shared" si="975"/>
        <v>7901</v>
      </c>
      <c r="T6150" t="s">
        <v>3843</v>
      </c>
      <c r="U6150" t="s">
        <v>3002</v>
      </c>
    </row>
    <row r="6151" spans="1:21" ht="15" customHeight="1" x14ac:dyDescent="0.3">
      <c r="G6151" s="243"/>
    </row>
    <row r="6152" spans="1:21" ht="15" customHeight="1" x14ac:dyDescent="0.3">
      <c r="K6152">
        <f>SUM(K7:K6151)</f>
        <v>5778.9350000000077</v>
      </c>
    </row>
  </sheetData>
  <autoFilter ref="A6:U6152"/>
  <sortState ref="A7:U6994">
    <sortCondition ref="S7:S699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5"/>
  <sheetViews>
    <sheetView workbookViewId="0">
      <selection activeCell="C125" sqref="C125"/>
    </sheetView>
  </sheetViews>
  <sheetFormatPr defaultRowHeight="14.4" x14ac:dyDescent="0.3"/>
  <cols>
    <col min="2" max="2" width="26" bestFit="1" customWidth="1"/>
    <col min="3" max="3" width="17.88671875" style="303" customWidth="1"/>
    <col min="4" max="4" width="19.33203125" customWidth="1"/>
  </cols>
  <sheetData>
    <row r="2" spans="1:3" x14ac:dyDescent="0.3">
      <c r="C2" s="303" t="s">
        <v>4251</v>
      </c>
    </row>
    <row r="3" spans="1:3" x14ac:dyDescent="0.3">
      <c r="A3" s="145">
        <v>5110</v>
      </c>
      <c r="B3" s="142" t="s">
        <v>3034</v>
      </c>
      <c r="C3" s="311"/>
    </row>
    <row r="4" spans="1:3" x14ac:dyDescent="0.3">
      <c r="A4" s="143">
        <v>5120</v>
      </c>
      <c r="B4" s="140" t="s">
        <v>14</v>
      </c>
      <c r="C4" s="311">
        <v>254</v>
      </c>
    </row>
    <row r="5" spans="1:3" x14ac:dyDescent="0.3">
      <c r="A5" s="143">
        <v>5130</v>
      </c>
      <c r="B5" s="140" t="s">
        <v>15</v>
      </c>
      <c r="C5" s="311">
        <v>293</v>
      </c>
    </row>
    <row r="6" spans="1:3" x14ac:dyDescent="0.3">
      <c r="A6" s="143">
        <v>5140</v>
      </c>
      <c r="B6" s="140" t="s">
        <v>16</v>
      </c>
      <c r="C6" s="311">
        <v>473</v>
      </c>
    </row>
    <row r="7" spans="1:3" x14ac:dyDescent="0.3">
      <c r="A7" s="143">
        <v>5150</v>
      </c>
      <c r="B7" s="140" t="s">
        <v>3036</v>
      </c>
      <c r="C7" s="311">
        <v>569</v>
      </c>
    </row>
    <row r="8" spans="1:3" x14ac:dyDescent="0.3">
      <c r="A8" s="143">
        <v>5160</v>
      </c>
      <c r="B8" s="140" t="s">
        <v>18</v>
      </c>
      <c r="C8" s="311">
        <v>384</v>
      </c>
    </row>
    <row r="9" spans="1:3" x14ac:dyDescent="0.3">
      <c r="A9" s="143">
        <v>5200</v>
      </c>
      <c r="B9" s="140" t="s">
        <v>117</v>
      </c>
      <c r="C9" s="311">
        <v>358</v>
      </c>
    </row>
    <row r="10" spans="1:3" x14ac:dyDescent="0.3">
      <c r="A10" s="143">
        <v>5210</v>
      </c>
      <c r="B10" s="140" t="s">
        <v>3037</v>
      </c>
      <c r="C10" s="311">
        <v>574</v>
      </c>
    </row>
    <row r="11" spans="1:3" x14ac:dyDescent="0.3">
      <c r="A11" s="143">
        <v>5220</v>
      </c>
      <c r="B11" s="140" t="s">
        <v>3046</v>
      </c>
      <c r="C11" s="311">
        <v>273</v>
      </c>
    </row>
    <row r="12" spans="1:3" x14ac:dyDescent="0.3">
      <c r="A12" s="143">
        <v>5230</v>
      </c>
      <c r="B12" s="140" t="s">
        <v>3025</v>
      </c>
      <c r="C12" s="311">
        <v>442</v>
      </c>
    </row>
    <row r="13" spans="1:3" x14ac:dyDescent="0.3">
      <c r="A13" s="143">
        <v>5250</v>
      </c>
      <c r="B13" s="140" t="s">
        <v>3047</v>
      </c>
      <c r="C13" s="311">
        <v>289</v>
      </c>
    </row>
    <row r="14" spans="1:3" x14ac:dyDescent="0.3">
      <c r="A14" s="143">
        <v>5260</v>
      </c>
      <c r="B14" s="140" t="s">
        <v>24</v>
      </c>
      <c r="C14" s="311">
        <v>357</v>
      </c>
    </row>
    <row r="15" spans="1:3" x14ac:dyDescent="0.3">
      <c r="A15" s="143">
        <v>5280</v>
      </c>
      <c r="B15" s="140" t="s">
        <v>25</v>
      </c>
      <c r="C15" s="311">
        <v>300</v>
      </c>
    </row>
    <row r="16" spans="1:3" x14ac:dyDescent="0.3">
      <c r="A16" s="143">
        <v>5300</v>
      </c>
      <c r="B16" s="140" t="s">
        <v>3028</v>
      </c>
      <c r="C16" s="311">
        <v>392</v>
      </c>
    </row>
    <row r="17" spans="1:3" x14ac:dyDescent="0.3">
      <c r="A17" s="143">
        <v>5310</v>
      </c>
      <c r="B17" s="140" t="s">
        <v>27</v>
      </c>
      <c r="C17" s="311">
        <v>178</v>
      </c>
    </row>
    <row r="18" spans="1:3" x14ac:dyDescent="0.3">
      <c r="A18" s="143">
        <v>5330</v>
      </c>
      <c r="B18" s="140" t="s">
        <v>28</v>
      </c>
      <c r="C18" s="311">
        <v>164</v>
      </c>
    </row>
    <row r="19" spans="1:3" x14ac:dyDescent="0.3">
      <c r="A19" s="143">
        <v>5340</v>
      </c>
      <c r="B19" s="140" t="s">
        <v>118</v>
      </c>
      <c r="C19" s="311">
        <v>459</v>
      </c>
    </row>
    <row r="20" spans="1:3" x14ac:dyDescent="0.3">
      <c r="A20" s="143">
        <v>5350</v>
      </c>
      <c r="B20" s="140" t="s">
        <v>3049</v>
      </c>
      <c r="C20" s="311">
        <v>418</v>
      </c>
    </row>
    <row r="21" spans="1:3" x14ac:dyDescent="0.3">
      <c r="A21" s="143">
        <v>5360</v>
      </c>
      <c r="B21" s="140" t="s">
        <v>30</v>
      </c>
      <c r="C21" s="311">
        <v>215</v>
      </c>
    </row>
    <row r="22" spans="1:3" x14ac:dyDescent="0.3">
      <c r="A22" s="143">
        <v>5390</v>
      </c>
      <c r="B22" s="140" t="s">
        <v>32</v>
      </c>
      <c r="C22" s="311">
        <v>245</v>
      </c>
    </row>
    <row r="23" spans="1:3" x14ac:dyDescent="0.3">
      <c r="A23" s="143">
        <v>5400</v>
      </c>
      <c r="B23" s="140" t="s">
        <v>33</v>
      </c>
      <c r="C23" s="311">
        <v>228</v>
      </c>
    </row>
    <row r="24" spans="1:3" x14ac:dyDescent="0.3">
      <c r="A24" s="143">
        <v>5430</v>
      </c>
      <c r="B24" s="140" t="s">
        <v>3065</v>
      </c>
      <c r="C24" s="311">
        <v>265</v>
      </c>
    </row>
    <row r="25" spans="1:3" x14ac:dyDescent="0.3">
      <c r="A25" s="143">
        <v>5450</v>
      </c>
      <c r="B25" s="140" t="s">
        <v>119</v>
      </c>
      <c r="C25" s="311">
        <v>274</v>
      </c>
    </row>
    <row r="26" spans="1:3" x14ac:dyDescent="0.3">
      <c r="A26" s="143">
        <v>5460</v>
      </c>
      <c r="B26" s="140" t="s">
        <v>36</v>
      </c>
      <c r="C26" s="311">
        <v>339</v>
      </c>
    </row>
    <row r="27" spans="1:3" x14ac:dyDescent="0.3">
      <c r="A27" s="143">
        <v>5480</v>
      </c>
      <c r="B27" s="140" t="s">
        <v>37</v>
      </c>
      <c r="C27" s="311">
        <v>238</v>
      </c>
    </row>
    <row r="28" spans="1:3" x14ac:dyDescent="0.3">
      <c r="A28" s="143">
        <v>5490</v>
      </c>
      <c r="B28" s="140" t="s">
        <v>3032</v>
      </c>
      <c r="C28" s="311">
        <v>332</v>
      </c>
    </row>
    <row r="29" spans="1:3" x14ac:dyDescent="0.3">
      <c r="A29" s="143">
        <v>5500</v>
      </c>
      <c r="B29" s="140" t="s">
        <v>121</v>
      </c>
      <c r="C29" s="311">
        <v>601</v>
      </c>
    </row>
    <row r="30" spans="1:3" x14ac:dyDescent="0.3">
      <c r="A30" s="143">
        <v>5510</v>
      </c>
      <c r="B30" s="140" t="s">
        <v>38</v>
      </c>
      <c r="C30" s="311">
        <v>147</v>
      </c>
    </row>
    <row r="31" spans="1:3" x14ac:dyDescent="0.3">
      <c r="A31" s="143">
        <v>5520</v>
      </c>
      <c r="B31" s="140" t="s">
        <v>39</v>
      </c>
      <c r="C31" s="311">
        <v>260</v>
      </c>
    </row>
    <row r="32" spans="1:3" x14ac:dyDescent="0.3">
      <c r="A32" s="143">
        <v>5530</v>
      </c>
      <c r="B32" s="140" t="s">
        <v>122</v>
      </c>
      <c r="C32" s="311">
        <v>375</v>
      </c>
    </row>
    <row r="33" spans="1:3" x14ac:dyDescent="0.3">
      <c r="A33" s="143">
        <v>5540</v>
      </c>
      <c r="B33" s="140" t="s">
        <v>40</v>
      </c>
      <c r="C33" s="311">
        <v>289</v>
      </c>
    </row>
    <row r="34" spans="1:3" x14ac:dyDescent="0.3">
      <c r="A34" s="143">
        <v>5550</v>
      </c>
      <c r="B34" s="140" t="s">
        <v>3070</v>
      </c>
      <c r="C34" s="311">
        <v>313</v>
      </c>
    </row>
    <row r="35" spans="1:3" x14ac:dyDescent="0.3">
      <c r="A35" s="143">
        <v>5560</v>
      </c>
      <c r="B35" s="140" t="s">
        <v>123</v>
      </c>
      <c r="C35" s="311">
        <v>689</v>
      </c>
    </row>
    <row r="36" spans="1:3" x14ac:dyDescent="0.3">
      <c r="A36" s="143">
        <v>5570</v>
      </c>
      <c r="B36" s="140" t="s">
        <v>3050</v>
      </c>
      <c r="C36" s="311">
        <v>351</v>
      </c>
    </row>
    <row r="37" spans="1:3" x14ac:dyDescent="0.3">
      <c r="A37" s="143">
        <v>5580</v>
      </c>
      <c r="B37" s="140" t="s">
        <v>43</v>
      </c>
      <c r="C37" s="311">
        <v>288</v>
      </c>
    </row>
    <row r="38" spans="1:3" x14ac:dyDescent="0.3">
      <c r="A38" s="143">
        <v>5590</v>
      </c>
      <c r="B38" s="140" t="s">
        <v>44</v>
      </c>
      <c r="C38" s="311">
        <v>346</v>
      </c>
    </row>
    <row r="39" spans="1:3" x14ac:dyDescent="0.3">
      <c r="A39" s="143">
        <v>5600</v>
      </c>
      <c r="B39" s="140" t="s">
        <v>45</v>
      </c>
      <c r="C39" s="311">
        <v>263</v>
      </c>
    </row>
    <row r="40" spans="1:3" x14ac:dyDescent="0.3">
      <c r="A40" s="143">
        <v>5610</v>
      </c>
      <c r="B40" s="140" t="s">
        <v>46</v>
      </c>
      <c r="C40" s="311">
        <v>221</v>
      </c>
    </row>
    <row r="41" spans="1:3" x14ac:dyDescent="0.3">
      <c r="A41" s="143">
        <v>5620</v>
      </c>
      <c r="B41" s="140" t="s">
        <v>124</v>
      </c>
      <c r="C41" s="311">
        <v>286</v>
      </c>
    </row>
    <row r="42" spans="1:3" x14ac:dyDescent="0.3">
      <c r="A42" s="143">
        <v>5630</v>
      </c>
      <c r="B42" s="140" t="s">
        <v>3053</v>
      </c>
      <c r="C42" s="311">
        <v>158</v>
      </c>
    </row>
    <row r="43" spans="1:3" x14ac:dyDescent="0.3">
      <c r="A43" s="143">
        <v>5640</v>
      </c>
      <c r="B43" s="140" t="s">
        <v>48</v>
      </c>
      <c r="C43" s="311">
        <v>317</v>
      </c>
    </row>
    <row r="44" spans="1:3" x14ac:dyDescent="0.3">
      <c r="A44" s="143">
        <v>5690</v>
      </c>
      <c r="B44" s="140" t="s">
        <v>49</v>
      </c>
      <c r="C44" s="311">
        <v>474</v>
      </c>
    </row>
    <row r="45" spans="1:3" x14ac:dyDescent="0.3">
      <c r="A45" s="143">
        <v>5710</v>
      </c>
      <c r="B45" s="140" t="s">
        <v>3071</v>
      </c>
      <c r="C45" s="311">
        <v>335</v>
      </c>
    </row>
    <row r="46" spans="1:3" x14ac:dyDescent="0.3">
      <c r="A46" s="143">
        <v>5720</v>
      </c>
      <c r="B46" s="140" t="s">
        <v>125</v>
      </c>
      <c r="C46" s="311">
        <v>571</v>
      </c>
    </row>
    <row r="47" spans="1:3" x14ac:dyDescent="0.3">
      <c r="A47" s="143">
        <v>5730</v>
      </c>
      <c r="B47" s="140" t="s">
        <v>51</v>
      </c>
      <c r="C47" s="311">
        <v>336</v>
      </c>
    </row>
    <row r="48" spans="1:3" x14ac:dyDescent="0.3">
      <c r="A48" s="143">
        <v>5740</v>
      </c>
      <c r="B48" s="140" t="s">
        <v>3055</v>
      </c>
      <c r="C48" s="311">
        <v>282</v>
      </c>
    </row>
    <row r="49" spans="1:3" x14ac:dyDescent="0.3">
      <c r="A49" s="143">
        <v>5750</v>
      </c>
      <c r="B49" s="140" t="s">
        <v>53</v>
      </c>
      <c r="C49" s="311">
        <v>346</v>
      </c>
    </row>
    <row r="50" spans="1:3" x14ac:dyDescent="0.3">
      <c r="A50" s="143">
        <v>5760</v>
      </c>
      <c r="B50" s="140" t="s">
        <v>3034</v>
      </c>
      <c r="C50" s="311">
        <v>668</v>
      </c>
    </row>
    <row r="51" spans="1:3" x14ac:dyDescent="0.3">
      <c r="A51" s="143">
        <v>5780</v>
      </c>
      <c r="B51" s="140" t="s">
        <v>1917</v>
      </c>
      <c r="C51" s="311">
        <v>331</v>
      </c>
    </row>
    <row r="52" spans="1:3" x14ac:dyDescent="0.3">
      <c r="A52" s="143">
        <v>5790</v>
      </c>
      <c r="B52" s="140" t="s">
        <v>55</v>
      </c>
      <c r="C52" s="311">
        <v>245</v>
      </c>
    </row>
    <row r="53" spans="1:3" x14ac:dyDescent="0.3">
      <c r="A53" s="143">
        <v>5800</v>
      </c>
      <c r="B53" s="140" t="s">
        <v>127</v>
      </c>
      <c r="C53" s="311">
        <v>230</v>
      </c>
    </row>
    <row r="54" spans="1:3" x14ac:dyDescent="0.3">
      <c r="A54" s="143">
        <v>5810</v>
      </c>
      <c r="B54" s="140" t="s">
        <v>3061</v>
      </c>
      <c r="C54" s="311">
        <v>126</v>
      </c>
    </row>
    <row r="55" spans="1:3" x14ac:dyDescent="0.3">
      <c r="A55" s="143">
        <v>5820</v>
      </c>
      <c r="B55" s="140" t="s">
        <v>56</v>
      </c>
      <c r="C55" s="311">
        <v>263</v>
      </c>
    </row>
    <row r="56" spans="1:3" x14ac:dyDescent="0.3">
      <c r="A56" s="143">
        <v>5830</v>
      </c>
      <c r="B56" s="140" t="s">
        <v>3039</v>
      </c>
      <c r="C56" s="311">
        <v>391</v>
      </c>
    </row>
    <row r="57" spans="1:3" x14ac:dyDescent="0.3">
      <c r="A57" s="143">
        <v>5840</v>
      </c>
      <c r="B57" s="140" t="s">
        <v>2041</v>
      </c>
      <c r="C57" s="311">
        <v>358</v>
      </c>
    </row>
    <row r="58" spans="1:3" x14ac:dyDescent="0.3">
      <c r="A58" s="143">
        <v>5850</v>
      </c>
      <c r="B58" s="140" t="s">
        <v>3040</v>
      </c>
      <c r="C58" s="311">
        <v>451</v>
      </c>
    </row>
    <row r="59" spans="1:3" x14ac:dyDescent="0.3">
      <c r="A59" s="143">
        <v>5860</v>
      </c>
      <c r="B59" s="140" t="s">
        <v>3029</v>
      </c>
      <c r="C59" s="311">
        <v>362</v>
      </c>
    </row>
    <row r="60" spans="1:3" x14ac:dyDescent="0.3">
      <c r="A60" s="143">
        <v>5870</v>
      </c>
      <c r="B60" s="140" t="s">
        <v>61</v>
      </c>
      <c r="C60" s="311">
        <v>0</v>
      </c>
    </row>
    <row r="61" spans="1:3" x14ac:dyDescent="0.3">
      <c r="A61" s="143">
        <v>5880</v>
      </c>
      <c r="B61" s="140" t="s">
        <v>2201</v>
      </c>
      <c r="C61" s="311">
        <v>154</v>
      </c>
    </row>
    <row r="62" spans="1:3" x14ac:dyDescent="0.3">
      <c r="A62" s="143">
        <v>5900</v>
      </c>
      <c r="B62" s="140" t="s">
        <v>63</v>
      </c>
      <c r="C62" s="311">
        <v>387</v>
      </c>
    </row>
    <row r="63" spans="1:3" x14ac:dyDescent="0.3">
      <c r="A63" s="143">
        <v>5910</v>
      </c>
      <c r="B63" s="140" t="s">
        <v>64</v>
      </c>
      <c r="C63" s="311">
        <v>257</v>
      </c>
    </row>
    <row r="64" spans="1:3" x14ac:dyDescent="0.3">
      <c r="A64" s="147">
        <v>5930</v>
      </c>
      <c r="B64" s="148" t="s">
        <v>3057</v>
      </c>
      <c r="C64" s="311">
        <v>0</v>
      </c>
    </row>
    <row r="65" spans="1:3" x14ac:dyDescent="0.3">
      <c r="A65" s="143">
        <v>5940</v>
      </c>
      <c r="B65" s="140" t="s">
        <v>129</v>
      </c>
      <c r="C65" s="311">
        <v>314</v>
      </c>
    </row>
    <row r="66" spans="1:3" x14ac:dyDescent="0.3">
      <c r="A66" s="143">
        <v>5950</v>
      </c>
      <c r="B66" s="140" t="s">
        <v>65</v>
      </c>
      <c r="C66" s="311">
        <v>270</v>
      </c>
    </row>
    <row r="67" spans="1:3" x14ac:dyDescent="0.3">
      <c r="A67" s="143">
        <v>5970</v>
      </c>
      <c r="B67" s="140" t="s">
        <v>2380</v>
      </c>
      <c r="C67" s="311">
        <v>283</v>
      </c>
    </row>
    <row r="68" spans="1:3" x14ac:dyDescent="0.3">
      <c r="A68" s="143">
        <v>5980</v>
      </c>
      <c r="B68" s="140" t="s">
        <v>67</v>
      </c>
      <c r="C68" s="311">
        <v>391</v>
      </c>
    </row>
    <row r="69" spans="1:3" x14ac:dyDescent="0.3">
      <c r="A69" s="143">
        <v>6000</v>
      </c>
      <c r="B69" s="140" t="s">
        <v>130</v>
      </c>
      <c r="C69" s="311">
        <v>369</v>
      </c>
    </row>
    <row r="70" spans="1:3" x14ac:dyDescent="0.3">
      <c r="A70" s="143">
        <v>6010</v>
      </c>
      <c r="B70" s="140" t="s">
        <v>3042</v>
      </c>
      <c r="C70" s="311">
        <v>366</v>
      </c>
    </row>
    <row r="71" spans="1:3" x14ac:dyDescent="0.3">
      <c r="A71" s="143">
        <v>6020</v>
      </c>
      <c r="B71" s="140" t="s">
        <v>3072</v>
      </c>
      <c r="C71" s="311">
        <v>208</v>
      </c>
    </row>
    <row r="72" spans="1:3" x14ac:dyDescent="0.3">
      <c r="A72" s="143">
        <v>6030</v>
      </c>
      <c r="B72" s="140" t="s">
        <v>70</v>
      </c>
      <c r="C72" s="311">
        <v>312</v>
      </c>
    </row>
    <row r="73" spans="1:3" x14ac:dyDescent="0.3">
      <c r="A73" s="143">
        <v>6040</v>
      </c>
      <c r="B73" s="140" t="s">
        <v>2567</v>
      </c>
      <c r="C73" s="311">
        <v>300</v>
      </c>
    </row>
    <row r="74" spans="1:3" x14ac:dyDescent="0.3">
      <c r="A74" s="143">
        <v>6050</v>
      </c>
      <c r="B74" s="140" t="s">
        <v>73</v>
      </c>
      <c r="C74" s="311">
        <v>509</v>
      </c>
    </row>
    <row r="75" spans="1:3" x14ac:dyDescent="0.3">
      <c r="A75" s="143">
        <v>6060</v>
      </c>
      <c r="B75" s="140" t="s">
        <v>3073</v>
      </c>
      <c r="C75" s="311">
        <v>339</v>
      </c>
    </row>
    <row r="76" spans="1:3" x14ac:dyDescent="0.3">
      <c r="A76" s="143">
        <v>6070</v>
      </c>
      <c r="B76" s="140" t="s">
        <v>3043</v>
      </c>
      <c r="C76" s="311">
        <v>469</v>
      </c>
    </row>
    <row r="77" spans="1:3" x14ac:dyDescent="0.3">
      <c r="A77" s="143">
        <v>6090</v>
      </c>
      <c r="B77" s="140" t="s">
        <v>75</v>
      </c>
      <c r="C77" s="311">
        <v>471</v>
      </c>
    </row>
    <row r="78" spans="1:3" x14ac:dyDescent="0.3">
      <c r="A78" s="143">
        <v>6110</v>
      </c>
      <c r="B78" s="140" t="s">
        <v>3063</v>
      </c>
      <c r="C78" s="311">
        <v>427</v>
      </c>
    </row>
    <row r="79" spans="1:3" x14ac:dyDescent="0.3">
      <c r="A79" s="143">
        <v>6120</v>
      </c>
      <c r="B79" s="140" t="s">
        <v>131</v>
      </c>
      <c r="C79" s="311">
        <v>527</v>
      </c>
    </row>
    <row r="80" spans="1:3" x14ac:dyDescent="0.3">
      <c r="A80" s="143">
        <v>6130</v>
      </c>
      <c r="B80" s="140" t="s">
        <v>3059</v>
      </c>
      <c r="C80" s="311">
        <v>470</v>
      </c>
    </row>
    <row r="81" spans="1:3" x14ac:dyDescent="0.3">
      <c r="A81" s="143">
        <v>6150</v>
      </c>
      <c r="B81" s="140" t="s">
        <v>3044</v>
      </c>
      <c r="C81" s="311">
        <v>243</v>
      </c>
    </row>
    <row r="82" spans="1:3" x14ac:dyDescent="0.3">
      <c r="A82" s="143">
        <v>6170</v>
      </c>
      <c r="B82" s="140" t="s">
        <v>3045</v>
      </c>
      <c r="C82" s="311">
        <v>339</v>
      </c>
    </row>
    <row r="83" spans="1:3" x14ac:dyDescent="0.3">
      <c r="A83" s="143">
        <v>6190</v>
      </c>
      <c r="B83" s="140" t="s">
        <v>3064</v>
      </c>
      <c r="C83" s="311">
        <v>408</v>
      </c>
    </row>
    <row r="84" spans="1:3" x14ac:dyDescent="0.3">
      <c r="A84" s="143">
        <v>6200</v>
      </c>
      <c r="B84" s="140" t="s">
        <v>2941</v>
      </c>
      <c r="C84" s="311">
        <v>308</v>
      </c>
    </row>
    <row r="85" spans="1:3" x14ac:dyDescent="0.3">
      <c r="A85" s="143">
        <v>6290</v>
      </c>
      <c r="B85" s="140" t="s">
        <v>3118</v>
      </c>
      <c r="C85" s="311">
        <v>224</v>
      </c>
    </row>
    <row r="86" spans="1:3" x14ac:dyDescent="0.3">
      <c r="A86" s="143">
        <v>6320</v>
      </c>
      <c r="B86" s="140" t="s">
        <v>21</v>
      </c>
      <c r="C86" s="311">
        <v>364</v>
      </c>
    </row>
    <row r="87" spans="1:3" x14ac:dyDescent="0.3">
      <c r="A87" s="143">
        <v>6330</v>
      </c>
      <c r="B87" s="140" t="s">
        <v>132</v>
      </c>
      <c r="C87" s="311">
        <v>1165</v>
      </c>
    </row>
    <row r="88" spans="1:3" x14ac:dyDescent="0.3">
      <c r="A88" s="143">
        <v>6340</v>
      </c>
      <c r="B88" s="140" t="s">
        <v>83</v>
      </c>
      <c r="C88" s="311">
        <v>282</v>
      </c>
    </row>
    <row r="89" spans="1:3" x14ac:dyDescent="0.3">
      <c r="A89" s="143">
        <v>6360</v>
      </c>
      <c r="B89" s="140" t="s">
        <v>140</v>
      </c>
      <c r="C89" s="311">
        <v>225</v>
      </c>
    </row>
    <row r="90" spans="1:3" x14ac:dyDescent="0.3">
      <c r="A90" s="143">
        <v>6380</v>
      </c>
      <c r="B90" s="140" t="s">
        <v>1119</v>
      </c>
      <c r="C90" s="311">
        <v>404</v>
      </c>
    </row>
    <row r="91" spans="1:3" x14ac:dyDescent="0.3">
      <c r="A91" s="143">
        <v>6390</v>
      </c>
      <c r="B91" s="140" t="s">
        <v>85</v>
      </c>
      <c r="C91" s="311">
        <v>519</v>
      </c>
    </row>
    <row r="92" spans="1:3" x14ac:dyDescent="0.3">
      <c r="A92" s="143">
        <v>6410</v>
      </c>
      <c r="B92" s="140" t="s">
        <v>86</v>
      </c>
      <c r="C92" s="311">
        <v>279</v>
      </c>
    </row>
    <row r="93" spans="1:3" x14ac:dyDescent="0.3">
      <c r="A93" s="143">
        <v>6420</v>
      </c>
      <c r="B93" s="140" t="s">
        <v>87</v>
      </c>
      <c r="C93" s="311">
        <v>245</v>
      </c>
    </row>
    <row r="94" spans="1:3" x14ac:dyDescent="0.3">
      <c r="A94" s="143">
        <v>6430</v>
      </c>
      <c r="B94" s="140" t="s">
        <v>89</v>
      </c>
      <c r="C94" s="311">
        <v>281</v>
      </c>
    </row>
    <row r="95" spans="1:3" x14ac:dyDescent="0.3">
      <c r="A95" s="143">
        <v>6450</v>
      </c>
      <c r="B95" s="140" t="s">
        <v>90</v>
      </c>
      <c r="C95" s="311">
        <v>151</v>
      </c>
    </row>
    <row r="96" spans="1:3" x14ac:dyDescent="0.3">
      <c r="A96" s="143">
        <v>6470</v>
      </c>
      <c r="B96" s="140" t="s">
        <v>91</v>
      </c>
      <c r="C96" s="311">
        <v>204</v>
      </c>
    </row>
    <row r="97" spans="1:3" x14ac:dyDescent="0.3">
      <c r="A97" s="143">
        <v>6480</v>
      </c>
      <c r="B97" s="140" t="s">
        <v>3030</v>
      </c>
      <c r="C97" s="311">
        <v>131</v>
      </c>
    </row>
    <row r="98" spans="1:3" x14ac:dyDescent="0.3">
      <c r="A98" s="143">
        <v>6490</v>
      </c>
      <c r="B98" s="140" t="s">
        <v>93</v>
      </c>
      <c r="C98" s="311">
        <v>306</v>
      </c>
    </row>
    <row r="99" spans="1:3" x14ac:dyDescent="0.3">
      <c r="A99" s="143">
        <v>6500</v>
      </c>
      <c r="B99" s="140" t="s">
        <v>3062</v>
      </c>
      <c r="C99" s="311">
        <v>374</v>
      </c>
    </row>
    <row r="100" spans="1:3" x14ac:dyDescent="0.3">
      <c r="A100" s="143">
        <v>6520</v>
      </c>
      <c r="B100" s="140" t="s">
        <v>3117</v>
      </c>
      <c r="C100" s="311">
        <v>0</v>
      </c>
    </row>
    <row r="101" spans="1:3" x14ac:dyDescent="0.3">
      <c r="A101" s="143">
        <v>6560</v>
      </c>
      <c r="B101" s="146" t="s">
        <v>34</v>
      </c>
      <c r="C101" s="311">
        <v>0</v>
      </c>
    </row>
    <row r="102" spans="1:3" x14ac:dyDescent="0.3">
      <c r="A102" s="143">
        <v>6580</v>
      </c>
      <c r="B102" s="140" t="s">
        <v>88</v>
      </c>
      <c r="C102" s="311">
        <v>353</v>
      </c>
    </row>
    <row r="103" spans="1:3" x14ac:dyDescent="0.3">
      <c r="A103" s="143">
        <v>7110</v>
      </c>
      <c r="B103" s="140" t="s">
        <v>3068</v>
      </c>
      <c r="C103" s="311">
        <v>722</v>
      </c>
    </row>
    <row r="104" spans="1:3" x14ac:dyDescent="0.3">
      <c r="A104" s="143">
        <v>7120</v>
      </c>
      <c r="B104" s="140" t="s">
        <v>3069</v>
      </c>
      <c r="C104" s="311">
        <v>819</v>
      </c>
    </row>
    <row r="105" spans="1:3" x14ac:dyDescent="0.3">
      <c r="A105" s="143">
        <v>7140</v>
      </c>
      <c r="B105" s="140" t="s">
        <v>3024</v>
      </c>
      <c r="C105" s="311">
        <v>394</v>
      </c>
    </row>
    <row r="106" spans="1:3" x14ac:dyDescent="0.3">
      <c r="A106" s="143">
        <v>7150</v>
      </c>
      <c r="B106" s="140" t="s">
        <v>3027</v>
      </c>
      <c r="C106" s="311">
        <v>1268</v>
      </c>
    </row>
    <row r="107" spans="1:3" x14ac:dyDescent="0.3">
      <c r="A107" s="143">
        <v>7160</v>
      </c>
      <c r="B107" s="140" t="s">
        <v>3026</v>
      </c>
      <c r="C107" s="311">
        <v>542</v>
      </c>
    </row>
    <row r="108" spans="1:3" x14ac:dyDescent="0.3">
      <c r="A108" s="143">
        <v>7170</v>
      </c>
      <c r="B108" s="140" t="s">
        <v>3038</v>
      </c>
      <c r="C108" s="311">
        <v>490</v>
      </c>
    </row>
    <row r="109" spans="1:3" x14ac:dyDescent="0.3">
      <c r="A109" s="143">
        <v>7180</v>
      </c>
      <c r="B109" s="140" t="s">
        <v>3048</v>
      </c>
      <c r="C109" s="311">
        <v>503</v>
      </c>
    </row>
    <row r="110" spans="1:3" x14ac:dyDescent="0.3">
      <c r="A110" s="143">
        <v>7190</v>
      </c>
      <c r="B110" s="140" t="s">
        <v>3112</v>
      </c>
      <c r="C110" s="311">
        <v>0</v>
      </c>
    </row>
    <row r="111" spans="1:3" x14ac:dyDescent="0.3">
      <c r="A111" s="143">
        <v>7200</v>
      </c>
      <c r="B111" s="140" t="s">
        <v>3060</v>
      </c>
      <c r="C111" s="311">
        <v>507</v>
      </c>
    </row>
    <row r="112" spans="1:3" x14ac:dyDescent="0.3">
      <c r="A112" s="143">
        <v>7210</v>
      </c>
      <c r="B112" s="140" t="s">
        <v>3031</v>
      </c>
      <c r="C112" s="311">
        <v>532</v>
      </c>
    </row>
    <row r="113" spans="1:3" x14ac:dyDescent="0.3">
      <c r="A113" s="143">
        <v>7220</v>
      </c>
      <c r="B113" s="140" t="s">
        <v>3051</v>
      </c>
      <c r="C113" s="311">
        <v>373</v>
      </c>
    </row>
    <row r="114" spans="1:3" x14ac:dyDescent="0.3">
      <c r="A114" s="143">
        <v>7230</v>
      </c>
      <c r="B114" s="140" t="s">
        <v>3056</v>
      </c>
      <c r="C114" s="311">
        <v>340</v>
      </c>
    </row>
    <row r="115" spans="1:3" x14ac:dyDescent="0.3">
      <c r="A115" s="143">
        <v>7240</v>
      </c>
      <c r="B115" s="140" t="s">
        <v>3041</v>
      </c>
      <c r="C115" s="311">
        <v>496</v>
      </c>
    </row>
    <row r="116" spans="1:3" x14ac:dyDescent="0.3">
      <c r="A116" s="143">
        <v>7250</v>
      </c>
      <c r="B116" s="140" t="s">
        <v>3033</v>
      </c>
      <c r="C116" s="311">
        <v>549</v>
      </c>
    </row>
    <row r="117" spans="1:3" x14ac:dyDescent="0.3">
      <c r="A117" s="144">
        <v>7260</v>
      </c>
      <c r="B117" s="141" t="s">
        <v>3058</v>
      </c>
      <c r="C117" s="311">
        <v>377</v>
      </c>
    </row>
    <row r="118" spans="1:3" x14ac:dyDescent="0.3">
      <c r="A118" s="143">
        <v>7280</v>
      </c>
      <c r="B118" s="140" t="s">
        <v>3067</v>
      </c>
      <c r="C118" s="311">
        <v>721</v>
      </c>
    </row>
    <row r="119" spans="1:3" x14ac:dyDescent="0.3">
      <c r="A119" s="143">
        <v>7290</v>
      </c>
      <c r="B119" s="140" t="s">
        <v>3123</v>
      </c>
      <c r="C119" s="311">
        <v>0</v>
      </c>
    </row>
    <row r="120" spans="1:3" x14ac:dyDescent="0.3">
      <c r="A120" s="143">
        <v>7300</v>
      </c>
      <c r="B120" s="140" t="s">
        <v>3035</v>
      </c>
      <c r="C120" s="311">
        <v>1720</v>
      </c>
    </row>
    <row r="121" spans="1:3" x14ac:dyDescent="0.3">
      <c r="A121" s="143">
        <v>7310</v>
      </c>
      <c r="B121" s="140" t="s">
        <v>3107</v>
      </c>
      <c r="C121" s="311">
        <v>683</v>
      </c>
    </row>
    <row r="122" spans="1:3" x14ac:dyDescent="0.3">
      <c r="A122" s="143">
        <v>7320</v>
      </c>
      <c r="B122" s="140" t="s">
        <v>2439</v>
      </c>
      <c r="C122" s="311">
        <v>126</v>
      </c>
    </row>
    <row r="123" spans="1:3" x14ac:dyDescent="0.3">
      <c r="A123" s="143">
        <v>7360</v>
      </c>
      <c r="B123" s="140" t="s">
        <v>3052</v>
      </c>
      <c r="C123" s="311">
        <v>96</v>
      </c>
    </row>
    <row r="124" spans="1:3" x14ac:dyDescent="0.3">
      <c r="A124" s="143">
        <v>7370</v>
      </c>
      <c r="B124" s="140" t="s">
        <v>2309</v>
      </c>
      <c r="C124" s="311">
        <v>85</v>
      </c>
    </row>
    <row r="125" spans="1:3" x14ac:dyDescent="0.3">
      <c r="A125" s="143">
        <v>7380</v>
      </c>
      <c r="B125" s="140" t="s">
        <v>2024</v>
      </c>
      <c r="C125" s="311">
        <v>83</v>
      </c>
    </row>
    <row r="126" spans="1:3" x14ac:dyDescent="0.3">
      <c r="A126" s="143">
        <v>7440</v>
      </c>
      <c r="B126" s="140" t="s">
        <v>3116</v>
      </c>
      <c r="C126" s="311">
        <v>51</v>
      </c>
    </row>
    <row r="127" spans="1:3" x14ac:dyDescent="0.3">
      <c r="A127" s="143">
        <v>7450</v>
      </c>
      <c r="B127" s="140" t="s">
        <v>2185</v>
      </c>
      <c r="C127" s="311">
        <v>661</v>
      </c>
    </row>
    <row r="128" spans="1:3" x14ac:dyDescent="0.3">
      <c r="A128" s="143">
        <v>7480</v>
      </c>
      <c r="B128" s="140" t="s">
        <v>3066</v>
      </c>
      <c r="C128" s="311">
        <v>0</v>
      </c>
    </row>
    <row r="129" spans="1:3" x14ac:dyDescent="0.3">
      <c r="A129" s="143">
        <v>7490</v>
      </c>
      <c r="B129" s="140" t="s">
        <v>3121</v>
      </c>
      <c r="C129" s="311">
        <v>287</v>
      </c>
    </row>
    <row r="130" spans="1:3" x14ac:dyDescent="0.3">
      <c r="A130" s="143">
        <v>7500</v>
      </c>
      <c r="B130" s="140" t="s">
        <v>3122</v>
      </c>
      <c r="C130" s="311">
        <v>0</v>
      </c>
    </row>
    <row r="131" spans="1:3" x14ac:dyDescent="0.3">
      <c r="A131" s="143">
        <v>7870</v>
      </c>
      <c r="B131" s="140" t="s">
        <v>3054</v>
      </c>
      <c r="C131" s="311">
        <v>700</v>
      </c>
    </row>
    <row r="132" spans="1:3" x14ac:dyDescent="0.3">
      <c r="A132" s="143">
        <v>7890</v>
      </c>
      <c r="B132" s="140" t="s">
        <v>3110</v>
      </c>
      <c r="C132" s="311">
        <v>8</v>
      </c>
    </row>
    <row r="133" spans="1:3" x14ac:dyDescent="0.3">
      <c r="A133" s="143">
        <v>7901</v>
      </c>
      <c r="B133" s="140" t="s">
        <v>3124</v>
      </c>
      <c r="C133" s="311">
        <v>87</v>
      </c>
    </row>
    <row r="134" spans="1:3" x14ac:dyDescent="0.3">
      <c r="A134" s="143">
        <v>7920</v>
      </c>
      <c r="B134" s="140" t="s">
        <v>3114</v>
      </c>
      <c r="C134" s="312">
        <v>0</v>
      </c>
    </row>
    <row r="135" spans="1:3" ht="15" thickBot="1" x14ac:dyDescent="0.35">
      <c r="C135" s="313">
        <f>SUM(C3:C134)</f>
        <v>45834</v>
      </c>
    </row>
  </sheetData>
  <autoFilter ref="A3:C135"/>
  <sortState ref="A3:E134">
    <sortCondition ref="A3:A134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B1" workbookViewId="0">
      <pane ySplit="4" topLeftCell="A5" activePane="bottomLeft" state="frozen"/>
      <selection pane="bottomLeft" activeCell="B141" sqref="B141"/>
    </sheetView>
  </sheetViews>
  <sheetFormatPr defaultRowHeight="14.4" x14ac:dyDescent="0.3"/>
  <cols>
    <col min="1" max="1" width="5.44140625" hidden="1" customWidth="1"/>
    <col min="2" max="2" width="8" style="159" customWidth="1"/>
    <col min="3" max="3" width="23.33203125" style="158" customWidth="1"/>
    <col min="4" max="4" width="5.88671875" style="159" bestFit="1" customWidth="1"/>
    <col min="5" max="5" width="7.44140625" customWidth="1"/>
    <col min="6" max="6" width="11.6640625" style="149" customWidth="1"/>
    <col min="7" max="7" width="14.33203125" style="149" customWidth="1"/>
    <col min="8" max="8" width="10.5546875" style="149" customWidth="1"/>
    <col min="9" max="9" width="10.6640625" style="160" customWidth="1"/>
    <col min="10" max="10" width="14.44140625" style="160" customWidth="1"/>
    <col min="11" max="11" width="11" style="160" customWidth="1"/>
    <col min="12" max="12" width="11" style="161" customWidth="1"/>
    <col min="13" max="14" width="12.5546875" style="162" customWidth="1"/>
  </cols>
  <sheetData>
    <row r="1" spans="1:15" ht="15.6" x14ac:dyDescent="0.3">
      <c r="B1" s="157" t="s">
        <v>3091</v>
      </c>
    </row>
    <row r="2" spans="1:15" ht="15.6" x14ac:dyDescent="0.3">
      <c r="B2" s="157" t="s">
        <v>6050</v>
      </c>
    </row>
    <row r="3" spans="1:15" ht="15" thickBot="1" x14ac:dyDescent="0.35">
      <c r="F3" s="317" t="s">
        <v>3092</v>
      </c>
      <c r="G3" s="317"/>
      <c r="H3" s="317"/>
      <c r="I3" s="318" t="s">
        <v>6051</v>
      </c>
      <c r="J3" s="318"/>
      <c r="K3" s="318"/>
      <c r="L3" s="163"/>
      <c r="M3" s="163"/>
      <c r="N3" s="163"/>
    </row>
    <row r="4" spans="1:15" ht="62.25" customHeight="1" thickBot="1" x14ac:dyDescent="0.35">
      <c r="A4" s="164" t="s">
        <v>3093</v>
      </c>
      <c r="B4" s="165" t="s">
        <v>3094</v>
      </c>
      <c r="C4" s="166" t="s">
        <v>3095</v>
      </c>
      <c r="D4" s="167" t="s">
        <v>3096</v>
      </c>
      <c r="E4" s="167" t="s">
        <v>3097</v>
      </c>
      <c r="F4" s="168" t="s">
        <v>3098</v>
      </c>
      <c r="G4" s="168" t="s">
        <v>3099</v>
      </c>
      <c r="H4" s="168" t="s">
        <v>3100</v>
      </c>
      <c r="I4" s="169" t="s">
        <v>3098</v>
      </c>
      <c r="J4" s="169" t="s">
        <v>3099</v>
      </c>
      <c r="K4" s="169" t="s">
        <v>3100</v>
      </c>
      <c r="L4" s="170" t="s">
        <v>3101</v>
      </c>
      <c r="M4" s="170" t="s">
        <v>3102</v>
      </c>
      <c r="N4" s="170" t="s">
        <v>3103</v>
      </c>
      <c r="O4" s="171" t="s">
        <v>3104</v>
      </c>
    </row>
    <row r="5" spans="1:15" x14ac:dyDescent="0.3">
      <c r="A5" s="173">
        <v>1</v>
      </c>
      <c r="B5" s="174">
        <v>5120</v>
      </c>
      <c r="C5" s="175" t="s">
        <v>14</v>
      </c>
      <c r="D5" s="176">
        <v>7</v>
      </c>
      <c r="E5" s="177" t="s">
        <v>3105</v>
      </c>
      <c r="F5" s="178">
        <v>279</v>
      </c>
      <c r="G5" s="178">
        <v>2796239</v>
      </c>
      <c r="H5" s="178">
        <f t="shared" ref="H5:H36" si="0">+G5/F5</f>
        <v>10022.362007168458</v>
      </c>
      <c r="I5" s="179">
        <v>254</v>
      </c>
      <c r="J5" s="179">
        <v>2427205.1199999996</v>
      </c>
      <c r="K5" s="179">
        <f t="shared" ref="K5:K41" si="1">J5/I5</f>
        <v>9555.9256692913368</v>
      </c>
      <c r="L5" s="180">
        <f t="shared" ref="L5:L36" si="2">+I5-F5</f>
        <v>-25</v>
      </c>
      <c r="M5" s="180">
        <f t="shared" ref="M5:M36" si="3">+J5-G5</f>
        <v>-369033.88000000035</v>
      </c>
      <c r="N5" s="181">
        <f t="shared" ref="N5:N36" si="4">+K5-H5</f>
        <v>-466.43633787712133</v>
      </c>
      <c r="O5" s="182">
        <f t="shared" ref="O5:O36" si="5">(+K5-H5)/H5</f>
        <v>-4.653956198583771E-2</v>
      </c>
    </row>
    <row r="6" spans="1:15" x14ac:dyDescent="0.3">
      <c r="A6" s="183">
        <v>1</v>
      </c>
      <c r="B6" s="184">
        <v>5130</v>
      </c>
      <c r="C6" s="185" t="s">
        <v>15</v>
      </c>
      <c r="D6" s="186">
        <v>6</v>
      </c>
      <c r="E6" s="187" t="s">
        <v>3105</v>
      </c>
      <c r="F6" s="188">
        <v>267</v>
      </c>
      <c r="G6" s="188">
        <v>2878878</v>
      </c>
      <c r="H6" s="188">
        <f t="shared" si="0"/>
        <v>10782.314606741573</v>
      </c>
      <c r="I6" s="179">
        <v>293</v>
      </c>
      <c r="J6" s="179">
        <v>2332857.5099999998</v>
      </c>
      <c r="K6" s="189">
        <f t="shared" si="1"/>
        <v>7961.9710238907846</v>
      </c>
      <c r="L6" s="190">
        <f t="shared" si="2"/>
        <v>26</v>
      </c>
      <c r="M6" s="190">
        <f t="shared" si="3"/>
        <v>-546020.49000000022</v>
      </c>
      <c r="N6" s="190">
        <f t="shared" si="4"/>
        <v>-2820.3435828507882</v>
      </c>
      <c r="O6" s="191">
        <f t="shared" si="5"/>
        <v>-0.26157125679558513</v>
      </c>
    </row>
    <row r="7" spans="1:15" x14ac:dyDescent="0.3">
      <c r="A7" s="183">
        <v>1</v>
      </c>
      <c r="B7" s="184">
        <v>7110</v>
      </c>
      <c r="C7" s="185" t="s">
        <v>3068</v>
      </c>
      <c r="D7" s="186">
        <v>8</v>
      </c>
      <c r="E7" s="187" t="s">
        <v>3106</v>
      </c>
      <c r="F7" s="188">
        <v>844</v>
      </c>
      <c r="G7" s="188">
        <v>8298610</v>
      </c>
      <c r="H7" s="188">
        <f t="shared" si="0"/>
        <v>9832.476303317535</v>
      </c>
      <c r="I7" s="179">
        <v>722</v>
      </c>
      <c r="J7" s="179">
        <v>7986834.1599999992</v>
      </c>
      <c r="K7" s="189">
        <f t="shared" si="1"/>
        <v>11062.097174515235</v>
      </c>
      <c r="L7" s="190">
        <f t="shared" si="2"/>
        <v>-122</v>
      </c>
      <c r="M7" s="190">
        <f t="shared" si="3"/>
        <v>-311775.84000000078</v>
      </c>
      <c r="N7" s="190">
        <f t="shared" si="4"/>
        <v>1229.6208711976997</v>
      </c>
      <c r="O7" s="191">
        <f t="shared" si="5"/>
        <v>0.12505708971633306</v>
      </c>
    </row>
    <row r="8" spans="1:15" x14ac:dyDescent="0.3">
      <c r="A8" s="183">
        <v>2</v>
      </c>
      <c r="B8" s="184">
        <v>7120</v>
      </c>
      <c r="C8" s="185" t="s">
        <v>3069</v>
      </c>
      <c r="D8" s="186">
        <v>8</v>
      </c>
      <c r="E8" s="187" t="s">
        <v>3106</v>
      </c>
      <c r="F8" s="188">
        <v>993</v>
      </c>
      <c r="G8" s="188">
        <v>10066864</v>
      </c>
      <c r="H8" s="188">
        <f t="shared" si="0"/>
        <v>10137.828801611278</v>
      </c>
      <c r="I8" s="179">
        <v>819</v>
      </c>
      <c r="J8" s="179">
        <v>10819625.689999999</v>
      </c>
      <c r="K8" s="189">
        <f t="shared" si="1"/>
        <v>13210.776178266178</v>
      </c>
      <c r="L8" s="190">
        <f t="shared" si="2"/>
        <v>-174</v>
      </c>
      <c r="M8" s="190">
        <f t="shared" si="3"/>
        <v>752761.68999999948</v>
      </c>
      <c r="N8" s="190">
        <f t="shared" si="4"/>
        <v>3072.9473766548999</v>
      </c>
      <c r="O8" s="191">
        <f t="shared" si="5"/>
        <v>0.3031169135709309</v>
      </c>
    </row>
    <row r="9" spans="1:15" x14ac:dyDescent="0.3">
      <c r="A9" s="183">
        <v>3</v>
      </c>
      <c r="B9" s="184">
        <v>7310</v>
      </c>
      <c r="C9" s="185" t="s">
        <v>3107</v>
      </c>
      <c r="D9" s="186">
        <v>8</v>
      </c>
      <c r="E9" s="187" t="s">
        <v>3108</v>
      </c>
      <c r="F9" s="188">
        <v>700</v>
      </c>
      <c r="G9" s="188">
        <v>2931565</v>
      </c>
      <c r="H9" s="188">
        <f t="shared" si="0"/>
        <v>4187.95</v>
      </c>
      <c r="I9" s="179">
        <v>683</v>
      </c>
      <c r="J9" s="179">
        <v>2643965.15</v>
      </c>
      <c r="K9" s="189">
        <f t="shared" si="1"/>
        <v>3871.1056368960467</v>
      </c>
      <c r="L9" s="190">
        <f t="shared" si="2"/>
        <v>-17</v>
      </c>
      <c r="M9" s="190">
        <f t="shared" si="3"/>
        <v>-287599.85000000009</v>
      </c>
      <c r="N9" s="190">
        <f t="shared" si="4"/>
        <v>-316.84436310395313</v>
      </c>
      <c r="O9" s="191">
        <f t="shared" si="5"/>
        <v>-7.565619529935963E-2</v>
      </c>
    </row>
    <row r="10" spans="1:15" x14ac:dyDescent="0.3">
      <c r="A10" s="183">
        <v>1</v>
      </c>
      <c r="B10" s="184">
        <v>5140</v>
      </c>
      <c r="C10" s="185" t="s">
        <v>16</v>
      </c>
      <c r="D10" s="186">
        <v>1</v>
      </c>
      <c r="E10" s="187" t="s">
        <v>3105</v>
      </c>
      <c r="F10" s="188">
        <v>456</v>
      </c>
      <c r="G10" s="188">
        <v>5570162</v>
      </c>
      <c r="H10" s="188">
        <f t="shared" si="0"/>
        <v>12215.267543859649</v>
      </c>
      <c r="I10" s="179">
        <v>473</v>
      </c>
      <c r="J10" s="179">
        <v>5423450.6599999992</v>
      </c>
      <c r="K10" s="189">
        <f t="shared" si="1"/>
        <v>11466.069048625792</v>
      </c>
      <c r="L10" s="190">
        <f t="shared" si="2"/>
        <v>17</v>
      </c>
      <c r="M10" s="190">
        <f t="shared" si="3"/>
        <v>-146711.34000000078</v>
      </c>
      <c r="N10" s="192">
        <f t="shared" si="4"/>
        <v>-749.1984952338571</v>
      </c>
      <c r="O10" s="191">
        <f t="shared" si="5"/>
        <v>-6.1332958328077142E-2</v>
      </c>
    </row>
    <row r="11" spans="1:15" s="172" customFormat="1" x14ac:dyDescent="0.3">
      <c r="A11" s="193">
        <v>1</v>
      </c>
      <c r="B11" s="186">
        <v>5150</v>
      </c>
      <c r="C11" s="140" t="s">
        <v>3036</v>
      </c>
      <c r="D11" s="186">
        <v>4</v>
      </c>
      <c r="E11" s="194" t="s">
        <v>3105</v>
      </c>
      <c r="F11" s="188">
        <v>470</v>
      </c>
      <c r="G11" s="188">
        <v>5622136</v>
      </c>
      <c r="H11" s="188">
        <f t="shared" si="0"/>
        <v>11961.991489361702</v>
      </c>
      <c r="I11" s="179">
        <v>569</v>
      </c>
      <c r="J11" s="179">
        <v>6227876.8999999994</v>
      </c>
      <c r="K11" s="189">
        <f t="shared" si="1"/>
        <v>10945.302108963093</v>
      </c>
      <c r="L11" s="190">
        <f t="shared" si="2"/>
        <v>99</v>
      </c>
      <c r="M11" s="190">
        <f t="shared" si="3"/>
        <v>605740.89999999944</v>
      </c>
      <c r="N11" s="190">
        <f t="shared" si="4"/>
        <v>-1016.6893803986095</v>
      </c>
      <c r="O11" s="191">
        <f t="shared" si="5"/>
        <v>-8.4993320828124122E-2</v>
      </c>
    </row>
    <row r="12" spans="1:15" s="172" customFormat="1" x14ac:dyDescent="0.3">
      <c r="A12" s="193">
        <v>2</v>
      </c>
      <c r="B12" s="186">
        <v>5160</v>
      </c>
      <c r="C12" s="140" t="s">
        <v>18</v>
      </c>
      <c r="D12" s="186">
        <v>7</v>
      </c>
      <c r="E12" s="194" t="s">
        <v>3105</v>
      </c>
      <c r="F12" s="188">
        <v>391</v>
      </c>
      <c r="G12" s="188">
        <v>5011219</v>
      </c>
      <c r="H12" s="188">
        <f t="shared" si="0"/>
        <v>12816.416879795397</v>
      </c>
      <c r="I12" s="179">
        <v>384</v>
      </c>
      <c r="J12" s="179">
        <v>4300029.67</v>
      </c>
      <c r="K12" s="189">
        <f t="shared" si="1"/>
        <v>11197.993932291667</v>
      </c>
      <c r="L12" s="190">
        <f t="shared" si="2"/>
        <v>-7</v>
      </c>
      <c r="M12" s="190">
        <f t="shared" si="3"/>
        <v>-711189.33000000007</v>
      </c>
      <c r="N12" s="190">
        <f t="shared" si="4"/>
        <v>-1618.42294750373</v>
      </c>
      <c r="O12" s="191">
        <f t="shared" si="5"/>
        <v>-0.12627733341407718</v>
      </c>
    </row>
    <row r="13" spans="1:15" s="172" customFormat="1" x14ac:dyDescent="0.3">
      <c r="A13" s="193">
        <v>2</v>
      </c>
      <c r="B13" s="186">
        <v>7140</v>
      </c>
      <c r="C13" s="140" t="s">
        <v>3024</v>
      </c>
      <c r="D13" s="186">
        <v>1</v>
      </c>
      <c r="E13" s="194" t="s">
        <v>3106</v>
      </c>
      <c r="F13" s="188">
        <v>424</v>
      </c>
      <c r="G13" s="188">
        <v>4054807</v>
      </c>
      <c r="H13" s="188">
        <f t="shared" si="0"/>
        <v>9563.2240566037744</v>
      </c>
      <c r="I13" s="179">
        <v>394</v>
      </c>
      <c r="J13" s="179">
        <v>3761167.9200000004</v>
      </c>
      <c r="K13" s="189">
        <f t="shared" si="1"/>
        <v>9546.1114720812184</v>
      </c>
      <c r="L13" s="190">
        <f t="shared" si="2"/>
        <v>-30</v>
      </c>
      <c r="M13" s="190">
        <f t="shared" si="3"/>
        <v>-293639.07999999961</v>
      </c>
      <c r="N13" s="192">
        <f t="shared" si="4"/>
        <v>-17.112584522556062</v>
      </c>
      <c r="O13" s="191">
        <f t="shared" si="5"/>
        <v>-1.7894158310281525E-3</v>
      </c>
    </row>
    <row r="14" spans="1:15" s="172" customFormat="1" x14ac:dyDescent="0.3">
      <c r="A14" s="193">
        <v>2</v>
      </c>
      <c r="B14" s="186">
        <v>5200</v>
      </c>
      <c r="C14" s="140" t="s">
        <v>117</v>
      </c>
      <c r="D14" s="186">
        <v>6</v>
      </c>
      <c r="E14" s="194" t="s">
        <v>3105</v>
      </c>
      <c r="F14" s="188">
        <v>349</v>
      </c>
      <c r="G14" s="188">
        <v>3410458</v>
      </c>
      <c r="H14" s="188">
        <f t="shared" si="0"/>
        <v>9772.0859598853876</v>
      </c>
      <c r="I14" s="179">
        <v>358</v>
      </c>
      <c r="J14" s="179">
        <v>3322118.75</v>
      </c>
      <c r="K14" s="189">
        <f t="shared" si="1"/>
        <v>9279.6613128491626</v>
      </c>
      <c r="L14" s="190">
        <f t="shared" si="2"/>
        <v>9</v>
      </c>
      <c r="M14" s="190">
        <f t="shared" si="3"/>
        <v>-88339.25</v>
      </c>
      <c r="N14" s="190">
        <f t="shared" si="4"/>
        <v>-492.424647036225</v>
      </c>
      <c r="O14" s="191">
        <f t="shared" si="5"/>
        <v>-5.0390945091727417E-2</v>
      </c>
    </row>
    <row r="15" spans="1:15" s="172" customFormat="1" x14ac:dyDescent="0.3">
      <c r="A15" s="195">
        <v>2</v>
      </c>
      <c r="B15" s="196">
        <v>5210</v>
      </c>
      <c r="C15" s="141" t="s">
        <v>3037</v>
      </c>
      <c r="D15" s="196">
        <v>4</v>
      </c>
      <c r="E15" s="197" t="s">
        <v>3109</v>
      </c>
      <c r="F15" s="198">
        <v>576</v>
      </c>
      <c r="G15" s="198">
        <v>6626156</v>
      </c>
      <c r="H15" s="198">
        <f t="shared" si="0"/>
        <v>11503.743055555555</v>
      </c>
      <c r="I15" s="179">
        <v>574</v>
      </c>
      <c r="J15" s="179">
        <v>5944181.3100000005</v>
      </c>
      <c r="K15" s="199">
        <f t="shared" si="1"/>
        <v>10355.716567944251</v>
      </c>
      <c r="L15" s="200">
        <f t="shared" si="2"/>
        <v>-2</v>
      </c>
      <c r="M15" s="200">
        <f t="shared" si="3"/>
        <v>-681974.68999999948</v>
      </c>
      <c r="N15" s="200">
        <f t="shared" si="4"/>
        <v>-1148.0264876113033</v>
      </c>
      <c r="O15" s="201">
        <f t="shared" si="5"/>
        <v>-9.9795908346273582E-2</v>
      </c>
    </row>
    <row r="16" spans="1:15" s="172" customFormat="1" x14ac:dyDescent="0.3">
      <c r="A16" s="202">
        <v>1</v>
      </c>
      <c r="B16" s="176">
        <v>5220</v>
      </c>
      <c r="C16" s="142" t="s">
        <v>3046</v>
      </c>
      <c r="D16" s="176">
        <v>5</v>
      </c>
      <c r="E16" s="203" t="s">
        <v>3109</v>
      </c>
      <c r="F16" s="178">
        <v>312</v>
      </c>
      <c r="G16" s="178">
        <v>3357301</v>
      </c>
      <c r="H16" s="178">
        <f t="shared" si="0"/>
        <v>10760.580128205129</v>
      </c>
      <c r="I16" s="179">
        <v>273</v>
      </c>
      <c r="J16" s="179">
        <v>2842300.34</v>
      </c>
      <c r="K16" s="179">
        <f t="shared" si="1"/>
        <v>10411.356556776556</v>
      </c>
      <c r="L16" s="204">
        <f t="shared" si="2"/>
        <v>-39</v>
      </c>
      <c r="M16" s="204">
        <f t="shared" si="3"/>
        <v>-515000.66000000015</v>
      </c>
      <c r="N16" s="204">
        <f t="shared" si="4"/>
        <v>-349.22357142857254</v>
      </c>
      <c r="O16" s="182">
        <f t="shared" si="5"/>
        <v>-3.2453972487338674E-2</v>
      </c>
    </row>
    <row r="17" spans="1:15" s="172" customFormat="1" x14ac:dyDescent="0.3">
      <c r="A17" s="193">
        <v>2</v>
      </c>
      <c r="B17" s="186">
        <v>6320</v>
      </c>
      <c r="C17" s="140" t="s">
        <v>21</v>
      </c>
      <c r="D17" s="186">
        <v>5</v>
      </c>
      <c r="E17" s="194" t="s">
        <v>3109</v>
      </c>
      <c r="F17" s="188">
        <v>398</v>
      </c>
      <c r="G17" s="188">
        <v>4076086</v>
      </c>
      <c r="H17" s="188">
        <f t="shared" si="0"/>
        <v>10241.422110552763</v>
      </c>
      <c r="I17" s="179">
        <v>364</v>
      </c>
      <c r="J17" s="179">
        <v>3536089.51</v>
      </c>
      <c r="K17" s="189">
        <f t="shared" si="1"/>
        <v>9714.531620879121</v>
      </c>
      <c r="L17" s="190">
        <f t="shared" si="2"/>
        <v>-34</v>
      </c>
      <c r="M17" s="190">
        <f t="shared" si="3"/>
        <v>-539996.49000000022</v>
      </c>
      <c r="N17" s="190">
        <f t="shared" si="4"/>
        <v>-526.89048967364215</v>
      </c>
      <c r="O17" s="191">
        <f t="shared" si="5"/>
        <v>-5.1447004525937284E-2</v>
      </c>
    </row>
    <row r="18" spans="1:15" s="172" customFormat="1" x14ac:dyDescent="0.3">
      <c r="A18" s="193">
        <v>3</v>
      </c>
      <c r="B18" s="186">
        <v>5230</v>
      </c>
      <c r="C18" s="140" t="s">
        <v>3025</v>
      </c>
      <c r="D18" s="186">
        <v>1</v>
      </c>
      <c r="E18" s="194" t="s">
        <v>3105</v>
      </c>
      <c r="F18" s="188">
        <v>439</v>
      </c>
      <c r="G18" s="188">
        <v>5399330</v>
      </c>
      <c r="H18" s="188">
        <f t="shared" si="0"/>
        <v>12299.157175398634</v>
      </c>
      <c r="I18" s="179">
        <v>442</v>
      </c>
      <c r="J18" s="179">
        <v>5602770.4900000002</v>
      </c>
      <c r="K18" s="189">
        <f t="shared" si="1"/>
        <v>12675.951334841629</v>
      </c>
      <c r="L18" s="190">
        <f t="shared" si="2"/>
        <v>3</v>
      </c>
      <c r="M18" s="190">
        <f t="shared" si="3"/>
        <v>203440.49000000022</v>
      </c>
      <c r="N18" s="192">
        <f t="shared" si="4"/>
        <v>376.79415944299581</v>
      </c>
      <c r="O18" s="191">
        <f t="shared" si="5"/>
        <v>3.0635770733679023E-2</v>
      </c>
    </row>
    <row r="19" spans="1:15" s="172" customFormat="1" x14ac:dyDescent="0.3">
      <c r="A19" s="193">
        <v>3</v>
      </c>
      <c r="B19" s="186">
        <v>5250</v>
      </c>
      <c r="C19" s="140" t="s">
        <v>3047</v>
      </c>
      <c r="D19" s="186">
        <v>5</v>
      </c>
      <c r="E19" s="194" t="s">
        <v>3109</v>
      </c>
      <c r="F19" s="188">
        <v>344</v>
      </c>
      <c r="G19" s="188">
        <v>3985626</v>
      </c>
      <c r="H19" s="188">
        <f t="shared" si="0"/>
        <v>11586.122093023256</v>
      </c>
      <c r="I19" s="179">
        <v>289</v>
      </c>
      <c r="J19" s="179">
        <v>3286314.9999999991</v>
      </c>
      <c r="K19" s="189">
        <f t="shared" si="1"/>
        <v>11371.332179930792</v>
      </c>
      <c r="L19" s="190">
        <f t="shared" si="2"/>
        <v>-55</v>
      </c>
      <c r="M19" s="190">
        <f t="shared" si="3"/>
        <v>-699311.00000000093</v>
      </c>
      <c r="N19" s="190">
        <f t="shared" si="4"/>
        <v>-214.78991309246339</v>
      </c>
      <c r="O19" s="191">
        <f t="shared" si="5"/>
        <v>-1.8538550808281411E-2</v>
      </c>
    </row>
    <row r="20" spans="1:15" s="172" customFormat="1" x14ac:dyDescent="0.3">
      <c r="A20" s="183">
        <v>3</v>
      </c>
      <c r="B20" s="186">
        <v>5260</v>
      </c>
      <c r="C20" s="140" t="s">
        <v>24</v>
      </c>
      <c r="D20" s="186">
        <v>7</v>
      </c>
      <c r="E20" s="194" t="s">
        <v>3105</v>
      </c>
      <c r="F20" s="188">
        <v>355</v>
      </c>
      <c r="G20" s="188">
        <v>3442880</v>
      </c>
      <c r="H20" s="188">
        <f t="shared" si="0"/>
        <v>9698.2535211267605</v>
      </c>
      <c r="I20" s="179">
        <v>357</v>
      </c>
      <c r="J20" s="179">
        <v>3518440.3600000003</v>
      </c>
      <c r="K20" s="189">
        <f t="shared" si="1"/>
        <v>9855.5752380952399</v>
      </c>
      <c r="L20" s="190">
        <f t="shared" si="2"/>
        <v>2</v>
      </c>
      <c r="M20" s="190">
        <f t="shared" si="3"/>
        <v>75560.360000000335</v>
      </c>
      <c r="N20" s="190">
        <f t="shared" si="4"/>
        <v>157.32171696847945</v>
      </c>
      <c r="O20" s="191">
        <f t="shared" si="5"/>
        <v>1.6221654406720597E-2</v>
      </c>
    </row>
    <row r="21" spans="1:15" s="172" customFormat="1" x14ac:dyDescent="0.3">
      <c r="A21" s="193">
        <v>4</v>
      </c>
      <c r="B21" s="186">
        <v>7160</v>
      </c>
      <c r="C21" s="140" t="s">
        <v>3026</v>
      </c>
      <c r="D21" s="186">
        <v>1</v>
      </c>
      <c r="E21" s="194" t="s">
        <v>3106</v>
      </c>
      <c r="F21" s="188">
        <v>591</v>
      </c>
      <c r="G21" s="188">
        <v>6307116</v>
      </c>
      <c r="H21" s="188">
        <f t="shared" si="0"/>
        <v>10671.939086294416</v>
      </c>
      <c r="I21" s="179">
        <v>542</v>
      </c>
      <c r="J21" s="179">
        <v>5100005.6099999985</v>
      </c>
      <c r="K21" s="189">
        <f t="shared" si="1"/>
        <v>9409.6044464944625</v>
      </c>
      <c r="L21" s="190">
        <f t="shared" si="2"/>
        <v>-49</v>
      </c>
      <c r="M21" s="190">
        <f t="shared" si="3"/>
        <v>-1207110.3900000015</v>
      </c>
      <c r="N21" s="192">
        <f t="shared" si="4"/>
        <v>-1262.3346397999539</v>
      </c>
      <c r="O21" s="191">
        <f t="shared" si="5"/>
        <v>-0.11828540526633294</v>
      </c>
    </row>
    <row r="22" spans="1:15" s="172" customFormat="1" x14ac:dyDescent="0.3">
      <c r="A22" s="193">
        <v>4</v>
      </c>
      <c r="B22" s="186">
        <v>7890</v>
      </c>
      <c r="C22" s="140" t="s">
        <v>3110</v>
      </c>
      <c r="D22" s="186">
        <v>5</v>
      </c>
      <c r="E22" s="194" t="s">
        <v>3108</v>
      </c>
      <c r="F22" s="188">
        <v>200</v>
      </c>
      <c r="G22" s="188">
        <v>2079235</v>
      </c>
      <c r="H22" s="188">
        <f t="shared" si="0"/>
        <v>10396.174999999999</v>
      </c>
      <c r="I22" s="179">
        <v>8</v>
      </c>
      <c r="J22" s="179">
        <v>1066277.5699999998</v>
      </c>
      <c r="K22" s="189">
        <f t="shared" si="1"/>
        <v>133284.69624999998</v>
      </c>
      <c r="L22" s="190">
        <f t="shared" si="2"/>
        <v>-192</v>
      </c>
      <c r="M22" s="190">
        <f t="shared" si="3"/>
        <v>-1012957.4300000002</v>
      </c>
      <c r="N22" s="190">
        <f t="shared" si="4"/>
        <v>122888.52124999998</v>
      </c>
      <c r="O22" s="191">
        <f t="shared" si="5"/>
        <v>11.820551428770676</v>
      </c>
    </row>
    <row r="23" spans="1:15" s="172" customFormat="1" x14ac:dyDescent="0.3">
      <c r="A23" s="193">
        <v>5</v>
      </c>
      <c r="B23" s="186">
        <v>5280</v>
      </c>
      <c r="C23" s="140" t="s">
        <v>25</v>
      </c>
      <c r="D23" s="186">
        <v>1</v>
      </c>
      <c r="E23" s="194" t="s">
        <v>3105</v>
      </c>
      <c r="F23" s="188">
        <v>320</v>
      </c>
      <c r="G23" s="188">
        <v>3618653</v>
      </c>
      <c r="H23" s="188">
        <f t="shared" si="0"/>
        <v>11308.290625</v>
      </c>
      <c r="I23" s="179">
        <v>300</v>
      </c>
      <c r="J23" s="179">
        <v>3297426.73</v>
      </c>
      <c r="K23" s="189">
        <f t="shared" si="1"/>
        <v>10991.422433333333</v>
      </c>
      <c r="L23" s="190">
        <f t="shared" si="2"/>
        <v>-20</v>
      </c>
      <c r="M23" s="190">
        <f t="shared" si="3"/>
        <v>-321226.27</v>
      </c>
      <c r="N23" s="192">
        <f t="shared" si="4"/>
        <v>-316.86819166666646</v>
      </c>
      <c r="O23" s="191">
        <f t="shared" si="5"/>
        <v>-2.802087443403202E-2</v>
      </c>
    </row>
    <row r="24" spans="1:15" s="172" customFormat="1" x14ac:dyDescent="0.3">
      <c r="A24" s="195">
        <v>6</v>
      </c>
      <c r="B24" s="196">
        <v>7150</v>
      </c>
      <c r="C24" s="141" t="s">
        <v>3027</v>
      </c>
      <c r="D24" s="196">
        <v>1</v>
      </c>
      <c r="E24" s="197" t="s">
        <v>3106</v>
      </c>
      <c r="F24" s="198">
        <v>1260</v>
      </c>
      <c r="G24" s="198">
        <v>12134654</v>
      </c>
      <c r="H24" s="198">
        <f t="shared" si="0"/>
        <v>9630.677777777777</v>
      </c>
      <c r="I24" s="179">
        <v>1268</v>
      </c>
      <c r="J24" s="179">
        <v>11231906.219999999</v>
      </c>
      <c r="K24" s="199">
        <f t="shared" si="1"/>
        <v>8857.970205047317</v>
      </c>
      <c r="L24" s="200">
        <f t="shared" si="2"/>
        <v>8</v>
      </c>
      <c r="M24" s="200">
        <f t="shared" si="3"/>
        <v>-902747.78000000119</v>
      </c>
      <c r="N24" s="205">
        <f t="shared" si="4"/>
        <v>-772.70757273046002</v>
      </c>
      <c r="O24" s="201">
        <f t="shared" si="5"/>
        <v>-8.023397631612568E-2</v>
      </c>
    </row>
    <row r="25" spans="1:15" s="172" customFormat="1" x14ac:dyDescent="0.3">
      <c r="A25" s="202">
        <v>7</v>
      </c>
      <c r="B25" s="176">
        <v>5300</v>
      </c>
      <c r="C25" s="142" t="s">
        <v>3028</v>
      </c>
      <c r="D25" s="176">
        <v>1</v>
      </c>
      <c r="E25" s="203" t="s">
        <v>3105</v>
      </c>
      <c r="F25" s="178">
        <v>409</v>
      </c>
      <c r="G25" s="178">
        <v>4721353</v>
      </c>
      <c r="H25" s="178">
        <f t="shared" si="0"/>
        <v>11543.650366748167</v>
      </c>
      <c r="I25" s="179">
        <v>392</v>
      </c>
      <c r="J25" s="179">
        <v>4612607.8299999991</v>
      </c>
      <c r="K25" s="179">
        <f t="shared" si="1"/>
        <v>11766.856709183672</v>
      </c>
      <c r="L25" s="204">
        <f t="shared" si="2"/>
        <v>-17</v>
      </c>
      <c r="M25" s="204">
        <f t="shared" si="3"/>
        <v>-108745.17000000086</v>
      </c>
      <c r="N25" s="206">
        <f t="shared" si="4"/>
        <v>223.20634243550558</v>
      </c>
      <c r="O25" s="182">
        <f t="shared" si="5"/>
        <v>1.9335854373973262E-2</v>
      </c>
    </row>
    <row r="26" spans="1:15" s="172" customFormat="1" x14ac:dyDescent="0.3">
      <c r="A26" s="193">
        <v>3</v>
      </c>
      <c r="B26" s="186">
        <v>7170</v>
      </c>
      <c r="C26" s="140" t="s">
        <v>3038</v>
      </c>
      <c r="D26" s="186">
        <v>4</v>
      </c>
      <c r="E26" s="194" t="s">
        <v>3106</v>
      </c>
      <c r="F26" s="188">
        <v>659</v>
      </c>
      <c r="G26" s="188">
        <v>6344218</v>
      </c>
      <c r="H26" s="188">
        <f t="shared" si="0"/>
        <v>9627.0379362670719</v>
      </c>
      <c r="I26" s="179">
        <v>490</v>
      </c>
      <c r="J26" s="179">
        <v>5256564.1800000016</v>
      </c>
      <c r="K26" s="189">
        <f t="shared" si="1"/>
        <v>10727.682000000003</v>
      </c>
      <c r="L26" s="190">
        <f t="shared" si="2"/>
        <v>-169</v>
      </c>
      <c r="M26" s="190">
        <f t="shared" si="3"/>
        <v>-1087653.8199999984</v>
      </c>
      <c r="N26" s="190">
        <f t="shared" si="4"/>
        <v>1100.6440637329306</v>
      </c>
      <c r="O26" s="191">
        <f t="shared" si="5"/>
        <v>0.11432842282531924</v>
      </c>
    </row>
    <row r="27" spans="1:15" s="172" customFormat="1" x14ac:dyDescent="0.3">
      <c r="A27" s="193">
        <v>4</v>
      </c>
      <c r="B27" s="186">
        <v>5310</v>
      </c>
      <c r="C27" s="140" t="s">
        <v>27</v>
      </c>
      <c r="D27" s="186">
        <v>7</v>
      </c>
      <c r="E27" s="194" t="s">
        <v>3105</v>
      </c>
      <c r="F27" s="188">
        <v>177</v>
      </c>
      <c r="G27" s="188">
        <v>2227801</v>
      </c>
      <c r="H27" s="188">
        <f t="shared" si="0"/>
        <v>12586.446327683616</v>
      </c>
      <c r="I27" s="179">
        <v>178</v>
      </c>
      <c r="J27" s="179">
        <v>2264016.98</v>
      </c>
      <c r="K27" s="189">
        <f t="shared" si="1"/>
        <v>12719.196516853932</v>
      </c>
      <c r="L27" s="190">
        <f t="shared" si="2"/>
        <v>1</v>
      </c>
      <c r="M27" s="190">
        <f t="shared" si="3"/>
        <v>36215.979999999981</v>
      </c>
      <c r="N27" s="190">
        <f t="shared" si="4"/>
        <v>132.75018917031593</v>
      </c>
      <c r="O27" s="191">
        <f t="shared" si="5"/>
        <v>1.0547074663825862E-2</v>
      </c>
    </row>
    <row r="28" spans="1:15" s="172" customFormat="1" x14ac:dyDescent="0.3">
      <c r="A28" s="193">
        <v>1</v>
      </c>
      <c r="B28" s="186">
        <v>6330</v>
      </c>
      <c r="C28" s="140" t="s">
        <v>132</v>
      </c>
      <c r="D28" s="186">
        <v>3</v>
      </c>
      <c r="E28" s="194" t="s">
        <v>3111</v>
      </c>
      <c r="F28" s="188">
        <v>945</v>
      </c>
      <c r="G28" s="188">
        <v>7938000</v>
      </c>
      <c r="H28" s="188">
        <f t="shared" si="0"/>
        <v>8400</v>
      </c>
      <c r="I28" s="179">
        <v>1165</v>
      </c>
      <c r="J28" s="179">
        <v>9086361.4100000001</v>
      </c>
      <c r="K28" s="189">
        <f t="shared" si="1"/>
        <v>7799.4518540772533</v>
      </c>
      <c r="L28" s="190">
        <f t="shared" si="2"/>
        <v>220</v>
      </c>
      <c r="M28" s="190">
        <f t="shared" si="3"/>
        <v>1148361.4100000001</v>
      </c>
      <c r="N28" s="190">
        <f t="shared" si="4"/>
        <v>-600.5481459227467</v>
      </c>
      <c r="O28" s="191">
        <f t="shared" si="5"/>
        <v>-7.1493826895565077E-2</v>
      </c>
    </row>
    <row r="29" spans="1:15" s="172" customFormat="1" x14ac:dyDescent="0.3">
      <c r="A29" s="183">
        <v>5</v>
      </c>
      <c r="B29" s="186">
        <v>5330</v>
      </c>
      <c r="C29" s="140" t="s">
        <v>28</v>
      </c>
      <c r="D29" s="186">
        <v>7</v>
      </c>
      <c r="E29" s="194" t="s">
        <v>3105</v>
      </c>
      <c r="F29" s="188">
        <v>178</v>
      </c>
      <c r="G29" s="188">
        <v>2217602</v>
      </c>
      <c r="H29" s="188">
        <f t="shared" si="0"/>
        <v>12458.438202247191</v>
      </c>
      <c r="I29" s="179">
        <v>164</v>
      </c>
      <c r="J29" s="179">
        <v>2052317.1300000001</v>
      </c>
      <c r="K29" s="189">
        <f t="shared" si="1"/>
        <v>12514.128841463415</v>
      </c>
      <c r="L29" s="190">
        <f t="shared" si="2"/>
        <v>-14</v>
      </c>
      <c r="M29" s="190">
        <f t="shared" si="3"/>
        <v>-165284.86999999988</v>
      </c>
      <c r="N29" s="190">
        <f t="shared" si="4"/>
        <v>55.690639216223644</v>
      </c>
      <c r="O29" s="191">
        <f t="shared" si="5"/>
        <v>4.4701140152686586E-3</v>
      </c>
    </row>
    <row r="30" spans="1:15" s="172" customFormat="1" x14ac:dyDescent="0.3">
      <c r="A30" s="193">
        <v>5</v>
      </c>
      <c r="B30" s="186">
        <v>7180</v>
      </c>
      <c r="C30" s="140" t="s">
        <v>3048</v>
      </c>
      <c r="D30" s="186">
        <v>5</v>
      </c>
      <c r="E30" s="194" t="s">
        <v>3106</v>
      </c>
      <c r="F30" s="188">
        <v>639</v>
      </c>
      <c r="G30" s="188">
        <v>6229233</v>
      </c>
      <c r="H30" s="188">
        <f t="shared" si="0"/>
        <v>9748.4084507042262</v>
      </c>
      <c r="I30" s="179">
        <v>503</v>
      </c>
      <c r="J30" s="179">
        <v>4724099.6599999992</v>
      </c>
      <c r="K30" s="189">
        <f t="shared" si="1"/>
        <v>9391.8482306163005</v>
      </c>
      <c r="L30" s="190">
        <f t="shared" si="2"/>
        <v>-136</v>
      </c>
      <c r="M30" s="190">
        <f t="shared" si="3"/>
        <v>-1505133.3400000008</v>
      </c>
      <c r="N30" s="190">
        <f t="shared" si="4"/>
        <v>-356.5602200879257</v>
      </c>
      <c r="O30" s="191">
        <f t="shared" si="5"/>
        <v>-3.6576249537653274E-2</v>
      </c>
    </row>
    <row r="31" spans="1:15" s="172" customFormat="1" x14ac:dyDescent="0.3">
      <c r="A31" s="193">
        <v>6</v>
      </c>
      <c r="B31" s="186">
        <v>7190</v>
      </c>
      <c r="C31" s="140" t="s">
        <v>3112</v>
      </c>
      <c r="D31" s="186">
        <v>5</v>
      </c>
      <c r="E31" s="194" t="s">
        <v>3113</v>
      </c>
      <c r="F31" s="188">
        <v>115</v>
      </c>
      <c r="G31" s="188">
        <v>974934</v>
      </c>
      <c r="H31" s="188">
        <f t="shared" si="0"/>
        <v>8477.6869565217385</v>
      </c>
      <c r="I31" s="179">
        <v>0</v>
      </c>
      <c r="J31" s="179">
        <v>0</v>
      </c>
      <c r="K31" s="189">
        <v>0</v>
      </c>
      <c r="L31" s="190">
        <f t="shared" si="2"/>
        <v>-115</v>
      </c>
      <c r="M31" s="190">
        <f t="shared" si="3"/>
        <v>-974934</v>
      </c>
      <c r="N31" s="190">
        <f t="shared" si="4"/>
        <v>-8477.6869565217385</v>
      </c>
      <c r="O31" s="191">
        <f t="shared" si="5"/>
        <v>-1</v>
      </c>
    </row>
    <row r="32" spans="1:15" s="172" customFormat="1" x14ac:dyDescent="0.3">
      <c r="A32" s="183">
        <v>3</v>
      </c>
      <c r="B32" s="186">
        <v>7200</v>
      </c>
      <c r="C32" s="140" t="s">
        <v>3060</v>
      </c>
      <c r="D32" s="186">
        <v>6</v>
      </c>
      <c r="E32" s="194" t="s">
        <v>3106</v>
      </c>
      <c r="F32" s="188">
        <v>300</v>
      </c>
      <c r="G32" s="188">
        <v>3401424</v>
      </c>
      <c r="H32" s="188">
        <f t="shared" si="0"/>
        <v>11338.08</v>
      </c>
      <c r="I32" s="179">
        <v>507</v>
      </c>
      <c r="J32" s="179">
        <v>5014797.3499999996</v>
      </c>
      <c r="K32" s="189">
        <f t="shared" si="1"/>
        <v>9891.119033530571</v>
      </c>
      <c r="L32" s="190">
        <f t="shared" si="2"/>
        <v>207</v>
      </c>
      <c r="M32" s="190">
        <f t="shared" si="3"/>
        <v>1613373.3499999996</v>
      </c>
      <c r="N32" s="190">
        <f t="shared" si="4"/>
        <v>-1446.960966469429</v>
      </c>
      <c r="O32" s="191">
        <f t="shared" si="5"/>
        <v>-0.12761957637178684</v>
      </c>
    </row>
    <row r="33" spans="1:15" s="172" customFormat="1" x14ac:dyDescent="0.3">
      <c r="A33" s="193">
        <v>2</v>
      </c>
      <c r="B33" s="186">
        <v>5340</v>
      </c>
      <c r="C33" s="140" t="s">
        <v>118</v>
      </c>
      <c r="D33" s="186">
        <v>3</v>
      </c>
      <c r="E33" s="194" t="s">
        <v>3105</v>
      </c>
      <c r="F33" s="188">
        <v>467</v>
      </c>
      <c r="G33" s="188">
        <v>4101866</v>
      </c>
      <c r="H33" s="188">
        <f t="shared" si="0"/>
        <v>8783.4389721627413</v>
      </c>
      <c r="I33" s="179">
        <v>459</v>
      </c>
      <c r="J33" s="179">
        <v>4033163.8800000008</v>
      </c>
      <c r="K33" s="189">
        <f t="shared" si="1"/>
        <v>8786.8494117647078</v>
      </c>
      <c r="L33" s="190">
        <f t="shared" si="2"/>
        <v>-8</v>
      </c>
      <c r="M33" s="190">
        <f t="shared" si="3"/>
        <v>-68702.11999999918</v>
      </c>
      <c r="N33" s="190">
        <f t="shared" si="4"/>
        <v>3.4104396019665728</v>
      </c>
      <c r="O33" s="191">
        <f t="shared" si="5"/>
        <v>3.8828067375150469E-4</v>
      </c>
    </row>
    <row r="34" spans="1:15" s="172" customFormat="1" x14ac:dyDescent="0.3">
      <c r="A34" s="195">
        <v>4</v>
      </c>
      <c r="B34" s="196">
        <v>6340</v>
      </c>
      <c r="C34" s="141" t="s">
        <v>83</v>
      </c>
      <c r="D34" s="196">
        <v>6</v>
      </c>
      <c r="E34" s="197" t="s">
        <v>3111</v>
      </c>
      <c r="F34" s="198">
        <v>279</v>
      </c>
      <c r="G34" s="198">
        <v>3568692</v>
      </c>
      <c r="H34" s="198">
        <f t="shared" si="0"/>
        <v>12791.010752688173</v>
      </c>
      <c r="I34" s="179">
        <v>282</v>
      </c>
      <c r="J34" s="179">
        <v>4075332.9499999997</v>
      </c>
      <c r="K34" s="199">
        <f t="shared" si="1"/>
        <v>14451.535283687943</v>
      </c>
      <c r="L34" s="200">
        <f t="shared" si="2"/>
        <v>3</v>
      </c>
      <c r="M34" s="200">
        <f t="shared" si="3"/>
        <v>506640.94999999972</v>
      </c>
      <c r="N34" s="200">
        <f t="shared" si="4"/>
        <v>1660.5245309997699</v>
      </c>
      <c r="O34" s="201">
        <f t="shared" si="5"/>
        <v>0.12981964936983517</v>
      </c>
    </row>
    <row r="35" spans="1:15" s="172" customFormat="1" x14ac:dyDescent="0.3">
      <c r="A35" s="202">
        <v>1</v>
      </c>
      <c r="B35" s="176">
        <v>7210</v>
      </c>
      <c r="C35" s="142" t="s">
        <v>3031</v>
      </c>
      <c r="D35" s="176">
        <v>2</v>
      </c>
      <c r="E35" s="203" t="s">
        <v>3106</v>
      </c>
      <c r="F35" s="178">
        <v>534</v>
      </c>
      <c r="G35" s="178">
        <v>6090336</v>
      </c>
      <c r="H35" s="178">
        <f t="shared" si="0"/>
        <v>11405.123595505618</v>
      </c>
      <c r="I35" s="179">
        <v>532</v>
      </c>
      <c r="J35" s="179">
        <v>6075500.5099999998</v>
      </c>
      <c r="K35" s="179">
        <f t="shared" si="1"/>
        <v>11420.113740601504</v>
      </c>
      <c r="L35" s="204">
        <f t="shared" si="2"/>
        <v>-2</v>
      </c>
      <c r="M35" s="204">
        <f t="shared" si="3"/>
        <v>-14835.490000000224</v>
      </c>
      <c r="N35" s="206">
        <f t="shared" si="4"/>
        <v>14.990145095885964</v>
      </c>
      <c r="O35" s="182">
        <f t="shared" si="5"/>
        <v>1.3143342963677382E-3</v>
      </c>
    </row>
    <row r="36" spans="1:15" s="172" customFormat="1" x14ac:dyDescent="0.3">
      <c r="A36" s="193">
        <v>7</v>
      </c>
      <c r="B36" s="186">
        <v>5350</v>
      </c>
      <c r="C36" s="140" t="s">
        <v>3049</v>
      </c>
      <c r="D36" s="186">
        <v>5</v>
      </c>
      <c r="E36" s="194" t="s">
        <v>3109</v>
      </c>
      <c r="F36" s="188">
        <v>399</v>
      </c>
      <c r="G36" s="188">
        <v>4398475</v>
      </c>
      <c r="H36" s="188">
        <f t="shared" si="0"/>
        <v>11023.74686716792</v>
      </c>
      <c r="I36" s="179">
        <v>418</v>
      </c>
      <c r="J36" s="179">
        <v>3848747.4499999988</v>
      </c>
      <c r="K36" s="189">
        <f t="shared" si="1"/>
        <v>9207.5297846889916</v>
      </c>
      <c r="L36" s="190">
        <f t="shared" si="2"/>
        <v>19</v>
      </c>
      <c r="M36" s="190">
        <f t="shared" si="3"/>
        <v>-549727.55000000121</v>
      </c>
      <c r="N36" s="190">
        <f t="shared" si="4"/>
        <v>-1816.2170824789282</v>
      </c>
      <c r="O36" s="191">
        <f t="shared" si="5"/>
        <v>-0.16475496982683596</v>
      </c>
    </row>
    <row r="37" spans="1:15" s="172" customFormat="1" x14ac:dyDescent="0.3">
      <c r="A37" s="183">
        <v>1</v>
      </c>
      <c r="B37" s="186">
        <v>7920</v>
      </c>
      <c r="C37" s="140" t="s">
        <v>3114</v>
      </c>
      <c r="D37" s="186"/>
      <c r="E37" s="194"/>
      <c r="F37" s="188">
        <v>595</v>
      </c>
      <c r="G37" s="188">
        <v>4424359.3899999997</v>
      </c>
      <c r="H37" s="188"/>
      <c r="I37" s="179">
        <v>0</v>
      </c>
      <c r="J37" s="179">
        <v>3808813</v>
      </c>
      <c r="K37" s="189">
        <v>0</v>
      </c>
      <c r="L37" s="190">
        <f t="shared" ref="L37:L68" si="6">+I37-F37</f>
        <v>-595</v>
      </c>
      <c r="M37" s="192">
        <f t="shared" ref="M37:M68" si="7">+J37-G37</f>
        <v>-615546.38999999966</v>
      </c>
      <c r="N37" s="192"/>
      <c r="O37" s="207"/>
    </row>
    <row r="38" spans="1:15" s="172" customFormat="1" x14ac:dyDescent="0.3">
      <c r="A38" s="183">
        <v>4</v>
      </c>
      <c r="B38" s="186">
        <v>5360</v>
      </c>
      <c r="C38" s="140" t="s">
        <v>30</v>
      </c>
      <c r="D38" s="186">
        <v>8</v>
      </c>
      <c r="E38" s="194" t="s">
        <v>3105</v>
      </c>
      <c r="F38" s="188">
        <v>266</v>
      </c>
      <c r="G38" s="188">
        <v>2875040</v>
      </c>
      <c r="H38" s="188">
        <f t="shared" ref="H38:H51" si="8">+G38/F38</f>
        <v>10808.421052631578</v>
      </c>
      <c r="I38" s="179">
        <v>215</v>
      </c>
      <c r="J38" s="179">
        <v>2329968.2600000002</v>
      </c>
      <c r="K38" s="189">
        <f t="shared" si="1"/>
        <v>10837.061674418606</v>
      </c>
      <c r="L38" s="190">
        <f t="shared" si="6"/>
        <v>-51</v>
      </c>
      <c r="M38" s="190">
        <f t="shared" si="7"/>
        <v>-545071.73999999976</v>
      </c>
      <c r="N38" s="190">
        <f t="shared" ref="N38:N69" si="9">+K38-H38</f>
        <v>28.640621787028067</v>
      </c>
      <c r="O38" s="191">
        <f>(+K38-H38)/H38</f>
        <v>2.6498432701282299E-3</v>
      </c>
    </row>
    <row r="39" spans="1:15" s="172" customFormat="1" x14ac:dyDescent="0.3">
      <c r="A39" s="193">
        <v>2</v>
      </c>
      <c r="B39" s="186">
        <v>6360</v>
      </c>
      <c r="C39" s="140" t="s">
        <v>140</v>
      </c>
      <c r="D39" s="186">
        <v>2</v>
      </c>
      <c r="E39" s="194" t="s">
        <v>3109</v>
      </c>
      <c r="F39" s="188">
        <v>266</v>
      </c>
      <c r="G39" s="188">
        <v>2910471</v>
      </c>
      <c r="H39" s="188">
        <f t="shared" si="8"/>
        <v>10941.62030075188</v>
      </c>
      <c r="I39" s="179">
        <v>225</v>
      </c>
      <c r="J39" s="179">
        <v>2461706.9700000002</v>
      </c>
      <c r="K39" s="189">
        <f t="shared" si="1"/>
        <v>10940.919866666667</v>
      </c>
      <c r="L39" s="190">
        <f t="shared" si="6"/>
        <v>-41</v>
      </c>
      <c r="M39" s="190">
        <f t="shared" si="7"/>
        <v>-448764.0299999998</v>
      </c>
      <c r="N39" s="192">
        <f t="shared" si="9"/>
        <v>-0.70043408521269157</v>
      </c>
      <c r="O39" s="191">
        <f>(+K39-H39)/H39</f>
        <v>-6.4015572279048981E-5</v>
      </c>
    </row>
    <row r="40" spans="1:15" s="172" customFormat="1" x14ac:dyDescent="0.3">
      <c r="A40" s="183">
        <v>5</v>
      </c>
      <c r="B40" s="186">
        <v>5390</v>
      </c>
      <c r="C40" s="140" t="s">
        <v>32</v>
      </c>
      <c r="D40" s="186">
        <v>8</v>
      </c>
      <c r="E40" s="194" t="s">
        <v>3105</v>
      </c>
      <c r="F40" s="188">
        <v>228</v>
      </c>
      <c r="G40" s="188">
        <v>2395481</v>
      </c>
      <c r="H40" s="188">
        <f t="shared" si="8"/>
        <v>10506.495614035088</v>
      </c>
      <c r="I40" s="179">
        <v>245</v>
      </c>
      <c r="J40" s="179">
        <v>2315368.02</v>
      </c>
      <c r="K40" s="189">
        <f t="shared" si="1"/>
        <v>9450.4817142857137</v>
      </c>
      <c r="L40" s="190">
        <f t="shared" si="6"/>
        <v>17</v>
      </c>
      <c r="M40" s="190">
        <f t="shared" si="7"/>
        <v>-80112.979999999981</v>
      </c>
      <c r="N40" s="190">
        <f t="shared" si="9"/>
        <v>-1056.0138997493741</v>
      </c>
      <c r="O40" s="191">
        <f>(+K40-H40)/H40</f>
        <v>-0.10051057351022917</v>
      </c>
    </row>
    <row r="41" spans="1:15" s="172" customFormat="1" x14ac:dyDescent="0.3">
      <c r="A41" s="193">
        <v>3</v>
      </c>
      <c r="B41" s="186">
        <v>5400</v>
      </c>
      <c r="C41" s="140" t="s">
        <v>33</v>
      </c>
      <c r="D41" s="186">
        <v>2</v>
      </c>
      <c r="E41" s="194" t="s">
        <v>3105</v>
      </c>
      <c r="F41" s="188">
        <v>227</v>
      </c>
      <c r="G41" s="188">
        <v>3138659</v>
      </c>
      <c r="H41" s="188">
        <f t="shared" si="8"/>
        <v>13826.691629955947</v>
      </c>
      <c r="I41" s="179">
        <v>228</v>
      </c>
      <c r="J41" s="179">
        <v>3124738.2399999993</v>
      </c>
      <c r="K41" s="189">
        <f t="shared" si="1"/>
        <v>13704.992280701752</v>
      </c>
      <c r="L41" s="190">
        <f t="shared" si="6"/>
        <v>1</v>
      </c>
      <c r="M41" s="190">
        <f t="shared" si="7"/>
        <v>-13920.760000000708</v>
      </c>
      <c r="N41" s="192">
        <f t="shared" si="9"/>
        <v>-121.69934925419511</v>
      </c>
      <c r="O41" s="191">
        <f>(+K41-H41)/H41</f>
        <v>-8.8017692526337812E-3</v>
      </c>
    </row>
    <row r="42" spans="1:15" s="172" customFormat="1" x14ac:dyDescent="0.3">
      <c r="A42" s="208">
        <v>8</v>
      </c>
      <c r="B42" s="209">
        <v>6560</v>
      </c>
      <c r="C42" s="210" t="s">
        <v>34</v>
      </c>
      <c r="D42" s="209">
        <v>5</v>
      </c>
      <c r="E42" s="211" t="s">
        <v>3115</v>
      </c>
      <c r="F42" s="188"/>
      <c r="G42" s="188"/>
      <c r="H42" s="188">
        <v>0</v>
      </c>
      <c r="I42" s="179">
        <v>0</v>
      </c>
      <c r="J42" s="179">
        <v>0</v>
      </c>
      <c r="K42" s="189"/>
      <c r="L42" s="190">
        <f t="shared" si="6"/>
        <v>0</v>
      </c>
      <c r="M42" s="190">
        <f t="shared" si="7"/>
        <v>0</v>
      </c>
      <c r="N42" s="190">
        <f t="shared" si="9"/>
        <v>0</v>
      </c>
      <c r="O42" s="191"/>
    </row>
    <row r="43" spans="1:15" s="172" customFormat="1" x14ac:dyDescent="0.3">
      <c r="A43" s="193">
        <v>4</v>
      </c>
      <c r="B43" s="186">
        <v>6380</v>
      </c>
      <c r="C43" s="140" t="s">
        <v>1119</v>
      </c>
      <c r="D43" s="186">
        <v>2</v>
      </c>
      <c r="E43" s="194" t="s">
        <v>3111</v>
      </c>
      <c r="F43" s="188">
        <v>516</v>
      </c>
      <c r="G43" s="188">
        <v>4334400.12</v>
      </c>
      <c r="H43" s="188">
        <f t="shared" si="8"/>
        <v>8400.000232558139</v>
      </c>
      <c r="I43" s="179">
        <v>404</v>
      </c>
      <c r="J43" s="179">
        <v>4103853.7100000009</v>
      </c>
      <c r="K43" s="189">
        <f t="shared" ref="K43:K74" si="10">J43/I43</f>
        <v>10158.053737623764</v>
      </c>
      <c r="L43" s="190">
        <f t="shared" si="6"/>
        <v>-112</v>
      </c>
      <c r="M43" s="190">
        <f t="shared" si="7"/>
        <v>-230546.40999999922</v>
      </c>
      <c r="N43" s="192">
        <f t="shared" si="9"/>
        <v>1758.0535050656254</v>
      </c>
      <c r="O43" s="191">
        <f t="shared" ref="O43:O51" si="11">(+K43-H43)/H43</f>
        <v>0.20929207814202966</v>
      </c>
    </row>
    <row r="44" spans="1:15" s="172" customFormat="1" x14ac:dyDescent="0.3">
      <c r="A44" s="193">
        <v>6</v>
      </c>
      <c r="B44" s="186">
        <v>5430</v>
      </c>
      <c r="C44" s="140" t="s">
        <v>3065</v>
      </c>
      <c r="D44" s="186">
        <v>7</v>
      </c>
      <c r="E44" s="194" t="s">
        <v>3105</v>
      </c>
      <c r="F44" s="188">
        <v>219</v>
      </c>
      <c r="G44" s="188">
        <v>2220152</v>
      </c>
      <c r="H44" s="188">
        <f t="shared" si="8"/>
        <v>10137.680365296803</v>
      </c>
      <c r="I44" s="179">
        <v>265</v>
      </c>
      <c r="J44" s="179">
        <v>2345751.3800000004</v>
      </c>
      <c r="K44" s="189">
        <f t="shared" si="10"/>
        <v>8851.8920000000016</v>
      </c>
      <c r="L44" s="190">
        <f t="shared" si="6"/>
        <v>46</v>
      </c>
      <c r="M44" s="190">
        <f t="shared" si="7"/>
        <v>125599.38000000035</v>
      </c>
      <c r="N44" s="190">
        <f t="shared" si="9"/>
        <v>-1285.7883652968012</v>
      </c>
      <c r="O44" s="191">
        <f t="shared" si="11"/>
        <v>-0.12683260065076601</v>
      </c>
    </row>
    <row r="45" spans="1:15" s="172" customFormat="1" x14ac:dyDescent="0.3">
      <c r="A45" s="183">
        <v>6</v>
      </c>
      <c r="B45" s="186">
        <v>6390</v>
      </c>
      <c r="C45" s="140" t="s">
        <v>85</v>
      </c>
      <c r="D45" s="186">
        <v>8</v>
      </c>
      <c r="E45" s="194" t="s">
        <v>3111</v>
      </c>
      <c r="F45" s="188">
        <v>540</v>
      </c>
      <c r="G45" s="188">
        <v>6026965</v>
      </c>
      <c r="H45" s="188">
        <f t="shared" si="8"/>
        <v>11161.046296296296</v>
      </c>
      <c r="I45" s="179">
        <v>519</v>
      </c>
      <c r="J45" s="179">
        <v>5147800.2799999993</v>
      </c>
      <c r="K45" s="189">
        <f t="shared" si="10"/>
        <v>9918.6903275529858</v>
      </c>
      <c r="L45" s="190">
        <f t="shared" si="6"/>
        <v>-21</v>
      </c>
      <c r="M45" s="190">
        <f t="shared" si="7"/>
        <v>-879164.72000000067</v>
      </c>
      <c r="N45" s="190">
        <f t="shared" si="9"/>
        <v>-1242.3559687433099</v>
      </c>
      <c r="O45" s="191">
        <f t="shared" si="11"/>
        <v>-0.11131178347997497</v>
      </c>
    </row>
    <row r="46" spans="1:15" s="172" customFormat="1" x14ac:dyDescent="0.3">
      <c r="A46" s="193">
        <v>3</v>
      </c>
      <c r="B46" s="186">
        <v>5450</v>
      </c>
      <c r="C46" s="140" t="s">
        <v>119</v>
      </c>
      <c r="D46" s="186">
        <v>3</v>
      </c>
      <c r="E46" s="194" t="s">
        <v>3105</v>
      </c>
      <c r="F46" s="188">
        <v>280</v>
      </c>
      <c r="G46" s="188">
        <v>2814029</v>
      </c>
      <c r="H46" s="188">
        <f t="shared" si="8"/>
        <v>10050.103571428572</v>
      </c>
      <c r="I46" s="179">
        <v>274</v>
      </c>
      <c r="J46" s="179">
        <v>3116090.26</v>
      </c>
      <c r="K46" s="189">
        <f t="shared" si="10"/>
        <v>11372.59218978102</v>
      </c>
      <c r="L46" s="190">
        <f t="shared" si="6"/>
        <v>-6</v>
      </c>
      <c r="M46" s="190">
        <f t="shared" si="7"/>
        <v>302061.25999999978</v>
      </c>
      <c r="N46" s="190">
        <f t="shared" si="9"/>
        <v>1322.4886183524486</v>
      </c>
      <c r="O46" s="191">
        <f t="shared" si="11"/>
        <v>0.13158955118752708</v>
      </c>
    </row>
    <row r="47" spans="1:15" s="172" customFormat="1" x14ac:dyDescent="0.3">
      <c r="A47" s="183">
        <v>7</v>
      </c>
      <c r="B47" s="186">
        <v>5460</v>
      </c>
      <c r="C47" s="140" t="s">
        <v>36</v>
      </c>
      <c r="D47" s="186">
        <v>8</v>
      </c>
      <c r="E47" s="194" t="s">
        <v>3105</v>
      </c>
      <c r="F47" s="188">
        <v>338</v>
      </c>
      <c r="G47" s="188">
        <v>3321702</v>
      </c>
      <c r="H47" s="188">
        <f t="shared" si="8"/>
        <v>9827.5207100591724</v>
      </c>
      <c r="I47" s="179">
        <v>339</v>
      </c>
      <c r="J47" s="179">
        <v>3154752.4400000009</v>
      </c>
      <c r="K47" s="189">
        <f t="shared" si="10"/>
        <v>9306.0543952802382</v>
      </c>
      <c r="L47" s="190">
        <f t="shared" si="6"/>
        <v>1</v>
      </c>
      <c r="M47" s="190">
        <f t="shared" si="7"/>
        <v>-166949.55999999912</v>
      </c>
      <c r="N47" s="190">
        <f t="shared" si="9"/>
        <v>-521.46631477893425</v>
      </c>
      <c r="O47" s="191">
        <f t="shared" si="11"/>
        <v>-5.306183829713796E-2</v>
      </c>
    </row>
    <row r="48" spans="1:15" s="172" customFormat="1" x14ac:dyDescent="0.3">
      <c r="A48" s="183">
        <v>7</v>
      </c>
      <c r="B48" s="186">
        <v>5480</v>
      </c>
      <c r="C48" s="140" t="s">
        <v>37</v>
      </c>
      <c r="D48" s="186">
        <v>7</v>
      </c>
      <c r="E48" s="194" t="s">
        <v>3105</v>
      </c>
      <c r="F48" s="188">
        <v>222</v>
      </c>
      <c r="G48" s="188">
        <v>2328034</v>
      </c>
      <c r="H48" s="188">
        <f t="shared" si="8"/>
        <v>10486.639639639639</v>
      </c>
      <c r="I48" s="179">
        <v>238</v>
      </c>
      <c r="J48" s="179">
        <v>2280881.5499999998</v>
      </c>
      <c r="K48" s="189">
        <f t="shared" si="10"/>
        <v>9583.5359243697476</v>
      </c>
      <c r="L48" s="190">
        <f t="shared" si="6"/>
        <v>16</v>
      </c>
      <c r="M48" s="190">
        <f t="shared" si="7"/>
        <v>-47152.450000000186</v>
      </c>
      <c r="N48" s="190">
        <f t="shared" si="9"/>
        <v>-903.10371526989184</v>
      </c>
      <c r="O48" s="191">
        <f t="shared" si="11"/>
        <v>-8.6119457357545462E-2</v>
      </c>
    </row>
    <row r="49" spans="1:15" s="172" customFormat="1" x14ac:dyDescent="0.3">
      <c r="A49" s="193">
        <v>5</v>
      </c>
      <c r="B49" s="186">
        <v>5490</v>
      </c>
      <c r="C49" s="140" t="s">
        <v>3032</v>
      </c>
      <c r="D49" s="186">
        <v>2</v>
      </c>
      <c r="E49" s="194" t="s">
        <v>3105</v>
      </c>
      <c r="F49" s="188">
        <v>315</v>
      </c>
      <c r="G49" s="188">
        <v>3046015</v>
      </c>
      <c r="H49" s="188">
        <f t="shared" si="8"/>
        <v>9669.8888888888887</v>
      </c>
      <c r="I49" s="179">
        <v>332</v>
      </c>
      <c r="J49" s="179">
        <v>2808755.6999999997</v>
      </c>
      <c r="K49" s="189">
        <f t="shared" si="10"/>
        <v>8460.1075301204819</v>
      </c>
      <c r="L49" s="190">
        <f t="shared" si="6"/>
        <v>17</v>
      </c>
      <c r="M49" s="190">
        <f t="shared" si="7"/>
        <v>-237259.30000000028</v>
      </c>
      <c r="N49" s="192">
        <f t="shared" si="9"/>
        <v>-1209.7813587684068</v>
      </c>
      <c r="O49" s="191">
        <f t="shared" si="11"/>
        <v>-0.12510809303698378</v>
      </c>
    </row>
    <row r="50" spans="1:15" s="172" customFormat="1" x14ac:dyDescent="0.3">
      <c r="A50" s="212">
        <v>5</v>
      </c>
      <c r="B50" s="196">
        <v>7440</v>
      </c>
      <c r="C50" s="213" t="s">
        <v>3116</v>
      </c>
      <c r="D50" s="196">
        <v>6</v>
      </c>
      <c r="E50" s="197"/>
      <c r="F50" s="198">
        <v>82</v>
      </c>
      <c r="G50" s="198">
        <v>1058836</v>
      </c>
      <c r="H50" s="198">
        <f t="shared" si="8"/>
        <v>12912.634146341463</v>
      </c>
      <c r="I50" s="179">
        <v>51</v>
      </c>
      <c r="J50" s="179">
        <v>969580.12999999989</v>
      </c>
      <c r="K50" s="199">
        <f t="shared" si="10"/>
        <v>19011.375098039214</v>
      </c>
      <c r="L50" s="200">
        <f t="shared" si="6"/>
        <v>-31</v>
      </c>
      <c r="M50" s="200">
        <f t="shared" si="7"/>
        <v>-89255.870000000112</v>
      </c>
      <c r="N50" s="200">
        <f t="shared" si="9"/>
        <v>6098.7409516977514</v>
      </c>
      <c r="O50" s="201">
        <f t="shared" si="11"/>
        <v>0.47230804207565252</v>
      </c>
    </row>
    <row r="51" spans="1:15" s="172" customFormat="1" x14ac:dyDescent="0.3">
      <c r="A51" s="202">
        <v>4</v>
      </c>
      <c r="B51" s="176">
        <v>5500</v>
      </c>
      <c r="C51" s="142" t="s">
        <v>121</v>
      </c>
      <c r="D51" s="176">
        <v>3</v>
      </c>
      <c r="E51" s="203" t="s">
        <v>3105</v>
      </c>
      <c r="F51" s="178">
        <v>535</v>
      </c>
      <c r="G51" s="178">
        <v>4494000.5199999996</v>
      </c>
      <c r="H51" s="178">
        <f t="shared" si="8"/>
        <v>8400.0009719626159</v>
      </c>
      <c r="I51" s="179">
        <v>601</v>
      </c>
      <c r="J51" s="179">
        <v>4724965.8600000003</v>
      </c>
      <c r="K51" s="179">
        <f t="shared" si="10"/>
        <v>7861.840033277871</v>
      </c>
      <c r="L51" s="204">
        <f t="shared" si="6"/>
        <v>66</v>
      </c>
      <c r="M51" s="204">
        <f t="shared" si="7"/>
        <v>230965.34000000078</v>
      </c>
      <c r="N51" s="204">
        <f t="shared" si="9"/>
        <v>-538.16093868474491</v>
      </c>
      <c r="O51" s="182">
        <f t="shared" si="11"/>
        <v>-6.4066771001695069E-2</v>
      </c>
    </row>
    <row r="52" spans="1:15" s="172" customFormat="1" x14ac:dyDescent="0.3">
      <c r="A52" s="193">
        <v>6</v>
      </c>
      <c r="B52" s="186">
        <v>6520</v>
      </c>
      <c r="C52" s="140" t="s">
        <v>3117</v>
      </c>
      <c r="D52" s="186">
        <v>6</v>
      </c>
      <c r="E52" s="194" t="s">
        <v>3111</v>
      </c>
      <c r="F52" s="188">
        <v>100</v>
      </c>
      <c r="G52" s="188">
        <v>964920.78</v>
      </c>
      <c r="H52" s="188"/>
      <c r="I52" s="179">
        <v>0</v>
      </c>
      <c r="J52" s="179">
        <v>1687459.7899999996</v>
      </c>
      <c r="K52" s="189">
        <v>0</v>
      </c>
      <c r="L52" s="190">
        <f t="shared" si="6"/>
        <v>-100</v>
      </c>
      <c r="M52" s="190">
        <f t="shared" si="7"/>
        <v>722539.00999999954</v>
      </c>
      <c r="N52" s="190">
        <f t="shared" si="9"/>
        <v>0</v>
      </c>
      <c r="O52" s="191"/>
    </row>
    <row r="53" spans="1:15" s="172" customFormat="1" x14ac:dyDescent="0.3">
      <c r="A53" s="183">
        <v>7</v>
      </c>
      <c r="B53" s="186">
        <v>6410</v>
      </c>
      <c r="C53" s="140" t="s">
        <v>86</v>
      </c>
      <c r="D53" s="186">
        <v>6</v>
      </c>
      <c r="E53" s="194" t="s">
        <v>3111</v>
      </c>
      <c r="F53" s="188">
        <v>179</v>
      </c>
      <c r="G53" s="188">
        <v>2406006.88</v>
      </c>
      <c r="H53" s="188">
        <f t="shared" ref="H53:H76" si="12">+G53/F53</f>
        <v>13441.379217877095</v>
      </c>
      <c r="I53" s="179">
        <v>279</v>
      </c>
      <c r="J53" s="179">
        <v>1529200.38</v>
      </c>
      <c r="K53" s="189">
        <f t="shared" si="10"/>
        <v>5481.0049462365587</v>
      </c>
      <c r="L53" s="190">
        <f t="shared" si="6"/>
        <v>100</v>
      </c>
      <c r="M53" s="190">
        <f t="shared" si="7"/>
        <v>-876806.5</v>
      </c>
      <c r="N53" s="190">
        <f t="shared" si="9"/>
        <v>-7960.3742716405359</v>
      </c>
      <c r="O53" s="191">
        <f t="shared" ref="O53:O76" si="13">(+K53-H53)/H53</f>
        <v>-0.59222897759280557</v>
      </c>
    </row>
    <row r="54" spans="1:15" s="172" customFormat="1" x14ac:dyDescent="0.3">
      <c r="A54" s="183">
        <v>8</v>
      </c>
      <c r="B54" s="186">
        <v>6420</v>
      </c>
      <c r="C54" s="140" t="s">
        <v>87</v>
      </c>
      <c r="D54" s="186">
        <v>8</v>
      </c>
      <c r="E54" s="194" t="s">
        <v>3111</v>
      </c>
      <c r="F54" s="188">
        <v>248</v>
      </c>
      <c r="G54" s="188">
        <v>3091104</v>
      </c>
      <c r="H54" s="188">
        <f t="shared" si="12"/>
        <v>12464.129032258064</v>
      </c>
      <c r="I54" s="179">
        <v>245</v>
      </c>
      <c r="J54" s="179">
        <v>2462621.0100000002</v>
      </c>
      <c r="K54" s="189">
        <f t="shared" si="10"/>
        <v>10051.514326530612</v>
      </c>
      <c r="L54" s="190">
        <f t="shared" si="6"/>
        <v>-3</v>
      </c>
      <c r="M54" s="190">
        <f t="shared" si="7"/>
        <v>-628482.98999999976</v>
      </c>
      <c r="N54" s="190">
        <f t="shared" si="9"/>
        <v>-2412.614705727452</v>
      </c>
      <c r="O54" s="191">
        <f t="shared" si="13"/>
        <v>-0.19356464454784056</v>
      </c>
    </row>
    <row r="55" spans="1:15" s="172" customFormat="1" x14ac:dyDescent="0.3">
      <c r="A55" s="193">
        <v>8</v>
      </c>
      <c r="B55" s="186">
        <v>6580</v>
      </c>
      <c r="C55" s="140" t="s">
        <v>88</v>
      </c>
      <c r="D55" s="186">
        <v>7</v>
      </c>
      <c r="E55" s="194" t="s">
        <v>3111</v>
      </c>
      <c r="F55" s="188">
        <v>371</v>
      </c>
      <c r="G55" s="188">
        <v>4469807</v>
      </c>
      <c r="H55" s="188">
        <f t="shared" si="12"/>
        <v>12047.99730458221</v>
      </c>
      <c r="I55" s="179">
        <v>353</v>
      </c>
      <c r="J55" s="179">
        <v>3972977.5000000005</v>
      </c>
      <c r="K55" s="189">
        <f t="shared" si="10"/>
        <v>11254.893767705384</v>
      </c>
      <c r="L55" s="190">
        <f t="shared" si="6"/>
        <v>-18</v>
      </c>
      <c r="M55" s="190">
        <f t="shared" si="7"/>
        <v>-496829.49999999953</v>
      </c>
      <c r="N55" s="190">
        <f t="shared" si="9"/>
        <v>-793.10353687682618</v>
      </c>
      <c r="O55" s="191">
        <f t="shared" si="13"/>
        <v>-6.5828661546528194E-2</v>
      </c>
    </row>
    <row r="56" spans="1:15" s="172" customFormat="1" x14ac:dyDescent="0.3">
      <c r="A56" s="183">
        <v>9</v>
      </c>
      <c r="B56" s="186">
        <v>5510</v>
      </c>
      <c r="C56" s="140" t="s">
        <v>38</v>
      </c>
      <c r="D56" s="186">
        <v>7</v>
      </c>
      <c r="E56" s="194" t="s">
        <v>3105</v>
      </c>
      <c r="F56" s="188">
        <v>178</v>
      </c>
      <c r="G56" s="188">
        <v>1996262</v>
      </c>
      <c r="H56" s="188">
        <f t="shared" si="12"/>
        <v>11214.955056179775</v>
      </c>
      <c r="I56" s="179">
        <v>147</v>
      </c>
      <c r="J56" s="179">
        <v>1716951.2400000002</v>
      </c>
      <c r="K56" s="189">
        <f t="shared" si="10"/>
        <v>11679.940408163267</v>
      </c>
      <c r="L56" s="190">
        <f t="shared" si="6"/>
        <v>-31</v>
      </c>
      <c r="M56" s="190">
        <f t="shared" si="7"/>
        <v>-279310.75999999978</v>
      </c>
      <c r="N56" s="190">
        <f t="shared" si="9"/>
        <v>464.98535198349236</v>
      </c>
      <c r="O56" s="191">
        <f t="shared" si="13"/>
        <v>4.1461187285567545E-2</v>
      </c>
    </row>
    <row r="57" spans="1:15" s="172" customFormat="1" x14ac:dyDescent="0.3">
      <c r="A57" s="183">
        <v>9</v>
      </c>
      <c r="B57" s="186">
        <v>5520</v>
      </c>
      <c r="C57" s="140" t="s">
        <v>39</v>
      </c>
      <c r="D57" s="186">
        <v>8</v>
      </c>
      <c r="E57" s="194" t="s">
        <v>3105</v>
      </c>
      <c r="F57" s="188">
        <v>259</v>
      </c>
      <c r="G57" s="188">
        <v>2708367</v>
      </c>
      <c r="H57" s="188">
        <f t="shared" si="12"/>
        <v>10457.015444015444</v>
      </c>
      <c r="I57" s="179">
        <v>260</v>
      </c>
      <c r="J57" s="179">
        <v>2342092.8499999996</v>
      </c>
      <c r="K57" s="189">
        <f t="shared" si="10"/>
        <v>9008.0494230769218</v>
      </c>
      <c r="L57" s="190">
        <f t="shared" si="6"/>
        <v>1</v>
      </c>
      <c r="M57" s="190">
        <f t="shared" si="7"/>
        <v>-366274.15000000037</v>
      </c>
      <c r="N57" s="190">
        <f t="shared" si="9"/>
        <v>-1448.966020938522</v>
      </c>
      <c r="O57" s="191">
        <f t="shared" si="13"/>
        <v>-0.138564012714332</v>
      </c>
    </row>
    <row r="58" spans="1:15" s="172" customFormat="1" x14ac:dyDescent="0.3">
      <c r="A58" s="193">
        <v>5</v>
      </c>
      <c r="B58" s="186">
        <v>5530</v>
      </c>
      <c r="C58" s="140" t="s">
        <v>122</v>
      </c>
      <c r="D58" s="186">
        <v>3</v>
      </c>
      <c r="E58" s="194" t="s">
        <v>3105</v>
      </c>
      <c r="F58" s="188">
        <v>389</v>
      </c>
      <c r="G58" s="188">
        <v>3392642</v>
      </c>
      <c r="H58" s="188">
        <f t="shared" si="12"/>
        <v>8721.4447300771208</v>
      </c>
      <c r="I58" s="179">
        <v>375</v>
      </c>
      <c r="J58" s="179">
        <v>3210249.83</v>
      </c>
      <c r="K58" s="189">
        <f t="shared" si="10"/>
        <v>8560.6662133333339</v>
      </c>
      <c r="L58" s="190">
        <f t="shared" si="6"/>
        <v>-14</v>
      </c>
      <c r="M58" s="190">
        <f t="shared" si="7"/>
        <v>-182392.16999999993</v>
      </c>
      <c r="N58" s="190">
        <f t="shared" si="9"/>
        <v>-160.77851674378689</v>
      </c>
      <c r="O58" s="191">
        <f t="shared" si="13"/>
        <v>-1.8434849009513265E-2</v>
      </c>
    </row>
    <row r="59" spans="1:15" s="172" customFormat="1" x14ac:dyDescent="0.3">
      <c r="A59" s="193">
        <v>10</v>
      </c>
      <c r="B59" s="186">
        <v>5540</v>
      </c>
      <c r="C59" s="140" t="s">
        <v>40</v>
      </c>
      <c r="D59" s="186">
        <v>7</v>
      </c>
      <c r="E59" s="194" t="s">
        <v>3105</v>
      </c>
      <c r="F59" s="188">
        <v>319</v>
      </c>
      <c r="G59" s="188">
        <v>3111432</v>
      </c>
      <c r="H59" s="188">
        <f t="shared" si="12"/>
        <v>9753.7053291536049</v>
      </c>
      <c r="I59" s="179">
        <v>289</v>
      </c>
      <c r="J59" s="179">
        <v>2957469.27</v>
      </c>
      <c r="K59" s="189">
        <f t="shared" si="10"/>
        <v>10233.457681660901</v>
      </c>
      <c r="L59" s="190">
        <f t="shared" si="6"/>
        <v>-30</v>
      </c>
      <c r="M59" s="190">
        <f t="shared" si="7"/>
        <v>-153962.72999999998</v>
      </c>
      <c r="N59" s="190">
        <f t="shared" si="9"/>
        <v>479.75235250729565</v>
      </c>
      <c r="O59" s="191">
        <f t="shared" si="13"/>
        <v>4.9186676890199531E-2</v>
      </c>
    </row>
    <row r="60" spans="1:15" s="172" customFormat="1" x14ac:dyDescent="0.3">
      <c r="A60" s="183">
        <v>10</v>
      </c>
      <c r="B60" s="186">
        <v>5550</v>
      </c>
      <c r="C60" s="140" t="s">
        <v>3070</v>
      </c>
      <c r="D60" s="186">
        <v>8</v>
      </c>
      <c r="E60" s="194" t="s">
        <v>3105</v>
      </c>
      <c r="F60" s="188">
        <v>337</v>
      </c>
      <c r="G60" s="188">
        <v>3251796</v>
      </c>
      <c r="H60" s="188">
        <f t="shared" si="12"/>
        <v>9649.2462908011876</v>
      </c>
      <c r="I60" s="179">
        <v>313</v>
      </c>
      <c r="J60" s="179">
        <v>3230184.6799999997</v>
      </c>
      <c r="K60" s="189">
        <f t="shared" si="10"/>
        <v>10320.078849840254</v>
      </c>
      <c r="L60" s="190">
        <f t="shared" si="6"/>
        <v>-24</v>
      </c>
      <c r="M60" s="190">
        <f t="shared" si="7"/>
        <v>-21611.320000000298</v>
      </c>
      <c r="N60" s="190">
        <f t="shared" si="9"/>
        <v>670.83255903906684</v>
      </c>
      <c r="O60" s="191">
        <f t="shared" si="13"/>
        <v>6.9521757329231451E-2</v>
      </c>
    </row>
    <row r="61" spans="1:15" s="172" customFormat="1" x14ac:dyDescent="0.3">
      <c r="A61" s="183">
        <v>11</v>
      </c>
      <c r="B61" s="186">
        <v>6430</v>
      </c>
      <c r="C61" s="140" t="s">
        <v>89</v>
      </c>
      <c r="D61" s="186">
        <v>8</v>
      </c>
      <c r="E61" s="194" t="s">
        <v>3111</v>
      </c>
      <c r="F61" s="188">
        <v>257</v>
      </c>
      <c r="G61" s="188">
        <v>3320768</v>
      </c>
      <c r="H61" s="188">
        <f t="shared" si="12"/>
        <v>12921.276264591439</v>
      </c>
      <c r="I61" s="179">
        <v>281</v>
      </c>
      <c r="J61" s="179">
        <v>2937070.0300000003</v>
      </c>
      <c r="K61" s="189">
        <f t="shared" si="10"/>
        <v>10452.206512455517</v>
      </c>
      <c r="L61" s="190">
        <f t="shared" si="6"/>
        <v>24</v>
      </c>
      <c r="M61" s="190">
        <f t="shared" si="7"/>
        <v>-383697.96999999974</v>
      </c>
      <c r="N61" s="190">
        <f t="shared" si="9"/>
        <v>-2469.0697521359216</v>
      </c>
      <c r="O61" s="191">
        <f t="shared" si="13"/>
        <v>-0.19108559414536996</v>
      </c>
    </row>
    <row r="62" spans="1:15" s="172" customFormat="1" x14ac:dyDescent="0.3">
      <c r="A62" s="193">
        <v>4</v>
      </c>
      <c r="B62" s="186">
        <v>5560</v>
      </c>
      <c r="C62" s="140" t="s">
        <v>123</v>
      </c>
      <c r="D62" s="186">
        <v>4</v>
      </c>
      <c r="E62" s="194" t="s">
        <v>3105</v>
      </c>
      <c r="F62" s="188">
        <v>702</v>
      </c>
      <c r="G62" s="188">
        <v>5896800.7000000002</v>
      </c>
      <c r="H62" s="188">
        <f t="shared" si="12"/>
        <v>8400.0009971509971</v>
      </c>
      <c r="I62" s="179">
        <v>689</v>
      </c>
      <c r="J62" s="179">
        <v>5880699.4399999995</v>
      </c>
      <c r="K62" s="189">
        <f t="shared" si="10"/>
        <v>8535.1225544267054</v>
      </c>
      <c r="L62" s="190">
        <f t="shared" si="6"/>
        <v>-13</v>
      </c>
      <c r="M62" s="190">
        <f t="shared" si="7"/>
        <v>-16101.260000000708</v>
      </c>
      <c r="N62" s="190">
        <f t="shared" si="9"/>
        <v>135.12155727570826</v>
      </c>
      <c r="O62" s="191">
        <f t="shared" si="13"/>
        <v>1.6085897766147529E-2</v>
      </c>
    </row>
    <row r="63" spans="1:15" s="172" customFormat="1" x14ac:dyDescent="0.3">
      <c r="A63" s="193">
        <v>9</v>
      </c>
      <c r="B63" s="186">
        <v>5570</v>
      </c>
      <c r="C63" s="140" t="s">
        <v>3050</v>
      </c>
      <c r="D63" s="186">
        <v>5</v>
      </c>
      <c r="E63" s="194" t="s">
        <v>3109</v>
      </c>
      <c r="F63" s="188">
        <v>396</v>
      </c>
      <c r="G63" s="188">
        <v>3785012</v>
      </c>
      <c r="H63" s="188">
        <f t="shared" si="12"/>
        <v>9558.1111111111113</v>
      </c>
      <c r="I63" s="179">
        <v>351</v>
      </c>
      <c r="J63" s="179">
        <v>3848943.2499999995</v>
      </c>
      <c r="K63" s="189">
        <f t="shared" si="10"/>
        <v>10965.650284900283</v>
      </c>
      <c r="L63" s="190">
        <f t="shared" si="6"/>
        <v>-45</v>
      </c>
      <c r="M63" s="190">
        <f t="shared" si="7"/>
        <v>63931.249999999534</v>
      </c>
      <c r="N63" s="190">
        <f t="shared" si="9"/>
        <v>1407.5391737891714</v>
      </c>
      <c r="O63" s="191">
        <f t="shared" si="13"/>
        <v>0.14726122739386607</v>
      </c>
    </row>
    <row r="64" spans="1:15" s="172" customFormat="1" x14ac:dyDescent="0.3">
      <c r="A64" s="193">
        <v>5</v>
      </c>
      <c r="B64" s="186">
        <v>5580</v>
      </c>
      <c r="C64" s="140" t="s">
        <v>43</v>
      </c>
      <c r="D64" s="186">
        <v>4</v>
      </c>
      <c r="E64" s="194" t="s">
        <v>3109</v>
      </c>
      <c r="F64" s="188">
        <v>291</v>
      </c>
      <c r="G64" s="188">
        <v>3338375</v>
      </c>
      <c r="H64" s="188">
        <f t="shared" si="12"/>
        <v>11472.079037800688</v>
      </c>
      <c r="I64" s="179">
        <v>288</v>
      </c>
      <c r="J64" s="179">
        <v>3091799.2300000004</v>
      </c>
      <c r="K64" s="189">
        <f t="shared" si="10"/>
        <v>10735.413993055558</v>
      </c>
      <c r="L64" s="190">
        <f t="shared" si="6"/>
        <v>-3</v>
      </c>
      <c r="M64" s="190">
        <f t="shared" si="7"/>
        <v>-246575.76999999955</v>
      </c>
      <c r="N64" s="190">
        <f t="shared" si="9"/>
        <v>-736.66504474513022</v>
      </c>
      <c r="O64" s="191">
        <f t="shared" si="13"/>
        <v>-6.4213735131862917E-2</v>
      </c>
    </row>
    <row r="65" spans="1:15" s="172" customFormat="1" x14ac:dyDescent="0.3">
      <c r="A65" s="183">
        <v>12</v>
      </c>
      <c r="B65" s="186">
        <v>5590</v>
      </c>
      <c r="C65" s="140" t="s">
        <v>44</v>
      </c>
      <c r="D65" s="186">
        <v>8</v>
      </c>
      <c r="E65" s="194" t="s">
        <v>3105</v>
      </c>
      <c r="F65" s="188">
        <v>336</v>
      </c>
      <c r="G65" s="188">
        <v>3317064</v>
      </c>
      <c r="H65" s="188">
        <f t="shared" si="12"/>
        <v>9872.2142857142862</v>
      </c>
      <c r="I65" s="179">
        <v>346</v>
      </c>
      <c r="J65" s="179">
        <v>3771824.4499999997</v>
      </c>
      <c r="K65" s="189">
        <f t="shared" si="10"/>
        <v>10901.226734104046</v>
      </c>
      <c r="L65" s="190">
        <f t="shared" si="6"/>
        <v>10</v>
      </c>
      <c r="M65" s="190">
        <f t="shared" si="7"/>
        <v>454760.44999999972</v>
      </c>
      <c r="N65" s="190">
        <f t="shared" si="9"/>
        <v>1029.0124483897598</v>
      </c>
      <c r="O65" s="191">
        <f t="shared" si="13"/>
        <v>0.10423319618161099</v>
      </c>
    </row>
    <row r="66" spans="1:15" s="172" customFormat="1" x14ac:dyDescent="0.3">
      <c r="A66" s="193">
        <v>8</v>
      </c>
      <c r="B66" s="186">
        <v>5600</v>
      </c>
      <c r="C66" s="140" t="s">
        <v>45</v>
      </c>
      <c r="D66" s="186">
        <v>6</v>
      </c>
      <c r="E66" s="194" t="s">
        <v>3105</v>
      </c>
      <c r="F66" s="188">
        <v>271</v>
      </c>
      <c r="G66" s="188">
        <v>3518830</v>
      </c>
      <c r="H66" s="188">
        <f t="shared" si="12"/>
        <v>12984.612546125461</v>
      </c>
      <c r="I66" s="179">
        <v>263</v>
      </c>
      <c r="J66" s="179">
        <v>3173710.81</v>
      </c>
      <c r="K66" s="189">
        <f t="shared" si="10"/>
        <v>12067.341482889735</v>
      </c>
      <c r="L66" s="190">
        <f t="shared" si="6"/>
        <v>-8</v>
      </c>
      <c r="M66" s="190">
        <f t="shared" si="7"/>
        <v>-345119.18999999994</v>
      </c>
      <c r="N66" s="190">
        <f t="shared" si="9"/>
        <v>-917.27106323572661</v>
      </c>
      <c r="O66" s="191">
        <f t="shared" si="13"/>
        <v>-7.0642929080655198E-2</v>
      </c>
    </row>
    <row r="67" spans="1:15" s="172" customFormat="1" x14ac:dyDescent="0.3">
      <c r="A67" s="193">
        <v>10</v>
      </c>
      <c r="B67" s="186">
        <v>7220</v>
      </c>
      <c r="C67" s="140" t="s">
        <v>3051</v>
      </c>
      <c r="D67" s="186">
        <v>5</v>
      </c>
      <c r="E67" s="194" t="s">
        <v>3108</v>
      </c>
      <c r="F67" s="188">
        <v>272</v>
      </c>
      <c r="G67" s="188">
        <v>2632454</v>
      </c>
      <c r="H67" s="188">
        <f t="shared" si="12"/>
        <v>9678.1397058823532</v>
      </c>
      <c r="I67" s="179">
        <v>373</v>
      </c>
      <c r="J67" s="179">
        <v>2757316.1199999996</v>
      </c>
      <c r="K67" s="189">
        <f t="shared" si="10"/>
        <v>7392.268418230562</v>
      </c>
      <c r="L67" s="190">
        <f t="shared" si="6"/>
        <v>101</v>
      </c>
      <c r="M67" s="190">
        <f t="shared" si="7"/>
        <v>124862.11999999965</v>
      </c>
      <c r="N67" s="190">
        <f t="shared" si="9"/>
        <v>-2285.8712876517911</v>
      </c>
      <c r="O67" s="191">
        <f t="shared" si="13"/>
        <v>-0.23618911868594367</v>
      </c>
    </row>
    <row r="68" spans="1:15" s="172" customFormat="1" x14ac:dyDescent="0.3">
      <c r="A68" s="193">
        <v>6</v>
      </c>
      <c r="B68" s="186">
        <v>6450</v>
      </c>
      <c r="C68" s="140" t="s">
        <v>90</v>
      </c>
      <c r="D68" s="186">
        <v>4</v>
      </c>
      <c r="E68" s="194" t="s">
        <v>3111</v>
      </c>
      <c r="F68" s="188">
        <v>185</v>
      </c>
      <c r="G68" s="188">
        <v>2808982</v>
      </c>
      <c r="H68" s="188">
        <f t="shared" si="12"/>
        <v>15183.686486486486</v>
      </c>
      <c r="I68" s="179">
        <v>151</v>
      </c>
      <c r="J68" s="179">
        <v>2591152.9499999997</v>
      </c>
      <c r="K68" s="189">
        <f t="shared" si="10"/>
        <v>17159.953311258276</v>
      </c>
      <c r="L68" s="190">
        <f t="shared" si="6"/>
        <v>-34</v>
      </c>
      <c r="M68" s="190">
        <f t="shared" si="7"/>
        <v>-217829.05000000028</v>
      </c>
      <c r="N68" s="190">
        <f t="shared" si="9"/>
        <v>1976.2668247717902</v>
      </c>
      <c r="O68" s="191">
        <f t="shared" si="13"/>
        <v>0.13015724649811969</v>
      </c>
    </row>
    <row r="69" spans="1:15" s="172" customFormat="1" x14ac:dyDescent="0.3">
      <c r="A69" s="183">
        <v>13</v>
      </c>
      <c r="B69" s="186">
        <v>5610</v>
      </c>
      <c r="C69" s="140" t="s">
        <v>46</v>
      </c>
      <c r="D69" s="186">
        <v>8</v>
      </c>
      <c r="E69" s="194" t="s">
        <v>3105</v>
      </c>
      <c r="F69" s="188">
        <v>243</v>
      </c>
      <c r="G69" s="188">
        <v>2462386</v>
      </c>
      <c r="H69" s="188">
        <f t="shared" si="12"/>
        <v>10133.275720164609</v>
      </c>
      <c r="I69" s="179">
        <v>221</v>
      </c>
      <c r="J69" s="179">
        <v>2612874.0799999996</v>
      </c>
      <c r="K69" s="189">
        <f t="shared" si="10"/>
        <v>11822.959638009048</v>
      </c>
      <c r="L69" s="190">
        <f t="shared" ref="L69:L100" si="14">+I69-F69</f>
        <v>-22</v>
      </c>
      <c r="M69" s="190">
        <f t="shared" ref="M69:M100" si="15">+J69-G69</f>
        <v>150488.07999999961</v>
      </c>
      <c r="N69" s="190">
        <f t="shared" si="9"/>
        <v>1689.6839178444388</v>
      </c>
      <c r="O69" s="191">
        <f t="shared" si="13"/>
        <v>0.16674607150795961</v>
      </c>
    </row>
    <row r="70" spans="1:15" s="172" customFormat="1" x14ac:dyDescent="0.3">
      <c r="A70" s="195">
        <v>11</v>
      </c>
      <c r="B70" s="196">
        <v>7360</v>
      </c>
      <c r="C70" s="141" t="s">
        <v>3052</v>
      </c>
      <c r="D70" s="196">
        <v>5</v>
      </c>
      <c r="E70" s="197" t="s">
        <v>3115</v>
      </c>
      <c r="F70" s="198">
        <v>77</v>
      </c>
      <c r="G70" s="198">
        <v>2326776</v>
      </c>
      <c r="H70" s="198">
        <f t="shared" si="12"/>
        <v>30217.870129870131</v>
      </c>
      <c r="I70" s="179">
        <v>96</v>
      </c>
      <c r="J70" s="179">
        <v>2556063.23</v>
      </c>
      <c r="K70" s="199">
        <f t="shared" si="10"/>
        <v>26625.658645833333</v>
      </c>
      <c r="L70" s="200">
        <f t="shared" si="14"/>
        <v>19</v>
      </c>
      <c r="M70" s="200">
        <f t="shared" si="15"/>
        <v>229287.22999999998</v>
      </c>
      <c r="N70" s="200">
        <f t="shared" ref="N70:N101" si="16">+K70-H70</f>
        <v>-3592.2114840367976</v>
      </c>
      <c r="O70" s="201">
        <f t="shared" si="13"/>
        <v>-0.1188770574695774</v>
      </c>
    </row>
    <row r="71" spans="1:15" s="172" customFormat="1" x14ac:dyDescent="0.3">
      <c r="A71" s="202">
        <v>6</v>
      </c>
      <c r="B71" s="176">
        <v>5620</v>
      </c>
      <c r="C71" s="142" t="s">
        <v>124</v>
      </c>
      <c r="D71" s="176">
        <v>3</v>
      </c>
      <c r="E71" s="203" t="s">
        <v>3105</v>
      </c>
      <c r="F71" s="178">
        <v>295</v>
      </c>
      <c r="G71" s="178">
        <v>2680148</v>
      </c>
      <c r="H71" s="178">
        <f t="shared" si="12"/>
        <v>9085.2474576271179</v>
      </c>
      <c r="I71" s="179">
        <v>286</v>
      </c>
      <c r="J71" s="179">
        <v>2543410.8500000006</v>
      </c>
      <c r="K71" s="179">
        <f t="shared" si="10"/>
        <v>8893.0449300699329</v>
      </c>
      <c r="L71" s="204">
        <f t="shared" si="14"/>
        <v>-9</v>
      </c>
      <c r="M71" s="204">
        <f t="shared" si="15"/>
        <v>-136737.14999999944</v>
      </c>
      <c r="N71" s="204">
        <f t="shared" si="16"/>
        <v>-192.20252755718502</v>
      </c>
      <c r="O71" s="182">
        <f t="shared" si="13"/>
        <v>-2.1155453217273669E-2</v>
      </c>
    </row>
    <row r="72" spans="1:15" s="172" customFormat="1" x14ac:dyDescent="0.3">
      <c r="A72" s="193">
        <v>8</v>
      </c>
      <c r="B72" s="186">
        <v>5860</v>
      </c>
      <c r="C72" s="140" t="s">
        <v>3029</v>
      </c>
      <c r="D72" s="186">
        <v>1</v>
      </c>
      <c r="E72" s="194" t="s">
        <v>3105</v>
      </c>
      <c r="F72" s="188">
        <v>395</v>
      </c>
      <c r="G72" s="188">
        <v>4680552</v>
      </c>
      <c r="H72" s="188">
        <f t="shared" si="12"/>
        <v>11849.498734177216</v>
      </c>
      <c r="I72" s="179">
        <v>362</v>
      </c>
      <c r="J72" s="179">
        <v>4224000.3</v>
      </c>
      <c r="K72" s="189">
        <f t="shared" si="10"/>
        <v>11668.509116022098</v>
      </c>
      <c r="L72" s="190">
        <f t="shared" si="14"/>
        <v>-33</v>
      </c>
      <c r="M72" s="190">
        <f t="shared" si="15"/>
        <v>-456551.70000000019</v>
      </c>
      <c r="N72" s="192">
        <f t="shared" si="16"/>
        <v>-180.98961815511757</v>
      </c>
      <c r="O72" s="191">
        <f t="shared" si="13"/>
        <v>-1.5274031603809003E-2</v>
      </c>
    </row>
    <row r="73" spans="1:15" s="172" customFormat="1" x14ac:dyDescent="0.3">
      <c r="A73" s="193">
        <v>12</v>
      </c>
      <c r="B73" s="186">
        <v>5630</v>
      </c>
      <c r="C73" s="140" t="s">
        <v>3053</v>
      </c>
      <c r="D73" s="186">
        <v>5</v>
      </c>
      <c r="E73" s="194" t="s">
        <v>3105</v>
      </c>
      <c r="F73" s="188">
        <v>165</v>
      </c>
      <c r="G73" s="188">
        <v>1926781</v>
      </c>
      <c r="H73" s="188">
        <f t="shared" si="12"/>
        <v>11677.460606060606</v>
      </c>
      <c r="I73" s="179">
        <v>158</v>
      </c>
      <c r="J73" s="179">
        <v>1993658.4600000002</v>
      </c>
      <c r="K73" s="189">
        <f t="shared" si="10"/>
        <v>12618.091518987343</v>
      </c>
      <c r="L73" s="190">
        <f t="shared" si="14"/>
        <v>-7</v>
      </c>
      <c r="M73" s="190">
        <f t="shared" si="15"/>
        <v>66877.460000000196</v>
      </c>
      <c r="N73" s="190">
        <f t="shared" si="16"/>
        <v>940.63091292673744</v>
      </c>
      <c r="O73" s="191">
        <f t="shared" si="13"/>
        <v>8.0550981472679917E-2</v>
      </c>
    </row>
    <row r="74" spans="1:15" s="172" customFormat="1" x14ac:dyDescent="0.3">
      <c r="A74" s="183">
        <v>9</v>
      </c>
      <c r="B74" s="186">
        <v>5640</v>
      </c>
      <c r="C74" s="140" t="s">
        <v>48</v>
      </c>
      <c r="D74" s="186">
        <v>6</v>
      </c>
      <c r="E74" s="194" t="s">
        <v>3105</v>
      </c>
      <c r="F74" s="188">
        <v>329</v>
      </c>
      <c r="G74" s="188">
        <v>3104024</v>
      </c>
      <c r="H74" s="188">
        <f t="shared" si="12"/>
        <v>9434.7234042553191</v>
      </c>
      <c r="I74" s="179">
        <v>317</v>
      </c>
      <c r="J74" s="179">
        <v>2984035.19</v>
      </c>
      <c r="K74" s="189">
        <f t="shared" si="10"/>
        <v>9413.3602208201883</v>
      </c>
      <c r="L74" s="190">
        <f t="shared" si="14"/>
        <v>-12</v>
      </c>
      <c r="M74" s="190">
        <f t="shared" si="15"/>
        <v>-119988.81000000006</v>
      </c>
      <c r="N74" s="190">
        <f t="shared" si="16"/>
        <v>-21.36318343513085</v>
      </c>
      <c r="O74" s="191">
        <f t="shared" si="13"/>
        <v>-2.2643147572821761E-3</v>
      </c>
    </row>
    <row r="75" spans="1:15" s="172" customFormat="1" x14ac:dyDescent="0.3">
      <c r="A75" s="193">
        <v>13</v>
      </c>
      <c r="B75" s="186">
        <v>7870</v>
      </c>
      <c r="C75" s="140" t="s">
        <v>3054</v>
      </c>
      <c r="D75" s="186">
        <v>5</v>
      </c>
      <c r="E75" s="194" t="s">
        <v>3106</v>
      </c>
      <c r="F75" s="188">
        <v>693</v>
      </c>
      <c r="G75" s="188">
        <v>6698455</v>
      </c>
      <c r="H75" s="188">
        <f t="shared" si="12"/>
        <v>9665.8802308802315</v>
      </c>
      <c r="I75" s="179">
        <v>700</v>
      </c>
      <c r="J75" s="179">
        <v>6607951.5</v>
      </c>
      <c r="K75" s="189">
        <f t="shared" ref="K75:K101" si="17">J75/I75</f>
        <v>9439.9307142857142</v>
      </c>
      <c r="L75" s="190">
        <f t="shared" si="14"/>
        <v>7</v>
      </c>
      <c r="M75" s="190">
        <f t="shared" si="15"/>
        <v>-90503.5</v>
      </c>
      <c r="N75" s="190">
        <f t="shared" si="16"/>
        <v>-225.94951659451726</v>
      </c>
      <c r="O75" s="191">
        <f t="shared" si="13"/>
        <v>-2.3375989687174199E-2</v>
      </c>
    </row>
    <row r="76" spans="1:15" s="172" customFormat="1" x14ac:dyDescent="0.3">
      <c r="A76" s="193">
        <v>10</v>
      </c>
      <c r="B76" s="186">
        <v>5690</v>
      </c>
      <c r="C76" s="140" t="s">
        <v>49</v>
      </c>
      <c r="D76" s="186">
        <v>6</v>
      </c>
      <c r="E76" s="194" t="s">
        <v>3105</v>
      </c>
      <c r="F76" s="188">
        <v>483</v>
      </c>
      <c r="G76" s="188">
        <v>5113330</v>
      </c>
      <c r="H76" s="188">
        <f t="shared" si="12"/>
        <v>10586.604554865424</v>
      </c>
      <c r="I76" s="179">
        <v>474</v>
      </c>
      <c r="J76" s="179">
        <v>4668805.7699999996</v>
      </c>
      <c r="K76" s="189">
        <f t="shared" si="17"/>
        <v>9849.8012025316439</v>
      </c>
      <c r="L76" s="190">
        <f t="shared" si="14"/>
        <v>-9</v>
      </c>
      <c r="M76" s="190">
        <f t="shared" si="15"/>
        <v>-444524.23000000045</v>
      </c>
      <c r="N76" s="190">
        <f t="shared" si="16"/>
        <v>-736.80335233377991</v>
      </c>
      <c r="O76" s="191">
        <f t="shared" si="13"/>
        <v>-6.9597702314776425E-2</v>
      </c>
    </row>
    <row r="77" spans="1:15" s="172" customFormat="1" x14ac:dyDescent="0.3">
      <c r="A77" s="183">
        <v>11</v>
      </c>
      <c r="B77" s="186">
        <v>6290</v>
      </c>
      <c r="C77" s="140" t="s">
        <v>3118</v>
      </c>
      <c r="D77" s="186">
        <v>6</v>
      </c>
      <c r="E77" s="194" t="s">
        <v>3105</v>
      </c>
      <c r="F77" s="188">
        <v>211</v>
      </c>
      <c r="G77" s="188">
        <v>2182650</v>
      </c>
      <c r="H77" s="188"/>
      <c r="I77" s="179">
        <v>224</v>
      </c>
      <c r="J77" s="179">
        <v>1967059.92</v>
      </c>
      <c r="K77" s="189">
        <f t="shared" si="17"/>
        <v>8781.5174999999999</v>
      </c>
      <c r="L77" s="190">
        <f t="shared" si="14"/>
        <v>13</v>
      </c>
      <c r="M77" s="190">
        <f t="shared" si="15"/>
        <v>-215590.08000000007</v>
      </c>
      <c r="N77" s="190">
        <f t="shared" si="16"/>
        <v>8781.5174999999999</v>
      </c>
      <c r="O77" s="191"/>
    </row>
    <row r="78" spans="1:15" s="172" customFormat="1" x14ac:dyDescent="0.3">
      <c r="A78" s="183">
        <v>14</v>
      </c>
      <c r="B78" s="186">
        <v>5710</v>
      </c>
      <c r="C78" s="140" t="s">
        <v>3071</v>
      </c>
      <c r="D78" s="186">
        <v>8</v>
      </c>
      <c r="E78" s="194" t="s">
        <v>3105</v>
      </c>
      <c r="F78" s="188">
        <v>340</v>
      </c>
      <c r="G78" s="188">
        <v>3524177</v>
      </c>
      <c r="H78" s="188">
        <f t="shared" ref="H78:H118" si="18">+G78/F78</f>
        <v>10365.226470588235</v>
      </c>
      <c r="I78" s="179">
        <v>335</v>
      </c>
      <c r="J78" s="179">
        <v>2740155.7699999991</v>
      </c>
      <c r="K78" s="189">
        <f t="shared" si="17"/>
        <v>8179.5694626865643</v>
      </c>
      <c r="L78" s="190">
        <f t="shared" si="14"/>
        <v>-5</v>
      </c>
      <c r="M78" s="190">
        <f t="shared" si="15"/>
        <v>-784021.23000000091</v>
      </c>
      <c r="N78" s="190">
        <f t="shared" si="16"/>
        <v>-2185.657007901671</v>
      </c>
      <c r="O78" s="191">
        <f t="shared" ref="O78:O101" si="19">(+K78-H78)/H78</f>
        <v>-0.21086437562204399</v>
      </c>
    </row>
    <row r="79" spans="1:15" s="172" customFormat="1" x14ac:dyDescent="0.3">
      <c r="A79" s="193">
        <v>7</v>
      </c>
      <c r="B79" s="186">
        <v>5720</v>
      </c>
      <c r="C79" s="140" t="s">
        <v>125</v>
      </c>
      <c r="D79" s="186">
        <v>3</v>
      </c>
      <c r="E79" s="194" t="s">
        <v>3105</v>
      </c>
      <c r="F79" s="188">
        <v>543</v>
      </c>
      <c r="G79" s="188">
        <v>4785223</v>
      </c>
      <c r="H79" s="188">
        <f t="shared" si="18"/>
        <v>8812.565377532228</v>
      </c>
      <c r="I79" s="179">
        <v>571</v>
      </c>
      <c r="J79" s="179">
        <v>4684921.3499999996</v>
      </c>
      <c r="K79" s="189">
        <f t="shared" si="17"/>
        <v>8204.7659369527137</v>
      </c>
      <c r="L79" s="190">
        <f t="shared" si="14"/>
        <v>28</v>
      </c>
      <c r="M79" s="190">
        <f t="shared" si="15"/>
        <v>-100301.65000000037</v>
      </c>
      <c r="N79" s="190">
        <f t="shared" si="16"/>
        <v>-607.79944057951434</v>
      </c>
      <c r="O79" s="191">
        <f t="shared" si="19"/>
        <v>-6.8969637618701632E-2</v>
      </c>
    </row>
    <row r="80" spans="1:15" s="172" customFormat="1" x14ac:dyDescent="0.3">
      <c r="A80" s="183">
        <v>11</v>
      </c>
      <c r="B80" s="186">
        <v>5730</v>
      </c>
      <c r="C80" s="140" t="s">
        <v>51</v>
      </c>
      <c r="D80" s="186">
        <v>7</v>
      </c>
      <c r="E80" s="194" t="s">
        <v>3105</v>
      </c>
      <c r="F80" s="188">
        <v>336</v>
      </c>
      <c r="G80" s="188">
        <v>3391478</v>
      </c>
      <c r="H80" s="188">
        <f t="shared" si="18"/>
        <v>10093.684523809523</v>
      </c>
      <c r="I80" s="179">
        <v>336</v>
      </c>
      <c r="J80" s="179">
        <v>2942565.25</v>
      </c>
      <c r="K80" s="189">
        <f t="shared" si="17"/>
        <v>8757.6346726190477</v>
      </c>
      <c r="L80" s="190">
        <f t="shared" si="14"/>
        <v>0</v>
      </c>
      <c r="M80" s="190">
        <f t="shared" si="15"/>
        <v>-448912.75</v>
      </c>
      <c r="N80" s="190">
        <f t="shared" si="16"/>
        <v>-1336.0498511904752</v>
      </c>
      <c r="O80" s="191">
        <f t="shared" si="19"/>
        <v>-0.13236493057009355</v>
      </c>
    </row>
    <row r="81" spans="1:15" s="172" customFormat="1" x14ac:dyDescent="0.3">
      <c r="A81" s="193">
        <v>14</v>
      </c>
      <c r="B81" s="186">
        <v>5740</v>
      </c>
      <c r="C81" s="140" t="s">
        <v>3055</v>
      </c>
      <c r="D81" s="186">
        <v>5</v>
      </c>
      <c r="E81" s="194" t="s">
        <v>3109</v>
      </c>
      <c r="F81" s="188">
        <v>435</v>
      </c>
      <c r="G81" s="188">
        <v>4283078</v>
      </c>
      <c r="H81" s="188">
        <f t="shared" si="18"/>
        <v>9846.1563218390802</v>
      </c>
      <c r="I81" s="179">
        <v>282</v>
      </c>
      <c r="J81" s="179">
        <v>3345502.32</v>
      </c>
      <c r="K81" s="189">
        <f t="shared" si="17"/>
        <v>11863.483404255319</v>
      </c>
      <c r="L81" s="190">
        <f t="shared" si="14"/>
        <v>-153</v>
      </c>
      <c r="M81" s="190">
        <f t="shared" si="15"/>
        <v>-937575.68000000017</v>
      </c>
      <c r="N81" s="190">
        <f t="shared" si="16"/>
        <v>2017.3270824162391</v>
      </c>
      <c r="O81" s="191">
        <f t="shared" si="19"/>
        <v>0.20488473029234211</v>
      </c>
    </row>
    <row r="82" spans="1:15" s="172" customFormat="1" x14ac:dyDescent="0.3">
      <c r="A82" s="183">
        <v>15</v>
      </c>
      <c r="B82" s="186">
        <v>5750</v>
      </c>
      <c r="C82" s="140" t="s">
        <v>53</v>
      </c>
      <c r="D82" s="186">
        <v>8</v>
      </c>
      <c r="E82" s="194" t="s">
        <v>3105</v>
      </c>
      <c r="F82" s="188">
        <v>309</v>
      </c>
      <c r="G82" s="188">
        <v>3145538</v>
      </c>
      <c r="H82" s="188">
        <f t="shared" si="18"/>
        <v>10179.734627831715</v>
      </c>
      <c r="I82" s="179">
        <v>346</v>
      </c>
      <c r="J82" s="179">
        <v>3335759.29</v>
      </c>
      <c r="K82" s="189">
        <f t="shared" si="17"/>
        <v>9640.9228034682073</v>
      </c>
      <c r="L82" s="190">
        <f t="shared" si="14"/>
        <v>37</v>
      </c>
      <c r="M82" s="190">
        <f t="shared" si="15"/>
        <v>190221.29000000004</v>
      </c>
      <c r="N82" s="190">
        <f t="shared" si="16"/>
        <v>-538.81182436350718</v>
      </c>
      <c r="O82" s="191">
        <f t="shared" si="19"/>
        <v>-5.2929849751719334E-2</v>
      </c>
    </row>
    <row r="83" spans="1:15" s="172" customFormat="1" x14ac:dyDescent="0.3">
      <c r="A83" s="193">
        <v>8</v>
      </c>
      <c r="B83" s="186">
        <v>5760</v>
      </c>
      <c r="C83" s="140" t="s">
        <v>3034</v>
      </c>
      <c r="D83" s="186">
        <v>3</v>
      </c>
      <c r="E83" s="194" t="s">
        <v>3105</v>
      </c>
      <c r="F83" s="188">
        <v>686</v>
      </c>
      <c r="G83" s="188">
        <v>7754483</v>
      </c>
      <c r="H83" s="188">
        <f t="shared" si="18"/>
        <v>11303.911078717201</v>
      </c>
      <c r="I83" s="179">
        <v>668</v>
      </c>
      <c r="J83" s="179">
        <v>7360439.8899999987</v>
      </c>
      <c r="K83" s="189">
        <f t="shared" si="17"/>
        <v>11018.622589820357</v>
      </c>
      <c r="L83" s="190">
        <f t="shared" si="14"/>
        <v>-18</v>
      </c>
      <c r="M83" s="190">
        <f t="shared" si="15"/>
        <v>-394043.11000000127</v>
      </c>
      <c r="N83" s="190">
        <f t="shared" si="16"/>
        <v>-285.28848889684377</v>
      </c>
      <c r="O83" s="191">
        <f t="shared" si="19"/>
        <v>-2.5238033713302979E-2</v>
      </c>
    </row>
    <row r="84" spans="1:15" s="172" customFormat="1" x14ac:dyDescent="0.3">
      <c r="A84" s="183">
        <v>16</v>
      </c>
      <c r="B84" s="186">
        <v>5780</v>
      </c>
      <c r="C84" s="140" t="s">
        <v>1917</v>
      </c>
      <c r="D84" s="186">
        <v>8</v>
      </c>
      <c r="E84" s="194" t="s">
        <v>3105</v>
      </c>
      <c r="F84" s="188">
        <v>312</v>
      </c>
      <c r="G84" s="188">
        <v>3726890</v>
      </c>
      <c r="H84" s="188">
        <f t="shared" si="18"/>
        <v>11945.160256410256</v>
      </c>
      <c r="I84" s="179">
        <v>331</v>
      </c>
      <c r="J84" s="179">
        <v>3669978.6899999995</v>
      </c>
      <c r="K84" s="189">
        <f t="shared" si="17"/>
        <v>11087.548912386705</v>
      </c>
      <c r="L84" s="190">
        <f t="shared" si="14"/>
        <v>19</v>
      </c>
      <c r="M84" s="190">
        <f t="shared" si="15"/>
        <v>-56911.310000000522</v>
      </c>
      <c r="N84" s="190">
        <f t="shared" si="16"/>
        <v>-857.61134402355128</v>
      </c>
      <c r="O84" s="191">
        <f t="shared" si="19"/>
        <v>-7.1795716894072006E-2</v>
      </c>
    </row>
    <row r="85" spans="1:15" s="172" customFormat="1" x14ac:dyDescent="0.3">
      <c r="A85" s="193">
        <v>12</v>
      </c>
      <c r="B85" s="186">
        <v>5790</v>
      </c>
      <c r="C85" s="140" t="s">
        <v>55</v>
      </c>
      <c r="D85" s="186">
        <v>6</v>
      </c>
      <c r="E85" s="194" t="s">
        <v>3105</v>
      </c>
      <c r="F85" s="188">
        <v>251</v>
      </c>
      <c r="G85" s="188">
        <v>2794753</v>
      </c>
      <c r="H85" s="188">
        <f t="shared" si="18"/>
        <v>11134.474103585657</v>
      </c>
      <c r="I85" s="179">
        <v>245</v>
      </c>
      <c r="J85" s="179">
        <v>2435339.9899999998</v>
      </c>
      <c r="K85" s="189">
        <f t="shared" si="17"/>
        <v>9940.1632244897955</v>
      </c>
      <c r="L85" s="190">
        <f t="shared" si="14"/>
        <v>-6</v>
      </c>
      <c r="M85" s="190">
        <f t="shared" si="15"/>
        <v>-359413.01000000024</v>
      </c>
      <c r="N85" s="190">
        <f t="shared" si="16"/>
        <v>-1194.3108790958613</v>
      </c>
      <c r="O85" s="191">
        <f t="shared" si="19"/>
        <v>-0.10726244167304273</v>
      </c>
    </row>
    <row r="86" spans="1:15" s="172" customFormat="1" x14ac:dyDescent="0.3">
      <c r="A86" s="183">
        <v>13</v>
      </c>
      <c r="B86" s="186">
        <v>5800</v>
      </c>
      <c r="C86" s="140" t="s">
        <v>127</v>
      </c>
      <c r="D86" s="186">
        <v>6</v>
      </c>
      <c r="E86" s="194" t="s">
        <v>3105</v>
      </c>
      <c r="F86" s="188">
        <v>160</v>
      </c>
      <c r="G86" s="188">
        <v>2018562</v>
      </c>
      <c r="H86" s="188">
        <f t="shared" si="18"/>
        <v>12616.012500000001</v>
      </c>
      <c r="I86" s="179">
        <v>230</v>
      </c>
      <c r="J86" s="179">
        <v>2368463.8400000003</v>
      </c>
      <c r="K86" s="189">
        <f t="shared" si="17"/>
        <v>10297.668869565219</v>
      </c>
      <c r="L86" s="190">
        <f t="shared" si="14"/>
        <v>70</v>
      </c>
      <c r="M86" s="190">
        <f t="shared" si="15"/>
        <v>349901.84000000032</v>
      </c>
      <c r="N86" s="190">
        <f t="shared" si="16"/>
        <v>-2318.3436304347815</v>
      </c>
      <c r="O86" s="191">
        <f t="shared" si="19"/>
        <v>-0.18376199535588456</v>
      </c>
    </row>
    <row r="87" spans="1:15" s="172" customFormat="1" x14ac:dyDescent="0.3">
      <c r="A87" s="193">
        <v>15</v>
      </c>
      <c r="B87" s="186">
        <v>7230</v>
      </c>
      <c r="C87" s="140" t="s">
        <v>3056</v>
      </c>
      <c r="D87" s="186">
        <v>5</v>
      </c>
      <c r="E87" s="194" t="s">
        <v>3106</v>
      </c>
      <c r="F87" s="188">
        <v>380</v>
      </c>
      <c r="G87" s="188">
        <v>3938855</v>
      </c>
      <c r="H87" s="188">
        <f t="shared" si="18"/>
        <v>10365.407894736842</v>
      </c>
      <c r="I87" s="179">
        <v>340</v>
      </c>
      <c r="J87" s="179">
        <v>4293873.16</v>
      </c>
      <c r="K87" s="189">
        <f t="shared" si="17"/>
        <v>12629.038705882353</v>
      </c>
      <c r="L87" s="190">
        <f t="shared" si="14"/>
        <v>-40</v>
      </c>
      <c r="M87" s="190">
        <f t="shared" si="15"/>
        <v>355018.16000000015</v>
      </c>
      <c r="N87" s="190">
        <f t="shared" si="16"/>
        <v>2263.630811145511</v>
      </c>
      <c r="O87" s="191">
        <f t="shared" si="19"/>
        <v>0.21838318705189558</v>
      </c>
    </row>
    <row r="88" spans="1:15" s="172" customFormat="1" x14ac:dyDescent="0.3">
      <c r="A88" s="193">
        <v>12</v>
      </c>
      <c r="B88" s="186">
        <v>5820</v>
      </c>
      <c r="C88" s="140" t="s">
        <v>56</v>
      </c>
      <c r="D88" s="186">
        <v>7</v>
      </c>
      <c r="E88" s="194" t="s">
        <v>3105</v>
      </c>
      <c r="F88" s="188">
        <v>209</v>
      </c>
      <c r="G88" s="188">
        <v>2114410</v>
      </c>
      <c r="H88" s="188">
        <f t="shared" si="18"/>
        <v>10116.794258373206</v>
      </c>
      <c r="I88" s="179">
        <v>263</v>
      </c>
      <c r="J88" s="179">
        <v>2415996.5699999994</v>
      </c>
      <c r="K88" s="189">
        <f t="shared" si="17"/>
        <v>9186.2987452471461</v>
      </c>
      <c r="L88" s="190">
        <f t="shared" si="14"/>
        <v>54</v>
      </c>
      <c r="M88" s="190">
        <f t="shared" si="15"/>
        <v>301586.56999999937</v>
      </c>
      <c r="N88" s="190">
        <f t="shared" si="16"/>
        <v>-930.49551312605945</v>
      </c>
      <c r="O88" s="191">
        <f t="shared" si="19"/>
        <v>-9.1975332240836177E-2</v>
      </c>
    </row>
    <row r="89" spans="1:15" s="172" customFormat="1" x14ac:dyDescent="0.3">
      <c r="A89" s="193">
        <v>7</v>
      </c>
      <c r="B89" s="186">
        <v>5830</v>
      </c>
      <c r="C89" s="140" t="s">
        <v>3039</v>
      </c>
      <c r="D89" s="186">
        <v>4</v>
      </c>
      <c r="E89" s="194" t="s">
        <v>3105</v>
      </c>
      <c r="F89" s="188">
        <v>311</v>
      </c>
      <c r="G89" s="188">
        <v>4237969</v>
      </c>
      <c r="H89" s="188">
        <f t="shared" si="18"/>
        <v>13626.909967845659</v>
      </c>
      <c r="I89" s="179">
        <v>391</v>
      </c>
      <c r="J89" s="179">
        <v>4746449.7800000012</v>
      </c>
      <c r="K89" s="189">
        <f t="shared" si="17"/>
        <v>12139.257749360617</v>
      </c>
      <c r="L89" s="190">
        <f t="shared" si="14"/>
        <v>80</v>
      </c>
      <c r="M89" s="190">
        <f t="shared" si="15"/>
        <v>508480.78000000119</v>
      </c>
      <c r="N89" s="190">
        <f t="shared" si="16"/>
        <v>-1487.6522184850419</v>
      </c>
      <c r="O89" s="191">
        <f t="shared" si="19"/>
        <v>-0.10917018032667253</v>
      </c>
    </row>
    <row r="90" spans="1:15" s="172" customFormat="1" x14ac:dyDescent="0.3">
      <c r="A90" s="195">
        <v>14</v>
      </c>
      <c r="B90" s="196">
        <v>7380</v>
      </c>
      <c r="C90" s="141" t="s">
        <v>2024</v>
      </c>
      <c r="D90" s="196">
        <v>6</v>
      </c>
      <c r="E90" s="197" t="s">
        <v>3115</v>
      </c>
      <c r="F90" s="198">
        <v>101</v>
      </c>
      <c r="G90" s="198">
        <v>2787848</v>
      </c>
      <c r="H90" s="198">
        <f t="shared" si="18"/>
        <v>27602.455445544554</v>
      </c>
      <c r="I90" s="179">
        <v>83</v>
      </c>
      <c r="J90" s="179">
        <v>2439532.8499999996</v>
      </c>
      <c r="K90" s="199">
        <f t="shared" si="17"/>
        <v>29391.962048192767</v>
      </c>
      <c r="L90" s="200">
        <f t="shared" si="14"/>
        <v>-18</v>
      </c>
      <c r="M90" s="200">
        <f t="shared" si="15"/>
        <v>-348315.15000000037</v>
      </c>
      <c r="N90" s="200">
        <f t="shared" si="16"/>
        <v>1789.5066026482127</v>
      </c>
      <c r="O90" s="201">
        <f t="shared" si="19"/>
        <v>6.4831427993014501E-2</v>
      </c>
    </row>
    <row r="91" spans="1:15" s="172" customFormat="1" x14ac:dyDescent="0.3">
      <c r="A91" s="173">
        <v>13</v>
      </c>
      <c r="B91" s="176">
        <v>5840</v>
      </c>
      <c r="C91" s="142" t="s">
        <v>2041</v>
      </c>
      <c r="D91" s="176">
        <v>7</v>
      </c>
      <c r="E91" s="203" t="s">
        <v>3105</v>
      </c>
      <c r="F91" s="178">
        <v>403</v>
      </c>
      <c r="G91" s="178">
        <v>3824840</v>
      </c>
      <c r="H91" s="178">
        <f t="shared" si="18"/>
        <v>9490.9181141439203</v>
      </c>
      <c r="I91" s="179">
        <v>358</v>
      </c>
      <c r="J91" s="179">
        <v>3609060.1999999997</v>
      </c>
      <c r="K91" s="179">
        <f t="shared" si="17"/>
        <v>10081.17374301676</v>
      </c>
      <c r="L91" s="204">
        <f t="shared" si="14"/>
        <v>-45</v>
      </c>
      <c r="M91" s="204">
        <f t="shared" si="15"/>
        <v>-215779.80000000028</v>
      </c>
      <c r="N91" s="204">
        <f t="shared" si="16"/>
        <v>590.25562887283922</v>
      </c>
      <c r="O91" s="182">
        <f t="shared" si="19"/>
        <v>6.2191625907424677E-2</v>
      </c>
    </row>
    <row r="92" spans="1:15" s="172" customFormat="1" x14ac:dyDescent="0.3">
      <c r="A92" s="193">
        <v>8</v>
      </c>
      <c r="B92" s="186">
        <v>5850</v>
      </c>
      <c r="C92" s="140" t="s">
        <v>3040</v>
      </c>
      <c r="D92" s="186">
        <v>4</v>
      </c>
      <c r="E92" s="194" t="s">
        <v>3105</v>
      </c>
      <c r="F92" s="188">
        <v>432</v>
      </c>
      <c r="G92" s="188">
        <v>4870734</v>
      </c>
      <c r="H92" s="188">
        <f t="shared" si="18"/>
        <v>11274.847222222223</v>
      </c>
      <c r="I92" s="179">
        <v>451</v>
      </c>
      <c r="J92" s="179">
        <v>4817694.4499999993</v>
      </c>
      <c r="K92" s="189">
        <f t="shared" si="17"/>
        <v>10682.249334811528</v>
      </c>
      <c r="L92" s="190">
        <f t="shared" si="14"/>
        <v>19</v>
      </c>
      <c r="M92" s="190">
        <f t="shared" si="15"/>
        <v>-53039.550000000745</v>
      </c>
      <c r="N92" s="190">
        <f t="shared" si="16"/>
        <v>-592.59788741069497</v>
      </c>
      <c r="O92" s="191">
        <f t="shared" si="19"/>
        <v>-5.2559283130924457E-2</v>
      </c>
    </row>
    <row r="93" spans="1:15" s="172" customFormat="1" x14ac:dyDescent="0.3">
      <c r="A93" s="193">
        <v>14</v>
      </c>
      <c r="B93" s="186">
        <v>5870</v>
      </c>
      <c r="C93" s="140" t="s">
        <v>61</v>
      </c>
      <c r="D93" s="186">
        <v>7</v>
      </c>
      <c r="E93" s="194" t="s">
        <v>3105</v>
      </c>
      <c r="F93" s="188">
        <v>124</v>
      </c>
      <c r="G93" s="188">
        <v>1611310</v>
      </c>
      <c r="H93" s="188">
        <f t="shared" si="18"/>
        <v>12994.435483870968</v>
      </c>
      <c r="I93" s="179">
        <v>0</v>
      </c>
      <c r="J93" s="179">
        <v>0</v>
      </c>
      <c r="K93" s="189">
        <v>0</v>
      </c>
      <c r="L93" s="190">
        <f t="shared" si="14"/>
        <v>-124</v>
      </c>
      <c r="M93" s="190">
        <f t="shared" si="15"/>
        <v>-1611310</v>
      </c>
      <c r="N93" s="190">
        <f t="shared" si="16"/>
        <v>-12994.435483870968</v>
      </c>
      <c r="O93" s="191">
        <f t="shared" si="19"/>
        <v>-1</v>
      </c>
    </row>
    <row r="94" spans="1:15" s="172" customFormat="1" x14ac:dyDescent="0.3">
      <c r="A94" s="183">
        <v>15</v>
      </c>
      <c r="B94" s="186">
        <v>6470</v>
      </c>
      <c r="C94" s="140" t="s">
        <v>91</v>
      </c>
      <c r="D94" s="186">
        <v>7</v>
      </c>
      <c r="E94" s="194" t="s">
        <v>3111</v>
      </c>
      <c r="F94" s="188">
        <v>170</v>
      </c>
      <c r="G94" s="188">
        <v>2522708</v>
      </c>
      <c r="H94" s="188">
        <f t="shared" si="18"/>
        <v>14839.458823529412</v>
      </c>
      <c r="I94" s="179">
        <v>204</v>
      </c>
      <c r="J94" s="179">
        <v>2714784.0700000003</v>
      </c>
      <c r="K94" s="189">
        <f t="shared" si="17"/>
        <v>13307.76504901961</v>
      </c>
      <c r="L94" s="190">
        <f t="shared" si="14"/>
        <v>34</v>
      </c>
      <c r="M94" s="190">
        <f t="shared" si="15"/>
        <v>192076.0700000003</v>
      </c>
      <c r="N94" s="190">
        <f t="shared" si="16"/>
        <v>-1531.6937745098021</v>
      </c>
      <c r="O94" s="191">
        <f t="shared" si="19"/>
        <v>-0.10321763028724147</v>
      </c>
    </row>
    <row r="95" spans="1:15" s="172" customFormat="1" x14ac:dyDescent="0.3">
      <c r="A95" s="193">
        <v>9</v>
      </c>
      <c r="B95" s="186">
        <v>7240</v>
      </c>
      <c r="C95" s="140" t="s">
        <v>3041</v>
      </c>
      <c r="D95" s="186">
        <v>4</v>
      </c>
      <c r="E95" s="194" t="s">
        <v>3106</v>
      </c>
      <c r="F95" s="188">
        <v>600</v>
      </c>
      <c r="G95" s="188">
        <v>6699152</v>
      </c>
      <c r="H95" s="188">
        <f t="shared" si="18"/>
        <v>11165.253333333334</v>
      </c>
      <c r="I95" s="179">
        <v>496</v>
      </c>
      <c r="J95" s="179">
        <v>5740428.8799999999</v>
      </c>
      <c r="K95" s="189">
        <f t="shared" si="17"/>
        <v>11573.445322580645</v>
      </c>
      <c r="L95" s="190">
        <f t="shared" si="14"/>
        <v>-104</v>
      </c>
      <c r="M95" s="190">
        <f t="shared" si="15"/>
        <v>-958723.12000000011</v>
      </c>
      <c r="N95" s="190">
        <f t="shared" si="16"/>
        <v>408.19198924731063</v>
      </c>
      <c r="O95" s="191">
        <f t="shared" si="19"/>
        <v>3.6559133685634591E-2</v>
      </c>
    </row>
    <row r="96" spans="1:15" s="172" customFormat="1" x14ac:dyDescent="0.3">
      <c r="A96" s="193">
        <v>10</v>
      </c>
      <c r="B96" s="186">
        <v>7450</v>
      </c>
      <c r="C96" s="140" t="s">
        <v>2185</v>
      </c>
      <c r="D96" s="186">
        <v>4</v>
      </c>
      <c r="E96" s="194" t="s">
        <v>3108</v>
      </c>
      <c r="F96" s="188">
        <v>350</v>
      </c>
      <c r="G96" s="188">
        <v>1599972</v>
      </c>
      <c r="H96" s="188">
        <f t="shared" si="18"/>
        <v>4571.3485714285716</v>
      </c>
      <c r="I96" s="179">
        <v>661</v>
      </c>
      <c r="J96" s="179">
        <v>2104991.6999999997</v>
      </c>
      <c r="K96" s="189">
        <f t="shared" si="17"/>
        <v>3184.5562783661117</v>
      </c>
      <c r="L96" s="190">
        <f t="shared" si="14"/>
        <v>311</v>
      </c>
      <c r="M96" s="190">
        <f t="shared" si="15"/>
        <v>505019.69999999972</v>
      </c>
      <c r="N96" s="190">
        <f t="shared" si="16"/>
        <v>-1386.79229306246</v>
      </c>
      <c r="O96" s="191">
        <f t="shared" si="19"/>
        <v>-0.30336612301456584</v>
      </c>
    </row>
    <row r="97" spans="1:23" s="172" customFormat="1" x14ac:dyDescent="0.3">
      <c r="A97" s="193">
        <v>6</v>
      </c>
      <c r="B97" s="186">
        <v>5880</v>
      </c>
      <c r="C97" s="140" t="s">
        <v>2201</v>
      </c>
      <c r="D97" s="186">
        <v>2</v>
      </c>
      <c r="E97" s="194" t="s">
        <v>3105</v>
      </c>
      <c r="F97" s="188">
        <v>169</v>
      </c>
      <c r="G97" s="188">
        <v>1744019</v>
      </c>
      <c r="H97" s="188">
        <f t="shared" si="18"/>
        <v>10319.639053254437</v>
      </c>
      <c r="I97" s="179">
        <v>154</v>
      </c>
      <c r="J97" s="179">
        <v>1562233.37</v>
      </c>
      <c r="K97" s="189">
        <f t="shared" si="17"/>
        <v>10144.372532467532</v>
      </c>
      <c r="L97" s="190">
        <f t="shared" si="14"/>
        <v>-15</v>
      </c>
      <c r="M97" s="190">
        <f t="shared" si="15"/>
        <v>-181785.62999999989</v>
      </c>
      <c r="N97" s="192">
        <f t="shared" si="16"/>
        <v>-175.26652078690495</v>
      </c>
      <c r="O97" s="191">
        <f t="shared" si="19"/>
        <v>-1.6983784014386848E-2</v>
      </c>
    </row>
    <row r="98" spans="1:23" s="172" customFormat="1" x14ac:dyDescent="0.3">
      <c r="A98" s="183">
        <v>17</v>
      </c>
      <c r="B98" s="186">
        <v>5900</v>
      </c>
      <c r="C98" s="140" t="s">
        <v>63</v>
      </c>
      <c r="D98" s="186">
        <v>8</v>
      </c>
      <c r="E98" s="194" t="s">
        <v>3105</v>
      </c>
      <c r="F98" s="188">
        <v>357</v>
      </c>
      <c r="G98" s="188">
        <v>3469504</v>
      </c>
      <c r="H98" s="188">
        <f t="shared" si="18"/>
        <v>9718.4985994397757</v>
      </c>
      <c r="I98" s="179">
        <v>387</v>
      </c>
      <c r="J98" s="179">
        <v>3388245.7299999995</v>
      </c>
      <c r="K98" s="189">
        <f t="shared" si="17"/>
        <v>8755.1569250645989</v>
      </c>
      <c r="L98" s="190">
        <f t="shared" si="14"/>
        <v>30</v>
      </c>
      <c r="M98" s="190">
        <f t="shared" si="15"/>
        <v>-81258.270000000484</v>
      </c>
      <c r="N98" s="190">
        <f t="shared" si="16"/>
        <v>-963.34167437517681</v>
      </c>
      <c r="O98" s="191">
        <f t="shared" si="19"/>
        <v>-9.9124537038129401E-2</v>
      </c>
    </row>
    <row r="99" spans="1:23" s="172" customFormat="1" x14ac:dyDescent="0.3">
      <c r="A99" s="193">
        <v>7</v>
      </c>
      <c r="B99" s="186">
        <v>7250</v>
      </c>
      <c r="C99" s="140" t="s">
        <v>3033</v>
      </c>
      <c r="D99" s="186">
        <v>2</v>
      </c>
      <c r="E99" s="194" t="s">
        <v>3106</v>
      </c>
      <c r="F99" s="188">
        <v>520</v>
      </c>
      <c r="G99" s="188">
        <v>4515144</v>
      </c>
      <c r="H99" s="188">
        <f t="shared" si="18"/>
        <v>8682.9692307692312</v>
      </c>
      <c r="I99" s="179">
        <v>549</v>
      </c>
      <c r="J99" s="179">
        <v>4548941</v>
      </c>
      <c r="K99" s="189">
        <f t="shared" si="17"/>
        <v>8285.8670309653917</v>
      </c>
      <c r="L99" s="190">
        <f t="shared" si="14"/>
        <v>29</v>
      </c>
      <c r="M99" s="190">
        <f t="shared" si="15"/>
        <v>33797</v>
      </c>
      <c r="N99" s="192">
        <f t="shared" si="16"/>
        <v>-397.10219980383954</v>
      </c>
      <c r="O99" s="191">
        <f t="shared" si="19"/>
        <v>-4.5733456983430995E-2</v>
      </c>
    </row>
    <row r="100" spans="1:23" s="172" customFormat="1" x14ac:dyDescent="0.3">
      <c r="A100" s="183">
        <v>15</v>
      </c>
      <c r="B100" s="186">
        <v>5810</v>
      </c>
      <c r="C100" s="140" t="s">
        <v>3061</v>
      </c>
      <c r="D100" s="186">
        <v>6</v>
      </c>
      <c r="E100" s="194" t="s">
        <v>3119</v>
      </c>
      <c r="F100" s="188">
        <v>84</v>
      </c>
      <c r="G100" s="188">
        <v>1070678</v>
      </c>
      <c r="H100" s="188">
        <f t="shared" si="18"/>
        <v>12746.166666666666</v>
      </c>
      <c r="I100" s="179">
        <v>126</v>
      </c>
      <c r="J100" s="179">
        <v>1482969.9599999997</v>
      </c>
      <c r="K100" s="189">
        <f t="shared" si="17"/>
        <v>11769.602857142854</v>
      </c>
      <c r="L100" s="190">
        <f t="shared" si="14"/>
        <v>42</v>
      </c>
      <c r="M100" s="190">
        <f t="shared" si="15"/>
        <v>412291.95999999973</v>
      </c>
      <c r="N100" s="190">
        <f t="shared" si="16"/>
        <v>-976.56380952381187</v>
      </c>
      <c r="O100" s="191">
        <f t="shared" si="19"/>
        <v>-7.6616274921124938E-2</v>
      </c>
    </row>
    <row r="101" spans="1:23" s="172" customFormat="1" x14ac:dyDescent="0.3">
      <c r="A101" s="193">
        <v>8</v>
      </c>
      <c r="B101" s="186">
        <v>5910</v>
      </c>
      <c r="C101" s="140" t="s">
        <v>64</v>
      </c>
      <c r="D101" s="186">
        <v>2</v>
      </c>
      <c r="E101" s="194" t="s">
        <v>3105</v>
      </c>
      <c r="F101" s="188">
        <v>280</v>
      </c>
      <c r="G101" s="188">
        <v>3486653</v>
      </c>
      <c r="H101" s="188">
        <f t="shared" si="18"/>
        <v>12452.332142857143</v>
      </c>
      <c r="I101" s="179">
        <v>257</v>
      </c>
      <c r="J101" s="179">
        <v>3173288.0000000005</v>
      </c>
      <c r="K101" s="189">
        <f t="shared" si="17"/>
        <v>12347.42412451362</v>
      </c>
      <c r="L101" s="190">
        <f t="shared" ref="L101:L136" si="20">+I101-F101</f>
        <v>-23</v>
      </c>
      <c r="M101" s="190">
        <f t="shared" ref="M101:M136" si="21">+J101-G101</f>
        <v>-313364.99999999953</v>
      </c>
      <c r="N101" s="192">
        <f t="shared" si="16"/>
        <v>-104.90801834352351</v>
      </c>
      <c r="O101" s="191">
        <f t="shared" si="19"/>
        <v>-8.4247687212311E-3</v>
      </c>
    </row>
    <row r="102" spans="1:23" s="172" customFormat="1" x14ac:dyDescent="0.3">
      <c r="A102" s="208">
        <v>16</v>
      </c>
      <c r="B102" s="214">
        <v>5930</v>
      </c>
      <c r="C102" s="215" t="s">
        <v>3057</v>
      </c>
      <c r="D102" s="209">
        <v>5</v>
      </c>
      <c r="E102" s="211" t="s">
        <v>3119</v>
      </c>
      <c r="F102" s="188"/>
      <c r="G102" s="188"/>
      <c r="H102" s="188">
        <v>0</v>
      </c>
      <c r="I102" s="179">
        <v>0</v>
      </c>
      <c r="J102" s="179">
        <v>0</v>
      </c>
      <c r="K102" s="189"/>
      <c r="L102" s="190">
        <f t="shared" si="20"/>
        <v>0</v>
      </c>
      <c r="M102" s="190">
        <f t="shared" si="21"/>
        <v>0</v>
      </c>
      <c r="N102" s="190">
        <f t="shared" ref="N102:N136" si="22">+K102-H102</f>
        <v>0</v>
      </c>
      <c r="O102" s="191"/>
    </row>
    <row r="103" spans="1:23" s="172" customFormat="1" x14ac:dyDescent="0.3">
      <c r="A103" s="193">
        <v>11</v>
      </c>
      <c r="B103" s="186">
        <v>7370</v>
      </c>
      <c r="C103" s="140" t="s">
        <v>2309</v>
      </c>
      <c r="D103" s="186">
        <v>4</v>
      </c>
      <c r="E103" s="194" t="s">
        <v>3115</v>
      </c>
      <c r="F103" s="188">
        <v>97</v>
      </c>
      <c r="G103" s="188">
        <v>2948750</v>
      </c>
      <c r="H103" s="188">
        <f t="shared" si="18"/>
        <v>30399.484536082473</v>
      </c>
      <c r="I103" s="179">
        <v>85</v>
      </c>
      <c r="J103" s="179">
        <v>2841944.5300000003</v>
      </c>
      <c r="K103" s="189">
        <f t="shared" ref="K103:K117" si="23">J103/I103</f>
        <v>33434.641529411769</v>
      </c>
      <c r="L103" s="190">
        <f t="shared" si="20"/>
        <v>-12</v>
      </c>
      <c r="M103" s="190">
        <f t="shared" si="21"/>
        <v>-106805.46999999974</v>
      </c>
      <c r="N103" s="190">
        <f t="shared" si="22"/>
        <v>3035.1569933292958</v>
      </c>
      <c r="O103" s="191">
        <f t="shared" ref="O103:O132" si="24">(+K103-H103)/H103</f>
        <v>9.9842383502481286E-2</v>
      </c>
    </row>
    <row r="104" spans="1:23" s="172" customFormat="1" x14ac:dyDescent="0.3">
      <c r="A104" s="193">
        <v>9</v>
      </c>
      <c r="B104" s="186">
        <v>6480</v>
      </c>
      <c r="C104" s="140" t="s">
        <v>3030</v>
      </c>
      <c r="D104" s="186">
        <v>1</v>
      </c>
      <c r="E104" s="194" t="s">
        <v>3111</v>
      </c>
      <c r="F104" s="188">
        <v>166</v>
      </c>
      <c r="G104" s="188">
        <v>2470071</v>
      </c>
      <c r="H104" s="188">
        <f t="shared" si="18"/>
        <v>14879.945783132531</v>
      </c>
      <c r="I104" s="179">
        <v>131</v>
      </c>
      <c r="J104" s="179">
        <v>2095945.98</v>
      </c>
      <c r="K104" s="189">
        <f t="shared" si="23"/>
        <v>15999.587633587786</v>
      </c>
      <c r="L104" s="190">
        <f t="shared" si="20"/>
        <v>-35</v>
      </c>
      <c r="M104" s="190">
        <f t="shared" si="21"/>
        <v>-374125.02</v>
      </c>
      <c r="N104" s="192">
        <f t="shared" si="22"/>
        <v>1119.6418504552548</v>
      </c>
      <c r="O104" s="191">
        <f t="shared" si="24"/>
        <v>7.5245022177731852E-2</v>
      </c>
    </row>
    <row r="105" spans="1:23" s="172" customFormat="1" x14ac:dyDescent="0.3">
      <c r="A105" s="193">
        <v>12</v>
      </c>
      <c r="B105" s="186">
        <v>5940</v>
      </c>
      <c r="C105" s="140" t="s">
        <v>129</v>
      </c>
      <c r="D105" s="186">
        <v>4</v>
      </c>
      <c r="E105" s="194" t="s">
        <v>3105</v>
      </c>
      <c r="F105" s="188">
        <v>356</v>
      </c>
      <c r="G105" s="188">
        <v>3146557</v>
      </c>
      <c r="H105" s="188">
        <f t="shared" si="18"/>
        <v>8838.643258426966</v>
      </c>
      <c r="I105" s="179">
        <v>314</v>
      </c>
      <c r="J105" s="179">
        <v>2922541.1400000006</v>
      </c>
      <c r="K105" s="189">
        <f t="shared" si="23"/>
        <v>9307.4558598726126</v>
      </c>
      <c r="L105" s="190">
        <f t="shared" si="20"/>
        <v>-42</v>
      </c>
      <c r="M105" s="190">
        <f t="shared" si="21"/>
        <v>-224015.8599999994</v>
      </c>
      <c r="N105" s="190">
        <f t="shared" si="22"/>
        <v>468.81260144564658</v>
      </c>
      <c r="O105" s="191">
        <f t="shared" si="24"/>
        <v>5.3041240350850213E-2</v>
      </c>
    </row>
    <row r="106" spans="1:23" s="172" customFormat="1" x14ac:dyDescent="0.3">
      <c r="A106" s="183">
        <v>18</v>
      </c>
      <c r="B106" s="186">
        <v>5950</v>
      </c>
      <c r="C106" s="140" t="s">
        <v>65</v>
      </c>
      <c r="D106" s="186">
        <v>8</v>
      </c>
      <c r="E106" s="194" t="s">
        <v>3105</v>
      </c>
      <c r="F106" s="188">
        <v>254</v>
      </c>
      <c r="G106" s="188">
        <v>2749007</v>
      </c>
      <c r="H106" s="188">
        <f t="shared" si="18"/>
        <v>10822.86220472441</v>
      </c>
      <c r="I106" s="179">
        <v>270</v>
      </c>
      <c r="J106" s="179">
        <v>2259099.5200000005</v>
      </c>
      <c r="K106" s="189">
        <f t="shared" si="23"/>
        <v>8367.0352592592608</v>
      </c>
      <c r="L106" s="190">
        <f t="shared" si="20"/>
        <v>16</v>
      </c>
      <c r="M106" s="190">
        <f t="shared" si="21"/>
        <v>-489907.47999999952</v>
      </c>
      <c r="N106" s="190">
        <f t="shared" si="22"/>
        <v>-2455.826945465149</v>
      </c>
      <c r="O106" s="191">
        <f t="shared" si="24"/>
        <v>-0.22691104247757385</v>
      </c>
    </row>
    <row r="107" spans="1:23" s="172" customFormat="1" x14ac:dyDescent="0.3">
      <c r="A107" s="193">
        <v>16</v>
      </c>
      <c r="B107" s="186">
        <v>5970</v>
      </c>
      <c r="C107" s="140" t="s">
        <v>2380</v>
      </c>
      <c r="D107" s="186">
        <v>7</v>
      </c>
      <c r="E107" s="194" t="s">
        <v>3105</v>
      </c>
      <c r="F107" s="188">
        <v>252</v>
      </c>
      <c r="G107" s="188">
        <v>2696665</v>
      </c>
      <c r="H107" s="188">
        <f t="shared" si="18"/>
        <v>10701.051587301587</v>
      </c>
      <c r="I107" s="179">
        <v>283</v>
      </c>
      <c r="J107" s="179">
        <v>2516217.64</v>
      </c>
      <c r="K107" s="189">
        <f t="shared" si="23"/>
        <v>8891.2284098939926</v>
      </c>
      <c r="L107" s="190">
        <f t="shared" si="20"/>
        <v>31</v>
      </c>
      <c r="M107" s="190">
        <f t="shared" si="21"/>
        <v>-180447.35999999987</v>
      </c>
      <c r="N107" s="190">
        <f t="shared" si="22"/>
        <v>-1809.8231774075939</v>
      </c>
      <c r="O107" s="191">
        <f t="shared" si="24"/>
        <v>-0.16912573148934468</v>
      </c>
    </row>
    <row r="108" spans="1:23" s="172" customFormat="1" x14ac:dyDescent="0.3">
      <c r="A108" s="183">
        <v>17</v>
      </c>
      <c r="B108" s="186">
        <v>6490</v>
      </c>
      <c r="C108" s="140" t="s">
        <v>93</v>
      </c>
      <c r="D108" s="186">
        <v>7</v>
      </c>
      <c r="E108" s="194" t="s">
        <v>3111</v>
      </c>
      <c r="F108" s="188">
        <v>296</v>
      </c>
      <c r="G108" s="188">
        <v>3208298</v>
      </c>
      <c r="H108" s="188">
        <f t="shared" si="18"/>
        <v>10838.844594594595</v>
      </c>
      <c r="I108" s="179">
        <v>306</v>
      </c>
      <c r="J108" s="179">
        <v>3548140.3899999997</v>
      </c>
      <c r="K108" s="189">
        <f t="shared" si="23"/>
        <v>11595.230032679738</v>
      </c>
      <c r="L108" s="190">
        <f t="shared" si="20"/>
        <v>10</v>
      </c>
      <c r="M108" s="190">
        <f t="shared" si="21"/>
        <v>339842.38999999966</v>
      </c>
      <c r="N108" s="190">
        <f t="shared" si="22"/>
        <v>756.3854380851426</v>
      </c>
      <c r="O108" s="191">
        <f t="shared" si="24"/>
        <v>6.9784692591898317E-2</v>
      </c>
    </row>
    <row r="109" spans="1:23" x14ac:dyDescent="0.3">
      <c r="A109" s="193">
        <v>17</v>
      </c>
      <c r="B109" s="186">
        <v>7260</v>
      </c>
      <c r="C109" s="140" t="s">
        <v>3058</v>
      </c>
      <c r="D109" s="186">
        <v>5</v>
      </c>
      <c r="E109" s="194" t="s">
        <v>3106</v>
      </c>
      <c r="F109" s="188">
        <v>493</v>
      </c>
      <c r="G109" s="188">
        <v>5137708</v>
      </c>
      <c r="H109" s="188">
        <f t="shared" si="18"/>
        <v>10421.314401622718</v>
      </c>
      <c r="I109" s="179">
        <v>377</v>
      </c>
      <c r="J109" s="179">
        <v>4586986.66</v>
      </c>
      <c r="K109" s="189">
        <f t="shared" si="23"/>
        <v>12167.073368700265</v>
      </c>
      <c r="L109" s="190">
        <f t="shared" si="20"/>
        <v>-116</v>
      </c>
      <c r="M109" s="190">
        <f t="shared" si="21"/>
        <v>-550721.33999999985</v>
      </c>
      <c r="N109" s="190">
        <f t="shared" si="22"/>
        <v>1745.7589670775469</v>
      </c>
      <c r="O109" s="191">
        <f t="shared" si="24"/>
        <v>0.16751811717778251</v>
      </c>
      <c r="P109" s="172"/>
      <c r="Q109" s="172"/>
      <c r="R109" s="172"/>
      <c r="S109" s="172"/>
      <c r="T109" s="172"/>
      <c r="U109" s="172"/>
      <c r="V109" s="172"/>
      <c r="W109" s="172"/>
    </row>
    <row r="110" spans="1:23" s="172" customFormat="1" x14ac:dyDescent="0.3">
      <c r="A110" s="193">
        <v>18</v>
      </c>
      <c r="B110" s="186">
        <v>7320</v>
      </c>
      <c r="C110" s="140" t="s">
        <v>2439</v>
      </c>
      <c r="D110" s="186">
        <v>5</v>
      </c>
      <c r="E110" s="194" t="s">
        <v>3108</v>
      </c>
      <c r="F110" s="188">
        <v>200</v>
      </c>
      <c r="G110" s="188">
        <v>1057085</v>
      </c>
      <c r="H110" s="188">
        <f t="shared" si="18"/>
        <v>5285.4250000000002</v>
      </c>
      <c r="I110" s="179">
        <v>126</v>
      </c>
      <c r="J110" s="179">
        <v>909033.57</v>
      </c>
      <c r="K110" s="189">
        <f t="shared" si="23"/>
        <v>7214.5521428571428</v>
      </c>
      <c r="L110" s="190">
        <f t="shared" si="20"/>
        <v>-74</v>
      </c>
      <c r="M110" s="190">
        <f t="shared" si="21"/>
        <v>-148051.43000000005</v>
      </c>
      <c r="N110" s="190">
        <f t="shared" si="22"/>
        <v>1929.1271428571426</v>
      </c>
      <c r="O110" s="191">
        <f t="shared" si="24"/>
        <v>0.36498997580272968</v>
      </c>
    </row>
    <row r="111" spans="1:23" s="172" customFormat="1" x14ac:dyDescent="0.3">
      <c r="A111" s="183">
        <v>19</v>
      </c>
      <c r="B111" s="186">
        <v>5980</v>
      </c>
      <c r="C111" s="140" t="s">
        <v>67</v>
      </c>
      <c r="D111" s="186">
        <v>8</v>
      </c>
      <c r="E111" s="194" t="s">
        <v>3105</v>
      </c>
      <c r="F111" s="188">
        <v>378</v>
      </c>
      <c r="G111" s="188">
        <v>3594536</v>
      </c>
      <c r="H111" s="188">
        <f t="shared" si="18"/>
        <v>9509.3544973544977</v>
      </c>
      <c r="I111" s="179">
        <v>391</v>
      </c>
      <c r="J111" s="179">
        <v>3503868.4600000004</v>
      </c>
      <c r="K111" s="189">
        <f t="shared" si="23"/>
        <v>8961.3004092071624</v>
      </c>
      <c r="L111" s="190">
        <f t="shared" si="20"/>
        <v>13</v>
      </c>
      <c r="M111" s="190">
        <f t="shared" si="21"/>
        <v>-90667.539999999572</v>
      </c>
      <c r="N111" s="190">
        <f t="shared" si="22"/>
        <v>-548.05408814733528</v>
      </c>
      <c r="O111" s="191">
        <f t="shared" si="24"/>
        <v>-5.763315357522994E-2</v>
      </c>
    </row>
    <row r="112" spans="1:23" s="172" customFormat="1" x14ac:dyDescent="0.3">
      <c r="A112" s="193">
        <v>9</v>
      </c>
      <c r="B112" s="186">
        <v>6000</v>
      </c>
      <c r="C112" s="140" t="s">
        <v>130</v>
      </c>
      <c r="D112" s="186">
        <v>3</v>
      </c>
      <c r="E112" s="194" t="s">
        <v>3105</v>
      </c>
      <c r="F112" s="188">
        <v>342</v>
      </c>
      <c r="G112" s="188">
        <v>3252965</v>
      </c>
      <c r="H112" s="188">
        <f t="shared" si="18"/>
        <v>9511.5935672514624</v>
      </c>
      <c r="I112" s="179">
        <v>369</v>
      </c>
      <c r="J112" s="179">
        <v>3145482.4799999991</v>
      </c>
      <c r="K112" s="189">
        <f t="shared" si="23"/>
        <v>8524.3427642276401</v>
      </c>
      <c r="L112" s="190">
        <f t="shared" si="20"/>
        <v>27</v>
      </c>
      <c r="M112" s="190">
        <f t="shared" si="21"/>
        <v>-107482.52000000095</v>
      </c>
      <c r="N112" s="190">
        <f t="shared" si="22"/>
        <v>-987.2508030238223</v>
      </c>
      <c r="O112" s="191">
        <f t="shared" si="24"/>
        <v>-0.10379446893346446</v>
      </c>
    </row>
    <row r="113" spans="1:15" s="172" customFormat="1" x14ac:dyDescent="0.3">
      <c r="A113" s="195">
        <v>16</v>
      </c>
      <c r="B113" s="196">
        <v>6500</v>
      </c>
      <c r="C113" s="141" t="s">
        <v>3062</v>
      </c>
      <c r="D113" s="196">
        <v>6</v>
      </c>
      <c r="E113" s="197" t="s">
        <v>3111</v>
      </c>
      <c r="F113" s="198">
        <v>415</v>
      </c>
      <c r="G113" s="198">
        <v>3683728</v>
      </c>
      <c r="H113" s="198">
        <f t="shared" si="18"/>
        <v>8876.4530120481922</v>
      </c>
      <c r="I113" s="179">
        <v>374</v>
      </c>
      <c r="J113" s="179">
        <v>3740435.8400000003</v>
      </c>
      <c r="K113" s="199">
        <f t="shared" si="23"/>
        <v>10001.165347593584</v>
      </c>
      <c r="L113" s="200">
        <f t="shared" si="20"/>
        <v>-41</v>
      </c>
      <c r="M113" s="200">
        <f t="shared" si="21"/>
        <v>56707.840000000317</v>
      </c>
      <c r="N113" s="200">
        <f t="shared" si="22"/>
        <v>1124.7123355453914</v>
      </c>
      <c r="O113" s="201">
        <f t="shared" si="24"/>
        <v>0.12670740598962177</v>
      </c>
    </row>
    <row r="114" spans="1:15" s="172" customFormat="1" x14ac:dyDescent="0.3">
      <c r="A114" s="202">
        <v>13</v>
      </c>
      <c r="B114" s="176">
        <v>6010</v>
      </c>
      <c r="C114" s="142" t="s">
        <v>3042</v>
      </c>
      <c r="D114" s="176">
        <v>4</v>
      </c>
      <c r="E114" s="203" t="s">
        <v>3109</v>
      </c>
      <c r="F114" s="178">
        <v>331</v>
      </c>
      <c r="G114" s="178">
        <v>4232342</v>
      </c>
      <c r="H114" s="178">
        <f t="shared" si="18"/>
        <v>12786.53172205438</v>
      </c>
      <c r="I114" s="179">
        <v>366</v>
      </c>
      <c r="J114" s="179">
        <v>3878674.6100000003</v>
      </c>
      <c r="K114" s="179">
        <f t="shared" si="23"/>
        <v>10597.471612021858</v>
      </c>
      <c r="L114" s="204">
        <f t="shared" si="20"/>
        <v>35</v>
      </c>
      <c r="M114" s="204">
        <f t="shared" si="21"/>
        <v>-353667.38999999966</v>
      </c>
      <c r="N114" s="204">
        <f t="shared" si="22"/>
        <v>-2189.0601100325221</v>
      </c>
      <c r="O114" s="182">
        <f t="shared" si="24"/>
        <v>-0.17120045979761675</v>
      </c>
    </row>
    <row r="115" spans="1:15" s="172" customFormat="1" x14ac:dyDescent="0.3">
      <c r="A115" s="183">
        <v>20</v>
      </c>
      <c r="B115" s="186">
        <v>6020</v>
      </c>
      <c r="C115" s="140" t="s">
        <v>3072</v>
      </c>
      <c r="D115" s="186">
        <v>8</v>
      </c>
      <c r="E115" s="194" t="s">
        <v>3105</v>
      </c>
      <c r="F115" s="188">
        <v>224</v>
      </c>
      <c r="G115" s="188">
        <v>2421923</v>
      </c>
      <c r="H115" s="188">
        <f t="shared" si="18"/>
        <v>10812.15625</v>
      </c>
      <c r="I115" s="179">
        <v>208</v>
      </c>
      <c r="J115" s="179">
        <v>2139057.81</v>
      </c>
      <c r="K115" s="189">
        <f t="shared" si="23"/>
        <v>10283.931778846154</v>
      </c>
      <c r="L115" s="190">
        <f t="shared" si="20"/>
        <v>-16</v>
      </c>
      <c r="M115" s="190">
        <f t="shared" si="21"/>
        <v>-282865.18999999994</v>
      </c>
      <c r="N115" s="190">
        <f t="shared" si="22"/>
        <v>-528.22447115384603</v>
      </c>
      <c r="O115" s="191">
        <f t="shared" si="24"/>
        <v>-4.8854683463702815E-2</v>
      </c>
    </row>
    <row r="116" spans="1:15" s="172" customFormat="1" x14ac:dyDescent="0.3">
      <c r="A116" s="193">
        <v>18</v>
      </c>
      <c r="B116" s="186">
        <v>6030</v>
      </c>
      <c r="C116" s="140" t="s">
        <v>70</v>
      </c>
      <c r="D116" s="186">
        <v>7</v>
      </c>
      <c r="E116" s="194" t="s">
        <v>3105</v>
      </c>
      <c r="F116" s="188">
        <v>237</v>
      </c>
      <c r="G116" s="188">
        <v>2686993</v>
      </c>
      <c r="H116" s="188">
        <f t="shared" si="18"/>
        <v>11337.523206751055</v>
      </c>
      <c r="I116" s="179">
        <v>312</v>
      </c>
      <c r="J116" s="179">
        <v>3229265.4000000004</v>
      </c>
      <c r="K116" s="189">
        <f t="shared" si="23"/>
        <v>10350.209615384616</v>
      </c>
      <c r="L116" s="190">
        <f t="shared" si="20"/>
        <v>75</v>
      </c>
      <c r="M116" s="190">
        <f t="shared" si="21"/>
        <v>542272.40000000037</v>
      </c>
      <c r="N116" s="190">
        <f t="shared" si="22"/>
        <v>-987.31359136643914</v>
      </c>
      <c r="O116" s="191">
        <f t="shared" si="24"/>
        <v>-8.7083710733093123E-2</v>
      </c>
    </row>
    <row r="117" spans="1:15" s="172" customFormat="1" x14ac:dyDescent="0.3">
      <c r="A117" s="193">
        <v>9</v>
      </c>
      <c r="B117" s="186">
        <v>6040</v>
      </c>
      <c r="C117" s="140" t="s">
        <v>2567</v>
      </c>
      <c r="D117" s="186">
        <v>2</v>
      </c>
      <c r="E117" s="194" t="s">
        <v>3105</v>
      </c>
      <c r="F117" s="188">
        <v>369</v>
      </c>
      <c r="G117" s="188">
        <v>4170154</v>
      </c>
      <c r="H117" s="188">
        <f t="shared" si="18"/>
        <v>11301.230352303523</v>
      </c>
      <c r="I117" s="179">
        <v>300</v>
      </c>
      <c r="J117" s="179">
        <v>3747687.56</v>
      </c>
      <c r="K117" s="189">
        <f t="shared" si="23"/>
        <v>12492.291866666666</v>
      </c>
      <c r="L117" s="190">
        <f t="shared" si="20"/>
        <v>-69</v>
      </c>
      <c r="M117" s="190">
        <f t="shared" si="21"/>
        <v>-422466.43999999994</v>
      </c>
      <c r="N117" s="192">
        <f t="shared" si="22"/>
        <v>1191.0615143631439</v>
      </c>
      <c r="O117" s="191">
        <f t="shared" si="24"/>
        <v>0.10539219865741173</v>
      </c>
    </row>
    <row r="118" spans="1:15" s="172" customFormat="1" x14ac:dyDescent="0.3">
      <c r="A118" s="183">
        <v>21</v>
      </c>
      <c r="B118" s="186">
        <v>7480</v>
      </c>
      <c r="C118" s="140" t="s">
        <v>3120</v>
      </c>
      <c r="D118" s="186">
        <v>8</v>
      </c>
      <c r="E118" s="194" t="s">
        <v>3115</v>
      </c>
      <c r="F118" s="188">
        <v>118</v>
      </c>
      <c r="G118" s="188">
        <v>1037593</v>
      </c>
      <c r="H118" s="188">
        <f t="shared" si="18"/>
        <v>8793.1610169491523</v>
      </c>
      <c r="I118" s="179">
        <v>0</v>
      </c>
      <c r="J118" s="179">
        <v>0</v>
      </c>
      <c r="K118" s="189">
        <v>0</v>
      </c>
      <c r="L118" s="190">
        <f t="shared" si="20"/>
        <v>-118</v>
      </c>
      <c r="M118" s="190">
        <f t="shared" si="21"/>
        <v>-1037593</v>
      </c>
      <c r="N118" s="190">
        <f t="shared" si="22"/>
        <v>-8793.1610169491523</v>
      </c>
      <c r="O118" s="191">
        <f t="shared" si="24"/>
        <v>-1</v>
      </c>
    </row>
    <row r="119" spans="1:15" s="172" customFormat="1" x14ac:dyDescent="0.3">
      <c r="A119" s="183">
        <v>21</v>
      </c>
      <c r="B119" s="186">
        <v>7480</v>
      </c>
      <c r="C119" s="140" t="s">
        <v>3066</v>
      </c>
      <c r="D119" s="186">
        <v>7</v>
      </c>
      <c r="E119" s="194" t="s">
        <v>3115</v>
      </c>
      <c r="F119" s="188"/>
      <c r="G119" s="188"/>
      <c r="H119" s="188">
        <v>0</v>
      </c>
      <c r="I119" s="179">
        <v>0</v>
      </c>
      <c r="J119" s="179">
        <v>0</v>
      </c>
      <c r="K119" s="189"/>
      <c r="L119" s="190">
        <f t="shared" si="20"/>
        <v>0</v>
      </c>
      <c r="M119" s="190">
        <f t="shared" si="21"/>
        <v>0</v>
      </c>
      <c r="N119" s="190">
        <v>0</v>
      </c>
      <c r="O119" s="191">
        <v>0</v>
      </c>
    </row>
    <row r="120" spans="1:15" s="172" customFormat="1" x14ac:dyDescent="0.3">
      <c r="A120" s="193">
        <v>14</v>
      </c>
      <c r="B120" s="186">
        <v>6070</v>
      </c>
      <c r="C120" s="140" t="s">
        <v>3043</v>
      </c>
      <c r="D120" s="186">
        <v>4</v>
      </c>
      <c r="E120" s="194" t="s">
        <v>3109</v>
      </c>
      <c r="F120" s="188">
        <v>443</v>
      </c>
      <c r="G120" s="188">
        <v>4879045</v>
      </c>
      <c r="H120" s="188">
        <f t="shared" ref="H120:H135" si="25">+G120/F120</f>
        <v>11013.645598194131</v>
      </c>
      <c r="I120" s="179">
        <v>469</v>
      </c>
      <c r="J120" s="179">
        <v>4607670.2499999991</v>
      </c>
      <c r="K120" s="189">
        <f t="shared" ref="K120:K132" si="26">J120/I120</f>
        <v>9824.4568230277164</v>
      </c>
      <c r="L120" s="190">
        <f t="shared" si="20"/>
        <v>26</v>
      </c>
      <c r="M120" s="190">
        <f t="shared" si="21"/>
        <v>-271374.75000000093</v>
      </c>
      <c r="N120" s="190">
        <f t="shared" si="22"/>
        <v>-1189.1887751664144</v>
      </c>
      <c r="O120" s="191">
        <f t="shared" si="24"/>
        <v>-0.10797412760052871</v>
      </c>
    </row>
    <row r="121" spans="1:15" s="172" customFormat="1" x14ac:dyDescent="0.3">
      <c r="A121" s="193">
        <v>10</v>
      </c>
      <c r="B121" s="186">
        <v>6050</v>
      </c>
      <c r="C121" s="140" t="s">
        <v>73</v>
      </c>
      <c r="D121" s="186">
        <v>1</v>
      </c>
      <c r="E121" s="194" t="s">
        <v>3105</v>
      </c>
      <c r="F121" s="188">
        <v>483</v>
      </c>
      <c r="G121" s="188">
        <v>5806775</v>
      </c>
      <c r="H121" s="188">
        <f t="shared" si="25"/>
        <v>12022.308488612836</v>
      </c>
      <c r="I121" s="179">
        <v>509</v>
      </c>
      <c r="J121" s="179">
        <v>5384059.7800000012</v>
      </c>
      <c r="K121" s="189">
        <f t="shared" si="26"/>
        <v>10577.720589390965</v>
      </c>
      <c r="L121" s="190">
        <f t="shared" si="20"/>
        <v>26</v>
      </c>
      <c r="M121" s="190">
        <f t="shared" si="21"/>
        <v>-422715.21999999881</v>
      </c>
      <c r="N121" s="192">
        <f t="shared" si="22"/>
        <v>-1444.5878992218713</v>
      </c>
      <c r="O121" s="191">
        <f t="shared" si="24"/>
        <v>-0.12015894456461011</v>
      </c>
    </row>
    <row r="122" spans="1:15" s="172" customFormat="1" x14ac:dyDescent="0.3">
      <c r="A122" s="183">
        <v>22</v>
      </c>
      <c r="B122" s="186">
        <v>6060</v>
      </c>
      <c r="C122" s="140" t="s">
        <v>3073</v>
      </c>
      <c r="D122" s="186">
        <v>8</v>
      </c>
      <c r="E122" s="194" t="s">
        <v>3105</v>
      </c>
      <c r="F122" s="188">
        <v>306</v>
      </c>
      <c r="G122" s="188">
        <v>3280501</v>
      </c>
      <c r="H122" s="188">
        <f t="shared" si="25"/>
        <v>10720.591503267973</v>
      </c>
      <c r="I122" s="179">
        <v>339</v>
      </c>
      <c r="J122" s="179">
        <v>3292472.39</v>
      </c>
      <c r="K122" s="189">
        <f t="shared" si="26"/>
        <v>9712.3079351032447</v>
      </c>
      <c r="L122" s="190">
        <f t="shared" si="20"/>
        <v>33</v>
      </c>
      <c r="M122" s="190">
        <f t="shared" si="21"/>
        <v>11971.39000000013</v>
      </c>
      <c r="N122" s="190">
        <f t="shared" si="22"/>
        <v>-1008.2835681647284</v>
      </c>
      <c r="O122" s="191">
        <f t="shared" si="24"/>
        <v>-9.4051113491020702E-2</v>
      </c>
    </row>
    <row r="123" spans="1:15" s="172" customFormat="1" x14ac:dyDescent="0.3">
      <c r="A123" s="183">
        <v>17</v>
      </c>
      <c r="B123" s="186">
        <v>6090</v>
      </c>
      <c r="C123" s="140" t="s">
        <v>75</v>
      </c>
      <c r="D123" s="186">
        <v>6</v>
      </c>
      <c r="E123" s="194" t="s">
        <v>3105</v>
      </c>
      <c r="F123" s="188">
        <v>417</v>
      </c>
      <c r="G123" s="188">
        <v>5504120</v>
      </c>
      <c r="H123" s="188">
        <f t="shared" si="25"/>
        <v>13199.328537170264</v>
      </c>
      <c r="I123" s="179">
        <v>471</v>
      </c>
      <c r="J123" s="179">
        <v>5272680.2199999979</v>
      </c>
      <c r="K123" s="189">
        <f t="shared" si="26"/>
        <v>11194.650148619952</v>
      </c>
      <c r="L123" s="190">
        <f t="shared" si="20"/>
        <v>54</v>
      </c>
      <c r="M123" s="190">
        <f t="shared" si="21"/>
        <v>-231439.78000000212</v>
      </c>
      <c r="N123" s="190">
        <f t="shared" si="22"/>
        <v>-2004.6783885503119</v>
      </c>
      <c r="O123" s="191">
        <f t="shared" si="24"/>
        <v>-0.15187730064487692</v>
      </c>
    </row>
    <row r="124" spans="1:15" s="172" customFormat="1" x14ac:dyDescent="0.3">
      <c r="A124" s="193">
        <v>18</v>
      </c>
      <c r="B124" s="186">
        <v>6110</v>
      </c>
      <c r="C124" s="140" t="s">
        <v>3063</v>
      </c>
      <c r="D124" s="186">
        <v>6</v>
      </c>
      <c r="E124" s="194" t="s">
        <v>3109</v>
      </c>
      <c r="F124" s="188">
        <v>435</v>
      </c>
      <c r="G124" s="188">
        <v>5243024</v>
      </c>
      <c r="H124" s="188">
        <f t="shared" si="25"/>
        <v>12052.928735632184</v>
      </c>
      <c r="I124" s="179">
        <v>427</v>
      </c>
      <c r="J124" s="179">
        <v>4935267.9499999993</v>
      </c>
      <c r="K124" s="189">
        <f t="shared" si="26"/>
        <v>11558.004566744728</v>
      </c>
      <c r="L124" s="190">
        <f t="shared" si="20"/>
        <v>-8</v>
      </c>
      <c r="M124" s="190">
        <f t="shared" si="21"/>
        <v>-307756.05000000075</v>
      </c>
      <c r="N124" s="190">
        <f t="shared" si="22"/>
        <v>-494.92416888745538</v>
      </c>
      <c r="O124" s="191">
        <f t="shared" si="24"/>
        <v>-4.1062564936960637E-2</v>
      </c>
    </row>
    <row r="125" spans="1:15" s="172" customFormat="1" x14ac:dyDescent="0.3">
      <c r="A125" s="193">
        <v>11</v>
      </c>
      <c r="B125" s="186">
        <v>7490</v>
      </c>
      <c r="C125" s="140" t="s">
        <v>3121</v>
      </c>
      <c r="D125" s="186">
        <v>1</v>
      </c>
      <c r="E125" s="194" t="s">
        <v>3108</v>
      </c>
      <c r="F125" s="188">
        <v>321</v>
      </c>
      <c r="G125" s="188">
        <v>2936109</v>
      </c>
      <c r="H125" s="188">
        <f t="shared" si="25"/>
        <v>9146.7570093457944</v>
      </c>
      <c r="I125" s="179">
        <v>287</v>
      </c>
      <c r="J125" s="179">
        <v>2144124.4899999998</v>
      </c>
      <c r="K125" s="189">
        <f t="shared" si="26"/>
        <v>7470.8170383275256</v>
      </c>
      <c r="L125" s="190">
        <f t="shared" si="20"/>
        <v>-34</v>
      </c>
      <c r="M125" s="190">
        <f t="shared" si="21"/>
        <v>-791984.51000000024</v>
      </c>
      <c r="N125" s="192">
        <f t="shared" si="22"/>
        <v>-1675.9399710182688</v>
      </c>
      <c r="O125" s="191">
        <f t="shared" si="24"/>
        <v>-0.18322777890632272</v>
      </c>
    </row>
    <row r="126" spans="1:15" s="172" customFormat="1" x14ac:dyDescent="0.3">
      <c r="A126" s="183">
        <v>19</v>
      </c>
      <c r="B126" s="186">
        <v>6120</v>
      </c>
      <c r="C126" s="140" t="s">
        <v>131</v>
      </c>
      <c r="D126" s="186">
        <v>6</v>
      </c>
      <c r="E126" s="194" t="s">
        <v>3105</v>
      </c>
      <c r="F126" s="188">
        <v>540</v>
      </c>
      <c r="G126" s="188">
        <v>4536001.05</v>
      </c>
      <c r="H126" s="188">
        <f t="shared" si="25"/>
        <v>8400.0019444444442</v>
      </c>
      <c r="I126" s="179">
        <v>527</v>
      </c>
      <c r="J126" s="179">
        <v>4430492.55</v>
      </c>
      <c r="K126" s="189">
        <f t="shared" si="26"/>
        <v>8407.0067362428836</v>
      </c>
      <c r="L126" s="190">
        <f t="shared" si="20"/>
        <v>-13</v>
      </c>
      <c r="M126" s="190">
        <f t="shared" si="21"/>
        <v>-105508.5</v>
      </c>
      <c r="N126" s="190">
        <f t="shared" si="22"/>
        <v>7.004791798439328</v>
      </c>
      <c r="O126" s="191">
        <f t="shared" si="24"/>
        <v>8.3390359249525239E-4</v>
      </c>
    </row>
    <row r="127" spans="1:15" s="172" customFormat="1" x14ac:dyDescent="0.3">
      <c r="A127" s="193">
        <v>15</v>
      </c>
      <c r="B127" s="186">
        <v>6150</v>
      </c>
      <c r="C127" s="140" t="s">
        <v>3044</v>
      </c>
      <c r="D127" s="186">
        <v>4</v>
      </c>
      <c r="E127" s="194" t="s">
        <v>3109</v>
      </c>
      <c r="F127" s="188">
        <v>257</v>
      </c>
      <c r="G127" s="188">
        <v>2858435</v>
      </c>
      <c r="H127" s="188">
        <f t="shared" si="25"/>
        <v>11122.315175097276</v>
      </c>
      <c r="I127" s="179">
        <v>243</v>
      </c>
      <c r="J127" s="179">
        <v>2457095.4499999997</v>
      </c>
      <c r="K127" s="189">
        <f t="shared" si="26"/>
        <v>10111.50390946502</v>
      </c>
      <c r="L127" s="190">
        <f t="shared" si="20"/>
        <v>-14</v>
      </c>
      <c r="M127" s="190">
        <f t="shared" si="21"/>
        <v>-401339.55000000028</v>
      </c>
      <c r="N127" s="190">
        <f t="shared" si="22"/>
        <v>-1010.8112656322555</v>
      </c>
      <c r="O127" s="191">
        <f t="shared" si="24"/>
        <v>-9.0881372243024477E-2</v>
      </c>
    </row>
    <row r="128" spans="1:15" s="172" customFormat="1" x14ac:dyDescent="0.3">
      <c r="A128" s="193">
        <v>19</v>
      </c>
      <c r="B128" s="186">
        <v>6130</v>
      </c>
      <c r="C128" s="140" t="s">
        <v>3059</v>
      </c>
      <c r="D128" s="186">
        <v>5</v>
      </c>
      <c r="E128" s="194" t="s">
        <v>3105</v>
      </c>
      <c r="F128" s="188">
        <v>466</v>
      </c>
      <c r="G128" s="188">
        <v>4505344</v>
      </c>
      <c r="H128" s="188">
        <f t="shared" si="25"/>
        <v>9668.1201716738196</v>
      </c>
      <c r="I128" s="179">
        <v>470</v>
      </c>
      <c r="J128" s="179">
        <v>4462441.5600000005</v>
      </c>
      <c r="K128" s="189">
        <f t="shared" si="26"/>
        <v>9494.5565106382983</v>
      </c>
      <c r="L128" s="190">
        <f t="shared" si="20"/>
        <v>4</v>
      </c>
      <c r="M128" s="190">
        <f t="shared" si="21"/>
        <v>-42902.439999999478</v>
      </c>
      <c r="N128" s="190">
        <f t="shared" si="22"/>
        <v>-173.56366103552136</v>
      </c>
      <c r="O128" s="191">
        <f t="shared" si="24"/>
        <v>-1.7952162152890645E-2</v>
      </c>
    </row>
    <row r="129" spans="1:23" s="172" customFormat="1" x14ac:dyDescent="0.3">
      <c r="A129" s="193">
        <v>16</v>
      </c>
      <c r="B129" s="186">
        <v>6170</v>
      </c>
      <c r="C129" s="140" t="s">
        <v>3045</v>
      </c>
      <c r="D129" s="186">
        <v>4</v>
      </c>
      <c r="E129" s="194" t="s">
        <v>3109</v>
      </c>
      <c r="F129" s="188">
        <v>394</v>
      </c>
      <c r="G129" s="188">
        <v>3979937</v>
      </c>
      <c r="H129" s="188">
        <f t="shared" si="25"/>
        <v>10101.362944162436</v>
      </c>
      <c r="I129" s="179">
        <v>339</v>
      </c>
      <c r="J129" s="179">
        <v>3176780.3400000012</v>
      </c>
      <c r="K129" s="189">
        <f t="shared" si="26"/>
        <v>9371.0334513274374</v>
      </c>
      <c r="L129" s="190">
        <f t="shared" si="20"/>
        <v>-55</v>
      </c>
      <c r="M129" s="190">
        <f t="shared" si="21"/>
        <v>-803156.65999999875</v>
      </c>
      <c r="N129" s="190">
        <f t="shared" si="22"/>
        <v>-730.32949283499875</v>
      </c>
      <c r="O129" s="191">
        <f t="shared" si="24"/>
        <v>-7.2300094241941393E-2</v>
      </c>
    </row>
    <row r="130" spans="1:23" s="172" customFormat="1" x14ac:dyDescent="0.3">
      <c r="A130" s="193">
        <v>10</v>
      </c>
      <c r="B130" s="186">
        <v>7300</v>
      </c>
      <c r="C130" s="140" t="s">
        <v>3035</v>
      </c>
      <c r="D130" s="186">
        <v>3</v>
      </c>
      <c r="E130" s="194" t="s">
        <v>3106</v>
      </c>
      <c r="F130" s="188">
        <v>1536</v>
      </c>
      <c r="G130" s="188">
        <v>12902400.560000001</v>
      </c>
      <c r="H130" s="188">
        <f t="shared" si="25"/>
        <v>8400.0003645833331</v>
      </c>
      <c r="I130" s="179">
        <v>1720</v>
      </c>
      <c r="J130" s="179">
        <v>13474786.51</v>
      </c>
      <c r="K130" s="189">
        <f t="shared" si="26"/>
        <v>7834.1782034883718</v>
      </c>
      <c r="L130" s="190">
        <f t="shared" si="20"/>
        <v>184</v>
      </c>
      <c r="M130" s="190">
        <f t="shared" si="21"/>
        <v>572385.94999999925</v>
      </c>
      <c r="N130" s="190">
        <f t="shared" si="22"/>
        <v>-565.8221610949613</v>
      </c>
      <c r="O130" s="191">
        <f t="shared" si="24"/>
        <v>-6.7359778159132008E-2</v>
      </c>
    </row>
    <row r="131" spans="1:23" s="172" customFormat="1" x14ac:dyDescent="0.3">
      <c r="A131" s="193">
        <v>20</v>
      </c>
      <c r="B131" s="186">
        <v>6190</v>
      </c>
      <c r="C131" s="140" t="s">
        <v>3064</v>
      </c>
      <c r="D131" s="186">
        <v>6</v>
      </c>
      <c r="E131" s="194" t="s">
        <v>3105</v>
      </c>
      <c r="F131" s="188">
        <v>386</v>
      </c>
      <c r="G131" s="188">
        <v>4230446</v>
      </c>
      <c r="H131" s="188">
        <f t="shared" si="25"/>
        <v>10959.704663212435</v>
      </c>
      <c r="I131" s="179">
        <v>408</v>
      </c>
      <c r="J131" s="179">
        <v>4352200.91</v>
      </c>
      <c r="K131" s="189">
        <f t="shared" si="26"/>
        <v>10667.159093137256</v>
      </c>
      <c r="L131" s="190">
        <f t="shared" si="20"/>
        <v>22</v>
      </c>
      <c r="M131" s="190">
        <f t="shared" si="21"/>
        <v>121754.91000000015</v>
      </c>
      <c r="N131" s="190">
        <f t="shared" si="22"/>
        <v>-292.54557007517906</v>
      </c>
      <c r="O131" s="191">
        <f t="shared" si="24"/>
        <v>-2.6692833344053823E-2</v>
      </c>
    </row>
    <row r="132" spans="1:23" s="172" customFormat="1" x14ac:dyDescent="0.3">
      <c r="A132" s="183">
        <v>19</v>
      </c>
      <c r="B132" s="186">
        <v>6200</v>
      </c>
      <c r="C132" s="140" t="s">
        <v>2941</v>
      </c>
      <c r="D132" s="186">
        <v>7</v>
      </c>
      <c r="E132" s="194" t="s">
        <v>3109</v>
      </c>
      <c r="F132" s="188">
        <v>317</v>
      </c>
      <c r="G132" s="188">
        <v>3207422</v>
      </c>
      <c r="H132" s="188">
        <f t="shared" si="25"/>
        <v>10118.05047318612</v>
      </c>
      <c r="I132" s="179">
        <v>308</v>
      </c>
      <c r="J132" s="179">
        <v>2632466.71</v>
      </c>
      <c r="K132" s="189">
        <f t="shared" si="26"/>
        <v>8546.9698376623383</v>
      </c>
      <c r="L132" s="190">
        <f t="shared" si="20"/>
        <v>-9</v>
      </c>
      <c r="M132" s="190">
        <f t="shared" si="21"/>
        <v>-574955.29</v>
      </c>
      <c r="N132" s="190">
        <f t="shared" si="22"/>
        <v>-1571.0806355237819</v>
      </c>
      <c r="O132" s="191">
        <f t="shared" si="24"/>
        <v>-0.15527503442360838</v>
      </c>
    </row>
    <row r="133" spans="1:23" s="172" customFormat="1" x14ac:dyDescent="0.3">
      <c r="A133" s="208">
        <v>20</v>
      </c>
      <c r="B133" s="209">
        <v>7500</v>
      </c>
      <c r="C133" s="210" t="s">
        <v>3122</v>
      </c>
      <c r="D133" s="209">
        <v>7</v>
      </c>
      <c r="E133" s="211" t="s">
        <v>3106</v>
      </c>
      <c r="F133" s="188"/>
      <c r="G133" s="188"/>
      <c r="H133" s="188">
        <v>0</v>
      </c>
      <c r="I133" s="179">
        <v>0</v>
      </c>
      <c r="J133" s="179">
        <v>0</v>
      </c>
      <c r="K133" s="189"/>
      <c r="L133" s="190">
        <f t="shared" si="20"/>
        <v>0</v>
      </c>
      <c r="M133" s="190">
        <f t="shared" si="21"/>
        <v>0</v>
      </c>
      <c r="N133" s="190">
        <f t="shared" si="22"/>
        <v>0</v>
      </c>
      <c r="O133" s="191"/>
    </row>
    <row r="134" spans="1:23" x14ac:dyDescent="0.3">
      <c r="A134" s="183">
        <v>21</v>
      </c>
      <c r="B134" s="186">
        <v>7290</v>
      </c>
      <c r="C134" s="140" t="s">
        <v>3123</v>
      </c>
      <c r="D134" s="186">
        <v>7</v>
      </c>
      <c r="E134" s="194" t="s">
        <v>3113</v>
      </c>
      <c r="F134" s="188">
        <v>48</v>
      </c>
      <c r="G134" s="188">
        <v>647140</v>
      </c>
      <c r="H134" s="188">
        <f t="shared" si="25"/>
        <v>13482.083333333334</v>
      </c>
      <c r="I134" s="179">
        <v>0</v>
      </c>
      <c r="J134" s="179">
        <v>0</v>
      </c>
      <c r="K134" s="189">
        <v>0</v>
      </c>
      <c r="L134" s="190">
        <f t="shared" si="20"/>
        <v>-48</v>
      </c>
      <c r="M134" s="190">
        <f t="shared" si="21"/>
        <v>-647140</v>
      </c>
      <c r="N134" s="190">
        <f t="shared" si="22"/>
        <v>-13482.083333333334</v>
      </c>
      <c r="O134" s="191">
        <f>(+K134-H134)/H134</f>
        <v>-1</v>
      </c>
    </row>
    <row r="135" spans="1:23" x14ac:dyDescent="0.3">
      <c r="A135" s="195">
        <v>22</v>
      </c>
      <c r="B135" s="216">
        <v>7280</v>
      </c>
      <c r="C135" s="217" t="s">
        <v>3067</v>
      </c>
      <c r="D135" s="216">
        <v>7</v>
      </c>
      <c r="E135" s="218" t="s">
        <v>3106</v>
      </c>
      <c r="F135" s="198">
        <v>736</v>
      </c>
      <c r="G135" s="198">
        <v>6913728</v>
      </c>
      <c r="H135" s="198">
        <f t="shared" si="25"/>
        <v>9393.652173913044</v>
      </c>
      <c r="I135" s="179">
        <v>721</v>
      </c>
      <c r="J135" s="179">
        <v>8490763.339999998</v>
      </c>
      <c r="K135" s="199">
        <f>J135/I135</f>
        <v>11776.370790568652</v>
      </c>
      <c r="L135" s="200">
        <f t="shared" si="20"/>
        <v>-15</v>
      </c>
      <c r="M135" s="200">
        <f t="shared" si="21"/>
        <v>1577035.339999998</v>
      </c>
      <c r="N135" s="200">
        <f t="shared" si="22"/>
        <v>2382.7186166556075</v>
      </c>
      <c r="O135" s="201">
        <f>(+K135-H135)/H135</f>
        <v>0.25365199525618121</v>
      </c>
    </row>
    <row r="136" spans="1:23" x14ac:dyDescent="0.3">
      <c r="A136" s="219">
        <v>20</v>
      </c>
      <c r="B136" s="220">
        <v>7901</v>
      </c>
      <c r="C136" s="221" t="s">
        <v>3124</v>
      </c>
      <c r="D136" s="220">
        <v>5</v>
      </c>
      <c r="E136" s="222" t="s">
        <v>3108</v>
      </c>
      <c r="F136" s="223">
        <v>93</v>
      </c>
      <c r="G136" s="223"/>
      <c r="H136" s="223"/>
      <c r="I136" s="179">
        <v>87</v>
      </c>
      <c r="J136" s="224"/>
      <c r="K136" s="224"/>
      <c r="L136" s="225">
        <f t="shared" si="20"/>
        <v>-6</v>
      </c>
      <c r="M136" s="225">
        <f t="shared" si="21"/>
        <v>0</v>
      </c>
      <c r="N136" s="225">
        <f t="shared" si="22"/>
        <v>0</v>
      </c>
      <c r="O136" s="226"/>
    </row>
    <row r="137" spans="1:23" x14ac:dyDescent="0.3">
      <c r="A137" s="227"/>
      <c r="B137" s="228"/>
      <c r="C137" s="229"/>
      <c r="D137" s="228"/>
      <c r="E137" s="227"/>
      <c r="F137" s="230"/>
      <c r="G137" s="230"/>
      <c r="H137" s="230"/>
      <c r="I137" s="231"/>
      <c r="J137" s="231"/>
      <c r="K137" s="231"/>
      <c r="L137" s="231"/>
      <c r="M137" s="230"/>
      <c r="N137" s="230"/>
      <c r="O137" s="227"/>
      <c r="P137" s="172"/>
      <c r="Q137" s="172"/>
      <c r="R137" s="172"/>
      <c r="S137" s="172"/>
      <c r="T137" s="172"/>
      <c r="U137" s="172"/>
      <c r="V137" s="172"/>
      <c r="W137" s="172"/>
    </row>
    <row r="138" spans="1:23" ht="15" thickBot="1" x14ac:dyDescent="0.35">
      <c r="A138" s="232" t="s">
        <v>3125</v>
      </c>
      <c r="B138" s="233"/>
      <c r="C138" s="234"/>
      <c r="D138" s="233" t="s">
        <v>3126</v>
      </c>
      <c r="E138" s="235"/>
      <c r="F138" s="236">
        <f>SUM(F5:F136)</f>
        <v>47247</v>
      </c>
      <c r="G138" s="236">
        <f>SUM(G5:G136)</f>
        <v>488298559</v>
      </c>
      <c r="H138" s="236">
        <f>+G138/F138</f>
        <v>10335.017228607107</v>
      </c>
      <c r="I138" s="236">
        <f>SUM(I5:I136)</f>
        <v>45834</v>
      </c>
      <c r="J138" s="236">
        <f>SUM(J5:J136)</f>
        <v>463826262.07999986</v>
      </c>
      <c r="K138" s="236">
        <f>+J138/I138</f>
        <v>10119.698522494215</v>
      </c>
      <c r="L138" s="237">
        <f>+I138-F138</f>
        <v>-1413</v>
      </c>
      <c r="M138" s="238">
        <f>+J138-G138</f>
        <v>-24472296.920000136</v>
      </c>
      <c r="N138" s="238">
        <f>+K138-H138</f>
        <v>-215.31870611289196</v>
      </c>
      <c r="O138" s="239">
        <f>(+K138-H138)/H138</f>
        <v>-2.0833899097612955E-2</v>
      </c>
    </row>
    <row r="139" spans="1:23" ht="15" thickTop="1" x14ac:dyDescent="0.3">
      <c r="B139" s="149" t="s">
        <v>3127</v>
      </c>
      <c r="J139" s="240" t="s">
        <v>3128</v>
      </c>
      <c r="K139" s="241"/>
      <c r="N139" s="162" t="s">
        <v>3129</v>
      </c>
    </row>
    <row r="140" spans="1:23" x14ac:dyDescent="0.3">
      <c r="B140" s="158" t="s">
        <v>6052</v>
      </c>
    </row>
  </sheetData>
  <mergeCells count="2">
    <mergeCell ref="F3:H3"/>
    <mergeCell ref="I3:K3"/>
  </mergeCells>
  <printOptions horizontalCentered="1" verticalCentered="1"/>
  <pageMargins left="0" right="0" top="0.5" bottom="0.5" header="0.3" footer="0.3"/>
  <pageSetup scale="80" orientation="landscape" horizontalDpi="300" verticalDpi="300" r:id="rId1"/>
  <headerFooter>
    <oddFooter>&amp;L&amp;F&amp;C&amp;A&amp;R&amp;D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"/>
  <sheetViews>
    <sheetView topLeftCell="A162" workbookViewId="0">
      <selection activeCell="C188" sqref="C188"/>
    </sheetView>
  </sheetViews>
  <sheetFormatPr defaultRowHeight="14.4" x14ac:dyDescent="0.3"/>
  <cols>
    <col min="1" max="1" width="16.5546875" bestFit="1" customWidth="1"/>
    <col min="2" max="2" width="10.5546875" bestFit="1" customWidth="1"/>
    <col min="3" max="3" width="12.88671875" bestFit="1" customWidth="1"/>
  </cols>
  <sheetData>
    <row r="1" spans="1:3" x14ac:dyDescent="0.3">
      <c r="A1" t="s">
        <v>173</v>
      </c>
      <c r="B1" t="s">
        <v>183</v>
      </c>
    </row>
    <row r="2" spans="1:3" x14ac:dyDescent="0.3">
      <c r="A2" t="s">
        <v>3141</v>
      </c>
      <c r="B2" s="158">
        <v>2012</v>
      </c>
    </row>
    <row r="4" spans="1:3" x14ac:dyDescent="0.3">
      <c r="A4" t="s">
        <v>3142</v>
      </c>
      <c r="C4" t="s">
        <v>3143</v>
      </c>
    </row>
    <row r="5" spans="1:3" x14ac:dyDescent="0.3">
      <c r="A5" t="s">
        <v>3144</v>
      </c>
      <c r="B5" t="s">
        <v>3145</v>
      </c>
      <c r="C5" t="s">
        <v>3146</v>
      </c>
    </row>
    <row r="6" spans="1:3" x14ac:dyDescent="0.3">
      <c r="A6" s="245">
        <v>101</v>
      </c>
      <c r="B6" s="245">
        <v>1211</v>
      </c>
      <c r="C6">
        <v>776836.14</v>
      </c>
    </row>
    <row r="7" spans="1:3" x14ac:dyDescent="0.3">
      <c r="A7" s="245">
        <v>101</v>
      </c>
      <c r="B7" s="245">
        <v>1221</v>
      </c>
      <c r="C7">
        <v>482242.83</v>
      </c>
    </row>
    <row r="8" spans="1:3" x14ac:dyDescent="0.3">
      <c r="A8" s="245">
        <v>101</v>
      </c>
      <c r="B8" s="245">
        <v>1241</v>
      </c>
      <c r="C8">
        <v>732076.12</v>
      </c>
    </row>
    <row r="9" spans="1:3" x14ac:dyDescent="0.3">
      <c r="A9" s="245">
        <v>101</v>
      </c>
      <c r="B9" s="245">
        <v>1321</v>
      </c>
      <c r="C9">
        <v>200000</v>
      </c>
    </row>
    <row r="10" spans="1:3" x14ac:dyDescent="0.3">
      <c r="A10" s="245">
        <v>101</v>
      </c>
      <c r="B10" s="245">
        <v>1411</v>
      </c>
      <c r="C10">
        <v>3947219.29</v>
      </c>
    </row>
    <row r="11" spans="1:3" x14ac:dyDescent="0.3">
      <c r="A11" s="245">
        <v>101</v>
      </c>
      <c r="B11" s="245">
        <v>1412</v>
      </c>
      <c r="C11">
        <v>1590254.96</v>
      </c>
    </row>
    <row r="12" spans="1:3" x14ac:dyDescent="0.3">
      <c r="A12" s="245">
        <v>101</v>
      </c>
      <c r="B12" s="245">
        <v>1413</v>
      </c>
      <c r="C12">
        <v>236637.15</v>
      </c>
    </row>
    <row r="13" spans="1:3" x14ac:dyDescent="0.3">
      <c r="A13" s="245">
        <v>101</v>
      </c>
      <c r="B13" s="245">
        <v>1414</v>
      </c>
      <c r="C13">
        <v>451188.88</v>
      </c>
    </row>
    <row r="14" spans="1:3" x14ac:dyDescent="0.3">
      <c r="A14" s="245">
        <v>101</v>
      </c>
      <c r="B14" s="245">
        <v>1471</v>
      </c>
      <c r="C14">
        <v>64919.72</v>
      </c>
    </row>
    <row r="15" spans="1:3" x14ac:dyDescent="0.3">
      <c r="A15" s="245">
        <v>101</v>
      </c>
      <c r="B15" s="245">
        <v>1481</v>
      </c>
      <c r="C15">
        <v>211258.26</v>
      </c>
    </row>
    <row r="16" spans="1:3" x14ac:dyDescent="0.3">
      <c r="A16" s="245">
        <v>101</v>
      </c>
      <c r="B16" s="245">
        <v>1491</v>
      </c>
      <c r="C16">
        <v>312295.32</v>
      </c>
    </row>
    <row r="17" spans="1:3" x14ac:dyDescent="0.3">
      <c r="A17" s="245">
        <v>101</v>
      </c>
      <c r="B17" s="245">
        <v>1511</v>
      </c>
      <c r="C17">
        <v>1048551.59</v>
      </c>
    </row>
    <row r="18" spans="1:3" x14ac:dyDescent="0.3">
      <c r="A18" s="245">
        <v>101</v>
      </c>
      <c r="B18" s="245">
        <v>2111</v>
      </c>
      <c r="C18">
        <v>802508.51</v>
      </c>
    </row>
    <row r="19" spans="1:3" x14ac:dyDescent="0.3">
      <c r="A19" s="245">
        <v>101</v>
      </c>
      <c r="B19" s="245">
        <v>2112</v>
      </c>
      <c r="C19">
        <v>218023.88</v>
      </c>
    </row>
    <row r="20" spans="1:3" x14ac:dyDescent="0.3">
      <c r="A20" s="245">
        <v>101</v>
      </c>
      <c r="B20" s="245">
        <v>2171</v>
      </c>
      <c r="C20">
        <v>2603557.34</v>
      </c>
    </row>
    <row r="21" spans="1:3" x14ac:dyDescent="0.3">
      <c r="A21" s="245">
        <v>101</v>
      </c>
      <c r="B21" s="245">
        <v>2191</v>
      </c>
      <c r="C21">
        <v>192147.68</v>
      </c>
    </row>
    <row r="22" spans="1:3" x14ac:dyDescent="0.3">
      <c r="A22" s="245">
        <v>101</v>
      </c>
      <c r="B22" s="245">
        <v>2372</v>
      </c>
      <c r="C22">
        <v>3004005.08</v>
      </c>
    </row>
    <row r="23" spans="1:3" x14ac:dyDescent="0.3">
      <c r="A23" s="245">
        <v>101</v>
      </c>
      <c r="B23" s="245">
        <v>2411</v>
      </c>
      <c r="C23">
        <v>1095373.1599999999</v>
      </c>
    </row>
    <row r="24" spans="1:3" x14ac:dyDescent="0.3">
      <c r="A24" s="245">
        <v>101</v>
      </c>
      <c r="B24" s="245">
        <v>2412</v>
      </c>
      <c r="C24">
        <v>685496.61</v>
      </c>
    </row>
    <row r="25" spans="1:3" x14ac:dyDescent="0.3">
      <c r="A25" s="245">
        <v>101</v>
      </c>
      <c r="B25" s="245">
        <v>2511</v>
      </c>
      <c r="C25">
        <v>1610879.77</v>
      </c>
    </row>
    <row r="26" spans="1:3" x14ac:dyDescent="0.3">
      <c r="A26" s="245">
        <v>101</v>
      </c>
      <c r="B26" s="245">
        <v>2516</v>
      </c>
      <c r="C26">
        <v>824765.25</v>
      </c>
    </row>
    <row r="27" spans="1:3" x14ac:dyDescent="0.3">
      <c r="A27" s="245">
        <v>101</v>
      </c>
      <c r="B27" s="245">
        <v>3040</v>
      </c>
      <c r="C27">
        <v>440162.05</v>
      </c>
    </row>
    <row r="28" spans="1:3" x14ac:dyDescent="0.3">
      <c r="A28" s="245">
        <v>101</v>
      </c>
      <c r="B28" s="245">
        <v>3111</v>
      </c>
      <c r="C28">
        <v>307966</v>
      </c>
    </row>
    <row r="29" spans="1:3" x14ac:dyDescent="0.3">
      <c r="A29" s="245">
        <v>101</v>
      </c>
      <c r="B29" s="245">
        <v>3113</v>
      </c>
      <c r="C29">
        <v>15000</v>
      </c>
    </row>
    <row r="30" spans="1:3" x14ac:dyDescent="0.3">
      <c r="A30" s="245">
        <v>101</v>
      </c>
      <c r="B30" s="245">
        <v>3121</v>
      </c>
      <c r="C30">
        <v>578758.66</v>
      </c>
    </row>
    <row r="31" spans="1:3" x14ac:dyDescent="0.3">
      <c r="A31" s="245">
        <v>101</v>
      </c>
      <c r="B31" s="245">
        <v>3211</v>
      </c>
      <c r="C31">
        <v>3875631.34</v>
      </c>
    </row>
    <row r="32" spans="1:3" x14ac:dyDescent="0.3">
      <c r="A32" s="245">
        <v>101</v>
      </c>
      <c r="B32" s="245">
        <v>3351</v>
      </c>
      <c r="C32">
        <v>1906841.83</v>
      </c>
    </row>
    <row r="33" spans="1:3" x14ac:dyDescent="0.3">
      <c r="A33" s="245">
        <v>101</v>
      </c>
      <c r="B33" s="245">
        <v>3511</v>
      </c>
      <c r="C33">
        <v>5336141.95</v>
      </c>
    </row>
    <row r="34" spans="1:3" x14ac:dyDescent="0.3">
      <c r="A34" s="245">
        <v>101</v>
      </c>
      <c r="B34" s="245">
        <v>3512</v>
      </c>
      <c r="C34">
        <v>3789085.41</v>
      </c>
    </row>
    <row r="35" spans="1:3" x14ac:dyDescent="0.3">
      <c r="A35" s="245">
        <v>101</v>
      </c>
      <c r="B35" s="245">
        <v>3513</v>
      </c>
      <c r="C35">
        <v>964899.22</v>
      </c>
    </row>
    <row r="36" spans="1:3" x14ac:dyDescent="0.3">
      <c r="A36" s="245">
        <v>101</v>
      </c>
      <c r="B36" s="245">
        <v>3514</v>
      </c>
      <c r="C36">
        <v>24158484.620000001</v>
      </c>
    </row>
    <row r="37" spans="1:3" x14ac:dyDescent="0.3">
      <c r="A37" s="245">
        <v>101</v>
      </c>
      <c r="B37" s="245">
        <v>3515</v>
      </c>
      <c r="C37">
        <v>797891.82</v>
      </c>
    </row>
    <row r="38" spans="1:3" x14ac:dyDescent="0.3">
      <c r="A38" s="245">
        <v>101</v>
      </c>
      <c r="B38" s="245">
        <v>3516</v>
      </c>
      <c r="C38">
        <v>1154704.8</v>
      </c>
    </row>
    <row r="39" spans="1:3" x14ac:dyDescent="0.3">
      <c r="A39" s="245">
        <v>101</v>
      </c>
      <c r="B39" s="245">
        <v>3517</v>
      </c>
      <c r="C39">
        <v>8240618.8600000003</v>
      </c>
    </row>
    <row r="40" spans="1:3" x14ac:dyDescent="0.3">
      <c r="A40" s="245">
        <v>101</v>
      </c>
      <c r="B40" s="245">
        <v>3518</v>
      </c>
      <c r="C40">
        <v>5761435.6699999999</v>
      </c>
    </row>
    <row r="41" spans="1:3" x14ac:dyDescent="0.3">
      <c r="A41" s="245">
        <v>101</v>
      </c>
      <c r="B41" s="245">
        <v>3519</v>
      </c>
      <c r="C41">
        <v>1426038.84</v>
      </c>
    </row>
    <row r="42" spans="1:3" x14ac:dyDescent="0.3">
      <c r="A42" s="245">
        <v>101</v>
      </c>
      <c r="B42" s="245">
        <v>3561</v>
      </c>
      <c r="C42">
        <v>5500000</v>
      </c>
    </row>
    <row r="43" spans="1:3" x14ac:dyDescent="0.3">
      <c r="A43" s="245">
        <v>101</v>
      </c>
      <c r="B43" s="245">
        <v>3611</v>
      </c>
      <c r="C43">
        <v>4472883.5599999996</v>
      </c>
    </row>
    <row r="44" spans="1:3" x14ac:dyDescent="0.3">
      <c r="A44" s="245">
        <v>101</v>
      </c>
      <c r="B44" s="245">
        <v>3621</v>
      </c>
      <c r="C44">
        <v>1452311.48</v>
      </c>
    </row>
    <row r="45" spans="1:3" x14ac:dyDescent="0.3">
      <c r="A45" s="245">
        <v>101</v>
      </c>
      <c r="B45" s="245">
        <v>3811</v>
      </c>
      <c r="C45">
        <v>1641822.66</v>
      </c>
    </row>
    <row r="46" spans="1:3" x14ac:dyDescent="0.3">
      <c r="A46" s="245">
        <v>101</v>
      </c>
      <c r="B46" s="245">
        <v>4241</v>
      </c>
      <c r="C46">
        <v>108510.62</v>
      </c>
    </row>
    <row r="47" spans="1:3" x14ac:dyDescent="0.3">
      <c r="A47" s="245">
        <v>101</v>
      </c>
      <c r="B47" s="245">
        <v>4251</v>
      </c>
      <c r="C47">
        <v>4331046.2300000004</v>
      </c>
    </row>
    <row r="48" spans="1:3" x14ac:dyDescent="0.3">
      <c r="A48" s="245">
        <v>101</v>
      </c>
      <c r="B48" s="245">
        <v>4311</v>
      </c>
      <c r="C48">
        <v>4859891.68</v>
      </c>
    </row>
    <row r="49" spans="1:3" x14ac:dyDescent="0.3">
      <c r="A49" s="245">
        <v>101</v>
      </c>
      <c r="B49" s="245">
        <v>4521</v>
      </c>
      <c r="C49">
        <v>2004548.83</v>
      </c>
    </row>
    <row r="50" spans="1:3" x14ac:dyDescent="0.3">
      <c r="A50" s="245">
        <v>101</v>
      </c>
      <c r="B50" s="245">
        <v>4561</v>
      </c>
      <c r="C50">
        <v>2083968.71</v>
      </c>
    </row>
    <row r="51" spans="1:3" x14ac:dyDescent="0.3">
      <c r="A51" s="245">
        <v>101</v>
      </c>
      <c r="B51" s="245">
        <v>4571</v>
      </c>
      <c r="C51">
        <v>477911.19</v>
      </c>
    </row>
    <row r="52" spans="1:3" x14ac:dyDescent="0.3">
      <c r="A52" s="245">
        <v>101</v>
      </c>
      <c r="B52" s="245">
        <v>4581</v>
      </c>
      <c r="C52">
        <v>1380107.66</v>
      </c>
    </row>
    <row r="53" spans="1:3" x14ac:dyDescent="0.3">
      <c r="A53" s="245">
        <v>101</v>
      </c>
      <c r="B53" s="245">
        <v>4711</v>
      </c>
      <c r="C53">
        <v>40440528.549999997</v>
      </c>
    </row>
    <row r="54" spans="1:3" x14ac:dyDescent="0.3">
      <c r="A54" s="245">
        <v>101</v>
      </c>
      <c r="B54" s="245">
        <v>5120</v>
      </c>
      <c r="C54">
        <v>2183567.4900000002</v>
      </c>
    </row>
    <row r="55" spans="1:3" x14ac:dyDescent="0.3">
      <c r="A55" s="245">
        <v>101</v>
      </c>
      <c r="B55" s="245">
        <v>5130</v>
      </c>
      <c r="C55">
        <v>2405013.83</v>
      </c>
    </row>
    <row r="56" spans="1:3" x14ac:dyDescent="0.3">
      <c r="A56" s="245">
        <v>101</v>
      </c>
      <c r="B56" s="245">
        <v>5140</v>
      </c>
      <c r="C56">
        <v>5357382.76</v>
      </c>
    </row>
    <row r="57" spans="1:3" x14ac:dyDescent="0.3">
      <c r="A57" s="245">
        <v>101</v>
      </c>
      <c r="B57" s="245">
        <v>5150</v>
      </c>
      <c r="C57">
        <v>4850910.62</v>
      </c>
    </row>
    <row r="58" spans="1:3" x14ac:dyDescent="0.3">
      <c r="A58" s="245">
        <v>101</v>
      </c>
      <c r="B58" s="245">
        <v>5160</v>
      </c>
      <c r="C58">
        <v>4380079.6100000003</v>
      </c>
    </row>
    <row r="59" spans="1:3" x14ac:dyDescent="0.3">
      <c r="A59" s="245">
        <v>101</v>
      </c>
      <c r="B59" s="245">
        <v>5200</v>
      </c>
      <c r="C59">
        <v>2748591.84</v>
      </c>
    </row>
    <row r="60" spans="1:3" x14ac:dyDescent="0.3">
      <c r="A60" s="245">
        <v>101</v>
      </c>
      <c r="B60" s="245">
        <v>5210</v>
      </c>
      <c r="C60">
        <v>6303407.1299999999</v>
      </c>
    </row>
    <row r="61" spans="1:3" x14ac:dyDescent="0.3">
      <c r="A61" s="245">
        <v>101</v>
      </c>
      <c r="B61" s="245">
        <v>5220</v>
      </c>
      <c r="C61">
        <v>3152139.3</v>
      </c>
    </row>
    <row r="62" spans="1:3" x14ac:dyDescent="0.3">
      <c r="A62" s="245">
        <v>101</v>
      </c>
      <c r="B62" s="245">
        <v>5230</v>
      </c>
      <c r="C62">
        <v>4170147.76</v>
      </c>
    </row>
    <row r="63" spans="1:3" x14ac:dyDescent="0.3">
      <c r="A63" s="245">
        <v>101</v>
      </c>
      <c r="B63" s="245">
        <v>5250</v>
      </c>
      <c r="C63">
        <v>3452016.31</v>
      </c>
    </row>
    <row r="64" spans="1:3" x14ac:dyDescent="0.3">
      <c r="A64" s="245">
        <v>101</v>
      </c>
      <c r="B64" s="245">
        <v>5260</v>
      </c>
      <c r="C64">
        <v>2848854.06</v>
      </c>
    </row>
    <row r="65" spans="1:3" x14ac:dyDescent="0.3">
      <c r="A65" s="245">
        <v>101</v>
      </c>
      <c r="B65" s="245">
        <v>5280</v>
      </c>
      <c r="C65">
        <v>3223699.1</v>
      </c>
    </row>
    <row r="66" spans="1:3" x14ac:dyDescent="0.3">
      <c r="A66" s="245">
        <v>101</v>
      </c>
      <c r="B66" s="245">
        <v>5300</v>
      </c>
      <c r="C66">
        <v>3664052.55</v>
      </c>
    </row>
    <row r="67" spans="1:3" x14ac:dyDescent="0.3">
      <c r="A67" s="245">
        <v>101</v>
      </c>
      <c r="B67" s="245">
        <v>5310</v>
      </c>
      <c r="C67">
        <v>1644905.02</v>
      </c>
    </row>
    <row r="68" spans="1:3" x14ac:dyDescent="0.3">
      <c r="A68" s="245">
        <v>101</v>
      </c>
      <c r="B68" s="245">
        <v>5330</v>
      </c>
      <c r="C68">
        <v>1738284.91</v>
      </c>
    </row>
    <row r="69" spans="1:3" x14ac:dyDescent="0.3">
      <c r="A69" s="245">
        <v>101</v>
      </c>
      <c r="B69" s="245">
        <v>5340</v>
      </c>
      <c r="C69">
        <v>3639311.43</v>
      </c>
    </row>
    <row r="70" spans="1:3" x14ac:dyDescent="0.3">
      <c r="A70" s="245">
        <v>101</v>
      </c>
      <c r="B70" s="245">
        <v>5350</v>
      </c>
      <c r="C70">
        <v>3901131.63</v>
      </c>
    </row>
    <row r="71" spans="1:3" x14ac:dyDescent="0.3">
      <c r="A71" s="245">
        <v>101</v>
      </c>
      <c r="B71" s="245">
        <v>5360</v>
      </c>
      <c r="C71">
        <v>2163192.13</v>
      </c>
    </row>
    <row r="72" spans="1:3" x14ac:dyDescent="0.3">
      <c r="A72" s="245">
        <v>101</v>
      </c>
      <c r="B72" s="245">
        <v>5390</v>
      </c>
      <c r="C72">
        <v>1945288.67</v>
      </c>
    </row>
    <row r="73" spans="1:3" x14ac:dyDescent="0.3">
      <c r="A73" s="245">
        <v>101</v>
      </c>
      <c r="B73" s="245">
        <v>5400</v>
      </c>
      <c r="C73">
        <v>2720419.48</v>
      </c>
    </row>
    <row r="74" spans="1:3" x14ac:dyDescent="0.3">
      <c r="A74" s="245">
        <v>101</v>
      </c>
      <c r="B74" s="245">
        <v>5430</v>
      </c>
      <c r="C74">
        <v>1666639.96</v>
      </c>
    </row>
    <row r="75" spans="1:3" x14ac:dyDescent="0.3">
      <c r="A75" s="245">
        <v>101</v>
      </c>
      <c r="B75" s="245">
        <v>5450</v>
      </c>
      <c r="C75">
        <v>2254150.9900000002</v>
      </c>
    </row>
    <row r="76" spans="1:3" x14ac:dyDescent="0.3">
      <c r="A76" s="245">
        <v>101</v>
      </c>
      <c r="B76" s="245">
        <v>5460</v>
      </c>
      <c r="C76">
        <v>2746481.23</v>
      </c>
    </row>
    <row r="77" spans="1:3" x14ac:dyDescent="0.3">
      <c r="A77" s="245">
        <v>101</v>
      </c>
      <c r="B77" s="245">
        <v>5480</v>
      </c>
      <c r="C77">
        <v>1741466.18</v>
      </c>
    </row>
    <row r="78" spans="1:3" x14ac:dyDescent="0.3">
      <c r="A78" s="245">
        <v>101</v>
      </c>
      <c r="B78" s="245">
        <v>5490</v>
      </c>
      <c r="C78">
        <v>2383998.33</v>
      </c>
    </row>
    <row r="79" spans="1:3" x14ac:dyDescent="0.3">
      <c r="A79" s="245">
        <v>101</v>
      </c>
      <c r="B79" s="245">
        <v>5500</v>
      </c>
      <c r="C79">
        <v>4274441.5199999996</v>
      </c>
    </row>
    <row r="80" spans="1:3" x14ac:dyDescent="0.3">
      <c r="A80" s="245">
        <v>101</v>
      </c>
      <c r="B80" s="245">
        <v>5510</v>
      </c>
      <c r="C80">
        <v>1423186.29</v>
      </c>
    </row>
    <row r="81" spans="1:3" x14ac:dyDescent="0.3">
      <c r="A81" s="245">
        <v>101</v>
      </c>
      <c r="B81" s="245">
        <v>5520</v>
      </c>
      <c r="C81">
        <v>2012776.01</v>
      </c>
    </row>
    <row r="82" spans="1:3" x14ac:dyDescent="0.3">
      <c r="A82" s="245">
        <v>101</v>
      </c>
      <c r="B82" s="245">
        <v>5530</v>
      </c>
      <c r="C82">
        <v>2924080.79</v>
      </c>
    </row>
    <row r="83" spans="1:3" x14ac:dyDescent="0.3">
      <c r="A83" s="245">
        <v>101</v>
      </c>
      <c r="B83" s="245">
        <v>5540</v>
      </c>
      <c r="C83">
        <v>2483392.12</v>
      </c>
    </row>
    <row r="84" spans="1:3" x14ac:dyDescent="0.3">
      <c r="A84" s="245">
        <v>101</v>
      </c>
      <c r="B84" s="245">
        <v>5550</v>
      </c>
      <c r="C84">
        <v>2598689.2599999998</v>
      </c>
    </row>
    <row r="85" spans="1:3" x14ac:dyDescent="0.3">
      <c r="A85" s="245">
        <v>101</v>
      </c>
      <c r="B85" s="245">
        <v>5560</v>
      </c>
      <c r="C85">
        <v>5404194.3799999999</v>
      </c>
    </row>
    <row r="86" spans="1:3" x14ac:dyDescent="0.3">
      <c r="A86" s="245">
        <v>101</v>
      </c>
      <c r="B86" s="245">
        <v>5570</v>
      </c>
      <c r="C86">
        <v>3029868.41</v>
      </c>
    </row>
    <row r="87" spans="1:3" x14ac:dyDescent="0.3">
      <c r="A87" s="245">
        <v>101</v>
      </c>
      <c r="B87" s="245">
        <v>5580</v>
      </c>
      <c r="C87">
        <v>2823501.75</v>
      </c>
    </row>
    <row r="88" spans="1:3" x14ac:dyDescent="0.3">
      <c r="A88" s="245">
        <v>101</v>
      </c>
      <c r="B88" s="245">
        <v>5590</v>
      </c>
      <c r="C88">
        <v>2978668.4</v>
      </c>
    </row>
    <row r="89" spans="1:3" x14ac:dyDescent="0.3">
      <c r="A89" s="245">
        <v>101</v>
      </c>
      <c r="B89" s="245">
        <v>5600</v>
      </c>
      <c r="C89">
        <v>3301290.16</v>
      </c>
    </row>
    <row r="90" spans="1:3" x14ac:dyDescent="0.3">
      <c r="A90" s="245">
        <v>101</v>
      </c>
      <c r="B90" s="245">
        <v>5610</v>
      </c>
      <c r="C90">
        <v>1867473.41</v>
      </c>
    </row>
    <row r="91" spans="1:3" x14ac:dyDescent="0.3">
      <c r="A91" s="245">
        <v>101</v>
      </c>
      <c r="B91" s="245">
        <v>5620</v>
      </c>
      <c r="C91">
        <v>2189677.9</v>
      </c>
    </row>
    <row r="92" spans="1:3" x14ac:dyDescent="0.3">
      <c r="A92" s="245">
        <v>101</v>
      </c>
      <c r="B92" s="245">
        <v>5630</v>
      </c>
      <c r="C92">
        <v>1826655.98</v>
      </c>
    </row>
    <row r="93" spans="1:3" x14ac:dyDescent="0.3">
      <c r="A93" s="245">
        <v>101</v>
      </c>
      <c r="B93" s="245">
        <v>5640</v>
      </c>
      <c r="C93">
        <v>2665886.9500000002</v>
      </c>
    </row>
    <row r="94" spans="1:3" x14ac:dyDescent="0.3">
      <c r="A94" s="245">
        <v>101</v>
      </c>
      <c r="B94" s="245">
        <v>5690</v>
      </c>
      <c r="C94">
        <v>4547777.68</v>
      </c>
    </row>
    <row r="95" spans="1:3" x14ac:dyDescent="0.3">
      <c r="A95" s="245">
        <v>101</v>
      </c>
      <c r="B95" s="245">
        <v>5710</v>
      </c>
      <c r="C95">
        <v>2928932.04</v>
      </c>
    </row>
    <row r="96" spans="1:3" x14ac:dyDescent="0.3">
      <c r="A96" s="245">
        <v>101</v>
      </c>
      <c r="B96" s="245">
        <v>5720</v>
      </c>
      <c r="C96">
        <v>4625612.47</v>
      </c>
    </row>
    <row r="97" spans="1:3" x14ac:dyDescent="0.3">
      <c r="A97" s="245">
        <v>101</v>
      </c>
      <c r="B97" s="245">
        <v>5730</v>
      </c>
      <c r="C97">
        <v>2922596.2</v>
      </c>
    </row>
    <row r="98" spans="1:3" x14ac:dyDescent="0.3">
      <c r="A98" s="245">
        <v>101</v>
      </c>
      <c r="B98" s="245">
        <v>5740</v>
      </c>
      <c r="C98">
        <v>4076097.27</v>
      </c>
    </row>
    <row r="99" spans="1:3" x14ac:dyDescent="0.3">
      <c r="A99" s="245">
        <v>101</v>
      </c>
      <c r="B99" s="245">
        <v>5750</v>
      </c>
      <c r="C99">
        <v>3037373.9</v>
      </c>
    </row>
    <row r="100" spans="1:3" x14ac:dyDescent="0.3">
      <c r="A100" s="245">
        <v>101</v>
      </c>
      <c r="B100" s="245">
        <v>5760</v>
      </c>
      <c r="C100">
        <v>6993470.1500000004</v>
      </c>
    </row>
    <row r="101" spans="1:3" x14ac:dyDescent="0.3">
      <c r="A101" s="245">
        <v>101</v>
      </c>
      <c r="B101" s="245">
        <v>5780</v>
      </c>
      <c r="C101">
        <v>2953944</v>
      </c>
    </row>
    <row r="102" spans="1:3" x14ac:dyDescent="0.3">
      <c r="A102" s="245">
        <v>101</v>
      </c>
      <c r="B102" s="245">
        <v>5790</v>
      </c>
      <c r="C102">
        <v>1901195.15</v>
      </c>
    </row>
    <row r="103" spans="1:3" x14ac:dyDescent="0.3">
      <c r="A103" s="245">
        <v>101</v>
      </c>
      <c r="B103" s="245">
        <v>5800</v>
      </c>
      <c r="C103">
        <v>2004324.82</v>
      </c>
    </row>
    <row r="104" spans="1:3" x14ac:dyDescent="0.3">
      <c r="A104" s="245">
        <v>101</v>
      </c>
      <c r="B104" s="245">
        <v>5810</v>
      </c>
      <c r="C104">
        <v>1059360</v>
      </c>
    </row>
    <row r="105" spans="1:3" x14ac:dyDescent="0.3">
      <c r="A105" s="245">
        <v>101</v>
      </c>
      <c r="B105" s="245">
        <v>5820</v>
      </c>
      <c r="C105">
        <v>1872337.05</v>
      </c>
    </row>
    <row r="106" spans="1:3" x14ac:dyDescent="0.3">
      <c r="A106" s="245">
        <v>101</v>
      </c>
      <c r="B106" s="245">
        <v>5830</v>
      </c>
      <c r="C106">
        <v>4050926.91</v>
      </c>
    </row>
    <row r="107" spans="1:3" x14ac:dyDescent="0.3">
      <c r="A107" s="245">
        <v>101</v>
      </c>
      <c r="B107" s="245">
        <v>5840</v>
      </c>
      <c r="C107">
        <v>3675061.14</v>
      </c>
    </row>
    <row r="108" spans="1:3" x14ac:dyDescent="0.3">
      <c r="A108" s="245">
        <v>101</v>
      </c>
      <c r="B108" s="245">
        <v>5850</v>
      </c>
      <c r="C108">
        <v>4010792.67</v>
      </c>
    </row>
    <row r="109" spans="1:3" x14ac:dyDescent="0.3">
      <c r="A109" s="245">
        <v>101</v>
      </c>
      <c r="B109" s="245">
        <v>5860</v>
      </c>
      <c r="C109">
        <v>3706167.26</v>
      </c>
    </row>
    <row r="110" spans="1:3" x14ac:dyDescent="0.3">
      <c r="A110" s="245">
        <v>101</v>
      </c>
      <c r="B110" s="245">
        <v>5870</v>
      </c>
      <c r="C110">
        <v>1481207.16</v>
      </c>
    </row>
    <row r="111" spans="1:3" x14ac:dyDescent="0.3">
      <c r="A111" s="245">
        <v>101</v>
      </c>
      <c r="B111" s="245">
        <v>5880</v>
      </c>
      <c r="C111">
        <v>1421393.63</v>
      </c>
    </row>
    <row r="112" spans="1:3" x14ac:dyDescent="0.3">
      <c r="A112" s="245">
        <v>101</v>
      </c>
      <c r="B112" s="245">
        <v>5900</v>
      </c>
      <c r="C112">
        <v>3240358.55</v>
      </c>
    </row>
    <row r="113" spans="1:3" x14ac:dyDescent="0.3">
      <c r="A113" s="245">
        <v>101</v>
      </c>
      <c r="B113" s="245">
        <v>5910</v>
      </c>
      <c r="C113">
        <v>3274193.65</v>
      </c>
    </row>
    <row r="114" spans="1:3" x14ac:dyDescent="0.3">
      <c r="A114" s="245">
        <v>101</v>
      </c>
      <c r="B114" s="245">
        <v>5940</v>
      </c>
      <c r="C114">
        <v>3122228</v>
      </c>
    </row>
    <row r="115" spans="1:3" x14ac:dyDescent="0.3">
      <c r="A115" s="245">
        <v>101</v>
      </c>
      <c r="B115" s="245">
        <v>5950</v>
      </c>
      <c r="C115">
        <v>2350055.7400000002</v>
      </c>
    </row>
    <row r="116" spans="1:3" x14ac:dyDescent="0.3">
      <c r="A116" s="245">
        <v>101</v>
      </c>
      <c r="B116" s="245">
        <v>5970</v>
      </c>
      <c r="C116">
        <v>2438870.86</v>
      </c>
    </row>
    <row r="117" spans="1:3" x14ac:dyDescent="0.3">
      <c r="A117" s="245">
        <v>101</v>
      </c>
      <c r="B117" s="245">
        <v>5980</v>
      </c>
      <c r="C117">
        <v>3451059.87</v>
      </c>
    </row>
    <row r="118" spans="1:3" x14ac:dyDescent="0.3">
      <c r="A118" s="245">
        <v>101</v>
      </c>
      <c r="B118" s="245">
        <v>6000</v>
      </c>
      <c r="C118">
        <v>3138110</v>
      </c>
    </row>
    <row r="119" spans="1:3" x14ac:dyDescent="0.3">
      <c r="A119" s="245">
        <v>101</v>
      </c>
      <c r="B119" s="245">
        <v>6010</v>
      </c>
      <c r="C119">
        <v>3415160.76</v>
      </c>
    </row>
    <row r="120" spans="1:3" x14ac:dyDescent="0.3">
      <c r="A120" s="245">
        <v>101</v>
      </c>
      <c r="B120" s="245">
        <v>6020</v>
      </c>
      <c r="C120">
        <v>2188133.6800000002</v>
      </c>
    </row>
    <row r="121" spans="1:3" x14ac:dyDescent="0.3">
      <c r="A121" s="245">
        <v>101</v>
      </c>
      <c r="B121" s="245">
        <v>6030</v>
      </c>
      <c r="C121">
        <v>2553282.7000000002</v>
      </c>
    </row>
    <row r="122" spans="1:3" x14ac:dyDescent="0.3">
      <c r="A122" s="245">
        <v>101</v>
      </c>
      <c r="B122" s="245">
        <v>6040</v>
      </c>
      <c r="C122">
        <v>3166486.56</v>
      </c>
    </row>
    <row r="123" spans="1:3" x14ac:dyDescent="0.3">
      <c r="A123" s="245">
        <v>101</v>
      </c>
      <c r="B123" s="245">
        <v>6050</v>
      </c>
      <c r="C123">
        <v>5373782.1600000001</v>
      </c>
    </row>
    <row r="124" spans="1:3" x14ac:dyDescent="0.3">
      <c r="A124" s="245">
        <v>101</v>
      </c>
      <c r="B124" s="245">
        <v>6060</v>
      </c>
      <c r="C124">
        <v>2756235.55</v>
      </c>
    </row>
    <row r="125" spans="1:3" x14ac:dyDescent="0.3">
      <c r="A125" s="245">
        <v>101</v>
      </c>
      <c r="B125" s="245">
        <v>6070</v>
      </c>
      <c r="C125">
        <v>4586358.92</v>
      </c>
    </row>
    <row r="126" spans="1:3" x14ac:dyDescent="0.3">
      <c r="A126" s="245">
        <v>101</v>
      </c>
      <c r="B126" s="245">
        <v>6090</v>
      </c>
      <c r="C126">
        <v>5168069.33</v>
      </c>
    </row>
    <row r="127" spans="1:3" x14ac:dyDescent="0.3">
      <c r="A127" s="245">
        <v>101</v>
      </c>
      <c r="B127" s="245">
        <v>6110</v>
      </c>
      <c r="C127">
        <v>4926910.54</v>
      </c>
    </row>
    <row r="128" spans="1:3" x14ac:dyDescent="0.3">
      <c r="A128" s="245">
        <v>101</v>
      </c>
      <c r="B128" s="245">
        <v>6120</v>
      </c>
      <c r="C128">
        <v>4507870.55</v>
      </c>
    </row>
    <row r="129" spans="1:3" x14ac:dyDescent="0.3">
      <c r="A129" s="245">
        <v>101</v>
      </c>
      <c r="B129" s="245">
        <v>6130</v>
      </c>
      <c r="C129">
        <v>4218540.4800000004</v>
      </c>
    </row>
    <row r="130" spans="1:3" x14ac:dyDescent="0.3">
      <c r="A130" s="245">
        <v>101</v>
      </c>
      <c r="B130" s="245">
        <v>6150</v>
      </c>
      <c r="C130">
        <v>2697718.47</v>
      </c>
    </row>
    <row r="131" spans="1:3" x14ac:dyDescent="0.3">
      <c r="A131" s="245">
        <v>101</v>
      </c>
      <c r="B131" s="245">
        <v>6170</v>
      </c>
      <c r="C131">
        <v>3637681.91</v>
      </c>
    </row>
    <row r="132" spans="1:3" x14ac:dyDescent="0.3">
      <c r="A132" s="245">
        <v>101</v>
      </c>
      <c r="B132" s="245">
        <v>6190</v>
      </c>
      <c r="C132">
        <v>4033262.15</v>
      </c>
    </row>
    <row r="133" spans="1:3" x14ac:dyDescent="0.3">
      <c r="A133" s="245">
        <v>101</v>
      </c>
      <c r="B133" s="245">
        <v>6200</v>
      </c>
      <c r="C133">
        <v>2961867.34</v>
      </c>
    </row>
    <row r="134" spans="1:3" x14ac:dyDescent="0.3">
      <c r="A134" s="245">
        <v>101</v>
      </c>
      <c r="B134" s="245">
        <v>6290</v>
      </c>
      <c r="C134">
        <v>2172266.7000000002</v>
      </c>
    </row>
    <row r="135" spans="1:3" x14ac:dyDescent="0.3">
      <c r="A135" s="245">
        <v>101</v>
      </c>
      <c r="B135" s="245">
        <v>6320</v>
      </c>
      <c r="C135">
        <v>3589399.73</v>
      </c>
    </row>
    <row r="136" spans="1:3" x14ac:dyDescent="0.3">
      <c r="A136" s="245">
        <v>101</v>
      </c>
      <c r="B136" s="245">
        <v>6330</v>
      </c>
      <c r="C136">
        <v>7945524.9400000004</v>
      </c>
    </row>
    <row r="137" spans="1:3" x14ac:dyDescent="0.3">
      <c r="A137" s="245">
        <v>101</v>
      </c>
      <c r="B137" s="245">
        <v>6340</v>
      </c>
      <c r="C137">
        <v>3303751.98</v>
      </c>
    </row>
    <row r="138" spans="1:3" x14ac:dyDescent="0.3">
      <c r="A138" s="245">
        <v>101</v>
      </c>
      <c r="B138" s="245">
        <v>6360</v>
      </c>
      <c r="C138">
        <v>2434334.42</v>
      </c>
    </row>
    <row r="139" spans="1:3" x14ac:dyDescent="0.3">
      <c r="A139" s="245">
        <v>101</v>
      </c>
      <c r="B139" s="245">
        <v>6380</v>
      </c>
      <c r="C139">
        <v>3882319.99</v>
      </c>
    </row>
    <row r="140" spans="1:3" x14ac:dyDescent="0.3">
      <c r="A140" s="245">
        <v>101</v>
      </c>
      <c r="B140" s="245">
        <v>6390</v>
      </c>
      <c r="C140">
        <v>5498230.5599999996</v>
      </c>
    </row>
    <row r="141" spans="1:3" x14ac:dyDescent="0.3">
      <c r="A141" s="245">
        <v>101</v>
      </c>
      <c r="B141" s="245">
        <v>6410</v>
      </c>
      <c r="C141">
        <v>2037245.49</v>
      </c>
    </row>
    <row r="142" spans="1:3" x14ac:dyDescent="0.3">
      <c r="A142" s="245">
        <v>101</v>
      </c>
      <c r="B142" s="245">
        <v>6420</v>
      </c>
      <c r="C142">
        <v>2756510.22</v>
      </c>
    </row>
    <row r="143" spans="1:3" x14ac:dyDescent="0.3">
      <c r="A143" s="245">
        <v>101</v>
      </c>
      <c r="B143" s="245">
        <v>6430</v>
      </c>
      <c r="C143">
        <v>3182892.69</v>
      </c>
    </row>
    <row r="144" spans="1:3" x14ac:dyDescent="0.3">
      <c r="A144" s="245">
        <v>101</v>
      </c>
      <c r="B144" s="245">
        <v>6450</v>
      </c>
      <c r="C144">
        <v>2361140.67</v>
      </c>
    </row>
    <row r="145" spans="1:3" x14ac:dyDescent="0.3">
      <c r="A145" s="245">
        <v>101</v>
      </c>
      <c r="B145" s="245">
        <v>6470</v>
      </c>
      <c r="C145">
        <v>2196396.37</v>
      </c>
    </row>
    <row r="146" spans="1:3" x14ac:dyDescent="0.3">
      <c r="A146" s="245">
        <v>101</v>
      </c>
      <c r="B146" s="245">
        <v>6480</v>
      </c>
      <c r="C146">
        <v>2046906.97</v>
      </c>
    </row>
    <row r="147" spans="1:3" x14ac:dyDescent="0.3">
      <c r="A147" s="245">
        <v>101</v>
      </c>
      <c r="B147" s="245">
        <v>6490</v>
      </c>
      <c r="C147">
        <v>3345341.23</v>
      </c>
    </row>
    <row r="148" spans="1:3" x14ac:dyDescent="0.3">
      <c r="A148" s="245">
        <v>101</v>
      </c>
      <c r="B148" s="245">
        <v>6500</v>
      </c>
      <c r="C148">
        <v>3322478.22</v>
      </c>
    </row>
    <row r="149" spans="1:3" x14ac:dyDescent="0.3">
      <c r="A149" s="245">
        <v>101</v>
      </c>
      <c r="B149" s="245">
        <v>6520</v>
      </c>
      <c r="C149">
        <v>962323.8</v>
      </c>
    </row>
    <row r="150" spans="1:3" x14ac:dyDescent="0.3">
      <c r="A150" s="245">
        <v>101</v>
      </c>
      <c r="B150" s="245">
        <v>6530</v>
      </c>
      <c r="C150">
        <v>846937.46</v>
      </c>
    </row>
    <row r="151" spans="1:3" x14ac:dyDescent="0.3">
      <c r="A151" s="245">
        <v>101</v>
      </c>
      <c r="B151" s="245">
        <v>6580</v>
      </c>
      <c r="C151">
        <v>3986264.79</v>
      </c>
    </row>
    <row r="152" spans="1:3" x14ac:dyDescent="0.3">
      <c r="A152" s="245">
        <v>101</v>
      </c>
      <c r="B152" s="245">
        <v>7110</v>
      </c>
      <c r="C152">
        <v>7794300.4100000001</v>
      </c>
    </row>
    <row r="153" spans="1:3" x14ac:dyDescent="0.3">
      <c r="A153" s="245">
        <v>101</v>
      </c>
      <c r="B153" s="245">
        <v>7120</v>
      </c>
      <c r="C153">
        <v>9437466.0199999996</v>
      </c>
    </row>
    <row r="154" spans="1:3" x14ac:dyDescent="0.3">
      <c r="A154" s="245">
        <v>101</v>
      </c>
      <c r="B154" s="245">
        <v>7140</v>
      </c>
      <c r="C154">
        <v>3848439.9</v>
      </c>
    </row>
    <row r="155" spans="1:3" x14ac:dyDescent="0.3">
      <c r="A155" s="245">
        <v>101</v>
      </c>
      <c r="B155" s="245">
        <v>7150</v>
      </c>
      <c r="C155">
        <v>11411115.880000001</v>
      </c>
    </row>
    <row r="156" spans="1:3" x14ac:dyDescent="0.3">
      <c r="A156" s="245">
        <v>101</v>
      </c>
      <c r="B156" s="245">
        <v>7160</v>
      </c>
      <c r="C156">
        <v>6017339.0199999996</v>
      </c>
    </row>
    <row r="157" spans="1:3" x14ac:dyDescent="0.3">
      <c r="A157" s="245">
        <v>101</v>
      </c>
      <c r="B157" s="245">
        <v>7170</v>
      </c>
      <c r="C157">
        <v>6045615.04</v>
      </c>
    </row>
    <row r="158" spans="1:3" x14ac:dyDescent="0.3">
      <c r="A158" s="245">
        <v>101</v>
      </c>
      <c r="B158" s="245">
        <v>7180</v>
      </c>
      <c r="C158">
        <v>5769353.5599999996</v>
      </c>
    </row>
    <row r="159" spans="1:3" x14ac:dyDescent="0.3">
      <c r="A159" s="245">
        <v>101</v>
      </c>
      <c r="B159" s="245">
        <v>7190</v>
      </c>
      <c r="C159">
        <v>954241.99</v>
      </c>
    </row>
    <row r="160" spans="1:3" x14ac:dyDescent="0.3">
      <c r="A160" s="245">
        <v>101</v>
      </c>
      <c r="B160" s="245">
        <v>7200</v>
      </c>
      <c r="C160">
        <v>2999005.31</v>
      </c>
    </row>
    <row r="161" spans="1:3" x14ac:dyDescent="0.3">
      <c r="A161" s="245">
        <v>101</v>
      </c>
      <c r="B161" s="245">
        <v>7210</v>
      </c>
      <c r="C161">
        <v>1913860</v>
      </c>
    </row>
    <row r="162" spans="1:3" x14ac:dyDescent="0.3">
      <c r="A162" s="245">
        <v>101</v>
      </c>
      <c r="B162" s="245">
        <v>7220</v>
      </c>
      <c r="C162">
        <v>2257529.73</v>
      </c>
    </row>
    <row r="163" spans="1:3" x14ac:dyDescent="0.3">
      <c r="A163" s="245">
        <v>101</v>
      </c>
      <c r="B163" s="245">
        <v>7230</v>
      </c>
      <c r="C163">
        <v>3625526.12</v>
      </c>
    </row>
    <row r="164" spans="1:3" x14ac:dyDescent="0.3">
      <c r="A164" s="245">
        <v>101</v>
      </c>
      <c r="B164" s="245">
        <v>7240</v>
      </c>
      <c r="C164">
        <v>6185281.1299999999</v>
      </c>
    </row>
    <row r="165" spans="1:3" x14ac:dyDescent="0.3">
      <c r="A165" s="245">
        <v>101</v>
      </c>
      <c r="B165" s="245">
        <v>7250</v>
      </c>
      <c r="C165">
        <v>4475201.18</v>
      </c>
    </row>
    <row r="166" spans="1:3" x14ac:dyDescent="0.3">
      <c r="A166" s="245">
        <v>101</v>
      </c>
      <c r="B166" s="245">
        <v>7260</v>
      </c>
      <c r="C166">
        <v>4750562.46</v>
      </c>
    </row>
    <row r="167" spans="1:3" x14ac:dyDescent="0.3">
      <c r="A167" s="245">
        <v>101</v>
      </c>
      <c r="B167" s="245">
        <v>7280</v>
      </c>
      <c r="C167">
        <v>6619714.9900000002</v>
      </c>
    </row>
    <row r="168" spans="1:3" x14ac:dyDescent="0.3">
      <c r="A168" s="245">
        <v>101</v>
      </c>
      <c r="B168" s="245">
        <v>7290</v>
      </c>
      <c r="C168">
        <v>635208</v>
      </c>
    </row>
    <row r="169" spans="1:3" x14ac:dyDescent="0.3">
      <c r="A169" s="245">
        <v>101</v>
      </c>
      <c r="B169" s="245">
        <v>7300</v>
      </c>
      <c r="C169">
        <v>12450682.949999999</v>
      </c>
    </row>
    <row r="170" spans="1:3" x14ac:dyDescent="0.3">
      <c r="A170" s="245">
        <v>101</v>
      </c>
      <c r="B170" s="245">
        <v>7310</v>
      </c>
      <c r="C170">
        <v>3272867</v>
      </c>
    </row>
    <row r="171" spans="1:3" x14ac:dyDescent="0.3">
      <c r="A171" s="245">
        <v>101</v>
      </c>
      <c r="B171" s="245">
        <v>7320</v>
      </c>
      <c r="C171">
        <v>1147765.8999999999</v>
      </c>
    </row>
    <row r="172" spans="1:3" x14ac:dyDescent="0.3">
      <c r="A172" s="245">
        <v>101</v>
      </c>
      <c r="B172" s="245">
        <v>7360</v>
      </c>
      <c r="C172">
        <v>1940215.44</v>
      </c>
    </row>
    <row r="173" spans="1:3" x14ac:dyDescent="0.3">
      <c r="A173" s="245">
        <v>101</v>
      </c>
      <c r="B173" s="245">
        <v>7370</v>
      </c>
      <c r="C173">
        <v>2723105.79</v>
      </c>
    </row>
    <row r="174" spans="1:3" x14ac:dyDescent="0.3">
      <c r="A174" s="245">
        <v>101</v>
      </c>
      <c r="B174" s="245">
        <v>7380</v>
      </c>
      <c r="C174">
        <v>2709807.16</v>
      </c>
    </row>
    <row r="175" spans="1:3" x14ac:dyDescent="0.3">
      <c r="A175" s="245">
        <v>101</v>
      </c>
      <c r="B175" s="245">
        <v>7440</v>
      </c>
      <c r="C175">
        <v>1058836</v>
      </c>
    </row>
    <row r="176" spans="1:3" x14ac:dyDescent="0.3">
      <c r="A176" s="245">
        <v>101</v>
      </c>
      <c r="B176" s="245">
        <v>7450</v>
      </c>
      <c r="C176">
        <v>1599972</v>
      </c>
    </row>
    <row r="177" spans="1:3" x14ac:dyDescent="0.3">
      <c r="A177" s="245">
        <v>101</v>
      </c>
      <c r="B177" s="245">
        <v>7480</v>
      </c>
      <c r="C177">
        <v>1313187</v>
      </c>
    </row>
    <row r="178" spans="1:3" x14ac:dyDescent="0.3">
      <c r="A178" s="245">
        <v>101</v>
      </c>
      <c r="B178" s="245">
        <v>7490</v>
      </c>
      <c r="C178">
        <v>2809350.98</v>
      </c>
    </row>
    <row r="179" spans="1:3" x14ac:dyDescent="0.3">
      <c r="A179" s="245">
        <v>101</v>
      </c>
      <c r="B179" s="245">
        <v>7820</v>
      </c>
      <c r="C179">
        <v>2028994.11</v>
      </c>
    </row>
    <row r="180" spans="1:3" x14ac:dyDescent="0.3">
      <c r="A180" s="245">
        <v>101</v>
      </c>
      <c r="B180" s="245">
        <v>7830</v>
      </c>
      <c r="C180">
        <v>551337</v>
      </c>
    </row>
    <row r="181" spans="1:3" x14ac:dyDescent="0.3">
      <c r="A181" s="245">
        <v>101</v>
      </c>
      <c r="B181" s="245">
        <v>7840</v>
      </c>
      <c r="C181">
        <v>2526101</v>
      </c>
    </row>
    <row r="182" spans="1:3" x14ac:dyDescent="0.3">
      <c r="A182" s="245">
        <v>101</v>
      </c>
      <c r="B182" s="245">
        <v>7850</v>
      </c>
      <c r="C182">
        <v>3268290.45</v>
      </c>
    </row>
    <row r="183" spans="1:3" x14ac:dyDescent="0.3">
      <c r="A183" s="245">
        <v>101</v>
      </c>
      <c r="B183" s="245">
        <v>7870</v>
      </c>
      <c r="C183">
        <v>6389068.2599999998</v>
      </c>
    </row>
    <row r="184" spans="1:3" x14ac:dyDescent="0.3">
      <c r="A184" s="245">
        <v>101</v>
      </c>
      <c r="B184" s="245">
        <v>7890</v>
      </c>
      <c r="C184">
        <v>2046533</v>
      </c>
    </row>
    <row r="185" spans="1:3" x14ac:dyDescent="0.3">
      <c r="A185" s="245">
        <v>101</v>
      </c>
      <c r="B185" s="245">
        <v>7910</v>
      </c>
      <c r="C185">
        <v>15359063.91</v>
      </c>
    </row>
    <row r="186" spans="1:3" x14ac:dyDescent="0.3">
      <c r="A186" s="245">
        <v>101</v>
      </c>
      <c r="B186" s="245">
        <v>7920</v>
      </c>
      <c r="C186">
        <v>16972.11</v>
      </c>
    </row>
    <row r="187" spans="1:3" x14ac:dyDescent="0.3">
      <c r="A187" s="245">
        <v>101</v>
      </c>
      <c r="B187" s="245">
        <v>7930</v>
      </c>
      <c r="C187">
        <v>1284623</v>
      </c>
    </row>
    <row r="188" spans="1:3" x14ac:dyDescent="0.3">
      <c r="C188">
        <f>SUM(C6:C187)</f>
        <v>607267952.73000038</v>
      </c>
    </row>
    <row r="189" spans="1:3" x14ac:dyDescent="0.3">
      <c r="A189" s="245"/>
      <c r="B189" s="245"/>
    </row>
    <row r="261" spans="1:3" x14ac:dyDescent="0.3">
      <c r="A261" t="s">
        <v>3149</v>
      </c>
      <c r="C261">
        <v>20000000.000000007</v>
      </c>
    </row>
    <row r="262" spans="1:3" x14ac:dyDescent="0.3">
      <c r="A262" s="245">
        <v>8200</v>
      </c>
      <c r="B262" s="245">
        <v>6320</v>
      </c>
      <c r="C262">
        <v>9837.2000000000007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G20" sqref="G20"/>
    </sheetView>
  </sheetViews>
  <sheetFormatPr defaultRowHeight="14.4" x14ac:dyDescent="0.3"/>
  <cols>
    <col min="2" max="2" width="11.109375" bestFit="1" customWidth="1"/>
    <col min="3" max="3" width="11.5546875" style="304" bestFit="1" customWidth="1"/>
  </cols>
  <sheetData>
    <row r="1" spans="1:3" x14ac:dyDescent="0.3">
      <c r="A1" t="s">
        <v>6078</v>
      </c>
      <c r="B1" t="s">
        <v>6079</v>
      </c>
      <c r="C1" s="304" t="s">
        <v>6080</v>
      </c>
    </row>
    <row r="2" spans="1:3" x14ac:dyDescent="0.3">
      <c r="A2">
        <v>7110</v>
      </c>
      <c r="B2" s="245">
        <v>602</v>
      </c>
      <c r="C2" s="304">
        <f>VLOOKUP(A2,[4]Sheet1!$B$1:$D$10,3,0)</f>
        <v>79057.14</v>
      </c>
    </row>
    <row r="3" spans="1:3" x14ac:dyDescent="0.3">
      <c r="A3">
        <v>7150</v>
      </c>
      <c r="B3" s="245">
        <v>602</v>
      </c>
      <c r="C3" s="304">
        <f>VLOOKUP(A3,[4]Sheet1!$B$1:$D$10,3,0)</f>
        <v>49982.42</v>
      </c>
    </row>
    <row r="4" spans="1:3" x14ac:dyDescent="0.3">
      <c r="A4">
        <v>7160</v>
      </c>
      <c r="B4" s="245">
        <v>602</v>
      </c>
      <c r="C4" s="304">
        <f>VLOOKUP(A4,[4]Sheet1!$B$1:$D$10,3,0)</f>
        <v>95110.88</v>
      </c>
    </row>
    <row r="5" spans="1:3" x14ac:dyDescent="0.3">
      <c r="A5">
        <v>7170</v>
      </c>
      <c r="B5" s="245">
        <v>602</v>
      </c>
      <c r="C5" s="304">
        <f>VLOOKUP(A5,[4]Sheet1!$B$1:$D$10,3,0)</f>
        <v>53454.29</v>
      </c>
    </row>
    <row r="6" spans="1:3" x14ac:dyDescent="0.3">
      <c r="A6">
        <v>7180</v>
      </c>
      <c r="B6" s="245">
        <v>602</v>
      </c>
      <c r="C6" s="304">
        <f>VLOOKUP(A6,[4]Sheet1!$B$1:$D$10,3,0)</f>
        <v>65564.97</v>
      </c>
    </row>
    <row r="7" spans="1:3" x14ac:dyDescent="0.3">
      <c r="A7">
        <v>7240</v>
      </c>
      <c r="B7" s="245">
        <v>602</v>
      </c>
      <c r="C7" s="304">
        <f>VLOOKUP(A7,[4]Sheet1!$B$1:$D$10,3,0)</f>
        <v>51936.15</v>
      </c>
    </row>
    <row r="8" spans="1:3" x14ac:dyDescent="0.3">
      <c r="A8">
        <v>7260</v>
      </c>
      <c r="B8" s="245">
        <v>602</v>
      </c>
      <c r="C8" s="304">
        <f>VLOOKUP(A8,[4]Sheet1!$B$1:$D$10,3,0)</f>
        <v>86444.64</v>
      </c>
    </row>
    <row r="9" spans="1:3" x14ac:dyDescent="0.3">
      <c r="A9">
        <v>7280</v>
      </c>
      <c r="B9" s="245">
        <v>602</v>
      </c>
      <c r="C9" s="304">
        <f>VLOOKUP(A9,[4]Sheet1!$B$1:$D$10,3,0)</f>
        <v>93591.58</v>
      </c>
    </row>
    <row r="10" spans="1:3" x14ac:dyDescent="0.3">
      <c r="A10">
        <v>7300</v>
      </c>
      <c r="B10" s="245">
        <v>602</v>
      </c>
      <c r="C10" s="304">
        <f>VLOOKUP(A10,[4]Sheet1!$B$1:$D$10,3,0)</f>
        <v>85664.55</v>
      </c>
    </row>
    <row r="11" spans="1:3" x14ac:dyDescent="0.3">
      <c r="A11">
        <v>7870</v>
      </c>
      <c r="B11" s="245">
        <v>602</v>
      </c>
      <c r="C11" s="304">
        <f>VLOOKUP(A11,[4]Sheet1!$B$1:$D$10,3,0)</f>
        <v>81062.84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8"/>
  <sheetViews>
    <sheetView workbookViewId="0">
      <selection activeCell="C5" sqref="C5"/>
    </sheetView>
  </sheetViews>
  <sheetFormatPr defaultRowHeight="14.4" x14ac:dyDescent="0.3"/>
  <sheetData>
    <row r="1" spans="1:3" x14ac:dyDescent="0.3">
      <c r="A1" s="245">
        <v>5390</v>
      </c>
      <c r="B1" s="245">
        <v>731</v>
      </c>
      <c r="C1" s="248">
        <v>0</v>
      </c>
    </row>
    <row r="2" spans="1:3" x14ac:dyDescent="0.3">
      <c r="A2" s="245">
        <v>5900</v>
      </c>
      <c r="B2" s="245">
        <v>731</v>
      </c>
      <c r="C2" s="248">
        <v>0</v>
      </c>
    </row>
    <row r="3" spans="1:3" x14ac:dyDescent="0.3">
      <c r="A3" s="245">
        <v>6430</v>
      </c>
      <c r="B3" s="245">
        <v>731</v>
      </c>
      <c r="C3" s="248">
        <v>0</v>
      </c>
    </row>
    <row r="4" spans="1:3" x14ac:dyDescent="0.3">
      <c r="A4" s="245">
        <v>6580</v>
      </c>
      <c r="B4" s="245">
        <v>731</v>
      </c>
      <c r="C4" s="248">
        <v>0</v>
      </c>
    </row>
    <row r="5" spans="1:3" x14ac:dyDescent="0.3">
      <c r="B5" s="112"/>
      <c r="C5" s="242">
        <f>SUM(C1:C4)</f>
        <v>0</v>
      </c>
    </row>
    <row r="6" spans="1:3" x14ac:dyDescent="0.3">
      <c r="B6" s="247"/>
    </row>
    <row r="7" spans="1:3" x14ac:dyDescent="0.3">
      <c r="B7" s="112"/>
    </row>
    <row r="8" spans="1:3" x14ac:dyDescent="0.3">
      <c r="B8" s="112"/>
    </row>
    <row r="9" spans="1:3" x14ac:dyDescent="0.3">
      <c r="B9" s="112"/>
    </row>
    <row r="10" spans="1:3" x14ac:dyDescent="0.3">
      <c r="B10" s="112"/>
    </row>
    <row r="11" spans="1:3" x14ac:dyDescent="0.3">
      <c r="B11" s="112"/>
    </row>
    <row r="12" spans="1:3" x14ac:dyDescent="0.3">
      <c r="B12" s="112"/>
    </row>
    <row r="13" spans="1:3" x14ac:dyDescent="0.3">
      <c r="B13" s="112"/>
    </row>
    <row r="14" spans="1:3" x14ac:dyDescent="0.3">
      <c r="B14" s="112"/>
    </row>
    <row r="15" spans="1:3" x14ac:dyDescent="0.3">
      <c r="B15" s="112"/>
    </row>
    <row r="16" spans="1:3" x14ac:dyDescent="0.3">
      <c r="B16" s="247"/>
    </row>
    <row r="17" spans="2:2" x14ac:dyDescent="0.3">
      <c r="B17" s="112"/>
    </row>
    <row r="18" spans="2:2" x14ac:dyDescent="0.3">
      <c r="B18" s="112"/>
    </row>
    <row r="19" spans="2:2" x14ac:dyDescent="0.3">
      <c r="B19" s="112"/>
    </row>
    <row r="20" spans="2:2" x14ac:dyDescent="0.3">
      <c r="B20" s="112"/>
    </row>
    <row r="21" spans="2:2" x14ac:dyDescent="0.3">
      <c r="B21" s="112"/>
    </row>
    <row r="22" spans="2:2" x14ac:dyDescent="0.3">
      <c r="B22" s="247"/>
    </row>
    <row r="23" spans="2:2" x14ac:dyDescent="0.3">
      <c r="B23" s="112"/>
    </row>
    <row r="24" spans="2:2" x14ac:dyDescent="0.3">
      <c r="B24" s="112"/>
    </row>
    <row r="25" spans="2:2" x14ac:dyDescent="0.3">
      <c r="B25" s="247"/>
    </row>
    <row r="26" spans="2:2" x14ac:dyDescent="0.3">
      <c r="B26" s="247"/>
    </row>
    <row r="27" spans="2:2" x14ac:dyDescent="0.3">
      <c r="B27" s="112"/>
    </row>
    <row r="28" spans="2:2" x14ac:dyDescent="0.3">
      <c r="B28" s="112"/>
    </row>
    <row r="29" spans="2:2" x14ac:dyDescent="0.3">
      <c r="B29" s="247"/>
    </row>
    <row r="30" spans="2:2" x14ac:dyDescent="0.3">
      <c r="B30" s="112"/>
    </row>
    <row r="31" spans="2:2" x14ac:dyDescent="0.3">
      <c r="B31" s="112"/>
    </row>
    <row r="32" spans="2:2" x14ac:dyDescent="0.3">
      <c r="B32" s="247"/>
    </row>
    <row r="33" spans="2:2" x14ac:dyDescent="0.3">
      <c r="B33" s="112"/>
    </row>
    <row r="34" spans="2:2" x14ac:dyDescent="0.3">
      <c r="B34" s="112"/>
    </row>
    <row r="35" spans="2:2" x14ac:dyDescent="0.3">
      <c r="B35" s="112"/>
    </row>
    <row r="36" spans="2:2" x14ac:dyDescent="0.3">
      <c r="B36" s="112"/>
    </row>
    <row r="37" spans="2:2" x14ac:dyDescent="0.3">
      <c r="B37" s="112"/>
    </row>
    <row r="38" spans="2:2" x14ac:dyDescent="0.3">
      <c r="B38" s="247"/>
    </row>
    <row r="39" spans="2:2" x14ac:dyDescent="0.3">
      <c r="B39" s="112"/>
    </row>
    <row r="40" spans="2:2" x14ac:dyDescent="0.3">
      <c r="B40" s="112"/>
    </row>
    <row r="41" spans="2:2" x14ac:dyDescent="0.3">
      <c r="B41" s="112"/>
    </row>
    <row r="42" spans="2:2" x14ac:dyDescent="0.3">
      <c r="B42" s="112"/>
    </row>
    <row r="43" spans="2:2" x14ac:dyDescent="0.3">
      <c r="B43" s="247"/>
    </row>
    <row r="44" spans="2:2" x14ac:dyDescent="0.3">
      <c r="B44" s="112"/>
    </row>
    <row r="45" spans="2:2" x14ac:dyDescent="0.3">
      <c r="B45" s="112"/>
    </row>
    <row r="46" spans="2:2" x14ac:dyDescent="0.3">
      <c r="B46" s="112"/>
    </row>
    <row r="47" spans="2:2" x14ac:dyDescent="0.3">
      <c r="B47" s="247"/>
    </row>
    <row r="48" spans="2:2" x14ac:dyDescent="0.3">
      <c r="B48" s="112"/>
    </row>
    <row r="49" spans="2:2" x14ac:dyDescent="0.3">
      <c r="B49" s="112"/>
    </row>
    <row r="50" spans="2:2" x14ac:dyDescent="0.3">
      <c r="B50" s="247"/>
    </row>
    <row r="51" spans="2:2" x14ac:dyDescent="0.3">
      <c r="B51" s="247"/>
    </row>
    <row r="52" spans="2:2" x14ac:dyDescent="0.3">
      <c r="B52" s="112"/>
    </row>
    <row r="53" spans="2:2" x14ac:dyDescent="0.3">
      <c r="B53" s="112"/>
    </row>
    <row r="54" spans="2:2" x14ac:dyDescent="0.3">
      <c r="B54" s="112"/>
    </row>
    <row r="55" spans="2:2" x14ac:dyDescent="0.3">
      <c r="B55" s="112"/>
    </row>
    <row r="56" spans="2:2" x14ac:dyDescent="0.3">
      <c r="B56" s="112"/>
    </row>
    <row r="57" spans="2:2" x14ac:dyDescent="0.3">
      <c r="B57" s="112"/>
    </row>
    <row r="58" spans="2:2" x14ac:dyDescent="0.3">
      <c r="B58" s="112"/>
    </row>
    <row r="59" spans="2:2" x14ac:dyDescent="0.3">
      <c r="B59" s="112"/>
    </row>
    <row r="60" spans="2:2" x14ac:dyDescent="0.3">
      <c r="B60" s="112"/>
    </row>
    <row r="61" spans="2:2" x14ac:dyDescent="0.3">
      <c r="B61" s="112"/>
    </row>
    <row r="62" spans="2:2" x14ac:dyDescent="0.3">
      <c r="B62" s="247"/>
    </row>
    <row r="63" spans="2:2" x14ac:dyDescent="0.3">
      <c r="B63" s="112"/>
    </row>
    <row r="64" spans="2:2" x14ac:dyDescent="0.3">
      <c r="B64" s="112"/>
    </row>
    <row r="65" spans="2:2" x14ac:dyDescent="0.3">
      <c r="B65" s="112"/>
    </row>
    <row r="66" spans="2:2" x14ac:dyDescent="0.3">
      <c r="B66" s="247"/>
    </row>
    <row r="67" spans="2:2" x14ac:dyDescent="0.3">
      <c r="B67" s="112"/>
    </row>
    <row r="68" spans="2:2" x14ac:dyDescent="0.3">
      <c r="B68" s="112"/>
    </row>
    <row r="69" spans="2:2" x14ac:dyDescent="0.3">
      <c r="B69" s="112"/>
    </row>
    <row r="70" spans="2:2" x14ac:dyDescent="0.3">
      <c r="B70" s="122"/>
    </row>
    <row r="71" spans="2:2" x14ac:dyDescent="0.3">
      <c r="B71" s="112"/>
    </row>
    <row r="72" spans="2:2" x14ac:dyDescent="0.3">
      <c r="B72" s="112"/>
    </row>
    <row r="73" spans="2:2" x14ac:dyDescent="0.3">
      <c r="B73" s="112"/>
    </row>
    <row r="74" spans="2:2" x14ac:dyDescent="0.3">
      <c r="B74" s="112"/>
    </row>
    <row r="75" spans="2:2" x14ac:dyDescent="0.3">
      <c r="B75" s="112"/>
    </row>
    <row r="76" spans="2:2" x14ac:dyDescent="0.3">
      <c r="B76" s="247"/>
    </row>
    <row r="77" spans="2:2" x14ac:dyDescent="0.3">
      <c r="B77" s="112"/>
    </row>
    <row r="78" spans="2:2" x14ac:dyDescent="0.3">
      <c r="B78" s="112"/>
    </row>
    <row r="79" spans="2:2" x14ac:dyDescent="0.3">
      <c r="B79" s="112"/>
    </row>
    <row r="80" spans="2:2" x14ac:dyDescent="0.3">
      <c r="B80" s="112"/>
    </row>
    <row r="81" spans="2:2" x14ac:dyDescent="0.3">
      <c r="B81" s="112"/>
    </row>
    <row r="82" spans="2:2" x14ac:dyDescent="0.3">
      <c r="B82" s="112"/>
    </row>
    <row r="83" spans="2:2" x14ac:dyDescent="0.3">
      <c r="B83" s="247"/>
    </row>
    <row r="84" spans="2:2" x14ac:dyDescent="0.3">
      <c r="B84" s="112"/>
    </row>
    <row r="85" spans="2:2" x14ac:dyDescent="0.3">
      <c r="B85" s="112"/>
    </row>
    <row r="86" spans="2:2" x14ac:dyDescent="0.3">
      <c r="B86" s="90"/>
    </row>
    <row r="87" spans="2:2" x14ac:dyDescent="0.3">
      <c r="B87" s="112"/>
    </row>
    <row r="88" spans="2:2" x14ac:dyDescent="0.3">
      <c r="B88" s="112"/>
    </row>
    <row r="89" spans="2:2" x14ac:dyDescent="0.3">
      <c r="B89" s="112"/>
    </row>
    <row r="90" spans="2:2" x14ac:dyDescent="0.3">
      <c r="B90" s="112"/>
    </row>
    <row r="91" spans="2:2" x14ac:dyDescent="0.3">
      <c r="B91" s="112"/>
    </row>
    <row r="92" spans="2:2" x14ac:dyDescent="0.3">
      <c r="B92" s="112"/>
    </row>
    <row r="93" spans="2:2" x14ac:dyDescent="0.3">
      <c r="B93" s="112"/>
    </row>
    <row r="94" spans="2:2" x14ac:dyDescent="0.3">
      <c r="B94" s="112"/>
    </row>
    <row r="95" spans="2:2" x14ac:dyDescent="0.3">
      <c r="B95" s="90"/>
    </row>
    <row r="96" spans="2:2" x14ac:dyDescent="0.3">
      <c r="B96" s="112"/>
    </row>
    <row r="97" spans="2:2" x14ac:dyDescent="0.3">
      <c r="B97" s="112"/>
    </row>
    <row r="98" spans="2:2" x14ac:dyDescent="0.3">
      <c r="B98" s="112"/>
    </row>
    <row r="99" spans="2:2" x14ac:dyDescent="0.3">
      <c r="B99" s="112"/>
    </row>
    <row r="100" spans="2:2" x14ac:dyDescent="0.3">
      <c r="B100" s="112"/>
    </row>
    <row r="101" spans="2:2" x14ac:dyDescent="0.3">
      <c r="B101" s="112"/>
    </row>
    <row r="102" spans="2:2" x14ac:dyDescent="0.3">
      <c r="B102" s="112"/>
    </row>
    <row r="103" spans="2:2" x14ac:dyDescent="0.3">
      <c r="B103" s="112"/>
    </row>
    <row r="104" spans="2:2" x14ac:dyDescent="0.3">
      <c r="B104" s="112"/>
    </row>
    <row r="105" spans="2:2" x14ac:dyDescent="0.3">
      <c r="B105" s="112"/>
    </row>
    <row r="106" spans="2:2" x14ac:dyDescent="0.3">
      <c r="B106" s="112"/>
    </row>
    <row r="107" spans="2:2" x14ac:dyDescent="0.3">
      <c r="B107" s="112"/>
    </row>
    <row r="108" spans="2:2" x14ac:dyDescent="0.3">
      <c r="B108" s="112"/>
    </row>
    <row r="109" spans="2:2" x14ac:dyDescent="0.3">
      <c r="B109" s="112"/>
    </row>
    <row r="110" spans="2:2" x14ac:dyDescent="0.3">
      <c r="B110" s="247"/>
    </row>
    <row r="111" spans="2:2" x14ac:dyDescent="0.3">
      <c r="B111" s="112"/>
    </row>
    <row r="112" spans="2:2" x14ac:dyDescent="0.3">
      <c r="B112" s="112"/>
    </row>
    <row r="113" spans="2:2" x14ac:dyDescent="0.3">
      <c r="B113" s="112"/>
    </row>
    <row r="114" spans="2:2" x14ac:dyDescent="0.3">
      <c r="B114" s="112"/>
    </row>
    <row r="115" spans="2:2" x14ac:dyDescent="0.3">
      <c r="B115" s="112"/>
    </row>
    <row r="116" spans="2:2" x14ac:dyDescent="0.3">
      <c r="B116" s="112"/>
    </row>
    <row r="117" spans="2:2" x14ac:dyDescent="0.3">
      <c r="B117" s="112"/>
    </row>
    <row r="118" spans="2:2" x14ac:dyDescent="0.3">
      <c r="B118" s="112"/>
    </row>
  </sheetData>
  <sortState ref="B1:B118">
    <sortCondition ref="B1:B11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COMPARABILITY FY13 </vt:lpstr>
      <vt:lpstr>Proportionality FTE</vt:lpstr>
      <vt:lpstr>Proportionality</vt:lpstr>
      <vt:lpstr>Peoplesoft-FY13</vt:lpstr>
      <vt:lpstr>Enrollment FY13</vt:lpstr>
      <vt:lpstr>FY 2012 vs FY 2013 (2)</vt:lpstr>
      <vt:lpstr>101</vt:lpstr>
      <vt:lpstr>602 - ROTC</vt:lpstr>
      <vt:lpstr>731</vt:lpstr>
      <vt:lpstr>733 - Title I</vt:lpstr>
      <vt:lpstr>735 - Title II</vt:lpstr>
      <vt:lpstr>773</vt:lpstr>
      <vt:lpstr>794</vt:lpstr>
      <vt:lpstr>8110 - Federal Payments</vt:lpstr>
      <vt:lpstr>FY13 Budget 10-1-12</vt:lpstr>
      <vt:lpstr>'COMPARABILITY FY13 '!Print_Area</vt:lpstr>
      <vt:lpstr>'FY 2012 vs FY 2013 (2)'!Print_Area</vt:lpstr>
      <vt:lpstr>Proportionality!Print_Area</vt:lpstr>
      <vt:lpstr>'Proportionality FTE'!Print_Area</vt:lpstr>
      <vt:lpstr>'COMPARABILITY FY13 '!Print_Titles</vt:lpstr>
      <vt:lpstr>'FY 2012 vs FY 2013 (2)'!Print_Titles</vt:lpstr>
      <vt:lpstr>Proportionality!Print_Titles</vt:lpstr>
      <vt:lpstr>'Proportionality FTE'!Print_Titles</vt:lpstr>
    </vt:vector>
  </TitlesOfParts>
  <Company>DC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 User</dc:creator>
  <cp:lastModifiedBy>ServUS</cp:lastModifiedBy>
  <cp:lastPrinted>2011-06-17T17:21:49Z</cp:lastPrinted>
  <dcterms:created xsi:type="dcterms:W3CDTF">2011-02-18T20:56:12Z</dcterms:created>
  <dcterms:modified xsi:type="dcterms:W3CDTF">2012-12-12T17:49:41Z</dcterms:modified>
</cp:coreProperties>
</file>